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 Tan\Documents\py\projects\"/>
    </mc:Choice>
  </mc:AlternateContent>
  <xr:revisionPtr revIDLastSave="0" documentId="13_ncr:1_{BA5CE950-52EB-4B56-917B-99FBB494F5F8}" xr6:coauthVersionLast="47" xr6:coauthVersionMax="47" xr10:uidLastSave="{00000000-0000-0000-0000-000000000000}"/>
  <bookViews>
    <workbookView xWindow="-110" yWindow="-110" windowWidth="25820" windowHeight="14620" xr2:uid="{AB7D727D-EAFA-4155-B235-CAD1EB75DF4A}"/>
  </bookViews>
  <sheets>
    <sheet name="Invoiced Customers 2003-2019" sheetId="1" r:id="rId1"/>
  </sheets>
  <definedNames>
    <definedName name="_xlnm._FilterDatabase" localSheetId="0" hidden="1">'Invoiced Customers 2003-2019'!$B$1:$H$29644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9644" i="1" l="1"/>
  <c r="E29644" i="1" s="1"/>
  <c r="D29643" i="1"/>
  <c r="E29643" i="1" s="1"/>
  <c r="D29642" i="1"/>
  <c r="E29642" i="1" s="1"/>
  <c r="D29641" i="1"/>
  <c r="E29641" i="1" s="1"/>
  <c r="D29640" i="1"/>
  <c r="E29640" i="1" s="1"/>
  <c r="D29639" i="1"/>
  <c r="E29639" i="1" s="1"/>
  <c r="D29638" i="1"/>
  <c r="E29638" i="1" s="1"/>
  <c r="D29637" i="1"/>
  <c r="E29637" i="1" s="1"/>
  <c r="D29636" i="1"/>
  <c r="E29636" i="1" s="1"/>
  <c r="D29635" i="1"/>
  <c r="E29635" i="1" s="1"/>
  <c r="D29634" i="1"/>
  <c r="E29634" i="1" s="1"/>
  <c r="E29633" i="1"/>
  <c r="D29633" i="1"/>
  <c r="D29632" i="1"/>
  <c r="E29632" i="1" s="1"/>
  <c r="D29631" i="1"/>
  <c r="E29631" i="1" s="1"/>
  <c r="D29630" i="1"/>
  <c r="E29630" i="1" s="1"/>
  <c r="D29629" i="1"/>
  <c r="E29629" i="1" s="1"/>
  <c r="D29628" i="1"/>
  <c r="E29628" i="1" s="1"/>
  <c r="D29627" i="1"/>
  <c r="E29627" i="1" s="1"/>
  <c r="D29626" i="1"/>
  <c r="E29626" i="1" s="1"/>
  <c r="D29625" i="1"/>
  <c r="E29625" i="1" s="1"/>
  <c r="D29624" i="1"/>
  <c r="E29624" i="1" s="1"/>
  <c r="D29623" i="1"/>
  <c r="E29623" i="1" s="1"/>
  <c r="D29622" i="1"/>
  <c r="E29622" i="1" s="1"/>
  <c r="E29621" i="1"/>
  <c r="D29621" i="1"/>
  <c r="D29620" i="1"/>
  <c r="E29620" i="1" s="1"/>
  <c r="D29619" i="1"/>
  <c r="E29619" i="1" s="1"/>
  <c r="D29618" i="1"/>
  <c r="E29618" i="1" s="1"/>
  <c r="D29617" i="1"/>
  <c r="E29617" i="1" s="1"/>
  <c r="D29616" i="1"/>
  <c r="E29616" i="1" s="1"/>
  <c r="D29615" i="1"/>
  <c r="E29615" i="1" s="1"/>
  <c r="D29614" i="1"/>
  <c r="E29614" i="1" s="1"/>
  <c r="D29613" i="1"/>
  <c r="E29613" i="1" s="1"/>
  <c r="D29612" i="1"/>
  <c r="E29612" i="1" s="1"/>
  <c r="D29611" i="1"/>
  <c r="E29611" i="1" s="1"/>
  <c r="D29610" i="1"/>
  <c r="E29610" i="1" s="1"/>
  <c r="E29609" i="1"/>
  <c r="D29609" i="1"/>
  <c r="D29608" i="1"/>
  <c r="E29608" i="1" s="1"/>
  <c r="D29607" i="1"/>
  <c r="E29607" i="1" s="1"/>
  <c r="D29606" i="1"/>
  <c r="E29606" i="1" s="1"/>
  <c r="D29605" i="1"/>
  <c r="E29605" i="1" s="1"/>
  <c r="D29604" i="1"/>
  <c r="E29604" i="1" s="1"/>
  <c r="D29603" i="1"/>
  <c r="E29603" i="1" s="1"/>
  <c r="D29602" i="1"/>
  <c r="E29602" i="1" s="1"/>
  <c r="D29601" i="1"/>
  <c r="E29601" i="1" s="1"/>
  <c r="D29600" i="1"/>
  <c r="E29600" i="1" s="1"/>
  <c r="D29599" i="1"/>
  <c r="E29599" i="1" s="1"/>
  <c r="D29598" i="1"/>
  <c r="E29598" i="1" s="1"/>
  <c r="E29597" i="1"/>
  <c r="D29597" i="1"/>
  <c r="D29596" i="1"/>
  <c r="E29596" i="1" s="1"/>
  <c r="D29595" i="1"/>
  <c r="E29595" i="1" s="1"/>
  <c r="D29594" i="1"/>
  <c r="E29594" i="1" s="1"/>
  <c r="D29593" i="1"/>
  <c r="E29593" i="1" s="1"/>
  <c r="D29592" i="1"/>
  <c r="E29592" i="1" s="1"/>
  <c r="D29591" i="1"/>
  <c r="E29591" i="1" s="1"/>
  <c r="D29590" i="1"/>
  <c r="E29590" i="1" s="1"/>
  <c r="D29589" i="1"/>
  <c r="E29589" i="1" s="1"/>
  <c r="D29588" i="1"/>
  <c r="E29588" i="1" s="1"/>
  <c r="D29587" i="1"/>
  <c r="E29587" i="1" s="1"/>
  <c r="D29586" i="1"/>
  <c r="E29586" i="1" s="1"/>
  <c r="E29585" i="1"/>
  <c r="D29585" i="1"/>
  <c r="D29584" i="1"/>
  <c r="E29584" i="1" s="1"/>
  <c r="D29583" i="1"/>
  <c r="E29583" i="1" s="1"/>
  <c r="D29582" i="1"/>
  <c r="E29582" i="1" s="1"/>
  <c r="D29581" i="1"/>
  <c r="E29581" i="1" s="1"/>
  <c r="D29580" i="1"/>
  <c r="E29580" i="1" s="1"/>
  <c r="D29579" i="1"/>
  <c r="E29579" i="1" s="1"/>
  <c r="D29578" i="1"/>
  <c r="E29578" i="1" s="1"/>
  <c r="D29577" i="1"/>
  <c r="E29577" i="1" s="1"/>
  <c r="D29576" i="1"/>
  <c r="E29576" i="1" s="1"/>
  <c r="D29575" i="1"/>
  <c r="E29575" i="1" s="1"/>
  <c r="D29574" i="1"/>
  <c r="E29574" i="1" s="1"/>
  <c r="E29573" i="1"/>
  <c r="D29573" i="1"/>
  <c r="D29572" i="1"/>
  <c r="E29572" i="1" s="1"/>
  <c r="D29571" i="1"/>
  <c r="E29571" i="1" s="1"/>
  <c r="D29570" i="1"/>
  <c r="E29570" i="1" s="1"/>
  <c r="D29569" i="1"/>
  <c r="E29569" i="1" s="1"/>
  <c r="D29568" i="1"/>
  <c r="E29568" i="1" s="1"/>
  <c r="D29567" i="1"/>
  <c r="E29567" i="1" s="1"/>
  <c r="D29566" i="1"/>
  <c r="E29566" i="1" s="1"/>
  <c r="D29565" i="1"/>
  <c r="E29565" i="1" s="1"/>
  <c r="D29564" i="1"/>
  <c r="E29564" i="1" s="1"/>
  <c r="D29563" i="1"/>
  <c r="E29563" i="1" s="1"/>
  <c r="D29562" i="1"/>
  <c r="E29562" i="1" s="1"/>
  <c r="E29561" i="1"/>
  <c r="D29561" i="1"/>
  <c r="D29560" i="1"/>
  <c r="E29560" i="1" s="1"/>
  <c r="D29559" i="1"/>
  <c r="E29559" i="1" s="1"/>
  <c r="D29558" i="1"/>
  <c r="E29558" i="1" s="1"/>
  <c r="D29557" i="1"/>
  <c r="E29557" i="1" s="1"/>
  <c r="D29556" i="1"/>
  <c r="E29556" i="1" s="1"/>
  <c r="D29555" i="1"/>
  <c r="E29555" i="1" s="1"/>
  <c r="D29554" i="1"/>
  <c r="E29554" i="1" s="1"/>
  <c r="D29553" i="1"/>
  <c r="E29553" i="1" s="1"/>
  <c r="D29552" i="1"/>
  <c r="E29552" i="1" s="1"/>
  <c r="D29551" i="1"/>
  <c r="E29551" i="1" s="1"/>
  <c r="D29550" i="1"/>
  <c r="E29550" i="1" s="1"/>
  <c r="E29549" i="1"/>
  <c r="D29549" i="1"/>
  <c r="D29548" i="1"/>
  <c r="E29548" i="1" s="1"/>
  <c r="D29547" i="1"/>
  <c r="E29547" i="1" s="1"/>
  <c r="D29546" i="1"/>
  <c r="E29546" i="1" s="1"/>
  <c r="D29545" i="1"/>
  <c r="E29545" i="1" s="1"/>
  <c r="D29544" i="1"/>
  <c r="E29544" i="1" s="1"/>
  <c r="D29543" i="1"/>
  <c r="E29543" i="1" s="1"/>
  <c r="D29542" i="1"/>
  <c r="E29542" i="1" s="1"/>
  <c r="D29541" i="1"/>
  <c r="E29541" i="1" s="1"/>
  <c r="D29540" i="1"/>
  <c r="E29540" i="1" s="1"/>
  <c r="D29539" i="1"/>
  <c r="E29539" i="1" s="1"/>
  <c r="D29538" i="1"/>
  <c r="E29538" i="1" s="1"/>
  <c r="E29537" i="1"/>
  <c r="D29537" i="1"/>
  <c r="D29536" i="1"/>
  <c r="E29536" i="1" s="1"/>
  <c r="D29535" i="1"/>
  <c r="E29535" i="1" s="1"/>
  <c r="D29534" i="1"/>
  <c r="E29534" i="1" s="1"/>
  <c r="D29533" i="1"/>
  <c r="E29533" i="1" s="1"/>
  <c r="D29532" i="1"/>
  <c r="E29532" i="1" s="1"/>
  <c r="D29531" i="1"/>
  <c r="E29531" i="1" s="1"/>
  <c r="D29530" i="1"/>
  <c r="E29530" i="1" s="1"/>
  <c r="D29529" i="1"/>
  <c r="E29529" i="1" s="1"/>
  <c r="D29528" i="1"/>
  <c r="E29528" i="1" s="1"/>
  <c r="D29527" i="1"/>
  <c r="E29527" i="1" s="1"/>
  <c r="D29526" i="1"/>
  <c r="E29526" i="1" s="1"/>
  <c r="E29525" i="1"/>
  <c r="D29525" i="1"/>
  <c r="D29524" i="1"/>
  <c r="E29524" i="1" s="1"/>
  <c r="D29523" i="1"/>
  <c r="E29523" i="1" s="1"/>
  <c r="D29522" i="1"/>
  <c r="E29522" i="1" s="1"/>
  <c r="D29521" i="1"/>
  <c r="E29521" i="1" s="1"/>
  <c r="D29520" i="1"/>
  <c r="E29520" i="1" s="1"/>
  <c r="D29519" i="1"/>
  <c r="E29519" i="1" s="1"/>
  <c r="D29518" i="1"/>
  <c r="E29518" i="1" s="1"/>
  <c r="D29517" i="1"/>
  <c r="E29517" i="1" s="1"/>
  <c r="D29516" i="1"/>
  <c r="E29516" i="1" s="1"/>
  <c r="D29515" i="1"/>
  <c r="E29515" i="1" s="1"/>
  <c r="D29514" i="1"/>
  <c r="E29514" i="1" s="1"/>
  <c r="E29513" i="1"/>
  <c r="D29513" i="1"/>
  <c r="D29512" i="1"/>
  <c r="E29512" i="1" s="1"/>
  <c r="D29511" i="1"/>
  <c r="E29511" i="1" s="1"/>
  <c r="D29510" i="1"/>
  <c r="E29510" i="1" s="1"/>
  <c r="D29509" i="1"/>
  <c r="E29509" i="1" s="1"/>
  <c r="D29508" i="1"/>
  <c r="E29508" i="1" s="1"/>
  <c r="D29507" i="1"/>
  <c r="E29507" i="1" s="1"/>
  <c r="D29506" i="1"/>
  <c r="E29506" i="1" s="1"/>
  <c r="D29505" i="1"/>
  <c r="E29505" i="1" s="1"/>
  <c r="D29504" i="1"/>
  <c r="E29504" i="1" s="1"/>
  <c r="D29503" i="1"/>
  <c r="E29503" i="1" s="1"/>
  <c r="D29502" i="1"/>
  <c r="E29502" i="1" s="1"/>
  <c r="E29501" i="1"/>
  <c r="D29501" i="1"/>
  <c r="D29500" i="1"/>
  <c r="E29500" i="1" s="1"/>
  <c r="D29499" i="1"/>
  <c r="E29499" i="1" s="1"/>
  <c r="D29498" i="1"/>
  <c r="E29498" i="1" s="1"/>
  <c r="D29497" i="1"/>
  <c r="E29497" i="1" s="1"/>
  <c r="D29496" i="1"/>
  <c r="E29496" i="1" s="1"/>
  <c r="D29495" i="1"/>
  <c r="E29495" i="1" s="1"/>
  <c r="D29494" i="1"/>
  <c r="E29494" i="1" s="1"/>
  <c r="D29493" i="1"/>
  <c r="E29493" i="1" s="1"/>
  <c r="D29492" i="1"/>
  <c r="E29492" i="1" s="1"/>
  <c r="D29491" i="1"/>
  <c r="E29491" i="1" s="1"/>
  <c r="D29490" i="1"/>
  <c r="E29490" i="1" s="1"/>
  <c r="E29489" i="1"/>
  <c r="D29489" i="1"/>
  <c r="D29488" i="1"/>
  <c r="E29488" i="1" s="1"/>
  <c r="D29487" i="1"/>
  <c r="E29487" i="1" s="1"/>
  <c r="D29486" i="1"/>
  <c r="E29486" i="1" s="1"/>
  <c r="D29485" i="1"/>
  <c r="E29485" i="1" s="1"/>
  <c r="D29484" i="1"/>
  <c r="E29484" i="1" s="1"/>
  <c r="D29483" i="1"/>
  <c r="E29483" i="1" s="1"/>
  <c r="D29482" i="1"/>
  <c r="E29482" i="1" s="1"/>
  <c r="D29481" i="1"/>
  <c r="E29481" i="1" s="1"/>
  <c r="D29480" i="1"/>
  <c r="E29480" i="1" s="1"/>
  <c r="D29479" i="1"/>
  <c r="E29479" i="1" s="1"/>
  <c r="D29478" i="1"/>
  <c r="E29478" i="1" s="1"/>
  <c r="E29477" i="1"/>
  <c r="D29477" i="1"/>
  <c r="D29476" i="1"/>
  <c r="E29476" i="1" s="1"/>
  <c r="D29475" i="1"/>
  <c r="E29475" i="1" s="1"/>
  <c r="D29474" i="1"/>
  <c r="E29474" i="1" s="1"/>
  <c r="D29473" i="1"/>
  <c r="E29473" i="1" s="1"/>
  <c r="D29472" i="1"/>
  <c r="E29472" i="1" s="1"/>
  <c r="D29471" i="1"/>
  <c r="E29471" i="1" s="1"/>
  <c r="D29470" i="1"/>
  <c r="E29470" i="1" s="1"/>
  <c r="D29469" i="1"/>
  <c r="E29469" i="1" s="1"/>
  <c r="D29468" i="1"/>
  <c r="E29468" i="1" s="1"/>
  <c r="D29467" i="1"/>
  <c r="E29467" i="1" s="1"/>
  <c r="D29466" i="1"/>
  <c r="E29466" i="1" s="1"/>
  <c r="E29465" i="1"/>
  <c r="D29465" i="1"/>
  <c r="D29464" i="1"/>
  <c r="E29464" i="1" s="1"/>
  <c r="D29463" i="1"/>
  <c r="E29463" i="1" s="1"/>
  <c r="D29462" i="1"/>
  <c r="E29462" i="1" s="1"/>
  <c r="D29461" i="1"/>
  <c r="E29461" i="1" s="1"/>
  <c r="D29460" i="1"/>
  <c r="E29460" i="1" s="1"/>
  <c r="D29459" i="1"/>
  <c r="E29459" i="1" s="1"/>
  <c r="D29458" i="1"/>
  <c r="E29458" i="1" s="1"/>
  <c r="D29457" i="1"/>
  <c r="E29457" i="1" s="1"/>
  <c r="D29456" i="1"/>
  <c r="E29456" i="1" s="1"/>
  <c r="D29455" i="1"/>
  <c r="E29455" i="1" s="1"/>
  <c r="D29454" i="1"/>
  <c r="E29454" i="1" s="1"/>
  <c r="E29453" i="1"/>
  <c r="D29453" i="1"/>
  <c r="D29452" i="1"/>
  <c r="E29452" i="1" s="1"/>
  <c r="D29451" i="1"/>
  <c r="E29451" i="1" s="1"/>
  <c r="D29450" i="1"/>
  <c r="E29450" i="1" s="1"/>
  <c r="D29449" i="1"/>
  <c r="E29449" i="1" s="1"/>
  <c r="D29448" i="1"/>
  <c r="E29448" i="1" s="1"/>
  <c r="D29447" i="1"/>
  <c r="E29447" i="1" s="1"/>
  <c r="D29446" i="1"/>
  <c r="E29446" i="1" s="1"/>
  <c r="D29445" i="1"/>
  <c r="E29445" i="1" s="1"/>
  <c r="D29444" i="1"/>
  <c r="E29444" i="1" s="1"/>
  <c r="D29443" i="1"/>
  <c r="E29443" i="1" s="1"/>
  <c r="D29442" i="1"/>
  <c r="E29442" i="1" s="1"/>
  <c r="E29441" i="1"/>
  <c r="D29441" i="1"/>
  <c r="D29440" i="1"/>
  <c r="E29440" i="1" s="1"/>
  <c r="D29439" i="1"/>
  <c r="E29439" i="1" s="1"/>
  <c r="D29438" i="1"/>
  <c r="E29438" i="1" s="1"/>
  <c r="D29437" i="1"/>
  <c r="E29437" i="1" s="1"/>
  <c r="D29436" i="1"/>
  <c r="E29436" i="1" s="1"/>
  <c r="D29435" i="1"/>
  <c r="E29435" i="1" s="1"/>
  <c r="D29434" i="1"/>
  <c r="E29434" i="1" s="1"/>
  <c r="D29433" i="1"/>
  <c r="E29433" i="1" s="1"/>
  <c r="D29432" i="1"/>
  <c r="E29432" i="1" s="1"/>
  <c r="D29431" i="1"/>
  <c r="E29431" i="1" s="1"/>
  <c r="D29430" i="1"/>
  <c r="E29430" i="1" s="1"/>
  <c r="E29429" i="1"/>
  <c r="D29429" i="1"/>
  <c r="D29428" i="1"/>
  <c r="E29428" i="1" s="1"/>
  <c r="D29427" i="1"/>
  <c r="E29427" i="1" s="1"/>
  <c r="D29426" i="1"/>
  <c r="E29426" i="1" s="1"/>
  <c r="D29425" i="1"/>
  <c r="E29425" i="1" s="1"/>
  <c r="D29424" i="1"/>
  <c r="E29424" i="1" s="1"/>
  <c r="D29423" i="1"/>
  <c r="E29423" i="1" s="1"/>
  <c r="D29422" i="1"/>
  <c r="E29422" i="1" s="1"/>
  <c r="D29421" i="1"/>
  <c r="E29421" i="1" s="1"/>
  <c r="D29420" i="1"/>
  <c r="E29420" i="1" s="1"/>
  <c r="D29419" i="1"/>
  <c r="E29419" i="1" s="1"/>
  <c r="D29418" i="1"/>
  <c r="E29418" i="1" s="1"/>
  <c r="E29417" i="1"/>
  <c r="D29417" i="1"/>
  <c r="D29416" i="1"/>
  <c r="E29416" i="1" s="1"/>
  <c r="D29415" i="1"/>
  <c r="E29415" i="1" s="1"/>
  <c r="D29414" i="1"/>
  <c r="E29414" i="1" s="1"/>
  <c r="D29413" i="1"/>
  <c r="E29413" i="1" s="1"/>
  <c r="D29412" i="1"/>
  <c r="E29412" i="1" s="1"/>
  <c r="D29411" i="1"/>
  <c r="E29411" i="1" s="1"/>
  <c r="D29410" i="1"/>
  <c r="E29410" i="1" s="1"/>
  <c r="D29409" i="1"/>
  <c r="E29409" i="1" s="1"/>
  <c r="D29408" i="1"/>
  <c r="E29408" i="1" s="1"/>
  <c r="D29407" i="1"/>
  <c r="E29407" i="1" s="1"/>
  <c r="D29406" i="1"/>
  <c r="E29406" i="1" s="1"/>
  <c r="E29405" i="1"/>
  <c r="D29405" i="1"/>
  <c r="D29404" i="1"/>
  <c r="E29404" i="1" s="1"/>
  <c r="D29403" i="1"/>
  <c r="E29403" i="1" s="1"/>
  <c r="D29402" i="1"/>
  <c r="E29402" i="1" s="1"/>
  <c r="D29401" i="1"/>
  <c r="E29401" i="1" s="1"/>
  <c r="D29400" i="1"/>
  <c r="E29400" i="1" s="1"/>
  <c r="D29399" i="1"/>
  <c r="E29399" i="1" s="1"/>
  <c r="D29398" i="1"/>
  <c r="E29398" i="1" s="1"/>
  <c r="D29397" i="1"/>
  <c r="E29397" i="1" s="1"/>
  <c r="D29396" i="1"/>
  <c r="E29396" i="1" s="1"/>
  <c r="D29395" i="1"/>
  <c r="E29395" i="1" s="1"/>
  <c r="D29394" i="1"/>
  <c r="E29394" i="1" s="1"/>
  <c r="E29393" i="1"/>
  <c r="D29393" i="1"/>
  <c r="D29392" i="1"/>
  <c r="E29392" i="1" s="1"/>
  <c r="D29391" i="1"/>
  <c r="E29391" i="1" s="1"/>
  <c r="D29390" i="1"/>
  <c r="E29390" i="1" s="1"/>
  <c r="D29389" i="1"/>
  <c r="E29389" i="1" s="1"/>
  <c r="D29388" i="1"/>
  <c r="E29388" i="1" s="1"/>
  <c r="D29387" i="1"/>
  <c r="E29387" i="1" s="1"/>
  <c r="D29386" i="1"/>
  <c r="E29386" i="1" s="1"/>
  <c r="D29385" i="1"/>
  <c r="E29385" i="1" s="1"/>
  <c r="D29384" i="1"/>
  <c r="E29384" i="1" s="1"/>
  <c r="D29383" i="1"/>
  <c r="E29383" i="1" s="1"/>
  <c r="D29382" i="1"/>
  <c r="E29382" i="1" s="1"/>
  <c r="E29381" i="1"/>
  <c r="D29381" i="1"/>
  <c r="D29380" i="1"/>
  <c r="E29380" i="1" s="1"/>
  <c r="D29379" i="1"/>
  <c r="E29379" i="1" s="1"/>
  <c r="D29378" i="1"/>
  <c r="E29378" i="1" s="1"/>
  <c r="D29377" i="1"/>
  <c r="E29377" i="1" s="1"/>
  <c r="D29376" i="1"/>
  <c r="E29376" i="1" s="1"/>
  <c r="D29375" i="1"/>
  <c r="E29375" i="1" s="1"/>
  <c r="D29374" i="1"/>
  <c r="E29374" i="1" s="1"/>
  <c r="D29373" i="1"/>
  <c r="E29373" i="1" s="1"/>
  <c r="D29372" i="1"/>
  <c r="E29372" i="1" s="1"/>
  <c r="D29371" i="1"/>
  <c r="E29371" i="1" s="1"/>
  <c r="D29370" i="1"/>
  <c r="E29370" i="1" s="1"/>
  <c r="E29369" i="1"/>
  <c r="D29369" i="1"/>
  <c r="D29368" i="1"/>
  <c r="E29368" i="1" s="1"/>
  <c r="D29367" i="1"/>
  <c r="E29367" i="1" s="1"/>
  <c r="D29366" i="1"/>
  <c r="E29366" i="1" s="1"/>
  <c r="D29365" i="1"/>
  <c r="E29365" i="1" s="1"/>
  <c r="D29364" i="1"/>
  <c r="E29364" i="1" s="1"/>
  <c r="D29363" i="1"/>
  <c r="E29363" i="1" s="1"/>
  <c r="D29362" i="1"/>
  <c r="E29362" i="1" s="1"/>
  <c r="D29361" i="1"/>
  <c r="E29361" i="1" s="1"/>
  <c r="D29360" i="1"/>
  <c r="E29360" i="1" s="1"/>
  <c r="D29359" i="1"/>
  <c r="E29359" i="1" s="1"/>
  <c r="D29358" i="1"/>
  <c r="E29358" i="1" s="1"/>
  <c r="E29357" i="1"/>
  <c r="D29357" i="1"/>
  <c r="D29356" i="1"/>
  <c r="E29356" i="1" s="1"/>
  <c r="D29355" i="1"/>
  <c r="E29355" i="1" s="1"/>
  <c r="D29354" i="1"/>
  <c r="E29354" i="1" s="1"/>
  <c r="D29353" i="1"/>
  <c r="E29353" i="1" s="1"/>
  <c r="D29352" i="1"/>
  <c r="E29352" i="1" s="1"/>
  <c r="D29351" i="1"/>
  <c r="E29351" i="1" s="1"/>
  <c r="D29350" i="1"/>
  <c r="E29350" i="1" s="1"/>
  <c r="D29349" i="1"/>
  <c r="E29349" i="1" s="1"/>
  <c r="D29348" i="1"/>
  <c r="E29348" i="1" s="1"/>
  <c r="D29347" i="1"/>
  <c r="E29347" i="1" s="1"/>
  <c r="D29346" i="1"/>
  <c r="E29346" i="1" s="1"/>
  <c r="E29345" i="1"/>
  <c r="D29345" i="1"/>
  <c r="D29344" i="1"/>
  <c r="E29344" i="1" s="1"/>
  <c r="D29343" i="1"/>
  <c r="E29343" i="1" s="1"/>
  <c r="D29342" i="1"/>
  <c r="E29342" i="1" s="1"/>
  <c r="D29341" i="1"/>
  <c r="E29341" i="1" s="1"/>
  <c r="D29340" i="1"/>
  <c r="E29340" i="1" s="1"/>
  <c r="D29339" i="1"/>
  <c r="E29339" i="1" s="1"/>
  <c r="D29338" i="1"/>
  <c r="E29338" i="1" s="1"/>
  <c r="D29337" i="1"/>
  <c r="E29337" i="1" s="1"/>
  <c r="D29336" i="1"/>
  <c r="E29336" i="1" s="1"/>
  <c r="D29335" i="1"/>
  <c r="E29335" i="1" s="1"/>
  <c r="E29334" i="1"/>
  <c r="D29334" i="1"/>
  <c r="E29333" i="1"/>
  <c r="D29333" i="1"/>
  <c r="D29332" i="1"/>
  <c r="E29332" i="1" s="1"/>
  <c r="D29331" i="1"/>
  <c r="E29331" i="1" s="1"/>
  <c r="D29330" i="1"/>
  <c r="E29330" i="1" s="1"/>
  <c r="D29329" i="1"/>
  <c r="E29329" i="1" s="1"/>
  <c r="D29328" i="1"/>
  <c r="E29328" i="1" s="1"/>
  <c r="D29327" i="1"/>
  <c r="E29327" i="1" s="1"/>
  <c r="D29326" i="1"/>
  <c r="E29326" i="1" s="1"/>
  <c r="D29325" i="1"/>
  <c r="E29325" i="1" s="1"/>
  <c r="D29324" i="1"/>
  <c r="E29324" i="1" s="1"/>
  <c r="D29323" i="1"/>
  <c r="E29323" i="1" s="1"/>
  <c r="E29322" i="1"/>
  <c r="D29322" i="1"/>
  <c r="E29321" i="1"/>
  <c r="D29321" i="1"/>
  <c r="D29320" i="1"/>
  <c r="E29320" i="1" s="1"/>
  <c r="D29319" i="1"/>
  <c r="E29319" i="1" s="1"/>
  <c r="D29318" i="1"/>
  <c r="E29318" i="1" s="1"/>
  <c r="D29317" i="1"/>
  <c r="E29317" i="1" s="1"/>
  <c r="D29316" i="1"/>
  <c r="E29316" i="1" s="1"/>
  <c r="D29315" i="1"/>
  <c r="E29315" i="1" s="1"/>
  <c r="D29314" i="1"/>
  <c r="E29314" i="1" s="1"/>
  <c r="D29313" i="1"/>
  <c r="E29313" i="1" s="1"/>
  <c r="D29312" i="1"/>
  <c r="E29312" i="1" s="1"/>
  <c r="D29311" i="1"/>
  <c r="E29311" i="1" s="1"/>
  <c r="D29310" i="1"/>
  <c r="E29310" i="1" s="1"/>
  <c r="E29309" i="1"/>
  <c r="D29309" i="1"/>
  <c r="D29308" i="1"/>
  <c r="E29308" i="1" s="1"/>
  <c r="D29307" i="1"/>
  <c r="E29307" i="1" s="1"/>
  <c r="D29306" i="1"/>
  <c r="E29306" i="1" s="1"/>
  <c r="D29305" i="1"/>
  <c r="E29305" i="1" s="1"/>
  <c r="D29304" i="1"/>
  <c r="E29304" i="1" s="1"/>
  <c r="D29303" i="1"/>
  <c r="E29303" i="1" s="1"/>
  <c r="D29302" i="1"/>
  <c r="E29302" i="1" s="1"/>
  <c r="D29301" i="1"/>
  <c r="E29301" i="1" s="1"/>
  <c r="D29300" i="1"/>
  <c r="E29300" i="1" s="1"/>
  <c r="D29299" i="1"/>
  <c r="E29299" i="1" s="1"/>
  <c r="D29298" i="1"/>
  <c r="E29298" i="1" s="1"/>
  <c r="E29297" i="1"/>
  <c r="D29297" i="1"/>
  <c r="D29296" i="1"/>
  <c r="E29296" i="1" s="1"/>
  <c r="D29295" i="1"/>
  <c r="E29295" i="1" s="1"/>
  <c r="D29294" i="1"/>
  <c r="E29294" i="1" s="1"/>
  <c r="D29293" i="1"/>
  <c r="E29293" i="1" s="1"/>
  <c r="D29292" i="1"/>
  <c r="E29292" i="1" s="1"/>
  <c r="D29291" i="1"/>
  <c r="E29291" i="1" s="1"/>
  <c r="D29290" i="1"/>
  <c r="E29290" i="1" s="1"/>
  <c r="D29289" i="1"/>
  <c r="E29289" i="1" s="1"/>
  <c r="D29288" i="1"/>
  <c r="E29288" i="1" s="1"/>
  <c r="D29287" i="1"/>
  <c r="E29287" i="1" s="1"/>
  <c r="D29286" i="1"/>
  <c r="E29286" i="1" s="1"/>
  <c r="E29285" i="1"/>
  <c r="D29285" i="1"/>
  <c r="D29284" i="1"/>
  <c r="E29284" i="1" s="1"/>
  <c r="D29283" i="1"/>
  <c r="E29283" i="1" s="1"/>
  <c r="D29282" i="1"/>
  <c r="E29282" i="1" s="1"/>
  <c r="D29281" i="1"/>
  <c r="E29281" i="1" s="1"/>
  <c r="D29280" i="1"/>
  <c r="E29280" i="1" s="1"/>
  <c r="D29279" i="1"/>
  <c r="E29279" i="1" s="1"/>
  <c r="D29278" i="1"/>
  <c r="E29278" i="1" s="1"/>
  <c r="D29277" i="1"/>
  <c r="E29277" i="1" s="1"/>
  <c r="D29276" i="1"/>
  <c r="E29276" i="1" s="1"/>
  <c r="D29275" i="1"/>
  <c r="E29275" i="1" s="1"/>
  <c r="E29274" i="1"/>
  <c r="D29274" i="1"/>
  <c r="E29273" i="1"/>
  <c r="D29273" i="1"/>
  <c r="D29272" i="1"/>
  <c r="E29272" i="1" s="1"/>
  <c r="D29271" i="1"/>
  <c r="E29271" i="1" s="1"/>
  <c r="D29270" i="1"/>
  <c r="E29270" i="1" s="1"/>
  <c r="D29269" i="1"/>
  <c r="E29269" i="1" s="1"/>
  <c r="D29268" i="1"/>
  <c r="E29268" i="1" s="1"/>
  <c r="D29267" i="1"/>
  <c r="E29267" i="1" s="1"/>
  <c r="D29266" i="1"/>
  <c r="E29266" i="1" s="1"/>
  <c r="D29265" i="1"/>
  <c r="E29265" i="1" s="1"/>
  <c r="D29264" i="1"/>
  <c r="E29264" i="1" s="1"/>
  <c r="D29263" i="1"/>
  <c r="E29263" i="1" s="1"/>
  <c r="E29262" i="1"/>
  <c r="D29262" i="1"/>
  <c r="E29261" i="1"/>
  <c r="D29261" i="1"/>
  <c r="D29260" i="1"/>
  <c r="E29260" i="1" s="1"/>
  <c r="D29259" i="1"/>
  <c r="E29259" i="1" s="1"/>
  <c r="D29258" i="1"/>
  <c r="E29258" i="1" s="1"/>
  <c r="D29257" i="1"/>
  <c r="E29257" i="1" s="1"/>
  <c r="D29256" i="1"/>
  <c r="E29256" i="1" s="1"/>
  <c r="D29255" i="1"/>
  <c r="E29255" i="1" s="1"/>
  <c r="D29254" i="1"/>
  <c r="E29254" i="1" s="1"/>
  <c r="D29253" i="1"/>
  <c r="E29253" i="1" s="1"/>
  <c r="D29252" i="1"/>
  <c r="E29252" i="1" s="1"/>
  <c r="D29251" i="1"/>
  <c r="E29251" i="1" s="1"/>
  <c r="E29250" i="1"/>
  <c r="D29250" i="1"/>
  <c r="E29249" i="1"/>
  <c r="D29249" i="1"/>
  <c r="D29248" i="1"/>
  <c r="E29248" i="1" s="1"/>
  <c r="D29247" i="1"/>
  <c r="E29247" i="1" s="1"/>
  <c r="D29246" i="1"/>
  <c r="E29246" i="1" s="1"/>
  <c r="D29245" i="1"/>
  <c r="E29245" i="1" s="1"/>
  <c r="D29244" i="1"/>
  <c r="E29244" i="1" s="1"/>
  <c r="D29243" i="1"/>
  <c r="E29243" i="1" s="1"/>
  <c r="D29242" i="1"/>
  <c r="E29242" i="1" s="1"/>
  <c r="D29241" i="1"/>
  <c r="E29241" i="1" s="1"/>
  <c r="D29240" i="1"/>
  <c r="E29240" i="1" s="1"/>
  <c r="D29239" i="1"/>
  <c r="E29239" i="1" s="1"/>
  <c r="D29238" i="1"/>
  <c r="E29238" i="1" s="1"/>
  <c r="E29237" i="1"/>
  <c r="D29237" i="1"/>
  <c r="D29236" i="1"/>
  <c r="E29236" i="1" s="1"/>
  <c r="D29235" i="1"/>
  <c r="E29235" i="1" s="1"/>
  <c r="D29234" i="1"/>
  <c r="E29234" i="1" s="1"/>
  <c r="D29233" i="1"/>
  <c r="E29233" i="1" s="1"/>
  <c r="D29232" i="1"/>
  <c r="E29232" i="1" s="1"/>
  <c r="D29231" i="1"/>
  <c r="E29231" i="1" s="1"/>
  <c r="D29230" i="1"/>
  <c r="E29230" i="1" s="1"/>
  <c r="D29229" i="1"/>
  <c r="E29229" i="1" s="1"/>
  <c r="D29228" i="1"/>
  <c r="E29228" i="1" s="1"/>
  <c r="D29227" i="1"/>
  <c r="E29227" i="1" s="1"/>
  <c r="D29226" i="1"/>
  <c r="E29226" i="1" s="1"/>
  <c r="E29225" i="1"/>
  <c r="D29225" i="1"/>
  <c r="D29224" i="1"/>
  <c r="E29224" i="1" s="1"/>
  <c r="D29223" i="1"/>
  <c r="E29223" i="1" s="1"/>
  <c r="D29222" i="1"/>
  <c r="E29222" i="1" s="1"/>
  <c r="D29221" i="1"/>
  <c r="E29221" i="1" s="1"/>
  <c r="D29220" i="1"/>
  <c r="E29220" i="1" s="1"/>
  <c r="D29219" i="1"/>
  <c r="E29219" i="1" s="1"/>
  <c r="D29218" i="1"/>
  <c r="E29218" i="1" s="1"/>
  <c r="D29217" i="1"/>
  <c r="E29217" i="1" s="1"/>
  <c r="D29216" i="1"/>
  <c r="E29216" i="1" s="1"/>
  <c r="D29215" i="1"/>
  <c r="E29215" i="1" s="1"/>
  <c r="D29214" i="1"/>
  <c r="E29214" i="1" s="1"/>
  <c r="E29213" i="1"/>
  <c r="D29213" i="1"/>
  <c r="D29212" i="1"/>
  <c r="E29212" i="1" s="1"/>
  <c r="D29211" i="1"/>
  <c r="E29211" i="1" s="1"/>
  <c r="D29210" i="1"/>
  <c r="E29210" i="1" s="1"/>
  <c r="D29209" i="1"/>
  <c r="E29209" i="1" s="1"/>
  <c r="D29208" i="1"/>
  <c r="E29208" i="1" s="1"/>
  <c r="D29207" i="1"/>
  <c r="E29207" i="1" s="1"/>
  <c r="D29206" i="1"/>
  <c r="E29206" i="1" s="1"/>
  <c r="D29205" i="1"/>
  <c r="E29205" i="1" s="1"/>
  <c r="D29204" i="1"/>
  <c r="E29204" i="1" s="1"/>
  <c r="D29203" i="1"/>
  <c r="E29203" i="1" s="1"/>
  <c r="D29202" i="1"/>
  <c r="E29202" i="1" s="1"/>
  <c r="E29201" i="1"/>
  <c r="D29201" i="1"/>
  <c r="D29200" i="1"/>
  <c r="E29200" i="1" s="1"/>
  <c r="D29199" i="1"/>
  <c r="E29199" i="1" s="1"/>
  <c r="D29198" i="1"/>
  <c r="E29198" i="1" s="1"/>
  <c r="D29197" i="1"/>
  <c r="E29197" i="1" s="1"/>
  <c r="D29196" i="1"/>
  <c r="E29196" i="1" s="1"/>
  <c r="D29195" i="1"/>
  <c r="E29195" i="1" s="1"/>
  <c r="D29194" i="1"/>
  <c r="E29194" i="1" s="1"/>
  <c r="D29193" i="1"/>
  <c r="E29193" i="1" s="1"/>
  <c r="D29192" i="1"/>
  <c r="E29192" i="1" s="1"/>
  <c r="D29191" i="1"/>
  <c r="E29191" i="1" s="1"/>
  <c r="E29190" i="1"/>
  <c r="D29190" i="1"/>
  <c r="E29189" i="1"/>
  <c r="D29189" i="1"/>
  <c r="D29188" i="1"/>
  <c r="E29188" i="1" s="1"/>
  <c r="D29187" i="1"/>
  <c r="E29187" i="1" s="1"/>
  <c r="D29186" i="1"/>
  <c r="E29186" i="1" s="1"/>
  <c r="D29185" i="1"/>
  <c r="E29185" i="1" s="1"/>
  <c r="D29184" i="1"/>
  <c r="E29184" i="1" s="1"/>
  <c r="D29183" i="1"/>
  <c r="E29183" i="1" s="1"/>
  <c r="D29182" i="1"/>
  <c r="E29182" i="1" s="1"/>
  <c r="D29181" i="1"/>
  <c r="E29181" i="1" s="1"/>
  <c r="D29180" i="1"/>
  <c r="E29180" i="1" s="1"/>
  <c r="D29179" i="1"/>
  <c r="E29179" i="1" s="1"/>
  <c r="D29178" i="1"/>
  <c r="E29178" i="1" s="1"/>
  <c r="E29177" i="1"/>
  <c r="D29177" i="1"/>
  <c r="D29176" i="1"/>
  <c r="E29176" i="1" s="1"/>
  <c r="D29175" i="1"/>
  <c r="E29175" i="1" s="1"/>
  <c r="D29174" i="1"/>
  <c r="E29174" i="1" s="1"/>
  <c r="D29173" i="1"/>
  <c r="E29173" i="1" s="1"/>
  <c r="D29172" i="1"/>
  <c r="E29172" i="1" s="1"/>
  <c r="D29171" i="1"/>
  <c r="E29171" i="1" s="1"/>
  <c r="D29170" i="1"/>
  <c r="E29170" i="1" s="1"/>
  <c r="D29169" i="1"/>
  <c r="E29169" i="1" s="1"/>
  <c r="D29168" i="1"/>
  <c r="E29168" i="1" s="1"/>
  <c r="D29167" i="1"/>
  <c r="E29167" i="1" s="1"/>
  <c r="D29166" i="1"/>
  <c r="E29166" i="1" s="1"/>
  <c r="E29165" i="1"/>
  <c r="D29165" i="1"/>
  <c r="D29164" i="1"/>
  <c r="E29164" i="1" s="1"/>
  <c r="D29163" i="1"/>
  <c r="E29163" i="1" s="1"/>
  <c r="D29162" i="1"/>
  <c r="E29162" i="1" s="1"/>
  <c r="D29161" i="1"/>
  <c r="E29161" i="1" s="1"/>
  <c r="D29160" i="1"/>
  <c r="E29160" i="1" s="1"/>
  <c r="D29159" i="1"/>
  <c r="E29159" i="1" s="1"/>
  <c r="D29158" i="1"/>
  <c r="E29158" i="1" s="1"/>
  <c r="D29157" i="1"/>
  <c r="E29157" i="1" s="1"/>
  <c r="D29156" i="1"/>
  <c r="E29156" i="1" s="1"/>
  <c r="D29155" i="1"/>
  <c r="E29155" i="1" s="1"/>
  <c r="D29154" i="1"/>
  <c r="E29154" i="1" s="1"/>
  <c r="E29153" i="1"/>
  <c r="D29153" i="1"/>
  <c r="D29152" i="1"/>
  <c r="E29152" i="1" s="1"/>
  <c r="D29151" i="1"/>
  <c r="E29151" i="1" s="1"/>
  <c r="D29150" i="1"/>
  <c r="E29150" i="1" s="1"/>
  <c r="D29149" i="1"/>
  <c r="E29149" i="1" s="1"/>
  <c r="D29148" i="1"/>
  <c r="E29148" i="1" s="1"/>
  <c r="D29147" i="1"/>
  <c r="E29147" i="1" s="1"/>
  <c r="D29146" i="1"/>
  <c r="E29146" i="1" s="1"/>
  <c r="D29145" i="1"/>
  <c r="E29145" i="1" s="1"/>
  <c r="D29144" i="1"/>
  <c r="E29144" i="1" s="1"/>
  <c r="D29143" i="1"/>
  <c r="E29143" i="1" s="1"/>
  <c r="D29142" i="1"/>
  <c r="E29142" i="1" s="1"/>
  <c r="D29141" i="1"/>
  <c r="E29141" i="1" s="1"/>
  <c r="D29140" i="1"/>
  <c r="E29140" i="1" s="1"/>
  <c r="D29139" i="1"/>
  <c r="E29139" i="1" s="1"/>
  <c r="D29138" i="1"/>
  <c r="E29138" i="1" s="1"/>
  <c r="D29137" i="1"/>
  <c r="E29137" i="1" s="1"/>
  <c r="D29136" i="1"/>
  <c r="E29136" i="1" s="1"/>
  <c r="D29135" i="1"/>
  <c r="E29135" i="1" s="1"/>
  <c r="D29134" i="1"/>
  <c r="E29134" i="1" s="1"/>
  <c r="D29133" i="1"/>
  <c r="E29133" i="1" s="1"/>
  <c r="D29132" i="1"/>
  <c r="E29132" i="1" s="1"/>
  <c r="D29131" i="1"/>
  <c r="E29131" i="1" s="1"/>
  <c r="D29130" i="1"/>
  <c r="E29130" i="1" s="1"/>
  <c r="D29129" i="1"/>
  <c r="E29129" i="1" s="1"/>
  <c r="D29128" i="1"/>
  <c r="E29128" i="1" s="1"/>
  <c r="D29127" i="1"/>
  <c r="E29127" i="1" s="1"/>
  <c r="D29126" i="1"/>
  <c r="E29126" i="1" s="1"/>
  <c r="D29125" i="1"/>
  <c r="E29125" i="1" s="1"/>
  <c r="D29124" i="1"/>
  <c r="E29124" i="1" s="1"/>
  <c r="D29123" i="1"/>
  <c r="E29123" i="1" s="1"/>
  <c r="D29122" i="1"/>
  <c r="E29122" i="1" s="1"/>
  <c r="D29121" i="1"/>
  <c r="E29121" i="1" s="1"/>
  <c r="D29120" i="1"/>
  <c r="E29120" i="1" s="1"/>
  <c r="E29119" i="1"/>
  <c r="D29119" i="1"/>
  <c r="D29118" i="1"/>
  <c r="E29118" i="1" s="1"/>
  <c r="D29117" i="1"/>
  <c r="E29117" i="1" s="1"/>
  <c r="D29116" i="1"/>
  <c r="E29116" i="1" s="1"/>
  <c r="D29115" i="1"/>
  <c r="E29115" i="1" s="1"/>
  <c r="D29114" i="1"/>
  <c r="E29114" i="1" s="1"/>
  <c r="D29113" i="1"/>
  <c r="E29113" i="1" s="1"/>
  <c r="D29112" i="1"/>
  <c r="E29112" i="1" s="1"/>
  <c r="D29111" i="1"/>
  <c r="E29111" i="1" s="1"/>
  <c r="D29110" i="1"/>
  <c r="E29110" i="1" s="1"/>
  <c r="D29109" i="1"/>
  <c r="E29109" i="1" s="1"/>
  <c r="D29108" i="1"/>
  <c r="E29108" i="1" s="1"/>
  <c r="D29107" i="1"/>
  <c r="E29107" i="1" s="1"/>
  <c r="D29106" i="1"/>
  <c r="E29106" i="1" s="1"/>
  <c r="D29105" i="1"/>
  <c r="E29105" i="1" s="1"/>
  <c r="D29104" i="1"/>
  <c r="E29104" i="1" s="1"/>
  <c r="D29103" i="1"/>
  <c r="E29103" i="1" s="1"/>
  <c r="D29102" i="1"/>
  <c r="E29102" i="1" s="1"/>
  <c r="D29101" i="1"/>
  <c r="E29101" i="1" s="1"/>
  <c r="D29100" i="1"/>
  <c r="E29100" i="1" s="1"/>
  <c r="D29099" i="1"/>
  <c r="E29099" i="1" s="1"/>
  <c r="D29098" i="1"/>
  <c r="E29098" i="1" s="1"/>
  <c r="D29097" i="1"/>
  <c r="E29097" i="1" s="1"/>
  <c r="D29096" i="1"/>
  <c r="E29096" i="1" s="1"/>
  <c r="D29095" i="1"/>
  <c r="E29095" i="1" s="1"/>
  <c r="D29094" i="1"/>
  <c r="E29094" i="1" s="1"/>
  <c r="E29093" i="1"/>
  <c r="D29093" i="1"/>
  <c r="D29092" i="1"/>
  <c r="E29092" i="1" s="1"/>
  <c r="D29091" i="1"/>
  <c r="E29091" i="1" s="1"/>
  <c r="D29090" i="1"/>
  <c r="E29090" i="1" s="1"/>
  <c r="D29089" i="1"/>
  <c r="E29089" i="1" s="1"/>
  <c r="D29088" i="1"/>
  <c r="E29088" i="1" s="1"/>
  <c r="D29087" i="1"/>
  <c r="E29087" i="1" s="1"/>
  <c r="D29086" i="1"/>
  <c r="E29086" i="1" s="1"/>
  <c r="D29085" i="1"/>
  <c r="E29085" i="1" s="1"/>
  <c r="D29084" i="1"/>
  <c r="E29084" i="1" s="1"/>
  <c r="E29083" i="1"/>
  <c r="D29083" i="1"/>
  <c r="D29082" i="1"/>
  <c r="E29082" i="1" s="1"/>
  <c r="D29081" i="1"/>
  <c r="E29081" i="1" s="1"/>
  <c r="D29080" i="1"/>
  <c r="E29080" i="1" s="1"/>
  <c r="D29079" i="1"/>
  <c r="E29079" i="1" s="1"/>
  <c r="D29078" i="1"/>
  <c r="E29078" i="1" s="1"/>
  <c r="D29077" i="1"/>
  <c r="E29077" i="1" s="1"/>
  <c r="D29076" i="1"/>
  <c r="E29076" i="1" s="1"/>
  <c r="D29075" i="1"/>
  <c r="E29075" i="1" s="1"/>
  <c r="D29074" i="1"/>
  <c r="E29074" i="1" s="1"/>
  <c r="D29073" i="1"/>
  <c r="E29073" i="1" s="1"/>
  <c r="D29072" i="1"/>
  <c r="E29072" i="1" s="1"/>
  <c r="D29071" i="1"/>
  <c r="E29071" i="1" s="1"/>
  <c r="D29070" i="1"/>
  <c r="E29070" i="1" s="1"/>
  <c r="D29069" i="1"/>
  <c r="E29069" i="1" s="1"/>
  <c r="D29068" i="1"/>
  <c r="E29068" i="1" s="1"/>
  <c r="D29067" i="1"/>
  <c r="E29067" i="1" s="1"/>
  <c r="D29066" i="1"/>
  <c r="E29066" i="1" s="1"/>
  <c r="D29065" i="1"/>
  <c r="E29065" i="1" s="1"/>
  <c r="D29064" i="1"/>
  <c r="E29064" i="1" s="1"/>
  <c r="D29063" i="1"/>
  <c r="E29063" i="1" s="1"/>
  <c r="D29062" i="1"/>
  <c r="E29062" i="1" s="1"/>
  <c r="D29061" i="1"/>
  <c r="E29061" i="1" s="1"/>
  <c r="D29060" i="1"/>
  <c r="E29060" i="1" s="1"/>
  <c r="E29059" i="1"/>
  <c r="D29059" i="1"/>
  <c r="D29058" i="1"/>
  <c r="E29058" i="1" s="1"/>
  <c r="D29057" i="1"/>
  <c r="E29057" i="1" s="1"/>
  <c r="D29056" i="1"/>
  <c r="E29056" i="1" s="1"/>
  <c r="D29055" i="1"/>
  <c r="E29055" i="1" s="1"/>
  <c r="D29054" i="1"/>
  <c r="E29054" i="1" s="1"/>
  <c r="D29053" i="1"/>
  <c r="E29053" i="1" s="1"/>
  <c r="D29052" i="1"/>
  <c r="E29052" i="1" s="1"/>
  <c r="D29051" i="1"/>
  <c r="E29051" i="1" s="1"/>
  <c r="D29050" i="1"/>
  <c r="E29050" i="1" s="1"/>
  <c r="D29049" i="1"/>
  <c r="E29049" i="1" s="1"/>
  <c r="D29048" i="1"/>
  <c r="E29048" i="1" s="1"/>
  <c r="E29047" i="1"/>
  <c r="D29047" i="1"/>
  <c r="D29046" i="1"/>
  <c r="E29046" i="1" s="1"/>
  <c r="D29045" i="1"/>
  <c r="E29045" i="1" s="1"/>
  <c r="D29044" i="1"/>
  <c r="E29044" i="1" s="1"/>
  <c r="D29043" i="1"/>
  <c r="E29043" i="1" s="1"/>
  <c r="D29042" i="1"/>
  <c r="E29042" i="1" s="1"/>
  <c r="D29041" i="1"/>
  <c r="E29041" i="1" s="1"/>
  <c r="D29040" i="1"/>
  <c r="E29040" i="1" s="1"/>
  <c r="D29039" i="1"/>
  <c r="E29039" i="1" s="1"/>
  <c r="D29038" i="1"/>
  <c r="E29038" i="1" s="1"/>
  <c r="D29037" i="1"/>
  <c r="E29037" i="1" s="1"/>
  <c r="D29036" i="1"/>
  <c r="E29036" i="1" s="1"/>
  <c r="D29035" i="1"/>
  <c r="E29035" i="1" s="1"/>
  <c r="D29034" i="1"/>
  <c r="E29034" i="1" s="1"/>
  <c r="D29033" i="1"/>
  <c r="E29033" i="1" s="1"/>
  <c r="D29032" i="1"/>
  <c r="E29032" i="1" s="1"/>
  <c r="D29031" i="1"/>
  <c r="E29031" i="1" s="1"/>
  <c r="D29030" i="1"/>
  <c r="E29030" i="1" s="1"/>
  <c r="D29029" i="1"/>
  <c r="E29029" i="1" s="1"/>
  <c r="D29028" i="1"/>
  <c r="E29028" i="1" s="1"/>
  <c r="D29027" i="1"/>
  <c r="E29027" i="1" s="1"/>
  <c r="D29026" i="1"/>
  <c r="E29026" i="1" s="1"/>
  <c r="D29025" i="1"/>
  <c r="E29025" i="1" s="1"/>
  <c r="D29024" i="1"/>
  <c r="E29024" i="1" s="1"/>
  <c r="E29023" i="1"/>
  <c r="D29023" i="1"/>
  <c r="D29022" i="1"/>
  <c r="E29022" i="1" s="1"/>
  <c r="D29021" i="1"/>
  <c r="E29021" i="1" s="1"/>
  <c r="D29020" i="1"/>
  <c r="E29020" i="1" s="1"/>
  <c r="D29019" i="1"/>
  <c r="E29019" i="1" s="1"/>
  <c r="D29018" i="1"/>
  <c r="E29018" i="1" s="1"/>
  <c r="D29017" i="1"/>
  <c r="E29017" i="1" s="1"/>
  <c r="D29016" i="1"/>
  <c r="E29016" i="1" s="1"/>
  <c r="D29015" i="1"/>
  <c r="E29015" i="1" s="1"/>
  <c r="D29014" i="1"/>
  <c r="E29014" i="1" s="1"/>
  <c r="D29013" i="1"/>
  <c r="E29013" i="1" s="1"/>
  <c r="E29012" i="1"/>
  <c r="D29012" i="1"/>
  <c r="D29011" i="1"/>
  <c r="E29011" i="1" s="1"/>
  <c r="D29010" i="1"/>
  <c r="E29010" i="1" s="1"/>
  <c r="D29009" i="1"/>
  <c r="E29009" i="1" s="1"/>
  <c r="D29008" i="1"/>
  <c r="E29008" i="1" s="1"/>
  <c r="D29007" i="1"/>
  <c r="E29007" i="1" s="1"/>
  <c r="D29006" i="1"/>
  <c r="E29006" i="1" s="1"/>
  <c r="D29005" i="1"/>
  <c r="E29005" i="1" s="1"/>
  <c r="D29004" i="1"/>
  <c r="E29004" i="1" s="1"/>
  <c r="D29003" i="1"/>
  <c r="E29003" i="1" s="1"/>
  <c r="D29002" i="1"/>
  <c r="E29002" i="1" s="1"/>
  <c r="D29001" i="1"/>
  <c r="E29001" i="1" s="1"/>
  <c r="D29000" i="1"/>
  <c r="E29000" i="1" s="1"/>
  <c r="D28999" i="1"/>
  <c r="E28999" i="1" s="1"/>
  <c r="D28998" i="1"/>
  <c r="E28998" i="1" s="1"/>
  <c r="E28997" i="1"/>
  <c r="D28997" i="1"/>
  <c r="D28996" i="1"/>
  <c r="E28996" i="1" s="1"/>
  <c r="D28995" i="1"/>
  <c r="E28995" i="1" s="1"/>
  <c r="D28994" i="1"/>
  <c r="E28994" i="1" s="1"/>
  <c r="D28993" i="1"/>
  <c r="E28993" i="1" s="1"/>
  <c r="D28992" i="1"/>
  <c r="E28992" i="1" s="1"/>
  <c r="D28991" i="1"/>
  <c r="E28991" i="1" s="1"/>
  <c r="E28990" i="1"/>
  <c r="D28990" i="1"/>
  <c r="D28989" i="1"/>
  <c r="E28989" i="1" s="1"/>
  <c r="D28988" i="1"/>
  <c r="E28988" i="1" s="1"/>
  <c r="D28987" i="1"/>
  <c r="E28987" i="1" s="1"/>
  <c r="D28986" i="1"/>
  <c r="E28986" i="1" s="1"/>
  <c r="D28985" i="1"/>
  <c r="E28985" i="1" s="1"/>
  <c r="D28984" i="1"/>
  <c r="E28984" i="1" s="1"/>
  <c r="D28983" i="1"/>
  <c r="E28983" i="1" s="1"/>
  <c r="D28982" i="1"/>
  <c r="E28982" i="1" s="1"/>
  <c r="D28981" i="1"/>
  <c r="E28981" i="1" s="1"/>
  <c r="D28980" i="1"/>
  <c r="E28980" i="1" s="1"/>
  <c r="D28979" i="1"/>
  <c r="E28979" i="1" s="1"/>
  <c r="D28978" i="1"/>
  <c r="E28978" i="1" s="1"/>
  <c r="D28977" i="1"/>
  <c r="E28977" i="1" s="1"/>
  <c r="D28976" i="1"/>
  <c r="E28976" i="1" s="1"/>
  <c r="E28975" i="1"/>
  <c r="D28975" i="1"/>
  <c r="D28974" i="1"/>
  <c r="E28974" i="1" s="1"/>
  <c r="D28973" i="1"/>
  <c r="E28973" i="1" s="1"/>
  <c r="D28972" i="1"/>
  <c r="E28972" i="1" s="1"/>
  <c r="D28971" i="1"/>
  <c r="E28971" i="1" s="1"/>
  <c r="D28970" i="1"/>
  <c r="E28970" i="1" s="1"/>
  <c r="D28969" i="1"/>
  <c r="E28969" i="1" s="1"/>
  <c r="D28968" i="1"/>
  <c r="E28968" i="1" s="1"/>
  <c r="D28967" i="1"/>
  <c r="E28967" i="1" s="1"/>
  <c r="D28966" i="1"/>
  <c r="E28966" i="1" s="1"/>
  <c r="D28965" i="1"/>
  <c r="E28965" i="1" s="1"/>
  <c r="E28964" i="1"/>
  <c r="D28964" i="1"/>
  <c r="D28963" i="1"/>
  <c r="E28963" i="1" s="1"/>
  <c r="D28962" i="1"/>
  <c r="E28962" i="1" s="1"/>
  <c r="D28961" i="1"/>
  <c r="E28961" i="1" s="1"/>
  <c r="D28960" i="1"/>
  <c r="E28960" i="1" s="1"/>
  <c r="D28959" i="1"/>
  <c r="E28959" i="1" s="1"/>
  <c r="D28958" i="1"/>
  <c r="E28958" i="1" s="1"/>
  <c r="D28957" i="1"/>
  <c r="E28957" i="1" s="1"/>
  <c r="D28956" i="1"/>
  <c r="E28956" i="1" s="1"/>
  <c r="D28955" i="1"/>
  <c r="E28955" i="1" s="1"/>
  <c r="D28954" i="1"/>
  <c r="E28954" i="1" s="1"/>
  <c r="D28953" i="1"/>
  <c r="E28953" i="1" s="1"/>
  <c r="D28952" i="1"/>
  <c r="E28952" i="1" s="1"/>
  <c r="D28951" i="1"/>
  <c r="E28951" i="1" s="1"/>
  <c r="D28950" i="1"/>
  <c r="E28950" i="1" s="1"/>
  <c r="E28949" i="1"/>
  <c r="D28949" i="1"/>
  <c r="D28948" i="1"/>
  <c r="E28948" i="1" s="1"/>
  <c r="D28947" i="1"/>
  <c r="E28947" i="1" s="1"/>
  <c r="D28946" i="1"/>
  <c r="E28946" i="1" s="1"/>
  <c r="D28945" i="1"/>
  <c r="E28945" i="1" s="1"/>
  <c r="D28944" i="1"/>
  <c r="E28944" i="1" s="1"/>
  <c r="D28943" i="1"/>
  <c r="E28943" i="1" s="1"/>
  <c r="E28942" i="1"/>
  <c r="D28942" i="1"/>
  <c r="D28941" i="1"/>
  <c r="E28941" i="1" s="1"/>
  <c r="D28940" i="1"/>
  <c r="E28940" i="1" s="1"/>
  <c r="D28939" i="1"/>
  <c r="E28939" i="1" s="1"/>
  <c r="D28938" i="1"/>
  <c r="E28938" i="1" s="1"/>
  <c r="D28937" i="1"/>
  <c r="E28937" i="1" s="1"/>
  <c r="D28936" i="1"/>
  <c r="E28936" i="1" s="1"/>
  <c r="D28935" i="1"/>
  <c r="E28935" i="1" s="1"/>
  <c r="D28934" i="1"/>
  <c r="E28934" i="1" s="1"/>
  <c r="D28933" i="1"/>
  <c r="E28933" i="1" s="1"/>
  <c r="D28932" i="1"/>
  <c r="E28932" i="1" s="1"/>
  <c r="D28931" i="1"/>
  <c r="E28931" i="1" s="1"/>
  <c r="D28930" i="1"/>
  <c r="E28930" i="1" s="1"/>
  <c r="D28929" i="1"/>
  <c r="E28929" i="1" s="1"/>
  <c r="D28928" i="1"/>
  <c r="E28928" i="1" s="1"/>
  <c r="E28927" i="1"/>
  <c r="D28927" i="1"/>
  <c r="D28926" i="1"/>
  <c r="E28926" i="1" s="1"/>
  <c r="D28925" i="1"/>
  <c r="E28925" i="1" s="1"/>
  <c r="D28924" i="1"/>
  <c r="E28924" i="1" s="1"/>
  <c r="D28923" i="1"/>
  <c r="E28923" i="1" s="1"/>
  <c r="D28922" i="1"/>
  <c r="E28922" i="1" s="1"/>
  <c r="D28921" i="1"/>
  <c r="E28921" i="1" s="1"/>
  <c r="D28920" i="1"/>
  <c r="E28920" i="1" s="1"/>
  <c r="D28919" i="1"/>
  <c r="E28919" i="1" s="1"/>
  <c r="D28918" i="1"/>
  <c r="E28918" i="1" s="1"/>
  <c r="D28917" i="1"/>
  <c r="E28917" i="1" s="1"/>
  <c r="E28916" i="1"/>
  <c r="D28916" i="1"/>
  <c r="D28915" i="1"/>
  <c r="E28915" i="1" s="1"/>
  <c r="D28914" i="1"/>
  <c r="E28914" i="1" s="1"/>
  <c r="D28913" i="1"/>
  <c r="E28913" i="1" s="1"/>
  <c r="D28912" i="1"/>
  <c r="E28912" i="1" s="1"/>
  <c r="D28911" i="1"/>
  <c r="E28911" i="1" s="1"/>
  <c r="D28910" i="1"/>
  <c r="E28910" i="1" s="1"/>
  <c r="D28909" i="1"/>
  <c r="E28909" i="1" s="1"/>
  <c r="D28908" i="1"/>
  <c r="E28908" i="1" s="1"/>
  <c r="D28907" i="1"/>
  <c r="E28907" i="1" s="1"/>
  <c r="D28906" i="1"/>
  <c r="E28906" i="1" s="1"/>
  <c r="D28905" i="1"/>
  <c r="E28905" i="1" s="1"/>
  <c r="D28904" i="1"/>
  <c r="E28904" i="1" s="1"/>
  <c r="D28903" i="1"/>
  <c r="E28903" i="1" s="1"/>
  <c r="D28902" i="1"/>
  <c r="E28902" i="1" s="1"/>
  <c r="E28901" i="1"/>
  <c r="D28901" i="1"/>
  <c r="D28900" i="1"/>
  <c r="E28900" i="1" s="1"/>
  <c r="D28899" i="1"/>
  <c r="E28899" i="1" s="1"/>
  <c r="D28898" i="1"/>
  <c r="E28898" i="1" s="1"/>
  <c r="D28897" i="1"/>
  <c r="E28897" i="1" s="1"/>
  <c r="D28896" i="1"/>
  <c r="E28896" i="1" s="1"/>
  <c r="D28895" i="1"/>
  <c r="E28895" i="1" s="1"/>
  <c r="E28894" i="1"/>
  <c r="D28894" i="1"/>
  <c r="D28893" i="1"/>
  <c r="E28893" i="1" s="1"/>
  <c r="D28892" i="1"/>
  <c r="E28892" i="1" s="1"/>
  <c r="D28891" i="1"/>
  <c r="E28891" i="1" s="1"/>
  <c r="D28890" i="1"/>
  <c r="E28890" i="1" s="1"/>
  <c r="D28889" i="1"/>
  <c r="E28889" i="1" s="1"/>
  <c r="D28888" i="1"/>
  <c r="E28888" i="1" s="1"/>
  <c r="D28887" i="1"/>
  <c r="E28887" i="1" s="1"/>
  <c r="D28886" i="1"/>
  <c r="E28886" i="1" s="1"/>
  <c r="D28885" i="1"/>
  <c r="E28885" i="1" s="1"/>
  <c r="D28884" i="1"/>
  <c r="E28884" i="1" s="1"/>
  <c r="D28883" i="1"/>
  <c r="E28883" i="1" s="1"/>
  <c r="D28882" i="1"/>
  <c r="E28882" i="1" s="1"/>
  <c r="D28881" i="1"/>
  <c r="E28881" i="1" s="1"/>
  <c r="D28880" i="1"/>
  <c r="E28880" i="1" s="1"/>
  <c r="E28879" i="1"/>
  <c r="D28879" i="1"/>
  <c r="D28878" i="1"/>
  <c r="E28878" i="1" s="1"/>
  <c r="D28877" i="1"/>
  <c r="E28877" i="1" s="1"/>
  <c r="D28876" i="1"/>
  <c r="E28876" i="1" s="1"/>
  <c r="D28875" i="1"/>
  <c r="E28875" i="1" s="1"/>
  <c r="D28874" i="1"/>
  <c r="E28874" i="1" s="1"/>
  <c r="D28873" i="1"/>
  <c r="E28873" i="1" s="1"/>
  <c r="D28872" i="1"/>
  <c r="E28872" i="1" s="1"/>
  <c r="D28871" i="1"/>
  <c r="E28871" i="1" s="1"/>
  <c r="E28870" i="1"/>
  <c r="D28870" i="1"/>
  <c r="D28869" i="1"/>
  <c r="E28869" i="1" s="1"/>
  <c r="E28868" i="1"/>
  <c r="D28868" i="1"/>
  <c r="E28867" i="1"/>
  <c r="D28867" i="1"/>
  <c r="E28866" i="1"/>
  <c r="D28866" i="1"/>
  <c r="D28865" i="1"/>
  <c r="E28865" i="1" s="1"/>
  <c r="D28864" i="1"/>
  <c r="E28864" i="1" s="1"/>
  <c r="D28863" i="1"/>
  <c r="E28863" i="1" s="1"/>
  <c r="D28862" i="1"/>
  <c r="E28862" i="1" s="1"/>
  <c r="D28861" i="1"/>
  <c r="E28861" i="1" s="1"/>
  <c r="E28860" i="1"/>
  <c r="D28860" i="1"/>
  <c r="E28859" i="1"/>
  <c r="D28859" i="1"/>
  <c r="E28858" i="1"/>
  <c r="D28858" i="1"/>
  <c r="D28857" i="1"/>
  <c r="E28857" i="1" s="1"/>
  <c r="E28856" i="1"/>
  <c r="D28856" i="1"/>
  <c r="D28855" i="1"/>
  <c r="E28855" i="1" s="1"/>
  <c r="E28854" i="1"/>
  <c r="D28854" i="1"/>
  <c r="E28853" i="1"/>
  <c r="D28853" i="1"/>
  <c r="D28852" i="1"/>
  <c r="E28852" i="1" s="1"/>
  <c r="D28851" i="1"/>
  <c r="E28851" i="1" s="1"/>
  <c r="D28850" i="1"/>
  <c r="E28850" i="1" s="1"/>
  <c r="D28849" i="1"/>
  <c r="E28849" i="1" s="1"/>
  <c r="D28848" i="1"/>
  <c r="E28848" i="1" s="1"/>
  <c r="D28847" i="1"/>
  <c r="E28847" i="1" s="1"/>
  <c r="E28846" i="1"/>
  <c r="D28846" i="1"/>
  <c r="E28845" i="1"/>
  <c r="D28845" i="1"/>
  <c r="E28844" i="1"/>
  <c r="D28844" i="1"/>
  <c r="D28843" i="1"/>
  <c r="E28843" i="1" s="1"/>
  <c r="E28842" i="1"/>
  <c r="D28842" i="1"/>
  <c r="D28841" i="1"/>
  <c r="E28841" i="1" s="1"/>
  <c r="D28840" i="1"/>
  <c r="E28840" i="1" s="1"/>
  <c r="D28839" i="1"/>
  <c r="E28839" i="1" s="1"/>
  <c r="D28838" i="1"/>
  <c r="E28838" i="1" s="1"/>
  <c r="D28837" i="1"/>
  <c r="E28837" i="1" s="1"/>
  <c r="E28836" i="1"/>
  <c r="D28836" i="1"/>
  <c r="D28835" i="1"/>
  <c r="E28835" i="1" s="1"/>
  <c r="D28834" i="1"/>
  <c r="E28834" i="1" s="1"/>
  <c r="D28833" i="1"/>
  <c r="E28833" i="1" s="1"/>
  <c r="E28832" i="1"/>
  <c r="D28832" i="1"/>
  <c r="E28831" i="1"/>
  <c r="D28831" i="1"/>
  <c r="E28830" i="1"/>
  <c r="D28830" i="1"/>
  <c r="D28829" i="1"/>
  <c r="E28829" i="1" s="1"/>
  <c r="D28828" i="1"/>
  <c r="E28828" i="1" s="1"/>
  <c r="D28827" i="1"/>
  <c r="E28827" i="1" s="1"/>
  <c r="D28826" i="1"/>
  <c r="E28826" i="1" s="1"/>
  <c r="D28825" i="1"/>
  <c r="E28825" i="1" s="1"/>
  <c r="E28824" i="1"/>
  <c r="D28824" i="1"/>
  <c r="E28823" i="1"/>
  <c r="D28823" i="1"/>
  <c r="E28822" i="1"/>
  <c r="D28822" i="1"/>
  <c r="D28821" i="1"/>
  <c r="E28821" i="1" s="1"/>
  <c r="D28820" i="1"/>
  <c r="E28820" i="1" s="1"/>
  <c r="D28819" i="1"/>
  <c r="E28819" i="1" s="1"/>
  <c r="E28818" i="1"/>
  <c r="D28818" i="1"/>
  <c r="E28817" i="1"/>
  <c r="D28817" i="1"/>
  <c r="D28816" i="1"/>
  <c r="E28816" i="1" s="1"/>
  <c r="D28815" i="1"/>
  <c r="E28815" i="1" s="1"/>
  <c r="D28814" i="1"/>
  <c r="E28814" i="1" s="1"/>
  <c r="D28813" i="1"/>
  <c r="E28813" i="1" s="1"/>
  <c r="E28812" i="1"/>
  <c r="D28812" i="1"/>
  <c r="D28811" i="1"/>
  <c r="E28811" i="1" s="1"/>
  <c r="E28810" i="1"/>
  <c r="D28810" i="1"/>
  <c r="E28809" i="1"/>
  <c r="D28809" i="1"/>
  <c r="E28808" i="1"/>
  <c r="D28808" i="1"/>
  <c r="D28807" i="1"/>
  <c r="E28807" i="1" s="1"/>
  <c r="D28806" i="1"/>
  <c r="E28806" i="1" s="1"/>
  <c r="D28805" i="1"/>
  <c r="E28805" i="1" s="1"/>
  <c r="D28804" i="1"/>
  <c r="E28804" i="1" s="1"/>
  <c r="D28803" i="1"/>
  <c r="E28803" i="1" s="1"/>
  <c r="D28802" i="1"/>
  <c r="E28802" i="1" s="1"/>
  <c r="D28801" i="1"/>
  <c r="E28801" i="1" s="1"/>
  <c r="E28800" i="1"/>
  <c r="D28800" i="1"/>
  <c r="D28799" i="1"/>
  <c r="E28799" i="1" s="1"/>
  <c r="E28798" i="1"/>
  <c r="D28798" i="1"/>
  <c r="D28797" i="1"/>
  <c r="E28797" i="1" s="1"/>
  <c r="E28796" i="1"/>
  <c r="D28796" i="1"/>
  <c r="E28795" i="1"/>
  <c r="D28795" i="1"/>
  <c r="E28794" i="1"/>
  <c r="D28794" i="1"/>
  <c r="D28793" i="1"/>
  <c r="E28793" i="1" s="1"/>
  <c r="D28792" i="1"/>
  <c r="E28792" i="1" s="1"/>
  <c r="D28791" i="1"/>
  <c r="E28791" i="1" s="1"/>
  <c r="D28790" i="1"/>
  <c r="E28790" i="1" s="1"/>
  <c r="D28789" i="1"/>
  <c r="E28789" i="1" s="1"/>
  <c r="E28788" i="1"/>
  <c r="D28788" i="1"/>
  <c r="E28787" i="1"/>
  <c r="D28787" i="1"/>
  <c r="E28786" i="1"/>
  <c r="D28786" i="1"/>
  <c r="D28785" i="1"/>
  <c r="E28785" i="1" s="1"/>
  <c r="E28784" i="1"/>
  <c r="D28784" i="1"/>
  <c r="D28783" i="1"/>
  <c r="E28783" i="1" s="1"/>
  <c r="E28782" i="1"/>
  <c r="D28782" i="1"/>
  <c r="E28781" i="1"/>
  <c r="D28781" i="1"/>
  <c r="D28780" i="1"/>
  <c r="E28780" i="1" s="1"/>
  <c r="D28779" i="1"/>
  <c r="E28779" i="1" s="1"/>
  <c r="D28778" i="1"/>
  <c r="E28778" i="1" s="1"/>
  <c r="D28777" i="1"/>
  <c r="E28777" i="1" s="1"/>
  <c r="D28776" i="1"/>
  <c r="E28776" i="1" s="1"/>
  <c r="D28775" i="1"/>
  <c r="E28775" i="1" s="1"/>
  <c r="E28774" i="1"/>
  <c r="D28774" i="1"/>
  <c r="E28773" i="1"/>
  <c r="D28773" i="1"/>
  <c r="E28772" i="1"/>
  <c r="D28772" i="1"/>
  <c r="D28771" i="1"/>
  <c r="E28771" i="1" s="1"/>
  <c r="E28770" i="1"/>
  <c r="D28770" i="1"/>
  <c r="D28769" i="1"/>
  <c r="E28769" i="1" s="1"/>
  <c r="D28768" i="1"/>
  <c r="E28768" i="1" s="1"/>
  <c r="D28767" i="1"/>
  <c r="E28767" i="1" s="1"/>
  <c r="E28766" i="1"/>
  <c r="D28766" i="1"/>
  <c r="D28765" i="1"/>
  <c r="E28765" i="1" s="1"/>
  <c r="D28764" i="1"/>
  <c r="E28764" i="1" s="1"/>
  <c r="E28763" i="1"/>
  <c r="D28763" i="1"/>
  <c r="D28762" i="1"/>
  <c r="E28762" i="1" s="1"/>
  <c r="D28761" i="1"/>
  <c r="E28761" i="1" s="1"/>
  <c r="D28760" i="1"/>
  <c r="E28760" i="1" s="1"/>
  <c r="D28759" i="1"/>
  <c r="E28759" i="1" s="1"/>
  <c r="D28758" i="1"/>
  <c r="E28758" i="1" s="1"/>
  <c r="D28757" i="1"/>
  <c r="E28757" i="1" s="1"/>
  <c r="D28756" i="1"/>
  <c r="E28756" i="1" s="1"/>
  <c r="D28755" i="1"/>
  <c r="E28755" i="1" s="1"/>
  <c r="E28754" i="1"/>
  <c r="D28754" i="1"/>
  <c r="D28753" i="1"/>
  <c r="E28753" i="1" s="1"/>
  <c r="E28752" i="1"/>
  <c r="D28752" i="1"/>
  <c r="E28751" i="1"/>
  <c r="D28751" i="1"/>
  <c r="D28750" i="1"/>
  <c r="E28750" i="1" s="1"/>
  <c r="D28749" i="1"/>
  <c r="E28749" i="1" s="1"/>
  <c r="D28748" i="1"/>
  <c r="E28748" i="1" s="1"/>
  <c r="E28747" i="1"/>
  <c r="D28747" i="1"/>
  <c r="E28746" i="1"/>
  <c r="D28746" i="1"/>
  <c r="E28745" i="1"/>
  <c r="D28745" i="1"/>
  <c r="D28744" i="1"/>
  <c r="E28744" i="1" s="1"/>
  <c r="D28743" i="1"/>
  <c r="E28743" i="1" s="1"/>
  <c r="D28742" i="1"/>
  <c r="E28742" i="1" s="1"/>
  <c r="D28741" i="1"/>
  <c r="E28741" i="1" s="1"/>
  <c r="E28740" i="1"/>
  <c r="D28740" i="1"/>
  <c r="D28739" i="1"/>
  <c r="E28739" i="1" s="1"/>
  <c r="D28738" i="1"/>
  <c r="E28738" i="1" s="1"/>
  <c r="D28737" i="1"/>
  <c r="E28737" i="1" s="1"/>
  <c r="E28736" i="1"/>
  <c r="D28736" i="1"/>
  <c r="D28735" i="1"/>
  <c r="E28735" i="1" s="1"/>
  <c r="D28734" i="1"/>
  <c r="E28734" i="1" s="1"/>
  <c r="D28733" i="1"/>
  <c r="E28733" i="1" s="1"/>
  <c r="D28732" i="1"/>
  <c r="E28732" i="1" s="1"/>
  <c r="D28731" i="1"/>
  <c r="E28731" i="1" s="1"/>
  <c r="D28730" i="1"/>
  <c r="E28730" i="1" s="1"/>
  <c r="D28729" i="1"/>
  <c r="E28729" i="1" s="1"/>
  <c r="D28728" i="1"/>
  <c r="E28728" i="1" s="1"/>
  <c r="D28727" i="1"/>
  <c r="E28727" i="1" s="1"/>
  <c r="E28726" i="1"/>
  <c r="D28726" i="1"/>
  <c r="E28725" i="1"/>
  <c r="D28725" i="1"/>
  <c r="E28724" i="1"/>
  <c r="D28724" i="1"/>
  <c r="D28723" i="1"/>
  <c r="E28723" i="1" s="1"/>
  <c r="D28722" i="1"/>
  <c r="E28722" i="1" s="1"/>
  <c r="D28721" i="1"/>
  <c r="E28721" i="1" s="1"/>
  <c r="D28720" i="1"/>
  <c r="E28720" i="1" s="1"/>
  <c r="D28719" i="1"/>
  <c r="E28719" i="1" s="1"/>
  <c r="E28718" i="1"/>
  <c r="D28718" i="1"/>
  <c r="D28717" i="1"/>
  <c r="E28717" i="1" s="1"/>
  <c r="D28716" i="1"/>
  <c r="E28716" i="1" s="1"/>
  <c r="E28715" i="1"/>
  <c r="D28715" i="1"/>
  <c r="D28714" i="1"/>
  <c r="E28714" i="1" s="1"/>
  <c r="E28713" i="1"/>
  <c r="D28713" i="1"/>
  <c r="D28712" i="1"/>
  <c r="E28712" i="1" s="1"/>
  <c r="D28711" i="1"/>
  <c r="E28711" i="1" s="1"/>
  <c r="D28710" i="1"/>
  <c r="E28710" i="1" s="1"/>
  <c r="E28709" i="1"/>
  <c r="D28709" i="1"/>
  <c r="D28708" i="1"/>
  <c r="E28708" i="1" s="1"/>
  <c r="D28707" i="1"/>
  <c r="E28707" i="1" s="1"/>
  <c r="D28706" i="1"/>
  <c r="E28706" i="1" s="1"/>
  <c r="D28705" i="1"/>
  <c r="E28705" i="1" s="1"/>
  <c r="E28704" i="1"/>
  <c r="D28704" i="1"/>
  <c r="E28703" i="1"/>
  <c r="D28703" i="1"/>
  <c r="D28702" i="1"/>
  <c r="E28702" i="1" s="1"/>
  <c r="D28701" i="1"/>
  <c r="E28701" i="1" s="1"/>
  <c r="D28700" i="1"/>
  <c r="E28700" i="1" s="1"/>
  <c r="E28699" i="1"/>
  <c r="D28699" i="1"/>
  <c r="E28698" i="1"/>
  <c r="D28698" i="1"/>
  <c r="E28697" i="1"/>
  <c r="D28697" i="1"/>
  <c r="D28696" i="1"/>
  <c r="E28696" i="1" s="1"/>
  <c r="D28695" i="1"/>
  <c r="E28695" i="1" s="1"/>
  <c r="D28694" i="1"/>
  <c r="E28694" i="1" s="1"/>
  <c r="D28693" i="1"/>
  <c r="E28693" i="1" s="1"/>
  <c r="D28692" i="1"/>
  <c r="E28692" i="1" s="1"/>
  <c r="D28691" i="1"/>
  <c r="E28691" i="1" s="1"/>
  <c r="D28690" i="1"/>
  <c r="E28690" i="1" s="1"/>
  <c r="E28689" i="1"/>
  <c r="D28689" i="1"/>
  <c r="D28688" i="1"/>
  <c r="E28688" i="1" s="1"/>
  <c r="E28687" i="1"/>
  <c r="D28687" i="1"/>
  <c r="D28686" i="1"/>
  <c r="E28686" i="1" s="1"/>
  <c r="D28685" i="1"/>
  <c r="E28685" i="1" s="1"/>
  <c r="D28684" i="1"/>
  <c r="E28684" i="1" s="1"/>
  <c r="E28683" i="1"/>
  <c r="D28683" i="1"/>
  <c r="D28682" i="1"/>
  <c r="E28682" i="1" s="1"/>
  <c r="D28681" i="1"/>
  <c r="E28681" i="1" s="1"/>
  <c r="E28680" i="1"/>
  <c r="D28680" i="1"/>
  <c r="E28679" i="1"/>
  <c r="D28679" i="1"/>
  <c r="E28678" i="1"/>
  <c r="D28678" i="1"/>
  <c r="D28677" i="1"/>
  <c r="E28677" i="1" s="1"/>
  <c r="D28676" i="1"/>
  <c r="E28676" i="1" s="1"/>
  <c r="D28675" i="1"/>
  <c r="E28675" i="1" s="1"/>
  <c r="E28674" i="1"/>
  <c r="D28674" i="1"/>
  <c r="E28673" i="1"/>
  <c r="D28673" i="1"/>
  <c r="E28672" i="1"/>
  <c r="D28672" i="1"/>
  <c r="D28671" i="1"/>
  <c r="E28671" i="1" s="1"/>
  <c r="D28670" i="1"/>
  <c r="E28670" i="1" s="1"/>
  <c r="D28669" i="1"/>
  <c r="E28669" i="1" s="1"/>
  <c r="D28668" i="1"/>
  <c r="E28668" i="1" s="1"/>
  <c r="D28667" i="1"/>
  <c r="E28667" i="1" s="1"/>
  <c r="D28666" i="1"/>
  <c r="E28666" i="1" s="1"/>
  <c r="D28665" i="1"/>
  <c r="E28665" i="1" s="1"/>
  <c r="E28664" i="1"/>
  <c r="D28664" i="1"/>
  <c r="D28663" i="1"/>
  <c r="E28663" i="1" s="1"/>
  <c r="E28662" i="1"/>
  <c r="D28662" i="1"/>
  <c r="D28661" i="1"/>
  <c r="E28661" i="1" s="1"/>
  <c r="D28660" i="1"/>
  <c r="E28660" i="1" s="1"/>
  <c r="D28659" i="1"/>
  <c r="E28659" i="1" s="1"/>
  <c r="E28658" i="1"/>
  <c r="D28658" i="1"/>
  <c r="D28657" i="1"/>
  <c r="E28657" i="1" s="1"/>
  <c r="D28656" i="1"/>
  <c r="E28656" i="1" s="1"/>
  <c r="E28655" i="1"/>
  <c r="D28655" i="1"/>
  <c r="E28654" i="1"/>
  <c r="D28654" i="1"/>
  <c r="E28653" i="1"/>
  <c r="D28653" i="1"/>
  <c r="D28652" i="1"/>
  <c r="E28652" i="1" s="1"/>
  <c r="D28651" i="1"/>
  <c r="E28651" i="1" s="1"/>
  <c r="D28650" i="1"/>
  <c r="E28650" i="1" s="1"/>
  <c r="E28649" i="1"/>
  <c r="D28649" i="1"/>
  <c r="E28648" i="1"/>
  <c r="D28648" i="1"/>
  <c r="E28647" i="1"/>
  <c r="D28647" i="1"/>
  <c r="D28646" i="1"/>
  <c r="E28646" i="1" s="1"/>
  <c r="D28645" i="1"/>
  <c r="E28645" i="1" s="1"/>
  <c r="D28644" i="1"/>
  <c r="E28644" i="1" s="1"/>
  <c r="D28643" i="1"/>
  <c r="E28643" i="1" s="1"/>
  <c r="D28642" i="1"/>
  <c r="E28642" i="1" s="1"/>
  <c r="D28641" i="1"/>
  <c r="E28641" i="1" s="1"/>
  <c r="D28640" i="1"/>
  <c r="E28640" i="1" s="1"/>
  <c r="E28639" i="1"/>
  <c r="D28639" i="1"/>
  <c r="D28638" i="1"/>
  <c r="E28638" i="1" s="1"/>
  <c r="E28637" i="1"/>
  <c r="D28637" i="1"/>
  <c r="D28636" i="1"/>
  <c r="E28636" i="1" s="1"/>
  <c r="D28635" i="1"/>
  <c r="E28635" i="1" s="1"/>
  <c r="D28634" i="1"/>
  <c r="E28634" i="1" s="1"/>
  <c r="D28633" i="1"/>
  <c r="E28633" i="1" s="1"/>
  <c r="D28632" i="1"/>
  <c r="E28632" i="1" s="1"/>
  <c r="D28631" i="1"/>
  <c r="E28631" i="1" s="1"/>
  <c r="E28630" i="1"/>
  <c r="D28630" i="1"/>
  <c r="E28629" i="1"/>
  <c r="D28629" i="1"/>
  <c r="E28628" i="1"/>
  <c r="D28628" i="1"/>
  <c r="D28627" i="1"/>
  <c r="E28627" i="1" s="1"/>
  <c r="D28626" i="1"/>
  <c r="E28626" i="1" s="1"/>
  <c r="D28625" i="1"/>
  <c r="E28625" i="1" s="1"/>
  <c r="E28624" i="1"/>
  <c r="D28624" i="1"/>
  <c r="E28623" i="1"/>
  <c r="D28623" i="1"/>
  <c r="E28622" i="1"/>
  <c r="D28622" i="1"/>
  <c r="D28621" i="1"/>
  <c r="E28621" i="1" s="1"/>
  <c r="D28620" i="1"/>
  <c r="E28620" i="1" s="1"/>
  <c r="D28619" i="1"/>
  <c r="E28619" i="1" s="1"/>
  <c r="E28618" i="1"/>
  <c r="D28618" i="1"/>
  <c r="E28617" i="1"/>
  <c r="D28617" i="1"/>
  <c r="E28616" i="1"/>
  <c r="D28616" i="1"/>
  <c r="D28615" i="1"/>
  <c r="E28615" i="1" s="1"/>
  <c r="D28614" i="1"/>
  <c r="E28614" i="1" s="1"/>
  <c r="D28613" i="1"/>
  <c r="E28613" i="1" s="1"/>
  <c r="E28612" i="1"/>
  <c r="D28612" i="1"/>
  <c r="E28611" i="1"/>
  <c r="D28611" i="1"/>
  <c r="E28610" i="1"/>
  <c r="D28610" i="1"/>
  <c r="D28609" i="1"/>
  <c r="E28609" i="1" s="1"/>
  <c r="D28608" i="1"/>
  <c r="E28608" i="1" s="1"/>
  <c r="D28607" i="1"/>
  <c r="E28607" i="1" s="1"/>
  <c r="E28606" i="1"/>
  <c r="D28606" i="1"/>
  <c r="E28605" i="1"/>
  <c r="D28605" i="1"/>
  <c r="E28604" i="1"/>
  <c r="D28604" i="1"/>
  <c r="D28603" i="1"/>
  <c r="E28603" i="1" s="1"/>
  <c r="D28602" i="1"/>
  <c r="E28602" i="1" s="1"/>
  <c r="D28601" i="1"/>
  <c r="E28601" i="1" s="1"/>
  <c r="E28600" i="1"/>
  <c r="D28600" i="1"/>
  <c r="E28599" i="1"/>
  <c r="D28599" i="1"/>
  <c r="E28598" i="1"/>
  <c r="D28598" i="1"/>
  <c r="D28597" i="1"/>
  <c r="E28597" i="1" s="1"/>
  <c r="D28596" i="1"/>
  <c r="E28596" i="1" s="1"/>
  <c r="D28595" i="1"/>
  <c r="E28595" i="1" s="1"/>
  <c r="E28594" i="1"/>
  <c r="D28594" i="1"/>
  <c r="E28593" i="1"/>
  <c r="D28593" i="1"/>
  <c r="E28592" i="1"/>
  <c r="D28592" i="1"/>
  <c r="D28591" i="1"/>
  <c r="E28591" i="1" s="1"/>
  <c r="D28590" i="1"/>
  <c r="E28590" i="1" s="1"/>
  <c r="D28589" i="1"/>
  <c r="E28589" i="1" s="1"/>
  <c r="E28588" i="1"/>
  <c r="D28588" i="1"/>
  <c r="E28587" i="1"/>
  <c r="D28587" i="1"/>
  <c r="E28586" i="1"/>
  <c r="D28586" i="1"/>
  <c r="D28585" i="1"/>
  <c r="E28585" i="1" s="1"/>
  <c r="D28584" i="1"/>
  <c r="E28584" i="1" s="1"/>
  <c r="D28583" i="1"/>
  <c r="E28583" i="1" s="1"/>
  <c r="E28582" i="1"/>
  <c r="D28582" i="1"/>
  <c r="E28581" i="1"/>
  <c r="D28581" i="1"/>
  <c r="E28580" i="1"/>
  <c r="D28580" i="1"/>
  <c r="D28579" i="1"/>
  <c r="E28579" i="1" s="1"/>
  <c r="D28578" i="1"/>
  <c r="E28578" i="1" s="1"/>
  <c r="D28577" i="1"/>
  <c r="E28577" i="1" s="1"/>
  <c r="E28576" i="1"/>
  <c r="D28576" i="1"/>
  <c r="E28575" i="1"/>
  <c r="D28575" i="1"/>
  <c r="E28574" i="1"/>
  <c r="D28574" i="1"/>
  <c r="D28573" i="1"/>
  <c r="E28573" i="1" s="1"/>
  <c r="D28572" i="1"/>
  <c r="E28572" i="1" s="1"/>
  <c r="D28571" i="1"/>
  <c r="E28571" i="1" s="1"/>
  <c r="E28570" i="1"/>
  <c r="D28570" i="1"/>
  <c r="E28569" i="1"/>
  <c r="D28569" i="1"/>
  <c r="E28568" i="1"/>
  <c r="D28568" i="1"/>
  <c r="D28567" i="1"/>
  <c r="E28567" i="1" s="1"/>
  <c r="D28566" i="1"/>
  <c r="E28566" i="1" s="1"/>
  <c r="D28565" i="1"/>
  <c r="E28565" i="1" s="1"/>
  <c r="E28564" i="1"/>
  <c r="D28564" i="1"/>
  <c r="E28563" i="1"/>
  <c r="D28563" i="1"/>
  <c r="E28562" i="1"/>
  <c r="D28562" i="1"/>
  <c r="D28561" i="1"/>
  <c r="E28561" i="1" s="1"/>
  <c r="D28560" i="1"/>
  <c r="E28560" i="1" s="1"/>
  <c r="D28559" i="1"/>
  <c r="E28559" i="1" s="1"/>
  <c r="E28558" i="1"/>
  <c r="D28558" i="1"/>
  <c r="E28557" i="1"/>
  <c r="D28557" i="1"/>
  <c r="E28556" i="1"/>
  <c r="D28556" i="1"/>
  <c r="D28555" i="1"/>
  <c r="E28555" i="1" s="1"/>
  <c r="D28554" i="1"/>
  <c r="E28554" i="1" s="1"/>
  <c r="D28553" i="1"/>
  <c r="E28553" i="1" s="1"/>
  <c r="E28552" i="1"/>
  <c r="D28552" i="1"/>
  <c r="E28551" i="1"/>
  <c r="D28551" i="1"/>
  <c r="E28550" i="1"/>
  <c r="D28550" i="1"/>
  <c r="D28549" i="1"/>
  <c r="E28549" i="1" s="1"/>
  <c r="D28548" i="1"/>
  <c r="E28548" i="1" s="1"/>
  <c r="D28547" i="1"/>
  <c r="E28547" i="1" s="1"/>
  <c r="E28546" i="1"/>
  <c r="D28546" i="1"/>
  <c r="E28545" i="1"/>
  <c r="D28545" i="1"/>
  <c r="E28544" i="1"/>
  <c r="D28544" i="1"/>
  <c r="D28543" i="1"/>
  <c r="E28543" i="1" s="1"/>
  <c r="D28542" i="1"/>
  <c r="E28542" i="1" s="1"/>
  <c r="D28541" i="1"/>
  <c r="E28541" i="1" s="1"/>
  <c r="E28540" i="1"/>
  <c r="D28540" i="1"/>
  <c r="E28539" i="1"/>
  <c r="D28539" i="1"/>
  <c r="E28538" i="1"/>
  <c r="D28538" i="1"/>
  <c r="D28537" i="1"/>
  <c r="E28537" i="1" s="1"/>
  <c r="D28536" i="1"/>
  <c r="E28536" i="1" s="1"/>
  <c r="D28535" i="1"/>
  <c r="E28535" i="1" s="1"/>
  <c r="E28534" i="1"/>
  <c r="D28534" i="1"/>
  <c r="E28533" i="1"/>
  <c r="D28533" i="1"/>
  <c r="E28532" i="1"/>
  <c r="D28532" i="1"/>
  <c r="D28531" i="1"/>
  <c r="E28531" i="1" s="1"/>
  <c r="D28530" i="1"/>
  <c r="E28530" i="1" s="1"/>
  <c r="D28529" i="1"/>
  <c r="E28529" i="1" s="1"/>
  <c r="E28528" i="1"/>
  <c r="D28528" i="1"/>
  <c r="E28527" i="1"/>
  <c r="D28527" i="1"/>
  <c r="E28526" i="1"/>
  <c r="D28526" i="1"/>
  <c r="D28525" i="1"/>
  <c r="E28525" i="1" s="1"/>
  <c r="D28524" i="1"/>
  <c r="E28524" i="1" s="1"/>
  <c r="D28523" i="1"/>
  <c r="E28523" i="1" s="1"/>
  <c r="E28522" i="1"/>
  <c r="D28522" i="1"/>
  <c r="E28521" i="1"/>
  <c r="D28521" i="1"/>
  <c r="E28520" i="1"/>
  <c r="D28520" i="1"/>
  <c r="D28519" i="1"/>
  <c r="E28519" i="1" s="1"/>
  <c r="D28518" i="1"/>
  <c r="E28518" i="1" s="1"/>
  <c r="D28517" i="1"/>
  <c r="E28517" i="1" s="1"/>
  <c r="E28516" i="1"/>
  <c r="D28516" i="1"/>
  <c r="E28515" i="1"/>
  <c r="D28515" i="1"/>
  <c r="E28514" i="1"/>
  <c r="D28514" i="1"/>
  <c r="D28513" i="1"/>
  <c r="E28513" i="1" s="1"/>
  <c r="D28512" i="1"/>
  <c r="E28512" i="1" s="1"/>
  <c r="D28511" i="1"/>
  <c r="E28511" i="1" s="1"/>
  <c r="E28510" i="1"/>
  <c r="D28510" i="1"/>
  <c r="E28509" i="1"/>
  <c r="D28509" i="1"/>
  <c r="E28508" i="1"/>
  <c r="D28508" i="1"/>
  <c r="D28507" i="1"/>
  <c r="E28507" i="1" s="1"/>
  <c r="D28506" i="1"/>
  <c r="E28506" i="1" s="1"/>
  <c r="D28505" i="1"/>
  <c r="E28505" i="1" s="1"/>
  <c r="E28504" i="1"/>
  <c r="D28504" i="1"/>
  <c r="E28503" i="1"/>
  <c r="D28503" i="1"/>
  <c r="E28502" i="1"/>
  <c r="D28502" i="1"/>
  <c r="D28501" i="1"/>
  <c r="E28501" i="1" s="1"/>
  <c r="D28500" i="1"/>
  <c r="E28500" i="1" s="1"/>
  <c r="D28499" i="1"/>
  <c r="E28499" i="1" s="1"/>
  <c r="E28498" i="1"/>
  <c r="D28498" i="1"/>
  <c r="E28497" i="1"/>
  <c r="D28497" i="1"/>
  <c r="E28496" i="1"/>
  <c r="D28496" i="1"/>
  <c r="D28495" i="1"/>
  <c r="E28495" i="1" s="1"/>
  <c r="D28494" i="1"/>
  <c r="E28494" i="1" s="1"/>
  <c r="D28493" i="1"/>
  <c r="E28493" i="1" s="1"/>
  <c r="E28492" i="1"/>
  <c r="D28492" i="1"/>
  <c r="E28491" i="1"/>
  <c r="D28491" i="1"/>
  <c r="E28490" i="1"/>
  <c r="D28490" i="1"/>
  <c r="D28489" i="1"/>
  <c r="E28489" i="1" s="1"/>
  <c r="D28488" i="1"/>
  <c r="E28488" i="1" s="1"/>
  <c r="D28487" i="1"/>
  <c r="E28487" i="1" s="1"/>
  <c r="E28486" i="1"/>
  <c r="D28486" i="1"/>
  <c r="E28485" i="1"/>
  <c r="D28485" i="1"/>
  <c r="E28484" i="1"/>
  <c r="D28484" i="1"/>
  <c r="D28483" i="1"/>
  <c r="E28483" i="1" s="1"/>
  <c r="D28482" i="1"/>
  <c r="E28482" i="1" s="1"/>
  <c r="D28481" i="1"/>
  <c r="E28481" i="1" s="1"/>
  <c r="E28480" i="1"/>
  <c r="D28480" i="1"/>
  <c r="E28479" i="1"/>
  <c r="D28479" i="1"/>
  <c r="E28478" i="1"/>
  <c r="D28478" i="1"/>
  <c r="D28477" i="1"/>
  <c r="E28477" i="1" s="1"/>
  <c r="D28476" i="1"/>
  <c r="E28476" i="1" s="1"/>
  <c r="D28475" i="1"/>
  <c r="E28475" i="1" s="1"/>
  <c r="E28474" i="1"/>
  <c r="D28474" i="1"/>
  <c r="E28473" i="1"/>
  <c r="D28473" i="1"/>
  <c r="E28472" i="1"/>
  <c r="D28472" i="1"/>
  <c r="D28471" i="1"/>
  <c r="E28471" i="1" s="1"/>
  <c r="D28470" i="1"/>
  <c r="E28470" i="1" s="1"/>
  <c r="D28469" i="1"/>
  <c r="E28469" i="1" s="1"/>
  <c r="E28468" i="1"/>
  <c r="D28468" i="1"/>
  <c r="E28467" i="1"/>
  <c r="D28467" i="1"/>
  <c r="E28466" i="1"/>
  <c r="D28466" i="1"/>
  <c r="D28465" i="1"/>
  <c r="E28465" i="1" s="1"/>
  <c r="D28464" i="1"/>
  <c r="E28464" i="1" s="1"/>
  <c r="D28463" i="1"/>
  <c r="E28463" i="1" s="1"/>
  <c r="E28462" i="1"/>
  <c r="D28462" i="1"/>
  <c r="E28461" i="1"/>
  <c r="D28461" i="1"/>
  <c r="E28460" i="1"/>
  <c r="D28460" i="1"/>
  <c r="D28459" i="1"/>
  <c r="E28459" i="1" s="1"/>
  <c r="D28458" i="1"/>
  <c r="E28458" i="1" s="1"/>
  <c r="D28457" i="1"/>
  <c r="E28457" i="1" s="1"/>
  <c r="E28456" i="1"/>
  <c r="D28456" i="1"/>
  <c r="E28455" i="1"/>
  <c r="D28455" i="1"/>
  <c r="E28454" i="1"/>
  <c r="D28454" i="1"/>
  <c r="D28453" i="1"/>
  <c r="E28453" i="1" s="1"/>
  <c r="D28452" i="1"/>
  <c r="E28452" i="1" s="1"/>
  <c r="D28451" i="1"/>
  <c r="E28451" i="1" s="1"/>
  <c r="E28450" i="1"/>
  <c r="D28450" i="1"/>
  <c r="E28449" i="1"/>
  <c r="D28449" i="1"/>
  <c r="E28448" i="1"/>
  <c r="D28448" i="1"/>
  <c r="D28447" i="1"/>
  <c r="E28447" i="1" s="1"/>
  <c r="D28446" i="1"/>
  <c r="E28446" i="1" s="1"/>
  <c r="D28445" i="1"/>
  <c r="E28445" i="1" s="1"/>
  <c r="E28444" i="1"/>
  <c r="D28444" i="1"/>
  <c r="E28443" i="1"/>
  <c r="D28443" i="1"/>
  <c r="E28442" i="1"/>
  <c r="D28442" i="1"/>
  <c r="D28441" i="1"/>
  <c r="E28441" i="1" s="1"/>
  <c r="D28440" i="1"/>
  <c r="E28440" i="1" s="1"/>
  <c r="D28439" i="1"/>
  <c r="E28439" i="1" s="1"/>
  <c r="E28438" i="1"/>
  <c r="D28438" i="1"/>
  <c r="E28437" i="1"/>
  <c r="D28437" i="1"/>
  <c r="E28436" i="1"/>
  <c r="D28436" i="1"/>
  <c r="D28435" i="1"/>
  <c r="E28435" i="1" s="1"/>
  <c r="D28434" i="1"/>
  <c r="E28434" i="1" s="1"/>
  <c r="D28433" i="1"/>
  <c r="E28433" i="1" s="1"/>
  <c r="E28432" i="1"/>
  <c r="D28432" i="1"/>
  <c r="E28431" i="1"/>
  <c r="D28431" i="1"/>
  <c r="E28430" i="1"/>
  <c r="D28430" i="1"/>
  <c r="D28429" i="1"/>
  <c r="E28429" i="1" s="1"/>
  <c r="D28428" i="1"/>
  <c r="E28428" i="1" s="1"/>
  <c r="D28427" i="1"/>
  <c r="E28427" i="1" s="1"/>
  <c r="D28426" i="1"/>
  <c r="E28426" i="1" s="1"/>
  <c r="E28425" i="1"/>
  <c r="D28425" i="1"/>
  <c r="E28424" i="1"/>
  <c r="D28424" i="1"/>
  <c r="D28423" i="1"/>
  <c r="E28423" i="1" s="1"/>
  <c r="D28422" i="1"/>
  <c r="E28422" i="1" s="1"/>
  <c r="D28421" i="1"/>
  <c r="E28421" i="1" s="1"/>
  <c r="E28420" i="1"/>
  <c r="D28420" i="1"/>
  <c r="E28419" i="1"/>
  <c r="D28419" i="1"/>
  <c r="E28418" i="1"/>
  <c r="D28418" i="1"/>
  <c r="D28417" i="1"/>
  <c r="E28417" i="1" s="1"/>
  <c r="D28416" i="1"/>
  <c r="E28416" i="1" s="1"/>
  <c r="D28415" i="1"/>
  <c r="E28415" i="1" s="1"/>
  <c r="E28414" i="1"/>
  <c r="D28414" i="1"/>
  <c r="E28413" i="1"/>
  <c r="D28413" i="1"/>
  <c r="E28412" i="1"/>
  <c r="D28412" i="1"/>
  <c r="D28411" i="1"/>
  <c r="E28411" i="1" s="1"/>
  <c r="D28410" i="1"/>
  <c r="E28410" i="1" s="1"/>
  <c r="D28409" i="1"/>
  <c r="E28409" i="1" s="1"/>
  <c r="E28408" i="1"/>
  <c r="D28408" i="1"/>
  <c r="E28407" i="1"/>
  <c r="D28407" i="1"/>
  <c r="E28406" i="1"/>
  <c r="D28406" i="1"/>
  <c r="D28405" i="1"/>
  <c r="E28405" i="1" s="1"/>
  <c r="D28404" i="1"/>
  <c r="E28404" i="1" s="1"/>
  <c r="D28403" i="1"/>
  <c r="E28403" i="1" s="1"/>
  <c r="D28402" i="1"/>
  <c r="E28402" i="1" s="1"/>
  <c r="E28401" i="1"/>
  <c r="D28401" i="1"/>
  <c r="E28400" i="1"/>
  <c r="D28400" i="1"/>
  <c r="D28399" i="1"/>
  <c r="E28399" i="1" s="1"/>
  <c r="D28398" i="1"/>
  <c r="E28398" i="1" s="1"/>
  <c r="D28397" i="1"/>
  <c r="E28397" i="1" s="1"/>
  <c r="E28396" i="1"/>
  <c r="D28396" i="1"/>
  <c r="E28395" i="1"/>
  <c r="D28395" i="1"/>
  <c r="E28394" i="1"/>
  <c r="D28394" i="1"/>
  <c r="D28393" i="1"/>
  <c r="E28393" i="1" s="1"/>
  <c r="D28392" i="1"/>
  <c r="E28392" i="1" s="1"/>
  <c r="D28391" i="1"/>
  <c r="E28391" i="1" s="1"/>
  <c r="E28390" i="1"/>
  <c r="D28390" i="1"/>
  <c r="E28389" i="1"/>
  <c r="D28389" i="1"/>
  <c r="E28388" i="1"/>
  <c r="D28388" i="1"/>
  <c r="D28387" i="1"/>
  <c r="E28387" i="1" s="1"/>
  <c r="D28386" i="1"/>
  <c r="E28386" i="1" s="1"/>
  <c r="D28385" i="1"/>
  <c r="E28385" i="1" s="1"/>
  <c r="E28384" i="1"/>
  <c r="D28384" i="1"/>
  <c r="E28383" i="1"/>
  <c r="D28383" i="1"/>
  <c r="E28382" i="1"/>
  <c r="D28382" i="1"/>
  <c r="D28381" i="1"/>
  <c r="E28381" i="1" s="1"/>
  <c r="D28380" i="1"/>
  <c r="E28380" i="1" s="1"/>
  <c r="D28379" i="1"/>
  <c r="E28379" i="1" s="1"/>
  <c r="D28378" i="1"/>
  <c r="E28378" i="1" s="1"/>
  <c r="E28377" i="1"/>
  <c r="D28377" i="1"/>
  <c r="E28376" i="1"/>
  <c r="D28376" i="1"/>
  <c r="D28375" i="1"/>
  <c r="E28375" i="1" s="1"/>
  <c r="D28374" i="1"/>
  <c r="E28374" i="1" s="1"/>
  <c r="D28373" i="1"/>
  <c r="E28373" i="1" s="1"/>
  <c r="E28372" i="1"/>
  <c r="D28372" i="1"/>
  <c r="E28371" i="1"/>
  <c r="D28371" i="1"/>
  <c r="E28370" i="1"/>
  <c r="D28370" i="1"/>
  <c r="D28369" i="1"/>
  <c r="E28369" i="1" s="1"/>
  <c r="D28368" i="1"/>
  <c r="E28368" i="1" s="1"/>
  <c r="D28367" i="1"/>
  <c r="E28367" i="1" s="1"/>
  <c r="E28366" i="1"/>
  <c r="D28366" i="1"/>
  <c r="E28365" i="1"/>
  <c r="D28365" i="1"/>
  <c r="E28364" i="1"/>
  <c r="D28364" i="1"/>
  <c r="D28363" i="1"/>
  <c r="E28363" i="1" s="1"/>
  <c r="D28362" i="1"/>
  <c r="E28362" i="1" s="1"/>
  <c r="D28361" i="1"/>
  <c r="E28361" i="1" s="1"/>
  <c r="E28360" i="1"/>
  <c r="D28360" i="1"/>
  <c r="E28359" i="1"/>
  <c r="D28359" i="1"/>
  <c r="E28358" i="1"/>
  <c r="D28358" i="1"/>
  <c r="D28357" i="1"/>
  <c r="E28357" i="1" s="1"/>
  <c r="D28356" i="1"/>
  <c r="E28356" i="1" s="1"/>
  <c r="D28355" i="1"/>
  <c r="E28355" i="1" s="1"/>
  <c r="D28354" i="1"/>
  <c r="E28354" i="1" s="1"/>
  <c r="E28353" i="1"/>
  <c r="D28353" i="1"/>
  <c r="E28352" i="1"/>
  <c r="D28352" i="1"/>
  <c r="D28351" i="1"/>
  <c r="E28351" i="1" s="1"/>
  <c r="D28350" i="1"/>
  <c r="E28350" i="1" s="1"/>
  <c r="D28349" i="1"/>
  <c r="E28349" i="1" s="1"/>
  <c r="E28348" i="1"/>
  <c r="D28348" i="1"/>
  <c r="E28347" i="1"/>
  <c r="D28347" i="1"/>
  <c r="E28346" i="1"/>
  <c r="D28346" i="1"/>
  <c r="D28345" i="1"/>
  <c r="E28345" i="1" s="1"/>
  <c r="D28344" i="1"/>
  <c r="E28344" i="1" s="1"/>
  <c r="D28343" i="1"/>
  <c r="E28343" i="1" s="1"/>
  <c r="E28342" i="1"/>
  <c r="D28342" i="1"/>
  <c r="E28341" i="1"/>
  <c r="D28341" i="1"/>
  <c r="E28340" i="1"/>
  <c r="D28340" i="1"/>
  <c r="D28339" i="1"/>
  <c r="E28339" i="1" s="1"/>
  <c r="D28338" i="1"/>
  <c r="E28338" i="1" s="1"/>
  <c r="D28337" i="1"/>
  <c r="E28337" i="1" s="1"/>
  <c r="E28336" i="1"/>
  <c r="D28336" i="1"/>
  <c r="E28335" i="1"/>
  <c r="D28335" i="1"/>
  <c r="E28334" i="1"/>
  <c r="D28334" i="1"/>
  <c r="D28333" i="1"/>
  <c r="E28333" i="1" s="1"/>
  <c r="D28332" i="1"/>
  <c r="E28332" i="1" s="1"/>
  <c r="D28331" i="1"/>
  <c r="E28331" i="1" s="1"/>
  <c r="D28330" i="1"/>
  <c r="E28330" i="1" s="1"/>
  <c r="E28329" i="1"/>
  <c r="D28329" i="1"/>
  <c r="E28328" i="1"/>
  <c r="D28328" i="1"/>
  <c r="D28327" i="1"/>
  <c r="E28327" i="1" s="1"/>
  <c r="D28326" i="1"/>
  <c r="E28326" i="1" s="1"/>
  <c r="D28325" i="1"/>
  <c r="E28325" i="1" s="1"/>
  <c r="E28324" i="1"/>
  <c r="D28324" i="1"/>
  <c r="E28323" i="1"/>
  <c r="D28323" i="1"/>
  <c r="E28322" i="1"/>
  <c r="D28322" i="1"/>
  <c r="D28321" i="1"/>
  <c r="E28321" i="1" s="1"/>
  <c r="D28320" i="1"/>
  <c r="E28320" i="1" s="1"/>
  <c r="D28319" i="1"/>
  <c r="E28319" i="1" s="1"/>
  <c r="E28318" i="1"/>
  <c r="D28318" i="1"/>
  <c r="E28317" i="1"/>
  <c r="D28317" i="1"/>
  <c r="E28316" i="1"/>
  <c r="D28316" i="1"/>
  <c r="D28315" i="1"/>
  <c r="E28315" i="1" s="1"/>
  <c r="D28314" i="1"/>
  <c r="E28314" i="1" s="1"/>
  <c r="D28313" i="1"/>
  <c r="E28313" i="1" s="1"/>
  <c r="E28312" i="1"/>
  <c r="D28312" i="1"/>
  <c r="E28311" i="1"/>
  <c r="D28311" i="1"/>
  <c r="E28310" i="1"/>
  <c r="D28310" i="1"/>
  <c r="D28309" i="1"/>
  <c r="E28309" i="1" s="1"/>
  <c r="D28308" i="1"/>
  <c r="E28308" i="1" s="1"/>
  <c r="D28307" i="1"/>
  <c r="E28307" i="1" s="1"/>
  <c r="D28306" i="1"/>
  <c r="E28306" i="1" s="1"/>
  <c r="E28305" i="1"/>
  <c r="D28305" i="1"/>
  <c r="E28304" i="1"/>
  <c r="D28304" i="1"/>
  <c r="D28303" i="1"/>
  <c r="E28303" i="1" s="1"/>
  <c r="D28302" i="1"/>
  <c r="E28302" i="1" s="1"/>
  <c r="D28301" i="1"/>
  <c r="E28301" i="1" s="1"/>
  <c r="E28300" i="1"/>
  <c r="D28300" i="1"/>
  <c r="E28299" i="1"/>
  <c r="D28299" i="1"/>
  <c r="D28298" i="1"/>
  <c r="E28298" i="1" s="1"/>
  <c r="D28297" i="1"/>
  <c r="E28297" i="1" s="1"/>
  <c r="D28296" i="1"/>
  <c r="E28296" i="1" s="1"/>
  <c r="D28295" i="1"/>
  <c r="E28295" i="1" s="1"/>
  <c r="E28294" i="1"/>
  <c r="D28294" i="1"/>
  <c r="E28293" i="1"/>
  <c r="D28293" i="1"/>
  <c r="E28292" i="1"/>
  <c r="D28292" i="1"/>
  <c r="D28291" i="1"/>
  <c r="E28291" i="1" s="1"/>
  <c r="D28290" i="1"/>
  <c r="E28290" i="1" s="1"/>
  <c r="D28289" i="1"/>
  <c r="E28289" i="1" s="1"/>
  <c r="E28288" i="1"/>
  <c r="D28288" i="1"/>
  <c r="E28287" i="1"/>
  <c r="D28287" i="1"/>
  <c r="D28286" i="1"/>
  <c r="E28286" i="1" s="1"/>
  <c r="D28285" i="1"/>
  <c r="E28285" i="1" s="1"/>
  <c r="D28284" i="1"/>
  <c r="E28284" i="1" s="1"/>
  <c r="D28283" i="1"/>
  <c r="E28283" i="1" s="1"/>
  <c r="D28282" i="1"/>
  <c r="E28282" i="1" s="1"/>
  <c r="E28281" i="1"/>
  <c r="D28281" i="1"/>
  <c r="E28280" i="1"/>
  <c r="D28280" i="1"/>
  <c r="D28279" i="1"/>
  <c r="E28279" i="1" s="1"/>
  <c r="D28278" i="1"/>
  <c r="E28278" i="1" s="1"/>
  <c r="D28277" i="1"/>
  <c r="E28277" i="1" s="1"/>
  <c r="E28276" i="1"/>
  <c r="D28276" i="1"/>
  <c r="E28275" i="1"/>
  <c r="D28275" i="1"/>
  <c r="D28274" i="1"/>
  <c r="E28274" i="1" s="1"/>
  <c r="D28273" i="1"/>
  <c r="E28273" i="1" s="1"/>
  <c r="D28272" i="1"/>
  <c r="E28272" i="1" s="1"/>
  <c r="D28271" i="1"/>
  <c r="E28271" i="1" s="1"/>
  <c r="E28270" i="1"/>
  <c r="D28270" i="1"/>
  <c r="E28269" i="1"/>
  <c r="D28269" i="1"/>
  <c r="E28268" i="1"/>
  <c r="D28268" i="1"/>
  <c r="D28267" i="1"/>
  <c r="E28267" i="1" s="1"/>
  <c r="D28266" i="1"/>
  <c r="E28266" i="1" s="1"/>
  <c r="D28265" i="1"/>
  <c r="E28265" i="1" s="1"/>
  <c r="E28264" i="1"/>
  <c r="D28264" i="1"/>
  <c r="E28263" i="1"/>
  <c r="D28263" i="1"/>
  <c r="D28262" i="1"/>
  <c r="E28262" i="1" s="1"/>
  <c r="D28261" i="1"/>
  <c r="E28261" i="1" s="1"/>
  <c r="D28260" i="1"/>
  <c r="E28260" i="1" s="1"/>
  <c r="D28259" i="1"/>
  <c r="E28259" i="1" s="1"/>
  <c r="D28258" i="1"/>
  <c r="E28258" i="1" s="1"/>
  <c r="E28257" i="1"/>
  <c r="D28257" i="1"/>
  <c r="E28256" i="1"/>
  <c r="D28256" i="1"/>
  <c r="D28255" i="1"/>
  <c r="E28255" i="1" s="1"/>
  <c r="D28254" i="1"/>
  <c r="E28254" i="1" s="1"/>
  <c r="D28253" i="1"/>
  <c r="E28253" i="1" s="1"/>
  <c r="E28252" i="1"/>
  <c r="D28252" i="1"/>
  <c r="E28251" i="1"/>
  <c r="D28251" i="1"/>
  <c r="D28250" i="1"/>
  <c r="E28250" i="1" s="1"/>
  <c r="D28249" i="1"/>
  <c r="E28249" i="1" s="1"/>
  <c r="D28248" i="1"/>
  <c r="E28248" i="1" s="1"/>
  <c r="D28247" i="1"/>
  <c r="E28247" i="1" s="1"/>
  <c r="E28246" i="1"/>
  <c r="D28246" i="1"/>
  <c r="E28245" i="1"/>
  <c r="D28245" i="1"/>
  <c r="E28244" i="1"/>
  <c r="D28244" i="1"/>
  <c r="D28243" i="1"/>
  <c r="E28243" i="1" s="1"/>
  <c r="D28242" i="1"/>
  <c r="E28242" i="1" s="1"/>
  <c r="D28241" i="1"/>
  <c r="E28241" i="1" s="1"/>
  <c r="D28240" i="1"/>
  <c r="E28240" i="1" s="1"/>
  <c r="E28239" i="1"/>
  <c r="D28239" i="1"/>
  <c r="D28238" i="1"/>
  <c r="E28238" i="1" s="1"/>
  <c r="D28237" i="1"/>
  <c r="E28237" i="1" s="1"/>
  <c r="D28236" i="1"/>
  <c r="E28236" i="1" s="1"/>
  <c r="D28235" i="1"/>
  <c r="E28235" i="1" s="1"/>
  <c r="D28234" i="1"/>
  <c r="E28234" i="1" s="1"/>
  <c r="E28233" i="1"/>
  <c r="D28233" i="1"/>
  <c r="E28232" i="1"/>
  <c r="D28232" i="1"/>
  <c r="D28231" i="1"/>
  <c r="E28231" i="1" s="1"/>
  <c r="D28230" i="1"/>
  <c r="E28230" i="1" s="1"/>
  <c r="D28229" i="1"/>
  <c r="E28229" i="1" s="1"/>
  <c r="E28228" i="1"/>
  <c r="D28228" i="1"/>
  <c r="E28227" i="1"/>
  <c r="D28227" i="1"/>
  <c r="D28226" i="1"/>
  <c r="E28226" i="1" s="1"/>
  <c r="D28225" i="1"/>
  <c r="E28225" i="1" s="1"/>
  <c r="D28224" i="1"/>
  <c r="E28224" i="1" s="1"/>
  <c r="D28223" i="1"/>
  <c r="E28223" i="1" s="1"/>
  <c r="D28222" i="1"/>
  <c r="E28222" i="1" s="1"/>
  <c r="E28221" i="1"/>
  <c r="D28221" i="1"/>
  <c r="E28220" i="1"/>
  <c r="D28220" i="1"/>
  <c r="D28219" i="1"/>
  <c r="E28219" i="1" s="1"/>
  <c r="D28218" i="1"/>
  <c r="E28218" i="1" s="1"/>
  <c r="D28217" i="1"/>
  <c r="E28217" i="1" s="1"/>
  <c r="D28216" i="1"/>
  <c r="E28216" i="1" s="1"/>
  <c r="E28215" i="1"/>
  <c r="D28215" i="1"/>
  <c r="E28214" i="1"/>
  <c r="D28214" i="1"/>
  <c r="D28213" i="1"/>
  <c r="E28213" i="1" s="1"/>
  <c r="D28212" i="1"/>
  <c r="E28212" i="1" s="1"/>
  <c r="D28211" i="1"/>
  <c r="E28211" i="1" s="1"/>
  <c r="E28210" i="1"/>
  <c r="D28210" i="1"/>
  <c r="E28209" i="1"/>
  <c r="D28209" i="1"/>
  <c r="E28208" i="1"/>
  <c r="D28208" i="1"/>
  <c r="D28207" i="1"/>
  <c r="E28207" i="1" s="1"/>
  <c r="D28206" i="1"/>
  <c r="E28206" i="1" s="1"/>
  <c r="D28205" i="1"/>
  <c r="E28205" i="1" s="1"/>
  <c r="E28204" i="1"/>
  <c r="D28204" i="1"/>
  <c r="D28203" i="1"/>
  <c r="E28203" i="1" s="1"/>
  <c r="E28202" i="1"/>
  <c r="D28202" i="1"/>
  <c r="D28201" i="1"/>
  <c r="E28201" i="1" s="1"/>
  <c r="D28200" i="1"/>
  <c r="E28200" i="1" s="1"/>
  <c r="D28199" i="1"/>
  <c r="E28199" i="1" s="1"/>
  <c r="E28198" i="1"/>
  <c r="D28198" i="1"/>
  <c r="E28197" i="1"/>
  <c r="D28197" i="1"/>
  <c r="E28196" i="1"/>
  <c r="D28196" i="1"/>
  <c r="D28195" i="1"/>
  <c r="E28195" i="1" s="1"/>
  <c r="D28194" i="1"/>
  <c r="E28194" i="1" s="1"/>
  <c r="D28193" i="1"/>
  <c r="E28193" i="1" s="1"/>
  <c r="E28192" i="1"/>
  <c r="D28192" i="1"/>
  <c r="E28191" i="1"/>
  <c r="D28191" i="1"/>
  <c r="D28190" i="1"/>
  <c r="E28190" i="1" s="1"/>
  <c r="D28189" i="1"/>
  <c r="E28189" i="1" s="1"/>
  <c r="D28188" i="1"/>
  <c r="E28188" i="1" s="1"/>
  <c r="D28187" i="1"/>
  <c r="E28187" i="1" s="1"/>
  <c r="D28186" i="1"/>
  <c r="E28186" i="1" s="1"/>
  <c r="E28185" i="1"/>
  <c r="D28185" i="1"/>
  <c r="E28184" i="1"/>
  <c r="D28184" i="1"/>
  <c r="D28183" i="1"/>
  <c r="E28183" i="1" s="1"/>
  <c r="D28182" i="1"/>
  <c r="E28182" i="1" s="1"/>
  <c r="D28181" i="1"/>
  <c r="E28181" i="1" s="1"/>
  <c r="D28180" i="1"/>
  <c r="E28180" i="1" s="1"/>
  <c r="D28179" i="1"/>
  <c r="E28179" i="1" s="1"/>
  <c r="D28178" i="1"/>
  <c r="E28178" i="1" s="1"/>
  <c r="D28177" i="1"/>
  <c r="E28177" i="1" s="1"/>
  <c r="D28176" i="1"/>
  <c r="E28176" i="1" s="1"/>
  <c r="E28175" i="1"/>
  <c r="D28175" i="1"/>
  <c r="E28174" i="1"/>
  <c r="D28174" i="1"/>
  <c r="E28173" i="1"/>
  <c r="D28173" i="1"/>
  <c r="E28172" i="1"/>
  <c r="D28172" i="1"/>
  <c r="D28171" i="1"/>
  <c r="E28171" i="1" s="1"/>
  <c r="D28170" i="1"/>
  <c r="E28170" i="1" s="1"/>
  <c r="D28169" i="1"/>
  <c r="E28169" i="1" s="1"/>
  <c r="E28168" i="1"/>
  <c r="D28168" i="1"/>
  <c r="D28167" i="1"/>
  <c r="E28167" i="1" s="1"/>
  <c r="D28166" i="1"/>
  <c r="E28166" i="1" s="1"/>
  <c r="D28165" i="1"/>
  <c r="E28165" i="1" s="1"/>
  <c r="D28164" i="1"/>
  <c r="E28164" i="1" s="1"/>
  <c r="E28163" i="1"/>
  <c r="D28163" i="1"/>
  <c r="E28162" i="1"/>
  <c r="D28162" i="1"/>
  <c r="E28161" i="1"/>
  <c r="D28161" i="1"/>
  <c r="E28160" i="1"/>
  <c r="D28160" i="1"/>
  <c r="D28159" i="1"/>
  <c r="E28159" i="1" s="1"/>
  <c r="D28158" i="1"/>
  <c r="E28158" i="1" s="1"/>
  <c r="D28157" i="1"/>
  <c r="E28157" i="1" s="1"/>
  <c r="E28156" i="1"/>
  <c r="D28156" i="1"/>
  <c r="D28155" i="1"/>
  <c r="E28155" i="1" s="1"/>
  <c r="D28154" i="1"/>
  <c r="E28154" i="1" s="1"/>
  <c r="D28153" i="1"/>
  <c r="E28153" i="1" s="1"/>
  <c r="D28152" i="1"/>
  <c r="E28152" i="1" s="1"/>
  <c r="E28151" i="1"/>
  <c r="D28151" i="1"/>
  <c r="D28150" i="1"/>
  <c r="E28150" i="1" s="1"/>
  <c r="E28149" i="1"/>
  <c r="D28149" i="1"/>
  <c r="E28148" i="1"/>
  <c r="D28148" i="1"/>
  <c r="D28147" i="1"/>
  <c r="E28147" i="1" s="1"/>
  <c r="D28146" i="1"/>
  <c r="E28146" i="1" s="1"/>
  <c r="D28145" i="1"/>
  <c r="E28145" i="1" s="1"/>
  <c r="D28144" i="1"/>
  <c r="E28144" i="1" s="1"/>
  <c r="D28143" i="1"/>
  <c r="E28143" i="1" s="1"/>
  <c r="D28142" i="1"/>
  <c r="E28142" i="1" s="1"/>
  <c r="D28141" i="1"/>
  <c r="E28141" i="1" s="1"/>
  <c r="D28140" i="1"/>
  <c r="E28140" i="1" s="1"/>
  <c r="E28139" i="1"/>
  <c r="D28139" i="1"/>
  <c r="E28138" i="1"/>
  <c r="D28138" i="1"/>
  <c r="E28137" i="1"/>
  <c r="D28137" i="1"/>
  <c r="E28136" i="1"/>
  <c r="D28136" i="1"/>
  <c r="D28135" i="1"/>
  <c r="E28135" i="1" s="1"/>
  <c r="D28134" i="1"/>
  <c r="E28134" i="1" s="1"/>
  <c r="D28133" i="1"/>
  <c r="E28133" i="1" s="1"/>
  <c r="D28132" i="1"/>
  <c r="E28132" i="1" s="1"/>
  <c r="D28131" i="1"/>
  <c r="E28131" i="1" s="1"/>
  <c r="E28130" i="1"/>
  <c r="D28130" i="1"/>
  <c r="D28129" i="1"/>
  <c r="E28129" i="1" s="1"/>
  <c r="D28128" i="1"/>
  <c r="E28128" i="1" s="1"/>
  <c r="D28127" i="1"/>
  <c r="E28127" i="1" s="1"/>
  <c r="E28126" i="1"/>
  <c r="D28126" i="1"/>
  <c r="E28125" i="1"/>
  <c r="D28125" i="1"/>
  <c r="E28124" i="1"/>
  <c r="D28124" i="1"/>
  <c r="D28123" i="1"/>
  <c r="E28123" i="1" s="1"/>
  <c r="D28122" i="1"/>
  <c r="E28122" i="1" s="1"/>
  <c r="D28121" i="1"/>
  <c r="E28121" i="1" s="1"/>
  <c r="D28120" i="1"/>
  <c r="E28120" i="1" s="1"/>
  <c r="E28119" i="1"/>
  <c r="D28119" i="1"/>
  <c r="E28118" i="1"/>
  <c r="D28118" i="1"/>
  <c r="E28117" i="1"/>
  <c r="D28117" i="1"/>
  <c r="E28116" i="1"/>
  <c r="D28116" i="1"/>
  <c r="D28115" i="1"/>
  <c r="E28115" i="1" s="1"/>
  <c r="D28114" i="1"/>
  <c r="E28114" i="1" s="1"/>
  <c r="E28113" i="1"/>
  <c r="D28113" i="1"/>
  <c r="E28112" i="1"/>
  <c r="D28112" i="1"/>
  <c r="D28111" i="1"/>
  <c r="E28111" i="1" s="1"/>
  <c r="D28110" i="1"/>
  <c r="E28110" i="1" s="1"/>
  <c r="D28109" i="1"/>
  <c r="E28109" i="1" s="1"/>
  <c r="E28108" i="1"/>
  <c r="D28108" i="1"/>
  <c r="E28107" i="1"/>
  <c r="D28107" i="1"/>
  <c r="D28106" i="1"/>
  <c r="E28106" i="1" s="1"/>
  <c r="D28105" i="1"/>
  <c r="E28105" i="1" s="1"/>
  <c r="D28104" i="1"/>
  <c r="E28104" i="1" s="1"/>
  <c r="D28103" i="1"/>
  <c r="E28103" i="1" s="1"/>
  <c r="E28102" i="1"/>
  <c r="D28102" i="1"/>
  <c r="E28101" i="1"/>
  <c r="D28101" i="1"/>
  <c r="E28100" i="1"/>
  <c r="D28100" i="1"/>
  <c r="D28099" i="1"/>
  <c r="E28099" i="1" s="1"/>
  <c r="D28098" i="1"/>
  <c r="E28098" i="1" s="1"/>
  <c r="D28097" i="1"/>
  <c r="E28097" i="1" s="1"/>
  <c r="E28096" i="1"/>
  <c r="D28096" i="1"/>
  <c r="E28095" i="1"/>
  <c r="D28095" i="1"/>
  <c r="D28094" i="1"/>
  <c r="E28094" i="1" s="1"/>
  <c r="D28093" i="1"/>
  <c r="E28093" i="1" s="1"/>
  <c r="E28092" i="1"/>
  <c r="D28092" i="1"/>
  <c r="E28091" i="1"/>
  <c r="D28091" i="1"/>
  <c r="E28090" i="1"/>
  <c r="D28090" i="1"/>
  <c r="E28089" i="1"/>
  <c r="D28089" i="1"/>
  <c r="E28088" i="1"/>
  <c r="D28088" i="1"/>
  <c r="D28087" i="1"/>
  <c r="E28087" i="1" s="1"/>
  <c r="D28086" i="1"/>
  <c r="E28086" i="1" s="1"/>
  <c r="D28085" i="1"/>
  <c r="E28085" i="1" s="1"/>
  <c r="E28084" i="1"/>
  <c r="D28084" i="1"/>
  <c r="D28083" i="1"/>
  <c r="E28083" i="1" s="1"/>
  <c r="D28082" i="1"/>
  <c r="E28082" i="1" s="1"/>
  <c r="E28081" i="1"/>
  <c r="D28081" i="1"/>
  <c r="E28080" i="1"/>
  <c r="D28080" i="1"/>
  <c r="D28079" i="1"/>
  <c r="E28079" i="1" s="1"/>
  <c r="D28078" i="1"/>
  <c r="E28078" i="1" s="1"/>
  <c r="E28077" i="1"/>
  <c r="D28077" i="1"/>
  <c r="E28076" i="1"/>
  <c r="D28076" i="1"/>
  <c r="D28075" i="1"/>
  <c r="E28075" i="1" s="1"/>
  <c r="D28074" i="1"/>
  <c r="E28074" i="1" s="1"/>
  <c r="D28073" i="1"/>
  <c r="E28073" i="1" s="1"/>
  <c r="D28072" i="1"/>
  <c r="E28072" i="1" s="1"/>
  <c r="D28071" i="1"/>
  <c r="E28071" i="1" s="1"/>
  <c r="D28070" i="1"/>
  <c r="E28070" i="1" s="1"/>
  <c r="E28069" i="1"/>
  <c r="D28069" i="1"/>
  <c r="E28068" i="1"/>
  <c r="D28068" i="1"/>
  <c r="D28067" i="1"/>
  <c r="E28067" i="1" s="1"/>
  <c r="D28066" i="1"/>
  <c r="E28066" i="1" s="1"/>
  <c r="E28065" i="1"/>
  <c r="D28065" i="1"/>
  <c r="E28064" i="1"/>
  <c r="D28064" i="1"/>
  <c r="D28063" i="1"/>
  <c r="E28063" i="1" s="1"/>
  <c r="D28062" i="1"/>
  <c r="E28062" i="1" s="1"/>
  <c r="D28061" i="1"/>
  <c r="E28061" i="1" s="1"/>
  <c r="E28060" i="1"/>
  <c r="D28060" i="1"/>
  <c r="E28059" i="1"/>
  <c r="D28059" i="1"/>
  <c r="D28058" i="1"/>
  <c r="E28058" i="1" s="1"/>
  <c r="E28057" i="1"/>
  <c r="D28057" i="1"/>
  <c r="D28056" i="1"/>
  <c r="E28056" i="1" s="1"/>
  <c r="D28055" i="1"/>
  <c r="E28055" i="1" s="1"/>
  <c r="E28054" i="1"/>
  <c r="D28054" i="1"/>
  <c r="E28053" i="1"/>
  <c r="D28053" i="1"/>
  <c r="E28052" i="1"/>
  <c r="D28052" i="1"/>
  <c r="D28051" i="1"/>
  <c r="E28051" i="1" s="1"/>
  <c r="D28050" i="1"/>
  <c r="E28050" i="1" s="1"/>
  <c r="D28049" i="1"/>
  <c r="E28049" i="1" s="1"/>
  <c r="E28048" i="1"/>
  <c r="D28048" i="1"/>
  <c r="E28047" i="1"/>
  <c r="D28047" i="1"/>
  <c r="D28046" i="1"/>
  <c r="E28046" i="1" s="1"/>
  <c r="D28045" i="1"/>
  <c r="E28045" i="1" s="1"/>
  <c r="D28044" i="1"/>
  <c r="E28044" i="1" s="1"/>
  <c r="D28043" i="1"/>
  <c r="E28043" i="1" s="1"/>
  <c r="E28042" i="1"/>
  <c r="D28042" i="1"/>
  <c r="E28041" i="1"/>
  <c r="D28041" i="1"/>
  <c r="E28040" i="1"/>
  <c r="D28040" i="1"/>
  <c r="D28039" i="1"/>
  <c r="E28039" i="1" s="1"/>
  <c r="D28038" i="1"/>
  <c r="E28038" i="1" s="1"/>
  <c r="D28037" i="1"/>
  <c r="E28037" i="1" s="1"/>
  <c r="D28036" i="1"/>
  <c r="E28036" i="1" s="1"/>
  <c r="D28035" i="1"/>
  <c r="E28035" i="1" s="1"/>
  <c r="D28034" i="1"/>
  <c r="E28034" i="1" s="1"/>
  <c r="E28033" i="1"/>
  <c r="D28033" i="1"/>
  <c r="E28032" i="1"/>
  <c r="D28032" i="1"/>
  <c r="D28031" i="1"/>
  <c r="E28031" i="1" s="1"/>
  <c r="E28030" i="1"/>
  <c r="D28030" i="1"/>
  <c r="E28029" i="1"/>
  <c r="D28029" i="1"/>
  <c r="E28028" i="1"/>
  <c r="D28028" i="1"/>
  <c r="D28027" i="1"/>
  <c r="E28027" i="1" s="1"/>
  <c r="D28026" i="1"/>
  <c r="E28026" i="1" s="1"/>
  <c r="D28025" i="1"/>
  <c r="E28025" i="1" s="1"/>
  <c r="D28024" i="1"/>
  <c r="E28024" i="1" s="1"/>
  <c r="E28023" i="1"/>
  <c r="D28023" i="1"/>
  <c r="E28022" i="1"/>
  <c r="D28022" i="1"/>
  <c r="E28021" i="1"/>
  <c r="D28021" i="1"/>
  <c r="E28020" i="1"/>
  <c r="D28020" i="1"/>
  <c r="D28019" i="1"/>
  <c r="E28019" i="1" s="1"/>
  <c r="D28018" i="1"/>
  <c r="E28018" i="1" s="1"/>
  <c r="E28017" i="1"/>
  <c r="D28017" i="1"/>
  <c r="E28016" i="1"/>
  <c r="D28016" i="1"/>
  <c r="D28015" i="1"/>
  <c r="E28015" i="1" s="1"/>
  <c r="D28014" i="1"/>
  <c r="E28014" i="1" s="1"/>
  <c r="D28013" i="1"/>
  <c r="E28013" i="1" s="1"/>
  <c r="E28012" i="1"/>
  <c r="D28012" i="1"/>
  <c r="E28011" i="1"/>
  <c r="D28011" i="1"/>
  <c r="D28010" i="1"/>
  <c r="E28010" i="1" s="1"/>
  <c r="D28009" i="1"/>
  <c r="E28009" i="1" s="1"/>
  <c r="D28008" i="1"/>
  <c r="E28008" i="1" s="1"/>
  <c r="D28007" i="1"/>
  <c r="E28007" i="1" s="1"/>
  <c r="E28006" i="1"/>
  <c r="D28006" i="1"/>
  <c r="E28005" i="1"/>
  <c r="D28005" i="1"/>
  <c r="E28004" i="1"/>
  <c r="D28004" i="1"/>
  <c r="D28003" i="1"/>
  <c r="E28003" i="1" s="1"/>
  <c r="D28002" i="1"/>
  <c r="E28002" i="1" s="1"/>
  <c r="D28001" i="1"/>
  <c r="E28001" i="1" s="1"/>
  <c r="E28000" i="1"/>
  <c r="D28000" i="1"/>
  <c r="E27999" i="1"/>
  <c r="D27999" i="1"/>
  <c r="D27998" i="1"/>
  <c r="E27998" i="1" s="1"/>
  <c r="D27997" i="1"/>
  <c r="E27997" i="1" s="1"/>
  <c r="E27996" i="1"/>
  <c r="D27996" i="1"/>
  <c r="E27995" i="1"/>
  <c r="D27995" i="1"/>
  <c r="E27994" i="1"/>
  <c r="D27994" i="1"/>
  <c r="E27993" i="1"/>
  <c r="D27993" i="1"/>
  <c r="E27992" i="1"/>
  <c r="D27992" i="1"/>
  <c r="D27991" i="1"/>
  <c r="E27991" i="1" s="1"/>
  <c r="D27990" i="1"/>
  <c r="E27990" i="1" s="1"/>
  <c r="D27989" i="1"/>
  <c r="E27989" i="1" s="1"/>
  <c r="E27988" i="1"/>
  <c r="D27988" i="1"/>
  <c r="D27987" i="1"/>
  <c r="E27987" i="1" s="1"/>
  <c r="D27986" i="1"/>
  <c r="E27986" i="1" s="1"/>
  <c r="E27985" i="1"/>
  <c r="D27985" i="1"/>
  <c r="E27984" i="1"/>
  <c r="D27984" i="1"/>
  <c r="D27983" i="1"/>
  <c r="E27983" i="1" s="1"/>
  <c r="D27982" i="1"/>
  <c r="E27982" i="1" s="1"/>
  <c r="E27981" i="1"/>
  <c r="D27981" i="1"/>
  <c r="E27980" i="1"/>
  <c r="D27980" i="1"/>
  <c r="D27979" i="1"/>
  <c r="E27979" i="1" s="1"/>
  <c r="D27978" i="1"/>
  <c r="E27978" i="1" s="1"/>
  <c r="D27977" i="1"/>
  <c r="E27977" i="1" s="1"/>
  <c r="D27976" i="1"/>
  <c r="E27976" i="1" s="1"/>
  <c r="D27975" i="1"/>
  <c r="E27975" i="1" s="1"/>
  <c r="D27974" i="1"/>
  <c r="E27974" i="1" s="1"/>
  <c r="E27973" i="1"/>
  <c r="D27973" i="1"/>
  <c r="E27972" i="1"/>
  <c r="D27972" i="1"/>
  <c r="D27971" i="1"/>
  <c r="E27971" i="1" s="1"/>
  <c r="D27970" i="1"/>
  <c r="E27970" i="1" s="1"/>
  <c r="E27969" i="1"/>
  <c r="D27969" i="1"/>
  <c r="E27968" i="1"/>
  <c r="D27968" i="1"/>
  <c r="D27967" i="1"/>
  <c r="E27967" i="1" s="1"/>
  <c r="D27966" i="1"/>
  <c r="E27966" i="1" s="1"/>
  <c r="D27965" i="1"/>
  <c r="E27965" i="1" s="1"/>
  <c r="E27964" i="1"/>
  <c r="D27964" i="1"/>
  <c r="E27963" i="1"/>
  <c r="D27963" i="1"/>
  <c r="D27962" i="1"/>
  <c r="E27962" i="1" s="1"/>
  <c r="E27961" i="1"/>
  <c r="D27961" i="1"/>
  <c r="D27960" i="1"/>
  <c r="E27960" i="1" s="1"/>
  <c r="D27959" i="1"/>
  <c r="E27959" i="1" s="1"/>
  <c r="E27958" i="1"/>
  <c r="D27958" i="1"/>
  <c r="E27957" i="1"/>
  <c r="D27957" i="1"/>
  <c r="E27956" i="1"/>
  <c r="D27956" i="1"/>
  <c r="D27955" i="1"/>
  <c r="E27955" i="1" s="1"/>
  <c r="D27954" i="1"/>
  <c r="E27954" i="1" s="1"/>
  <c r="D27953" i="1"/>
  <c r="E27953" i="1" s="1"/>
  <c r="E27952" i="1"/>
  <c r="D27952" i="1"/>
  <c r="E27951" i="1"/>
  <c r="D27951" i="1"/>
  <c r="D27950" i="1"/>
  <c r="E27950" i="1" s="1"/>
  <c r="D27949" i="1"/>
  <c r="E27949" i="1" s="1"/>
  <c r="D27948" i="1"/>
  <c r="E27948" i="1" s="1"/>
  <c r="D27947" i="1"/>
  <c r="E27947" i="1" s="1"/>
  <c r="E27946" i="1"/>
  <c r="D27946" i="1"/>
  <c r="E27945" i="1"/>
  <c r="D27945" i="1"/>
  <c r="D27944" i="1"/>
  <c r="E27944" i="1" s="1"/>
  <c r="D27943" i="1"/>
  <c r="E27943" i="1" s="1"/>
  <c r="D27942" i="1"/>
  <c r="E27942" i="1" s="1"/>
  <c r="D27941" i="1"/>
  <c r="E27941" i="1" s="1"/>
  <c r="D27940" i="1"/>
  <c r="E27940" i="1" s="1"/>
  <c r="D27939" i="1"/>
  <c r="E27939" i="1" s="1"/>
  <c r="D27938" i="1"/>
  <c r="E27938" i="1" s="1"/>
  <c r="E27937" i="1"/>
  <c r="D27937" i="1"/>
  <c r="E27936" i="1"/>
  <c r="D27936" i="1"/>
  <c r="D27935" i="1"/>
  <c r="E27935" i="1" s="1"/>
  <c r="E27934" i="1"/>
  <c r="D27934" i="1"/>
  <c r="D27933" i="1"/>
  <c r="E27933" i="1" s="1"/>
  <c r="D27932" i="1"/>
  <c r="E27932" i="1" s="1"/>
  <c r="D27931" i="1"/>
  <c r="E27931" i="1" s="1"/>
  <c r="D27930" i="1"/>
  <c r="E27930" i="1" s="1"/>
  <c r="D27929" i="1"/>
  <c r="E27929" i="1" s="1"/>
  <c r="D27928" i="1"/>
  <c r="E27928" i="1" s="1"/>
  <c r="E27927" i="1"/>
  <c r="D27927" i="1"/>
  <c r="E27926" i="1"/>
  <c r="D27926" i="1"/>
  <c r="E27925" i="1"/>
  <c r="D27925" i="1"/>
  <c r="E27924" i="1"/>
  <c r="D27924" i="1"/>
  <c r="D27923" i="1"/>
  <c r="E27923" i="1" s="1"/>
  <c r="D27922" i="1"/>
  <c r="E27922" i="1" s="1"/>
  <c r="D27921" i="1"/>
  <c r="E27921" i="1" s="1"/>
  <c r="D27920" i="1"/>
  <c r="E27920" i="1" s="1"/>
  <c r="D27919" i="1"/>
  <c r="E27919" i="1" s="1"/>
  <c r="D27918" i="1"/>
  <c r="E27918" i="1" s="1"/>
  <c r="D27917" i="1"/>
  <c r="E27917" i="1" s="1"/>
  <c r="E27916" i="1"/>
  <c r="D27916" i="1"/>
  <c r="E27915" i="1"/>
  <c r="D27915" i="1"/>
  <c r="D27914" i="1"/>
  <c r="E27914" i="1" s="1"/>
  <c r="D27913" i="1"/>
  <c r="E27913" i="1" s="1"/>
  <c r="D27912" i="1"/>
  <c r="E27912" i="1" s="1"/>
  <c r="D27911" i="1"/>
  <c r="E27911" i="1" s="1"/>
  <c r="E27910" i="1"/>
  <c r="D27910" i="1"/>
  <c r="E27909" i="1"/>
  <c r="D27909" i="1"/>
  <c r="D27908" i="1"/>
  <c r="E27908" i="1" s="1"/>
  <c r="D27907" i="1"/>
  <c r="E27907" i="1" s="1"/>
  <c r="D27906" i="1"/>
  <c r="E27906" i="1" s="1"/>
  <c r="D27905" i="1"/>
  <c r="E27905" i="1" s="1"/>
  <c r="E27904" i="1"/>
  <c r="D27904" i="1"/>
  <c r="E27903" i="1"/>
  <c r="D27903" i="1"/>
  <c r="D27902" i="1"/>
  <c r="E27902" i="1" s="1"/>
  <c r="D27901" i="1"/>
  <c r="E27901" i="1" s="1"/>
  <c r="E27900" i="1"/>
  <c r="D27900" i="1"/>
  <c r="E27899" i="1"/>
  <c r="D27899" i="1"/>
  <c r="E27898" i="1"/>
  <c r="D27898" i="1"/>
  <c r="D27897" i="1"/>
  <c r="E27897" i="1" s="1"/>
  <c r="D27896" i="1"/>
  <c r="E27896" i="1" s="1"/>
  <c r="D27895" i="1"/>
  <c r="E27895" i="1" s="1"/>
  <c r="D27894" i="1"/>
  <c r="E27894" i="1" s="1"/>
  <c r="D27893" i="1"/>
  <c r="E27893" i="1" s="1"/>
  <c r="E27892" i="1"/>
  <c r="D27892" i="1"/>
  <c r="D27891" i="1"/>
  <c r="E27891" i="1" s="1"/>
  <c r="D27890" i="1"/>
  <c r="E27890" i="1" s="1"/>
  <c r="E27889" i="1"/>
  <c r="D27889" i="1"/>
  <c r="E27888" i="1"/>
  <c r="D27888" i="1"/>
  <c r="D27887" i="1"/>
  <c r="E27887" i="1" s="1"/>
  <c r="D27886" i="1"/>
  <c r="E27886" i="1" s="1"/>
  <c r="D27885" i="1"/>
  <c r="E27885" i="1" s="1"/>
  <c r="D27884" i="1"/>
  <c r="E27884" i="1" s="1"/>
  <c r="D27883" i="1"/>
  <c r="E27883" i="1" s="1"/>
  <c r="D27882" i="1"/>
  <c r="E27882" i="1" s="1"/>
  <c r="D27881" i="1"/>
  <c r="E27881" i="1" s="1"/>
  <c r="D27880" i="1"/>
  <c r="E27880" i="1" s="1"/>
  <c r="D27879" i="1"/>
  <c r="E27879" i="1" s="1"/>
  <c r="D27878" i="1"/>
  <c r="E27878" i="1" s="1"/>
  <c r="E27877" i="1"/>
  <c r="D27877" i="1"/>
  <c r="E27876" i="1"/>
  <c r="D27876" i="1"/>
  <c r="D27875" i="1"/>
  <c r="E27875" i="1" s="1"/>
  <c r="D27874" i="1"/>
  <c r="E27874" i="1" s="1"/>
  <c r="E27873" i="1"/>
  <c r="D27873" i="1"/>
  <c r="E27872" i="1"/>
  <c r="D27872" i="1"/>
  <c r="D27871" i="1"/>
  <c r="E27871" i="1" s="1"/>
  <c r="D27870" i="1"/>
  <c r="E27870" i="1" s="1"/>
  <c r="D27869" i="1"/>
  <c r="E27869" i="1" s="1"/>
  <c r="E27868" i="1"/>
  <c r="D27868" i="1"/>
  <c r="E27867" i="1"/>
  <c r="D27867" i="1"/>
  <c r="D27866" i="1"/>
  <c r="E27866" i="1" s="1"/>
  <c r="E27865" i="1"/>
  <c r="D27865" i="1"/>
  <c r="D27864" i="1"/>
  <c r="E27864" i="1" s="1"/>
  <c r="D27863" i="1"/>
  <c r="E27863" i="1" s="1"/>
  <c r="E27862" i="1"/>
  <c r="D27862" i="1"/>
  <c r="E27861" i="1"/>
  <c r="D27861" i="1"/>
  <c r="D27860" i="1"/>
  <c r="E27860" i="1" s="1"/>
  <c r="D27859" i="1"/>
  <c r="E27859" i="1" s="1"/>
  <c r="E27858" i="1"/>
  <c r="D27858" i="1"/>
  <c r="E27857" i="1"/>
  <c r="D27857" i="1"/>
  <c r="D27856" i="1"/>
  <c r="E27856" i="1" s="1"/>
  <c r="D27855" i="1"/>
  <c r="E27855" i="1" s="1"/>
  <c r="D27854" i="1"/>
  <c r="E27854" i="1" s="1"/>
  <c r="D27853" i="1"/>
  <c r="E27853" i="1" s="1"/>
  <c r="D27852" i="1"/>
  <c r="E27852" i="1" s="1"/>
  <c r="E27851" i="1"/>
  <c r="D27851" i="1"/>
  <c r="E27850" i="1"/>
  <c r="D27850" i="1"/>
  <c r="D27849" i="1"/>
  <c r="E27849" i="1" s="1"/>
  <c r="D27848" i="1"/>
  <c r="E27848" i="1" s="1"/>
  <c r="D27847" i="1"/>
  <c r="E27847" i="1" s="1"/>
  <c r="D27846" i="1"/>
  <c r="E27846" i="1" s="1"/>
  <c r="D27845" i="1"/>
  <c r="E27845" i="1" s="1"/>
  <c r="D27844" i="1"/>
  <c r="E27844" i="1" s="1"/>
  <c r="E27843" i="1"/>
  <c r="D27843" i="1"/>
  <c r="E27842" i="1"/>
  <c r="D27842" i="1"/>
  <c r="D27841" i="1"/>
  <c r="E27841" i="1" s="1"/>
  <c r="E27840" i="1"/>
  <c r="D27840" i="1"/>
  <c r="D27839" i="1"/>
  <c r="E27839" i="1" s="1"/>
  <c r="D27838" i="1"/>
  <c r="E27838" i="1" s="1"/>
  <c r="E27837" i="1"/>
  <c r="D27837" i="1"/>
  <c r="E27836" i="1"/>
  <c r="D27836" i="1"/>
  <c r="D27835" i="1"/>
  <c r="E27835" i="1" s="1"/>
  <c r="E27834" i="1"/>
  <c r="D27834" i="1"/>
  <c r="E27833" i="1"/>
  <c r="D27833" i="1"/>
  <c r="E27832" i="1"/>
  <c r="D27832" i="1"/>
  <c r="D27831" i="1"/>
  <c r="E27831" i="1" s="1"/>
  <c r="D27830" i="1"/>
  <c r="E27830" i="1" s="1"/>
  <c r="D27829" i="1"/>
  <c r="E27829" i="1" s="1"/>
  <c r="D27828" i="1"/>
  <c r="E27828" i="1" s="1"/>
  <c r="D27827" i="1"/>
  <c r="E27827" i="1" s="1"/>
  <c r="E27826" i="1"/>
  <c r="D27826" i="1"/>
  <c r="E27825" i="1"/>
  <c r="D27825" i="1"/>
  <c r="D27824" i="1"/>
  <c r="E27824" i="1" s="1"/>
  <c r="D27823" i="1"/>
  <c r="E27823" i="1" s="1"/>
  <c r="D27822" i="1"/>
  <c r="E27822" i="1" s="1"/>
  <c r="D27821" i="1"/>
  <c r="E27821" i="1" s="1"/>
  <c r="D27820" i="1"/>
  <c r="E27820" i="1" s="1"/>
  <c r="D27819" i="1"/>
  <c r="E27819" i="1" s="1"/>
  <c r="E27818" i="1"/>
  <c r="D27818" i="1"/>
  <c r="E27817" i="1"/>
  <c r="D27817" i="1"/>
  <c r="D27816" i="1"/>
  <c r="E27816" i="1" s="1"/>
  <c r="E27815" i="1"/>
  <c r="D27815" i="1"/>
  <c r="D27814" i="1"/>
  <c r="E27814" i="1" s="1"/>
  <c r="D27813" i="1"/>
  <c r="E27813" i="1" s="1"/>
  <c r="E27812" i="1"/>
  <c r="D27812" i="1"/>
  <c r="D27811" i="1"/>
  <c r="E27811" i="1" s="1"/>
  <c r="D27810" i="1"/>
  <c r="E27810" i="1" s="1"/>
  <c r="E27809" i="1"/>
  <c r="D27809" i="1"/>
  <c r="E27808" i="1"/>
  <c r="D27808" i="1"/>
  <c r="E27807" i="1"/>
  <c r="D27807" i="1"/>
  <c r="D27806" i="1"/>
  <c r="E27806" i="1" s="1"/>
  <c r="D27805" i="1"/>
  <c r="E27805" i="1" s="1"/>
  <c r="D27804" i="1"/>
  <c r="E27804" i="1" s="1"/>
  <c r="D27803" i="1"/>
  <c r="E27803" i="1" s="1"/>
  <c r="D27802" i="1"/>
  <c r="E27802" i="1" s="1"/>
  <c r="E27801" i="1"/>
  <c r="D27801" i="1"/>
  <c r="E27800" i="1"/>
  <c r="D27800" i="1"/>
  <c r="D27799" i="1"/>
  <c r="E27799" i="1" s="1"/>
  <c r="E27798" i="1"/>
  <c r="D27798" i="1"/>
  <c r="D27797" i="1"/>
  <c r="E27797" i="1" s="1"/>
  <c r="D27796" i="1"/>
  <c r="E27796" i="1" s="1"/>
  <c r="D27795" i="1"/>
  <c r="E27795" i="1" s="1"/>
  <c r="D27794" i="1"/>
  <c r="E27794" i="1" s="1"/>
  <c r="E27793" i="1"/>
  <c r="D27793" i="1"/>
  <c r="E27792" i="1"/>
  <c r="D27792" i="1"/>
  <c r="D27791" i="1"/>
  <c r="E27791" i="1" s="1"/>
  <c r="E27790" i="1"/>
  <c r="D27790" i="1"/>
  <c r="D27789" i="1"/>
  <c r="E27789" i="1" s="1"/>
  <c r="D27788" i="1"/>
  <c r="E27788" i="1" s="1"/>
  <c r="D27787" i="1"/>
  <c r="E27787" i="1" s="1"/>
  <c r="D27786" i="1"/>
  <c r="E27786" i="1" s="1"/>
  <c r="D27785" i="1"/>
  <c r="E27785" i="1" s="1"/>
  <c r="E27784" i="1"/>
  <c r="D27784" i="1"/>
  <c r="E27783" i="1"/>
  <c r="D27783" i="1"/>
  <c r="E27782" i="1"/>
  <c r="D27782" i="1"/>
  <c r="D27781" i="1"/>
  <c r="E27781" i="1" s="1"/>
  <c r="D27780" i="1"/>
  <c r="E27780" i="1" s="1"/>
  <c r="D27779" i="1"/>
  <c r="E27779" i="1" s="1"/>
  <c r="D27778" i="1"/>
  <c r="E27778" i="1" s="1"/>
  <c r="D27777" i="1"/>
  <c r="E27777" i="1" s="1"/>
  <c r="E27776" i="1"/>
  <c r="D27776" i="1"/>
  <c r="D27775" i="1"/>
  <c r="E27775" i="1" s="1"/>
  <c r="E27774" i="1"/>
  <c r="D27774" i="1"/>
  <c r="E27773" i="1"/>
  <c r="D27773" i="1"/>
  <c r="D27772" i="1"/>
  <c r="E27772" i="1" s="1"/>
  <c r="D27771" i="1"/>
  <c r="E27771" i="1" s="1"/>
  <c r="D27770" i="1"/>
  <c r="E27770" i="1" s="1"/>
  <c r="D27769" i="1"/>
  <c r="E27769" i="1" s="1"/>
  <c r="E27768" i="1"/>
  <c r="D27768" i="1"/>
  <c r="E27767" i="1"/>
  <c r="D27767" i="1"/>
  <c r="D27766" i="1"/>
  <c r="E27766" i="1" s="1"/>
  <c r="E27765" i="1"/>
  <c r="D27765" i="1"/>
  <c r="D27764" i="1"/>
  <c r="E27764" i="1" s="1"/>
  <c r="D27763" i="1"/>
  <c r="E27763" i="1" s="1"/>
  <c r="E27762" i="1"/>
  <c r="D27762" i="1"/>
  <c r="D27761" i="1"/>
  <c r="E27761" i="1" s="1"/>
  <c r="D27760" i="1"/>
  <c r="E27760" i="1" s="1"/>
  <c r="E27759" i="1"/>
  <c r="D27759" i="1"/>
  <c r="E27758" i="1"/>
  <c r="D27758" i="1"/>
  <c r="E27757" i="1"/>
  <c r="D27757" i="1"/>
  <c r="D27756" i="1"/>
  <c r="E27756" i="1" s="1"/>
  <c r="D27755" i="1"/>
  <c r="E27755" i="1" s="1"/>
  <c r="D27754" i="1"/>
  <c r="E27754" i="1" s="1"/>
  <c r="D27753" i="1"/>
  <c r="E27753" i="1" s="1"/>
  <c r="D27752" i="1"/>
  <c r="E27752" i="1" s="1"/>
  <c r="D27751" i="1"/>
  <c r="E27751" i="1" s="1"/>
  <c r="D27750" i="1"/>
  <c r="E27750" i="1" s="1"/>
  <c r="E27749" i="1"/>
  <c r="D27749" i="1"/>
  <c r="E27748" i="1"/>
  <c r="D27748" i="1"/>
  <c r="D27747" i="1"/>
  <c r="E27747" i="1" s="1"/>
  <c r="D27746" i="1"/>
  <c r="E27746" i="1" s="1"/>
  <c r="D27745" i="1"/>
  <c r="E27745" i="1" s="1"/>
  <c r="D27744" i="1"/>
  <c r="E27744" i="1" s="1"/>
  <c r="E27743" i="1"/>
  <c r="D27743" i="1"/>
  <c r="E27742" i="1"/>
  <c r="D27742" i="1"/>
  <c r="D27741" i="1"/>
  <c r="E27741" i="1" s="1"/>
  <c r="E27740" i="1"/>
  <c r="D27740" i="1"/>
  <c r="D27739" i="1"/>
  <c r="E27739" i="1" s="1"/>
  <c r="D27738" i="1"/>
  <c r="E27738" i="1" s="1"/>
  <c r="E27737" i="1"/>
  <c r="D27737" i="1"/>
  <c r="E27736" i="1"/>
  <c r="D27736" i="1"/>
  <c r="D27735" i="1"/>
  <c r="E27735" i="1" s="1"/>
  <c r="D27734" i="1"/>
  <c r="E27734" i="1" s="1"/>
  <c r="D27733" i="1"/>
  <c r="E27733" i="1" s="1"/>
  <c r="D27732" i="1"/>
  <c r="E27732" i="1" s="1"/>
  <c r="E27731" i="1"/>
  <c r="D27731" i="1"/>
  <c r="E27730" i="1"/>
  <c r="D27730" i="1"/>
  <c r="D27729" i="1"/>
  <c r="E27729" i="1" s="1"/>
  <c r="E27728" i="1"/>
  <c r="D27728" i="1"/>
  <c r="D27727" i="1"/>
  <c r="E27727" i="1" s="1"/>
  <c r="D27726" i="1"/>
  <c r="E27726" i="1" s="1"/>
  <c r="E27725" i="1"/>
  <c r="D27725" i="1"/>
  <c r="E27724" i="1"/>
  <c r="D27724" i="1"/>
  <c r="D27723" i="1"/>
  <c r="E27723" i="1" s="1"/>
  <c r="D27722" i="1"/>
  <c r="E27722" i="1" s="1"/>
  <c r="D27721" i="1"/>
  <c r="E27721" i="1" s="1"/>
  <c r="D27720" i="1"/>
  <c r="E27720" i="1" s="1"/>
  <c r="E27719" i="1"/>
  <c r="D27719" i="1"/>
  <c r="E27718" i="1"/>
  <c r="D27718" i="1"/>
  <c r="D27717" i="1"/>
  <c r="E27717" i="1" s="1"/>
  <c r="E27716" i="1"/>
  <c r="D27716" i="1"/>
  <c r="D27715" i="1"/>
  <c r="E27715" i="1" s="1"/>
  <c r="D27714" i="1"/>
  <c r="E27714" i="1" s="1"/>
  <c r="E27713" i="1"/>
  <c r="D27713" i="1"/>
  <c r="E27712" i="1"/>
  <c r="D27712" i="1"/>
  <c r="D27711" i="1"/>
  <c r="E27711" i="1" s="1"/>
  <c r="D27710" i="1"/>
  <c r="E27710" i="1" s="1"/>
  <c r="D27709" i="1"/>
  <c r="E27709" i="1" s="1"/>
  <c r="D27708" i="1"/>
  <c r="E27708" i="1" s="1"/>
  <c r="E27707" i="1"/>
  <c r="D27707" i="1"/>
  <c r="E27706" i="1"/>
  <c r="D27706" i="1"/>
  <c r="D27705" i="1"/>
  <c r="E27705" i="1" s="1"/>
  <c r="E27704" i="1"/>
  <c r="D27704" i="1"/>
  <c r="D27703" i="1"/>
  <c r="E27703" i="1" s="1"/>
  <c r="D27702" i="1"/>
  <c r="E27702" i="1" s="1"/>
  <c r="E27701" i="1"/>
  <c r="D27701" i="1"/>
  <c r="E27700" i="1"/>
  <c r="D27700" i="1"/>
  <c r="D27699" i="1"/>
  <c r="E27699" i="1" s="1"/>
  <c r="D27698" i="1"/>
  <c r="E27698" i="1" s="1"/>
  <c r="D27697" i="1"/>
  <c r="E27697" i="1" s="1"/>
  <c r="D27696" i="1"/>
  <c r="E27696" i="1" s="1"/>
  <c r="E27695" i="1"/>
  <c r="D27695" i="1"/>
  <c r="E27694" i="1"/>
  <c r="D27694" i="1"/>
  <c r="D27693" i="1"/>
  <c r="E27693" i="1" s="1"/>
  <c r="E27692" i="1"/>
  <c r="D27692" i="1"/>
  <c r="D27691" i="1"/>
  <c r="E27691" i="1" s="1"/>
  <c r="D27690" i="1"/>
  <c r="E27690" i="1" s="1"/>
  <c r="E27689" i="1"/>
  <c r="D27689" i="1"/>
  <c r="E27688" i="1"/>
  <c r="D27688" i="1"/>
  <c r="D27687" i="1"/>
  <c r="E27687" i="1" s="1"/>
  <c r="D27686" i="1"/>
  <c r="E27686" i="1" s="1"/>
  <c r="D27685" i="1"/>
  <c r="E27685" i="1" s="1"/>
  <c r="D27684" i="1"/>
  <c r="E27684" i="1" s="1"/>
  <c r="E27683" i="1"/>
  <c r="D27683" i="1"/>
  <c r="E27682" i="1"/>
  <c r="D27682" i="1"/>
  <c r="D27681" i="1"/>
  <c r="E27681" i="1" s="1"/>
  <c r="E27680" i="1"/>
  <c r="D27680" i="1"/>
  <c r="D27679" i="1"/>
  <c r="E27679" i="1" s="1"/>
  <c r="D27678" i="1"/>
  <c r="E27678" i="1" s="1"/>
  <c r="E27677" i="1"/>
  <c r="D27677" i="1"/>
  <c r="E27676" i="1"/>
  <c r="D27676" i="1"/>
  <c r="D27675" i="1"/>
  <c r="E27675" i="1" s="1"/>
  <c r="D27674" i="1"/>
  <c r="E27674" i="1" s="1"/>
  <c r="D27673" i="1"/>
  <c r="E27673" i="1" s="1"/>
  <c r="D27672" i="1"/>
  <c r="E27672" i="1" s="1"/>
  <c r="E27671" i="1"/>
  <c r="D27671" i="1"/>
  <c r="E27670" i="1"/>
  <c r="D27670" i="1"/>
  <c r="D27669" i="1"/>
  <c r="E27669" i="1" s="1"/>
  <c r="E27668" i="1"/>
  <c r="D27668" i="1"/>
  <c r="D27667" i="1"/>
  <c r="E27667" i="1" s="1"/>
  <c r="D27666" i="1"/>
  <c r="E27666" i="1" s="1"/>
  <c r="E27665" i="1"/>
  <c r="D27665" i="1"/>
  <c r="E27664" i="1"/>
  <c r="D27664" i="1"/>
  <c r="D27663" i="1"/>
  <c r="E27663" i="1" s="1"/>
  <c r="D27662" i="1"/>
  <c r="E27662" i="1" s="1"/>
  <c r="D27661" i="1"/>
  <c r="E27661" i="1" s="1"/>
  <c r="D27660" i="1"/>
  <c r="E27660" i="1" s="1"/>
  <c r="E27659" i="1"/>
  <c r="D27659" i="1"/>
  <c r="E27658" i="1"/>
  <c r="D27658" i="1"/>
  <c r="D27657" i="1"/>
  <c r="E27657" i="1" s="1"/>
  <c r="E27656" i="1"/>
  <c r="D27656" i="1"/>
  <c r="D27655" i="1"/>
  <c r="E27655" i="1" s="1"/>
  <c r="D27654" i="1"/>
  <c r="E27654" i="1" s="1"/>
  <c r="E27653" i="1"/>
  <c r="D27653" i="1"/>
  <c r="E27652" i="1"/>
  <c r="D27652" i="1"/>
  <c r="D27651" i="1"/>
  <c r="E27651" i="1" s="1"/>
  <c r="D27650" i="1"/>
  <c r="E27650" i="1" s="1"/>
  <c r="D27649" i="1"/>
  <c r="E27649" i="1" s="1"/>
  <c r="D27648" i="1"/>
  <c r="E27648" i="1" s="1"/>
  <c r="E27647" i="1"/>
  <c r="D27647" i="1"/>
  <c r="E27646" i="1"/>
  <c r="D27646" i="1"/>
  <c r="D27645" i="1"/>
  <c r="E27645" i="1" s="1"/>
  <c r="E27644" i="1"/>
  <c r="D27644" i="1"/>
  <c r="D27643" i="1"/>
  <c r="E27643" i="1" s="1"/>
  <c r="D27642" i="1"/>
  <c r="E27642" i="1" s="1"/>
  <c r="E27641" i="1"/>
  <c r="D27641" i="1"/>
  <c r="E27640" i="1"/>
  <c r="D27640" i="1"/>
  <c r="D27639" i="1"/>
  <c r="E27639" i="1" s="1"/>
  <c r="D27638" i="1"/>
  <c r="E27638" i="1" s="1"/>
  <c r="D27637" i="1"/>
  <c r="E27637" i="1" s="1"/>
  <c r="D27636" i="1"/>
  <c r="E27636" i="1" s="1"/>
  <c r="E27635" i="1"/>
  <c r="D27635" i="1"/>
  <c r="E27634" i="1"/>
  <c r="D27634" i="1"/>
  <c r="D27633" i="1"/>
  <c r="E27633" i="1" s="1"/>
  <c r="E27632" i="1"/>
  <c r="D27632" i="1"/>
  <c r="D27631" i="1"/>
  <c r="E27631" i="1" s="1"/>
  <c r="D27630" i="1"/>
  <c r="E27630" i="1" s="1"/>
  <c r="E27629" i="1"/>
  <c r="D27629" i="1"/>
  <c r="E27628" i="1"/>
  <c r="D27628" i="1"/>
  <c r="D27627" i="1"/>
  <c r="E27627" i="1" s="1"/>
  <c r="D27626" i="1"/>
  <c r="E27626" i="1" s="1"/>
  <c r="D27625" i="1"/>
  <c r="E27625" i="1" s="1"/>
  <c r="D27624" i="1"/>
  <c r="E27624" i="1" s="1"/>
  <c r="E27623" i="1"/>
  <c r="D27623" i="1"/>
  <c r="E27622" i="1"/>
  <c r="D27622" i="1"/>
  <c r="D27621" i="1"/>
  <c r="E27621" i="1" s="1"/>
  <c r="E27620" i="1"/>
  <c r="D27620" i="1"/>
  <c r="D27619" i="1"/>
  <c r="E27619" i="1" s="1"/>
  <c r="D27618" i="1"/>
  <c r="E27618" i="1" s="1"/>
  <c r="E27617" i="1"/>
  <c r="D27617" i="1"/>
  <c r="E27616" i="1"/>
  <c r="D27616" i="1"/>
  <c r="D27615" i="1"/>
  <c r="E27615" i="1" s="1"/>
  <c r="D27614" i="1"/>
  <c r="E27614" i="1" s="1"/>
  <c r="D27613" i="1"/>
  <c r="E27613" i="1" s="1"/>
  <c r="D27612" i="1"/>
  <c r="E27612" i="1" s="1"/>
  <c r="E27611" i="1"/>
  <c r="D27611" i="1"/>
  <c r="E27610" i="1"/>
  <c r="D27610" i="1"/>
  <c r="D27609" i="1"/>
  <c r="E27609" i="1" s="1"/>
  <c r="E27608" i="1"/>
  <c r="D27608" i="1"/>
  <c r="D27607" i="1"/>
  <c r="E27607" i="1" s="1"/>
  <c r="D27606" i="1"/>
  <c r="E27606" i="1" s="1"/>
  <c r="E27605" i="1"/>
  <c r="D27605" i="1"/>
  <c r="E27604" i="1"/>
  <c r="D27604" i="1"/>
  <c r="D27603" i="1"/>
  <c r="E27603" i="1" s="1"/>
  <c r="D27602" i="1"/>
  <c r="E27602" i="1" s="1"/>
  <c r="D27601" i="1"/>
  <c r="E27601" i="1" s="1"/>
  <c r="D27600" i="1"/>
  <c r="E27600" i="1" s="1"/>
  <c r="E27599" i="1"/>
  <c r="D27599" i="1"/>
  <c r="E27598" i="1"/>
  <c r="D27598" i="1"/>
  <c r="D27597" i="1"/>
  <c r="E27597" i="1" s="1"/>
  <c r="E27596" i="1"/>
  <c r="D27596" i="1"/>
  <c r="D27595" i="1"/>
  <c r="E27595" i="1" s="1"/>
  <c r="D27594" i="1"/>
  <c r="E27594" i="1" s="1"/>
  <c r="E27593" i="1"/>
  <c r="D27593" i="1"/>
  <c r="E27592" i="1"/>
  <c r="D27592" i="1"/>
  <c r="D27591" i="1"/>
  <c r="E27591" i="1" s="1"/>
  <c r="D27590" i="1"/>
  <c r="E27590" i="1" s="1"/>
  <c r="D27589" i="1"/>
  <c r="E27589" i="1" s="1"/>
  <c r="D27588" i="1"/>
  <c r="E27588" i="1" s="1"/>
  <c r="E27587" i="1"/>
  <c r="D27587" i="1"/>
  <c r="E27586" i="1"/>
  <c r="D27586" i="1"/>
  <c r="D27585" i="1"/>
  <c r="E27585" i="1" s="1"/>
  <c r="E27584" i="1"/>
  <c r="D27584" i="1"/>
  <c r="D27583" i="1"/>
  <c r="E27583" i="1" s="1"/>
  <c r="D27582" i="1"/>
  <c r="E27582" i="1" s="1"/>
  <c r="E27581" i="1"/>
  <c r="D27581" i="1"/>
  <c r="E27580" i="1"/>
  <c r="D27580" i="1"/>
  <c r="D27579" i="1"/>
  <c r="E27579" i="1" s="1"/>
  <c r="D27578" i="1"/>
  <c r="E27578" i="1" s="1"/>
  <c r="D27577" i="1"/>
  <c r="E27577" i="1" s="1"/>
  <c r="D27576" i="1"/>
  <c r="E27576" i="1" s="1"/>
  <c r="E27575" i="1"/>
  <c r="D27575" i="1"/>
  <c r="E27574" i="1"/>
  <c r="D27574" i="1"/>
  <c r="D27573" i="1"/>
  <c r="E27573" i="1" s="1"/>
  <c r="E27572" i="1"/>
  <c r="D27572" i="1"/>
  <c r="D27571" i="1"/>
  <c r="E27571" i="1" s="1"/>
  <c r="D27570" i="1"/>
  <c r="E27570" i="1" s="1"/>
  <c r="E27569" i="1"/>
  <c r="D27569" i="1"/>
  <c r="E27568" i="1"/>
  <c r="D27568" i="1"/>
  <c r="D27567" i="1"/>
  <c r="E27567" i="1" s="1"/>
  <c r="D27566" i="1"/>
  <c r="E27566" i="1" s="1"/>
  <c r="D27565" i="1"/>
  <c r="E27565" i="1" s="1"/>
  <c r="D27564" i="1"/>
  <c r="E27564" i="1" s="1"/>
  <c r="E27563" i="1"/>
  <c r="D27563" i="1"/>
  <c r="E27562" i="1"/>
  <c r="D27562" i="1"/>
  <c r="D27561" i="1"/>
  <c r="E27561" i="1" s="1"/>
  <c r="E27560" i="1"/>
  <c r="D27560" i="1"/>
  <c r="D27559" i="1"/>
  <c r="E27559" i="1" s="1"/>
  <c r="D27558" i="1"/>
  <c r="E27558" i="1" s="1"/>
  <c r="E27557" i="1"/>
  <c r="D27557" i="1"/>
  <c r="E27556" i="1"/>
  <c r="D27556" i="1"/>
  <c r="D27555" i="1"/>
  <c r="E27555" i="1" s="1"/>
  <c r="D27554" i="1"/>
  <c r="E27554" i="1" s="1"/>
  <c r="D27553" i="1"/>
  <c r="E27553" i="1" s="1"/>
  <c r="D27552" i="1"/>
  <c r="E27552" i="1" s="1"/>
  <c r="E27551" i="1"/>
  <c r="D27551" i="1"/>
  <c r="E27550" i="1"/>
  <c r="D27550" i="1"/>
  <c r="D27549" i="1"/>
  <c r="E27549" i="1" s="1"/>
  <c r="E27548" i="1"/>
  <c r="D27548" i="1"/>
  <c r="D27547" i="1"/>
  <c r="E27547" i="1" s="1"/>
  <c r="D27546" i="1"/>
  <c r="E27546" i="1" s="1"/>
  <c r="E27545" i="1"/>
  <c r="D27545" i="1"/>
  <c r="E27544" i="1"/>
  <c r="D27544" i="1"/>
  <c r="D27543" i="1"/>
  <c r="E27543" i="1" s="1"/>
  <c r="D27542" i="1"/>
  <c r="E27542" i="1" s="1"/>
  <c r="D27541" i="1"/>
  <c r="E27541" i="1" s="1"/>
  <c r="D27540" i="1"/>
  <c r="E27540" i="1" s="1"/>
  <c r="E27539" i="1"/>
  <c r="D27539" i="1"/>
  <c r="E27538" i="1"/>
  <c r="D27538" i="1"/>
  <c r="D27537" i="1"/>
  <c r="E27537" i="1" s="1"/>
  <c r="E27536" i="1"/>
  <c r="D27536" i="1"/>
  <c r="D27535" i="1"/>
  <c r="E27535" i="1" s="1"/>
  <c r="D27534" i="1"/>
  <c r="E27534" i="1" s="1"/>
  <c r="E27533" i="1"/>
  <c r="D27533" i="1"/>
  <c r="E27532" i="1"/>
  <c r="D27532" i="1"/>
  <c r="D27531" i="1"/>
  <c r="E27531" i="1" s="1"/>
  <c r="D27530" i="1"/>
  <c r="E27530" i="1" s="1"/>
  <c r="D27529" i="1"/>
  <c r="E27529" i="1" s="1"/>
  <c r="D27528" i="1"/>
  <c r="E27528" i="1" s="1"/>
  <c r="E27527" i="1"/>
  <c r="D27527" i="1"/>
  <c r="E27526" i="1"/>
  <c r="D27526" i="1"/>
  <c r="D27525" i="1"/>
  <c r="E27525" i="1" s="1"/>
  <c r="E27524" i="1"/>
  <c r="D27524" i="1"/>
  <c r="D27523" i="1"/>
  <c r="E27523" i="1" s="1"/>
  <c r="D27522" i="1"/>
  <c r="E27522" i="1" s="1"/>
  <c r="E27521" i="1"/>
  <c r="D27521" i="1"/>
  <c r="E27520" i="1"/>
  <c r="D27520" i="1"/>
  <c r="D27519" i="1"/>
  <c r="E27519" i="1" s="1"/>
  <c r="D27518" i="1"/>
  <c r="E27518" i="1" s="1"/>
  <c r="D27517" i="1"/>
  <c r="E27517" i="1" s="1"/>
  <c r="D27516" i="1"/>
  <c r="E27516" i="1" s="1"/>
  <c r="E27515" i="1"/>
  <c r="D27515" i="1"/>
  <c r="E27514" i="1"/>
  <c r="D27514" i="1"/>
  <c r="D27513" i="1"/>
  <c r="E27513" i="1" s="1"/>
  <c r="E27512" i="1"/>
  <c r="D27512" i="1"/>
  <c r="D27511" i="1"/>
  <c r="E27511" i="1" s="1"/>
  <c r="D27510" i="1"/>
  <c r="E27510" i="1" s="1"/>
  <c r="E27509" i="1"/>
  <c r="D27509" i="1"/>
  <c r="E27508" i="1"/>
  <c r="D27508" i="1"/>
  <c r="D27507" i="1"/>
  <c r="E27507" i="1" s="1"/>
  <c r="D27506" i="1"/>
  <c r="E27506" i="1" s="1"/>
  <c r="D27505" i="1"/>
  <c r="E27505" i="1" s="1"/>
  <c r="D27504" i="1"/>
  <c r="E27504" i="1" s="1"/>
  <c r="E27503" i="1"/>
  <c r="D27503" i="1"/>
  <c r="E27502" i="1"/>
  <c r="D27502" i="1"/>
  <c r="D27501" i="1"/>
  <c r="E27501" i="1" s="1"/>
  <c r="E27500" i="1"/>
  <c r="D27500" i="1"/>
  <c r="D27499" i="1"/>
  <c r="E27499" i="1" s="1"/>
  <c r="D27498" i="1"/>
  <c r="E27498" i="1" s="1"/>
  <c r="E27497" i="1"/>
  <c r="D27497" i="1"/>
  <c r="E27496" i="1"/>
  <c r="D27496" i="1"/>
  <c r="D27495" i="1"/>
  <c r="E27495" i="1" s="1"/>
  <c r="D27494" i="1"/>
  <c r="E27494" i="1" s="1"/>
  <c r="D27493" i="1"/>
  <c r="E27493" i="1" s="1"/>
  <c r="D27492" i="1"/>
  <c r="E27492" i="1" s="1"/>
  <c r="E27491" i="1"/>
  <c r="D27491" i="1"/>
  <c r="E27490" i="1"/>
  <c r="D27490" i="1"/>
  <c r="D27489" i="1"/>
  <c r="E27489" i="1" s="1"/>
  <c r="E27488" i="1"/>
  <c r="D27488" i="1"/>
  <c r="D27487" i="1"/>
  <c r="E27487" i="1" s="1"/>
  <c r="D27486" i="1"/>
  <c r="E27486" i="1" s="1"/>
  <c r="E27485" i="1"/>
  <c r="D27485" i="1"/>
  <c r="E27484" i="1"/>
  <c r="D27484" i="1"/>
  <c r="D27483" i="1"/>
  <c r="E27483" i="1" s="1"/>
  <c r="E27482" i="1"/>
  <c r="D27482" i="1"/>
  <c r="D27481" i="1"/>
  <c r="E27481" i="1" s="1"/>
  <c r="D27480" i="1"/>
  <c r="E27480" i="1" s="1"/>
  <c r="E27479" i="1"/>
  <c r="D27479" i="1"/>
  <c r="E27478" i="1"/>
  <c r="D27478" i="1"/>
  <c r="D27477" i="1"/>
  <c r="E27477" i="1" s="1"/>
  <c r="E27476" i="1"/>
  <c r="D27476" i="1"/>
  <c r="D27475" i="1"/>
  <c r="E27475" i="1" s="1"/>
  <c r="D27474" i="1"/>
  <c r="E27474" i="1" s="1"/>
  <c r="E27473" i="1"/>
  <c r="D27473" i="1"/>
  <c r="E27472" i="1"/>
  <c r="D27472" i="1"/>
  <c r="D27471" i="1"/>
  <c r="E27471" i="1" s="1"/>
  <c r="E27470" i="1"/>
  <c r="D27470" i="1"/>
  <c r="D27469" i="1"/>
  <c r="E27469" i="1" s="1"/>
  <c r="D27468" i="1"/>
  <c r="E27468" i="1" s="1"/>
  <c r="E27467" i="1"/>
  <c r="D27467" i="1"/>
  <c r="E27466" i="1"/>
  <c r="D27466" i="1"/>
  <c r="D27465" i="1"/>
  <c r="E27465" i="1" s="1"/>
  <c r="D27464" i="1"/>
  <c r="E27464" i="1" s="1"/>
  <c r="D27463" i="1"/>
  <c r="E27463" i="1" s="1"/>
  <c r="D27462" i="1"/>
  <c r="E27462" i="1" s="1"/>
  <c r="D27461" i="1"/>
  <c r="E27461" i="1" s="1"/>
  <c r="E27460" i="1"/>
  <c r="D27460" i="1"/>
  <c r="D27459" i="1"/>
  <c r="E27459" i="1" s="1"/>
  <c r="E27458" i="1"/>
  <c r="D27458" i="1"/>
  <c r="E27457" i="1"/>
  <c r="D27457" i="1"/>
  <c r="D27456" i="1"/>
  <c r="E27456" i="1" s="1"/>
  <c r="E27455" i="1"/>
  <c r="D27455" i="1"/>
  <c r="E27454" i="1"/>
  <c r="D27454" i="1"/>
  <c r="D27453" i="1"/>
  <c r="E27453" i="1" s="1"/>
  <c r="D27452" i="1"/>
  <c r="E27452" i="1" s="1"/>
  <c r="D27451" i="1"/>
  <c r="E27451" i="1" s="1"/>
  <c r="D27450" i="1"/>
  <c r="E27450" i="1" s="1"/>
  <c r="E27449" i="1"/>
  <c r="D27449" i="1"/>
  <c r="E27448" i="1"/>
  <c r="D27448" i="1"/>
  <c r="D27447" i="1"/>
  <c r="E27447" i="1" s="1"/>
  <c r="D27446" i="1"/>
  <c r="E27446" i="1" s="1"/>
  <c r="D27445" i="1"/>
  <c r="E27445" i="1" s="1"/>
  <c r="D27444" i="1"/>
  <c r="E27444" i="1" s="1"/>
  <c r="E27443" i="1"/>
  <c r="D27443" i="1"/>
  <c r="E27442" i="1"/>
  <c r="D27442" i="1"/>
  <c r="D27441" i="1"/>
  <c r="E27441" i="1" s="1"/>
  <c r="E27440" i="1"/>
  <c r="D27440" i="1"/>
  <c r="D27439" i="1"/>
  <c r="E27439" i="1" s="1"/>
  <c r="D27438" i="1"/>
  <c r="E27438" i="1" s="1"/>
  <c r="D27437" i="1"/>
  <c r="E27437" i="1" s="1"/>
  <c r="E27436" i="1"/>
  <c r="D27436" i="1"/>
  <c r="D27435" i="1"/>
  <c r="E27435" i="1" s="1"/>
  <c r="E27434" i="1"/>
  <c r="D27434" i="1"/>
  <c r="E27433" i="1"/>
  <c r="D27433" i="1"/>
  <c r="D27432" i="1"/>
  <c r="E27432" i="1" s="1"/>
  <c r="E27431" i="1"/>
  <c r="D27431" i="1"/>
  <c r="E27430" i="1"/>
  <c r="D27430" i="1"/>
  <c r="D27429" i="1"/>
  <c r="E27429" i="1" s="1"/>
  <c r="E27428" i="1"/>
  <c r="D27428" i="1"/>
  <c r="D27427" i="1"/>
  <c r="E27427" i="1" s="1"/>
  <c r="D27426" i="1"/>
  <c r="E27426" i="1" s="1"/>
  <c r="E27425" i="1"/>
  <c r="D27425" i="1"/>
  <c r="D27424" i="1"/>
  <c r="E27424" i="1" s="1"/>
  <c r="D27423" i="1"/>
  <c r="E27423" i="1" s="1"/>
  <c r="D27422" i="1"/>
  <c r="E27422" i="1" s="1"/>
  <c r="E27421" i="1"/>
  <c r="D27421" i="1"/>
  <c r="D27420" i="1"/>
  <c r="E27420" i="1" s="1"/>
  <c r="E27419" i="1"/>
  <c r="D27419" i="1"/>
  <c r="E27418" i="1"/>
  <c r="D27418" i="1"/>
  <c r="D27417" i="1"/>
  <c r="E27417" i="1" s="1"/>
  <c r="D27416" i="1"/>
  <c r="E27416" i="1" s="1"/>
  <c r="D27415" i="1"/>
  <c r="E27415" i="1" s="1"/>
  <c r="D27414" i="1"/>
  <c r="E27414" i="1" s="1"/>
  <c r="E27413" i="1"/>
  <c r="D27413" i="1"/>
  <c r="D27412" i="1"/>
  <c r="E27412" i="1" s="1"/>
  <c r="D27411" i="1"/>
  <c r="E27411" i="1" s="1"/>
  <c r="E27410" i="1"/>
  <c r="D27410" i="1"/>
  <c r="D27409" i="1"/>
  <c r="E27409" i="1" s="1"/>
  <c r="D27408" i="1"/>
  <c r="E27408" i="1" s="1"/>
  <c r="E27407" i="1"/>
  <c r="D27407" i="1"/>
  <c r="E27406" i="1"/>
  <c r="D27406" i="1"/>
  <c r="D27405" i="1"/>
  <c r="E27405" i="1" s="1"/>
  <c r="E27404" i="1"/>
  <c r="D27404" i="1"/>
  <c r="D27403" i="1"/>
  <c r="E27403" i="1" s="1"/>
  <c r="D27402" i="1"/>
  <c r="E27402" i="1" s="1"/>
  <c r="E27401" i="1"/>
  <c r="D27401" i="1"/>
  <c r="D27400" i="1"/>
  <c r="E27400" i="1" s="1"/>
  <c r="D27399" i="1"/>
  <c r="E27399" i="1" s="1"/>
  <c r="E27398" i="1"/>
  <c r="D27398" i="1"/>
  <c r="D27397" i="1"/>
  <c r="E27397" i="1" s="1"/>
  <c r="D27396" i="1"/>
  <c r="E27396" i="1" s="1"/>
  <c r="E27395" i="1"/>
  <c r="D27395" i="1"/>
  <c r="E27394" i="1"/>
  <c r="D27394" i="1"/>
  <c r="D27393" i="1"/>
  <c r="E27393" i="1" s="1"/>
  <c r="E27392" i="1"/>
  <c r="D27392" i="1"/>
  <c r="D27391" i="1"/>
  <c r="E27391" i="1" s="1"/>
  <c r="D27390" i="1"/>
  <c r="E27390" i="1" s="1"/>
  <c r="D27389" i="1"/>
  <c r="E27389" i="1" s="1"/>
  <c r="D27388" i="1"/>
  <c r="E27388" i="1" s="1"/>
  <c r="D27387" i="1"/>
  <c r="E27387" i="1" s="1"/>
  <c r="E27386" i="1"/>
  <c r="D27386" i="1"/>
  <c r="D27385" i="1"/>
  <c r="E27385" i="1" s="1"/>
  <c r="D27384" i="1"/>
  <c r="E27384" i="1" s="1"/>
  <c r="E27383" i="1"/>
  <c r="D27383" i="1"/>
  <c r="E27382" i="1"/>
  <c r="D27382" i="1"/>
  <c r="D27381" i="1"/>
  <c r="E27381" i="1" s="1"/>
  <c r="E27380" i="1"/>
  <c r="D27380" i="1"/>
  <c r="D27379" i="1"/>
  <c r="E27379" i="1" s="1"/>
  <c r="D27378" i="1"/>
  <c r="E27378" i="1" s="1"/>
  <c r="D27377" i="1"/>
  <c r="E27377" i="1" s="1"/>
  <c r="D27376" i="1"/>
  <c r="E27376" i="1" s="1"/>
  <c r="D27375" i="1"/>
  <c r="E27375" i="1" s="1"/>
  <c r="D27374" i="1"/>
  <c r="E27374" i="1" s="1"/>
  <c r="D27373" i="1"/>
  <c r="E27373" i="1" s="1"/>
  <c r="D27372" i="1"/>
  <c r="E27372" i="1" s="1"/>
  <c r="E27371" i="1"/>
  <c r="D27371" i="1"/>
  <c r="E27370" i="1"/>
  <c r="D27370" i="1"/>
  <c r="D27369" i="1"/>
  <c r="E27369" i="1" s="1"/>
  <c r="E27368" i="1"/>
  <c r="D27368" i="1"/>
  <c r="D27367" i="1"/>
  <c r="E27367" i="1" s="1"/>
  <c r="D27366" i="1"/>
  <c r="E27366" i="1" s="1"/>
  <c r="D27365" i="1"/>
  <c r="E27365" i="1" s="1"/>
  <c r="D27364" i="1"/>
  <c r="E27364" i="1" s="1"/>
  <c r="D27363" i="1"/>
  <c r="E27363" i="1" s="1"/>
  <c r="D27362" i="1"/>
  <c r="E27362" i="1" s="1"/>
  <c r="D27361" i="1"/>
  <c r="E27361" i="1" s="1"/>
  <c r="D27360" i="1"/>
  <c r="E27360" i="1" s="1"/>
  <c r="E27359" i="1"/>
  <c r="D27359" i="1"/>
  <c r="E27358" i="1"/>
  <c r="D27358" i="1"/>
  <c r="D27357" i="1"/>
  <c r="E27357" i="1" s="1"/>
  <c r="E27356" i="1"/>
  <c r="D27356" i="1"/>
  <c r="D27355" i="1"/>
  <c r="E27355" i="1" s="1"/>
  <c r="D27354" i="1"/>
  <c r="E27354" i="1" s="1"/>
  <c r="E27353" i="1"/>
  <c r="D27353" i="1"/>
  <c r="E27352" i="1"/>
  <c r="D27352" i="1"/>
  <c r="E27351" i="1"/>
  <c r="D27351" i="1"/>
  <c r="E27350" i="1"/>
  <c r="D27350" i="1"/>
  <c r="D27349" i="1"/>
  <c r="E27349" i="1" s="1"/>
  <c r="D27348" i="1"/>
  <c r="E27348" i="1" s="1"/>
  <c r="E27347" i="1"/>
  <c r="D27347" i="1"/>
  <c r="E27346" i="1"/>
  <c r="D27346" i="1"/>
  <c r="D27345" i="1"/>
  <c r="E27345" i="1" s="1"/>
  <c r="E27344" i="1"/>
  <c r="D27344" i="1"/>
  <c r="D27343" i="1"/>
  <c r="E27343" i="1" s="1"/>
  <c r="D27342" i="1"/>
  <c r="E27342" i="1" s="1"/>
  <c r="D27341" i="1"/>
  <c r="E27341" i="1" s="1"/>
  <c r="D27340" i="1"/>
  <c r="E27340" i="1" s="1"/>
  <c r="E27339" i="1"/>
  <c r="D27339" i="1"/>
  <c r="D27338" i="1"/>
  <c r="E27338" i="1" s="1"/>
  <c r="D27337" i="1"/>
  <c r="E27337" i="1" s="1"/>
  <c r="D27336" i="1"/>
  <c r="E27336" i="1" s="1"/>
  <c r="E27335" i="1"/>
  <c r="D27335" i="1"/>
  <c r="E27334" i="1"/>
  <c r="D27334" i="1"/>
  <c r="D27333" i="1"/>
  <c r="E27333" i="1" s="1"/>
  <c r="E27332" i="1"/>
  <c r="D27332" i="1"/>
  <c r="D27331" i="1"/>
  <c r="E27331" i="1" s="1"/>
  <c r="E27330" i="1"/>
  <c r="D27330" i="1"/>
  <c r="E27329" i="1"/>
  <c r="D27329" i="1"/>
  <c r="E27328" i="1"/>
  <c r="D27328" i="1"/>
  <c r="D27327" i="1"/>
  <c r="E27327" i="1" s="1"/>
  <c r="D27326" i="1"/>
  <c r="E27326" i="1" s="1"/>
  <c r="E27325" i="1"/>
  <c r="D27325" i="1"/>
  <c r="D27324" i="1"/>
  <c r="E27324" i="1" s="1"/>
  <c r="E27323" i="1"/>
  <c r="D27323" i="1"/>
  <c r="E27322" i="1"/>
  <c r="D27322" i="1"/>
  <c r="D27321" i="1"/>
  <c r="E27321" i="1" s="1"/>
  <c r="D27320" i="1"/>
  <c r="E27320" i="1" s="1"/>
  <c r="D27319" i="1"/>
  <c r="E27319" i="1" s="1"/>
  <c r="E27318" i="1"/>
  <c r="D27318" i="1"/>
  <c r="D27317" i="1"/>
  <c r="E27317" i="1" s="1"/>
  <c r="D27316" i="1"/>
  <c r="E27316" i="1" s="1"/>
  <c r="D27315" i="1"/>
  <c r="E27315" i="1" s="1"/>
  <c r="D27314" i="1"/>
  <c r="E27314" i="1" s="1"/>
  <c r="E27313" i="1"/>
  <c r="D27313" i="1"/>
  <c r="D27312" i="1"/>
  <c r="E27312" i="1" s="1"/>
  <c r="E27311" i="1"/>
  <c r="D27311" i="1"/>
  <c r="E27310" i="1"/>
  <c r="D27310" i="1"/>
  <c r="D27309" i="1"/>
  <c r="E27309" i="1" s="1"/>
  <c r="E27308" i="1"/>
  <c r="D27308" i="1"/>
  <c r="D27307" i="1"/>
  <c r="E27307" i="1" s="1"/>
  <c r="D27306" i="1"/>
  <c r="E27306" i="1" s="1"/>
  <c r="D27305" i="1"/>
  <c r="E27305" i="1" s="1"/>
  <c r="E27304" i="1"/>
  <c r="D27304" i="1"/>
  <c r="E27303" i="1"/>
  <c r="D27303" i="1"/>
  <c r="E27302" i="1"/>
  <c r="D27302" i="1"/>
  <c r="E27301" i="1"/>
  <c r="D27301" i="1"/>
  <c r="D27300" i="1"/>
  <c r="E27300" i="1" s="1"/>
  <c r="E27299" i="1"/>
  <c r="D27299" i="1"/>
  <c r="E27298" i="1"/>
  <c r="D27298" i="1"/>
  <c r="D27297" i="1"/>
  <c r="E27297" i="1" s="1"/>
  <c r="E27296" i="1"/>
  <c r="D27296" i="1"/>
  <c r="D27295" i="1"/>
  <c r="E27295" i="1" s="1"/>
  <c r="E27294" i="1"/>
  <c r="D27294" i="1"/>
  <c r="D27293" i="1"/>
  <c r="E27293" i="1" s="1"/>
  <c r="D27292" i="1"/>
  <c r="E27292" i="1" s="1"/>
  <c r="E27291" i="1"/>
  <c r="D27291" i="1"/>
  <c r="D27290" i="1"/>
  <c r="E27290" i="1" s="1"/>
  <c r="D27289" i="1"/>
  <c r="E27289" i="1" s="1"/>
  <c r="D27288" i="1"/>
  <c r="E27288" i="1" s="1"/>
  <c r="E27287" i="1"/>
  <c r="D27287" i="1"/>
  <c r="E27286" i="1"/>
  <c r="D27286" i="1"/>
  <c r="D27285" i="1"/>
  <c r="E27285" i="1" s="1"/>
  <c r="E27284" i="1"/>
  <c r="D27284" i="1"/>
  <c r="D27283" i="1"/>
  <c r="E27283" i="1" s="1"/>
  <c r="D27282" i="1"/>
  <c r="E27282" i="1" s="1"/>
  <c r="E27281" i="1"/>
  <c r="D27281" i="1"/>
  <c r="D27280" i="1"/>
  <c r="E27280" i="1" s="1"/>
  <c r="D27279" i="1"/>
  <c r="E27279" i="1" s="1"/>
  <c r="E27278" i="1"/>
  <c r="D27278" i="1"/>
  <c r="D27277" i="1"/>
  <c r="E27277" i="1" s="1"/>
  <c r="D27276" i="1"/>
  <c r="E27276" i="1" s="1"/>
  <c r="E27275" i="1"/>
  <c r="D27275" i="1"/>
  <c r="E27274" i="1"/>
  <c r="D27274" i="1"/>
  <c r="D27273" i="1"/>
  <c r="E27273" i="1" s="1"/>
  <c r="E27272" i="1"/>
  <c r="D27272" i="1"/>
  <c r="E27271" i="1"/>
  <c r="D27271" i="1"/>
  <c r="D27270" i="1"/>
  <c r="E27270" i="1" s="1"/>
  <c r="D27269" i="1"/>
  <c r="E27269" i="1" s="1"/>
  <c r="E27268" i="1"/>
  <c r="D27268" i="1"/>
  <c r="D27267" i="1"/>
  <c r="E27267" i="1" s="1"/>
  <c r="D27266" i="1"/>
  <c r="E27266" i="1" s="1"/>
  <c r="E27265" i="1"/>
  <c r="D27265" i="1"/>
  <c r="D27264" i="1"/>
  <c r="E27264" i="1" s="1"/>
  <c r="E27263" i="1"/>
  <c r="D27263" i="1"/>
  <c r="E27262" i="1"/>
  <c r="D27262" i="1"/>
  <c r="D27261" i="1"/>
  <c r="E27261" i="1" s="1"/>
  <c r="D27260" i="1"/>
  <c r="E27260" i="1" s="1"/>
  <c r="D27259" i="1"/>
  <c r="E27259" i="1" s="1"/>
  <c r="E27258" i="1"/>
  <c r="D27258" i="1"/>
  <c r="D27257" i="1"/>
  <c r="E27257" i="1" s="1"/>
  <c r="D27256" i="1"/>
  <c r="E27256" i="1" s="1"/>
  <c r="E27255" i="1"/>
  <c r="D27255" i="1"/>
  <c r="D27254" i="1"/>
  <c r="E27254" i="1" s="1"/>
  <c r="D27253" i="1"/>
  <c r="E27253" i="1" s="1"/>
  <c r="D27252" i="1"/>
  <c r="E27252" i="1" s="1"/>
  <c r="E27251" i="1"/>
  <c r="D27251" i="1"/>
  <c r="E27250" i="1"/>
  <c r="D27250" i="1"/>
  <c r="D27249" i="1"/>
  <c r="E27249" i="1" s="1"/>
  <c r="D27248" i="1"/>
  <c r="E27248" i="1" s="1"/>
  <c r="D27247" i="1"/>
  <c r="E27247" i="1" s="1"/>
  <c r="E27246" i="1"/>
  <c r="D27246" i="1"/>
  <c r="E27245" i="1"/>
  <c r="D27245" i="1"/>
  <c r="D27244" i="1"/>
  <c r="E27244" i="1" s="1"/>
  <c r="D27243" i="1"/>
  <c r="E27243" i="1" s="1"/>
  <c r="E27242" i="1"/>
  <c r="D27242" i="1"/>
  <c r="D27241" i="1"/>
  <c r="E27241" i="1" s="1"/>
  <c r="D27240" i="1"/>
  <c r="E27240" i="1" s="1"/>
  <c r="E27239" i="1"/>
  <c r="D27239" i="1"/>
  <c r="E27238" i="1"/>
  <c r="D27238" i="1"/>
  <c r="D27237" i="1"/>
  <c r="E27237" i="1" s="1"/>
  <c r="D27236" i="1"/>
  <c r="E27236" i="1" s="1"/>
  <c r="D27235" i="1"/>
  <c r="E27235" i="1" s="1"/>
  <c r="D27234" i="1"/>
  <c r="E27234" i="1" s="1"/>
  <c r="D27233" i="1"/>
  <c r="E27233" i="1" s="1"/>
  <c r="E27232" i="1"/>
  <c r="D27232" i="1"/>
  <c r="D27231" i="1"/>
  <c r="E27231" i="1" s="1"/>
  <c r="D27230" i="1"/>
  <c r="E27230" i="1" s="1"/>
  <c r="E27229" i="1"/>
  <c r="D27229" i="1"/>
  <c r="D27228" i="1"/>
  <c r="E27228" i="1" s="1"/>
  <c r="E27227" i="1"/>
  <c r="D27227" i="1"/>
  <c r="D27226" i="1"/>
  <c r="E27226" i="1" s="1"/>
  <c r="D27225" i="1"/>
  <c r="E27225" i="1" s="1"/>
  <c r="D27224" i="1"/>
  <c r="E27224" i="1" s="1"/>
  <c r="D27223" i="1"/>
  <c r="E27223" i="1" s="1"/>
  <c r="D27222" i="1"/>
  <c r="E27222" i="1" s="1"/>
  <c r="D27221" i="1"/>
  <c r="E27221" i="1" s="1"/>
  <c r="E27220" i="1"/>
  <c r="D27220" i="1"/>
  <c r="E27219" i="1"/>
  <c r="D27219" i="1"/>
  <c r="D27218" i="1"/>
  <c r="E27218" i="1" s="1"/>
  <c r="D27217" i="1"/>
  <c r="E27217" i="1" s="1"/>
  <c r="D27216" i="1"/>
  <c r="E27216" i="1" s="1"/>
  <c r="E27215" i="1"/>
  <c r="D27215" i="1"/>
  <c r="D27214" i="1"/>
  <c r="E27214" i="1" s="1"/>
  <c r="D27213" i="1"/>
  <c r="E27213" i="1" s="1"/>
  <c r="E27212" i="1"/>
  <c r="D27212" i="1"/>
  <c r="D27211" i="1"/>
  <c r="E27211" i="1" s="1"/>
  <c r="D27210" i="1"/>
  <c r="E27210" i="1" s="1"/>
  <c r="D27209" i="1"/>
  <c r="E27209" i="1" s="1"/>
  <c r="D27208" i="1"/>
  <c r="E27208" i="1" s="1"/>
  <c r="D27207" i="1"/>
  <c r="E27207" i="1" s="1"/>
  <c r="E27206" i="1"/>
  <c r="D27206" i="1"/>
  <c r="D27205" i="1"/>
  <c r="E27205" i="1" s="1"/>
  <c r="D27204" i="1"/>
  <c r="E27204" i="1" s="1"/>
  <c r="E27203" i="1"/>
  <c r="D27203" i="1"/>
  <c r="D27202" i="1"/>
  <c r="E27202" i="1" s="1"/>
  <c r="D27201" i="1"/>
  <c r="E27201" i="1" s="1"/>
  <c r="D27200" i="1"/>
  <c r="E27200" i="1" s="1"/>
  <c r="E27199" i="1"/>
  <c r="D27199" i="1"/>
  <c r="D27198" i="1"/>
  <c r="E27198" i="1" s="1"/>
  <c r="D27197" i="1"/>
  <c r="E27197" i="1" s="1"/>
  <c r="D27196" i="1"/>
  <c r="E27196" i="1" s="1"/>
  <c r="D27195" i="1"/>
  <c r="E27195" i="1" s="1"/>
  <c r="D27194" i="1"/>
  <c r="E27194" i="1" s="1"/>
  <c r="E27193" i="1"/>
  <c r="D27193" i="1"/>
  <c r="D27192" i="1"/>
  <c r="E27192" i="1" s="1"/>
  <c r="E27191" i="1"/>
  <c r="D27191" i="1"/>
  <c r="E27190" i="1"/>
  <c r="D27190" i="1"/>
  <c r="D27189" i="1"/>
  <c r="E27189" i="1" s="1"/>
  <c r="D27188" i="1"/>
  <c r="E27188" i="1" s="1"/>
  <c r="D27187" i="1"/>
  <c r="E27187" i="1" s="1"/>
  <c r="E27186" i="1"/>
  <c r="D27186" i="1"/>
  <c r="D27185" i="1"/>
  <c r="E27185" i="1" s="1"/>
  <c r="D27184" i="1"/>
  <c r="E27184" i="1" s="1"/>
  <c r="D27183" i="1"/>
  <c r="E27183" i="1" s="1"/>
  <c r="D27182" i="1"/>
  <c r="E27182" i="1" s="1"/>
  <c r="E27181" i="1"/>
  <c r="D27181" i="1"/>
  <c r="D27180" i="1"/>
  <c r="E27180" i="1" s="1"/>
  <c r="E27179" i="1"/>
  <c r="D27179" i="1"/>
  <c r="E27178" i="1"/>
  <c r="D27178" i="1"/>
  <c r="D27177" i="1"/>
  <c r="E27177" i="1" s="1"/>
  <c r="D27176" i="1"/>
  <c r="E27176" i="1" s="1"/>
  <c r="D27175" i="1"/>
  <c r="E27175" i="1" s="1"/>
  <c r="D27174" i="1"/>
  <c r="E27174" i="1" s="1"/>
  <c r="E27173" i="1"/>
  <c r="D27173" i="1"/>
  <c r="D27172" i="1"/>
  <c r="E27172" i="1" s="1"/>
  <c r="D27171" i="1"/>
  <c r="E27171" i="1" s="1"/>
  <c r="D27170" i="1"/>
  <c r="E27170" i="1" s="1"/>
  <c r="D27169" i="1"/>
  <c r="E27169" i="1" s="1"/>
  <c r="D27168" i="1"/>
  <c r="E27168" i="1" s="1"/>
  <c r="E27167" i="1"/>
  <c r="D27167" i="1"/>
  <c r="E27166" i="1"/>
  <c r="D27166" i="1"/>
  <c r="D27165" i="1"/>
  <c r="E27165" i="1" s="1"/>
  <c r="D27164" i="1"/>
  <c r="E27164" i="1" s="1"/>
  <c r="D27163" i="1"/>
  <c r="E27163" i="1" s="1"/>
  <c r="D27162" i="1"/>
  <c r="E27162" i="1" s="1"/>
  <c r="D27161" i="1"/>
  <c r="E27161" i="1" s="1"/>
  <c r="E27160" i="1"/>
  <c r="D27160" i="1"/>
  <c r="D27159" i="1"/>
  <c r="E27159" i="1" s="1"/>
  <c r="D27158" i="1"/>
  <c r="E27158" i="1" s="1"/>
  <c r="D27157" i="1"/>
  <c r="E27157" i="1" s="1"/>
  <c r="D27156" i="1"/>
  <c r="E27156" i="1" s="1"/>
  <c r="D27155" i="1"/>
  <c r="E27155" i="1" s="1"/>
  <c r="D27154" i="1"/>
  <c r="E27154" i="1" s="1"/>
  <c r="D27153" i="1"/>
  <c r="E27153" i="1" s="1"/>
  <c r="D27152" i="1"/>
  <c r="E27152" i="1" s="1"/>
  <c r="D27151" i="1"/>
  <c r="E27151" i="1" s="1"/>
  <c r="D27150" i="1"/>
  <c r="E27150" i="1" s="1"/>
  <c r="D27149" i="1"/>
  <c r="E27149" i="1" s="1"/>
  <c r="D27148" i="1"/>
  <c r="E27148" i="1" s="1"/>
  <c r="E27147" i="1"/>
  <c r="D27147" i="1"/>
  <c r="D27146" i="1"/>
  <c r="E27146" i="1" s="1"/>
  <c r="D27145" i="1"/>
  <c r="E27145" i="1" s="1"/>
  <c r="D27144" i="1"/>
  <c r="E27144" i="1" s="1"/>
  <c r="E27143" i="1"/>
  <c r="D27143" i="1"/>
  <c r="D27142" i="1"/>
  <c r="E27142" i="1" s="1"/>
  <c r="D27141" i="1"/>
  <c r="E27141" i="1" s="1"/>
  <c r="E27140" i="1"/>
  <c r="D27140" i="1"/>
  <c r="D27139" i="1"/>
  <c r="E27139" i="1" s="1"/>
  <c r="D27138" i="1"/>
  <c r="E27138" i="1" s="1"/>
  <c r="D27137" i="1"/>
  <c r="E27137" i="1" s="1"/>
  <c r="D27136" i="1"/>
  <c r="E27136" i="1" s="1"/>
  <c r="D27135" i="1"/>
  <c r="E27135" i="1" s="1"/>
  <c r="E27134" i="1"/>
  <c r="D27134" i="1"/>
  <c r="D27133" i="1"/>
  <c r="E27133" i="1" s="1"/>
  <c r="D27132" i="1"/>
  <c r="E27132" i="1" s="1"/>
  <c r="E27131" i="1"/>
  <c r="D27131" i="1"/>
  <c r="E27130" i="1"/>
  <c r="D27130" i="1"/>
  <c r="D27129" i="1"/>
  <c r="E27129" i="1" s="1"/>
  <c r="E27128" i="1"/>
  <c r="D27128" i="1"/>
  <c r="E27127" i="1"/>
  <c r="D27127" i="1"/>
  <c r="D27126" i="1"/>
  <c r="E27126" i="1" s="1"/>
  <c r="D27125" i="1"/>
  <c r="E27125" i="1" s="1"/>
  <c r="D27124" i="1"/>
  <c r="E27124" i="1" s="1"/>
  <c r="D27123" i="1"/>
  <c r="E27123" i="1" s="1"/>
  <c r="D27122" i="1"/>
  <c r="E27122" i="1" s="1"/>
  <c r="E27121" i="1"/>
  <c r="D27121" i="1"/>
  <c r="D27120" i="1"/>
  <c r="E27120" i="1" s="1"/>
  <c r="E27119" i="1"/>
  <c r="D27119" i="1"/>
  <c r="E27118" i="1"/>
  <c r="D27118" i="1"/>
  <c r="D27117" i="1"/>
  <c r="E27117" i="1" s="1"/>
  <c r="D27116" i="1"/>
  <c r="E27116" i="1" s="1"/>
  <c r="D27115" i="1"/>
  <c r="E27115" i="1" s="1"/>
  <c r="E27114" i="1"/>
  <c r="D27114" i="1"/>
  <c r="D27113" i="1"/>
  <c r="E27113" i="1" s="1"/>
  <c r="D27112" i="1"/>
  <c r="E27112" i="1" s="1"/>
  <c r="D27111" i="1"/>
  <c r="E27111" i="1" s="1"/>
  <c r="D27110" i="1"/>
  <c r="E27110" i="1" s="1"/>
  <c r="D27109" i="1"/>
  <c r="E27109" i="1" s="1"/>
  <c r="D27108" i="1"/>
  <c r="E27108" i="1" s="1"/>
  <c r="E27107" i="1"/>
  <c r="D27107" i="1"/>
  <c r="E27106" i="1"/>
  <c r="D27106" i="1"/>
  <c r="D27105" i="1"/>
  <c r="E27105" i="1" s="1"/>
  <c r="D27104" i="1"/>
  <c r="E27104" i="1" s="1"/>
  <c r="D27103" i="1"/>
  <c r="E27103" i="1" s="1"/>
  <c r="D27102" i="1"/>
  <c r="E27102" i="1" s="1"/>
  <c r="E27101" i="1"/>
  <c r="D27101" i="1"/>
  <c r="D27100" i="1"/>
  <c r="E27100" i="1" s="1"/>
  <c r="D27099" i="1"/>
  <c r="E27099" i="1" s="1"/>
  <c r="D27098" i="1"/>
  <c r="E27098" i="1" s="1"/>
  <c r="D27097" i="1"/>
  <c r="E27097" i="1" s="1"/>
  <c r="D27096" i="1"/>
  <c r="E27096" i="1" s="1"/>
  <c r="D27095" i="1"/>
  <c r="E27095" i="1" s="1"/>
  <c r="E27094" i="1"/>
  <c r="D27094" i="1"/>
  <c r="D27093" i="1"/>
  <c r="E27093" i="1" s="1"/>
  <c r="D27092" i="1"/>
  <c r="E27092" i="1" s="1"/>
  <c r="D27091" i="1"/>
  <c r="E27091" i="1" s="1"/>
  <c r="D27090" i="1"/>
  <c r="E27090" i="1" s="1"/>
  <c r="D27089" i="1"/>
  <c r="E27089" i="1" s="1"/>
  <c r="E27088" i="1"/>
  <c r="D27088" i="1"/>
  <c r="D27087" i="1"/>
  <c r="E27087" i="1" s="1"/>
  <c r="D27086" i="1"/>
  <c r="E27086" i="1" s="1"/>
  <c r="D27085" i="1"/>
  <c r="E27085" i="1" s="1"/>
  <c r="D27084" i="1"/>
  <c r="E27084" i="1" s="1"/>
  <c r="E27083" i="1"/>
  <c r="D27083" i="1"/>
  <c r="D27082" i="1"/>
  <c r="E27082" i="1" s="1"/>
  <c r="D27081" i="1"/>
  <c r="E27081" i="1" s="1"/>
  <c r="D27080" i="1"/>
  <c r="E27080" i="1" s="1"/>
  <c r="D27079" i="1"/>
  <c r="E27079" i="1" s="1"/>
  <c r="D27078" i="1"/>
  <c r="E27078" i="1" s="1"/>
  <c r="D27077" i="1"/>
  <c r="E27077" i="1" s="1"/>
  <c r="E27076" i="1"/>
  <c r="D27076" i="1"/>
  <c r="E27075" i="1"/>
  <c r="D27075" i="1"/>
  <c r="D27074" i="1"/>
  <c r="E27074" i="1" s="1"/>
  <c r="D27073" i="1"/>
  <c r="E27073" i="1" s="1"/>
  <c r="D27072" i="1"/>
  <c r="E27072" i="1" s="1"/>
  <c r="E27071" i="1"/>
  <c r="D27071" i="1"/>
  <c r="E27070" i="1"/>
  <c r="D27070" i="1"/>
  <c r="D27069" i="1"/>
  <c r="E27069" i="1" s="1"/>
  <c r="E27068" i="1"/>
  <c r="D27068" i="1"/>
  <c r="D27067" i="1"/>
  <c r="E27067" i="1" s="1"/>
  <c r="D27066" i="1"/>
  <c r="E27066" i="1" s="1"/>
  <c r="D27065" i="1"/>
  <c r="E27065" i="1" s="1"/>
  <c r="D27064" i="1"/>
  <c r="E27064" i="1" s="1"/>
  <c r="D27063" i="1"/>
  <c r="E27063" i="1" s="1"/>
  <c r="E27062" i="1"/>
  <c r="D27062" i="1"/>
  <c r="D27061" i="1"/>
  <c r="E27061" i="1" s="1"/>
  <c r="D27060" i="1"/>
  <c r="E27060" i="1" s="1"/>
  <c r="E27059" i="1"/>
  <c r="D27059" i="1"/>
  <c r="E27058" i="1"/>
  <c r="D27058" i="1"/>
  <c r="D27057" i="1"/>
  <c r="E27057" i="1" s="1"/>
  <c r="D27056" i="1"/>
  <c r="E27056" i="1" s="1"/>
  <c r="E27055" i="1"/>
  <c r="D27055" i="1"/>
  <c r="D27054" i="1"/>
  <c r="E27054" i="1" s="1"/>
  <c r="D27053" i="1"/>
  <c r="E27053" i="1" s="1"/>
  <c r="D27052" i="1"/>
  <c r="E27052" i="1" s="1"/>
  <c r="D27051" i="1"/>
  <c r="E27051" i="1" s="1"/>
  <c r="E27050" i="1"/>
  <c r="D27050" i="1"/>
  <c r="E27049" i="1"/>
  <c r="D27049" i="1"/>
  <c r="D27048" i="1"/>
  <c r="E27048" i="1" s="1"/>
  <c r="E27047" i="1"/>
  <c r="D27047" i="1"/>
  <c r="E27046" i="1"/>
  <c r="D27046" i="1"/>
  <c r="D27045" i="1"/>
  <c r="E27045" i="1" s="1"/>
  <c r="D27044" i="1"/>
  <c r="E27044" i="1" s="1"/>
  <c r="D27043" i="1"/>
  <c r="E27043" i="1" s="1"/>
  <c r="E27042" i="1"/>
  <c r="D27042" i="1"/>
  <c r="D27041" i="1"/>
  <c r="E27041" i="1" s="1"/>
  <c r="D27040" i="1"/>
  <c r="E27040" i="1" s="1"/>
  <c r="D27039" i="1"/>
  <c r="E27039" i="1" s="1"/>
  <c r="D27038" i="1"/>
  <c r="E27038" i="1" s="1"/>
  <c r="E27037" i="1"/>
  <c r="D27037" i="1"/>
  <c r="D27036" i="1"/>
  <c r="E27036" i="1" s="1"/>
  <c r="E27035" i="1"/>
  <c r="D27035" i="1"/>
  <c r="E27034" i="1"/>
  <c r="D27034" i="1"/>
  <c r="E27033" i="1"/>
  <c r="D27033" i="1"/>
  <c r="E27032" i="1"/>
  <c r="D27032" i="1"/>
  <c r="E27031" i="1"/>
  <c r="D27031" i="1"/>
  <c r="D27030" i="1"/>
  <c r="E27030" i="1" s="1"/>
  <c r="E27029" i="1"/>
  <c r="D27029" i="1"/>
  <c r="E27028" i="1"/>
  <c r="D27028" i="1"/>
  <c r="E27027" i="1"/>
  <c r="D27027" i="1"/>
  <c r="E27026" i="1"/>
  <c r="D27026" i="1"/>
  <c r="D27025" i="1"/>
  <c r="E27025" i="1" s="1"/>
  <c r="D27024" i="1"/>
  <c r="E27024" i="1" s="1"/>
  <c r="E27023" i="1"/>
  <c r="D27023" i="1"/>
  <c r="D27022" i="1"/>
  <c r="E27022" i="1" s="1"/>
  <c r="D27021" i="1"/>
  <c r="E27021" i="1" s="1"/>
  <c r="D27020" i="1"/>
  <c r="E27020" i="1" s="1"/>
  <c r="D27019" i="1"/>
  <c r="E27019" i="1" s="1"/>
  <c r="D27018" i="1"/>
  <c r="E27018" i="1" s="1"/>
  <c r="E27017" i="1"/>
  <c r="D27017" i="1"/>
  <c r="D27016" i="1"/>
  <c r="E27016" i="1" s="1"/>
  <c r="D27015" i="1"/>
  <c r="E27015" i="1" s="1"/>
  <c r="D27014" i="1"/>
  <c r="E27014" i="1" s="1"/>
  <c r="D27013" i="1"/>
  <c r="E27013" i="1" s="1"/>
  <c r="D27012" i="1"/>
  <c r="E27012" i="1" s="1"/>
  <c r="D27011" i="1"/>
  <c r="E27011" i="1" s="1"/>
  <c r="E27010" i="1"/>
  <c r="D27010" i="1"/>
  <c r="E27009" i="1"/>
  <c r="D27009" i="1"/>
  <c r="E27008" i="1"/>
  <c r="D27008" i="1"/>
  <c r="E27007" i="1"/>
  <c r="D27007" i="1"/>
  <c r="E27006" i="1"/>
  <c r="D27006" i="1"/>
  <c r="D27005" i="1"/>
  <c r="E27005" i="1" s="1"/>
  <c r="E27004" i="1"/>
  <c r="D27004" i="1"/>
  <c r="E27003" i="1"/>
  <c r="D27003" i="1"/>
  <c r="E27002" i="1"/>
  <c r="D27002" i="1"/>
  <c r="E27001" i="1"/>
  <c r="D27001" i="1"/>
  <c r="D27000" i="1"/>
  <c r="E27000" i="1" s="1"/>
  <c r="D26999" i="1"/>
  <c r="E26999" i="1" s="1"/>
  <c r="E26998" i="1"/>
  <c r="D26998" i="1"/>
  <c r="D26997" i="1"/>
  <c r="E26997" i="1" s="1"/>
  <c r="D26996" i="1"/>
  <c r="E26996" i="1" s="1"/>
  <c r="D26995" i="1"/>
  <c r="E26995" i="1" s="1"/>
  <c r="D26994" i="1"/>
  <c r="E26994" i="1" s="1"/>
  <c r="D26993" i="1"/>
  <c r="E26993" i="1" s="1"/>
  <c r="E26992" i="1"/>
  <c r="D26992" i="1"/>
  <c r="D26991" i="1"/>
  <c r="E26991" i="1" s="1"/>
  <c r="D26990" i="1"/>
  <c r="E26990" i="1" s="1"/>
  <c r="D26989" i="1"/>
  <c r="E26989" i="1" s="1"/>
  <c r="D26988" i="1"/>
  <c r="E26988" i="1" s="1"/>
  <c r="D26987" i="1"/>
  <c r="E26987" i="1" s="1"/>
  <c r="E26986" i="1"/>
  <c r="D26986" i="1"/>
  <c r="E26985" i="1"/>
  <c r="D26985" i="1"/>
  <c r="E26984" i="1"/>
  <c r="D26984" i="1"/>
  <c r="E26983" i="1"/>
  <c r="D26983" i="1"/>
  <c r="E26982" i="1"/>
  <c r="D26982" i="1"/>
  <c r="E26981" i="1"/>
  <c r="D26981" i="1"/>
  <c r="D26980" i="1"/>
  <c r="E26980" i="1" s="1"/>
  <c r="E26979" i="1"/>
  <c r="D26979" i="1"/>
  <c r="E26978" i="1"/>
  <c r="D26978" i="1"/>
  <c r="E26977" i="1"/>
  <c r="D26977" i="1"/>
  <c r="D26976" i="1"/>
  <c r="E26976" i="1" s="1"/>
  <c r="D26975" i="1"/>
  <c r="E26975" i="1" s="1"/>
  <c r="E26974" i="1"/>
  <c r="D26974" i="1"/>
  <c r="E26973" i="1"/>
  <c r="D26973" i="1"/>
  <c r="D26972" i="1"/>
  <c r="E26972" i="1" s="1"/>
  <c r="D26971" i="1"/>
  <c r="E26971" i="1" s="1"/>
  <c r="D26970" i="1"/>
  <c r="E26970" i="1" s="1"/>
  <c r="D26969" i="1"/>
  <c r="E26969" i="1" s="1"/>
  <c r="D26968" i="1"/>
  <c r="E26968" i="1" s="1"/>
  <c r="E26967" i="1"/>
  <c r="D26967" i="1"/>
  <c r="D26966" i="1"/>
  <c r="E26966" i="1" s="1"/>
  <c r="D26965" i="1"/>
  <c r="E26965" i="1" s="1"/>
  <c r="D26964" i="1"/>
  <c r="E26964" i="1" s="1"/>
  <c r="E26963" i="1"/>
  <c r="D26963" i="1"/>
  <c r="D26962" i="1"/>
  <c r="E26962" i="1" s="1"/>
  <c r="E26961" i="1"/>
  <c r="D26961" i="1"/>
  <c r="E26960" i="1"/>
  <c r="D26960" i="1"/>
  <c r="E26959" i="1"/>
  <c r="D26959" i="1"/>
  <c r="E26958" i="1"/>
  <c r="D26958" i="1"/>
  <c r="E26957" i="1"/>
  <c r="D26957" i="1"/>
  <c r="E26956" i="1"/>
  <c r="D26956" i="1"/>
  <c r="D26955" i="1"/>
  <c r="E26955" i="1" s="1"/>
  <c r="E26954" i="1"/>
  <c r="D26954" i="1"/>
  <c r="E26953" i="1"/>
  <c r="D26953" i="1"/>
  <c r="D26952" i="1"/>
  <c r="E26952" i="1" s="1"/>
  <c r="D26951" i="1"/>
  <c r="E26951" i="1" s="1"/>
  <c r="D26950" i="1"/>
  <c r="E26950" i="1" s="1"/>
  <c r="E26949" i="1"/>
  <c r="D26949" i="1"/>
  <c r="E26948" i="1"/>
  <c r="D26948" i="1"/>
  <c r="D26947" i="1"/>
  <c r="E26947" i="1" s="1"/>
  <c r="D26946" i="1"/>
  <c r="E26946" i="1" s="1"/>
  <c r="D26945" i="1"/>
  <c r="E26945" i="1" s="1"/>
  <c r="D26944" i="1"/>
  <c r="E26944" i="1" s="1"/>
  <c r="D26943" i="1"/>
  <c r="E26943" i="1" s="1"/>
  <c r="E26942" i="1"/>
  <c r="D26942" i="1"/>
  <c r="D26941" i="1"/>
  <c r="E26941" i="1" s="1"/>
  <c r="D26940" i="1"/>
  <c r="E26940" i="1" s="1"/>
  <c r="E26939" i="1"/>
  <c r="D26939" i="1"/>
  <c r="E26938" i="1"/>
  <c r="D26938" i="1"/>
  <c r="D26937" i="1"/>
  <c r="E26937" i="1" s="1"/>
  <c r="D26936" i="1"/>
  <c r="E26936" i="1" s="1"/>
  <c r="E26935" i="1"/>
  <c r="D26935" i="1"/>
  <c r="E26934" i="1"/>
  <c r="D26934" i="1"/>
  <c r="E26933" i="1"/>
  <c r="D26933" i="1"/>
  <c r="E26932" i="1"/>
  <c r="D26932" i="1"/>
  <c r="E26931" i="1"/>
  <c r="D26931" i="1"/>
  <c r="D26930" i="1"/>
  <c r="E26930" i="1" s="1"/>
  <c r="E26929" i="1"/>
  <c r="D26929" i="1"/>
  <c r="D26928" i="1"/>
  <c r="E26928" i="1" s="1"/>
  <c r="D26927" i="1"/>
  <c r="E26927" i="1" s="1"/>
  <c r="D26926" i="1"/>
  <c r="E26926" i="1" s="1"/>
  <c r="D26925" i="1"/>
  <c r="E26925" i="1" s="1"/>
  <c r="D26924" i="1"/>
  <c r="E26924" i="1" s="1"/>
  <c r="E26923" i="1"/>
  <c r="D26923" i="1"/>
  <c r="D26922" i="1"/>
  <c r="E26922" i="1" s="1"/>
  <c r="D26921" i="1"/>
  <c r="E26921" i="1" s="1"/>
  <c r="D26920" i="1"/>
  <c r="E26920" i="1" s="1"/>
  <c r="D26919" i="1"/>
  <c r="E26919" i="1" s="1"/>
  <c r="D26918" i="1"/>
  <c r="E26918" i="1" s="1"/>
  <c r="E26917" i="1"/>
  <c r="D26917" i="1"/>
  <c r="D26916" i="1"/>
  <c r="E26916" i="1" s="1"/>
  <c r="E26915" i="1"/>
  <c r="D26915" i="1"/>
  <c r="E26914" i="1"/>
  <c r="D26914" i="1"/>
  <c r="E26913" i="1"/>
  <c r="D26913" i="1"/>
  <c r="D26912" i="1"/>
  <c r="E26912" i="1" s="1"/>
  <c r="D26911" i="1"/>
  <c r="E26911" i="1" s="1"/>
  <c r="E26910" i="1"/>
  <c r="D26910" i="1"/>
  <c r="E26909" i="1"/>
  <c r="D26909" i="1"/>
  <c r="E26908" i="1"/>
  <c r="D26908" i="1"/>
  <c r="E26907" i="1"/>
  <c r="D26907" i="1"/>
  <c r="E26906" i="1"/>
  <c r="D26906" i="1"/>
  <c r="D26905" i="1"/>
  <c r="E26905" i="1" s="1"/>
  <c r="D26904" i="1"/>
  <c r="E26904" i="1" s="1"/>
  <c r="D26903" i="1"/>
  <c r="E26903" i="1" s="1"/>
  <c r="D26902" i="1"/>
  <c r="E26902" i="1" s="1"/>
  <c r="D26901" i="1"/>
  <c r="E26901" i="1" s="1"/>
  <c r="D26900" i="1"/>
  <c r="E26900" i="1" s="1"/>
  <c r="D26899" i="1"/>
  <c r="E26899" i="1" s="1"/>
  <c r="E26898" i="1"/>
  <c r="D26898" i="1"/>
  <c r="D26897" i="1"/>
  <c r="E26897" i="1" s="1"/>
  <c r="D26896" i="1"/>
  <c r="E26896" i="1" s="1"/>
  <c r="D26895" i="1"/>
  <c r="E26895" i="1" s="1"/>
  <c r="D26894" i="1"/>
  <c r="E26894" i="1" s="1"/>
  <c r="D26893" i="1"/>
  <c r="E26893" i="1" s="1"/>
  <c r="E26892" i="1"/>
  <c r="D26892" i="1"/>
  <c r="D26891" i="1"/>
  <c r="E26891" i="1" s="1"/>
  <c r="D26890" i="1"/>
  <c r="E26890" i="1" s="1"/>
  <c r="D26889" i="1"/>
  <c r="E26889" i="1" s="1"/>
  <c r="D26888" i="1"/>
  <c r="E26888" i="1" s="1"/>
  <c r="D26887" i="1"/>
  <c r="E26887" i="1" s="1"/>
  <c r="E26886" i="1"/>
  <c r="D26886" i="1"/>
  <c r="D26885" i="1"/>
  <c r="E26885" i="1" s="1"/>
  <c r="D26884" i="1"/>
  <c r="E26884" i="1" s="1"/>
  <c r="D26883" i="1"/>
  <c r="E26883" i="1" s="1"/>
  <c r="D26882" i="1"/>
  <c r="E26882" i="1" s="1"/>
  <c r="D26881" i="1"/>
  <c r="E26881" i="1" s="1"/>
  <c r="E26880" i="1"/>
  <c r="D26880" i="1"/>
  <c r="D26879" i="1"/>
  <c r="E26879" i="1" s="1"/>
  <c r="D26878" i="1"/>
  <c r="E26878" i="1" s="1"/>
  <c r="D26877" i="1"/>
  <c r="E26877" i="1" s="1"/>
  <c r="D26876" i="1"/>
  <c r="E26876" i="1" s="1"/>
  <c r="D26875" i="1"/>
  <c r="E26875" i="1" s="1"/>
  <c r="E26874" i="1"/>
  <c r="D26874" i="1"/>
  <c r="D26873" i="1"/>
  <c r="E26873" i="1" s="1"/>
  <c r="D26872" i="1"/>
  <c r="E26872" i="1" s="1"/>
  <c r="D26871" i="1"/>
  <c r="E26871" i="1" s="1"/>
  <c r="D26870" i="1"/>
  <c r="E26870" i="1" s="1"/>
  <c r="D26869" i="1"/>
  <c r="E26869" i="1" s="1"/>
  <c r="E26868" i="1"/>
  <c r="D26868" i="1"/>
  <c r="D26867" i="1"/>
  <c r="E26867" i="1" s="1"/>
  <c r="D26866" i="1"/>
  <c r="E26866" i="1" s="1"/>
  <c r="D26865" i="1"/>
  <c r="E26865" i="1" s="1"/>
  <c r="D26864" i="1"/>
  <c r="E26864" i="1" s="1"/>
  <c r="E26863" i="1"/>
  <c r="D26863" i="1"/>
  <c r="E26862" i="1"/>
  <c r="D26862" i="1"/>
  <c r="D26861" i="1"/>
  <c r="E26861" i="1" s="1"/>
  <c r="D26860" i="1"/>
  <c r="E26860" i="1" s="1"/>
  <c r="D26859" i="1"/>
  <c r="E26859" i="1" s="1"/>
  <c r="D26858" i="1"/>
  <c r="E26858" i="1" s="1"/>
  <c r="D26857" i="1"/>
  <c r="E26857" i="1" s="1"/>
  <c r="E26856" i="1"/>
  <c r="D26856" i="1"/>
  <c r="D26855" i="1"/>
  <c r="E26855" i="1" s="1"/>
  <c r="D26854" i="1"/>
  <c r="E26854" i="1" s="1"/>
  <c r="D26853" i="1"/>
  <c r="E26853" i="1" s="1"/>
  <c r="D26852" i="1"/>
  <c r="E26852" i="1" s="1"/>
  <c r="D26851" i="1"/>
  <c r="E26851" i="1" s="1"/>
  <c r="E26850" i="1"/>
  <c r="D26850" i="1"/>
  <c r="D26849" i="1"/>
  <c r="E26849" i="1" s="1"/>
  <c r="D26848" i="1"/>
  <c r="E26848" i="1" s="1"/>
  <c r="D26847" i="1"/>
  <c r="E26847" i="1" s="1"/>
  <c r="D26846" i="1"/>
  <c r="E26846" i="1" s="1"/>
  <c r="D26845" i="1"/>
  <c r="E26845" i="1" s="1"/>
  <c r="E26844" i="1"/>
  <c r="D26844" i="1"/>
  <c r="D26843" i="1"/>
  <c r="E26843" i="1" s="1"/>
  <c r="D26842" i="1"/>
  <c r="E26842" i="1" s="1"/>
  <c r="D26841" i="1"/>
  <c r="E26841" i="1" s="1"/>
  <c r="D26840" i="1"/>
  <c r="E26840" i="1" s="1"/>
  <c r="D26839" i="1"/>
  <c r="E26839" i="1" s="1"/>
  <c r="E26838" i="1"/>
  <c r="D26838" i="1"/>
  <c r="D26837" i="1"/>
  <c r="E26837" i="1" s="1"/>
  <c r="D26836" i="1"/>
  <c r="E26836" i="1" s="1"/>
  <c r="D26835" i="1"/>
  <c r="E26835" i="1" s="1"/>
  <c r="D26834" i="1"/>
  <c r="E26834" i="1" s="1"/>
  <c r="D26833" i="1"/>
  <c r="E26833" i="1" s="1"/>
  <c r="E26832" i="1"/>
  <c r="D26832" i="1"/>
  <c r="D26831" i="1"/>
  <c r="E26831" i="1" s="1"/>
  <c r="D26830" i="1"/>
  <c r="E26830" i="1" s="1"/>
  <c r="D26829" i="1"/>
  <c r="E26829" i="1" s="1"/>
  <c r="D26828" i="1"/>
  <c r="E26828" i="1" s="1"/>
  <c r="D26827" i="1"/>
  <c r="E26827" i="1" s="1"/>
  <c r="E26826" i="1"/>
  <c r="D26826" i="1"/>
  <c r="D26825" i="1"/>
  <c r="E26825" i="1" s="1"/>
  <c r="D26824" i="1"/>
  <c r="E26824" i="1" s="1"/>
  <c r="D26823" i="1"/>
  <c r="E26823" i="1" s="1"/>
  <c r="D26822" i="1"/>
  <c r="E26822" i="1" s="1"/>
  <c r="D26821" i="1"/>
  <c r="E26821" i="1" s="1"/>
  <c r="E26820" i="1"/>
  <c r="D26820" i="1"/>
  <c r="D26819" i="1"/>
  <c r="E26819" i="1" s="1"/>
  <c r="D26818" i="1"/>
  <c r="E26818" i="1" s="1"/>
  <c r="D26817" i="1"/>
  <c r="E26817" i="1" s="1"/>
  <c r="D26816" i="1"/>
  <c r="E26816" i="1" s="1"/>
  <c r="E26815" i="1"/>
  <c r="D26815" i="1"/>
  <c r="E26814" i="1"/>
  <c r="D26814" i="1"/>
  <c r="D26813" i="1"/>
  <c r="E26813" i="1" s="1"/>
  <c r="D26812" i="1"/>
  <c r="E26812" i="1" s="1"/>
  <c r="D26811" i="1"/>
  <c r="E26811" i="1" s="1"/>
  <c r="D26810" i="1"/>
  <c r="E26810" i="1" s="1"/>
  <c r="D26809" i="1"/>
  <c r="E26809" i="1" s="1"/>
  <c r="E26808" i="1"/>
  <c r="D26808" i="1"/>
  <c r="D26807" i="1"/>
  <c r="E26807" i="1" s="1"/>
  <c r="D26806" i="1"/>
  <c r="E26806" i="1" s="1"/>
  <c r="D26805" i="1"/>
  <c r="E26805" i="1" s="1"/>
  <c r="D26804" i="1"/>
  <c r="E26804" i="1" s="1"/>
  <c r="D26803" i="1"/>
  <c r="E26803" i="1" s="1"/>
  <c r="E26802" i="1"/>
  <c r="D26802" i="1"/>
  <c r="D26801" i="1"/>
  <c r="E26801" i="1" s="1"/>
  <c r="D26800" i="1"/>
  <c r="E26800" i="1" s="1"/>
  <c r="D26799" i="1"/>
  <c r="E26799" i="1" s="1"/>
  <c r="D26798" i="1"/>
  <c r="E26798" i="1" s="1"/>
  <c r="D26797" i="1"/>
  <c r="E26797" i="1" s="1"/>
  <c r="E26796" i="1"/>
  <c r="D26796" i="1"/>
  <c r="D26795" i="1"/>
  <c r="E26795" i="1" s="1"/>
  <c r="D26794" i="1"/>
  <c r="E26794" i="1" s="1"/>
  <c r="D26793" i="1"/>
  <c r="E26793" i="1" s="1"/>
  <c r="D26792" i="1"/>
  <c r="E26792" i="1" s="1"/>
  <c r="D26791" i="1"/>
  <c r="E26791" i="1" s="1"/>
  <c r="E26790" i="1"/>
  <c r="D26790" i="1"/>
  <c r="D26789" i="1"/>
  <c r="E26789" i="1" s="1"/>
  <c r="D26788" i="1"/>
  <c r="E26788" i="1" s="1"/>
  <c r="D26787" i="1"/>
  <c r="E26787" i="1" s="1"/>
  <c r="D26786" i="1"/>
  <c r="E26786" i="1" s="1"/>
  <c r="D26785" i="1"/>
  <c r="E26785" i="1" s="1"/>
  <c r="E26784" i="1"/>
  <c r="D26784" i="1"/>
  <c r="D26783" i="1"/>
  <c r="E26783" i="1" s="1"/>
  <c r="D26782" i="1"/>
  <c r="E26782" i="1" s="1"/>
  <c r="D26781" i="1"/>
  <c r="E26781" i="1" s="1"/>
  <c r="D26780" i="1"/>
  <c r="E26780" i="1" s="1"/>
  <c r="D26779" i="1"/>
  <c r="E26779" i="1" s="1"/>
  <c r="E26778" i="1"/>
  <c r="D26778" i="1"/>
  <c r="D26777" i="1"/>
  <c r="E26777" i="1" s="1"/>
  <c r="D26776" i="1"/>
  <c r="E26776" i="1" s="1"/>
  <c r="D26775" i="1"/>
  <c r="E26775" i="1" s="1"/>
  <c r="D26774" i="1"/>
  <c r="E26774" i="1" s="1"/>
  <c r="D26773" i="1"/>
  <c r="E26773" i="1" s="1"/>
  <c r="E26772" i="1"/>
  <c r="D26772" i="1"/>
  <c r="D26771" i="1"/>
  <c r="E26771" i="1" s="1"/>
  <c r="D26770" i="1"/>
  <c r="E26770" i="1" s="1"/>
  <c r="D26769" i="1"/>
  <c r="E26769" i="1" s="1"/>
  <c r="D26768" i="1"/>
  <c r="E26768" i="1" s="1"/>
  <c r="E26767" i="1"/>
  <c r="D26767" i="1"/>
  <c r="E26766" i="1"/>
  <c r="D26766" i="1"/>
  <c r="D26765" i="1"/>
  <c r="E26765" i="1" s="1"/>
  <c r="D26764" i="1"/>
  <c r="E26764" i="1" s="1"/>
  <c r="D26763" i="1"/>
  <c r="E26763" i="1" s="1"/>
  <c r="D26762" i="1"/>
  <c r="E26762" i="1" s="1"/>
  <c r="D26761" i="1"/>
  <c r="E26761" i="1" s="1"/>
  <c r="E26760" i="1"/>
  <c r="D26760" i="1"/>
  <c r="D26759" i="1"/>
  <c r="E26759" i="1" s="1"/>
  <c r="D26758" i="1"/>
  <c r="E26758" i="1" s="1"/>
  <c r="D26757" i="1"/>
  <c r="E26757" i="1" s="1"/>
  <c r="D26756" i="1"/>
  <c r="E26756" i="1" s="1"/>
  <c r="D26755" i="1"/>
  <c r="E26755" i="1" s="1"/>
  <c r="E26754" i="1"/>
  <c r="D26754" i="1"/>
  <c r="D26753" i="1"/>
  <c r="E26753" i="1" s="1"/>
  <c r="D26752" i="1"/>
  <c r="E26752" i="1" s="1"/>
  <c r="D26751" i="1"/>
  <c r="E26751" i="1" s="1"/>
  <c r="D26750" i="1"/>
  <c r="E26750" i="1" s="1"/>
  <c r="D26749" i="1"/>
  <c r="E26749" i="1" s="1"/>
  <c r="E26748" i="1"/>
  <c r="D26748" i="1"/>
  <c r="D26747" i="1"/>
  <c r="E26747" i="1" s="1"/>
  <c r="D26746" i="1"/>
  <c r="E26746" i="1" s="1"/>
  <c r="D26745" i="1"/>
  <c r="E26745" i="1" s="1"/>
  <c r="D26744" i="1"/>
  <c r="E26744" i="1" s="1"/>
  <c r="D26743" i="1"/>
  <c r="E26743" i="1" s="1"/>
  <c r="E26742" i="1"/>
  <c r="D26742" i="1"/>
  <c r="D26741" i="1"/>
  <c r="E26741" i="1" s="1"/>
  <c r="D26740" i="1"/>
  <c r="E26740" i="1" s="1"/>
  <c r="D26739" i="1"/>
  <c r="E26739" i="1" s="1"/>
  <c r="D26738" i="1"/>
  <c r="E26738" i="1" s="1"/>
  <c r="D26737" i="1"/>
  <c r="E26737" i="1" s="1"/>
  <c r="E26736" i="1"/>
  <c r="D26736" i="1"/>
  <c r="D26735" i="1"/>
  <c r="E26735" i="1" s="1"/>
  <c r="D26734" i="1"/>
  <c r="E26734" i="1" s="1"/>
  <c r="D26733" i="1"/>
  <c r="E26733" i="1" s="1"/>
  <c r="D26732" i="1"/>
  <c r="E26732" i="1" s="1"/>
  <c r="D26731" i="1"/>
  <c r="E26731" i="1" s="1"/>
  <c r="E26730" i="1"/>
  <c r="D26730" i="1"/>
  <c r="D26729" i="1"/>
  <c r="E26729" i="1" s="1"/>
  <c r="D26728" i="1"/>
  <c r="E26728" i="1" s="1"/>
  <c r="D26727" i="1"/>
  <c r="E26727" i="1" s="1"/>
  <c r="D26726" i="1"/>
  <c r="E26726" i="1" s="1"/>
  <c r="D26725" i="1"/>
  <c r="E26725" i="1" s="1"/>
  <c r="E26724" i="1"/>
  <c r="D26724" i="1"/>
  <c r="D26723" i="1"/>
  <c r="E26723" i="1" s="1"/>
  <c r="D26722" i="1"/>
  <c r="E26722" i="1" s="1"/>
  <c r="D26721" i="1"/>
  <c r="E26721" i="1" s="1"/>
  <c r="D26720" i="1"/>
  <c r="E26720" i="1" s="1"/>
  <c r="E26719" i="1"/>
  <c r="D26719" i="1"/>
  <c r="E26718" i="1"/>
  <c r="D26718" i="1"/>
  <c r="D26717" i="1"/>
  <c r="E26717" i="1" s="1"/>
  <c r="D26716" i="1"/>
  <c r="E26716" i="1" s="1"/>
  <c r="D26715" i="1"/>
  <c r="E26715" i="1" s="1"/>
  <c r="D26714" i="1"/>
  <c r="E26714" i="1" s="1"/>
  <c r="D26713" i="1"/>
  <c r="E26713" i="1" s="1"/>
  <c r="E26712" i="1"/>
  <c r="D26712" i="1"/>
  <c r="D26711" i="1"/>
  <c r="E26711" i="1" s="1"/>
  <c r="D26710" i="1"/>
  <c r="E26710" i="1" s="1"/>
  <c r="D26709" i="1"/>
  <c r="E26709" i="1" s="1"/>
  <c r="D26708" i="1"/>
  <c r="E26708" i="1" s="1"/>
  <c r="D26707" i="1"/>
  <c r="E26707" i="1" s="1"/>
  <c r="E26706" i="1"/>
  <c r="D26706" i="1"/>
  <c r="D26705" i="1"/>
  <c r="E26705" i="1" s="1"/>
  <c r="D26704" i="1"/>
  <c r="E26704" i="1" s="1"/>
  <c r="D26703" i="1"/>
  <c r="E26703" i="1" s="1"/>
  <c r="D26702" i="1"/>
  <c r="E26702" i="1" s="1"/>
  <c r="D26701" i="1"/>
  <c r="E26701" i="1" s="1"/>
  <c r="E26700" i="1"/>
  <c r="D26700" i="1"/>
  <c r="D26699" i="1"/>
  <c r="E26699" i="1" s="1"/>
  <c r="D26698" i="1"/>
  <c r="E26698" i="1" s="1"/>
  <c r="D26697" i="1"/>
  <c r="E26697" i="1" s="1"/>
  <c r="D26696" i="1"/>
  <c r="E26696" i="1" s="1"/>
  <c r="D26695" i="1"/>
  <c r="E26695" i="1" s="1"/>
  <c r="E26694" i="1"/>
  <c r="D26694" i="1"/>
  <c r="D26693" i="1"/>
  <c r="E26693" i="1" s="1"/>
  <c r="D26692" i="1"/>
  <c r="E26692" i="1" s="1"/>
  <c r="D26691" i="1"/>
  <c r="E26691" i="1" s="1"/>
  <c r="D26690" i="1"/>
  <c r="E26690" i="1" s="1"/>
  <c r="D26689" i="1"/>
  <c r="E26689" i="1" s="1"/>
  <c r="E26688" i="1"/>
  <c r="D26688" i="1"/>
  <c r="D26687" i="1"/>
  <c r="E26687" i="1" s="1"/>
  <c r="D26686" i="1"/>
  <c r="E26686" i="1" s="1"/>
  <c r="D26685" i="1"/>
  <c r="E26685" i="1" s="1"/>
  <c r="D26684" i="1"/>
  <c r="E26684" i="1" s="1"/>
  <c r="D26683" i="1"/>
  <c r="E26683" i="1" s="1"/>
  <c r="E26682" i="1"/>
  <c r="D26682" i="1"/>
  <c r="D26681" i="1"/>
  <c r="E26681" i="1" s="1"/>
  <c r="D26680" i="1"/>
  <c r="E26680" i="1" s="1"/>
  <c r="D26679" i="1"/>
  <c r="E26679" i="1" s="1"/>
  <c r="D26678" i="1"/>
  <c r="E26678" i="1" s="1"/>
  <c r="D26677" i="1"/>
  <c r="E26677" i="1" s="1"/>
  <c r="E26676" i="1"/>
  <c r="D26676" i="1"/>
  <c r="D26675" i="1"/>
  <c r="E26675" i="1" s="1"/>
  <c r="D26674" i="1"/>
  <c r="E26674" i="1" s="1"/>
  <c r="D26673" i="1"/>
  <c r="E26673" i="1" s="1"/>
  <c r="D26672" i="1"/>
  <c r="E26672" i="1" s="1"/>
  <c r="E26671" i="1"/>
  <c r="D26671" i="1"/>
  <c r="E26670" i="1"/>
  <c r="D26670" i="1"/>
  <c r="D26669" i="1"/>
  <c r="E26669" i="1" s="1"/>
  <c r="D26668" i="1"/>
  <c r="E26668" i="1" s="1"/>
  <c r="D26667" i="1"/>
  <c r="E26667" i="1" s="1"/>
  <c r="D26666" i="1"/>
  <c r="E26666" i="1" s="1"/>
  <c r="D26665" i="1"/>
  <c r="E26665" i="1" s="1"/>
  <c r="E26664" i="1"/>
  <c r="D26664" i="1"/>
  <c r="D26663" i="1"/>
  <c r="E26663" i="1" s="1"/>
  <c r="D26662" i="1"/>
  <c r="E26662" i="1" s="1"/>
  <c r="D26661" i="1"/>
  <c r="E26661" i="1" s="1"/>
  <c r="D26660" i="1"/>
  <c r="E26660" i="1" s="1"/>
  <c r="D26659" i="1"/>
  <c r="E26659" i="1" s="1"/>
  <c r="E26658" i="1"/>
  <c r="D26658" i="1"/>
  <c r="D26657" i="1"/>
  <c r="E26657" i="1" s="1"/>
  <c r="D26656" i="1"/>
  <c r="E26656" i="1" s="1"/>
  <c r="D26655" i="1"/>
  <c r="E26655" i="1" s="1"/>
  <c r="D26654" i="1"/>
  <c r="E26654" i="1" s="1"/>
  <c r="D26653" i="1"/>
  <c r="E26653" i="1" s="1"/>
  <c r="E26652" i="1"/>
  <c r="D26652" i="1"/>
  <c r="D26651" i="1"/>
  <c r="E26651" i="1" s="1"/>
  <c r="D26650" i="1"/>
  <c r="E26650" i="1" s="1"/>
  <c r="D26649" i="1"/>
  <c r="E26649" i="1" s="1"/>
  <c r="D26648" i="1"/>
  <c r="E26648" i="1" s="1"/>
  <c r="D26647" i="1"/>
  <c r="E26647" i="1" s="1"/>
  <c r="E26646" i="1"/>
  <c r="D26646" i="1"/>
  <c r="D26645" i="1"/>
  <c r="E26645" i="1" s="1"/>
  <c r="D26644" i="1"/>
  <c r="E26644" i="1" s="1"/>
  <c r="D26643" i="1"/>
  <c r="E26643" i="1" s="1"/>
  <c r="D26642" i="1"/>
  <c r="E26642" i="1" s="1"/>
  <c r="D26641" i="1"/>
  <c r="E26641" i="1" s="1"/>
  <c r="D26640" i="1"/>
  <c r="E26640" i="1" s="1"/>
  <c r="D26639" i="1"/>
  <c r="E26639" i="1" s="1"/>
  <c r="D26638" i="1"/>
  <c r="E26638" i="1" s="1"/>
  <c r="D26637" i="1"/>
  <c r="E26637" i="1" s="1"/>
  <c r="D26636" i="1"/>
  <c r="E26636" i="1" s="1"/>
  <c r="D26635" i="1"/>
  <c r="E26635" i="1" s="1"/>
  <c r="E26634" i="1"/>
  <c r="D26634" i="1"/>
  <c r="D26633" i="1"/>
  <c r="E26633" i="1" s="1"/>
  <c r="D26632" i="1"/>
  <c r="E26632" i="1" s="1"/>
  <c r="D26631" i="1"/>
  <c r="E26631" i="1" s="1"/>
  <c r="D26630" i="1"/>
  <c r="E26630" i="1" s="1"/>
  <c r="D26629" i="1"/>
  <c r="E26629" i="1" s="1"/>
  <c r="D26628" i="1"/>
  <c r="E26628" i="1" s="1"/>
  <c r="D26627" i="1"/>
  <c r="E26627" i="1" s="1"/>
  <c r="D26626" i="1"/>
  <c r="E26626" i="1" s="1"/>
  <c r="D26625" i="1"/>
  <c r="E26625" i="1" s="1"/>
  <c r="D26624" i="1"/>
  <c r="E26624" i="1" s="1"/>
  <c r="E26623" i="1"/>
  <c r="D26623" i="1"/>
  <c r="E26622" i="1"/>
  <c r="D26622" i="1"/>
  <c r="D26621" i="1"/>
  <c r="E26621" i="1" s="1"/>
  <c r="D26620" i="1"/>
  <c r="E26620" i="1" s="1"/>
  <c r="D26619" i="1"/>
  <c r="E26619" i="1" s="1"/>
  <c r="D26618" i="1"/>
  <c r="E26618" i="1" s="1"/>
  <c r="D26617" i="1"/>
  <c r="E26617" i="1" s="1"/>
  <c r="D26616" i="1"/>
  <c r="E26616" i="1" s="1"/>
  <c r="D26615" i="1"/>
  <c r="E26615" i="1" s="1"/>
  <c r="D26614" i="1"/>
  <c r="E26614" i="1" s="1"/>
  <c r="D26613" i="1"/>
  <c r="E26613" i="1" s="1"/>
  <c r="D26612" i="1"/>
  <c r="E26612" i="1" s="1"/>
  <c r="D26611" i="1"/>
  <c r="E26611" i="1" s="1"/>
  <c r="E26610" i="1"/>
  <c r="D26610" i="1"/>
  <c r="D26609" i="1"/>
  <c r="E26609" i="1" s="1"/>
  <c r="D26608" i="1"/>
  <c r="E26608" i="1" s="1"/>
  <c r="D26607" i="1"/>
  <c r="E26607" i="1" s="1"/>
  <c r="D26606" i="1"/>
  <c r="E26606" i="1" s="1"/>
  <c r="D26605" i="1"/>
  <c r="E26605" i="1" s="1"/>
  <c r="E26604" i="1"/>
  <c r="D26604" i="1"/>
  <c r="D26603" i="1"/>
  <c r="E26603" i="1" s="1"/>
  <c r="D26602" i="1"/>
  <c r="E26602" i="1" s="1"/>
  <c r="D26601" i="1"/>
  <c r="E26601" i="1" s="1"/>
  <c r="D26600" i="1"/>
  <c r="E26600" i="1" s="1"/>
  <c r="D26599" i="1"/>
  <c r="E26599" i="1" s="1"/>
  <c r="E26598" i="1"/>
  <c r="D26598" i="1"/>
  <c r="D26597" i="1"/>
  <c r="E26597" i="1" s="1"/>
  <c r="D26596" i="1"/>
  <c r="E26596" i="1" s="1"/>
  <c r="D26595" i="1"/>
  <c r="E26595" i="1" s="1"/>
  <c r="D26594" i="1"/>
  <c r="E26594" i="1" s="1"/>
  <c r="D26593" i="1"/>
  <c r="E26593" i="1" s="1"/>
  <c r="D26592" i="1"/>
  <c r="E26592" i="1" s="1"/>
  <c r="D26591" i="1"/>
  <c r="E26591" i="1" s="1"/>
  <c r="D26590" i="1"/>
  <c r="E26590" i="1" s="1"/>
  <c r="D26589" i="1"/>
  <c r="E26589" i="1" s="1"/>
  <c r="D26588" i="1"/>
  <c r="E26588" i="1" s="1"/>
  <c r="D26587" i="1"/>
  <c r="E26587" i="1" s="1"/>
  <c r="E26586" i="1"/>
  <c r="D26586" i="1"/>
  <c r="D26585" i="1"/>
  <c r="E26585" i="1" s="1"/>
  <c r="D26584" i="1"/>
  <c r="E26584" i="1" s="1"/>
  <c r="D26583" i="1"/>
  <c r="E26583" i="1" s="1"/>
  <c r="D26582" i="1"/>
  <c r="E26582" i="1" s="1"/>
  <c r="D26581" i="1"/>
  <c r="E26581" i="1" s="1"/>
  <c r="D26580" i="1"/>
  <c r="E26580" i="1" s="1"/>
  <c r="D26579" i="1"/>
  <c r="E26579" i="1" s="1"/>
  <c r="D26578" i="1"/>
  <c r="E26578" i="1" s="1"/>
  <c r="D26577" i="1"/>
  <c r="E26577" i="1" s="1"/>
  <c r="D26576" i="1"/>
  <c r="E26576" i="1" s="1"/>
  <c r="E26575" i="1"/>
  <c r="D26575" i="1"/>
  <c r="E26574" i="1"/>
  <c r="D26574" i="1"/>
  <c r="D26573" i="1"/>
  <c r="E26573" i="1" s="1"/>
  <c r="D26572" i="1"/>
  <c r="E26572" i="1" s="1"/>
  <c r="D26571" i="1"/>
  <c r="E26571" i="1" s="1"/>
  <c r="D26570" i="1"/>
  <c r="E26570" i="1" s="1"/>
  <c r="D26569" i="1"/>
  <c r="E26569" i="1" s="1"/>
  <c r="D26568" i="1"/>
  <c r="E26568" i="1" s="1"/>
  <c r="D26567" i="1"/>
  <c r="E26567" i="1" s="1"/>
  <c r="D26566" i="1"/>
  <c r="E26566" i="1" s="1"/>
  <c r="D26565" i="1"/>
  <c r="E26565" i="1" s="1"/>
  <c r="D26564" i="1"/>
  <c r="E26564" i="1" s="1"/>
  <c r="D26563" i="1"/>
  <c r="E26563" i="1" s="1"/>
  <c r="E26562" i="1"/>
  <c r="D26562" i="1"/>
  <c r="D26561" i="1"/>
  <c r="E26561" i="1" s="1"/>
  <c r="D26560" i="1"/>
  <c r="E26560" i="1" s="1"/>
  <c r="D26559" i="1"/>
  <c r="E26559" i="1" s="1"/>
  <c r="D26558" i="1"/>
  <c r="E26558" i="1" s="1"/>
  <c r="D26557" i="1"/>
  <c r="E26557" i="1" s="1"/>
  <c r="E26556" i="1"/>
  <c r="D26556" i="1"/>
  <c r="D26555" i="1"/>
  <c r="E26555" i="1" s="1"/>
  <c r="D26554" i="1"/>
  <c r="E26554" i="1" s="1"/>
  <c r="D26553" i="1"/>
  <c r="E26553" i="1" s="1"/>
  <c r="D26552" i="1"/>
  <c r="E26552" i="1" s="1"/>
  <c r="D26551" i="1"/>
  <c r="E26551" i="1" s="1"/>
  <c r="E26550" i="1"/>
  <c r="D26550" i="1"/>
  <c r="D26549" i="1"/>
  <c r="E26549" i="1" s="1"/>
  <c r="D26548" i="1"/>
  <c r="E26548" i="1" s="1"/>
  <c r="D26547" i="1"/>
  <c r="E26547" i="1" s="1"/>
  <c r="D26546" i="1"/>
  <c r="E26546" i="1" s="1"/>
  <c r="D26545" i="1"/>
  <c r="E26545" i="1" s="1"/>
  <c r="D26544" i="1"/>
  <c r="E26544" i="1" s="1"/>
  <c r="D26543" i="1"/>
  <c r="E26543" i="1" s="1"/>
  <c r="D26542" i="1"/>
  <c r="E26542" i="1" s="1"/>
  <c r="D26541" i="1"/>
  <c r="E26541" i="1" s="1"/>
  <c r="D26540" i="1"/>
  <c r="E26540" i="1" s="1"/>
  <c r="D26539" i="1"/>
  <c r="E26539" i="1" s="1"/>
  <c r="D26538" i="1"/>
  <c r="E26538" i="1" s="1"/>
  <c r="D26537" i="1"/>
  <c r="E26537" i="1" s="1"/>
  <c r="D26536" i="1"/>
  <c r="E26536" i="1" s="1"/>
  <c r="D26535" i="1"/>
  <c r="E26535" i="1" s="1"/>
  <c r="D26534" i="1"/>
  <c r="E26534" i="1" s="1"/>
  <c r="D26533" i="1"/>
  <c r="E26533" i="1" s="1"/>
  <c r="D26532" i="1"/>
  <c r="E26532" i="1" s="1"/>
  <c r="D26531" i="1"/>
  <c r="E26531" i="1" s="1"/>
  <c r="D26530" i="1"/>
  <c r="E26530" i="1" s="1"/>
  <c r="D26529" i="1"/>
  <c r="E26529" i="1" s="1"/>
  <c r="D26528" i="1"/>
  <c r="E26528" i="1" s="1"/>
  <c r="E26527" i="1"/>
  <c r="D26527" i="1"/>
  <c r="E26526" i="1"/>
  <c r="D26526" i="1"/>
  <c r="D26525" i="1"/>
  <c r="E26525" i="1" s="1"/>
  <c r="D26524" i="1"/>
  <c r="E26524" i="1" s="1"/>
  <c r="D26523" i="1"/>
  <c r="E26523" i="1" s="1"/>
  <c r="D26522" i="1"/>
  <c r="E26522" i="1" s="1"/>
  <c r="D26521" i="1"/>
  <c r="E26521" i="1" s="1"/>
  <c r="D26520" i="1"/>
  <c r="E26520" i="1" s="1"/>
  <c r="D26519" i="1"/>
  <c r="E26519" i="1" s="1"/>
  <c r="D26518" i="1"/>
  <c r="E26518" i="1" s="1"/>
  <c r="D26517" i="1"/>
  <c r="E26517" i="1" s="1"/>
  <c r="D26516" i="1"/>
  <c r="E26516" i="1" s="1"/>
  <c r="D26515" i="1"/>
  <c r="E26515" i="1" s="1"/>
  <c r="E26514" i="1"/>
  <c r="D26514" i="1"/>
  <c r="D26513" i="1"/>
  <c r="E26513" i="1" s="1"/>
  <c r="D26512" i="1"/>
  <c r="E26512" i="1" s="1"/>
  <c r="D26511" i="1"/>
  <c r="E26511" i="1" s="1"/>
  <c r="D26510" i="1"/>
  <c r="E26510" i="1" s="1"/>
  <c r="D26509" i="1"/>
  <c r="E26509" i="1" s="1"/>
  <c r="E26508" i="1"/>
  <c r="D26508" i="1"/>
  <c r="D26507" i="1"/>
  <c r="E26507" i="1" s="1"/>
  <c r="D26506" i="1"/>
  <c r="E26506" i="1" s="1"/>
  <c r="D26505" i="1"/>
  <c r="E26505" i="1" s="1"/>
  <c r="D26504" i="1"/>
  <c r="E26504" i="1" s="1"/>
  <c r="D26503" i="1"/>
  <c r="E26503" i="1" s="1"/>
  <c r="E26502" i="1"/>
  <c r="D26502" i="1"/>
  <c r="D26501" i="1"/>
  <c r="E26501" i="1" s="1"/>
  <c r="D26500" i="1"/>
  <c r="E26500" i="1" s="1"/>
  <c r="D26499" i="1"/>
  <c r="E26499" i="1" s="1"/>
  <c r="D26498" i="1"/>
  <c r="E26498" i="1" s="1"/>
  <c r="D26497" i="1"/>
  <c r="E26497" i="1" s="1"/>
  <c r="D26496" i="1"/>
  <c r="E26496" i="1" s="1"/>
  <c r="D26495" i="1"/>
  <c r="E26495" i="1" s="1"/>
  <c r="D26494" i="1"/>
  <c r="E26494" i="1" s="1"/>
  <c r="D26493" i="1"/>
  <c r="E26493" i="1" s="1"/>
  <c r="D26492" i="1"/>
  <c r="E26492" i="1" s="1"/>
  <c r="D26491" i="1"/>
  <c r="E26491" i="1" s="1"/>
  <c r="E26490" i="1"/>
  <c r="D26490" i="1"/>
  <c r="D26489" i="1"/>
  <c r="E26489" i="1" s="1"/>
  <c r="D26488" i="1"/>
  <c r="E26488" i="1" s="1"/>
  <c r="D26487" i="1"/>
  <c r="E26487" i="1" s="1"/>
  <c r="D26486" i="1"/>
  <c r="E26486" i="1" s="1"/>
  <c r="D26485" i="1"/>
  <c r="E26485" i="1" s="1"/>
  <c r="D26484" i="1"/>
  <c r="E26484" i="1" s="1"/>
  <c r="D26483" i="1"/>
  <c r="E26483" i="1" s="1"/>
  <c r="D26482" i="1"/>
  <c r="E26482" i="1" s="1"/>
  <c r="D26481" i="1"/>
  <c r="E26481" i="1" s="1"/>
  <c r="D26480" i="1"/>
  <c r="E26480" i="1" s="1"/>
  <c r="E26479" i="1"/>
  <c r="D26479" i="1"/>
  <c r="E26478" i="1"/>
  <c r="D26478" i="1"/>
  <c r="D26477" i="1"/>
  <c r="E26477" i="1" s="1"/>
  <c r="D26476" i="1"/>
  <c r="E26476" i="1" s="1"/>
  <c r="D26475" i="1"/>
  <c r="E26475" i="1" s="1"/>
  <c r="D26474" i="1"/>
  <c r="E26474" i="1" s="1"/>
  <c r="D26473" i="1"/>
  <c r="E26473" i="1" s="1"/>
  <c r="D26472" i="1"/>
  <c r="E26472" i="1" s="1"/>
  <c r="D26471" i="1"/>
  <c r="E26471" i="1" s="1"/>
  <c r="D26470" i="1"/>
  <c r="E26470" i="1" s="1"/>
  <c r="D26469" i="1"/>
  <c r="E26469" i="1" s="1"/>
  <c r="D26468" i="1"/>
  <c r="E26468" i="1" s="1"/>
  <c r="D26467" i="1"/>
  <c r="E26467" i="1" s="1"/>
  <c r="E26466" i="1"/>
  <c r="D26466" i="1"/>
  <c r="D26465" i="1"/>
  <c r="E26465" i="1" s="1"/>
  <c r="D26464" i="1"/>
  <c r="E26464" i="1" s="1"/>
  <c r="D26463" i="1"/>
  <c r="E26463" i="1" s="1"/>
  <c r="D26462" i="1"/>
  <c r="E26462" i="1" s="1"/>
  <c r="D26461" i="1"/>
  <c r="E26461" i="1" s="1"/>
  <c r="E26460" i="1"/>
  <c r="D26460" i="1"/>
  <c r="D26459" i="1"/>
  <c r="E26459" i="1" s="1"/>
  <c r="D26458" i="1"/>
  <c r="E26458" i="1" s="1"/>
  <c r="D26457" i="1"/>
  <c r="E26457" i="1" s="1"/>
  <c r="D26456" i="1"/>
  <c r="E26456" i="1" s="1"/>
  <c r="D26455" i="1"/>
  <c r="E26455" i="1" s="1"/>
  <c r="D26454" i="1"/>
  <c r="E26454" i="1" s="1"/>
  <c r="D26453" i="1"/>
  <c r="E26453" i="1" s="1"/>
  <c r="D26452" i="1"/>
  <c r="E26452" i="1" s="1"/>
  <c r="D26451" i="1"/>
  <c r="E26451" i="1" s="1"/>
  <c r="D26450" i="1"/>
  <c r="E26450" i="1" s="1"/>
  <c r="D26449" i="1"/>
  <c r="E26449" i="1" s="1"/>
  <c r="D26448" i="1"/>
  <c r="E26448" i="1" s="1"/>
  <c r="D26447" i="1"/>
  <c r="E26447" i="1" s="1"/>
  <c r="D26446" i="1"/>
  <c r="E26446" i="1" s="1"/>
  <c r="D26445" i="1"/>
  <c r="E26445" i="1" s="1"/>
  <c r="D26444" i="1"/>
  <c r="E26444" i="1" s="1"/>
  <c r="D26443" i="1"/>
  <c r="E26443" i="1" s="1"/>
  <c r="D26442" i="1"/>
  <c r="E26442" i="1" s="1"/>
  <c r="D26441" i="1"/>
  <c r="E26441" i="1" s="1"/>
  <c r="D26440" i="1"/>
  <c r="E26440" i="1" s="1"/>
  <c r="D26439" i="1"/>
  <c r="E26439" i="1" s="1"/>
  <c r="D26438" i="1"/>
  <c r="E26438" i="1" s="1"/>
  <c r="D26437" i="1"/>
  <c r="E26437" i="1" s="1"/>
  <c r="D26436" i="1"/>
  <c r="E26436" i="1" s="1"/>
  <c r="D26435" i="1"/>
  <c r="E26435" i="1" s="1"/>
  <c r="D26434" i="1"/>
  <c r="E26434" i="1" s="1"/>
  <c r="D26433" i="1"/>
  <c r="E26433" i="1" s="1"/>
  <c r="D26432" i="1"/>
  <c r="E26432" i="1" s="1"/>
  <c r="E26431" i="1"/>
  <c r="D26431" i="1"/>
  <c r="E26430" i="1"/>
  <c r="D26430" i="1"/>
  <c r="D26429" i="1"/>
  <c r="E26429" i="1" s="1"/>
  <c r="D26428" i="1"/>
  <c r="E26428" i="1" s="1"/>
  <c r="D26427" i="1"/>
  <c r="E26427" i="1" s="1"/>
  <c r="D26426" i="1"/>
  <c r="E26426" i="1" s="1"/>
  <c r="D26425" i="1"/>
  <c r="E26425" i="1" s="1"/>
  <c r="D26424" i="1"/>
  <c r="E26424" i="1" s="1"/>
  <c r="D26423" i="1"/>
  <c r="E26423" i="1" s="1"/>
  <c r="D26422" i="1"/>
  <c r="E26422" i="1" s="1"/>
  <c r="D26421" i="1"/>
  <c r="E26421" i="1" s="1"/>
  <c r="D26420" i="1"/>
  <c r="E26420" i="1" s="1"/>
  <c r="D26419" i="1"/>
  <c r="E26419" i="1" s="1"/>
  <c r="E26418" i="1"/>
  <c r="D26418" i="1"/>
  <c r="D26417" i="1"/>
  <c r="E26417" i="1" s="1"/>
  <c r="D26416" i="1"/>
  <c r="E26416" i="1" s="1"/>
  <c r="D26415" i="1"/>
  <c r="E26415" i="1" s="1"/>
  <c r="D26414" i="1"/>
  <c r="E26414" i="1" s="1"/>
  <c r="D26413" i="1"/>
  <c r="E26413" i="1" s="1"/>
  <c r="E26412" i="1"/>
  <c r="D26412" i="1"/>
  <c r="D26411" i="1"/>
  <c r="E26411" i="1" s="1"/>
  <c r="D26410" i="1"/>
  <c r="E26410" i="1" s="1"/>
  <c r="D26409" i="1"/>
  <c r="E26409" i="1" s="1"/>
  <c r="D26408" i="1"/>
  <c r="E26408" i="1" s="1"/>
  <c r="D26407" i="1"/>
  <c r="E26407" i="1" s="1"/>
  <c r="E26406" i="1"/>
  <c r="D26406" i="1"/>
  <c r="D26405" i="1"/>
  <c r="E26405" i="1" s="1"/>
  <c r="D26404" i="1"/>
  <c r="E26404" i="1" s="1"/>
  <c r="D26403" i="1"/>
  <c r="E26403" i="1" s="1"/>
  <c r="D26402" i="1"/>
  <c r="E26402" i="1" s="1"/>
  <c r="D26401" i="1"/>
  <c r="E26401" i="1" s="1"/>
  <c r="D26400" i="1"/>
  <c r="E26400" i="1" s="1"/>
  <c r="D26399" i="1"/>
  <c r="E26399" i="1" s="1"/>
  <c r="D26398" i="1"/>
  <c r="E26398" i="1" s="1"/>
  <c r="D26397" i="1"/>
  <c r="E26397" i="1" s="1"/>
  <c r="D26396" i="1"/>
  <c r="E26396" i="1" s="1"/>
  <c r="E26395" i="1"/>
  <c r="D26395" i="1"/>
  <c r="E26394" i="1"/>
  <c r="D26394" i="1"/>
  <c r="D26393" i="1"/>
  <c r="E26393" i="1" s="1"/>
  <c r="D26392" i="1"/>
  <c r="E26392" i="1" s="1"/>
  <c r="D26391" i="1"/>
  <c r="E26391" i="1" s="1"/>
  <c r="D26390" i="1"/>
  <c r="E26390" i="1" s="1"/>
  <c r="D26389" i="1"/>
  <c r="E26389" i="1" s="1"/>
  <c r="D26388" i="1"/>
  <c r="E26388" i="1" s="1"/>
  <c r="D26387" i="1"/>
  <c r="E26387" i="1" s="1"/>
  <c r="D26386" i="1"/>
  <c r="E26386" i="1" s="1"/>
  <c r="D26385" i="1"/>
  <c r="E26385" i="1" s="1"/>
  <c r="D26384" i="1"/>
  <c r="E26384" i="1" s="1"/>
  <c r="E26383" i="1"/>
  <c r="D26383" i="1"/>
  <c r="E26382" i="1"/>
  <c r="D26382" i="1"/>
  <c r="D26381" i="1"/>
  <c r="E26381" i="1" s="1"/>
  <c r="D26380" i="1"/>
  <c r="E26380" i="1" s="1"/>
  <c r="D26379" i="1"/>
  <c r="E26379" i="1" s="1"/>
  <c r="D26378" i="1"/>
  <c r="E26378" i="1" s="1"/>
  <c r="D26377" i="1"/>
  <c r="E26377" i="1" s="1"/>
  <c r="D26376" i="1"/>
  <c r="E26376" i="1" s="1"/>
  <c r="D26375" i="1"/>
  <c r="E26375" i="1" s="1"/>
  <c r="D26374" i="1"/>
  <c r="E26374" i="1" s="1"/>
  <c r="D26373" i="1"/>
  <c r="E26373" i="1" s="1"/>
  <c r="D26372" i="1"/>
  <c r="E26372" i="1" s="1"/>
  <c r="D26371" i="1"/>
  <c r="E26371" i="1" s="1"/>
  <c r="E26370" i="1"/>
  <c r="D26370" i="1"/>
  <c r="D26369" i="1"/>
  <c r="E26369" i="1" s="1"/>
  <c r="D26368" i="1"/>
  <c r="E26368" i="1" s="1"/>
  <c r="D26367" i="1"/>
  <c r="E26367" i="1" s="1"/>
  <c r="D26366" i="1"/>
  <c r="E26366" i="1" s="1"/>
  <c r="D26365" i="1"/>
  <c r="E26365" i="1" s="1"/>
  <c r="E26364" i="1"/>
  <c r="D26364" i="1"/>
  <c r="D26363" i="1"/>
  <c r="E26363" i="1" s="1"/>
  <c r="D26362" i="1"/>
  <c r="E26362" i="1" s="1"/>
  <c r="D26361" i="1"/>
  <c r="E26361" i="1" s="1"/>
  <c r="D26360" i="1"/>
  <c r="E26360" i="1" s="1"/>
  <c r="D26359" i="1"/>
  <c r="E26359" i="1" s="1"/>
  <c r="D26358" i="1"/>
  <c r="E26358" i="1" s="1"/>
  <c r="D26357" i="1"/>
  <c r="E26357" i="1" s="1"/>
  <c r="D26356" i="1"/>
  <c r="E26356" i="1" s="1"/>
  <c r="D26355" i="1"/>
  <c r="E26355" i="1" s="1"/>
  <c r="D26354" i="1"/>
  <c r="E26354" i="1" s="1"/>
  <c r="D26353" i="1"/>
  <c r="E26353" i="1" s="1"/>
  <c r="D26352" i="1"/>
  <c r="E26352" i="1" s="1"/>
  <c r="D26351" i="1"/>
  <c r="E26351" i="1" s="1"/>
  <c r="D26350" i="1"/>
  <c r="E26350" i="1" s="1"/>
  <c r="D26349" i="1"/>
  <c r="E26349" i="1" s="1"/>
  <c r="D26348" i="1"/>
  <c r="E26348" i="1" s="1"/>
  <c r="D26347" i="1"/>
  <c r="E26347" i="1" s="1"/>
  <c r="D26346" i="1"/>
  <c r="E26346" i="1" s="1"/>
  <c r="D26345" i="1"/>
  <c r="E26345" i="1" s="1"/>
  <c r="D26344" i="1"/>
  <c r="E26344" i="1" s="1"/>
  <c r="D26343" i="1"/>
  <c r="E26343" i="1" s="1"/>
  <c r="D26342" i="1"/>
  <c r="E26342" i="1" s="1"/>
  <c r="D26341" i="1"/>
  <c r="E26341" i="1" s="1"/>
  <c r="D26340" i="1"/>
  <c r="E26340" i="1" s="1"/>
  <c r="D26339" i="1"/>
  <c r="E26339" i="1" s="1"/>
  <c r="D26338" i="1"/>
  <c r="E26338" i="1" s="1"/>
  <c r="D26337" i="1"/>
  <c r="E26337" i="1" s="1"/>
  <c r="D26336" i="1"/>
  <c r="E26336" i="1" s="1"/>
  <c r="E26335" i="1"/>
  <c r="D26335" i="1"/>
  <c r="E26334" i="1"/>
  <c r="D26334" i="1"/>
  <c r="D26333" i="1"/>
  <c r="E26333" i="1" s="1"/>
  <c r="D26332" i="1"/>
  <c r="E26332" i="1" s="1"/>
  <c r="D26331" i="1"/>
  <c r="E26331" i="1" s="1"/>
  <c r="D26330" i="1"/>
  <c r="E26330" i="1" s="1"/>
  <c r="D26329" i="1"/>
  <c r="E26329" i="1" s="1"/>
  <c r="D26328" i="1"/>
  <c r="E26328" i="1" s="1"/>
  <c r="D26327" i="1"/>
  <c r="E26327" i="1" s="1"/>
  <c r="D26326" i="1"/>
  <c r="E26326" i="1" s="1"/>
  <c r="D26325" i="1"/>
  <c r="E26325" i="1" s="1"/>
  <c r="D26324" i="1"/>
  <c r="E26324" i="1" s="1"/>
  <c r="D26323" i="1"/>
  <c r="E26323" i="1" s="1"/>
  <c r="E26322" i="1"/>
  <c r="D26322" i="1"/>
  <c r="D26321" i="1"/>
  <c r="E26321" i="1" s="1"/>
  <c r="D26320" i="1"/>
  <c r="E26320" i="1" s="1"/>
  <c r="D26319" i="1"/>
  <c r="E26319" i="1" s="1"/>
  <c r="D26318" i="1"/>
  <c r="E26318" i="1" s="1"/>
  <c r="D26317" i="1"/>
  <c r="E26317" i="1" s="1"/>
  <c r="E26316" i="1"/>
  <c r="D26316" i="1"/>
  <c r="D26315" i="1"/>
  <c r="E26315" i="1" s="1"/>
  <c r="D26314" i="1"/>
  <c r="E26314" i="1" s="1"/>
  <c r="D26313" i="1"/>
  <c r="E26313" i="1" s="1"/>
  <c r="D26312" i="1"/>
  <c r="E26312" i="1" s="1"/>
  <c r="D26311" i="1"/>
  <c r="E26311" i="1" s="1"/>
  <c r="E26310" i="1"/>
  <c r="D26310" i="1"/>
  <c r="D26309" i="1"/>
  <c r="E26309" i="1" s="1"/>
  <c r="D26308" i="1"/>
  <c r="E26308" i="1" s="1"/>
  <c r="D26307" i="1"/>
  <c r="E26307" i="1" s="1"/>
  <c r="D26306" i="1"/>
  <c r="E26306" i="1" s="1"/>
  <c r="D26305" i="1"/>
  <c r="E26305" i="1" s="1"/>
  <c r="D26304" i="1"/>
  <c r="E26304" i="1" s="1"/>
  <c r="E26303" i="1"/>
  <c r="D26303" i="1"/>
  <c r="D26302" i="1"/>
  <c r="E26302" i="1" s="1"/>
  <c r="D26301" i="1"/>
  <c r="E26301" i="1" s="1"/>
  <c r="D26300" i="1"/>
  <c r="E26300" i="1" s="1"/>
  <c r="E26299" i="1"/>
  <c r="D26299" i="1"/>
  <c r="D26298" i="1"/>
  <c r="E26298" i="1" s="1"/>
  <c r="D26297" i="1"/>
  <c r="E26297" i="1" s="1"/>
  <c r="D26296" i="1"/>
  <c r="E26296" i="1" s="1"/>
  <c r="D26295" i="1"/>
  <c r="E26295" i="1" s="1"/>
  <c r="D26294" i="1"/>
  <c r="E26294" i="1" s="1"/>
  <c r="D26293" i="1"/>
  <c r="E26293" i="1" s="1"/>
  <c r="E26292" i="1"/>
  <c r="D26292" i="1"/>
  <c r="D26291" i="1"/>
  <c r="E26291" i="1" s="1"/>
  <c r="D26290" i="1"/>
  <c r="E26290" i="1" s="1"/>
  <c r="D26289" i="1"/>
  <c r="E26289" i="1" s="1"/>
  <c r="D26288" i="1"/>
  <c r="E26288" i="1" s="1"/>
  <c r="D26287" i="1"/>
  <c r="E26287" i="1" s="1"/>
  <c r="D26286" i="1"/>
  <c r="E26286" i="1" s="1"/>
  <c r="D26285" i="1"/>
  <c r="E26285" i="1" s="1"/>
  <c r="D26284" i="1"/>
  <c r="E26284" i="1" s="1"/>
  <c r="D26283" i="1"/>
  <c r="E26283" i="1" s="1"/>
  <c r="D26282" i="1"/>
  <c r="E26282" i="1" s="1"/>
  <c r="D26281" i="1"/>
  <c r="E26281" i="1" s="1"/>
  <c r="D26280" i="1"/>
  <c r="E26280" i="1" s="1"/>
  <c r="D26279" i="1"/>
  <c r="E26279" i="1" s="1"/>
  <c r="D26278" i="1"/>
  <c r="E26278" i="1" s="1"/>
  <c r="D26277" i="1"/>
  <c r="E26277" i="1" s="1"/>
  <c r="D26276" i="1"/>
  <c r="E26276" i="1" s="1"/>
  <c r="D26275" i="1"/>
  <c r="E26275" i="1" s="1"/>
  <c r="D26274" i="1"/>
  <c r="E26274" i="1" s="1"/>
  <c r="D26273" i="1"/>
  <c r="E26273" i="1" s="1"/>
  <c r="D26272" i="1"/>
  <c r="E26272" i="1" s="1"/>
  <c r="D26271" i="1"/>
  <c r="E26271" i="1" s="1"/>
  <c r="D26270" i="1"/>
  <c r="E26270" i="1" s="1"/>
  <c r="E26269" i="1"/>
  <c r="D26269" i="1"/>
  <c r="D26268" i="1"/>
  <c r="E26268" i="1" s="1"/>
  <c r="E26267" i="1"/>
  <c r="D26267" i="1"/>
  <c r="D26266" i="1"/>
  <c r="E26266" i="1" s="1"/>
  <c r="E26265" i="1"/>
  <c r="D26265" i="1"/>
  <c r="D26264" i="1"/>
  <c r="E26264" i="1" s="1"/>
  <c r="D26263" i="1"/>
  <c r="E26263" i="1" s="1"/>
  <c r="E26262" i="1"/>
  <c r="D26262" i="1"/>
  <c r="D26261" i="1"/>
  <c r="E26261" i="1" s="1"/>
  <c r="D26260" i="1"/>
  <c r="E26260" i="1" s="1"/>
  <c r="D26259" i="1"/>
  <c r="E26259" i="1" s="1"/>
  <c r="D26258" i="1"/>
  <c r="E26258" i="1" s="1"/>
  <c r="D26257" i="1"/>
  <c r="E26257" i="1" s="1"/>
  <c r="D26256" i="1"/>
  <c r="E26256" i="1" s="1"/>
  <c r="D26255" i="1"/>
  <c r="E26255" i="1" s="1"/>
  <c r="D26254" i="1"/>
  <c r="E26254" i="1" s="1"/>
  <c r="D26253" i="1"/>
  <c r="E26253" i="1" s="1"/>
  <c r="D26252" i="1"/>
  <c r="E26252" i="1" s="1"/>
  <c r="D26251" i="1"/>
  <c r="E26251" i="1" s="1"/>
  <c r="E26250" i="1"/>
  <c r="D26250" i="1"/>
  <c r="D26249" i="1"/>
  <c r="E26249" i="1" s="1"/>
  <c r="D26248" i="1"/>
  <c r="E26248" i="1" s="1"/>
  <c r="D26247" i="1"/>
  <c r="E26247" i="1" s="1"/>
  <c r="D26246" i="1"/>
  <c r="E26246" i="1" s="1"/>
  <c r="E26245" i="1"/>
  <c r="D26245" i="1"/>
  <c r="D26244" i="1"/>
  <c r="E26244" i="1" s="1"/>
  <c r="D26243" i="1"/>
  <c r="E26243" i="1" s="1"/>
  <c r="D26242" i="1"/>
  <c r="E26242" i="1" s="1"/>
  <c r="E26241" i="1"/>
  <c r="D26241" i="1"/>
  <c r="D26240" i="1"/>
  <c r="E26240" i="1" s="1"/>
  <c r="D26239" i="1"/>
  <c r="E26239" i="1" s="1"/>
  <c r="E26238" i="1"/>
  <c r="D26238" i="1"/>
  <c r="D26237" i="1"/>
  <c r="E26237" i="1" s="1"/>
  <c r="D26236" i="1"/>
  <c r="E26236" i="1" s="1"/>
  <c r="D26235" i="1"/>
  <c r="E26235" i="1" s="1"/>
  <c r="D26234" i="1"/>
  <c r="E26234" i="1" s="1"/>
  <c r="E26233" i="1"/>
  <c r="D26233" i="1"/>
  <c r="D26232" i="1"/>
  <c r="E26232" i="1" s="1"/>
  <c r="D26231" i="1"/>
  <c r="E26231" i="1" s="1"/>
  <c r="D26230" i="1"/>
  <c r="E26230" i="1" s="1"/>
  <c r="D26229" i="1"/>
  <c r="E26229" i="1" s="1"/>
  <c r="D26228" i="1"/>
  <c r="E26228" i="1" s="1"/>
  <c r="D26227" i="1"/>
  <c r="E26227" i="1" s="1"/>
  <c r="D26226" i="1"/>
  <c r="E26226" i="1" s="1"/>
  <c r="D26225" i="1"/>
  <c r="E26225" i="1" s="1"/>
  <c r="D26224" i="1"/>
  <c r="E26224" i="1" s="1"/>
  <c r="D26223" i="1"/>
  <c r="E26223" i="1" s="1"/>
  <c r="D26222" i="1"/>
  <c r="E26222" i="1" s="1"/>
  <c r="E26221" i="1"/>
  <c r="D26221" i="1"/>
  <c r="D26220" i="1"/>
  <c r="E26220" i="1" s="1"/>
  <c r="D26219" i="1"/>
  <c r="E26219" i="1" s="1"/>
  <c r="D26218" i="1"/>
  <c r="E26218" i="1" s="1"/>
  <c r="E26217" i="1"/>
  <c r="D26217" i="1"/>
  <c r="D26216" i="1"/>
  <c r="E26216" i="1" s="1"/>
  <c r="D26215" i="1"/>
  <c r="E26215" i="1" s="1"/>
  <c r="E26214" i="1"/>
  <c r="D26214" i="1"/>
  <c r="D26213" i="1"/>
  <c r="E26213" i="1" s="1"/>
  <c r="D26212" i="1"/>
  <c r="E26212" i="1" s="1"/>
  <c r="D26211" i="1"/>
  <c r="E26211" i="1" s="1"/>
  <c r="D26210" i="1"/>
  <c r="E26210" i="1" s="1"/>
  <c r="D26209" i="1"/>
  <c r="E26209" i="1" s="1"/>
  <c r="D26208" i="1"/>
  <c r="E26208" i="1" s="1"/>
  <c r="D26207" i="1"/>
  <c r="E26207" i="1" s="1"/>
  <c r="D26206" i="1"/>
  <c r="E26206" i="1" s="1"/>
  <c r="D26205" i="1"/>
  <c r="E26205" i="1" s="1"/>
  <c r="D26204" i="1"/>
  <c r="E26204" i="1" s="1"/>
  <c r="E26203" i="1"/>
  <c r="D26203" i="1"/>
  <c r="E26202" i="1"/>
  <c r="D26202" i="1"/>
  <c r="D26201" i="1"/>
  <c r="E26201" i="1" s="1"/>
  <c r="D26200" i="1"/>
  <c r="E26200" i="1" s="1"/>
  <c r="D26199" i="1"/>
  <c r="E26199" i="1" s="1"/>
  <c r="D26198" i="1"/>
  <c r="E26198" i="1" s="1"/>
  <c r="E26197" i="1"/>
  <c r="D26197" i="1"/>
  <c r="D26196" i="1"/>
  <c r="E26196" i="1" s="1"/>
  <c r="D26195" i="1"/>
  <c r="E26195" i="1" s="1"/>
  <c r="D26194" i="1"/>
  <c r="E26194" i="1" s="1"/>
  <c r="E26193" i="1"/>
  <c r="D26193" i="1"/>
  <c r="D26192" i="1"/>
  <c r="E26192" i="1" s="1"/>
  <c r="D26191" i="1"/>
  <c r="E26191" i="1" s="1"/>
  <c r="E26190" i="1"/>
  <c r="D26190" i="1"/>
  <c r="D26189" i="1"/>
  <c r="E26189" i="1" s="1"/>
  <c r="D26188" i="1"/>
  <c r="E26188" i="1" s="1"/>
  <c r="D26187" i="1"/>
  <c r="E26187" i="1" s="1"/>
  <c r="D26186" i="1"/>
  <c r="E26186" i="1" s="1"/>
  <c r="E26185" i="1"/>
  <c r="D26185" i="1"/>
  <c r="D26184" i="1"/>
  <c r="E26184" i="1" s="1"/>
  <c r="D26183" i="1"/>
  <c r="E26183" i="1" s="1"/>
  <c r="D26182" i="1"/>
  <c r="E26182" i="1" s="1"/>
  <c r="D26181" i="1"/>
  <c r="E26181" i="1" s="1"/>
  <c r="E26180" i="1"/>
  <c r="D26180" i="1"/>
  <c r="D26179" i="1"/>
  <c r="E26179" i="1" s="1"/>
  <c r="E26178" i="1"/>
  <c r="D26178" i="1"/>
  <c r="D26177" i="1"/>
  <c r="E26177" i="1" s="1"/>
  <c r="D26176" i="1"/>
  <c r="E26176" i="1" s="1"/>
  <c r="D26175" i="1"/>
  <c r="E26175" i="1" s="1"/>
  <c r="D26174" i="1"/>
  <c r="E26174" i="1" s="1"/>
  <c r="D26173" i="1"/>
  <c r="E26173" i="1" s="1"/>
  <c r="D26172" i="1"/>
  <c r="E26172" i="1" s="1"/>
  <c r="E26171" i="1"/>
  <c r="D26171" i="1"/>
  <c r="E26170" i="1"/>
  <c r="D26170" i="1"/>
  <c r="E26169" i="1"/>
  <c r="D26169" i="1"/>
  <c r="D26168" i="1"/>
  <c r="E26168" i="1" s="1"/>
  <c r="D26167" i="1"/>
  <c r="E26167" i="1" s="1"/>
  <c r="E26166" i="1"/>
  <c r="D26166" i="1"/>
  <c r="D26165" i="1"/>
  <c r="E26165" i="1" s="1"/>
  <c r="D26164" i="1"/>
  <c r="E26164" i="1" s="1"/>
  <c r="D26163" i="1"/>
  <c r="E26163" i="1" s="1"/>
  <c r="D26162" i="1"/>
  <c r="E26162" i="1" s="1"/>
  <c r="E26161" i="1"/>
  <c r="D26161" i="1"/>
  <c r="D26160" i="1"/>
  <c r="E26160" i="1" s="1"/>
  <c r="D26159" i="1"/>
  <c r="E26159" i="1" s="1"/>
  <c r="D26158" i="1"/>
  <c r="E26158" i="1" s="1"/>
  <c r="E26157" i="1"/>
  <c r="D26157" i="1"/>
  <c r="E26156" i="1"/>
  <c r="D26156" i="1"/>
  <c r="E26155" i="1"/>
  <c r="D26155" i="1"/>
  <c r="D26154" i="1"/>
  <c r="E26154" i="1" s="1"/>
  <c r="D26153" i="1"/>
  <c r="E26153" i="1" s="1"/>
  <c r="D26152" i="1"/>
  <c r="E26152" i="1" s="1"/>
  <c r="D26151" i="1"/>
  <c r="E26151" i="1" s="1"/>
  <c r="D26150" i="1"/>
  <c r="E26150" i="1" s="1"/>
  <c r="E26149" i="1"/>
  <c r="D26149" i="1"/>
  <c r="E26148" i="1"/>
  <c r="D26148" i="1"/>
  <c r="D26147" i="1"/>
  <c r="E26147" i="1" s="1"/>
  <c r="D26146" i="1"/>
  <c r="E26146" i="1" s="1"/>
  <c r="D26145" i="1"/>
  <c r="E26145" i="1" s="1"/>
  <c r="D26144" i="1"/>
  <c r="E26144" i="1" s="1"/>
  <c r="E26143" i="1"/>
  <c r="D26143" i="1"/>
  <c r="E26142" i="1"/>
  <c r="D26142" i="1"/>
  <c r="D26141" i="1"/>
  <c r="E26141" i="1" s="1"/>
  <c r="D26140" i="1"/>
  <c r="E26140" i="1" s="1"/>
  <c r="D26139" i="1"/>
  <c r="E26139" i="1" s="1"/>
  <c r="D26138" i="1"/>
  <c r="E26138" i="1" s="1"/>
  <c r="D26137" i="1"/>
  <c r="E26137" i="1" s="1"/>
  <c r="E26136" i="1"/>
  <c r="D26136" i="1"/>
  <c r="E26135" i="1"/>
  <c r="D26135" i="1"/>
  <c r="D26134" i="1"/>
  <c r="E26134" i="1" s="1"/>
  <c r="D26133" i="1"/>
  <c r="E26133" i="1" s="1"/>
  <c r="D26132" i="1"/>
  <c r="E26132" i="1" s="1"/>
  <c r="E26131" i="1"/>
  <c r="D26131" i="1"/>
  <c r="E26130" i="1"/>
  <c r="D26130" i="1"/>
  <c r="E26129" i="1"/>
  <c r="D26129" i="1"/>
  <c r="D26128" i="1"/>
  <c r="E26128" i="1" s="1"/>
  <c r="D26127" i="1"/>
  <c r="E26127" i="1" s="1"/>
  <c r="E26126" i="1"/>
  <c r="D26126" i="1"/>
  <c r="D26125" i="1"/>
  <c r="E26125" i="1" s="1"/>
  <c r="E26124" i="1"/>
  <c r="D26124" i="1"/>
  <c r="E26123" i="1"/>
  <c r="D26123" i="1"/>
  <c r="D26122" i="1"/>
  <c r="E26122" i="1" s="1"/>
  <c r="D26121" i="1"/>
  <c r="E26121" i="1" s="1"/>
  <c r="D26120" i="1"/>
  <c r="E26120" i="1" s="1"/>
  <c r="D26119" i="1"/>
  <c r="E26119" i="1" s="1"/>
  <c r="E26118" i="1"/>
  <c r="D26118" i="1"/>
  <c r="E26117" i="1"/>
  <c r="D26117" i="1"/>
  <c r="D26116" i="1"/>
  <c r="E26116" i="1" s="1"/>
  <c r="D26115" i="1"/>
  <c r="E26115" i="1" s="1"/>
  <c r="E26114" i="1"/>
  <c r="D26114" i="1"/>
  <c r="D26113" i="1"/>
  <c r="E26113" i="1" s="1"/>
  <c r="E26112" i="1"/>
  <c r="D26112" i="1"/>
  <c r="E26111" i="1"/>
  <c r="D26111" i="1"/>
  <c r="D26110" i="1"/>
  <c r="E26110" i="1" s="1"/>
  <c r="D26109" i="1"/>
  <c r="E26109" i="1" s="1"/>
  <c r="E26108" i="1"/>
  <c r="D26108" i="1"/>
  <c r="D26107" i="1"/>
  <c r="E26107" i="1" s="1"/>
  <c r="E26106" i="1"/>
  <c r="D26106" i="1"/>
  <c r="E26105" i="1"/>
  <c r="D26105" i="1"/>
  <c r="D26104" i="1"/>
  <c r="E26104" i="1" s="1"/>
  <c r="D26103" i="1"/>
  <c r="E26103" i="1" s="1"/>
  <c r="E26102" i="1"/>
  <c r="D26102" i="1"/>
  <c r="D26101" i="1"/>
  <c r="E26101" i="1" s="1"/>
  <c r="E26100" i="1"/>
  <c r="D26100" i="1"/>
  <c r="E26099" i="1"/>
  <c r="D26099" i="1"/>
  <c r="D26098" i="1"/>
  <c r="E26098" i="1" s="1"/>
  <c r="D26097" i="1"/>
  <c r="E26097" i="1" s="1"/>
  <c r="D26096" i="1"/>
  <c r="E26096" i="1" s="1"/>
  <c r="E26095" i="1"/>
  <c r="D26095" i="1"/>
  <c r="E26094" i="1"/>
  <c r="D26094" i="1"/>
  <c r="E26093" i="1"/>
  <c r="D26093" i="1"/>
  <c r="D26092" i="1"/>
  <c r="E26092" i="1" s="1"/>
  <c r="D26091" i="1"/>
  <c r="E26091" i="1" s="1"/>
  <c r="E26090" i="1"/>
  <c r="D26090" i="1"/>
  <c r="D26089" i="1"/>
  <c r="E26089" i="1" s="1"/>
  <c r="E26088" i="1"/>
  <c r="D26088" i="1"/>
  <c r="E26087" i="1"/>
  <c r="D26087" i="1"/>
  <c r="D26086" i="1"/>
  <c r="E26086" i="1" s="1"/>
  <c r="D26085" i="1"/>
  <c r="E26085" i="1" s="1"/>
  <c r="D26084" i="1"/>
  <c r="E26084" i="1" s="1"/>
  <c r="E26083" i="1"/>
  <c r="D26083" i="1"/>
  <c r="E26082" i="1"/>
  <c r="D26082" i="1"/>
  <c r="E26081" i="1"/>
  <c r="D26081" i="1"/>
  <c r="D26080" i="1"/>
  <c r="E26080" i="1" s="1"/>
  <c r="D26079" i="1"/>
  <c r="E26079" i="1" s="1"/>
  <c r="E26078" i="1"/>
  <c r="D26078" i="1"/>
  <c r="D26077" i="1"/>
  <c r="E26077" i="1" s="1"/>
  <c r="E26076" i="1"/>
  <c r="D26076" i="1"/>
  <c r="E26075" i="1"/>
  <c r="D26075" i="1"/>
  <c r="D26074" i="1"/>
  <c r="E26074" i="1" s="1"/>
  <c r="D26073" i="1"/>
  <c r="E26073" i="1" s="1"/>
  <c r="D26072" i="1"/>
  <c r="E26072" i="1" s="1"/>
  <c r="E26071" i="1"/>
  <c r="D26071" i="1"/>
  <c r="E26070" i="1"/>
  <c r="D26070" i="1"/>
  <c r="E26069" i="1"/>
  <c r="D26069" i="1"/>
  <c r="D26068" i="1"/>
  <c r="E26068" i="1" s="1"/>
  <c r="D26067" i="1"/>
  <c r="E26067" i="1" s="1"/>
  <c r="E26066" i="1"/>
  <c r="D26066" i="1"/>
  <c r="D26065" i="1"/>
  <c r="E26065" i="1" s="1"/>
  <c r="E26064" i="1"/>
  <c r="D26064" i="1"/>
  <c r="E26063" i="1"/>
  <c r="D26063" i="1"/>
  <c r="D26062" i="1"/>
  <c r="E26062" i="1" s="1"/>
  <c r="D26061" i="1"/>
  <c r="E26061" i="1" s="1"/>
  <c r="E26060" i="1"/>
  <c r="D26060" i="1"/>
  <c r="D26059" i="1"/>
  <c r="E26059" i="1" s="1"/>
  <c r="E26058" i="1"/>
  <c r="D26058" i="1"/>
  <c r="E26057" i="1"/>
  <c r="D26057" i="1"/>
  <c r="D26056" i="1"/>
  <c r="E26056" i="1" s="1"/>
  <c r="D26055" i="1"/>
  <c r="E26055" i="1" s="1"/>
  <c r="E26054" i="1"/>
  <c r="D26054" i="1"/>
  <c r="D26053" i="1"/>
  <c r="E26053" i="1" s="1"/>
  <c r="E26052" i="1"/>
  <c r="D26052" i="1"/>
  <c r="E26051" i="1"/>
  <c r="D26051" i="1"/>
  <c r="D26050" i="1"/>
  <c r="E26050" i="1" s="1"/>
  <c r="D26049" i="1"/>
  <c r="E26049" i="1" s="1"/>
  <c r="E26048" i="1"/>
  <c r="D26048" i="1"/>
  <c r="E26047" i="1"/>
  <c r="D26047" i="1"/>
  <c r="E26046" i="1"/>
  <c r="D26046" i="1"/>
  <c r="E26045" i="1"/>
  <c r="D26045" i="1"/>
  <c r="D26044" i="1"/>
  <c r="E26044" i="1" s="1"/>
  <c r="D26043" i="1"/>
  <c r="E26043" i="1" s="1"/>
  <c r="E26042" i="1"/>
  <c r="D26042" i="1"/>
  <c r="D26041" i="1"/>
  <c r="E26041" i="1" s="1"/>
  <c r="E26040" i="1"/>
  <c r="D26040" i="1"/>
  <c r="E26039" i="1"/>
  <c r="D26039" i="1"/>
  <c r="D26038" i="1"/>
  <c r="E26038" i="1" s="1"/>
  <c r="D26037" i="1"/>
  <c r="E26037" i="1" s="1"/>
  <c r="D26036" i="1"/>
  <c r="E26036" i="1" s="1"/>
  <c r="D26035" i="1"/>
  <c r="E26035" i="1" s="1"/>
  <c r="E26034" i="1"/>
  <c r="D26034" i="1"/>
  <c r="E26033" i="1"/>
  <c r="D26033" i="1"/>
  <c r="D26032" i="1"/>
  <c r="E26032" i="1" s="1"/>
  <c r="D26031" i="1"/>
  <c r="E26031" i="1" s="1"/>
  <c r="E26030" i="1"/>
  <c r="D26030" i="1"/>
  <c r="D26029" i="1"/>
  <c r="E26029" i="1" s="1"/>
  <c r="E26028" i="1"/>
  <c r="D26028" i="1"/>
  <c r="E26027" i="1"/>
  <c r="D26027" i="1"/>
  <c r="D26026" i="1"/>
  <c r="E26026" i="1" s="1"/>
  <c r="D26025" i="1"/>
  <c r="E26025" i="1" s="1"/>
  <c r="D26024" i="1"/>
  <c r="E26024" i="1" s="1"/>
  <c r="D26023" i="1"/>
  <c r="E26023" i="1" s="1"/>
  <c r="E26022" i="1"/>
  <c r="D26022" i="1"/>
  <c r="E26021" i="1"/>
  <c r="D26021" i="1"/>
  <c r="D26020" i="1"/>
  <c r="E26020" i="1" s="1"/>
  <c r="D26019" i="1"/>
  <c r="E26019" i="1" s="1"/>
  <c r="E26018" i="1"/>
  <c r="D26018" i="1"/>
  <c r="D26017" i="1"/>
  <c r="E26017" i="1" s="1"/>
  <c r="E26016" i="1"/>
  <c r="D26016" i="1"/>
  <c r="E26015" i="1"/>
  <c r="D26015" i="1"/>
  <c r="D26014" i="1"/>
  <c r="E26014" i="1" s="1"/>
  <c r="D26013" i="1"/>
  <c r="E26013" i="1" s="1"/>
  <c r="E26012" i="1"/>
  <c r="D26012" i="1"/>
  <c r="D26011" i="1"/>
  <c r="E26011" i="1" s="1"/>
  <c r="E26010" i="1"/>
  <c r="D26010" i="1"/>
  <c r="E26009" i="1"/>
  <c r="D26009" i="1"/>
  <c r="D26008" i="1"/>
  <c r="E26008" i="1" s="1"/>
  <c r="D26007" i="1"/>
  <c r="E26007" i="1" s="1"/>
  <c r="E26006" i="1"/>
  <c r="D26006" i="1"/>
  <c r="D26005" i="1"/>
  <c r="E26005" i="1" s="1"/>
  <c r="E26004" i="1"/>
  <c r="D26004" i="1"/>
  <c r="E26003" i="1"/>
  <c r="D26003" i="1"/>
  <c r="D26002" i="1"/>
  <c r="E26002" i="1" s="1"/>
  <c r="D26001" i="1"/>
  <c r="E26001" i="1" s="1"/>
  <c r="E26000" i="1"/>
  <c r="D26000" i="1"/>
  <c r="D25999" i="1"/>
  <c r="E25999" i="1" s="1"/>
  <c r="E25998" i="1"/>
  <c r="D25998" i="1"/>
  <c r="E25997" i="1"/>
  <c r="D25997" i="1"/>
  <c r="D25996" i="1"/>
  <c r="E25996" i="1" s="1"/>
  <c r="D25995" i="1"/>
  <c r="E25995" i="1" s="1"/>
  <c r="E25994" i="1"/>
  <c r="D25994" i="1"/>
  <c r="D25993" i="1"/>
  <c r="E25993" i="1" s="1"/>
  <c r="E25992" i="1"/>
  <c r="D25992" i="1"/>
  <c r="E25991" i="1"/>
  <c r="D25991" i="1"/>
  <c r="D25990" i="1"/>
  <c r="E25990" i="1" s="1"/>
  <c r="D25989" i="1"/>
  <c r="E25989" i="1" s="1"/>
  <c r="D25988" i="1"/>
  <c r="E25988" i="1" s="1"/>
  <c r="D25987" i="1"/>
  <c r="E25987" i="1" s="1"/>
  <c r="E25986" i="1"/>
  <c r="D25986" i="1"/>
  <c r="E25985" i="1"/>
  <c r="D25985" i="1"/>
  <c r="D25984" i="1"/>
  <c r="E25984" i="1" s="1"/>
  <c r="D25983" i="1"/>
  <c r="E25983" i="1" s="1"/>
  <c r="E25982" i="1"/>
  <c r="D25982" i="1"/>
  <c r="D25981" i="1"/>
  <c r="E25981" i="1" s="1"/>
  <c r="E25980" i="1"/>
  <c r="D25980" i="1"/>
  <c r="E25979" i="1"/>
  <c r="D25979" i="1"/>
  <c r="D25978" i="1"/>
  <c r="E25978" i="1" s="1"/>
  <c r="D25977" i="1"/>
  <c r="E25977" i="1" s="1"/>
  <c r="D25976" i="1"/>
  <c r="E25976" i="1" s="1"/>
  <c r="D25975" i="1"/>
  <c r="E25975" i="1" s="1"/>
  <c r="E25974" i="1"/>
  <c r="D25974" i="1"/>
  <c r="E25973" i="1"/>
  <c r="D25973" i="1"/>
  <c r="D25972" i="1"/>
  <c r="E25972" i="1" s="1"/>
  <c r="D25971" i="1"/>
  <c r="E25971" i="1" s="1"/>
  <c r="E25970" i="1"/>
  <c r="D25970" i="1"/>
  <c r="D25969" i="1"/>
  <c r="E25969" i="1" s="1"/>
  <c r="E25968" i="1"/>
  <c r="D25968" i="1"/>
  <c r="E25967" i="1"/>
  <c r="D25967" i="1"/>
  <c r="D25966" i="1"/>
  <c r="E25966" i="1" s="1"/>
  <c r="D25965" i="1"/>
  <c r="E25965" i="1" s="1"/>
  <c r="E25964" i="1"/>
  <c r="D25964" i="1"/>
  <c r="D25963" i="1"/>
  <c r="E25963" i="1" s="1"/>
  <c r="E25962" i="1"/>
  <c r="D25962" i="1"/>
  <c r="E25961" i="1"/>
  <c r="D25961" i="1"/>
  <c r="D25960" i="1"/>
  <c r="E25960" i="1" s="1"/>
  <c r="D25959" i="1"/>
  <c r="E25959" i="1" s="1"/>
  <c r="E25958" i="1"/>
  <c r="D25958" i="1"/>
  <c r="D25957" i="1"/>
  <c r="E25957" i="1" s="1"/>
  <c r="E25956" i="1"/>
  <c r="D25956" i="1"/>
  <c r="E25955" i="1"/>
  <c r="D25955" i="1"/>
  <c r="D25954" i="1"/>
  <c r="E25954" i="1" s="1"/>
  <c r="D25953" i="1"/>
  <c r="E25953" i="1" s="1"/>
  <c r="E25952" i="1"/>
  <c r="D25952" i="1"/>
  <c r="D25951" i="1"/>
  <c r="E25951" i="1" s="1"/>
  <c r="E25950" i="1"/>
  <c r="D25950" i="1"/>
  <c r="E25949" i="1"/>
  <c r="D25949" i="1"/>
  <c r="D25948" i="1"/>
  <c r="E25948" i="1" s="1"/>
  <c r="D25947" i="1"/>
  <c r="E25947" i="1" s="1"/>
  <c r="E25946" i="1"/>
  <c r="D25946" i="1"/>
  <c r="D25945" i="1"/>
  <c r="E25945" i="1" s="1"/>
  <c r="E25944" i="1"/>
  <c r="D25944" i="1"/>
  <c r="E25943" i="1"/>
  <c r="D25943" i="1"/>
  <c r="D25942" i="1"/>
  <c r="E25942" i="1" s="1"/>
  <c r="D25941" i="1"/>
  <c r="E25941" i="1" s="1"/>
  <c r="D25940" i="1"/>
  <c r="E25940" i="1" s="1"/>
  <c r="E25939" i="1"/>
  <c r="D25939" i="1"/>
  <c r="E25938" i="1"/>
  <c r="D25938" i="1"/>
  <c r="E25937" i="1"/>
  <c r="D25937" i="1"/>
  <c r="D25936" i="1"/>
  <c r="E25936" i="1" s="1"/>
  <c r="D25935" i="1"/>
  <c r="E25935" i="1" s="1"/>
  <c r="E25934" i="1"/>
  <c r="D25934" i="1"/>
  <c r="D25933" i="1"/>
  <c r="E25933" i="1" s="1"/>
  <c r="E25932" i="1"/>
  <c r="D25932" i="1"/>
  <c r="E25931" i="1"/>
  <c r="D25931" i="1"/>
  <c r="D25930" i="1"/>
  <c r="E25930" i="1" s="1"/>
  <c r="D25929" i="1"/>
  <c r="E25929" i="1" s="1"/>
  <c r="E25928" i="1"/>
  <c r="D25928" i="1"/>
  <c r="D25927" i="1"/>
  <c r="E25927" i="1" s="1"/>
  <c r="E25926" i="1"/>
  <c r="D25926" i="1"/>
  <c r="E25925" i="1"/>
  <c r="D25925" i="1"/>
  <c r="D25924" i="1"/>
  <c r="E25924" i="1" s="1"/>
  <c r="D25923" i="1"/>
  <c r="E25923" i="1" s="1"/>
  <c r="E25922" i="1"/>
  <c r="D25922" i="1"/>
  <c r="D25921" i="1"/>
  <c r="E25921" i="1" s="1"/>
  <c r="E25920" i="1"/>
  <c r="D25920" i="1"/>
  <c r="E25919" i="1"/>
  <c r="D25919" i="1"/>
  <c r="D25918" i="1"/>
  <c r="E25918" i="1" s="1"/>
  <c r="D25917" i="1"/>
  <c r="E25917" i="1" s="1"/>
  <c r="E25916" i="1"/>
  <c r="D25916" i="1"/>
  <c r="D25915" i="1"/>
  <c r="E25915" i="1" s="1"/>
  <c r="E25914" i="1"/>
  <c r="D25914" i="1"/>
  <c r="E25913" i="1"/>
  <c r="D25913" i="1"/>
  <c r="D25912" i="1"/>
  <c r="E25912" i="1" s="1"/>
  <c r="D25911" i="1"/>
  <c r="E25911" i="1" s="1"/>
  <c r="E25910" i="1"/>
  <c r="D25910" i="1"/>
  <c r="D25909" i="1"/>
  <c r="E25909" i="1" s="1"/>
  <c r="E25908" i="1"/>
  <c r="D25908" i="1"/>
  <c r="E25907" i="1"/>
  <c r="D25907" i="1"/>
  <c r="D25906" i="1"/>
  <c r="E25906" i="1" s="1"/>
  <c r="D25905" i="1"/>
  <c r="E25905" i="1" s="1"/>
  <c r="E25904" i="1"/>
  <c r="D25904" i="1"/>
  <c r="D25903" i="1"/>
  <c r="E25903" i="1" s="1"/>
  <c r="E25902" i="1"/>
  <c r="D25902" i="1"/>
  <c r="E25901" i="1"/>
  <c r="D25901" i="1"/>
  <c r="D25900" i="1"/>
  <c r="E25900" i="1" s="1"/>
  <c r="D25899" i="1"/>
  <c r="E25899" i="1" s="1"/>
  <c r="E25898" i="1"/>
  <c r="D25898" i="1"/>
  <c r="D25897" i="1"/>
  <c r="E25897" i="1" s="1"/>
  <c r="E25896" i="1"/>
  <c r="D25896" i="1"/>
  <c r="E25895" i="1"/>
  <c r="D25895" i="1"/>
  <c r="D25894" i="1"/>
  <c r="E25894" i="1" s="1"/>
  <c r="D25893" i="1"/>
  <c r="E25893" i="1" s="1"/>
  <c r="D25892" i="1"/>
  <c r="E25892" i="1" s="1"/>
  <c r="D25891" i="1"/>
  <c r="E25891" i="1" s="1"/>
  <c r="E25890" i="1"/>
  <c r="D25890" i="1"/>
  <c r="E25889" i="1"/>
  <c r="D25889" i="1"/>
  <c r="D25888" i="1"/>
  <c r="E25888" i="1" s="1"/>
  <c r="D25887" i="1"/>
  <c r="E25887" i="1" s="1"/>
  <c r="E25886" i="1"/>
  <c r="D25886" i="1"/>
  <c r="D25885" i="1"/>
  <c r="E25885" i="1" s="1"/>
  <c r="E25884" i="1"/>
  <c r="D25884" i="1"/>
  <c r="E25883" i="1"/>
  <c r="D25883" i="1"/>
  <c r="D25882" i="1"/>
  <c r="E25882" i="1" s="1"/>
  <c r="D25881" i="1"/>
  <c r="E25881" i="1" s="1"/>
  <c r="E25880" i="1"/>
  <c r="D25880" i="1"/>
  <c r="D25879" i="1"/>
  <c r="E25879" i="1" s="1"/>
  <c r="E25878" i="1"/>
  <c r="D25878" i="1"/>
  <c r="E25877" i="1"/>
  <c r="D25877" i="1"/>
  <c r="D25876" i="1"/>
  <c r="E25876" i="1" s="1"/>
  <c r="D25875" i="1"/>
  <c r="E25875" i="1" s="1"/>
  <c r="E25874" i="1"/>
  <c r="D25874" i="1"/>
  <c r="D25873" i="1"/>
  <c r="E25873" i="1" s="1"/>
  <c r="D25872" i="1"/>
  <c r="E25872" i="1" s="1"/>
  <c r="E25871" i="1"/>
  <c r="D25871" i="1"/>
  <c r="D25870" i="1"/>
  <c r="E25870" i="1" s="1"/>
  <c r="D25869" i="1"/>
  <c r="E25869" i="1" s="1"/>
  <c r="D25868" i="1"/>
  <c r="E25868" i="1" s="1"/>
  <c r="D25867" i="1"/>
  <c r="E25867" i="1" s="1"/>
  <c r="E25866" i="1"/>
  <c r="D25866" i="1"/>
  <c r="E25865" i="1"/>
  <c r="D25865" i="1"/>
  <c r="D25864" i="1"/>
  <c r="E25864" i="1" s="1"/>
  <c r="D25863" i="1"/>
  <c r="E25863" i="1" s="1"/>
  <c r="E25862" i="1"/>
  <c r="D25862" i="1"/>
  <c r="D25861" i="1"/>
  <c r="E25861" i="1" s="1"/>
  <c r="D25860" i="1"/>
  <c r="E25860" i="1" s="1"/>
  <c r="E25859" i="1"/>
  <c r="D25859" i="1"/>
  <c r="D25858" i="1"/>
  <c r="E25858" i="1" s="1"/>
  <c r="D25857" i="1"/>
  <c r="E25857" i="1" s="1"/>
  <c r="D25856" i="1"/>
  <c r="E25856" i="1" s="1"/>
  <c r="D25855" i="1"/>
  <c r="E25855" i="1" s="1"/>
  <c r="E25854" i="1"/>
  <c r="D25854" i="1"/>
  <c r="E25853" i="1"/>
  <c r="D25853" i="1"/>
  <c r="D25852" i="1"/>
  <c r="E25852" i="1" s="1"/>
  <c r="D25851" i="1"/>
  <c r="E25851" i="1" s="1"/>
  <c r="E25850" i="1"/>
  <c r="D25850" i="1"/>
  <c r="D25849" i="1"/>
  <c r="E25849" i="1" s="1"/>
  <c r="E25848" i="1"/>
  <c r="D25848" i="1"/>
  <c r="E25847" i="1"/>
  <c r="D25847" i="1"/>
  <c r="D25846" i="1"/>
  <c r="E25846" i="1" s="1"/>
  <c r="D25845" i="1"/>
  <c r="E25845" i="1" s="1"/>
  <c r="D25844" i="1"/>
  <c r="E25844" i="1" s="1"/>
  <c r="E25843" i="1"/>
  <c r="D25843" i="1"/>
  <c r="E25842" i="1"/>
  <c r="D25842" i="1"/>
  <c r="E25841" i="1"/>
  <c r="D25841" i="1"/>
  <c r="D25840" i="1"/>
  <c r="E25840" i="1" s="1"/>
  <c r="D25839" i="1"/>
  <c r="E25839" i="1" s="1"/>
  <c r="E25838" i="1"/>
  <c r="D25838" i="1"/>
  <c r="D25837" i="1"/>
  <c r="E25837" i="1" s="1"/>
  <c r="D25836" i="1"/>
  <c r="E25836" i="1" s="1"/>
  <c r="E25835" i="1"/>
  <c r="D25835" i="1"/>
  <c r="D25834" i="1"/>
  <c r="E25834" i="1" s="1"/>
  <c r="D25833" i="1"/>
  <c r="E25833" i="1" s="1"/>
  <c r="D25832" i="1"/>
  <c r="E25832" i="1" s="1"/>
  <c r="E25831" i="1"/>
  <c r="D25831" i="1"/>
  <c r="E25830" i="1"/>
  <c r="D25830" i="1"/>
  <c r="E25829" i="1"/>
  <c r="D25829" i="1"/>
  <c r="D25828" i="1"/>
  <c r="E25828" i="1" s="1"/>
  <c r="D25827" i="1"/>
  <c r="E25827" i="1" s="1"/>
  <c r="E25826" i="1"/>
  <c r="D25826" i="1"/>
  <c r="D25825" i="1"/>
  <c r="E25825" i="1" s="1"/>
  <c r="D25824" i="1"/>
  <c r="E25824" i="1" s="1"/>
  <c r="E25823" i="1"/>
  <c r="D25823" i="1"/>
  <c r="D25822" i="1"/>
  <c r="E25822" i="1" s="1"/>
  <c r="D25821" i="1"/>
  <c r="E25821" i="1" s="1"/>
  <c r="E25820" i="1"/>
  <c r="D25820" i="1"/>
  <c r="D25819" i="1"/>
  <c r="E25819" i="1" s="1"/>
  <c r="E25818" i="1"/>
  <c r="D25818" i="1"/>
  <c r="E25817" i="1"/>
  <c r="D25817" i="1"/>
  <c r="D25816" i="1"/>
  <c r="E25816" i="1" s="1"/>
  <c r="D25815" i="1"/>
  <c r="E25815" i="1" s="1"/>
  <c r="E25814" i="1"/>
  <c r="D25814" i="1"/>
  <c r="D25813" i="1"/>
  <c r="E25813" i="1" s="1"/>
  <c r="D25812" i="1"/>
  <c r="E25812" i="1" s="1"/>
  <c r="E25811" i="1"/>
  <c r="D25811" i="1"/>
  <c r="D25810" i="1"/>
  <c r="E25810" i="1" s="1"/>
  <c r="D25809" i="1"/>
  <c r="E25809" i="1" s="1"/>
  <c r="E25808" i="1"/>
  <c r="D25808" i="1"/>
  <c r="D25807" i="1"/>
  <c r="E25807" i="1" s="1"/>
  <c r="E25806" i="1"/>
  <c r="D25806" i="1"/>
  <c r="E25805" i="1"/>
  <c r="D25805" i="1"/>
  <c r="D25804" i="1"/>
  <c r="E25804" i="1" s="1"/>
  <c r="D25803" i="1"/>
  <c r="E25803" i="1" s="1"/>
  <c r="E25802" i="1"/>
  <c r="D25802" i="1"/>
  <c r="D25801" i="1"/>
  <c r="E25801" i="1" s="1"/>
  <c r="D25800" i="1"/>
  <c r="E25800" i="1" s="1"/>
  <c r="E25799" i="1"/>
  <c r="D25799" i="1"/>
  <c r="D25798" i="1"/>
  <c r="E25798" i="1" s="1"/>
  <c r="D25797" i="1"/>
  <c r="E25797" i="1" s="1"/>
  <c r="D25796" i="1"/>
  <c r="E25796" i="1" s="1"/>
  <c r="D25795" i="1"/>
  <c r="E25795" i="1" s="1"/>
  <c r="E25794" i="1"/>
  <c r="D25794" i="1"/>
  <c r="E25793" i="1"/>
  <c r="D25793" i="1"/>
  <c r="D25792" i="1"/>
  <c r="E25792" i="1" s="1"/>
  <c r="D25791" i="1"/>
  <c r="E25791" i="1" s="1"/>
  <c r="D25790" i="1"/>
  <c r="E25790" i="1" s="1"/>
  <c r="D25789" i="1"/>
  <c r="E25789" i="1" s="1"/>
  <c r="D25788" i="1"/>
  <c r="E25788" i="1" s="1"/>
  <c r="D25787" i="1"/>
  <c r="E25787" i="1" s="1"/>
  <c r="D25786" i="1"/>
  <c r="E25786" i="1" s="1"/>
  <c r="D25785" i="1"/>
  <c r="E25785" i="1" s="1"/>
  <c r="D25784" i="1"/>
  <c r="E25784" i="1" s="1"/>
  <c r="D25783" i="1"/>
  <c r="E25783" i="1" s="1"/>
  <c r="E25782" i="1"/>
  <c r="D25782" i="1"/>
  <c r="E25781" i="1"/>
  <c r="D25781" i="1"/>
  <c r="D25780" i="1"/>
  <c r="E25780" i="1" s="1"/>
  <c r="D25779" i="1"/>
  <c r="E25779" i="1" s="1"/>
  <c r="D25778" i="1"/>
  <c r="E25778" i="1" s="1"/>
  <c r="E25777" i="1"/>
  <c r="D25777" i="1"/>
  <c r="D25776" i="1"/>
  <c r="E25776" i="1" s="1"/>
  <c r="D25775" i="1"/>
  <c r="E25775" i="1" s="1"/>
  <c r="E25774" i="1"/>
  <c r="D25774" i="1"/>
  <c r="D25773" i="1"/>
  <c r="E25773" i="1" s="1"/>
  <c r="D25772" i="1"/>
  <c r="E25772" i="1" s="1"/>
  <c r="E25771" i="1"/>
  <c r="D25771" i="1"/>
  <c r="E25770" i="1"/>
  <c r="D25770" i="1"/>
  <c r="E25769" i="1"/>
  <c r="D25769" i="1"/>
  <c r="D25768" i="1"/>
  <c r="E25768" i="1" s="1"/>
  <c r="D25767" i="1"/>
  <c r="E25767" i="1" s="1"/>
  <c r="D25766" i="1"/>
  <c r="E25766" i="1" s="1"/>
  <c r="D25765" i="1"/>
  <c r="E25765" i="1" s="1"/>
  <c r="E25764" i="1"/>
  <c r="D25764" i="1"/>
  <c r="D25763" i="1"/>
  <c r="E25763" i="1" s="1"/>
  <c r="E25762" i="1"/>
  <c r="D25762" i="1"/>
  <c r="D25761" i="1"/>
  <c r="E25761" i="1" s="1"/>
  <c r="E25760" i="1"/>
  <c r="D25760" i="1"/>
  <c r="E25759" i="1"/>
  <c r="D25759" i="1"/>
  <c r="E25758" i="1"/>
  <c r="D25758" i="1"/>
  <c r="E25757" i="1"/>
  <c r="D25757" i="1"/>
  <c r="D25756" i="1"/>
  <c r="E25756" i="1" s="1"/>
  <c r="D25755" i="1"/>
  <c r="E25755" i="1" s="1"/>
  <c r="D25754" i="1"/>
  <c r="E25754" i="1" s="1"/>
  <c r="E25753" i="1"/>
  <c r="D25753" i="1"/>
  <c r="E25752" i="1"/>
  <c r="D25752" i="1"/>
  <c r="D25751" i="1"/>
  <c r="E25751" i="1" s="1"/>
  <c r="E25750" i="1"/>
  <c r="D25750" i="1"/>
  <c r="D25749" i="1"/>
  <c r="E25749" i="1" s="1"/>
  <c r="E25748" i="1"/>
  <c r="D25748" i="1"/>
  <c r="D25747" i="1"/>
  <c r="E25747" i="1" s="1"/>
  <c r="E25746" i="1"/>
  <c r="D25746" i="1"/>
  <c r="E25745" i="1"/>
  <c r="D25745" i="1"/>
  <c r="D25744" i="1"/>
  <c r="E25744" i="1" s="1"/>
  <c r="D25743" i="1"/>
  <c r="E25743" i="1" s="1"/>
  <c r="D25742" i="1"/>
  <c r="E25742" i="1" s="1"/>
  <c r="E25741" i="1"/>
  <c r="D25741" i="1"/>
  <c r="D25740" i="1"/>
  <c r="E25740" i="1" s="1"/>
  <c r="E25739" i="1"/>
  <c r="D25739" i="1"/>
  <c r="D25738" i="1"/>
  <c r="E25738" i="1" s="1"/>
  <c r="D25737" i="1"/>
  <c r="E25737" i="1" s="1"/>
  <c r="E25736" i="1"/>
  <c r="D25736" i="1"/>
  <c r="D25735" i="1"/>
  <c r="E25735" i="1" s="1"/>
  <c r="E25734" i="1"/>
  <c r="D25734" i="1"/>
  <c r="E25733" i="1"/>
  <c r="D25733" i="1"/>
  <c r="D25732" i="1"/>
  <c r="E25732" i="1" s="1"/>
  <c r="D25731" i="1"/>
  <c r="E25731" i="1" s="1"/>
  <c r="E25730" i="1"/>
  <c r="D25730" i="1"/>
  <c r="E25729" i="1"/>
  <c r="D25729" i="1"/>
  <c r="D25728" i="1"/>
  <c r="E25728" i="1" s="1"/>
  <c r="D25727" i="1"/>
  <c r="E25727" i="1" s="1"/>
  <c r="E25726" i="1"/>
  <c r="D25726" i="1"/>
  <c r="D25725" i="1"/>
  <c r="E25725" i="1" s="1"/>
  <c r="D25724" i="1"/>
  <c r="E25724" i="1" s="1"/>
  <c r="E25723" i="1"/>
  <c r="D25723" i="1"/>
  <c r="E25722" i="1"/>
  <c r="D25722" i="1"/>
  <c r="E25721" i="1"/>
  <c r="D25721" i="1"/>
  <c r="D25720" i="1"/>
  <c r="E25720" i="1" s="1"/>
  <c r="D25719" i="1"/>
  <c r="E25719" i="1" s="1"/>
  <c r="D25718" i="1"/>
  <c r="E25718" i="1" s="1"/>
  <c r="D25717" i="1"/>
  <c r="E25717" i="1" s="1"/>
  <c r="E25716" i="1"/>
  <c r="D25716" i="1"/>
  <c r="D25715" i="1"/>
  <c r="E25715" i="1" s="1"/>
  <c r="E25714" i="1"/>
  <c r="D25714" i="1"/>
  <c r="D25713" i="1"/>
  <c r="E25713" i="1" s="1"/>
  <c r="D25712" i="1"/>
  <c r="E25712" i="1" s="1"/>
  <c r="E25711" i="1"/>
  <c r="D25711" i="1"/>
  <c r="E25710" i="1"/>
  <c r="D25710" i="1"/>
  <c r="E25709" i="1"/>
  <c r="D25709" i="1"/>
  <c r="D25708" i="1"/>
  <c r="E25708" i="1" s="1"/>
  <c r="D25707" i="1"/>
  <c r="E25707" i="1" s="1"/>
  <c r="D25706" i="1"/>
  <c r="E25706" i="1" s="1"/>
  <c r="E25705" i="1"/>
  <c r="D25705" i="1"/>
  <c r="E25704" i="1"/>
  <c r="D25704" i="1"/>
  <c r="E25703" i="1"/>
  <c r="D25703" i="1"/>
  <c r="E25702" i="1"/>
  <c r="D25702" i="1"/>
  <c r="D25701" i="1"/>
  <c r="E25701" i="1" s="1"/>
  <c r="E25700" i="1"/>
  <c r="D25700" i="1"/>
  <c r="D25699" i="1"/>
  <c r="E25699" i="1" s="1"/>
  <c r="E25698" i="1"/>
  <c r="D25698" i="1"/>
  <c r="E25697" i="1"/>
  <c r="D25697" i="1"/>
  <c r="D25696" i="1"/>
  <c r="E25696" i="1" s="1"/>
  <c r="D25695" i="1"/>
  <c r="E25695" i="1" s="1"/>
  <c r="D25694" i="1"/>
  <c r="E25694" i="1" s="1"/>
  <c r="E25693" i="1"/>
  <c r="D25693" i="1"/>
  <c r="D25692" i="1"/>
  <c r="E25692" i="1" s="1"/>
  <c r="D25691" i="1"/>
  <c r="E25691" i="1" s="1"/>
  <c r="D25690" i="1"/>
  <c r="E25690" i="1" s="1"/>
  <c r="D25689" i="1"/>
  <c r="E25689" i="1" s="1"/>
  <c r="E25688" i="1"/>
  <c r="D25688" i="1"/>
  <c r="D25687" i="1"/>
  <c r="E25687" i="1" s="1"/>
  <c r="E25686" i="1"/>
  <c r="D25686" i="1"/>
  <c r="E25685" i="1"/>
  <c r="D25685" i="1"/>
  <c r="D25684" i="1"/>
  <c r="E25684" i="1" s="1"/>
  <c r="D25683" i="1"/>
  <c r="E25683" i="1" s="1"/>
  <c r="D25682" i="1"/>
  <c r="E25682" i="1" s="1"/>
  <c r="E25681" i="1"/>
  <c r="D25681" i="1"/>
  <c r="D25680" i="1"/>
  <c r="E25680" i="1" s="1"/>
  <c r="D25679" i="1"/>
  <c r="E25679" i="1" s="1"/>
  <c r="E25678" i="1"/>
  <c r="D25678" i="1"/>
  <c r="D25677" i="1"/>
  <c r="E25677" i="1" s="1"/>
  <c r="D25676" i="1"/>
  <c r="E25676" i="1" s="1"/>
  <c r="E25675" i="1"/>
  <c r="D25675" i="1"/>
  <c r="E25674" i="1"/>
  <c r="D25674" i="1"/>
  <c r="E25673" i="1"/>
  <c r="D25673" i="1"/>
  <c r="D25672" i="1"/>
  <c r="E25672" i="1" s="1"/>
  <c r="D25671" i="1"/>
  <c r="E25671" i="1" s="1"/>
  <c r="E25670" i="1"/>
  <c r="D25670" i="1"/>
  <c r="D25669" i="1"/>
  <c r="E25669" i="1" s="1"/>
  <c r="E25668" i="1"/>
  <c r="D25668" i="1"/>
  <c r="D25667" i="1"/>
  <c r="E25667" i="1" s="1"/>
  <c r="E25666" i="1"/>
  <c r="D25666" i="1"/>
  <c r="D25665" i="1"/>
  <c r="E25665" i="1" s="1"/>
  <c r="E25664" i="1"/>
  <c r="D25664" i="1"/>
  <c r="E25663" i="1"/>
  <c r="D25663" i="1"/>
  <c r="E25662" i="1"/>
  <c r="D25662" i="1"/>
  <c r="E25661" i="1"/>
  <c r="D25661" i="1"/>
  <c r="D25660" i="1"/>
  <c r="E25660" i="1" s="1"/>
  <c r="D25659" i="1"/>
  <c r="E25659" i="1" s="1"/>
  <c r="D25658" i="1"/>
  <c r="E25658" i="1" s="1"/>
  <c r="E25657" i="1"/>
  <c r="D25657" i="1"/>
  <c r="E25656" i="1"/>
  <c r="D25656" i="1"/>
  <c r="D25655" i="1"/>
  <c r="E25655" i="1" s="1"/>
  <c r="E25654" i="1"/>
  <c r="D25654" i="1"/>
  <c r="D25653" i="1"/>
  <c r="E25653" i="1" s="1"/>
  <c r="E25652" i="1"/>
  <c r="D25652" i="1"/>
  <c r="D25651" i="1"/>
  <c r="E25651" i="1" s="1"/>
  <c r="E25650" i="1"/>
  <c r="D25650" i="1"/>
  <c r="D25649" i="1"/>
  <c r="E25649" i="1" s="1"/>
  <c r="D25648" i="1"/>
  <c r="E25648" i="1" s="1"/>
  <c r="D25647" i="1"/>
  <c r="E25647" i="1" s="1"/>
  <c r="D25646" i="1"/>
  <c r="E25646" i="1" s="1"/>
  <c r="E25645" i="1"/>
  <c r="D25645" i="1"/>
  <c r="D25644" i="1"/>
  <c r="E25644" i="1" s="1"/>
  <c r="E25643" i="1"/>
  <c r="D25643" i="1"/>
  <c r="D25642" i="1"/>
  <c r="E25642" i="1" s="1"/>
  <c r="D25641" i="1"/>
  <c r="E25641" i="1" s="1"/>
  <c r="E25640" i="1"/>
  <c r="D25640" i="1"/>
  <c r="D25639" i="1"/>
  <c r="E25639" i="1" s="1"/>
  <c r="E25638" i="1"/>
  <c r="D25638" i="1"/>
  <c r="E25637" i="1"/>
  <c r="D25637" i="1"/>
  <c r="D25636" i="1"/>
  <c r="E25636" i="1" s="1"/>
  <c r="D25635" i="1"/>
  <c r="E25635" i="1" s="1"/>
  <c r="D25634" i="1"/>
  <c r="E25634" i="1" s="1"/>
  <c r="E25633" i="1"/>
  <c r="D25633" i="1"/>
  <c r="D25632" i="1"/>
  <c r="E25632" i="1" s="1"/>
  <c r="D25631" i="1"/>
  <c r="E25631" i="1" s="1"/>
  <c r="D25630" i="1"/>
  <c r="E25630" i="1" s="1"/>
  <c r="D25629" i="1"/>
  <c r="E25629" i="1" s="1"/>
  <c r="D25628" i="1"/>
  <c r="E25628" i="1" s="1"/>
  <c r="E25627" i="1"/>
  <c r="D25627" i="1"/>
  <c r="E25626" i="1"/>
  <c r="D25626" i="1"/>
  <c r="E25625" i="1"/>
  <c r="D25625" i="1"/>
  <c r="D25624" i="1"/>
  <c r="E25624" i="1" s="1"/>
  <c r="D25623" i="1"/>
  <c r="E25623" i="1" s="1"/>
  <c r="D25622" i="1"/>
  <c r="E25622" i="1" s="1"/>
  <c r="D25621" i="1"/>
  <c r="E25621" i="1" s="1"/>
  <c r="D25620" i="1"/>
  <c r="E25620" i="1" s="1"/>
  <c r="D25619" i="1"/>
  <c r="E25619" i="1" s="1"/>
  <c r="E25618" i="1"/>
  <c r="D25618" i="1"/>
  <c r="D25617" i="1"/>
  <c r="E25617" i="1" s="1"/>
  <c r="E25616" i="1"/>
  <c r="D25616" i="1"/>
  <c r="E25615" i="1"/>
  <c r="D25615" i="1"/>
  <c r="E25614" i="1"/>
  <c r="D25614" i="1"/>
  <c r="E25613" i="1"/>
  <c r="D25613" i="1"/>
  <c r="D25612" i="1"/>
  <c r="E25612" i="1" s="1"/>
  <c r="D25611" i="1"/>
  <c r="E25611" i="1" s="1"/>
  <c r="D25610" i="1"/>
  <c r="E25610" i="1" s="1"/>
  <c r="E25609" i="1"/>
  <c r="D25609" i="1"/>
  <c r="E25608" i="1"/>
  <c r="D25608" i="1"/>
  <c r="D25607" i="1"/>
  <c r="E25607" i="1" s="1"/>
  <c r="E25606" i="1"/>
  <c r="D25606" i="1"/>
  <c r="D25605" i="1"/>
  <c r="E25605" i="1" s="1"/>
  <c r="E25604" i="1"/>
  <c r="D25604" i="1"/>
  <c r="D25603" i="1"/>
  <c r="E25603" i="1" s="1"/>
  <c r="E25602" i="1"/>
  <c r="D25602" i="1"/>
  <c r="D25601" i="1"/>
  <c r="E25601" i="1" s="1"/>
  <c r="D25600" i="1"/>
  <c r="E25600" i="1" s="1"/>
  <c r="D25599" i="1"/>
  <c r="E25599" i="1" s="1"/>
  <c r="D25598" i="1"/>
  <c r="E25598" i="1" s="1"/>
  <c r="E25597" i="1"/>
  <c r="D25597" i="1"/>
  <c r="D25596" i="1"/>
  <c r="E25596" i="1" s="1"/>
  <c r="D25595" i="1"/>
  <c r="E25595" i="1" s="1"/>
  <c r="D25594" i="1"/>
  <c r="E25594" i="1" s="1"/>
  <c r="D25593" i="1"/>
  <c r="E25593" i="1" s="1"/>
  <c r="E25592" i="1"/>
  <c r="D25592" i="1"/>
  <c r="D25591" i="1"/>
  <c r="E25591" i="1" s="1"/>
  <c r="E25590" i="1"/>
  <c r="D25590" i="1"/>
  <c r="E25589" i="1"/>
  <c r="D25589" i="1"/>
  <c r="D25588" i="1"/>
  <c r="E25588" i="1" s="1"/>
  <c r="D25587" i="1"/>
  <c r="E25587" i="1" s="1"/>
  <c r="D25586" i="1"/>
  <c r="E25586" i="1" s="1"/>
  <c r="E25585" i="1"/>
  <c r="D25585" i="1"/>
  <c r="D25584" i="1"/>
  <c r="E25584" i="1" s="1"/>
  <c r="D25583" i="1"/>
  <c r="E25583" i="1" s="1"/>
  <c r="E25582" i="1"/>
  <c r="D25582" i="1"/>
  <c r="D25581" i="1"/>
  <c r="E25581" i="1" s="1"/>
  <c r="D25580" i="1"/>
  <c r="E25580" i="1" s="1"/>
  <c r="E25579" i="1"/>
  <c r="D25579" i="1"/>
  <c r="E25578" i="1"/>
  <c r="D25578" i="1"/>
  <c r="E25577" i="1"/>
  <c r="D25577" i="1"/>
  <c r="D25576" i="1"/>
  <c r="E25576" i="1" s="1"/>
  <c r="D25575" i="1"/>
  <c r="E25575" i="1" s="1"/>
  <c r="D25574" i="1"/>
  <c r="E25574" i="1" s="1"/>
  <c r="D25573" i="1"/>
  <c r="E25573" i="1" s="1"/>
  <c r="E25572" i="1"/>
  <c r="D25572" i="1"/>
  <c r="D25571" i="1"/>
  <c r="E25571" i="1" s="1"/>
  <c r="E25570" i="1"/>
  <c r="D25570" i="1"/>
  <c r="D25569" i="1"/>
  <c r="E25569" i="1" s="1"/>
  <c r="E25568" i="1"/>
  <c r="D25568" i="1"/>
  <c r="E25567" i="1"/>
  <c r="D25567" i="1"/>
  <c r="E25566" i="1"/>
  <c r="D25566" i="1"/>
  <c r="E25565" i="1"/>
  <c r="D25565" i="1"/>
  <c r="D25564" i="1"/>
  <c r="E25564" i="1" s="1"/>
  <c r="D25563" i="1"/>
  <c r="E25563" i="1" s="1"/>
  <c r="D25562" i="1"/>
  <c r="E25562" i="1" s="1"/>
  <c r="D25561" i="1"/>
  <c r="E25561" i="1" s="1"/>
  <c r="E25560" i="1"/>
  <c r="D25560" i="1"/>
  <c r="D25559" i="1"/>
  <c r="E25559" i="1" s="1"/>
  <c r="E25558" i="1"/>
  <c r="D25558" i="1"/>
  <c r="D25557" i="1"/>
  <c r="E25557" i="1" s="1"/>
  <c r="E25556" i="1"/>
  <c r="D25556" i="1"/>
  <c r="D25555" i="1"/>
  <c r="E25555" i="1" s="1"/>
  <c r="D25554" i="1"/>
  <c r="E25554" i="1" s="1"/>
  <c r="D25553" i="1"/>
  <c r="E25553" i="1" s="1"/>
  <c r="D25552" i="1"/>
  <c r="E25552" i="1" s="1"/>
  <c r="D25551" i="1"/>
  <c r="E25551" i="1" s="1"/>
  <c r="D25550" i="1"/>
  <c r="E25550" i="1" s="1"/>
  <c r="E25549" i="1"/>
  <c r="D25549" i="1"/>
  <c r="D25548" i="1"/>
  <c r="E25548" i="1" s="1"/>
  <c r="E25547" i="1"/>
  <c r="D25547" i="1"/>
  <c r="D25546" i="1"/>
  <c r="E25546" i="1" s="1"/>
  <c r="D25545" i="1"/>
  <c r="E25545" i="1" s="1"/>
  <c r="E25544" i="1"/>
  <c r="D25544" i="1"/>
  <c r="D25543" i="1"/>
  <c r="E25543" i="1" s="1"/>
  <c r="D25542" i="1"/>
  <c r="E25542" i="1" s="1"/>
  <c r="E25541" i="1"/>
  <c r="D25541" i="1"/>
  <c r="D25540" i="1"/>
  <c r="E25540" i="1" s="1"/>
  <c r="D25539" i="1"/>
  <c r="E25539" i="1" s="1"/>
  <c r="D25538" i="1"/>
  <c r="E25538" i="1" s="1"/>
  <c r="E25537" i="1"/>
  <c r="D25537" i="1"/>
  <c r="D25536" i="1"/>
  <c r="E25536" i="1" s="1"/>
  <c r="D25535" i="1"/>
  <c r="E25535" i="1" s="1"/>
  <c r="E25534" i="1"/>
  <c r="D25534" i="1"/>
  <c r="D25533" i="1"/>
  <c r="E25533" i="1" s="1"/>
  <c r="D25532" i="1"/>
  <c r="E25532" i="1" s="1"/>
  <c r="E25531" i="1"/>
  <c r="D25531" i="1"/>
  <c r="D25530" i="1"/>
  <c r="E25530" i="1" s="1"/>
  <c r="E25529" i="1"/>
  <c r="D25529" i="1"/>
  <c r="D25528" i="1"/>
  <c r="E25528" i="1" s="1"/>
  <c r="D25527" i="1"/>
  <c r="E25527" i="1" s="1"/>
  <c r="D25526" i="1"/>
  <c r="E25526" i="1" s="1"/>
  <c r="D25525" i="1"/>
  <c r="E25525" i="1" s="1"/>
  <c r="D25524" i="1"/>
  <c r="E25524" i="1" s="1"/>
  <c r="D25523" i="1"/>
  <c r="E25523" i="1" s="1"/>
  <c r="E25522" i="1"/>
  <c r="D25522" i="1"/>
  <c r="D25521" i="1"/>
  <c r="E25521" i="1" s="1"/>
  <c r="D25520" i="1"/>
  <c r="E25520" i="1" s="1"/>
  <c r="E25519" i="1"/>
  <c r="D25519" i="1"/>
  <c r="D25518" i="1"/>
  <c r="E25518" i="1" s="1"/>
  <c r="E25517" i="1"/>
  <c r="D25517" i="1"/>
  <c r="D25516" i="1"/>
  <c r="E25516" i="1" s="1"/>
  <c r="D25515" i="1"/>
  <c r="E25515" i="1" s="1"/>
  <c r="D25514" i="1"/>
  <c r="E25514" i="1" s="1"/>
  <c r="E25513" i="1"/>
  <c r="D25513" i="1"/>
  <c r="E25512" i="1"/>
  <c r="D25512" i="1"/>
  <c r="D25511" i="1"/>
  <c r="E25511" i="1" s="1"/>
  <c r="E25510" i="1"/>
  <c r="D25510" i="1"/>
  <c r="D25509" i="1"/>
  <c r="E25509" i="1" s="1"/>
  <c r="E25508" i="1"/>
  <c r="D25508" i="1"/>
  <c r="D25507" i="1"/>
  <c r="E25507" i="1" s="1"/>
  <c r="E25506" i="1"/>
  <c r="D25506" i="1"/>
  <c r="D25505" i="1"/>
  <c r="E25505" i="1" s="1"/>
  <c r="E25504" i="1"/>
  <c r="D25504" i="1"/>
  <c r="D25503" i="1"/>
  <c r="E25503" i="1" s="1"/>
  <c r="D25502" i="1"/>
  <c r="E25502" i="1" s="1"/>
  <c r="D25501" i="1"/>
  <c r="E25501" i="1" s="1"/>
  <c r="E25500" i="1"/>
  <c r="D25500" i="1"/>
  <c r="E25499" i="1"/>
  <c r="D25499" i="1"/>
  <c r="D25498" i="1"/>
  <c r="E25498" i="1" s="1"/>
  <c r="D25497" i="1"/>
  <c r="E25497" i="1" s="1"/>
  <c r="D25496" i="1"/>
  <c r="E25496" i="1" s="1"/>
  <c r="E25495" i="1"/>
  <c r="D25495" i="1"/>
  <c r="D25494" i="1"/>
  <c r="E25494" i="1" s="1"/>
  <c r="D25493" i="1"/>
  <c r="E25493" i="1" s="1"/>
  <c r="D25492" i="1"/>
  <c r="E25492" i="1" s="1"/>
  <c r="D25491" i="1"/>
  <c r="E25491" i="1" s="1"/>
  <c r="E25490" i="1"/>
  <c r="D25490" i="1"/>
  <c r="D25489" i="1"/>
  <c r="E25489" i="1" s="1"/>
  <c r="D25488" i="1"/>
  <c r="E25488" i="1" s="1"/>
  <c r="E25487" i="1"/>
  <c r="D25487" i="1"/>
  <c r="E25486" i="1"/>
  <c r="D25486" i="1"/>
  <c r="D25485" i="1"/>
  <c r="E25485" i="1" s="1"/>
  <c r="D25484" i="1"/>
  <c r="E25484" i="1" s="1"/>
  <c r="D25483" i="1"/>
  <c r="E25483" i="1" s="1"/>
  <c r="E25482" i="1"/>
  <c r="D25482" i="1"/>
  <c r="D25481" i="1"/>
  <c r="E25481" i="1" s="1"/>
  <c r="D25480" i="1"/>
  <c r="E25480" i="1" s="1"/>
  <c r="D25479" i="1"/>
  <c r="E25479" i="1" s="1"/>
  <c r="D25478" i="1"/>
  <c r="E25478" i="1" s="1"/>
  <c r="E25477" i="1"/>
  <c r="D25477" i="1"/>
  <c r="D25476" i="1"/>
  <c r="E25476" i="1" s="1"/>
  <c r="D25475" i="1"/>
  <c r="E25475" i="1" s="1"/>
  <c r="E25474" i="1"/>
  <c r="D25474" i="1"/>
  <c r="D25473" i="1"/>
  <c r="E25473" i="1" s="1"/>
  <c r="D25472" i="1"/>
  <c r="E25472" i="1" s="1"/>
  <c r="D25471" i="1"/>
  <c r="E25471" i="1" s="1"/>
  <c r="D25470" i="1"/>
  <c r="E25470" i="1" s="1"/>
  <c r="E25469" i="1"/>
  <c r="D25469" i="1"/>
  <c r="D25468" i="1"/>
  <c r="E25468" i="1" s="1"/>
  <c r="D25467" i="1"/>
  <c r="E25467" i="1" s="1"/>
  <c r="E25466" i="1"/>
  <c r="D25466" i="1"/>
  <c r="D25465" i="1"/>
  <c r="E25465" i="1" s="1"/>
  <c r="E25464" i="1"/>
  <c r="D25464" i="1"/>
  <c r="D25463" i="1"/>
  <c r="E25463" i="1" s="1"/>
  <c r="D25462" i="1"/>
  <c r="E25462" i="1" s="1"/>
  <c r="D25461" i="1"/>
  <c r="E25461" i="1" s="1"/>
  <c r="D25460" i="1"/>
  <c r="E25460" i="1" s="1"/>
  <c r="D25459" i="1"/>
  <c r="E25459" i="1" s="1"/>
  <c r="D25458" i="1"/>
  <c r="E25458" i="1" s="1"/>
  <c r="D25457" i="1"/>
  <c r="E25457" i="1" s="1"/>
  <c r="E25456" i="1"/>
  <c r="D25456" i="1"/>
  <c r="D25455" i="1"/>
  <c r="E25455" i="1" s="1"/>
  <c r="D25454" i="1"/>
  <c r="E25454" i="1" s="1"/>
  <c r="E25453" i="1"/>
  <c r="D25453" i="1"/>
  <c r="D25452" i="1"/>
  <c r="E25452" i="1" s="1"/>
  <c r="E25451" i="1"/>
  <c r="D25451" i="1"/>
  <c r="D25450" i="1"/>
  <c r="E25450" i="1" s="1"/>
  <c r="D25449" i="1"/>
  <c r="E25449" i="1" s="1"/>
  <c r="D25448" i="1"/>
  <c r="E25448" i="1" s="1"/>
  <c r="D25447" i="1"/>
  <c r="E25447" i="1" s="1"/>
  <c r="D25446" i="1"/>
  <c r="E25446" i="1" s="1"/>
  <c r="D25445" i="1"/>
  <c r="E25445" i="1" s="1"/>
  <c r="D25444" i="1"/>
  <c r="E25444" i="1" s="1"/>
  <c r="D25443" i="1"/>
  <c r="E25443" i="1" s="1"/>
  <c r="D25442" i="1"/>
  <c r="E25442" i="1" s="1"/>
  <c r="E25441" i="1"/>
  <c r="D25441" i="1"/>
  <c r="E25440" i="1"/>
  <c r="D25440" i="1"/>
  <c r="D25439" i="1"/>
  <c r="E25439" i="1" s="1"/>
  <c r="E25438" i="1"/>
  <c r="D25438" i="1"/>
  <c r="D25437" i="1"/>
  <c r="E25437" i="1" s="1"/>
  <c r="E25436" i="1"/>
  <c r="D25436" i="1"/>
  <c r="D25435" i="1"/>
  <c r="E25435" i="1" s="1"/>
  <c r="D25434" i="1"/>
  <c r="E25434" i="1" s="1"/>
  <c r="D25433" i="1"/>
  <c r="E25433" i="1" s="1"/>
  <c r="D25432" i="1"/>
  <c r="E25432" i="1" s="1"/>
  <c r="D25431" i="1"/>
  <c r="E25431" i="1" s="1"/>
  <c r="D25430" i="1"/>
  <c r="E25430" i="1" s="1"/>
  <c r="D25429" i="1"/>
  <c r="E25429" i="1" s="1"/>
  <c r="D25428" i="1"/>
  <c r="E25428" i="1" s="1"/>
  <c r="E25427" i="1"/>
  <c r="D25427" i="1"/>
  <c r="D25426" i="1"/>
  <c r="E25426" i="1" s="1"/>
  <c r="D25425" i="1"/>
  <c r="E25425" i="1" s="1"/>
  <c r="D25424" i="1"/>
  <c r="E25424" i="1" s="1"/>
  <c r="E25423" i="1"/>
  <c r="D25423" i="1"/>
  <c r="D25422" i="1"/>
  <c r="E25422" i="1" s="1"/>
  <c r="D25421" i="1"/>
  <c r="E25421" i="1" s="1"/>
  <c r="D25420" i="1"/>
  <c r="E25420" i="1" s="1"/>
  <c r="D25419" i="1"/>
  <c r="E25419" i="1" s="1"/>
  <c r="E25418" i="1"/>
  <c r="D25418" i="1"/>
  <c r="D25417" i="1"/>
  <c r="E25417" i="1" s="1"/>
  <c r="D25416" i="1"/>
  <c r="E25416" i="1" s="1"/>
  <c r="D25415" i="1"/>
  <c r="E25415" i="1" s="1"/>
  <c r="E25414" i="1"/>
  <c r="D25414" i="1"/>
  <c r="D25413" i="1"/>
  <c r="E25413" i="1" s="1"/>
  <c r="E25412" i="1"/>
  <c r="D25412" i="1"/>
  <c r="D25411" i="1"/>
  <c r="E25411" i="1" s="1"/>
  <c r="E25410" i="1"/>
  <c r="D25410" i="1"/>
  <c r="D25409" i="1"/>
  <c r="E25409" i="1" s="1"/>
  <c r="D25408" i="1"/>
  <c r="E25408" i="1" s="1"/>
  <c r="D25407" i="1"/>
  <c r="E25407" i="1" s="1"/>
  <c r="D25406" i="1"/>
  <c r="E25406" i="1" s="1"/>
  <c r="E25405" i="1"/>
  <c r="D25405" i="1"/>
  <c r="D25404" i="1"/>
  <c r="E25404" i="1" s="1"/>
  <c r="D25403" i="1"/>
  <c r="E25403" i="1" s="1"/>
  <c r="E25402" i="1"/>
  <c r="D25402" i="1"/>
  <c r="D25401" i="1"/>
  <c r="E25401" i="1" s="1"/>
  <c r="D25400" i="1"/>
  <c r="E25400" i="1" s="1"/>
  <c r="E25399" i="1"/>
  <c r="D25399" i="1"/>
  <c r="D25398" i="1"/>
  <c r="E25398" i="1" s="1"/>
  <c r="E25397" i="1"/>
  <c r="D25397" i="1"/>
  <c r="D25396" i="1"/>
  <c r="E25396" i="1" s="1"/>
  <c r="D25395" i="1"/>
  <c r="E25395" i="1" s="1"/>
  <c r="E25394" i="1"/>
  <c r="D25394" i="1"/>
  <c r="D25393" i="1"/>
  <c r="E25393" i="1" s="1"/>
  <c r="E25392" i="1"/>
  <c r="D25392" i="1"/>
  <c r="D25391" i="1"/>
  <c r="E25391" i="1" s="1"/>
  <c r="D25390" i="1"/>
  <c r="E25390" i="1" s="1"/>
  <c r="D25389" i="1"/>
  <c r="E25389" i="1" s="1"/>
  <c r="D25388" i="1"/>
  <c r="E25388" i="1" s="1"/>
  <c r="D25387" i="1"/>
  <c r="E25387" i="1" s="1"/>
  <c r="E25386" i="1"/>
  <c r="D25386" i="1"/>
  <c r="D25385" i="1"/>
  <c r="E25385" i="1" s="1"/>
  <c r="E25384" i="1"/>
  <c r="D25384" i="1"/>
  <c r="D25383" i="1"/>
  <c r="E25383" i="1" s="1"/>
  <c r="E25382" i="1"/>
  <c r="D25382" i="1"/>
  <c r="E25381" i="1"/>
  <c r="D25381" i="1"/>
  <c r="D25380" i="1"/>
  <c r="E25380" i="1" s="1"/>
  <c r="E25379" i="1"/>
  <c r="D25379" i="1"/>
  <c r="D25378" i="1"/>
  <c r="E25378" i="1" s="1"/>
  <c r="D25377" i="1"/>
  <c r="E25377" i="1" s="1"/>
  <c r="D25376" i="1"/>
  <c r="E25376" i="1" s="1"/>
  <c r="D25375" i="1"/>
  <c r="E25375" i="1" s="1"/>
  <c r="D25374" i="1"/>
  <c r="E25374" i="1" s="1"/>
  <c r="E25373" i="1"/>
  <c r="D25373" i="1"/>
  <c r="D25372" i="1"/>
  <c r="E25372" i="1" s="1"/>
  <c r="D25371" i="1"/>
  <c r="E25371" i="1" s="1"/>
  <c r="D25370" i="1"/>
  <c r="E25370" i="1" s="1"/>
  <c r="E25369" i="1"/>
  <c r="D25369" i="1"/>
  <c r="E25368" i="1"/>
  <c r="D25368" i="1"/>
  <c r="D25367" i="1"/>
  <c r="E25367" i="1" s="1"/>
  <c r="E25366" i="1"/>
  <c r="D25366" i="1"/>
  <c r="D25365" i="1"/>
  <c r="E25365" i="1" s="1"/>
  <c r="E25364" i="1"/>
  <c r="D25364" i="1"/>
  <c r="D25363" i="1"/>
  <c r="E25363" i="1" s="1"/>
  <c r="D25362" i="1"/>
  <c r="E25362" i="1" s="1"/>
  <c r="D25361" i="1"/>
  <c r="E25361" i="1" s="1"/>
  <c r="E25360" i="1"/>
  <c r="D25360" i="1"/>
  <c r="D25359" i="1"/>
  <c r="E25359" i="1" s="1"/>
  <c r="D25358" i="1"/>
  <c r="E25358" i="1" s="1"/>
  <c r="D25357" i="1"/>
  <c r="E25357" i="1" s="1"/>
  <c r="E25356" i="1"/>
  <c r="D25356" i="1"/>
  <c r="E25355" i="1"/>
  <c r="D25355" i="1"/>
  <c r="D25354" i="1"/>
  <c r="E25354" i="1" s="1"/>
  <c r="D25353" i="1"/>
  <c r="E25353" i="1" s="1"/>
  <c r="D25352" i="1"/>
  <c r="E25352" i="1" s="1"/>
  <c r="E25351" i="1"/>
  <c r="D25351" i="1"/>
  <c r="D25350" i="1"/>
  <c r="E25350" i="1" s="1"/>
  <c r="D25349" i="1"/>
  <c r="E25349" i="1" s="1"/>
  <c r="D25348" i="1"/>
  <c r="E25348" i="1" s="1"/>
  <c r="D25347" i="1"/>
  <c r="E25347" i="1" s="1"/>
  <c r="E25346" i="1"/>
  <c r="D25346" i="1"/>
  <c r="D25345" i="1"/>
  <c r="E25345" i="1" s="1"/>
  <c r="D25344" i="1"/>
  <c r="E25344" i="1" s="1"/>
  <c r="E25343" i="1"/>
  <c r="D25343" i="1"/>
  <c r="E25342" i="1"/>
  <c r="D25342" i="1"/>
  <c r="D25341" i="1"/>
  <c r="E25341" i="1" s="1"/>
  <c r="D25340" i="1"/>
  <c r="E25340" i="1" s="1"/>
  <c r="D25339" i="1"/>
  <c r="E25339" i="1" s="1"/>
  <c r="E25338" i="1"/>
  <c r="D25338" i="1"/>
  <c r="D25337" i="1"/>
  <c r="E25337" i="1" s="1"/>
  <c r="D25336" i="1"/>
  <c r="E25336" i="1" s="1"/>
  <c r="D25335" i="1"/>
  <c r="E25335" i="1" s="1"/>
  <c r="D25334" i="1"/>
  <c r="E25334" i="1" s="1"/>
  <c r="E25333" i="1"/>
  <c r="D25333" i="1"/>
  <c r="D25332" i="1"/>
  <c r="E25332" i="1" s="1"/>
  <c r="D25331" i="1"/>
  <c r="E25331" i="1" s="1"/>
  <c r="E25330" i="1"/>
  <c r="D25330" i="1"/>
  <c r="E25329" i="1"/>
  <c r="D25329" i="1"/>
  <c r="D25328" i="1"/>
  <c r="E25328" i="1" s="1"/>
  <c r="E25327" i="1"/>
  <c r="D25327" i="1"/>
  <c r="D25326" i="1"/>
  <c r="E25326" i="1" s="1"/>
  <c r="D25325" i="1"/>
  <c r="E25325" i="1" s="1"/>
  <c r="D25324" i="1"/>
  <c r="E25324" i="1" s="1"/>
  <c r="E25323" i="1"/>
  <c r="D25323" i="1"/>
  <c r="D25322" i="1"/>
  <c r="E25322" i="1" s="1"/>
  <c r="E25321" i="1"/>
  <c r="D25321" i="1"/>
  <c r="D25320" i="1"/>
  <c r="E25320" i="1" s="1"/>
  <c r="D25319" i="1"/>
  <c r="E25319" i="1" s="1"/>
  <c r="E25318" i="1"/>
  <c r="D25318" i="1"/>
  <c r="E25317" i="1"/>
  <c r="D25317" i="1"/>
  <c r="D25316" i="1"/>
  <c r="E25316" i="1" s="1"/>
  <c r="E25315" i="1"/>
  <c r="D25315" i="1"/>
  <c r="D25314" i="1"/>
  <c r="E25314" i="1" s="1"/>
  <c r="D25313" i="1"/>
  <c r="E25313" i="1" s="1"/>
  <c r="D25312" i="1"/>
  <c r="E25312" i="1" s="1"/>
  <c r="E25311" i="1"/>
  <c r="D25311" i="1"/>
  <c r="D25310" i="1"/>
  <c r="E25310" i="1" s="1"/>
  <c r="E25309" i="1"/>
  <c r="D25309" i="1"/>
  <c r="D25308" i="1"/>
  <c r="E25308" i="1" s="1"/>
  <c r="D25307" i="1"/>
  <c r="E25307" i="1" s="1"/>
  <c r="E25306" i="1"/>
  <c r="D25306" i="1"/>
  <c r="E25305" i="1"/>
  <c r="D25305" i="1"/>
  <c r="D25304" i="1"/>
  <c r="E25304" i="1" s="1"/>
  <c r="E25303" i="1"/>
  <c r="D25303" i="1"/>
  <c r="D25302" i="1"/>
  <c r="E25302" i="1" s="1"/>
  <c r="D25301" i="1"/>
  <c r="E25301" i="1" s="1"/>
  <c r="D25300" i="1"/>
  <c r="E25300" i="1" s="1"/>
  <c r="E25299" i="1"/>
  <c r="D25299" i="1"/>
  <c r="D25298" i="1"/>
  <c r="E25298" i="1" s="1"/>
  <c r="E25297" i="1"/>
  <c r="D25297" i="1"/>
  <c r="D25296" i="1"/>
  <c r="E25296" i="1" s="1"/>
  <c r="D25295" i="1"/>
  <c r="E25295" i="1" s="1"/>
  <c r="E25294" i="1"/>
  <c r="D25294" i="1"/>
  <c r="E25293" i="1"/>
  <c r="D25293" i="1"/>
  <c r="D25292" i="1"/>
  <c r="E25292" i="1" s="1"/>
  <c r="E25291" i="1"/>
  <c r="D25291" i="1"/>
  <c r="D25290" i="1"/>
  <c r="E25290" i="1" s="1"/>
  <c r="D25289" i="1"/>
  <c r="E25289" i="1" s="1"/>
  <c r="D25288" i="1"/>
  <c r="E25288" i="1" s="1"/>
  <c r="E25287" i="1"/>
  <c r="D25287" i="1"/>
  <c r="D25286" i="1"/>
  <c r="E25286" i="1" s="1"/>
  <c r="E25285" i="1"/>
  <c r="D25285" i="1"/>
  <c r="D25284" i="1"/>
  <c r="E25284" i="1" s="1"/>
  <c r="D25283" i="1"/>
  <c r="E25283" i="1" s="1"/>
  <c r="E25282" i="1"/>
  <c r="D25282" i="1"/>
  <c r="E25281" i="1"/>
  <c r="D25281" i="1"/>
  <c r="D25280" i="1"/>
  <c r="E25280" i="1" s="1"/>
  <c r="E25279" i="1"/>
  <c r="D25279" i="1"/>
  <c r="D25278" i="1"/>
  <c r="E25278" i="1" s="1"/>
  <c r="D25277" i="1"/>
  <c r="E25277" i="1" s="1"/>
  <c r="D25276" i="1"/>
  <c r="E25276" i="1" s="1"/>
  <c r="E25275" i="1"/>
  <c r="D25275" i="1"/>
  <c r="D25274" i="1"/>
  <c r="E25274" i="1" s="1"/>
  <c r="E25273" i="1"/>
  <c r="D25273" i="1"/>
  <c r="D25272" i="1"/>
  <c r="E25272" i="1" s="1"/>
  <c r="D25271" i="1"/>
  <c r="E25271" i="1" s="1"/>
  <c r="E25270" i="1"/>
  <c r="D25270" i="1"/>
  <c r="E25269" i="1"/>
  <c r="D25269" i="1"/>
  <c r="D25268" i="1"/>
  <c r="E25268" i="1" s="1"/>
  <c r="E25267" i="1"/>
  <c r="D25267" i="1"/>
  <c r="D25266" i="1"/>
  <c r="E25266" i="1" s="1"/>
  <c r="D25265" i="1"/>
  <c r="E25265" i="1" s="1"/>
  <c r="D25264" i="1"/>
  <c r="E25264" i="1" s="1"/>
  <c r="E25263" i="1"/>
  <c r="D25263" i="1"/>
  <c r="D25262" i="1"/>
  <c r="E25262" i="1" s="1"/>
  <c r="E25261" i="1"/>
  <c r="D25261" i="1"/>
  <c r="D25260" i="1"/>
  <c r="E25260" i="1" s="1"/>
  <c r="D25259" i="1"/>
  <c r="E25259" i="1" s="1"/>
  <c r="E25258" i="1"/>
  <c r="D25258" i="1"/>
  <c r="E25257" i="1"/>
  <c r="D25257" i="1"/>
  <c r="D25256" i="1"/>
  <c r="E25256" i="1" s="1"/>
  <c r="E25255" i="1"/>
  <c r="D25255" i="1"/>
  <c r="D25254" i="1"/>
  <c r="E25254" i="1" s="1"/>
  <c r="D25253" i="1"/>
  <c r="E25253" i="1" s="1"/>
  <c r="D25252" i="1"/>
  <c r="E25252" i="1" s="1"/>
  <c r="E25251" i="1"/>
  <c r="D25251" i="1"/>
  <c r="D25250" i="1"/>
  <c r="E25250" i="1" s="1"/>
  <c r="E25249" i="1"/>
  <c r="D25249" i="1"/>
  <c r="D25248" i="1"/>
  <c r="E25248" i="1" s="1"/>
  <c r="D25247" i="1"/>
  <c r="E25247" i="1" s="1"/>
  <c r="E25246" i="1"/>
  <c r="D25246" i="1"/>
  <c r="E25245" i="1"/>
  <c r="D25245" i="1"/>
  <c r="D25244" i="1"/>
  <c r="E25244" i="1" s="1"/>
  <c r="E25243" i="1"/>
  <c r="D25243" i="1"/>
  <c r="D25242" i="1"/>
  <c r="E25242" i="1" s="1"/>
  <c r="D25241" i="1"/>
  <c r="E25241" i="1" s="1"/>
  <c r="D25240" i="1"/>
  <c r="E25240" i="1" s="1"/>
  <c r="E25239" i="1"/>
  <c r="D25239" i="1"/>
  <c r="D25238" i="1"/>
  <c r="E25238" i="1" s="1"/>
  <c r="E25237" i="1"/>
  <c r="D25237" i="1"/>
  <c r="D25236" i="1"/>
  <c r="E25236" i="1" s="1"/>
  <c r="D25235" i="1"/>
  <c r="E25235" i="1" s="1"/>
  <c r="E25234" i="1"/>
  <c r="D25234" i="1"/>
  <c r="E25233" i="1"/>
  <c r="D25233" i="1"/>
  <c r="D25232" i="1"/>
  <c r="E25232" i="1" s="1"/>
  <c r="E25231" i="1"/>
  <c r="D25231" i="1"/>
  <c r="D25230" i="1"/>
  <c r="E25230" i="1" s="1"/>
  <c r="D25229" i="1"/>
  <c r="E25229" i="1" s="1"/>
  <c r="E25228" i="1"/>
  <c r="D25228" i="1"/>
  <c r="E25227" i="1"/>
  <c r="D25227" i="1"/>
  <c r="D25226" i="1"/>
  <c r="E25226" i="1" s="1"/>
  <c r="E25225" i="1"/>
  <c r="D25225" i="1"/>
  <c r="D25224" i="1"/>
  <c r="E25224" i="1" s="1"/>
  <c r="D25223" i="1"/>
  <c r="E25223" i="1" s="1"/>
  <c r="E25222" i="1"/>
  <c r="D25222" i="1"/>
  <c r="E25221" i="1"/>
  <c r="D25221" i="1"/>
  <c r="E25220" i="1"/>
  <c r="D25220" i="1"/>
  <c r="E25219" i="1"/>
  <c r="D25219" i="1"/>
  <c r="D25218" i="1"/>
  <c r="E25218" i="1" s="1"/>
  <c r="D25217" i="1"/>
  <c r="E25217" i="1" s="1"/>
  <c r="E25216" i="1"/>
  <c r="D25216" i="1"/>
  <c r="E25215" i="1"/>
  <c r="D25215" i="1"/>
  <c r="D25214" i="1"/>
  <c r="E25214" i="1" s="1"/>
  <c r="E25213" i="1"/>
  <c r="D25213" i="1"/>
  <c r="D25212" i="1"/>
  <c r="E25212" i="1" s="1"/>
  <c r="D25211" i="1"/>
  <c r="E25211" i="1" s="1"/>
  <c r="E25210" i="1"/>
  <c r="D25210" i="1"/>
  <c r="E25209" i="1"/>
  <c r="D25209" i="1"/>
  <c r="E25208" i="1"/>
  <c r="D25208" i="1"/>
  <c r="E25207" i="1"/>
  <c r="D25207" i="1"/>
  <c r="D25206" i="1"/>
  <c r="E25206" i="1" s="1"/>
  <c r="D25205" i="1"/>
  <c r="E25205" i="1" s="1"/>
  <c r="D25204" i="1"/>
  <c r="E25204" i="1" s="1"/>
  <c r="E25203" i="1"/>
  <c r="D25203" i="1"/>
  <c r="D25202" i="1"/>
  <c r="E25202" i="1" s="1"/>
  <c r="E25201" i="1"/>
  <c r="D25201" i="1"/>
  <c r="D25200" i="1"/>
  <c r="E25200" i="1" s="1"/>
  <c r="D25199" i="1"/>
  <c r="E25199" i="1" s="1"/>
  <c r="E25198" i="1"/>
  <c r="D25198" i="1"/>
  <c r="D25197" i="1"/>
  <c r="E25197" i="1" s="1"/>
  <c r="D25196" i="1"/>
  <c r="E25196" i="1" s="1"/>
  <c r="E25195" i="1"/>
  <c r="D25195" i="1"/>
  <c r="D25194" i="1"/>
  <c r="E25194" i="1" s="1"/>
  <c r="D25193" i="1"/>
  <c r="E25193" i="1" s="1"/>
  <c r="D25192" i="1"/>
  <c r="E25192" i="1" s="1"/>
  <c r="E25191" i="1"/>
  <c r="D25191" i="1"/>
  <c r="D25190" i="1"/>
  <c r="E25190" i="1" s="1"/>
  <c r="E25189" i="1"/>
  <c r="D25189" i="1"/>
  <c r="D25188" i="1"/>
  <c r="E25188" i="1" s="1"/>
  <c r="D25187" i="1"/>
  <c r="E25187" i="1" s="1"/>
  <c r="E25186" i="1"/>
  <c r="D25186" i="1"/>
  <c r="E25185" i="1"/>
  <c r="D25185" i="1"/>
  <c r="E25184" i="1"/>
  <c r="D25184" i="1"/>
  <c r="D25183" i="1"/>
  <c r="E25183" i="1" s="1"/>
  <c r="D25182" i="1"/>
  <c r="E25182" i="1" s="1"/>
  <c r="D25181" i="1"/>
  <c r="E25181" i="1" s="1"/>
  <c r="D25180" i="1"/>
  <c r="E25180" i="1" s="1"/>
  <c r="E25179" i="1"/>
  <c r="D25179" i="1"/>
  <c r="D25178" i="1"/>
  <c r="E25178" i="1" s="1"/>
  <c r="E25177" i="1"/>
  <c r="D25177" i="1"/>
  <c r="D25176" i="1"/>
  <c r="E25176" i="1" s="1"/>
  <c r="D25175" i="1"/>
  <c r="E25175" i="1" s="1"/>
  <c r="E25174" i="1"/>
  <c r="D25174" i="1"/>
  <c r="D25173" i="1"/>
  <c r="E25173" i="1" s="1"/>
  <c r="E25172" i="1"/>
  <c r="D25172" i="1"/>
  <c r="E25171" i="1"/>
  <c r="D25171" i="1"/>
  <c r="E25170" i="1"/>
  <c r="D25170" i="1"/>
  <c r="D25169" i="1"/>
  <c r="E25169" i="1" s="1"/>
  <c r="E25168" i="1"/>
  <c r="D25168" i="1"/>
  <c r="E25167" i="1"/>
  <c r="D25167" i="1"/>
  <c r="D25166" i="1"/>
  <c r="E25166" i="1" s="1"/>
  <c r="E25165" i="1"/>
  <c r="D25165" i="1"/>
  <c r="D25164" i="1"/>
  <c r="E25164" i="1" s="1"/>
  <c r="D25163" i="1"/>
  <c r="E25163" i="1" s="1"/>
  <c r="E25162" i="1"/>
  <c r="D25162" i="1"/>
  <c r="E25161" i="1"/>
  <c r="D25161" i="1"/>
  <c r="E25160" i="1"/>
  <c r="D25160" i="1"/>
  <c r="D25159" i="1"/>
  <c r="E25159" i="1" s="1"/>
  <c r="E25158" i="1"/>
  <c r="D25158" i="1"/>
  <c r="D25157" i="1"/>
  <c r="E25157" i="1" s="1"/>
  <c r="D25156" i="1"/>
  <c r="E25156" i="1" s="1"/>
  <c r="E25155" i="1"/>
  <c r="D25155" i="1"/>
  <c r="D25154" i="1"/>
  <c r="E25154" i="1" s="1"/>
  <c r="E25153" i="1"/>
  <c r="D25153" i="1"/>
  <c r="D25152" i="1"/>
  <c r="E25152" i="1" s="1"/>
  <c r="D25151" i="1"/>
  <c r="E25151" i="1" s="1"/>
  <c r="E25150" i="1"/>
  <c r="D25150" i="1"/>
  <c r="D25149" i="1"/>
  <c r="E25149" i="1" s="1"/>
  <c r="D25148" i="1"/>
  <c r="E25148" i="1" s="1"/>
  <c r="E25147" i="1"/>
  <c r="D25147" i="1"/>
  <c r="E25146" i="1"/>
  <c r="D25146" i="1"/>
  <c r="D25145" i="1"/>
  <c r="E25145" i="1" s="1"/>
  <c r="D25144" i="1"/>
  <c r="E25144" i="1" s="1"/>
  <c r="E25143" i="1"/>
  <c r="D25143" i="1"/>
  <c r="D25142" i="1"/>
  <c r="E25142" i="1" s="1"/>
  <c r="E25141" i="1"/>
  <c r="D25141" i="1"/>
  <c r="D25140" i="1"/>
  <c r="E25140" i="1" s="1"/>
  <c r="D25139" i="1"/>
  <c r="E25139" i="1" s="1"/>
  <c r="E25138" i="1"/>
  <c r="D25138" i="1"/>
  <c r="D25137" i="1"/>
  <c r="E25137" i="1" s="1"/>
  <c r="E25136" i="1"/>
  <c r="D25136" i="1"/>
  <c r="D25135" i="1"/>
  <c r="E25135" i="1" s="1"/>
  <c r="D25134" i="1"/>
  <c r="E25134" i="1" s="1"/>
  <c r="D25133" i="1"/>
  <c r="E25133" i="1" s="1"/>
  <c r="E25132" i="1"/>
  <c r="D25132" i="1"/>
  <c r="E25131" i="1"/>
  <c r="D25131" i="1"/>
  <c r="D25130" i="1"/>
  <c r="E25130" i="1" s="1"/>
  <c r="E25129" i="1"/>
  <c r="D25129" i="1"/>
  <c r="D25128" i="1"/>
  <c r="E25128" i="1" s="1"/>
  <c r="D25127" i="1"/>
  <c r="E25127" i="1" s="1"/>
  <c r="E25126" i="1"/>
  <c r="D25126" i="1"/>
  <c r="D25125" i="1"/>
  <c r="E25125" i="1" s="1"/>
  <c r="D25124" i="1"/>
  <c r="E25124" i="1" s="1"/>
  <c r="D25123" i="1"/>
  <c r="E25123" i="1" s="1"/>
  <c r="E25122" i="1"/>
  <c r="D25122" i="1"/>
  <c r="D25121" i="1"/>
  <c r="E25121" i="1" s="1"/>
  <c r="D25120" i="1"/>
  <c r="E25120" i="1" s="1"/>
  <c r="E25119" i="1"/>
  <c r="D25119" i="1"/>
  <c r="D25118" i="1"/>
  <c r="E25118" i="1" s="1"/>
  <c r="E25117" i="1"/>
  <c r="D25117" i="1"/>
  <c r="D25116" i="1"/>
  <c r="E25116" i="1" s="1"/>
  <c r="D25115" i="1"/>
  <c r="E25115" i="1" s="1"/>
  <c r="E25114" i="1"/>
  <c r="D25114" i="1"/>
  <c r="E25113" i="1"/>
  <c r="D25113" i="1"/>
  <c r="E25112" i="1"/>
  <c r="D25112" i="1"/>
  <c r="D25111" i="1"/>
  <c r="E25111" i="1" s="1"/>
  <c r="D25110" i="1"/>
  <c r="E25110" i="1" s="1"/>
  <c r="D25109" i="1"/>
  <c r="E25109" i="1" s="1"/>
  <c r="D25108" i="1"/>
  <c r="E25108" i="1" s="1"/>
  <c r="E25107" i="1"/>
  <c r="D25107" i="1"/>
  <c r="D25106" i="1"/>
  <c r="E25106" i="1" s="1"/>
  <c r="E25105" i="1"/>
  <c r="D25105" i="1"/>
  <c r="D25104" i="1"/>
  <c r="E25104" i="1" s="1"/>
  <c r="D25103" i="1"/>
  <c r="E25103" i="1" s="1"/>
  <c r="E25102" i="1"/>
  <c r="D25102" i="1"/>
  <c r="D25101" i="1"/>
  <c r="E25101" i="1" s="1"/>
  <c r="E25100" i="1"/>
  <c r="D25100" i="1"/>
  <c r="E25099" i="1"/>
  <c r="D25099" i="1"/>
  <c r="E25098" i="1"/>
  <c r="D25098" i="1"/>
  <c r="D25097" i="1"/>
  <c r="E25097" i="1" s="1"/>
  <c r="E25096" i="1"/>
  <c r="D25096" i="1"/>
  <c r="D25095" i="1"/>
  <c r="E25095" i="1" s="1"/>
  <c r="D25094" i="1"/>
  <c r="E25094" i="1" s="1"/>
  <c r="E25093" i="1"/>
  <c r="D25093" i="1"/>
  <c r="D25092" i="1"/>
  <c r="E25092" i="1" s="1"/>
  <c r="D25091" i="1"/>
  <c r="E25091" i="1" s="1"/>
  <c r="D25090" i="1"/>
  <c r="E25090" i="1" s="1"/>
  <c r="E25089" i="1"/>
  <c r="D25089" i="1"/>
  <c r="E25088" i="1"/>
  <c r="D25088" i="1"/>
  <c r="D25087" i="1"/>
  <c r="E25087" i="1" s="1"/>
  <c r="E25086" i="1"/>
  <c r="D25086" i="1"/>
  <c r="D25085" i="1"/>
  <c r="E25085" i="1" s="1"/>
  <c r="D25084" i="1"/>
  <c r="E25084" i="1" s="1"/>
  <c r="E25083" i="1"/>
  <c r="D25083" i="1"/>
  <c r="D25082" i="1"/>
  <c r="E25082" i="1" s="1"/>
  <c r="E25081" i="1"/>
  <c r="D25081" i="1"/>
  <c r="D25080" i="1"/>
  <c r="E25080" i="1" s="1"/>
  <c r="D25079" i="1"/>
  <c r="E25079" i="1" s="1"/>
  <c r="E25078" i="1"/>
  <c r="D25078" i="1"/>
  <c r="D25077" i="1"/>
  <c r="E25077" i="1" s="1"/>
  <c r="D25076" i="1"/>
  <c r="E25076" i="1" s="1"/>
  <c r="E25075" i="1"/>
  <c r="D25075" i="1"/>
  <c r="E25074" i="1"/>
  <c r="D25074" i="1"/>
  <c r="D25073" i="1"/>
  <c r="E25073" i="1" s="1"/>
  <c r="D25072" i="1"/>
  <c r="E25072" i="1" s="1"/>
  <c r="D25071" i="1"/>
  <c r="E25071" i="1" s="1"/>
  <c r="D25070" i="1"/>
  <c r="E25070" i="1" s="1"/>
  <c r="E25069" i="1"/>
  <c r="D25069" i="1"/>
  <c r="D25068" i="1"/>
  <c r="E25068" i="1" s="1"/>
  <c r="D25067" i="1"/>
  <c r="E25067" i="1" s="1"/>
  <c r="D25066" i="1"/>
  <c r="E25066" i="1" s="1"/>
  <c r="D25065" i="1"/>
  <c r="E25065" i="1" s="1"/>
  <c r="E25064" i="1"/>
  <c r="D25064" i="1"/>
  <c r="D25063" i="1"/>
  <c r="E25063" i="1" s="1"/>
  <c r="D25062" i="1"/>
  <c r="E25062" i="1" s="1"/>
  <c r="D25061" i="1"/>
  <c r="E25061" i="1" s="1"/>
  <c r="E25060" i="1"/>
  <c r="D25060" i="1"/>
  <c r="D25059" i="1"/>
  <c r="E25059" i="1" s="1"/>
  <c r="D25058" i="1"/>
  <c r="E25058" i="1" s="1"/>
  <c r="E25057" i="1"/>
  <c r="D25057" i="1"/>
  <c r="D25056" i="1"/>
  <c r="E25056" i="1" s="1"/>
  <c r="D25055" i="1"/>
  <c r="E25055" i="1" s="1"/>
  <c r="E25054" i="1"/>
  <c r="D25054" i="1"/>
  <c r="D25053" i="1"/>
  <c r="E25053" i="1" s="1"/>
  <c r="D25052" i="1"/>
  <c r="E25052" i="1" s="1"/>
  <c r="D25051" i="1"/>
  <c r="E25051" i="1" s="1"/>
  <c r="E25050" i="1"/>
  <c r="D25050" i="1"/>
  <c r="D25049" i="1"/>
  <c r="E25049" i="1" s="1"/>
  <c r="E25048" i="1"/>
  <c r="D25048" i="1"/>
  <c r="D25047" i="1"/>
  <c r="E25047" i="1" s="1"/>
  <c r="D25046" i="1"/>
  <c r="E25046" i="1" s="1"/>
  <c r="E25045" i="1"/>
  <c r="D25045" i="1"/>
  <c r="D25044" i="1"/>
  <c r="E25044" i="1" s="1"/>
  <c r="D25043" i="1"/>
  <c r="E25043" i="1" s="1"/>
  <c r="E25042" i="1"/>
  <c r="D25042" i="1"/>
  <c r="E25041" i="1"/>
  <c r="D25041" i="1"/>
  <c r="E25040" i="1"/>
  <c r="D25040" i="1"/>
  <c r="D25039" i="1"/>
  <c r="E25039" i="1" s="1"/>
  <c r="D25038" i="1"/>
  <c r="E25038" i="1" s="1"/>
  <c r="D25037" i="1"/>
  <c r="E25037" i="1" s="1"/>
  <c r="D25036" i="1"/>
  <c r="E25036" i="1" s="1"/>
  <c r="E25035" i="1"/>
  <c r="D25035" i="1"/>
  <c r="D25034" i="1"/>
  <c r="E25034" i="1" s="1"/>
  <c r="E25033" i="1"/>
  <c r="D25033" i="1"/>
  <c r="D25032" i="1"/>
  <c r="E25032" i="1" s="1"/>
  <c r="D25031" i="1"/>
  <c r="E25031" i="1" s="1"/>
  <c r="E25030" i="1"/>
  <c r="D25030" i="1"/>
  <c r="D25029" i="1"/>
  <c r="E25029" i="1" s="1"/>
  <c r="E25028" i="1"/>
  <c r="D25028" i="1"/>
  <c r="E25027" i="1"/>
  <c r="D25027" i="1"/>
  <c r="E25026" i="1"/>
  <c r="D25026" i="1"/>
  <c r="D25025" i="1"/>
  <c r="E25025" i="1" s="1"/>
  <c r="E25024" i="1"/>
  <c r="D25024" i="1"/>
  <c r="D25023" i="1"/>
  <c r="E25023" i="1" s="1"/>
  <c r="D25022" i="1"/>
  <c r="E25022" i="1" s="1"/>
  <c r="E25021" i="1"/>
  <c r="D25021" i="1"/>
  <c r="D25020" i="1"/>
  <c r="E25020" i="1" s="1"/>
  <c r="D25019" i="1"/>
  <c r="E25019" i="1" s="1"/>
  <c r="E25018" i="1"/>
  <c r="D25018" i="1"/>
  <c r="E25017" i="1"/>
  <c r="D25017" i="1"/>
  <c r="E25016" i="1"/>
  <c r="D25016" i="1"/>
  <c r="D25015" i="1"/>
  <c r="E25015" i="1" s="1"/>
  <c r="E25014" i="1"/>
  <c r="D25014" i="1"/>
  <c r="E25013" i="1"/>
  <c r="D25013" i="1"/>
  <c r="E25012" i="1"/>
  <c r="D25012" i="1"/>
  <c r="D25011" i="1"/>
  <c r="E25011" i="1" s="1"/>
  <c r="D25010" i="1"/>
  <c r="E25010" i="1" s="1"/>
  <c r="E25009" i="1"/>
  <c r="D25009" i="1"/>
  <c r="D25008" i="1"/>
  <c r="E25008" i="1" s="1"/>
  <c r="D25007" i="1"/>
  <c r="E25007" i="1" s="1"/>
  <c r="E25006" i="1"/>
  <c r="D25006" i="1"/>
  <c r="E25005" i="1"/>
  <c r="D25005" i="1"/>
  <c r="D25004" i="1"/>
  <c r="E25004" i="1" s="1"/>
  <c r="E25003" i="1"/>
  <c r="D25003" i="1"/>
  <c r="D25002" i="1"/>
  <c r="E25002" i="1" s="1"/>
  <c r="D25001" i="1"/>
  <c r="E25001" i="1" s="1"/>
  <c r="D25000" i="1"/>
  <c r="E25000" i="1" s="1"/>
  <c r="D24999" i="1"/>
  <c r="E24999" i="1" s="1"/>
  <c r="D24998" i="1"/>
  <c r="E24998" i="1" s="1"/>
  <c r="E24997" i="1"/>
  <c r="D24997" i="1"/>
  <c r="D24996" i="1"/>
  <c r="E24996" i="1" s="1"/>
  <c r="D24995" i="1"/>
  <c r="E24995" i="1" s="1"/>
  <c r="D24994" i="1"/>
  <c r="E24994" i="1" s="1"/>
  <c r="E24993" i="1"/>
  <c r="D24993" i="1"/>
  <c r="D24992" i="1"/>
  <c r="E24992" i="1" s="1"/>
  <c r="E24991" i="1"/>
  <c r="D24991" i="1"/>
  <c r="E24990" i="1"/>
  <c r="D24990" i="1"/>
  <c r="E24989" i="1"/>
  <c r="D24989" i="1"/>
  <c r="D24988" i="1"/>
  <c r="E24988" i="1" s="1"/>
  <c r="E24987" i="1"/>
  <c r="D24987" i="1"/>
  <c r="D24986" i="1"/>
  <c r="E24986" i="1" s="1"/>
  <c r="E24985" i="1"/>
  <c r="D24985" i="1"/>
  <c r="D24984" i="1"/>
  <c r="E24984" i="1" s="1"/>
  <c r="D24983" i="1"/>
  <c r="E24983" i="1" s="1"/>
  <c r="E24982" i="1"/>
  <c r="D24982" i="1"/>
  <c r="D24981" i="1"/>
  <c r="E24981" i="1" s="1"/>
  <c r="D24980" i="1"/>
  <c r="E24980" i="1" s="1"/>
  <c r="E24979" i="1"/>
  <c r="D24979" i="1"/>
  <c r="E24978" i="1"/>
  <c r="D24978" i="1"/>
  <c r="D24977" i="1"/>
  <c r="E24977" i="1" s="1"/>
  <c r="E24976" i="1"/>
  <c r="D24976" i="1"/>
  <c r="D24975" i="1"/>
  <c r="E24975" i="1" s="1"/>
  <c r="D24974" i="1"/>
  <c r="E24974" i="1" s="1"/>
  <c r="E24973" i="1"/>
  <c r="D24973" i="1"/>
  <c r="D24972" i="1"/>
  <c r="E24972" i="1" s="1"/>
  <c r="D24971" i="1"/>
  <c r="E24971" i="1" s="1"/>
  <c r="E24970" i="1"/>
  <c r="D24970" i="1"/>
  <c r="D24969" i="1"/>
  <c r="E24969" i="1" s="1"/>
  <c r="D24968" i="1"/>
  <c r="E24968" i="1" s="1"/>
  <c r="D24967" i="1"/>
  <c r="E24967" i="1" s="1"/>
  <c r="E24966" i="1"/>
  <c r="D24966" i="1"/>
  <c r="D24965" i="1"/>
  <c r="E24965" i="1" s="1"/>
  <c r="E24964" i="1"/>
  <c r="D24964" i="1"/>
  <c r="E24963" i="1"/>
  <c r="D24963" i="1"/>
  <c r="E24962" i="1"/>
  <c r="D24962" i="1"/>
  <c r="E24961" i="1"/>
  <c r="D24961" i="1"/>
  <c r="D24960" i="1"/>
  <c r="E24960" i="1" s="1"/>
  <c r="D24959" i="1"/>
  <c r="E24959" i="1" s="1"/>
  <c r="E24958" i="1"/>
  <c r="D24958" i="1"/>
  <c r="E24957" i="1"/>
  <c r="D24957" i="1"/>
  <c r="D24956" i="1"/>
  <c r="E24956" i="1" s="1"/>
  <c r="D24955" i="1"/>
  <c r="E24955" i="1" s="1"/>
  <c r="D24954" i="1"/>
  <c r="E24954" i="1" s="1"/>
  <c r="E24953" i="1"/>
  <c r="D24953" i="1"/>
  <c r="D24952" i="1"/>
  <c r="E24952" i="1" s="1"/>
  <c r="E24951" i="1"/>
  <c r="D24951" i="1"/>
  <c r="E24950" i="1"/>
  <c r="D24950" i="1"/>
  <c r="E24949" i="1"/>
  <c r="D24949" i="1"/>
  <c r="D24948" i="1"/>
  <c r="E24948" i="1" s="1"/>
  <c r="D24947" i="1"/>
  <c r="E24947" i="1" s="1"/>
  <c r="E24946" i="1"/>
  <c r="D24946" i="1"/>
  <c r="E24945" i="1"/>
  <c r="D24945" i="1"/>
  <c r="E24944" i="1"/>
  <c r="D24944" i="1"/>
  <c r="D24943" i="1"/>
  <c r="E24943" i="1" s="1"/>
  <c r="D24942" i="1"/>
  <c r="E24942" i="1" s="1"/>
  <c r="D24941" i="1"/>
  <c r="E24941" i="1" s="1"/>
  <c r="E24940" i="1"/>
  <c r="D24940" i="1"/>
  <c r="D24939" i="1"/>
  <c r="E24939" i="1" s="1"/>
  <c r="E24938" i="1"/>
  <c r="D24938" i="1"/>
  <c r="E24937" i="1"/>
  <c r="D24937" i="1"/>
  <c r="D24936" i="1"/>
  <c r="E24936" i="1" s="1"/>
  <c r="D24935" i="1"/>
  <c r="E24935" i="1" s="1"/>
  <c r="D24934" i="1"/>
  <c r="E24934" i="1" s="1"/>
  <c r="E24933" i="1"/>
  <c r="D24933" i="1"/>
  <c r="E24932" i="1"/>
  <c r="D24932" i="1"/>
  <c r="E24931" i="1"/>
  <c r="D24931" i="1"/>
  <c r="D24930" i="1"/>
  <c r="E24930" i="1" s="1"/>
  <c r="D24929" i="1"/>
  <c r="E24929" i="1" s="1"/>
  <c r="D24928" i="1"/>
  <c r="E24928" i="1" s="1"/>
  <c r="E24927" i="1"/>
  <c r="D24927" i="1"/>
  <c r="D24926" i="1"/>
  <c r="E24926" i="1" s="1"/>
  <c r="E24925" i="1"/>
  <c r="D24925" i="1"/>
  <c r="D24924" i="1"/>
  <c r="E24924" i="1" s="1"/>
  <c r="D24923" i="1"/>
  <c r="E24923" i="1" s="1"/>
  <c r="E24922" i="1"/>
  <c r="D24922" i="1"/>
  <c r="D24921" i="1"/>
  <c r="E24921" i="1" s="1"/>
  <c r="E24920" i="1"/>
  <c r="D24920" i="1"/>
  <c r="E24919" i="1"/>
  <c r="D24919" i="1"/>
  <c r="E24918" i="1"/>
  <c r="D24918" i="1"/>
  <c r="D24917" i="1"/>
  <c r="E24917" i="1" s="1"/>
  <c r="D24916" i="1"/>
  <c r="E24916" i="1" s="1"/>
  <c r="D24915" i="1"/>
  <c r="E24915" i="1" s="1"/>
  <c r="E24914" i="1"/>
  <c r="D24914" i="1"/>
  <c r="E24913" i="1"/>
  <c r="D24913" i="1"/>
  <c r="D24912" i="1"/>
  <c r="E24912" i="1" s="1"/>
  <c r="D24911" i="1"/>
  <c r="E24911" i="1" s="1"/>
  <c r="E24910" i="1"/>
  <c r="D24910" i="1"/>
  <c r="E24909" i="1"/>
  <c r="D24909" i="1"/>
  <c r="D24908" i="1"/>
  <c r="E24908" i="1" s="1"/>
  <c r="E24907" i="1"/>
  <c r="D24907" i="1"/>
  <c r="E24906" i="1"/>
  <c r="D24906" i="1"/>
  <c r="E24905" i="1"/>
  <c r="D24905" i="1"/>
  <c r="D24904" i="1"/>
  <c r="E24904" i="1" s="1"/>
  <c r="D24903" i="1"/>
  <c r="E24903" i="1" s="1"/>
  <c r="D24902" i="1"/>
  <c r="E24902" i="1" s="1"/>
  <c r="E24901" i="1"/>
  <c r="D24901" i="1"/>
  <c r="D24900" i="1"/>
  <c r="E24900" i="1" s="1"/>
  <c r="D24899" i="1"/>
  <c r="E24899" i="1" s="1"/>
  <c r="E24898" i="1"/>
  <c r="D24898" i="1"/>
  <c r="E24897" i="1"/>
  <c r="D24897" i="1"/>
  <c r="E24896" i="1"/>
  <c r="D24896" i="1"/>
  <c r="D24895" i="1"/>
  <c r="E24895" i="1" s="1"/>
  <c r="E24894" i="1"/>
  <c r="D24894" i="1"/>
  <c r="E24893" i="1"/>
  <c r="D24893" i="1"/>
  <c r="E24892" i="1"/>
  <c r="D24892" i="1"/>
  <c r="D24891" i="1"/>
  <c r="E24891" i="1" s="1"/>
  <c r="D24890" i="1"/>
  <c r="E24890" i="1" s="1"/>
  <c r="E24889" i="1"/>
  <c r="D24889" i="1"/>
  <c r="D24888" i="1"/>
  <c r="E24888" i="1" s="1"/>
  <c r="D24887" i="1"/>
  <c r="E24887" i="1" s="1"/>
  <c r="D24886" i="1"/>
  <c r="E24886" i="1" s="1"/>
  <c r="E24885" i="1"/>
  <c r="D24885" i="1"/>
  <c r="E24884" i="1"/>
  <c r="D24884" i="1"/>
  <c r="E24883" i="1"/>
  <c r="D24883" i="1"/>
  <c r="D24882" i="1"/>
  <c r="E24882" i="1" s="1"/>
  <c r="E24881" i="1"/>
  <c r="D24881" i="1"/>
  <c r="E24880" i="1"/>
  <c r="D24880" i="1"/>
  <c r="E24879" i="1"/>
  <c r="D24879" i="1"/>
  <c r="D24878" i="1"/>
  <c r="E24878" i="1" s="1"/>
  <c r="E24877" i="1"/>
  <c r="D24877" i="1"/>
  <c r="D24876" i="1"/>
  <c r="E24876" i="1" s="1"/>
  <c r="D24875" i="1"/>
  <c r="E24875" i="1" s="1"/>
  <c r="E24874" i="1"/>
  <c r="D24874" i="1"/>
  <c r="D24873" i="1"/>
  <c r="E24873" i="1" s="1"/>
  <c r="E24872" i="1"/>
  <c r="D24872" i="1"/>
  <c r="E24871" i="1"/>
  <c r="D24871" i="1"/>
  <c r="E24870" i="1"/>
  <c r="D24870" i="1"/>
  <c r="D24869" i="1"/>
  <c r="E24869" i="1" s="1"/>
  <c r="E24868" i="1"/>
  <c r="D24868" i="1"/>
  <c r="E24867" i="1"/>
  <c r="D24867" i="1"/>
  <c r="E24866" i="1"/>
  <c r="D24866" i="1"/>
  <c r="E24865" i="1"/>
  <c r="D24865" i="1"/>
  <c r="D24864" i="1"/>
  <c r="E24864" i="1" s="1"/>
  <c r="D24863" i="1"/>
  <c r="E24863" i="1" s="1"/>
  <c r="D24862" i="1"/>
  <c r="E24862" i="1" s="1"/>
  <c r="E24861" i="1"/>
  <c r="D24861" i="1"/>
  <c r="D24860" i="1"/>
  <c r="E24860" i="1" s="1"/>
  <c r="E24859" i="1"/>
  <c r="D24859" i="1"/>
  <c r="E24858" i="1"/>
  <c r="D24858" i="1"/>
  <c r="E24857" i="1"/>
  <c r="D24857" i="1"/>
  <c r="D24856" i="1"/>
  <c r="E24856" i="1" s="1"/>
  <c r="E24855" i="1"/>
  <c r="D24855" i="1"/>
  <c r="E24854" i="1"/>
  <c r="D24854" i="1"/>
  <c r="E24853" i="1"/>
  <c r="D24853" i="1"/>
  <c r="D24852" i="1"/>
  <c r="E24852" i="1" s="1"/>
  <c r="D24851" i="1"/>
  <c r="E24851" i="1" s="1"/>
  <c r="D24850" i="1"/>
  <c r="E24850" i="1" s="1"/>
  <c r="D24849" i="1"/>
  <c r="E24849" i="1" s="1"/>
  <c r="E24848" i="1"/>
  <c r="D24848" i="1"/>
  <c r="D24847" i="1"/>
  <c r="E24847" i="1" s="1"/>
  <c r="E24846" i="1"/>
  <c r="D24846" i="1"/>
  <c r="E24845" i="1"/>
  <c r="D24845" i="1"/>
  <c r="E24844" i="1"/>
  <c r="D24844" i="1"/>
  <c r="D24843" i="1"/>
  <c r="E24843" i="1" s="1"/>
  <c r="E24842" i="1"/>
  <c r="D24842" i="1"/>
  <c r="E24841" i="1"/>
  <c r="D24841" i="1"/>
  <c r="D24840" i="1"/>
  <c r="E24840" i="1" s="1"/>
  <c r="D24839" i="1"/>
  <c r="E24839" i="1" s="1"/>
  <c r="D24838" i="1"/>
  <c r="E24838" i="1" s="1"/>
  <c r="D24837" i="1"/>
  <c r="E24837" i="1" s="1"/>
  <c r="D24836" i="1"/>
  <c r="E24836" i="1" s="1"/>
  <c r="E24835" i="1"/>
  <c r="D24835" i="1"/>
  <c r="D24834" i="1"/>
  <c r="E24834" i="1" s="1"/>
  <c r="E24833" i="1"/>
  <c r="D24833" i="1"/>
  <c r="E24832" i="1"/>
  <c r="D24832" i="1"/>
  <c r="E24831" i="1"/>
  <c r="D24831" i="1"/>
  <c r="D24830" i="1"/>
  <c r="E24830" i="1" s="1"/>
  <c r="E24829" i="1"/>
  <c r="D24829" i="1"/>
  <c r="D24828" i="1"/>
  <c r="E24828" i="1" s="1"/>
  <c r="D24827" i="1"/>
  <c r="E24827" i="1" s="1"/>
  <c r="E24826" i="1"/>
  <c r="D24826" i="1"/>
  <c r="D24825" i="1"/>
  <c r="E24825" i="1" s="1"/>
  <c r="D24824" i="1"/>
  <c r="E24824" i="1" s="1"/>
  <c r="D24823" i="1"/>
  <c r="E24823" i="1" s="1"/>
  <c r="E24822" i="1"/>
  <c r="D24822" i="1"/>
  <c r="D24821" i="1"/>
  <c r="E24821" i="1" s="1"/>
  <c r="E24820" i="1"/>
  <c r="D24820" i="1"/>
  <c r="E24819" i="1"/>
  <c r="D24819" i="1"/>
  <c r="E24818" i="1"/>
  <c r="D24818" i="1"/>
  <c r="D24817" i="1"/>
  <c r="E24817" i="1" s="1"/>
  <c r="D24816" i="1"/>
  <c r="E24816" i="1" s="1"/>
  <c r="D24815" i="1"/>
  <c r="E24815" i="1" s="1"/>
  <c r="E24814" i="1"/>
  <c r="D24814" i="1"/>
  <c r="E24813" i="1"/>
  <c r="D24813" i="1"/>
  <c r="D24812" i="1"/>
  <c r="E24812" i="1" s="1"/>
  <c r="D24811" i="1"/>
  <c r="E24811" i="1" s="1"/>
  <c r="D24810" i="1"/>
  <c r="E24810" i="1" s="1"/>
  <c r="E24809" i="1"/>
  <c r="D24809" i="1"/>
  <c r="D24808" i="1"/>
  <c r="E24808" i="1" s="1"/>
  <c r="E24807" i="1"/>
  <c r="D24807" i="1"/>
  <c r="E24806" i="1"/>
  <c r="D24806" i="1"/>
  <c r="E24805" i="1"/>
  <c r="D24805" i="1"/>
  <c r="D24804" i="1"/>
  <c r="E24804" i="1" s="1"/>
  <c r="D24803" i="1"/>
  <c r="E24803" i="1" s="1"/>
  <c r="E24802" i="1"/>
  <c r="D24802" i="1"/>
  <c r="E24801" i="1"/>
  <c r="D24801" i="1"/>
  <c r="E24800" i="1"/>
  <c r="D24800" i="1"/>
  <c r="D24799" i="1"/>
  <c r="E24799" i="1" s="1"/>
  <c r="D24798" i="1"/>
  <c r="E24798" i="1" s="1"/>
  <c r="D24797" i="1"/>
  <c r="E24797" i="1" s="1"/>
  <c r="E24796" i="1"/>
  <c r="D24796" i="1"/>
  <c r="D24795" i="1"/>
  <c r="E24795" i="1" s="1"/>
  <c r="E24794" i="1"/>
  <c r="D24794" i="1"/>
  <c r="E24793" i="1"/>
  <c r="D24793" i="1"/>
  <c r="D24792" i="1"/>
  <c r="E24792" i="1" s="1"/>
  <c r="D24791" i="1"/>
  <c r="E24791" i="1" s="1"/>
  <c r="D24790" i="1"/>
  <c r="E24790" i="1" s="1"/>
  <c r="E24789" i="1"/>
  <c r="D24789" i="1"/>
  <c r="E24788" i="1"/>
  <c r="D24788" i="1"/>
  <c r="E24787" i="1"/>
  <c r="D24787" i="1"/>
  <c r="D24786" i="1"/>
  <c r="E24786" i="1" s="1"/>
  <c r="D24785" i="1"/>
  <c r="E24785" i="1" s="1"/>
  <c r="D24784" i="1"/>
  <c r="E24784" i="1" s="1"/>
  <c r="E24783" i="1"/>
  <c r="D24783" i="1"/>
  <c r="D24782" i="1"/>
  <c r="E24782" i="1" s="1"/>
  <c r="E24781" i="1"/>
  <c r="D24781" i="1"/>
  <c r="D24780" i="1"/>
  <c r="E24780" i="1" s="1"/>
  <c r="D24779" i="1"/>
  <c r="E24779" i="1" s="1"/>
  <c r="E24778" i="1"/>
  <c r="D24778" i="1"/>
  <c r="D24777" i="1"/>
  <c r="E24777" i="1" s="1"/>
  <c r="E24776" i="1"/>
  <c r="D24776" i="1"/>
  <c r="E24775" i="1"/>
  <c r="D24775" i="1"/>
  <c r="E24774" i="1"/>
  <c r="D24774" i="1"/>
  <c r="D24773" i="1"/>
  <c r="E24773" i="1" s="1"/>
  <c r="D24772" i="1"/>
  <c r="E24772" i="1" s="1"/>
  <c r="D24771" i="1"/>
  <c r="E24771" i="1" s="1"/>
  <c r="E24770" i="1"/>
  <c r="D24770" i="1"/>
  <c r="D24769" i="1"/>
  <c r="E24769" i="1" s="1"/>
  <c r="D24768" i="1"/>
  <c r="E24768" i="1" s="1"/>
  <c r="D24767" i="1"/>
  <c r="E24767" i="1" s="1"/>
  <c r="E24766" i="1"/>
  <c r="D24766" i="1"/>
  <c r="E24765" i="1"/>
  <c r="D24765" i="1"/>
  <c r="D24764" i="1"/>
  <c r="E24764" i="1" s="1"/>
  <c r="E24763" i="1"/>
  <c r="D24763" i="1"/>
  <c r="E24762" i="1"/>
  <c r="D24762" i="1"/>
  <c r="E24761" i="1"/>
  <c r="D24761" i="1"/>
  <c r="D24760" i="1"/>
  <c r="E24760" i="1" s="1"/>
  <c r="D24759" i="1"/>
  <c r="E24759" i="1" s="1"/>
  <c r="D24758" i="1"/>
  <c r="E24758" i="1" s="1"/>
  <c r="E24757" i="1"/>
  <c r="D24757" i="1"/>
  <c r="D24756" i="1"/>
  <c r="E24756" i="1" s="1"/>
  <c r="D24755" i="1"/>
  <c r="E24755" i="1" s="1"/>
  <c r="E24754" i="1"/>
  <c r="D24754" i="1"/>
  <c r="E24753" i="1"/>
  <c r="D24753" i="1"/>
  <c r="E24752" i="1"/>
  <c r="D24752" i="1"/>
  <c r="D24751" i="1"/>
  <c r="E24751" i="1" s="1"/>
  <c r="E24750" i="1"/>
  <c r="D24750" i="1"/>
  <c r="E24749" i="1"/>
  <c r="D24749" i="1"/>
  <c r="E24748" i="1"/>
  <c r="D24748" i="1"/>
  <c r="D24747" i="1"/>
  <c r="E24747" i="1" s="1"/>
  <c r="D24746" i="1"/>
  <c r="E24746" i="1" s="1"/>
  <c r="D24745" i="1"/>
  <c r="E24745" i="1" s="1"/>
  <c r="D24744" i="1"/>
  <c r="E24744" i="1" s="1"/>
  <c r="D24743" i="1"/>
  <c r="E24743" i="1" s="1"/>
  <c r="D24742" i="1"/>
  <c r="E24742" i="1" s="1"/>
  <c r="E24741" i="1"/>
  <c r="D24741" i="1"/>
  <c r="E24740" i="1"/>
  <c r="D24740" i="1"/>
  <c r="E24739" i="1"/>
  <c r="D24739" i="1"/>
  <c r="D24738" i="1"/>
  <c r="E24738" i="1" s="1"/>
  <c r="E24737" i="1"/>
  <c r="D24737" i="1"/>
  <c r="E24736" i="1"/>
  <c r="D24736" i="1"/>
  <c r="E24735" i="1"/>
  <c r="D24735" i="1"/>
  <c r="D24734" i="1"/>
  <c r="E24734" i="1" s="1"/>
  <c r="D24733" i="1"/>
  <c r="E24733" i="1" s="1"/>
  <c r="D24732" i="1"/>
  <c r="E24732" i="1" s="1"/>
  <c r="D24731" i="1"/>
  <c r="E24731" i="1" s="1"/>
  <c r="E24730" i="1"/>
  <c r="D24730" i="1"/>
  <c r="D24729" i="1"/>
  <c r="E24729" i="1" s="1"/>
  <c r="E24728" i="1"/>
  <c r="D24728" i="1"/>
  <c r="E24727" i="1"/>
  <c r="D24727" i="1"/>
  <c r="E24726" i="1"/>
  <c r="D24726" i="1"/>
  <c r="D24725" i="1"/>
  <c r="E24725" i="1" s="1"/>
  <c r="E24724" i="1"/>
  <c r="D24724" i="1"/>
  <c r="E24723" i="1"/>
  <c r="D24723" i="1"/>
  <c r="E24722" i="1"/>
  <c r="D24722" i="1"/>
  <c r="D24721" i="1"/>
  <c r="E24721" i="1" s="1"/>
  <c r="D24720" i="1"/>
  <c r="E24720" i="1" s="1"/>
  <c r="D24719" i="1"/>
  <c r="E24719" i="1" s="1"/>
  <c r="D24718" i="1"/>
  <c r="E24718" i="1" s="1"/>
  <c r="E24717" i="1"/>
  <c r="D24717" i="1"/>
  <c r="D24716" i="1"/>
  <c r="E24716" i="1" s="1"/>
  <c r="E24715" i="1"/>
  <c r="D24715" i="1"/>
  <c r="E24714" i="1"/>
  <c r="D24714" i="1"/>
  <c r="E24713" i="1"/>
  <c r="D24713" i="1"/>
  <c r="D24712" i="1"/>
  <c r="E24712" i="1" s="1"/>
  <c r="E24711" i="1"/>
  <c r="D24711" i="1"/>
  <c r="E24710" i="1"/>
  <c r="D24710" i="1"/>
  <c r="E24709" i="1"/>
  <c r="D24709" i="1"/>
  <c r="D24708" i="1"/>
  <c r="E24708" i="1" s="1"/>
  <c r="D24707" i="1"/>
  <c r="E24707" i="1" s="1"/>
  <c r="D24706" i="1"/>
  <c r="E24706" i="1" s="1"/>
  <c r="D24705" i="1"/>
  <c r="E24705" i="1" s="1"/>
  <c r="E24704" i="1"/>
  <c r="D24704" i="1"/>
  <c r="D24703" i="1"/>
  <c r="E24703" i="1" s="1"/>
  <c r="E24702" i="1"/>
  <c r="D24702" i="1"/>
  <c r="E24701" i="1"/>
  <c r="D24701" i="1"/>
  <c r="E24700" i="1"/>
  <c r="D24700" i="1"/>
  <c r="D24699" i="1"/>
  <c r="E24699" i="1" s="1"/>
  <c r="E24698" i="1"/>
  <c r="D24698" i="1"/>
  <c r="E24697" i="1"/>
  <c r="D24697" i="1"/>
  <c r="D24696" i="1"/>
  <c r="E24696" i="1" s="1"/>
  <c r="D24695" i="1"/>
  <c r="E24695" i="1" s="1"/>
  <c r="D24694" i="1"/>
  <c r="E24694" i="1" s="1"/>
  <c r="D24693" i="1"/>
  <c r="E24693" i="1" s="1"/>
  <c r="D24692" i="1"/>
  <c r="E24692" i="1" s="1"/>
  <c r="E24691" i="1"/>
  <c r="D24691" i="1"/>
  <c r="D24690" i="1"/>
  <c r="E24690" i="1" s="1"/>
  <c r="E24689" i="1"/>
  <c r="D24689" i="1"/>
  <c r="E24688" i="1"/>
  <c r="D24688" i="1"/>
  <c r="E24687" i="1"/>
  <c r="D24687" i="1"/>
  <c r="D24686" i="1"/>
  <c r="E24686" i="1" s="1"/>
  <c r="E24685" i="1"/>
  <c r="D24685" i="1"/>
  <c r="D24684" i="1"/>
  <c r="E24684" i="1" s="1"/>
  <c r="D24683" i="1"/>
  <c r="E24683" i="1" s="1"/>
  <c r="E24682" i="1"/>
  <c r="D24682" i="1"/>
  <c r="D24681" i="1"/>
  <c r="E24681" i="1" s="1"/>
  <c r="D24680" i="1"/>
  <c r="E24680" i="1" s="1"/>
  <c r="D24679" i="1"/>
  <c r="E24679" i="1" s="1"/>
  <c r="E24678" i="1"/>
  <c r="D24678" i="1"/>
  <c r="D24677" i="1"/>
  <c r="E24677" i="1" s="1"/>
  <c r="E24676" i="1"/>
  <c r="D24676" i="1"/>
  <c r="E24675" i="1"/>
  <c r="D24675" i="1"/>
  <c r="E24674" i="1"/>
  <c r="D24674" i="1"/>
  <c r="D24673" i="1"/>
  <c r="E24673" i="1" s="1"/>
  <c r="D24672" i="1"/>
  <c r="E24672" i="1" s="1"/>
  <c r="D24671" i="1"/>
  <c r="E24671" i="1" s="1"/>
  <c r="E24670" i="1"/>
  <c r="D24670" i="1"/>
  <c r="E24669" i="1"/>
  <c r="D24669" i="1"/>
  <c r="D24668" i="1"/>
  <c r="E24668" i="1" s="1"/>
  <c r="D24667" i="1"/>
  <c r="E24667" i="1" s="1"/>
  <c r="D24666" i="1"/>
  <c r="E24666" i="1" s="1"/>
  <c r="E24665" i="1"/>
  <c r="D24665" i="1"/>
  <c r="D24664" i="1"/>
  <c r="E24664" i="1" s="1"/>
  <c r="E24663" i="1"/>
  <c r="D24663" i="1"/>
  <c r="E24662" i="1"/>
  <c r="D24662" i="1"/>
  <c r="E24661" i="1"/>
  <c r="D24661" i="1"/>
  <c r="D24660" i="1"/>
  <c r="E24660" i="1" s="1"/>
  <c r="D24659" i="1"/>
  <c r="E24659" i="1" s="1"/>
  <c r="E24658" i="1"/>
  <c r="D24658" i="1"/>
  <c r="E24657" i="1"/>
  <c r="D24657" i="1"/>
  <c r="E24656" i="1"/>
  <c r="D24656" i="1"/>
  <c r="D24655" i="1"/>
  <c r="E24655" i="1" s="1"/>
  <c r="D24654" i="1"/>
  <c r="E24654" i="1" s="1"/>
  <c r="D24653" i="1"/>
  <c r="E24653" i="1" s="1"/>
  <c r="E24652" i="1"/>
  <c r="D24652" i="1"/>
  <c r="D24651" i="1"/>
  <c r="E24651" i="1" s="1"/>
  <c r="E24650" i="1"/>
  <c r="D24650" i="1"/>
  <c r="E24649" i="1"/>
  <c r="D24649" i="1"/>
  <c r="D24648" i="1"/>
  <c r="E24648" i="1" s="1"/>
  <c r="D24647" i="1"/>
  <c r="E24647" i="1" s="1"/>
  <c r="D24646" i="1"/>
  <c r="E24646" i="1" s="1"/>
  <c r="E24645" i="1"/>
  <c r="D24645" i="1"/>
  <c r="E24644" i="1"/>
  <c r="D24644" i="1"/>
  <c r="E24643" i="1"/>
  <c r="D24643" i="1"/>
  <c r="D24642" i="1"/>
  <c r="E24642" i="1" s="1"/>
  <c r="D24641" i="1"/>
  <c r="E24641" i="1" s="1"/>
  <c r="D24640" i="1"/>
  <c r="E24640" i="1" s="1"/>
  <c r="E24639" i="1"/>
  <c r="D24639" i="1"/>
  <c r="D24638" i="1"/>
  <c r="E24638" i="1" s="1"/>
  <c r="E24637" i="1"/>
  <c r="D24637" i="1"/>
  <c r="D24636" i="1"/>
  <c r="E24636" i="1" s="1"/>
  <c r="D24635" i="1"/>
  <c r="E24635" i="1" s="1"/>
  <c r="E24634" i="1"/>
  <c r="D24634" i="1"/>
  <c r="D24633" i="1"/>
  <c r="E24633" i="1" s="1"/>
  <c r="E24632" i="1"/>
  <c r="D24632" i="1"/>
  <c r="E24631" i="1"/>
  <c r="D24631" i="1"/>
  <c r="E24630" i="1"/>
  <c r="D24630" i="1"/>
  <c r="D24629" i="1"/>
  <c r="E24629" i="1" s="1"/>
  <c r="D24628" i="1"/>
  <c r="E24628" i="1" s="1"/>
  <c r="D24627" i="1"/>
  <c r="E24627" i="1" s="1"/>
  <c r="E24626" i="1"/>
  <c r="D24626" i="1"/>
  <c r="D24625" i="1"/>
  <c r="E24625" i="1" s="1"/>
  <c r="D24624" i="1"/>
  <c r="E24624" i="1" s="1"/>
  <c r="D24623" i="1"/>
  <c r="E24623" i="1" s="1"/>
  <c r="D24622" i="1"/>
  <c r="E24622" i="1" s="1"/>
  <c r="E24621" i="1"/>
  <c r="D24621" i="1"/>
  <c r="D24620" i="1"/>
  <c r="E24620" i="1" s="1"/>
  <c r="E24619" i="1"/>
  <c r="D24619" i="1"/>
  <c r="E24618" i="1"/>
  <c r="D24618" i="1"/>
  <c r="E24617" i="1"/>
  <c r="D24617" i="1"/>
  <c r="D24616" i="1"/>
  <c r="E24616" i="1" s="1"/>
  <c r="D24615" i="1"/>
  <c r="E24615" i="1" s="1"/>
  <c r="D24614" i="1"/>
  <c r="E24614" i="1" s="1"/>
  <c r="E24613" i="1"/>
  <c r="D24613" i="1"/>
  <c r="D24612" i="1"/>
  <c r="E24612" i="1" s="1"/>
  <c r="D24611" i="1"/>
  <c r="E24611" i="1" s="1"/>
  <c r="E24610" i="1"/>
  <c r="D24610" i="1"/>
  <c r="E24609" i="1"/>
  <c r="D24609" i="1"/>
  <c r="E24608" i="1"/>
  <c r="D24608" i="1"/>
  <c r="D24607" i="1"/>
  <c r="E24607" i="1" s="1"/>
  <c r="E24606" i="1"/>
  <c r="D24606" i="1"/>
  <c r="E24605" i="1"/>
  <c r="D24605" i="1"/>
  <c r="E24604" i="1"/>
  <c r="D24604" i="1"/>
  <c r="D24603" i="1"/>
  <c r="E24603" i="1" s="1"/>
  <c r="D24602" i="1"/>
  <c r="E24602" i="1" s="1"/>
  <c r="D24601" i="1"/>
  <c r="E24601" i="1" s="1"/>
  <c r="D24600" i="1"/>
  <c r="E24600" i="1" s="1"/>
  <c r="D24599" i="1"/>
  <c r="E24599" i="1" s="1"/>
  <c r="D24598" i="1"/>
  <c r="E24598" i="1" s="1"/>
  <c r="E24597" i="1"/>
  <c r="D24597" i="1"/>
  <c r="D24596" i="1"/>
  <c r="E24596" i="1" s="1"/>
  <c r="E24595" i="1"/>
  <c r="D24595" i="1"/>
  <c r="D24594" i="1"/>
  <c r="E24594" i="1" s="1"/>
  <c r="E24593" i="1"/>
  <c r="D24593" i="1"/>
  <c r="E24592" i="1"/>
  <c r="D24592" i="1"/>
  <c r="E24591" i="1"/>
  <c r="D24591" i="1"/>
  <c r="D24590" i="1"/>
  <c r="E24590" i="1" s="1"/>
  <c r="D24589" i="1"/>
  <c r="E24589" i="1" s="1"/>
  <c r="D24588" i="1"/>
  <c r="E24588" i="1" s="1"/>
  <c r="D24587" i="1"/>
  <c r="E24587" i="1" s="1"/>
  <c r="E24586" i="1"/>
  <c r="D24586" i="1"/>
  <c r="D24585" i="1"/>
  <c r="E24585" i="1" s="1"/>
  <c r="E24584" i="1"/>
  <c r="D24584" i="1"/>
  <c r="D24583" i="1"/>
  <c r="E24583" i="1" s="1"/>
  <c r="E24582" i="1"/>
  <c r="D24582" i="1"/>
  <c r="D24581" i="1"/>
  <c r="E24581" i="1" s="1"/>
  <c r="E24580" i="1"/>
  <c r="D24580" i="1"/>
  <c r="E24579" i="1"/>
  <c r="D24579" i="1"/>
  <c r="E24578" i="1"/>
  <c r="D24578" i="1"/>
  <c r="D24577" i="1"/>
  <c r="E24577" i="1" s="1"/>
  <c r="D24576" i="1"/>
  <c r="E24576" i="1" s="1"/>
  <c r="D24575" i="1"/>
  <c r="E24575" i="1" s="1"/>
  <c r="D24574" i="1"/>
  <c r="E24574" i="1" s="1"/>
  <c r="E24573" i="1"/>
  <c r="D24573" i="1"/>
  <c r="D24572" i="1"/>
  <c r="E24572" i="1" s="1"/>
  <c r="E24571" i="1"/>
  <c r="D24571" i="1"/>
  <c r="E24570" i="1"/>
  <c r="D24570" i="1"/>
  <c r="E24569" i="1"/>
  <c r="D24569" i="1"/>
  <c r="D24568" i="1"/>
  <c r="E24568" i="1" s="1"/>
  <c r="E24567" i="1"/>
  <c r="D24567" i="1"/>
  <c r="E24566" i="1"/>
  <c r="D24566" i="1"/>
  <c r="E24565" i="1"/>
  <c r="D24565" i="1"/>
  <c r="D24564" i="1"/>
  <c r="E24564" i="1" s="1"/>
  <c r="D24563" i="1"/>
  <c r="E24563" i="1" s="1"/>
  <c r="D24562" i="1"/>
  <c r="E24562" i="1" s="1"/>
  <c r="D24561" i="1"/>
  <c r="E24561" i="1" s="1"/>
  <c r="E24560" i="1"/>
  <c r="D24560" i="1"/>
  <c r="D24559" i="1"/>
  <c r="E24559" i="1" s="1"/>
  <c r="E24558" i="1"/>
  <c r="D24558" i="1"/>
  <c r="D24557" i="1"/>
  <c r="E24557" i="1" s="1"/>
  <c r="E24556" i="1"/>
  <c r="D24556" i="1"/>
  <c r="D24555" i="1"/>
  <c r="E24555" i="1" s="1"/>
  <c r="E24554" i="1"/>
  <c r="D24554" i="1"/>
  <c r="E24553" i="1"/>
  <c r="D24553" i="1"/>
  <c r="D24552" i="1"/>
  <c r="E24552" i="1" s="1"/>
  <c r="D24551" i="1"/>
  <c r="E24551" i="1" s="1"/>
  <c r="D24550" i="1"/>
  <c r="E24550" i="1" s="1"/>
  <c r="D24549" i="1"/>
  <c r="E24549" i="1" s="1"/>
  <c r="D24548" i="1"/>
  <c r="E24548" i="1" s="1"/>
  <c r="E24547" i="1"/>
  <c r="D24547" i="1"/>
  <c r="D24546" i="1"/>
  <c r="E24546" i="1" s="1"/>
  <c r="E24545" i="1"/>
  <c r="D24545" i="1"/>
  <c r="E24544" i="1"/>
  <c r="D24544" i="1"/>
  <c r="E24543" i="1"/>
  <c r="D24543" i="1"/>
  <c r="D24542" i="1"/>
  <c r="E24542" i="1" s="1"/>
  <c r="E24541" i="1"/>
  <c r="D24541" i="1"/>
  <c r="D24540" i="1"/>
  <c r="E24540" i="1" s="1"/>
  <c r="D24539" i="1"/>
  <c r="E24539" i="1" s="1"/>
  <c r="E24538" i="1"/>
  <c r="D24538" i="1"/>
  <c r="D24537" i="1"/>
  <c r="E24537" i="1" s="1"/>
  <c r="D24536" i="1"/>
  <c r="E24536" i="1" s="1"/>
  <c r="D24535" i="1"/>
  <c r="E24535" i="1" s="1"/>
  <c r="E24534" i="1"/>
  <c r="D24534" i="1"/>
  <c r="D24533" i="1"/>
  <c r="E24533" i="1" s="1"/>
  <c r="E24532" i="1"/>
  <c r="D24532" i="1"/>
  <c r="D24531" i="1"/>
  <c r="E24531" i="1" s="1"/>
  <c r="E24530" i="1"/>
  <c r="D24530" i="1"/>
  <c r="D24529" i="1"/>
  <c r="E24529" i="1" s="1"/>
  <c r="D24528" i="1"/>
  <c r="E24528" i="1" s="1"/>
  <c r="D24527" i="1"/>
  <c r="E24527" i="1" s="1"/>
  <c r="E24526" i="1"/>
  <c r="D24526" i="1"/>
  <c r="E24525" i="1"/>
  <c r="D24525" i="1"/>
  <c r="D24524" i="1"/>
  <c r="E24524" i="1" s="1"/>
  <c r="D24523" i="1"/>
  <c r="E24523" i="1" s="1"/>
  <c r="D24522" i="1"/>
  <c r="E24522" i="1" s="1"/>
  <c r="E24521" i="1"/>
  <c r="D24521" i="1"/>
  <c r="D24520" i="1"/>
  <c r="E24520" i="1" s="1"/>
  <c r="E24519" i="1"/>
  <c r="D24519" i="1"/>
  <c r="E24518" i="1"/>
  <c r="D24518" i="1"/>
  <c r="E24517" i="1"/>
  <c r="D24517" i="1"/>
  <c r="D24516" i="1"/>
  <c r="E24516" i="1" s="1"/>
  <c r="D24515" i="1"/>
  <c r="E24515" i="1" s="1"/>
  <c r="D24514" i="1"/>
  <c r="E24514" i="1" s="1"/>
  <c r="D24513" i="1"/>
  <c r="E24513" i="1" s="1"/>
  <c r="E24512" i="1"/>
  <c r="D24512" i="1"/>
  <c r="E24511" i="1"/>
  <c r="D24511" i="1"/>
  <c r="E24510" i="1"/>
  <c r="D24510" i="1"/>
  <c r="D24509" i="1"/>
  <c r="E24509" i="1" s="1"/>
  <c r="E24508" i="1"/>
  <c r="D24508" i="1"/>
  <c r="E24507" i="1"/>
  <c r="D24507" i="1"/>
  <c r="D24506" i="1"/>
  <c r="E24506" i="1" s="1"/>
  <c r="D24505" i="1"/>
  <c r="E24505" i="1" s="1"/>
  <c r="D24504" i="1"/>
  <c r="E24504" i="1" s="1"/>
  <c r="D24503" i="1"/>
  <c r="E24503" i="1" s="1"/>
  <c r="D24502" i="1"/>
  <c r="E24502" i="1" s="1"/>
  <c r="D24501" i="1"/>
  <c r="E24501" i="1" s="1"/>
  <c r="E24500" i="1"/>
  <c r="D24500" i="1"/>
  <c r="E24499" i="1"/>
  <c r="D24499" i="1"/>
  <c r="E24498" i="1"/>
  <c r="D24498" i="1"/>
  <c r="D24497" i="1"/>
  <c r="E24497" i="1" s="1"/>
  <c r="E24496" i="1"/>
  <c r="D24496" i="1"/>
  <c r="E24495" i="1"/>
  <c r="D24495" i="1"/>
  <c r="D24494" i="1"/>
  <c r="E24494" i="1" s="1"/>
  <c r="E24493" i="1"/>
  <c r="D24493" i="1"/>
  <c r="D24492" i="1"/>
  <c r="E24492" i="1" s="1"/>
  <c r="D24491" i="1"/>
  <c r="E24491" i="1" s="1"/>
  <c r="D24490" i="1"/>
  <c r="E24490" i="1" s="1"/>
  <c r="D24489" i="1"/>
  <c r="E24489" i="1" s="1"/>
  <c r="E24488" i="1"/>
  <c r="D24488" i="1"/>
  <c r="E24487" i="1"/>
  <c r="D24487" i="1"/>
  <c r="E24486" i="1"/>
  <c r="D24486" i="1"/>
  <c r="D24485" i="1"/>
  <c r="E24485" i="1" s="1"/>
  <c r="E24484" i="1"/>
  <c r="D24484" i="1"/>
  <c r="E24483" i="1"/>
  <c r="D24483" i="1"/>
  <c r="D24482" i="1"/>
  <c r="E24482" i="1" s="1"/>
  <c r="E24481" i="1"/>
  <c r="D24481" i="1"/>
  <c r="D24480" i="1"/>
  <c r="E24480" i="1" s="1"/>
  <c r="D24479" i="1"/>
  <c r="E24479" i="1" s="1"/>
  <c r="D24478" i="1"/>
  <c r="E24478" i="1" s="1"/>
  <c r="D24477" i="1"/>
  <c r="E24477" i="1" s="1"/>
  <c r="E24476" i="1"/>
  <c r="D24476" i="1"/>
  <c r="E24475" i="1"/>
  <c r="D24475" i="1"/>
  <c r="E24474" i="1"/>
  <c r="D24474" i="1"/>
  <c r="D24473" i="1"/>
  <c r="E24473" i="1" s="1"/>
  <c r="E24472" i="1"/>
  <c r="D24472" i="1"/>
  <c r="E24471" i="1"/>
  <c r="D24471" i="1"/>
  <c r="D24470" i="1"/>
  <c r="E24470" i="1" s="1"/>
  <c r="E24469" i="1"/>
  <c r="D24469" i="1"/>
  <c r="D24468" i="1"/>
  <c r="E24468" i="1" s="1"/>
  <c r="D24467" i="1"/>
  <c r="E24467" i="1" s="1"/>
  <c r="D24466" i="1"/>
  <c r="E24466" i="1" s="1"/>
  <c r="D24465" i="1"/>
  <c r="E24465" i="1" s="1"/>
  <c r="E24464" i="1"/>
  <c r="D24464" i="1"/>
  <c r="E24463" i="1"/>
  <c r="D24463" i="1"/>
  <c r="E24462" i="1"/>
  <c r="D24462" i="1"/>
  <c r="D24461" i="1"/>
  <c r="E24461" i="1" s="1"/>
  <c r="E24460" i="1"/>
  <c r="D24460" i="1"/>
  <c r="E24459" i="1"/>
  <c r="D24459" i="1"/>
  <c r="D24458" i="1"/>
  <c r="E24458" i="1" s="1"/>
  <c r="D24457" i="1"/>
  <c r="E24457" i="1" s="1"/>
  <c r="D24456" i="1"/>
  <c r="E24456" i="1" s="1"/>
  <c r="D24455" i="1"/>
  <c r="E24455" i="1" s="1"/>
  <c r="D24454" i="1"/>
  <c r="E24454" i="1" s="1"/>
  <c r="D24453" i="1"/>
  <c r="E24453" i="1" s="1"/>
  <c r="E24452" i="1"/>
  <c r="D24452" i="1"/>
  <c r="E24451" i="1"/>
  <c r="D24451" i="1"/>
  <c r="E24450" i="1"/>
  <c r="D24450" i="1"/>
  <c r="D24449" i="1"/>
  <c r="E24449" i="1" s="1"/>
  <c r="E24448" i="1"/>
  <c r="D24448" i="1"/>
  <c r="E24447" i="1"/>
  <c r="D24447" i="1"/>
  <c r="D24446" i="1"/>
  <c r="E24446" i="1" s="1"/>
  <c r="E24445" i="1"/>
  <c r="D24445" i="1"/>
  <c r="D24444" i="1"/>
  <c r="E24444" i="1" s="1"/>
  <c r="D24443" i="1"/>
  <c r="E24443" i="1" s="1"/>
  <c r="D24442" i="1"/>
  <c r="E24442" i="1" s="1"/>
  <c r="D24441" i="1"/>
  <c r="E24441" i="1" s="1"/>
  <c r="E24440" i="1"/>
  <c r="D24440" i="1"/>
  <c r="E24439" i="1"/>
  <c r="D24439" i="1"/>
  <c r="E24438" i="1"/>
  <c r="D24438" i="1"/>
  <c r="D24437" i="1"/>
  <c r="E24437" i="1" s="1"/>
  <c r="E24436" i="1"/>
  <c r="D24436" i="1"/>
  <c r="E24435" i="1"/>
  <c r="D24435" i="1"/>
  <c r="D24434" i="1"/>
  <c r="E24434" i="1" s="1"/>
  <c r="E24433" i="1"/>
  <c r="D24433" i="1"/>
  <c r="D24432" i="1"/>
  <c r="E24432" i="1" s="1"/>
  <c r="D24431" i="1"/>
  <c r="E24431" i="1" s="1"/>
  <c r="D24430" i="1"/>
  <c r="E24430" i="1" s="1"/>
  <c r="D24429" i="1"/>
  <c r="E24429" i="1" s="1"/>
  <c r="E24428" i="1"/>
  <c r="D24428" i="1"/>
  <c r="E24427" i="1"/>
  <c r="D24427" i="1"/>
  <c r="E24426" i="1"/>
  <c r="D24426" i="1"/>
  <c r="D24425" i="1"/>
  <c r="E24425" i="1" s="1"/>
  <c r="E24424" i="1"/>
  <c r="D24424" i="1"/>
  <c r="D24423" i="1"/>
  <c r="E24423" i="1" s="1"/>
  <c r="D24422" i="1"/>
  <c r="E24422" i="1" s="1"/>
  <c r="E24421" i="1"/>
  <c r="D24421" i="1"/>
  <c r="D24420" i="1"/>
  <c r="E24420" i="1" s="1"/>
  <c r="D24419" i="1"/>
  <c r="E24419" i="1" s="1"/>
  <c r="D24418" i="1"/>
  <c r="E24418" i="1" s="1"/>
  <c r="D24417" i="1"/>
  <c r="E24417" i="1" s="1"/>
  <c r="E24416" i="1"/>
  <c r="D24416" i="1"/>
  <c r="E24415" i="1"/>
  <c r="D24415" i="1"/>
  <c r="E24414" i="1"/>
  <c r="D24414" i="1"/>
  <c r="D24413" i="1"/>
  <c r="E24413" i="1" s="1"/>
  <c r="E24412" i="1"/>
  <c r="D24412" i="1"/>
  <c r="D24411" i="1"/>
  <c r="E24411" i="1" s="1"/>
  <c r="D24410" i="1"/>
  <c r="E24410" i="1" s="1"/>
  <c r="D24409" i="1"/>
  <c r="E24409" i="1" s="1"/>
  <c r="D24408" i="1"/>
  <c r="E24408" i="1" s="1"/>
  <c r="D24407" i="1"/>
  <c r="E24407" i="1" s="1"/>
  <c r="D24406" i="1"/>
  <c r="E24406" i="1" s="1"/>
  <c r="D24405" i="1"/>
  <c r="E24405" i="1" s="1"/>
  <c r="E24404" i="1"/>
  <c r="D24404" i="1"/>
  <c r="E24403" i="1"/>
  <c r="D24403" i="1"/>
  <c r="E24402" i="1"/>
  <c r="D24402" i="1"/>
  <c r="D24401" i="1"/>
  <c r="E24401" i="1" s="1"/>
  <c r="E24400" i="1"/>
  <c r="D24400" i="1"/>
  <c r="D24399" i="1"/>
  <c r="E24399" i="1" s="1"/>
  <c r="D24398" i="1"/>
  <c r="E24398" i="1" s="1"/>
  <c r="E24397" i="1"/>
  <c r="D24397" i="1"/>
  <c r="D24396" i="1"/>
  <c r="E24396" i="1" s="1"/>
  <c r="D24395" i="1"/>
  <c r="E24395" i="1" s="1"/>
  <c r="D24394" i="1"/>
  <c r="E24394" i="1" s="1"/>
  <c r="D24393" i="1"/>
  <c r="E24393" i="1" s="1"/>
  <c r="E24392" i="1"/>
  <c r="D24392" i="1"/>
  <c r="E24391" i="1"/>
  <c r="D24391" i="1"/>
  <c r="E24390" i="1"/>
  <c r="D24390" i="1"/>
  <c r="D24389" i="1"/>
  <c r="E24389" i="1" s="1"/>
  <c r="E24388" i="1"/>
  <c r="D24388" i="1"/>
  <c r="D24387" i="1"/>
  <c r="E24387" i="1" s="1"/>
  <c r="D24386" i="1"/>
  <c r="E24386" i="1" s="1"/>
  <c r="E24385" i="1"/>
  <c r="D24385" i="1"/>
  <c r="D24384" i="1"/>
  <c r="E24384" i="1" s="1"/>
  <c r="D24383" i="1"/>
  <c r="E24383" i="1" s="1"/>
  <c r="D24382" i="1"/>
  <c r="E24382" i="1" s="1"/>
  <c r="D24381" i="1"/>
  <c r="E24381" i="1" s="1"/>
  <c r="E24380" i="1"/>
  <c r="D24380" i="1"/>
  <c r="E24379" i="1"/>
  <c r="D24379" i="1"/>
  <c r="E24378" i="1"/>
  <c r="D24378" i="1"/>
  <c r="D24377" i="1"/>
  <c r="E24377" i="1" s="1"/>
  <c r="E24376" i="1"/>
  <c r="D24376" i="1"/>
  <c r="D24375" i="1"/>
  <c r="E24375" i="1" s="1"/>
  <c r="D24374" i="1"/>
  <c r="E24374" i="1" s="1"/>
  <c r="E24373" i="1"/>
  <c r="D24373" i="1"/>
  <c r="D24372" i="1"/>
  <c r="E24372" i="1" s="1"/>
  <c r="D24371" i="1"/>
  <c r="E24371" i="1" s="1"/>
  <c r="D24370" i="1"/>
  <c r="E24370" i="1" s="1"/>
  <c r="D24369" i="1"/>
  <c r="E24369" i="1" s="1"/>
  <c r="E24368" i="1"/>
  <c r="D24368" i="1"/>
  <c r="E24367" i="1"/>
  <c r="D24367" i="1"/>
  <c r="E24366" i="1"/>
  <c r="D24366" i="1"/>
  <c r="D24365" i="1"/>
  <c r="E24365" i="1" s="1"/>
  <c r="E24364" i="1"/>
  <c r="D24364" i="1"/>
  <c r="D24363" i="1"/>
  <c r="E24363" i="1" s="1"/>
  <c r="D24362" i="1"/>
  <c r="E24362" i="1" s="1"/>
  <c r="D24361" i="1"/>
  <c r="E24361" i="1" s="1"/>
  <c r="D24360" i="1"/>
  <c r="E24360" i="1" s="1"/>
  <c r="D24359" i="1"/>
  <c r="E24359" i="1" s="1"/>
  <c r="D24358" i="1"/>
  <c r="E24358" i="1" s="1"/>
  <c r="D24357" i="1"/>
  <c r="E24357" i="1" s="1"/>
  <c r="E24356" i="1"/>
  <c r="D24356" i="1"/>
  <c r="E24355" i="1"/>
  <c r="D24355" i="1"/>
  <c r="E24354" i="1"/>
  <c r="D24354" i="1"/>
  <c r="D24353" i="1"/>
  <c r="E24353" i="1" s="1"/>
  <c r="E24352" i="1"/>
  <c r="D24352" i="1"/>
  <c r="D24351" i="1"/>
  <c r="E24351" i="1" s="1"/>
  <c r="D24350" i="1"/>
  <c r="E24350" i="1" s="1"/>
  <c r="E24349" i="1"/>
  <c r="D24349" i="1"/>
  <c r="D24348" i="1"/>
  <c r="E24348" i="1" s="1"/>
  <c r="D24347" i="1"/>
  <c r="E24347" i="1" s="1"/>
  <c r="D24346" i="1"/>
  <c r="E24346" i="1" s="1"/>
  <c r="D24345" i="1"/>
  <c r="E24345" i="1" s="1"/>
  <c r="E24344" i="1"/>
  <c r="D24344" i="1"/>
  <c r="E24343" i="1"/>
  <c r="D24343" i="1"/>
  <c r="E24342" i="1"/>
  <c r="D24342" i="1"/>
  <c r="D24341" i="1"/>
  <c r="E24341" i="1" s="1"/>
  <c r="E24340" i="1"/>
  <c r="D24340" i="1"/>
  <c r="D24339" i="1"/>
  <c r="E24339" i="1" s="1"/>
  <c r="D24338" i="1"/>
  <c r="E24338" i="1" s="1"/>
  <c r="E24337" i="1"/>
  <c r="D24337" i="1"/>
  <c r="D24336" i="1"/>
  <c r="E24336" i="1" s="1"/>
  <c r="D24335" i="1"/>
  <c r="E24335" i="1" s="1"/>
  <c r="D24334" i="1"/>
  <c r="E24334" i="1" s="1"/>
  <c r="D24333" i="1"/>
  <c r="E24333" i="1" s="1"/>
  <c r="E24332" i="1"/>
  <c r="D24332" i="1"/>
  <c r="E24331" i="1"/>
  <c r="D24331" i="1"/>
  <c r="E24330" i="1"/>
  <c r="D24330" i="1"/>
  <c r="D24329" i="1"/>
  <c r="E24329" i="1" s="1"/>
  <c r="E24328" i="1"/>
  <c r="D24328" i="1"/>
  <c r="D24327" i="1"/>
  <c r="E24327" i="1" s="1"/>
  <c r="D24326" i="1"/>
  <c r="E24326" i="1" s="1"/>
  <c r="E24325" i="1"/>
  <c r="D24325" i="1"/>
  <c r="D24324" i="1"/>
  <c r="E24324" i="1" s="1"/>
  <c r="D24323" i="1"/>
  <c r="E24323" i="1" s="1"/>
  <c r="D24322" i="1"/>
  <c r="E24322" i="1" s="1"/>
  <c r="D24321" i="1"/>
  <c r="E24321" i="1" s="1"/>
  <c r="E24320" i="1"/>
  <c r="D24320" i="1"/>
  <c r="E24319" i="1"/>
  <c r="D24319" i="1"/>
  <c r="E24318" i="1"/>
  <c r="D24318" i="1"/>
  <c r="D24317" i="1"/>
  <c r="E24317" i="1" s="1"/>
  <c r="E24316" i="1"/>
  <c r="D24316" i="1"/>
  <c r="D24315" i="1"/>
  <c r="E24315" i="1" s="1"/>
  <c r="D24314" i="1"/>
  <c r="E24314" i="1" s="1"/>
  <c r="D24313" i="1"/>
  <c r="E24313" i="1" s="1"/>
  <c r="D24312" i="1"/>
  <c r="E24312" i="1" s="1"/>
  <c r="D24311" i="1"/>
  <c r="E24311" i="1" s="1"/>
  <c r="D24310" i="1"/>
  <c r="E24310" i="1" s="1"/>
  <c r="D24309" i="1"/>
  <c r="E24309" i="1" s="1"/>
  <c r="E24308" i="1"/>
  <c r="D24308" i="1"/>
  <c r="E24307" i="1"/>
  <c r="D24307" i="1"/>
  <c r="E24306" i="1"/>
  <c r="D24306" i="1"/>
  <c r="D24305" i="1"/>
  <c r="E24305" i="1" s="1"/>
  <c r="E24304" i="1"/>
  <c r="D24304" i="1"/>
  <c r="D24303" i="1"/>
  <c r="E24303" i="1" s="1"/>
  <c r="D24302" i="1"/>
  <c r="E24302" i="1" s="1"/>
  <c r="E24301" i="1"/>
  <c r="D24301" i="1"/>
  <c r="D24300" i="1"/>
  <c r="E24300" i="1" s="1"/>
  <c r="D24299" i="1"/>
  <c r="E24299" i="1" s="1"/>
  <c r="D24298" i="1"/>
  <c r="E24298" i="1" s="1"/>
  <c r="D24297" i="1"/>
  <c r="E24297" i="1" s="1"/>
  <c r="E24296" i="1"/>
  <c r="D24296" i="1"/>
  <c r="E24295" i="1"/>
  <c r="D24295" i="1"/>
  <c r="E24294" i="1"/>
  <c r="D24294" i="1"/>
  <c r="D24293" i="1"/>
  <c r="E24293" i="1" s="1"/>
  <c r="E24292" i="1"/>
  <c r="D24292" i="1"/>
  <c r="D24291" i="1"/>
  <c r="E24291" i="1" s="1"/>
  <c r="D24290" i="1"/>
  <c r="E24290" i="1" s="1"/>
  <c r="E24289" i="1"/>
  <c r="D24289" i="1"/>
  <c r="D24288" i="1"/>
  <c r="E24288" i="1" s="1"/>
  <c r="D24287" i="1"/>
  <c r="E24287" i="1" s="1"/>
  <c r="D24286" i="1"/>
  <c r="E24286" i="1" s="1"/>
  <c r="D24285" i="1"/>
  <c r="E24285" i="1" s="1"/>
  <c r="E24284" i="1"/>
  <c r="D24284" i="1"/>
  <c r="E24283" i="1"/>
  <c r="D24283" i="1"/>
  <c r="E24282" i="1"/>
  <c r="D24282" i="1"/>
  <c r="D24281" i="1"/>
  <c r="E24281" i="1" s="1"/>
  <c r="E24280" i="1"/>
  <c r="D24280" i="1"/>
  <c r="D24279" i="1"/>
  <c r="E24279" i="1" s="1"/>
  <c r="D24278" i="1"/>
  <c r="E24278" i="1" s="1"/>
  <c r="E24277" i="1"/>
  <c r="D24277" i="1"/>
  <c r="D24276" i="1"/>
  <c r="E24276" i="1" s="1"/>
  <c r="D24275" i="1"/>
  <c r="E24275" i="1" s="1"/>
  <c r="D24274" i="1"/>
  <c r="E24274" i="1" s="1"/>
  <c r="D24273" i="1"/>
  <c r="E24273" i="1" s="1"/>
  <c r="E24272" i="1"/>
  <c r="D24272" i="1"/>
  <c r="E24271" i="1"/>
  <c r="D24271" i="1"/>
  <c r="E24270" i="1"/>
  <c r="D24270" i="1"/>
  <c r="D24269" i="1"/>
  <c r="E24269" i="1" s="1"/>
  <c r="E24268" i="1"/>
  <c r="D24268" i="1"/>
  <c r="D24267" i="1"/>
  <c r="E24267" i="1" s="1"/>
  <c r="D24266" i="1"/>
  <c r="E24266" i="1" s="1"/>
  <c r="D24265" i="1"/>
  <c r="E24265" i="1" s="1"/>
  <c r="D24264" i="1"/>
  <c r="E24264" i="1" s="1"/>
  <c r="D24263" i="1"/>
  <c r="E24263" i="1" s="1"/>
  <c r="D24262" i="1"/>
  <c r="E24262" i="1" s="1"/>
  <c r="D24261" i="1"/>
  <c r="E24261" i="1" s="1"/>
  <c r="E24260" i="1"/>
  <c r="D24260" i="1"/>
  <c r="E24259" i="1"/>
  <c r="D24259" i="1"/>
  <c r="E24258" i="1"/>
  <c r="D24258" i="1"/>
  <c r="D24257" i="1"/>
  <c r="E24257" i="1" s="1"/>
  <c r="E24256" i="1"/>
  <c r="D24256" i="1"/>
  <c r="D24255" i="1"/>
  <c r="E24255" i="1" s="1"/>
  <c r="D24254" i="1"/>
  <c r="E24254" i="1" s="1"/>
  <c r="E24253" i="1"/>
  <c r="D24253" i="1"/>
  <c r="D24252" i="1"/>
  <c r="E24252" i="1" s="1"/>
  <c r="D24251" i="1"/>
  <c r="E24251" i="1" s="1"/>
  <c r="D24250" i="1"/>
  <c r="E24250" i="1" s="1"/>
  <c r="D24249" i="1"/>
  <c r="E24249" i="1" s="1"/>
  <c r="E24248" i="1"/>
  <c r="D24248" i="1"/>
  <c r="E24247" i="1"/>
  <c r="D24247" i="1"/>
  <c r="E24246" i="1"/>
  <c r="D24246" i="1"/>
  <c r="D24245" i="1"/>
  <c r="E24245" i="1" s="1"/>
  <c r="E24244" i="1"/>
  <c r="D24244" i="1"/>
  <c r="D24243" i="1"/>
  <c r="E24243" i="1" s="1"/>
  <c r="D24242" i="1"/>
  <c r="E24242" i="1" s="1"/>
  <c r="D24241" i="1"/>
  <c r="E24241" i="1" s="1"/>
  <c r="D24240" i="1"/>
  <c r="E24240" i="1" s="1"/>
  <c r="D24239" i="1"/>
  <c r="E24239" i="1" s="1"/>
  <c r="D24238" i="1"/>
  <c r="E24238" i="1" s="1"/>
  <c r="D24237" i="1"/>
  <c r="E24237" i="1" s="1"/>
  <c r="E24236" i="1"/>
  <c r="D24236" i="1"/>
  <c r="E24235" i="1"/>
  <c r="D24235" i="1"/>
  <c r="E24234" i="1"/>
  <c r="D24234" i="1"/>
  <c r="D24233" i="1"/>
  <c r="E24233" i="1" s="1"/>
  <c r="E24232" i="1"/>
  <c r="D24232" i="1"/>
  <c r="D24231" i="1"/>
  <c r="E24231" i="1" s="1"/>
  <c r="E24230" i="1"/>
  <c r="D24230" i="1"/>
  <c r="E24229" i="1"/>
  <c r="D24229" i="1"/>
  <c r="D24228" i="1"/>
  <c r="E24228" i="1" s="1"/>
  <c r="D24227" i="1"/>
  <c r="E24227" i="1" s="1"/>
  <c r="D24226" i="1"/>
  <c r="E24226" i="1" s="1"/>
  <c r="D24225" i="1"/>
  <c r="E24225" i="1" s="1"/>
  <c r="E24224" i="1"/>
  <c r="D24224" i="1"/>
  <c r="E24223" i="1"/>
  <c r="D24223" i="1"/>
  <c r="E24222" i="1"/>
  <c r="D24222" i="1"/>
  <c r="D24221" i="1"/>
  <c r="E24221" i="1" s="1"/>
  <c r="E24220" i="1"/>
  <c r="D24220" i="1"/>
  <c r="E24219" i="1"/>
  <c r="D24219" i="1"/>
  <c r="E24218" i="1"/>
  <c r="D24218" i="1"/>
  <c r="D24217" i="1"/>
  <c r="E24217" i="1" s="1"/>
  <c r="D24216" i="1"/>
  <c r="E24216" i="1" s="1"/>
  <c r="D24215" i="1"/>
  <c r="E24215" i="1" s="1"/>
  <c r="D24214" i="1"/>
  <c r="E24214" i="1" s="1"/>
  <c r="D24213" i="1"/>
  <c r="E24213" i="1" s="1"/>
  <c r="E24212" i="1"/>
  <c r="D24212" i="1"/>
  <c r="E24211" i="1"/>
  <c r="D24211" i="1"/>
  <c r="E24210" i="1"/>
  <c r="D24210" i="1"/>
  <c r="D24209" i="1"/>
  <c r="E24209" i="1" s="1"/>
  <c r="E24208" i="1"/>
  <c r="D24208" i="1"/>
  <c r="E24207" i="1"/>
  <c r="D24207" i="1"/>
  <c r="E24206" i="1"/>
  <c r="D24206" i="1"/>
  <c r="D24205" i="1"/>
  <c r="E24205" i="1" s="1"/>
  <c r="D24204" i="1"/>
  <c r="E24204" i="1" s="1"/>
  <c r="D24203" i="1"/>
  <c r="E24203" i="1" s="1"/>
  <c r="D24202" i="1"/>
  <c r="E24202" i="1" s="1"/>
  <c r="D24201" i="1"/>
  <c r="E24201" i="1" s="1"/>
  <c r="E24200" i="1"/>
  <c r="D24200" i="1"/>
  <c r="E24199" i="1"/>
  <c r="D24199" i="1"/>
  <c r="E24198" i="1"/>
  <c r="D24198" i="1"/>
  <c r="D24197" i="1"/>
  <c r="E24197" i="1" s="1"/>
  <c r="E24196" i="1"/>
  <c r="D24196" i="1"/>
  <c r="D24195" i="1"/>
  <c r="E24195" i="1" s="1"/>
  <c r="D24194" i="1"/>
  <c r="E24194" i="1" s="1"/>
  <c r="D24193" i="1"/>
  <c r="E24193" i="1" s="1"/>
  <c r="D24192" i="1"/>
  <c r="E24192" i="1" s="1"/>
  <c r="D24191" i="1"/>
  <c r="E24191" i="1" s="1"/>
  <c r="D24190" i="1"/>
  <c r="E24190" i="1" s="1"/>
  <c r="D24189" i="1"/>
  <c r="E24189" i="1" s="1"/>
  <c r="E24188" i="1"/>
  <c r="D24188" i="1"/>
  <c r="E24187" i="1"/>
  <c r="D24187" i="1"/>
  <c r="E24186" i="1"/>
  <c r="D24186" i="1"/>
  <c r="D24185" i="1"/>
  <c r="E24185" i="1" s="1"/>
  <c r="E24184" i="1"/>
  <c r="D24184" i="1"/>
  <c r="E24183" i="1"/>
  <c r="D24183" i="1"/>
  <c r="D24182" i="1"/>
  <c r="E24182" i="1" s="1"/>
  <c r="E24181" i="1"/>
  <c r="D24181" i="1"/>
  <c r="D24180" i="1"/>
  <c r="E24180" i="1" s="1"/>
  <c r="D24179" i="1"/>
  <c r="E24179" i="1" s="1"/>
  <c r="D24178" i="1"/>
  <c r="E24178" i="1" s="1"/>
  <c r="D24177" i="1"/>
  <c r="E24177" i="1" s="1"/>
  <c r="E24176" i="1"/>
  <c r="D24176" i="1"/>
  <c r="E24175" i="1"/>
  <c r="D24175" i="1"/>
  <c r="E24174" i="1"/>
  <c r="D24174" i="1"/>
  <c r="D24173" i="1"/>
  <c r="E24173" i="1" s="1"/>
  <c r="E24172" i="1"/>
  <c r="D24172" i="1"/>
  <c r="D24171" i="1"/>
  <c r="E24171" i="1" s="1"/>
  <c r="D24170" i="1"/>
  <c r="E24170" i="1" s="1"/>
  <c r="D24169" i="1"/>
  <c r="E24169" i="1" s="1"/>
  <c r="D24168" i="1"/>
  <c r="E24168" i="1" s="1"/>
  <c r="D24167" i="1"/>
  <c r="E24167" i="1" s="1"/>
  <c r="D24166" i="1"/>
  <c r="E24166" i="1" s="1"/>
  <c r="D24165" i="1"/>
  <c r="E24165" i="1" s="1"/>
  <c r="E24164" i="1"/>
  <c r="D24164" i="1"/>
  <c r="E24163" i="1"/>
  <c r="D24163" i="1"/>
  <c r="E24162" i="1"/>
  <c r="D24162" i="1"/>
  <c r="D24161" i="1"/>
  <c r="E24161" i="1" s="1"/>
  <c r="E24160" i="1"/>
  <c r="D24160" i="1"/>
  <c r="D24159" i="1"/>
  <c r="E24159" i="1" s="1"/>
  <c r="D24158" i="1"/>
  <c r="E24158" i="1" s="1"/>
  <c r="D24157" i="1"/>
  <c r="E24157" i="1" s="1"/>
  <c r="D24156" i="1"/>
  <c r="E24156" i="1" s="1"/>
  <c r="D24155" i="1"/>
  <c r="E24155" i="1" s="1"/>
  <c r="D24154" i="1"/>
  <c r="E24154" i="1" s="1"/>
  <c r="D24153" i="1"/>
  <c r="E24153" i="1" s="1"/>
  <c r="E24152" i="1"/>
  <c r="D24152" i="1"/>
  <c r="E24151" i="1"/>
  <c r="D24151" i="1"/>
  <c r="E24150" i="1"/>
  <c r="D24150" i="1"/>
  <c r="D24149" i="1"/>
  <c r="E24149" i="1" s="1"/>
  <c r="E24148" i="1"/>
  <c r="D24148" i="1"/>
  <c r="D24147" i="1"/>
  <c r="E24147" i="1" s="1"/>
  <c r="D24146" i="1"/>
  <c r="E24146" i="1" s="1"/>
  <c r="D24145" i="1"/>
  <c r="E24145" i="1" s="1"/>
  <c r="D24144" i="1"/>
  <c r="E24144" i="1" s="1"/>
  <c r="D24143" i="1"/>
  <c r="E24143" i="1" s="1"/>
  <c r="D24142" i="1"/>
  <c r="E24142" i="1" s="1"/>
  <c r="D24141" i="1"/>
  <c r="E24141" i="1" s="1"/>
  <c r="E24140" i="1"/>
  <c r="D24140" i="1"/>
  <c r="E24139" i="1"/>
  <c r="D24139" i="1"/>
  <c r="E24138" i="1"/>
  <c r="D24138" i="1"/>
  <c r="D24137" i="1"/>
  <c r="E24137" i="1" s="1"/>
  <c r="E24136" i="1"/>
  <c r="D24136" i="1"/>
  <c r="D24135" i="1"/>
  <c r="E24135" i="1" s="1"/>
  <c r="D24134" i="1"/>
  <c r="E24134" i="1" s="1"/>
  <c r="D24133" i="1"/>
  <c r="E24133" i="1" s="1"/>
  <c r="D24132" i="1"/>
  <c r="E24132" i="1" s="1"/>
  <c r="D24131" i="1"/>
  <c r="E24131" i="1" s="1"/>
  <c r="D24130" i="1"/>
  <c r="E24130" i="1" s="1"/>
  <c r="D24129" i="1"/>
  <c r="E24129" i="1" s="1"/>
  <c r="E24128" i="1"/>
  <c r="D24128" i="1"/>
  <c r="E24127" i="1"/>
  <c r="D24127" i="1"/>
  <c r="E24126" i="1"/>
  <c r="D24126" i="1"/>
  <c r="D24125" i="1"/>
  <c r="E24125" i="1" s="1"/>
  <c r="E24124" i="1"/>
  <c r="D24124" i="1"/>
  <c r="D24123" i="1"/>
  <c r="E24123" i="1" s="1"/>
  <c r="D24122" i="1"/>
  <c r="E24122" i="1" s="1"/>
  <c r="D24121" i="1"/>
  <c r="E24121" i="1" s="1"/>
  <c r="D24120" i="1"/>
  <c r="E24120" i="1" s="1"/>
  <c r="D24119" i="1"/>
  <c r="E24119" i="1" s="1"/>
  <c r="D24118" i="1"/>
  <c r="E24118" i="1" s="1"/>
  <c r="D24117" i="1"/>
  <c r="E24117" i="1" s="1"/>
  <c r="D24116" i="1"/>
  <c r="E24116" i="1" s="1"/>
  <c r="E24115" i="1"/>
  <c r="D24115" i="1"/>
  <c r="E24114" i="1"/>
  <c r="D24114" i="1"/>
  <c r="E24113" i="1"/>
  <c r="D24113" i="1"/>
  <c r="E24112" i="1"/>
  <c r="D24112" i="1"/>
  <c r="D24111" i="1"/>
  <c r="E24111" i="1" s="1"/>
  <c r="D24110" i="1"/>
  <c r="E24110" i="1" s="1"/>
  <c r="D24109" i="1"/>
  <c r="E24109" i="1" s="1"/>
  <c r="D24108" i="1"/>
  <c r="E24108" i="1" s="1"/>
  <c r="D24107" i="1"/>
  <c r="E24107" i="1" s="1"/>
  <c r="D24106" i="1"/>
  <c r="E24106" i="1" s="1"/>
  <c r="D24105" i="1"/>
  <c r="E24105" i="1" s="1"/>
  <c r="D24104" i="1"/>
  <c r="E24104" i="1" s="1"/>
  <c r="E24103" i="1"/>
  <c r="D24103" i="1"/>
  <c r="E24102" i="1"/>
  <c r="D24102" i="1"/>
  <c r="D24101" i="1"/>
  <c r="E24101" i="1" s="1"/>
  <c r="E24100" i="1"/>
  <c r="D24100" i="1"/>
  <c r="E24099" i="1"/>
  <c r="D24099" i="1"/>
  <c r="D24098" i="1"/>
  <c r="E24098" i="1" s="1"/>
  <c r="D24097" i="1"/>
  <c r="E24097" i="1" s="1"/>
  <c r="D24096" i="1"/>
  <c r="E24096" i="1" s="1"/>
  <c r="D24095" i="1"/>
  <c r="E24095" i="1" s="1"/>
  <c r="D24094" i="1"/>
  <c r="E24094" i="1" s="1"/>
  <c r="D24093" i="1"/>
  <c r="E24093" i="1" s="1"/>
  <c r="E24092" i="1"/>
  <c r="D24092" i="1"/>
  <c r="E24091" i="1"/>
  <c r="D24091" i="1"/>
  <c r="E24090" i="1"/>
  <c r="D24090" i="1"/>
  <c r="D24089" i="1"/>
  <c r="E24089" i="1" s="1"/>
  <c r="E24088" i="1"/>
  <c r="D24088" i="1"/>
  <c r="D24087" i="1"/>
  <c r="E24087" i="1" s="1"/>
  <c r="E24086" i="1"/>
  <c r="D24086" i="1"/>
  <c r="E24085" i="1"/>
  <c r="D24085" i="1"/>
  <c r="D24084" i="1"/>
  <c r="E24084" i="1" s="1"/>
  <c r="D24083" i="1"/>
  <c r="E24083" i="1" s="1"/>
  <c r="D24082" i="1"/>
  <c r="E24082" i="1" s="1"/>
  <c r="D24081" i="1"/>
  <c r="E24081" i="1" s="1"/>
  <c r="D24080" i="1"/>
  <c r="E24080" i="1" s="1"/>
  <c r="E24079" i="1"/>
  <c r="D24079" i="1"/>
  <c r="E24078" i="1"/>
  <c r="D24078" i="1"/>
  <c r="D24077" i="1"/>
  <c r="E24077" i="1" s="1"/>
  <c r="E24076" i="1"/>
  <c r="D24076" i="1"/>
  <c r="D24075" i="1"/>
  <c r="E24075" i="1" s="1"/>
  <c r="D24074" i="1"/>
  <c r="E24074" i="1" s="1"/>
  <c r="D24073" i="1"/>
  <c r="E24073" i="1" s="1"/>
  <c r="D24072" i="1"/>
  <c r="E24072" i="1" s="1"/>
  <c r="D24071" i="1"/>
  <c r="E24071" i="1" s="1"/>
  <c r="D24070" i="1"/>
  <c r="E24070" i="1" s="1"/>
  <c r="D24069" i="1"/>
  <c r="E24069" i="1" s="1"/>
  <c r="D24068" i="1"/>
  <c r="E24068" i="1" s="1"/>
  <c r="E24067" i="1"/>
  <c r="D24067" i="1"/>
  <c r="E24066" i="1"/>
  <c r="D24066" i="1"/>
  <c r="D24065" i="1"/>
  <c r="E24065" i="1" s="1"/>
  <c r="E24064" i="1"/>
  <c r="D24064" i="1"/>
  <c r="D24063" i="1"/>
  <c r="E24063" i="1" s="1"/>
  <c r="D24062" i="1"/>
  <c r="E24062" i="1" s="1"/>
  <c r="D24061" i="1"/>
  <c r="E24061" i="1" s="1"/>
  <c r="D24060" i="1"/>
  <c r="E24060" i="1" s="1"/>
  <c r="D24059" i="1"/>
  <c r="E24059" i="1" s="1"/>
  <c r="D24058" i="1"/>
  <c r="E24058" i="1" s="1"/>
  <c r="D24057" i="1"/>
  <c r="E24057" i="1" s="1"/>
  <c r="E24056" i="1"/>
  <c r="D24056" i="1"/>
  <c r="E24055" i="1"/>
  <c r="D24055" i="1"/>
  <c r="E24054" i="1"/>
  <c r="D24054" i="1"/>
  <c r="D24053" i="1"/>
  <c r="E24053" i="1" s="1"/>
  <c r="D24052" i="1"/>
  <c r="E24052" i="1" s="1"/>
  <c r="D24051" i="1"/>
  <c r="E24051" i="1" s="1"/>
  <c r="D24050" i="1"/>
  <c r="E24050" i="1" s="1"/>
  <c r="D24049" i="1"/>
  <c r="E24049" i="1" s="1"/>
  <c r="D24048" i="1"/>
  <c r="E24048" i="1" s="1"/>
  <c r="D24047" i="1"/>
  <c r="E24047" i="1" s="1"/>
  <c r="D24046" i="1"/>
  <c r="E24046" i="1" s="1"/>
  <c r="D24045" i="1"/>
  <c r="E24045" i="1" s="1"/>
  <c r="D24044" i="1"/>
  <c r="E24044" i="1" s="1"/>
  <c r="E24043" i="1"/>
  <c r="D24043" i="1"/>
  <c r="E24042" i="1"/>
  <c r="D24042" i="1"/>
  <c r="E24041" i="1"/>
  <c r="D24041" i="1"/>
  <c r="D24040" i="1"/>
  <c r="E24040" i="1" s="1"/>
  <c r="D24039" i="1"/>
  <c r="E24039" i="1" s="1"/>
  <c r="D24038" i="1"/>
  <c r="E24038" i="1" s="1"/>
  <c r="D24037" i="1"/>
  <c r="E24037" i="1" s="1"/>
  <c r="D24036" i="1"/>
  <c r="E24036" i="1" s="1"/>
  <c r="D24035" i="1"/>
  <c r="E24035" i="1" s="1"/>
  <c r="D24034" i="1"/>
  <c r="E24034" i="1" s="1"/>
  <c r="D24033" i="1"/>
  <c r="E24033" i="1" s="1"/>
  <c r="D24032" i="1"/>
  <c r="E24032" i="1" s="1"/>
  <c r="E24031" i="1"/>
  <c r="D24031" i="1"/>
  <c r="E24030" i="1"/>
  <c r="D24030" i="1"/>
  <c r="D24029" i="1"/>
  <c r="E24029" i="1" s="1"/>
  <c r="E24028" i="1"/>
  <c r="D24028" i="1"/>
  <c r="E24027" i="1"/>
  <c r="D24027" i="1"/>
  <c r="D24026" i="1"/>
  <c r="E24026" i="1" s="1"/>
  <c r="D24025" i="1"/>
  <c r="E24025" i="1" s="1"/>
  <c r="D24024" i="1"/>
  <c r="E24024" i="1" s="1"/>
  <c r="D24023" i="1"/>
  <c r="E24023" i="1" s="1"/>
  <c r="D24022" i="1"/>
  <c r="E24022" i="1" s="1"/>
  <c r="D24021" i="1"/>
  <c r="E24021" i="1" s="1"/>
  <c r="D24020" i="1"/>
  <c r="E24020" i="1" s="1"/>
  <c r="E24019" i="1"/>
  <c r="D24019" i="1"/>
  <c r="E24018" i="1"/>
  <c r="D24018" i="1"/>
  <c r="D24017" i="1"/>
  <c r="E24017" i="1" s="1"/>
  <c r="D24016" i="1"/>
  <c r="E24016" i="1" s="1"/>
  <c r="D24015" i="1"/>
  <c r="E24015" i="1" s="1"/>
  <c r="E24014" i="1"/>
  <c r="D24014" i="1"/>
  <c r="E24013" i="1"/>
  <c r="D24013" i="1"/>
  <c r="D24012" i="1"/>
  <c r="E24012" i="1" s="1"/>
  <c r="D24011" i="1"/>
  <c r="E24011" i="1" s="1"/>
  <c r="D24010" i="1"/>
  <c r="E24010" i="1" s="1"/>
  <c r="D24009" i="1"/>
  <c r="E24009" i="1" s="1"/>
  <c r="D24008" i="1"/>
  <c r="E24008" i="1" s="1"/>
  <c r="E24007" i="1"/>
  <c r="D24007" i="1"/>
  <c r="E24006" i="1"/>
  <c r="D24006" i="1"/>
  <c r="D24005" i="1"/>
  <c r="E24005" i="1" s="1"/>
  <c r="D24004" i="1"/>
  <c r="E24004" i="1" s="1"/>
  <c r="D24003" i="1"/>
  <c r="E24003" i="1" s="1"/>
  <c r="D24002" i="1"/>
  <c r="E24002" i="1" s="1"/>
  <c r="D24001" i="1"/>
  <c r="E24001" i="1" s="1"/>
  <c r="D24000" i="1"/>
  <c r="E24000" i="1" s="1"/>
  <c r="D23999" i="1"/>
  <c r="E23999" i="1" s="1"/>
  <c r="D23998" i="1"/>
  <c r="E23998" i="1" s="1"/>
  <c r="D23997" i="1"/>
  <c r="E23997" i="1" s="1"/>
  <c r="D23996" i="1"/>
  <c r="E23996" i="1" s="1"/>
  <c r="E23995" i="1"/>
  <c r="D23995" i="1"/>
  <c r="D23994" i="1"/>
  <c r="E23994" i="1" s="1"/>
  <c r="D23993" i="1"/>
  <c r="E23993" i="1" s="1"/>
  <c r="D23992" i="1"/>
  <c r="E23992" i="1" s="1"/>
  <c r="D23991" i="1"/>
  <c r="E23991" i="1" s="1"/>
  <c r="D23990" i="1"/>
  <c r="E23990" i="1" s="1"/>
  <c r="D23989" i="1"/>
  <c r="E23989" i="1" s="1"/>
  <c r="D23988" i="1"/>
  <c r="E23988" i="1" s="1"/>
  <c r="D23987" i="1"/>
  <c r="E23987" i="1" s="1"/>
  <c r="D23986" i="1"/>
  <c r="E23986" i="1" s="1"/>
  <c r="D23985" i="1"/>
  <c r="E23985" i="1" s="1"/>
  <c r="D23984" i="1"/>
  <c r="E23984" i="1" s="1"/>
  <c r="E23983" i="1"/>
  <c r="D23983" i="1"/>
  <c r="D23982" i="1"/>
  <c r="E23982" i="1" s="1"/>
  <c r="E23981" i="1"/>
  <c r="D23981" i="1"/>
  <c r="E23980" i="1"/>
  <c r="D23980" i="1"/>
  <c r="D23979" i="1"/>
  <c r="E23979" i="1" s="1"/>
  <c r="E23978" i="1"/>
  <c r="D23978" i="1"/>
  <c r="E23977" i="1"/>
  <c r="D23977" i="1"/>
  <c r="D23976" i="1"/>
  <c r="E23976" i="1" s="1"/>
  <c r="D23975" i="1"/>
  <c r="E23975" i="1" s="1"/>
  <c r="D23974" i="1"/>
  <c r="E23974" i="1" s="1"/>
  <c r="D23973" i="1"/>
  <c r="E23973" i="1" s="1"/>
  <c r="D23972" i="1"/>
  <c r="E23972" i="1" s="1"/>
  <c r="E23971" i="1"/>
  <c r="D23971" i="1"/>
  <c r="E23970" i="1"/>
  <c r="D23970" i="1"/>
  <c r="D23969" i="1"/>
  <c r="E23969" i="1" s="1"/>
  <c r="D23968" i="1"/>
  <c r="E23968" i="1" s="1"/>
  <c r="D23967" i="1"/>
  <c r="E23967" i="1" s="1"/>
  <c r="D23966" i="1"/>
  <c r="E23966" i="1" s="1"/>
  <c r="D23965" i="1"/>
  <c r="E23965" i="1" s="1"/>
  <c r="D23964" i="1"/>
  <c r="E23964" i="1" s="1"/>
  <c r="D23963" i="1"/>
  <c r="E23963" i="1" s="1"/>
  <c r="D23962" i="1"/>
  <c r="E23962" i="1" s="1"/>
  <c r="D23961" i="1"/>
  <c r="E23961" i="1" s="1"/>
  <c r="E23960" i="1"/>
  <c r="D23960" i="1"/>
  <c r="E23959" i="1"/>
  <c r="D23959" i="1"/>
  <c r="D23958" i="1"/>
  <c r="E23958" i="1" s="1"/>
  <c r="D23957" i="1"/>
  <c r="E23957" i="1" s="1"/>
  <c r="D23956" i="1"/>
  <c r="E23956" i="1" s="1"/>
  <c r="D23955" i="1"/>
  <c r="E23955" i="1" s="1"/>
  <c r="E23954" i="1"/>
  <c r="D23954" i="1"/>
  <c r="E23953" i="1"/>
  <c r="D23953" i="1"/>
  <c r="D23952" i="1"/>
  <c r="E23952" i="1" s="1"/>
  <c r="D23951" i="1"/>
  <c r="E23951" i="1" s="1"/>
  <c r="D23950" i="1"/>
  <c r="E23950" i="1" s="1"/>
  <c r="D23949" i="1"/>
  <c r="E23949" i="1" s="1"/>
  <c r="D23948" i="1"/>
  <c r="E23948" i="1" s="1"/>
  <c r="E23947" i="1"/>
  <c r="D23947" i="1"/>
  <c r="D23946" i="1"/>
  <c r="E23946" i="1" s="1"/>
  <c r="D23945" i="1"/>
  <c r="E23945" i="1" s="1"/>
  <c r="E23944" i="1"/>
  <c r="D23944" i="1"/>
  <c r="E23943" i="1"/>
  <c r="D23943" i="1"/>
  <c r="D23942" i="1"/>
  <c r="E23942" i="1" s="1"/>
  <c r="D23941" i="1"/>
  <c r="E23941" i="1" s="1"/>
  <c r="D23940" i="1"/>
  <c r="E23940" i="1" s="1"/>
  <c r="D23939" i="1"/>
  <c r="E23939" i="1" s="1"/>
  <c r="D23938" i="1"/>
  <c r="E23938" i="1" s="1"/>
  <c r="D23937" i="1"/>
  <c r="E23937" i="1" s="1"/>
  <c r="E23936" i="1"/>
  <c r="D23936" i="1"/>
  <c r="E23935" i="1"/>
  <c r="D23935" i="1"/>
  <c r="D23934" i="1"/>
  <c r="E23934" i="1" s="1"/>
  <c r="E23933" i="1"/>
  <c r="D23933" i="1"/>
  <c r="E23932" i="1"/>
  <c r="D23932" i="1"/>
  <c r="D23931" i="1"/>
  <c r="E23931" i="1" s="1"/>
  <c r="D23930" i="1"/>
  <c r="E23930" i="1" s="1"/>
  <c r="D23929" i="1"/>
  <c r="E23929" i="1" s="1"/>
  <c r="D23928" i="1"/>
  <c r="E23928" i="1" s="1"/>
  <c r="D23927" i="1"/>
  <c r="E23927" i="1" s="1"/>
  <c r="D23926" i="1"/>
  <c r="E23926" i="1" s="1"/>
  <c r="D23925" i="1"/>
  <c r="E23925" i="1" s="1"/>
  <c r="D23924" i="1"/>
  <c r="E23924" i="1" s="1"/>
  <c r="D23923" i="1"/>
  <c r="E23923" i="1" s="1"/>
  <c r="D23922" i="1"/>
  <c r="E23922" i="1" s="1"/>
  <c r="D23921" i="1"/>
  <c r="E23921" i="1" s="1"/>
  <c r="D23920" i="1"/>
  <c r="E23920" i="1" s="1"/>
  <c r="D23919" i="1"/>
  <c r="E23919" i="1" s="1"/>
  <c r="D23918" i="1"/>
  <c r="E23918" i="1" s="1"/>
  <c r="E23917" i="1"/>
  <c r="D23917" i="1"/>
  <c r="D23916" i="1"/>
  <c r="E23916" i="1" s="1"/>
  <c r="D23915" i="1"/>
  <c r="E23915" i="1" s="1"/>
  <c r="D23914" i="1"/>
  <c r="E23914" i="1" s="1"/>
  <c r="D23913" i="1"/>
  <c r="E23913" i="1" s="1"/>
  <c r="E23912" i="1"/>
  <c r="D23912" i="1"/>
  <c r="E23911" i="1"/>
  <c r="D23911" i="1"/>
  <c r="D23910" i="1"/>
  <c r="E23910" i="1" s="1"/>
  <c r="E23909" i="1"/>
  <c r="D23909" i="1"/>
  <c r="E23908" i="1"/>
  <c r="D23908" i="1"/>
  <c r="D23907" i="1"/>
  <c r="E23907" i="1" s="1"/>
  <c r="E23906" i="1"/>
  <c r="D23906" i="1"/>
  <c r="E23905" i="1"/>
  <c r="D23905" i="1"/>
  <c r="D23904" i="1"/>
  <c r="E23904" i="1" s="1"/>
  <c r="D23903" i="1"/>
  <c r="E23903" i="1" s="1"/>
  <c r="D23902" i="1"/>
  <c r="E23902" i="1" s="1"/>
  <c r="E23901" i="1"/>
  <c r="D23901" i="1"/>
  <c r="D23900" i="1"/>
  <c r="E23900" i="1" s="1"/>
  <c r="D23899" i="1"/>
  <c r="E23899" i="1" s="1"/>
  <c r="D23898" i="1"/>
  <c r="E23898" i="1" s="1"/>
  <c r="D23897" i="1"/>
  <c r="E23897" i="1" s="1"/>
  <c r="D23896" i="1"/>
  <c r="E23896" i="1" s="1"/>
  <c r="D23895" i="1"/>
  <c r="E23895" i="1" s="1"/>
  <c r="D23894" i="1"/>
  <c r="E23894" i="1" s="1"/>
  <c r="D23893" i="1"/>
  <c r="E23893" i="1" s="1"/>
  <c r="D23892" i="1"/>
  <c r="E23892" i="1" s="1"/>
  <c r="D23891" i="1"/>
  <c r="E23891" i="1" s="1"/>
  <c r="D23890" i="1"/>
  <c r="E23890" i="1" s="1"/>
  <c r="D23889" i="1"/>
  <c r="E23889" i="1" s="1"/>
  <c r="D23888" i="1"/>
  <c r="E23888" i="1" s="1"/>
  <c r="D23887" i="1"/>
  <c r="E23887" i="1" s="1"/>
  <c r="D23886" i="1"/>
  <c r="E23886" i="1" s="1"/>
  <c r="E23885" i="1"/>
  <c r="D23885" i="1"/>
  <c r="E23884" i="1"/>
  <c r="D23884" i="1"/>
  <c r="D23883" i="1"/>
  <c r="E23883" i="1" s="1"/>
  <c r="E23882" i="1"/>
  <c r="D23882" i="1"/>
  <c r="E23881" i="1"/>
  <c r="D23881" i="1"/>
  <c r="D23880" i="1"/>
  <c r="E23880" i="1" s="1"/>
  <c r="D23879" i="1"/>
  <c r="E23879" i="1" s="1"/>
  <c r="D23878" i="1"/>
  <c r="E23878" i="1" s="1"/>
  <c r="D23877" i="1"/>
  <c r="E23877" i="1" s="1"/>
  <c r="D23876" i="1"/>
  <c r="E23876" i="1" s="1"/>
  <c r="E23875" i="1"/>
  <c r="D23875" i="1"/>
  <c r="E23874" i="1"/>
  <c r="D23874" i="1"/>
  <c r="D23873" i="1"/>
  <c r="E23873" i="1" s="1"/>
  <c r="D23872" i="1"/>
  <c r="E23872" i="1" s="1"/>
  <c r="D23871" i="1"/>
  <c r="E23871" i="1" s="1"/>
  <c r="D23870" i="1"/>
  <c r="E23870" i="1" s="1"/>
  <c r="D23869" i="1"/>
  <c r="E23869" i="1" s="1"/>
  <c r="D23868" i="1"/>
  <c r="E23868" i="1" s="1"/>
  <c r="D23867" i="1"/>
  <c r="E23867" i="1" s="1"/>
  <c r="D23866" i="1"/>
  <c r="E23866" i="1" s="1"/>
  <c r="D23865" i="1"/>
  <c r="E23865" i="1" s="1"/>
  <c r="E23864" i="1"/>
  <c r="D23864" i="1"/>
  <c r="E23863" i="1"/>
  <c r="D23863" i="1"/>
  <c r="D23862" i="1"/>
  <c r="E23862" i="1" s="1"/>
  <c r="D23861" i="1"/>
  <c r="E23861" i="1" s="1"/>
  <c r="D23860" i="1"/>
  <c r="E23860" i="1" s="1"/>
  <c r="D23859" i="1"/>
  <c r="E23859" i="1" s="1"/>
  <c r="E23858" i="1"/>
  <c r="D23858" i="1"/>
  <c r="E23857" i="1"/>
  <c r="D23857" i="1"/>
  <c r="D23856" i="1"/>
  <c r="E23856" i="1" s="1"/>
  <c r="D23855" i="1"/>
  <c r="E23855" i="1" s="1"/>
  <c r="D23854" i="1"/>
  <c r="E23854" i="1" s="1"/>
  <c r="D23853" i="1"/>
  <c r="E23853" i="1" s="1"/>
  <c r="D23852" i="1"/>
  <c r="E23852" i="1" s="1"/>
  <c r="D23851" i="1"/>
  <c r="E23851" i="1" s="1"/>
  <c r="D23850" i="1"/>
  <c r="E23850" i="1" s="1"/>
  <c r="D23849" i="1"/>
  <c r="E23849" i="1" s="1"/>
  <c r="E23848" i="1"/>
  <c r="D23848" i="1"/>
  <c r="E23847" i="1"/>
  <c r="D23847" i="1"/>
  <c r="D23846" i="1"/>
  <c r="E23846" i="1" s="1"/>
  <c r="D23845" i="1"/>
  <c r="E23845" i="1" s="1"/>
  <c r="D23844" i="1"/>
  <c r="E23844" i="1" s="1"/>
  <c r="D23843" i="1"/>
  <c r="E23843" i="1" s="1"/>
  <c r="D23842" i="1"/>
  <c r="E23842" i="1" s="1"/>
  <c r="D23841" i="1"/>
  <c r="E23841" i="1" s="1"/>
  <c r="E23840" i="1"/>
  <c r="D23840" i="1"/>
  <c r="E23839" i="1"/>
  <c r="D23839" i="1"/>
  <c r="D23838" i="1"/>
  <c r="E23838" i="1" s="1"/>
  <c r="E23837" i="1"/>
  <c r="D23837" i="1"/>
  <c r="E23836" i="1"/>
  <c r="D23836" i="1"/>
  <c r="D23835" i="1"/>
  <c r="E23835" i="1" s="1"/>
  <c r="D23834" i="1"/>
  <c r="E23834" i="1" s="1"/>
  <c r="D23833" i="1"/>
  <c r="E23833" i="1" s="1"/>
  <c r="D23832" i="1"/>
  <c r="E23832" i="1" s="1"/>
  <c r="D23831" i="1"/>
  <c r="E23831" i="1" s="1"/>
  <c r="D23830" i="1"/>
  <c r="E23830" i="1" s="1"/>
  <c r="D23829" i="1"/>
  <c r="E23829" i="1" s="1"/>
  <c r="D23828" i="1"/>
  <c r="E23828" i="1" s="1"/>
  <c r="D23827" i="1"/>
  <c r="E23827" i="1" s="1"/>
  <c r="D23826" i="1"/>
  <c r="E23826" i="1" s="1"/>
  <c r="D23825" i="1"/>
  <c r="E23825" i="1" s="1"/>
  <c r="D23824" i="1"/>
  <c r="E23824" i="1" s="1"/>
  <c r="D23823" i="1"/>
  <c r="E23823" i="1" s="1"/>
  <c r="D23822" i="1"/>
  <c r="E23822" i="1" s="1"/>
  <c r="E23821" i="1"/>
  <c r="D23821" i="1"/>
  <c r="D23820" i="1"/>
  <c r="E23820" i="1" s="1"/>
  <c r="D23819" i="1"/>
  <c r="E23819" i="1" s="1"/>
  <c r="D23818" i="1"/>
  <c r="E23818" i="1" s="1"/>
  <c r="D23817" i="1"/>
  <c r="E23817" i="1" s="1"/>
  <c r="E23816" i="1"/>
  <c r="D23816" i="1"/>
  <c r="E23815" i="1"/>
  <c r="D23815" i="1"/>
  <c r="D23814" i="1"/>
  <c r="E23814" i="1" s="1"/>
  <c r="E23813" i="1"/>
  <c r="D23813" i="1"/>
  <c r="E23812" i="1"/>
  <c r="D23812" i="1"/>
  <c r="D23811" i="1"/>
  <c r="E23811" i="1" s="1"/>
  <c r="E23810" i="1"/>
  <c r="D23810" i="1"/>
  <c r="E23809" i="1"/>
  <c r="D23809" i="1"/>
  <c r="D23808" i="1"/>
  <c r="E23808" i="1" s="1"/>
  <c r="D23807" i="1"/>
  <c r="E23807" i="1" s="1"/>
  <c r="D23806" i="1"/>
  <c r="E23806" i="1" s="1"/>
  <c r="E23805" i="1"/>
  <c r="D23805" i="1"/>
  <c r="D23804" i="1"/>
  <c r="E23804" i="1" s="1"/>
  <c r="D23803" i="1"/>
  <c r="E23803" i="1" s="1"/>
  <c r="D23802" i="1"/>
  <c r="E23802" i="1" s="1"/>
  <c r="D23801" i="1"/>
  <c r="E23801" i="1" s="1"/>
  <c r="E23800" i="1"/>
  <c r="D23800" i="1"/>
  <c r="D23799" i="1"/>
  <c r="E23799" i="1" s="1"/>
  <c r="D23798" i="1"/>
  <c r="E23798" i="1" s="1"/>
  <c r="D23797" i="1"/>
  <c r="E23797" i="1" s="1"/>
  <c r="D23796" i="1"/>
  <c r="E23796" i="1" s="1"/>
  <c r="D23795" i="1"/>
  <c r="E23795" i="1" s="1"/>
  <c r="D23794" i="1"/>
  <c r="E23794" i="1" s="1"/>
  <c r="D23793" i="1"/>
  <c r="E23793" i="1" s="1"/>
  <c r="D23792" i="1"/>
  <c r="E23792" i="1" s="1"/>
  <c r="D23791" i="1"/>
  <c r="E23791" i="1" s="1"/>
  <c r="D23790" i="1"/>
  <c r="E23790" i="1" s="1"/>
  <c r="E23789" i="1"/>
  <c r="D23789" i="1"/>
  <c r="E23788" i="1"/>
  <c r="D23788" i="1"/>
  <c r="D23787" i="1"/>
  <c r="E23787" i="1" s="1"/>
  <c r="E23786" i="1"/>
  <c r="D23786" i="1"/>
  <c r="E23785" i="1"/>
  <c r="D23785" i="1"/>
  <c r="D23784" i="1"/>
  <c r="E23784" i="1" s="1"/>
  <c r="D23783" i="1"/>
  <c r="E23783" i="1" s="1"/>
  <c r="D23782" i="1"/>
  <c r="E23782" i="1" s="1"/>
  <c r="D23781" i="1"/>
  <c r="E23781" i="1" s="1"/>
  <c r="D23780" i="1"/>
  <c r="E23780" i="1" s="1"/>
  <c r="E23779" i="1"/>
  <c r="D23779" i="1"/>
  <c r="E23778" i="1"/>
  <c r="D23778" i="1"/>
  <c r="D23777" i="1"/>
  <c r="E23777" i="1" s="1"/>
  <c r="D23776" i="1"/>
  <c r="E23776" i="1" s="1"/>
  <c r="D23775" i="1"/>
  <c r="E23775" i="1" s="1"/>
  <c r="D23774" i="1"/>
  <c r="E23774" i="1" s="1"/>
  <c r="E23773" i="1"/>
  <c r="D23773" i="1"/>
  <c r="D23772" i="1"/>
  <c r="E23772" i="1" s="1"/>
  <c r="D23771" i="1"/>
  <c r="E23771" i="1" s="1"/>
  <c r="D23770" i="1"/>
  <c r="E23770" i="1" s="1"/>
  <c r="D23769" i="1"/>
  <c r="E23769" i="1" s="1"/>
  <c r="E23768" i="1"/>
  <c r="D23768" i="1"/>
  <c r="E23767" i="1"/>
  <c r="D23767" i="1"/>
  <c r="D23766" i="1"/>
  <c r="E23766" i="1" s="1"/>
  <c r="D23765" i="1"/>
  <c r="E23765" i="1" s="1"/>
  <c r="D23764" i="1"/>
  <c r="E23764" i="1" s="1"/>
  <c r="D23763" i="1"/>
  <c r="E23763" i="1" s="1"/>
  <c r="E23762" i="1"/>
  <c r="D23762" i="1"/>
  <c r="E23761" i="1"/>
  <c r="D23761" i="1"/>
  <c r="D23760" i="1"/>
  <c r="E23760" i="1" s="1"/>
  <c r="D23759" i="1"/>
  <c r="E23759" i="1" s="1"/>
  <c r="D23758" i="1"/>
  <c r="E23758" i="1" s="1"/>
  <c r="D23757" i="1"/>
  <c r="E23757" i="1" s="1"/>
  <c r="D23756" i="1"/>
  <c r="E23756" i="1" s="1"/>
  <c r="D23755" i="1"/>
  <c r="E23755" i="1" s="1"/>
  <c r="D23754" i="1"/>
  <c r="E23754" i="1" s="1"/>
  <c r="D23753" i="1"/>
  <c r="E23753" i="1" s="1"/>
  <c r="E23752" i="1"/>
  <c r="D23752" i="1"/>
  <c r="E23751" i="1"/>
  <c r="D23751" i="1"/>
  <c r="D23750" i="1"/>
  <c r="E23750" i="1" s="1"/>
  <c r="D23749" i="1"/>
  <c r="E23749" i="1" s="1"/>
  <c r="D23748" i="1"/>
  <c r="E23748" i="1" s="1"/>
  <c r="E23747" i="1"/>
  <c r="D23747" i="1"/>
  <c r="D23746" i="1"/>
  <c r="E23746" i="1" s="1"/>
  <c r="D23745" i="1"/>
  <c r="E23745" i="1" s="1"/>
  <c r="D23744" i="1"/>
  <c r="E23744" i="1" s="1"/>
  <c r="D23743" i="1"/>
  <c r="E23743" i="1" s="1"/>
  <c r="D23742" i="1"/>
  <c r="E23742" i="1" s="1"/>
  <c r="D23741" i="1"/>
  <c r="E23741" i="1" s="1"/>
  <c r="D23740" i="1"/>
  <c r="E23740" i="1" s="1"/>
  <c r="E23739" i="1"/>
  <c r="D23739" i="1"/>
  <c r="E23738" i="1"/>
  <c r="D23738" i="1"/>
  <c r="D23737" i="1"/>
  <c r="E23737" i="1" s="1"/>
  <c r="D23736" i="1"/>
  <c r="E23736" i="1" s="1"/>
  <c r="E23735" i="1"/>
  <c r="D23735" i="1"/>
  <c r="D23734" i="1"/>
  <c r="E23734" i="1" s="1"/>
  <c r="D23733" i="1"/>
  <c r="E23733" i="1" s="1"/>
  <c r="D23732" i="1"/>
  <c r="E23732" i="1" s="1"/>
  <c r="D23731" i="1"/>
  <c r="E23731" i="1" s="1"/>
  <c r="D23730" i="1"/>
  <c r="E23730" i="1" s="1"/>
  <c r="D23729" i="1"/>
  <c r="E23729" i="1" s="1"/>
  <c r="D23728" i="1"/>
  <c r="E23728" i="1" s="1"/>
  <c r="D23727" i="1"/>
  <c r="E23727" i="1" s="1"/>
  <c r="E23726" i="1"/>
  <c r="D23726" i="1"/>
  <c r="E23725" i="1"/>
  <c r="D23725" i="1"/>
  <c r="D23724" i="1"/>
  <c r="E23724" i="1" s="1"/>
  <c r="D23723" i="1"/>
  <c r="E23723" i="1" s="1"/>
  <c r="D23722" i="1"/>
  <c r="E23722" i="1" s="1"/>
  <c r="D23721" i="1"/>
  <c r="E23721" i="1" s="1"/>
  <c r="D23720" i="1"/>
  <c r="E23720" i="1" s="1"/>
  <c r="D23719" i="1"/>
  <c r="E23719" i="1" s="1"/>
  <c r="D23718" i="1"/>
  <c r="E23718" i="1" s="1"/>
  <c r="D23717" i="1"/>
  <c r="E23717" i="1" s="1"/>
  <c r="D23716" i="1"/>
  <c r="E23716" i="1" s="1"/>
  <c r="D23715" i="1"/>
  <c r="E23715" i="1" s="1"/>
  <c r="D23714" i="1"/>
  <c r="E23714" i="1" s="1"/>
  <c r="E23713" i="1"/>
  <c r="D23713" i="1"/>
  <c r="D23712" i="1"/>
  <c r="E23712" i="1" s="1"/>
  <c r="D23711" i="1"/>
  <c r="E23711" i="1" s="1"/>
  <c r="D23710" i="1"/>
  <c r="E23710" i="1" s="1"/>
  <c r="D23709" i="1"/>
  <c r="E23709" i="1" s="1"/>
  <c r="D23708" i="1"/>
  <c r="E23708" i="1" s="1"/>
  <c r="D23707" i="1"/>
  <c r="E23707" i="1" s="1"/>
  <c r="D23706" i="1"/>
  <c r="E23706" i="1" s="1"/>
  <c r="D23705" i="1"/>
  <c r="E23705" i="1" s="1"/>
  <c r="D23704" i="1"/>
  <c r="E23704" i="1" s="1"/>
  <c r="D23703" i="1"/>
  <c r="E23703" i="1" s="1"/>
  <c r="D23702" i="1"/>
  <c r="E23702" i="1" s="1"/>
  <c r="D23701" i="1"/>
  <c r="E23701" i="1" s="1"/>
  <c r="D23700" i="1"/>
  <c r="E23700" i="1" s="1"/>
  <c r="D23699" i="1"/>
  <c r="E23699" i="1" s="1"/>
  <c r="D23698" i="1"/>
  <c r="E23698" i="1" s="1"/>
  <c r="D23697" i="1"/>
  <c r="E23697" i="1" s="1"/>
  <c r="D23696" i="1"/>
  <c r="E23696" i="1" s="1"/>
  <c r="D23695" i="1"/>
  <c r="E23695" i="1" s="1"/>
  <c r="D23694" i="1"/>
  <c r="E23694" i="1" s="1"/>
  <c r="D23693" i="1"/>
  <c r="E23693" i="1" s="1"/>
  <c r="D23692" i="1"/>
  <c r="E23692" i="1" s="1"/>
  <c r="D23691" i="1"/>
  <c r="E23691" i="1" s="1"/>
  <c r="D23690" i="1"/>
  <c r="E23690" i="1" s="1"/>
  <c r="D23689" i="1"/>
  <c r="E23689" i="1" s="1"/>
  <c r="D23688" i="1"/>
  <c r="E23688" i="1" s="1"/>
  <c r="D23687" i="1"/>
  <c r="E23687" i="1" s="1"/>
  <c r="D23686" i="1"/>
  <c r="E23686" i="1" s="1"/>
  <c r="E23685" i="1"/>
  <c r="D23685" i="1"/>
  <c r="D23684" i="1"/>
  <c r="E23684" i="1" s="1"/>
  <c r="D23683" i="1"/>
  <c r="E23683" i="1" s="1"/>
  <c r="D23682" i="1"/>
  <c r="E23682" i="1" s="1"/>
  <c r="D23681" i="1"/>
  <c r="E23681" i="1" s="1"/>
  <c r="D23680" i="1"/>
  <c r="E23680" i="1" s="1"/>
  <c r="D23679" i="1"/>
  <c r="E23679" i="1" s="1"/>
  <c r="D23678" i="1"/>
  <c r="E23678" i="1" s="1"/>
  <c r="D23677" i="1"/>
  <c r="E23677" i="1" s="1"/>
  <c r="D23676" i="1"/>
  <c r="E23676" i="1" s="1"/>
  <c r="E23675" i="1"/>
  <c r="D23675" i="1"/>
  <c r="D23674" i="1"/>
  <c r="E23674" i="1" s="1"/>
  <c r="E23673" i="1"/>
  <c r="D23673" i="1"/>
  <c r="E23672" i="1"/>
  <c r="D23672" i="1"/>
  <c r="D23671" i="1"/>
  <c r="E23671" i="1" s="1"/>
  <c r="D23670" i="1"/>
  <c r="E23670" i="1" s="1"/>
  <c r="D23669" i="1"/>
  <c r="E23669" i="1" s="1"/>
  <c r="D23668" i="1"/>
  <c r="E23668" i="1" s="1"/>
  <c r="D23667" i="1"/>
  <c r="E23667" i="1" s="1"/>
  <c r="D23666" i="1"/>
  <c r="E23666" i="1" s="1"/>
  <c r="D23665" i="1"/>
  <c r="E23665" i="1" s="1"/>
  <c r="D23664" i="1"/>
  <c r="E23664" i="1" s="1"/>
  <c r="E23663" i="1"/>
  <c r="D23663" i="1"/>
  <c r="D23662" i="1"/>
  <c r="E23662" i="1" s="1"/>
  <c r="D23661" i="1"/>
  <c r="E23661" i="1" s="1"/>
  <c r="E23660" i="1"/>
  <c r="D23660" i="1"/>
  <c r="E23659" i="1"/>
  <c r="D23659" i="1"/>
  <c r="D23658" i="1"/>
  <c r="E23658" i="1" s="1"/>
  <c r="D23657" i="1"/>
  <c r="E23657" i="1" s="1"/>
  <c r="D23656" i="1"/>
  <c r="E23656" i="1" s="1"/>
  <c r="D23655" i="1"/>
  <c r="E23655" i="1" s="1"/>
  <c r="D23654" i="1"/>
  <c r="E23654" i="1" s="1"/>
  <c r="D23653" i="1"/>
  <c r="E23653" i="1" s="1"/>
  <c r="D23652" i="1"/>
  <c r="E23652" i="1" s="1"/>
  <c r="D23651" i="1"/>
  <c r="E23651" i="1" s="1"/>
  <c r="D23650" i="1"/>
  <c r="E23650" i="1" s="1"/>
  <c r="D23649" i="1"/>
  <c r="E23649" i="1" s="1"/>
  <c r="D23648" i="1"/>
  <c r="E23648" i="1" s="1"/>
  <c r="E23647" i="1"/>
  <c r="D23647" i="1"/>
  <c r="E23646" i="1"/>
  <c r="D23646" i="1"/>
  <c r="D23645" i="1"/>
  <c r="E23645" i="1" s="1"/>
  <c r="D23644" i="1"/>
  <c r="E23644" i="1" s="1"/>
  <c r="D23643" i="1"/>
  <c r="E23643" i="1" s="1"/>
  <c r="D23642" i="1"/>
  <c r="E23642" i="1" s="1"/>
  <c r="E23641" i="1"/>
  <c r="D23641" i="1"/>
  <c r="D23640" i="1"/>
  <c r="E23640" i="1" s="1"/>
  <c r="E23639" i="1"/>
  <c r="D23639" i="1"/>
  <c r="D23638" i="1"/>
  <c r="E23638" i="1" s="1"/>
  <c r="D23637" i="1"/>
  <c r="E23637" i="1" s="1"/>
  <c r="D23636" i="1"/>
  <c r="E23636" i="1" s="1"/>
  <c r="D23635" i="1"/>
  <c r="E23635" i="1" s="1"/>
  <c r="E23634" i="1"/>
  <c r="D23634" i="1"/>
  <c r="E23633" i="1"/>
  <c r="D23633" i="1"/>
  <c r="D23632" i="1"/>
  <c r="E23632" i="1" s="1"/>
  <c r="D23631" i="1"/>
  <c r="E23631" i="1" s="1"/>
  <c r="D23630" i="1"/>
  <c r="E23630" i="1" s="1"/>
  <c r="D23629" i="1"/>
  <c r="E23629" i="1" s="1"/>
  <c r="D23628" i="1"/>
  <c r="E23628" i="1" s="1"/>
  <c r="E23627" i="1"/>
  <c r="D23627" i="1"/>
  <c r="D23626" i="1"/>
  <c r="E23626" i="1" s="1"/>
  <c r="D23625" i="1"/>
  <c r="E23625" i="1" s="1"/>
  <c r="D23624" i="1"/>
  <c r="E23624" i="1" s="1"/>
  <c r="D23623" i="1"/>
  <c r="E23623" i="1" s="1"/>
  <c r="D23622" i="1"/>
  <c r="E23622" i="1" s="1"/>
  <c r="E23621" i="1"/>
  <c r="D23621" i="1"/>
  <c r="E23620" i="1"/>
  <c r="D23620" i="1"/>
  <c r="D23619" i="1"/>
  <c r="E23619" i="1" s="1"/>
  <c r="D23618" i="1"/>
  <c r="E23618" i="1" s="1"/>
  <c r="D23617" i="1"/>
  <c r="E23617" i="1" s="1"/>
  <c r="D23616" i="1"/>
  <c r="E23616" i="1" s="1"/>
  <c r="D23615" i="1"/>
  <c r="E23615" i="1" s="1"/>
  <c r="D23614" i="1"/>
  <c r="E23614" i="1" s="1"/>
  <c r="D23613" i="1"/>
  <c r="E23613" i="1" s="1"/>
  <c r="D23612" i="1"/>
  <c r="E23612" i="1" s="1"/>
  <c r="D23611" i="1"/>
  <c r="E23611" i="1" s="1"/>
  <c r="D23610" i="1"/>
  <c r="E23610" i="1" s="1"/>
  <c r="D23609" i="1"/>
  <c r="E23609" i="1" s="1"/>
  <c r="E23608" i="1"/>
  <c r="D23608" i="1"/>
  <c r="E23607" i="1"/>
  <c r="D23607" i="1"/>
  <c r="D23606" i="1"/>
  <c r="E23606" i="1" s="1"/>
  <c r="D23605" i="1"/>
  <c r="E23605" i="1" s="1"/>
  <c r="D23604" i="1"/>
  <c r="E23604" i="1" s="1"/>
  <c r="E23603" i="1"/>
  <c r="D23603" i="1"/>
  <c r="D23602" i="1"/>
  <c r="E23602" i="1" s="1"/>
  <c r="D23601" i="1"/>
  <c r="E23601" i="1" s="1"/>
  <c r="D23600" i="1"/>
  <c r="E23600" i="1" s="1"/>
  <c r="D23599" i="1"/>
  <c r="E23599" i="1" s="1"/>
  <c r="D23598" i="1"/>
  <c r="E23598" i="1" s="1"/>
  <c r="D23597" i="1"/>
  <c r="E23597" i="1" s="1"/>
  <c r="D23596" i="1"/>
  <c r="E23596" i="1" s="1"/>
  <c r="E23595" i="1"/>
  <c r="D23595" i="1"/>
  <c r="E23594" i="1"/>
  <c r="D23594" i="1"/>
  <c r="D23593" i="1"/>
  <c r="E23593" i="1" s="1"/>
  <c r="D23592" i="1"/>
  <c r="E23592" i="1" s="1"/>
  <c r="E23591" i="1"/>
  <c r="D23591" i="1"/>
  <c r="D23590" i="1"/>
  <c r="E23590" i="1" s="1"/>
  <c r="D23589" i="1"/>
  <c r="E23589" i="1" s="1"/>
  <c r="E23588" i="1"/>
  <c r="D23588" i="1"/>
  <c r="D23587" i="1"/>
  <c r="E23587" i="1" s="1"/>
  <c r="D23586" i="1"/>
  <c r="E23586" i="1" s="1"/>
  <c r="D23585" i="1"/>
  <c r="E23585" i="1" s="1"/>
  <c r="D23584" i="1"/>
  <c r="E23584" i="1" s="1"/>
  <c r="D23583" i="1"/>
  <c r="E23583" i="1" s="1"/>
  <c r="E23582" i="1"/>
  <c r="D23582" i="1"/>
  <c r="E23581" i="1"/>
  <c r="D23581" i="1"/>
  <c r="D23580" i="1"/>
  <c r="E23580" i="1" s="1"/>
  <c r="D23579" i="1"/>
  <c r="E23579" i="1" s="1"/>
  <c r="D23578" i="1"/>
  <c r="E23578" i="1" s="1"/>
  <c r="D23577" i="1"/>
  <c r="E23577" i="1" s="1"/>
  <c r="D23576" i="1"/>
  <c r="E23576" i="1" s="1"/>
  <c r="D23575" i="1"/>
  <c r="E23575" i="1" s="1"/>
  <c r="D23574" i="1"/>
  <c r="E23574" i="1" s="1"/>
  <c r="D23573" i="1"/>
  <c r="E23573" i="1" s="1"/>
  <c r="D23572" i="1"/>
  <c r="E23572" i="1" s="1"/>
  <c r="D23571" i="1"/>
  <c r="E23571" i="1" s="1"/>
  <c r="D23570" i="1"/>
  <c r="E23570" i="1" s="1"/>
  <c r="E23569" i="1"/>
  <c r="D23569" i="1"/>
  <c r="D23568" i="1"/>
  <c r="E23568" i="1" s="1"/>
  <c r="D23567" i="1"/>
  <c r="E23567" i="1" s="1"/>
  <c r="D23566" i="1"/>
  <c r="E23566" i="1" s="1"/>
  <c r="D23565" i="1"/>
  <c r="E23565" i="1" s="1"/>
  <c r="D23564" i="1"/>
  <c r="E23564" i="1" s="1"/>
  <c r="D23563" i="1"/>
  <c r="E23563" i="1" s="1"/>
  <c r="D23562" i="1"/>
  <c r="E23562" i="1" s="1"/>
  <c r="D23561" i="1"/>
  <c r="E23561" i="1" s="1"/>
  <c r="D23560" i="1"/>
  <c r="E23560" i="1" s="1"/>
  <c r="D23559" i="1"/>
  <c r="E23559" i="1" s="1"/>
  <c r="D23558" i="1"/>
  <c r="E23558" i="1" s="1"/>
  <c r="D23557" i="1"/>
  <c r="E23557" i="1" s="1"/>
  <c r="D23556" i="1"/>
  <c r="E23556" i="1" s="1"/>
  <c r="D23555" i="1"/>
  <c r="E23555" i="1" s="1"/>
  <c r="D23554" i="1"/>
  <c r="E23554" i="1" s="1"/>
  <c r="D23553" i="1"/>
  <c r="E23553" i="1" s="1"/>
  <c r="D23552" i="1"/>
  <c r="E23552" i="1" s="1"/>
  <c r="D23551" i="1"/>
  <c r="E23551" i="1" s="1"/>
  <c r="D23550" i="1"/>
  <c r="E23550" i="1" s="1"/>
  <c r="D23549" i="1"/>
  <c r="E23549" i="1" s="1"/>
  <c r="D23548" i="1"/>
  <c r="E23548" i="1" s="1"/>
  <c r="D23547" i="1"/>
  <c r="E23547" i="1" s="1"/>
  <c r="D23546" i="1"/>
  <c r="E23546" i="1" s="1"/>
  <c r="D23545" i="1"/>
  <c r="E23545" i="1" s="1"/>
  <c r="D23544" i="1"/>
  <c r="E23544" i="1" s="1"/>
  <c r="D23543" i="1"/>
  <c r="E23543" i="1" s="1"/>
  <c r="D23542" i="1"/>
  <c r="E23542" i="1" s="1"/>
  <c r="E23541" i="1"/>
  <c r="D23541" i="1"/>
  <c r="D23540" i="1"/>
  <c r="E23540" i="1" s="1"/>
  <c r="D23539" i="1"/>
  <c r="E23539" i="1" s="1"/>
  <c r="D23538" i="1"/>
  <c r="E23538" i="1" s="1"/>
  <c r="D23537" i="1"/>
  <c r="E23537" i="1" s="1"/>
  <c r="E23536" i="1"/>
  <c r="D23536" i="1"/>
  <c r="D23535" i="1"/>
  <c r="E23535" i="1" s="1"/>
  <c r="D23534" i="1"/>
  <c r="E23534" i="1" s="1"/>
  <c r="D23533" i="1"/>
  <c r="E23533" i="1" s="1"/>
  <c r="D23532" i="1"/>
  <c r="E23532" i="1" s="1"/>
  <c r="E23531" i="1"/>
  <c r="D23531" i="1"/>
  <c r="D23530" i="1"/>
  <c r="E23530" i="1" s="1"/>
  <c r="D23529" i="1"/>
  <c r="E23529" i="1" s="1"/>
  <c r="D23528" i="1"/>
  <c r="E23528" i="1" s="1"/>
  <c r="D23527" i="1"/>
  <c r="E23527" i="1" s="1"/>
  <c r="E23526" i="1"/>
  <c r="D23526" i="1"/>
  <c r="E23525" i="1"/>
  <c r="D23525" i="1"/>
  <c r="D23524" i="1"/>
  <c r="E23524" i="1" s="1"/>
  <c r="E23523" i="1"/>
  <c r="D23523" i="1"/>
  <c r="E23522" i="1"/>
  <c r="D23522" i="1"/>
  <c r="D23521" i="1"/>
  <c r="E23521" i="1" s="1"/>
  <c r="D23520" i="1"/>
  <c r="E23520" i="1" s="1"/>
  <c r="D23519" i="1"/>
  <c r="E23519" i="1" s="1"/>
  <c r="D23518" i="1"/>
  <c r="E23518" i="1" s="1"/>
  <c r="E23517" i="1"/>
  <c r="D23517" i="1"/>
  <c r="E23516" i="1"/>
  <c r="D23516" i="1"/>
  <c r="D23515" i="1"/>
  <c r="E23515" i="1" s="1"/>
  <c r="D23514" i="1"/>
  <c r="E23514" i="1" s="1"/>
  <c r="D23513" i="1"/>
  <c r="E23513" i="1" s="1"/>
  <c r="D23512" i="1"/>
  <c r="E23512" i="1" s="1"/>
  <c r="D23511" i="1"/>
  <c r="E23511" i="1" s="1"/>
  <c r="D23510" i="1"/>
  <c r="E23510" i="1" s="1"/>
  <c r="D23509" i="1"/>
  <c r="E23509" i="1" s="1"/>
  <c r="D23508" i="1"/>
  <c r="E23508" i="1" s="1"/>
  <c r="E23507" i="1"/>
  <c r="D23507" i="1"/>
  <c r="E23506" i="1"/>
  <c r="D23506" i="1"/>
  <c r="D23505" i="1"/>
  <c r="E23505" i="1" s="1"/>
  <c r="D23504" i="1"/>
  <c r="E23504" i="1" s="1"/>
  <c r="D23503" i="1"/>
  <c r="E23503" i="1" s="1"/>
  <c r="D23502" i="1"/>
  <c r="E23502" i="1" s="1"/>
  <c r="E23501" i="1"/>
  <c r="D23501" i="1"/>
  <c r="E23500" i="1"/>
  <c r="D23500" i="1"/>
  <c r="D23499" i="1"/>
  <c r="E23499" i="1" s="1"/>
  <c r="E23498" i="1"/>
  <c r="D23498" i="1"/>
  <c r="E23497" i="1"/>
  <c r="D23497" i="1"/>
  <c r="D23496" i="1"/>
  <c r="E23496" i="1" s="1"/>
  <c r="D23495" i="1"/>
  <c r="E23495" i="1" s="1"/>
  <c r="D23494" i="1"/>
  <c r="E23494" i="1" s="1"/>
  <c r="D23493" i="1"/>
  <c r="E23493" i="1" s="1"/>
  <c r="E23492" i="1"/>
  <c r="D23492" i="1"/>
  <c r="E23491" i="1"/>
  <c r="D23491" i="1"/>
  <c r="D23490" i="1"/>
  <c r="E23490" i="1" s="1"/>
  <c r="D23489" i="1"/>
  <c r="E23489" i="1" s="1"/>
  <c r="D23488" i="1"/>
  <c r="E23488" i="1" s="1"/>
  <c r="D23487" i="1"/>
  <c r="E23487" i="1" s="1"/>
  <c r="D23486" i="1"/>
  <c r="E23486" i="1" s="1"/>
  <c r="D23485" i="1"/>
  <c r="E23485" i="1" s="1"/>
  <c r="D23484" i="1"/>
  <c r="E23484" i="1" s="1"/>
  <c r="D23483" i="1"/>
  <c r="E23483" i="1" s="1"/>
  <c r="E23482" i="1"/>
  <c r="D23482" i="1"/>
  <c r="E23481" i="1"/>
  <c r="D23481" i="1"/>
  <c r="D23480" i="1"/>
  <c r="E23480" i="1" s="1"/>
  <c r="D23479" i="1"/>
  <c r="E23479" i="1" s="1"/>
  <c r="D23478" i="1"/>
  <c r="E23478" i="1" s="1"/>
  <c r="D23477" i="1"/>
  <c r="E23477" i="1" s="1"/>
  <c r="E23476" i="1"/>
  <c r="D23476" i="1"/>
  <c r="E23475" i="1"/>
  <c r="D23475" i="1"/>
  <c r="D23474" i="1"/>
  <c r="E23474" i="1" s="1"/>
  <c r="E23473" i="1"/>
  <c r="D23473" i="1"/>
  <c r="E23472" i="1"/>
  <c r="D23472" i="1"/>
  <c r="D23471" i="1"/>
  <c r="E23471" i="1" s="1"/>
  <c r="E23470" i="1"/>
  <c r="D23470" i="1"/>
  <c r="E23469" i="1"/>
  <c r="D23469" i="1"/>
  <c r="D23468" i="1"/>
  <c r="E23468" i="1" s="1"/>
  <c r="D23467" i="1"/>
  <c r="E23467" i="1" s="1"/>
  <c r="D23466" i="1"/>
  <c r="E23466" i="1" s="1"/>
  <c r="D23465" i="1"/>
  <c r="E23465" i="1" s="1"/>
  <c r="E23464" i="1"/>
  <c r="D23464" i="1"/>
  <c r="E23463" i="1"/>
  <c r="D23463" i="1"/>
  <c r="D23462" i="1"/>
  <c r="E23462" i="1" s="1"/>
  <c r="E23461" i="1"/>
  <c r="D23461" i="1"/>
  <c r="E23460" i="1"/>
  <c r="D23460" i="1"/>
  <c r="D23459" i="1"/>
  <c r="E23459" i="1" s="1"/>
  <c r="E23458" i="1"/>
  <c r="D23458" i="1"/>
  <c r="E23457" i="1"/>
  <c r="D23457" i="1"/>
  <c r="D23456" i="1"/>
  <c r="E23456" i="1" s="1"/>
  <c r="D23455" i="1"/>
  <c r="E23455" i="1" s="1"/>
  <c r="D23454" i="1"/>
  <c r="E23454" i="1" s="1"/>
  <c r="D23453" i="1"/>
  <c r="E23453" i="1" s="1"/>
  <c r="E23452" i="1"/>
  <c r="D23452" i="1"/>
  <c r="E23451" i="1"/>
  <c r="D23451" i="1"/>
  <c r="D23450" i="1"/>
  <c r="E23450" i="1" s="1"/>
  <c r="E23449" i="1"/>
  <c r="D23449" i="1"/>
  <c r="E23448" i="1"/>
  <c r="D23448" i="1"/>
  <c r="D23447" i="1"/>
  <c r="E23447" i="1" s="1"/>
  <c r="E23446" i="1"/>
  <c r="D23446" i="1"/>
  <c r="E23445" i="1"/>
  <c r="D23445" i="1"/>
  <c r="D23444" i="1"/>
  <c r="E23444" i="1" s="1"/>
  <c r="D23443" i="1"/>
  <c r="E23443" i="1" s="1"/>
  <c r="D23442" i="1"/>
  <c r="E23442" i="1" s="1"/>
  <c r="D23441" i="1"/>
  <c r="E23441" i="1" s="1"/>
  <c r="E23440" i="1"/>
  <c r="D23440" i="1"/>
  <c r="E23439" i="1"/>
  <c r="D23439" i="1"/>
  <c r="E23438" i="1"/>
  <c r="D23438" i="1"/>
  <c r="E23437" i="1"/>
  <c r="D23437" i="1"/>
  <c r="E23436" i="1"/>
  <c r="D23436" i="1"/>
  <c r="D23435" i="1"/>
  <c r="E23435" i="1" s="1"/>
  <c r="E23434" i="1"/>
  <c r="D23434" i="1"/>
  <c r="E23433" i="1"/>
  <c r="D23433" i="1"/>
  <c r="D23432" i="1"/>
  <c r="E23432" i="1" s="1"/>
  <c r="D23431" i="1"/>
  <c r="E23431" i="1" s="1"/>
  <c r="D23430" i="1"/>
  <c r="E23430" i="1" s="1"/>
  <c r="D23429" i="1"/>
  <c r="E23429" i="1" s="1"/>
  <c r="E23428" i="1"/>
  <c r="D23428" i="1"/>
  <c r="E23427" i="1"/>
  <c r="D23427" i="1"/>
  <c r="D23426" i="1"/>
  <c r="E23426" i="1" s="1"/>
  <c r="E23425" i="1"/>
  <c r="D23425" i="1"/>
  <c r="E23424" i="1"/>
  <c r="D23424" i="1"/>
  <c r="D23423" i="1"/>
  <c r="E23423" i="1" s="1"/>
  <c r="E23422" i="1"/>
  <c r="D23422" i="1"/>
  <c r="E23421" i="1"/>
  <c r="D23421" i="1"/>
  <c r="D23420" i="1"/>
  <c r="E23420" i="1" s="1"/>
  <c r="D23419" i="1"/>
  <c r="E23419" i="1" s="1"/>
  <c r="D23418" i="1"/>
  <c r="E23418" i="1" s="1"/>
  <c r="D23417" i="1"/>
  <c r="E23417" i="1" s="1"/>
  <c r="E23416" i="1"/>
  <c r="D23416" i="1"/>
  <c r="E23415" i="1"/>
  <c r="D23415" i="1"/>
  <c r="D23414" i="1"/>
  <c r="E23414" i="1" s="1"/>
  <c r="E23413" i="1"/>
  <c r="D23413" i="1"/>
  <c r="E23412" i="1"/>
  <c r="D23412" i="1"/>
  <c r="D23411" i="1"/>
  <c r="E23411" i="1" s="1"/>
  <c r="E23410" i="1"/>
  <c r="D23410" i="1"/>
  <c r="E23409" i="1"/>
  <c r="D23409" i="1"/>
  <c r="D23408" i="1"/>
  <c r="E23408" i="1" s="1"/>
  <c r="D23407" i="1"/>
  <c r="E23407" i="1" s="1"/>
  <c r="D23406" i="1"/>
  <c r="E23406" i="1" s="1"/>
  <c r="D23405" i="1"/>
  <c r="E23405" i="1" s="1"/>
  <c r="E23404" i="1"/>
  <c r="D23404" i="1"/>
  <c r="E23403" i="1"/>
  <c r="D23403" i="1"/>
  <c r="D23402" i="1"/>
  <c r="E23402" i="1" s="1"/>
  <c r="E23401" i="1"/>
  <c r="D23401" i="1"/>
  <c r="E23400" i="1"/>
  <c r="D23400" i="1"/>
  <c r="D23399" i="1"/>
  <c r="E23399" i="1" s="1"/>
  <c r="E23398" i="1"/>
  <c r="D23398" i="1"/>
  <c r="E23397" i="1"/>
  <c r="D23397" i="1"/>
  <c r="D23396" i="1"/>
  <c r="E23396" i="1" s="1"/>
  <c r="D23395" i="1"/>
  <c r="E23395" i="1" s="1"/>
  <c r="D23394" i="1"/>
  <c r="E23394" i="1" s="1"/>
  <c r="D23393" i="1"/>
  <c r="E23393" i="1" s="1"/>
  <c r="E23392" i="1"/>
  <c r="D23392" i="1"/>
  <c r="E23391" i="1"/>
  <c r="D23391" i="1"/>
  <c r="E23390" i="1"/>
  <c r="D23390" i="1"/>
  <c r="E23389" i="1"/>
  <c r="D23389" i="1"/>
  <c r="E23388" i="1"/>
  <c r="D23388" i="1"/>
  <c r="D23387" i="1"/>
  <c r="E23387" i="1" s="1"/>
  <c r="E23386" i="1"/>
  <c r="D23386" i="1"/>
  <c r="E23385" i="1"/>
  <c r="D23385" i="1"/>
  <c r="D23384" i="1"/>
  <c r="E23384" i="1" s="1"/>
  <c r="D23383" i="1"/>
  <c r="E23383" i="1" s="1"/>
  <c r="D23382" i="1"/>
  <c r="E23382" i="1" s="1"/>
  <c r="D23381" i="1"/>
  <c r="E23381" i="1" s="1"/>
  <c r="E23380" i="1"/>
  <c r="D23380" i="1"/>
  <c r="E23379" i="1"/>
  <c r="D23379" i="1"/>
  <c r="E23378" i="1"/>
  <c r="D23378" i="1"/>
  <c r="E23377" i="1"/>
  <c r="D23377" i="1"/>
  <c r="E23376" i="1"/>
  <c r="D23376" i="1"/>
  <c r="D23375" i="1"/>
  <c r="E23375" i="1" s="1"/>
  <c r="E23374" i="1"/>
  <c r="D23374" i="1"/>
  <c r="E23373" i="1"/>
  <c r="D23373" i="1"/>
  <c r="D23372" i="1"/>
  <c r="E23372" i="1" s="1"/>
  <c r="D23371" i="1"/>
  <c r="E23371" i="1" s="1"/>
  <c r="D23370" i="1"/>
  <c r="E23370" i="1" s="1"/>
  <c r="D23369" i="1"/>
  <c r="E23369" i="1" s="1"/>
  <c r="E23368" i="1"/>
  <c r="D23368" i="1"/>
  <c r="E23367" i="1"/>
  <c r="D23367" i="1"/>
  <c r="E23366" i="1"/>
  <c r="D23366" i="1"/>
  <c r="E23365" i="1"/>
  <c r="D23365" i="1"/>
  <c r="E23364" i="1"/>
  <c r="D23364" i="1"/>
  <c r="D23363" i="1"/>
  <c r="E23363" i="1" s="1"/>
  <c r="E23362" i="1"/>
  <c r="D23362" i="1"/>
  <c r="E23361" i="1"/>
  <c r="D23361" i="1"/>
  <c r="D23360" i="1"/>
  <c r="E23360" i="1" s="1"/>
  <c r="D23359" i="1"/>
  <c r="E23359" i="1" s="1"/>
  <c r="D23358" i="1"/>
  <c r="E23358" i="1" s="1"/>
  <c r="D23357" i="1"/>
  <c r="E23357" i="1" s="1"/>
  <c r="E23356" i="1"/>
  <c r="D23356" i="1"/>
  <c r="E23355" i="1"/>
  <c r="D23355" i="1"/>
  <c r="E23354" i="1"/>
  <c r="D23354" i="1"/>
  <c r="E23353" i="1"/>
  <c r="D23353" i="1"/>
  <c r="E23352" i="1"/>
  <c r="D23352" i="1"/>
  <c r="D23351" i="1"/>
  <c r="E23351" i="1" s="1"/>
  <c r="E23350" i="1"/>
  <c r="D23350" i="1"/>
  <c r="E23349" i="1"/>
  <c r="D23349" i="1"/>
  <c r="D23348" i="1"/>
  <c r="E23348" i="1" s="1"/>
  <c r="D23347" i="1"/>
  <c r="E23347" i="1" s="1"/>
  <c r="D23346" i="1"/>
  <c r="E23346" i="1" s="1"/>
  <c r="D23345" i="1"/>
  <c r="E23345" i="1" s="1"/>
  <c r="E23344" i="1"/>
  <c r="D23344" i="1"/>
  <c r="E23343" i="1"/>
  <c r="D23343" i="1"/>
  <c r="E23342" i="1"/>
  <c r="D23342" i="1"/>
  <c r="E23341" i="1"/>
  <c r="D23341" i="1"/>
  <c r="E23340" i="1"/>
  <c r="D23340" i="1"/>
  <c r="D23339" i="1"/>
  <c r="E23339" i="1" s="1"/>
  <c r="E23338" i="1"/>
  <c r="D23338" i="1"/>
  <c r="E23337" i="1"/>
  <c r="D23337" i="1"/>
  <c r="D23336" i="1"/>
  <c r="E23336" i="1" s="1"/>
  <c r="D23335" i="1"/>
  <c r="E23335" i="1" s="1"/>
  <c r="D23334" i="1"/>
  <c r="E23334" i="1" s="1"/>
  <c r="D23333" i="1"/>
  <c r="E23333" i="1" s="1"/>
  <c r="E23332" i="1"/>
  <c r="D23332" i="1"/>
  <c r="E23331" i="1"/>
  <c r="D23331" i="1"/>
  <c r="D23330" i="1"/>
  <c r="E23330" i="1" s="1"/>
  <c r="E23329" i="1"/>
  <c r="D23329" i="1"/>
  <c r="E23328" i="1"/>
  <c r="D23328" i="1"/>
  <c r="D23327" i="1"/>
  <c r="E23327" i="1" s="1"/>
  <c r="E23326" i="1"/>
  <c r="D23326" i="1"/>
  <c r="E23325" i="1"/>
  <c r="D23325" i="1"/>
  <c r="D23324" i="1"/>
  <c r="E23324" i="1" s="1"/>
  <c r="D23323" i="1"/>
  <c r="E23323" i="1" s="1"/>
  <c r="D23322" i="1"/>
  <c r="E23322" i="1" s="1"/>
  <c r="D23321" i="1"/>
  <c r="E23321" i="1" s="1"/>
  <c r="E23320" i="1"/>
  <c r="D23320" i="1"/>
  <c r="E23319" i="1"/>
  <c r="D23319" i="1"/>
  <c r="D23318" i="1"/>
  <c r="E23318" i="1" s="1"/>
  <c r="E23317" i="1"/>
  <c r="D23317" i="1"/>
  <c r="E23316" i="1"/>
  <c r="D23316" i="1"/>
  <c r="D23315" i="1"/>
  <c r="E23315" i="1" s="1"/>
  <c r="E23314" i="1"/>
  <c r="D23314" i="1"/>
  <c r="E23313" i="1"/>
  <c r="D23313" i="1"/>
  <c r="D23312" i="1"/>
  <c r="E23312" i="1" s="1"/>
  <c r="D23311" i="1"/>
  <c r="E23311" i="1" s="1"/>
  <c r="D23310" i="1"/>
  <c r="E23310" i="1" s="1"/>
  <c r="D23309" i="1"/>
  <c r="E23309" i="1" s="1"/>
  <c r="E23308" i="1"/>
  <c r="D23308" i="1"/>
  <c r="E23307" i="1"/>
  <c r="D23307" i="1"/>
  <c r="E23306" i="1"/>
  <c r="D23306" i="1"/>
  <c r="E23305" i="1"/>
  <c r="D23305" i="1"/>
  <c r="E23304" i="1"/>
  <c r="D23304" i="1"/>
  <c r="D23303" i="1"/>
  <c r="E23303" i="1" s="1"/>
  <c r="E23302" i="1"/>
  <c r="D23302" i="1"/>
  <c r="E23301" i="1"/>
  <c r="D23301" i="1"/>
  <c r="D23300" i="1"/>
  <c r="E23300" i="1" s="1"/>
  <c r="D23299" i="1"/>
  <c r="E23299" i="1" s="1"/>
  <c r="D23298" i="1"/>
  <c r="E23298" i="1" s="1"/>
  <c r="D23297" i="1"/>
  <c r="E23297" i="1" s="1"/>
  <c r="E23296" i="1"/>
  <c r="D23296" i="1"/>
  <c r="E23295" i="1"/>
  <c r="D23295" i="1"/>
  <c r="D23294" i="1"/>
  <c r="E23294" i="1" s="1"/>
  <c r="E23293" i="1"/>
  <c r="D23293" i="1"/>
  <c r="E23292" i="1"/>
  <c r="D23292" i="1"/>
  <c r="D23291" i="1"/>
  <c r="E23291" i="1" s="1"/>
  <c r="E23290" i="1"/>
  <c r="D23290" i="1"/>
  <c r="E23289" i="1"/>
  <c r="D23289" i="1"/>
  <c r="D23288" i="1"/>
  <c r="E23288" i="1" s="1"/>
  <c r="D23287" i="1"/>
  <c r="E23287" i="1" s="1"/>
  <c r="D23286" i="1"/>
  <c r="E23286" i="1" s="1"/>
  <c r="D23285" i="1"/>
  <c r="E23285" i="1" s="1"/>
  <c r="E23284" i="1"/>
  <c r="D23284" i="1"/>
  <c r="E23283" i="1"/>
  <c r="D23283" i="1"/>
  <c r="D23282" i="1"/>
  <c r="E23282" i="1" s="1"/>
  <c r="E23281" i="1"/>
  <c r="D23281" i="1"/>
  <c r="E23280" i="1"/>
  <c r="D23280" i="1"/>
  <c r="D23279" i="1"/>
  <c r="E23279" i="1" s="1"/>
  <c r="E23278" i="1"/>
  <c r="D23278" i="1"/>
  <c r="E23277" i="1"/>
  <c r="D23277" i="1"/>
  <c r="D23276" i="1"/>
  <c r="E23276" i="1" s="1"/>
  <c r="D23275" i="1"/>
  <c r="E23275" i="1" s="1"/>
  <c r="D23274" i="1"/>
  <c r="E23274" i="1" s="1"/>
  <c r="D23273" i="1"/>
  <c r="E23273" i="1" s="1"/>
  <c r="E23272" i="1"/>
  <c r="D23272" i="1"/>
  <c r="E23271" i="1"/>
  <c r="D23271" i="1"/>
  <c r="D23270" i="1"/>
  <c r="E23270" i="1" s="1"/>
  <c r="E23269" i="1"/>
  <c r="D23269" i="1"/>
  <c r="E23268" i="1"/>
  <c r="D23268" i="1"/>
  <c r="D23267" i="1"/>
  <c r="E23267" i="1" s="1"/>
  <c r="E23266" i="1"/>
  <c r="D23266" i="1"/>
  <c r="E23265" i="1"/>
  <c r="D23265" i="1"/>
  <c r="D23264" i="1"/>
  <c r="E23264" i="1" s="1"/>
  <c r="D23263" i="1"/>
  <c r="E23263" i="1" s="1"/>
  <c r="D23262" i="1"/>
  <c r="E23262" i="1" s="1"/>
  <c r="E23261" i="1"/>
  <c r="D23261" i="1"/>
  <c r="E23260" i="1"/>
  <c r="D23260" i="1"/>
  <c r="E23259" i="1"/>
  <c r="D23259" i="1"/>
  <c r="D23258" i="1"/>
  <c r="E23258" i="1" s="1"/>
  <c r="E23257" i="1"/>
  <c r="D23257" i="1"/>
  <c r="E23256" i="1"/>
  <c r="D23256" i="1"/>
  <c r="D23255" i="1"/>
  <c r="E23255" i="1" s="1"/>
  <c r="E23254" i="1"/>
  <c r="D23254" i="1"/>
  <c r="E23253" i="1"/>
  <c r="D23253" i="1"/>
  <c r="D23252" i="1"/>
  <c r="E23252" i="1" s="1"/>
  <c r="D23251" i="1"/>
  <c r="E23251" i="1" s="1"/>
  <c r="D23250" i="1"/>
  <c r="E23250" i="1" s="1"/>
  <c r="D23249" i="1"/>
  <c r="E23249" i="1" s="1"/>
  <c r="E23248" i="1"/>
  <c r="D23248" i="1"/>
  <c r="E23247" i="1"/>
  <c r="D23247" i="1"/>
  <c r="E23246" i="1"/>
  <c r="D23246" i="1"/>
  <c r="D23245" i="1"/>
  <c r="E23245" i="1" s="1"/>
  <c r="E23244" i="1"/>
  <c r="D23244" i="1"/>
  <c r="D23243" i="1"/>
  <c r="E23243" i="1" s="1"/>
  <c r="E23242" i="1"/>
  <c r="D23242" i="1"/>
  <c r="E23241" i="1"/>
  <c r="D23241" i="1"/>
  <c r="D23240" i="1"/>
  <c r="E23240" i="1" s="1"/>
  <c r="D23239" i="1"/>
  <c r="E23239" i="1" s="1"/>
  <c r="D23238" i="1"/>
  <c r="E23238" i="1" s="1"/>
  <c r="E23237" i="1"/>
  <c r="D23237" i="1"/>
  <c r="E23236" i="1"/>
  <c r="D23236" i="1"/>
  <c r="E23235" i="1"/>
  <c r="D23235" i="1"/>
  <c r="D23234" i="1"/>
  <c r="E23234" i="1" s="1"/>
  <c r="E23233" i="1"/>
  <c r="D23233" i="1"/>
  <c r="E23232" i="1"/>
  <c r="D23232" i="1"/>
  <c r="D23231" i="1"/>
  <c r="E23231" i="1" s="1"/>
  <c r="E23230" i="1"/>
  <c r="D23230" i="1"/>
  <c r="E23229" i="1"/>
  <c r="D23229" i="1"/>
  <c r="D23228" i="1"/>
  <c r="E23228" i="1" s="1"/>
  <c r="D23227" i="1"/>
  <c r="E23227" i="1" s="1"/>
  <c r="D23226" i="1"/>
  <c r="E23226" i="1" s="1"/>
  <c r="E23225" i="1"/>
  <c r="D23225" i="1"/>
  <c r="E23224" i="1"/>
  <c r="D23224" i="1"/>
  <c r="E23223" i="1"/>
  <c r="D23223" i="1"/>
  <c r="D23222" i="1"/>
  <c r="E23222" i="1" s="1"/>
  <c r="D23221" i="1"/>
  <c r="E23221" i="1" s="1"/>
  <c r="E23220" i="1"/>
  <c r="D23220" i="1"/>
  <c r="D23219" i="1"/>
  <c r="E23219" i="1" s="1"/>
  <c r="E23218" i="1"/>
  <c r="D23218" i="1"/>
  <c r="E23217" i="1"/>
  <c r="D23217" i="1"/>
  <c r="D23216" i="1"/>
  <c r="E23216" i="1" s="1"/>
  <c r="D23215" i="1"/>
  <c r="E23215" i="1" s="1"/>
  <c r="D23214" i="1"/>
  <c r="E23214" i="1" s="1"/>
  <c r="D23213" i="1"/>
  <c r="E23213" i="1" s="1"/>
  <c r="E23212" i="1"/>
  <c r="D23212" i="1"/>
  <c r="E23211" i="1"/>
  <c r="D23211" i="1"/>
  <c r="D23210" i="1"/>
  <c r="E23210" i="1" s="1"/>
  <c r="D23209" i="1"/>
  <c r="E23209" i="1" s="1"/>
  <c r="E23208" i="1"/>
  <c r="D23208" i="1"/>
  <c r="D23207" i="1"/>
  <c r="E23207" i="1" s="1"/>
  <c r="E23206" i="1"/>
  <c r="D23206" i="1"/>
  <c r="E23205" i="1"/>
  <c r="D23205" i="1"/>
  <c r="D23204" i="1"/>
  <c r="E23204" i="1" s="1"/>
  <c r="D23203" i="1"/>
  <c r="E23203" i="1" s="1"/>
  <c r="D23202" i="1"/>
  <c r="E23202" i="1" s="1"/>
  <c r="D23201" i="1"/>
  <c r="E23201" i="1" s="1"/>
  <c r="E23200" i="1"/>
  <c r="D23200" i="1"/>
  <c r="E23199" i="1"/>
  <c r="D23199" i="1"/>
  <c r="E23198" i="1"/>
  <c r="D23198" i="1"/>
  <c r="E23197" i="1"/>
  <c r="D23197" i="1"/>
  <c r="E23196" i="1"/>
  <c r="D23196" i="1"/>
  <c r="D23195" i="1"/>
  <c r="E23195" i="1" s="1"/>
  <c r="E23194" i="1"/>
  <c r="D23194" i="1"/>
  <c r="E23193" i="1"/>
  <c r="D23193" i="1"/>
  <c r="D23192" i="1"/>
  <c r="E23192" i="1" s="1"/>
  <c r="E23191" i="1"/>
  <c r="D23191" i="1"/>
  <c r="D23190" i="1"/>
  <c r="E23190" i="1" s="1"/>
  <c r="D23189" i="1"/>
  <c r="E23189" i="1" s="1"/>
  <c r="E23188" i="1"/>
  <c r="D23188" i="1"/>
  <c r="E23187" i="1"/>
  <c r="D23187" i="1"/>
  <c r="D23186" i="1"/>
  <c r="E23186" i="1" s="1"/>
  <c r="D23185" i="1"/>
  <c r="E23185" i="1" s="1"/>
  <c r="E23184" i="1"/>
  <c r="D23184" i="1"/>
  <c r="D23183" i="1"/>
  <c r="E23183" i="1" s="1"/>
  <c r="E23182" i="1"/>
  <c r="D23182" i="1"/>
  <c r="E23181" i="1"/>
  <c r="D23181" i="1"/>
  <c r="D23180" i="1"/>
  <c r="E23180" i="1" s="1"/>
  <c r="E23179" i="1"/>
  <c r="D23179" i="1"/>
  <c r="D23178" i="1"/>
  <c r="E23178" i="1" s="1"/>
  <c r="E23177" i="1"/>
  <c r="D23177" i="1"/>
  <c r="E23176" i="1"/>
  <c r="D23176" i="1"/>
  <c r="D23175" i="1"/>
  <c r="E23175" i="1" s="1"/>
  <c r="D23174" i="1"/>
  <c r="E23174" i="1" s="1"/>
  <c r="E23173" i="1"/>
  <c r="D23173" i="1"/>
  <c r="E23172" i="1"/>
  <c r="D23172" i="1"/>
  <c r="D23171" i="1"/>
  <c r="E23171" i="1" s="1"/>
  <c r="E23170" i="1"/>
  <c r="D23170" i="1"/>
  <c r="E23169" i="1"/>
  <c r="D23169" i="1"/>
  <c r="D23168" i="1"/>
  <c r="E23168" i="1" s="1"/>
  <c r="D23167" i="1"/>
  <c r="E23167" i="1" s="1"/>
  <c r="D23166" i="1"/>
  <c r="E23166" i="1" s="1"/>
  <c r="E23165" i="1"/>
  <c r="D23165" i="1"/>
  <c r="E23164" i="1"/>
  <c r="D23164" i="1"/>
  <c r="E23163" i="1"/>
  <c r="D23163" i="1"/>
  <c r="D23162" i="1"/>
  <c r="E23162" i="1" s="1"/>
  <c r="D23161" i="1"/>
  <c r="E23161" i="1" s="1"/>
  <c r="E23160" i="1"/>
  <c r="D23160" i="1"/>
  <c r="D23159" i="1"/>
  <c r="E23159" i="1" s="1"/>
  <c r="E23158" i="1"/>
  <c r="D23158" i="1"/>
  <c r="E23157" i="1"/>
  <c r="D23157" i="1"/>
  <c r="D23156" i="1"/>
  <c r="E23156" i="1" s="1"/>
  <c r="D23155" i="1"/>
  <c r="E23155" i="1" s="1"/>
  <c r="D23154" i="1"/>
  <c r="E23154" i="1" s="1"/>
  <c r="D23153" i="1"/>
  <c r="E23153" i="1" s="1"/>
  <c r="E23152" i="1"/>
  <c r="D23152" i="1"/>
  <c r="D23151" i="1"/>
  <c r="E23151" i="1" s="1"/>
  <c r="E23150" i="1"/>
  <c r="D23150" i="1"/>
  <c r="E23149" i="1"/>
  <c r="D23149" i="1"/>
  <c r="E23148" i="1"/>
  <c r="D23148" i="1"/>
  <c r="D23147" i="1"/>
  <c r="E23147" i="1" s="1"/>
  <c r="E23146" i="1"/>
  <c r="D23146" i="1"/>
  <c r="E23145" i="1"/>
  <c r="D23145" i="1"/>
  <c r="D23144" i="1"/>
  <c r="E23144" i="1" s="1"/>
  <c r="E23143" i="1"/>
  <c r="D23143" i="1"/>
  <c r="D23142" i="1"/>
  <c r="E23142" i="1" s="1"/>
  <c r="D23141" i="1"/>
  <c r="E23141" i="1" s="1"/>
  <c r="D23140" i="1"/>
  <c r="E23140" i="1" s="1"/>
  <c r="D23139" i="1"/>
  <c r="E23139" i="1" s="1"/>
  <c r="E23138" i="1"/>
  <c r="D23138" i="1"/>
  <c r="D23137" i="1"/>
  <c r="E23137" i="1" s="1"/>
  <c r="E23136" i="1"/>
  <c r="D23136" i="1"/>
  <c r="D23135" i="1"/>
  <c r="E23135" i="1" s="1"/>
  <c r="E23134" i="1"/>
  <c r="D23134" i="1"/>
  <c r="E23133" i="1"/>
  <c r="D23133" i="1"/>
  <c r="D23132" i="1"/>
  <c r="E23132" i="1" s="1"/>
  <c r="D23131" i="1"/>
  <c r="E23131" i="1" s="1"/>
  <c r="D23130" i="1"/>
  <c r="E23130" i="1" s="1"/>
  <c r="E23129" i="1"/>
  <c r="D23129" i="1"/>
  <c r="E23128" i="1"/>
  <c r="D23128" i="1"/>
  <c r="E23127" i="1"/>
  <c r="D23127" i="1"/>
  <c r="D23126" i="1"/>
  <c r="E23126" i="1" s="1"/>
  <c r="D23125" i="1"/>
  <c r="E23125" i="1" s="1"/>
  <c r="E23124" i="1"/>
  <c r="D23124" i="1"/>
  <c r="D23123" i="1"/>
  <c r="E23123" i="1" s="1"/>
  <c r="E23122" i="1"/>
  <c r="D23122" i="1"/>
  <c r="E23121" i="1"/>
  <c r="D23121" i="1"/>
  <c r="D23120" i="1"/>
  <c r="E23120" i="1" s="1"/>
  <c r="D23119" i="1"/>
  <c r="E23119" i="1" s="1"/>
  <c r="D23118" i="1"/>
  <c r="E23118" i="1" s="1"/>
  <c r="D23117" i="1"/>
  <c r="E23117" i="1" s="1"/>
  <c r="D23116" i="1"/>
  <c r="E23116" i="1" s="1"/>
  <c r="E23115" i="1"/>
  <c r="D23115" i="1"/>
  <c r="D23114" i="1"/>
  <c r="E23114" i="1" s="1"/>
  <c r="D23113" i="1"/>
  <c r="E23113" i="1" s="1"/>
  <c r="E23112" i="1"/>
  <c r="D23112" i="1"/>
  <c r="D23111" i="1"/>
  <c r="E23111" i="1" s="1"/>
  <c r="E23110" i="1"/>
  <c r="D23110" i="1"/>
  <c r="E23109" i="1"/>
  <c r="D23109" i="1"/>
  <c r="D23108" i="1"/>
  <c r="E23108" i="1" s="1"/>
  <c r="D23107" i="1"/>
  <c r="E23107" i="1" s="1"/>
  <c r="D23106" i="1"/>
  <c r="E23106" i="1" s="1"/>
  <c r="D23105" i="1"/>
  <c r="E23105" i="1" s="1"/>
  <c r="E23104" i="1"/>
  <c r="D23104" i="1"/>
  <c r="D23103" i="1"/>
  <c r="E23103" i="1" s="1"/>
  <c r="E23102" i="1"/>
  <c r="D23102" i="1"/>
  <c r="E23101" i="1"/>
  <c r="D23101" i="1"/>
  <c r="E23100" i="1"/>
  <c r="D23100" i="1"/>
  <c r="D23099" i="1"/>
  <c r="E23099" i="1" s="1"/>
  <c r="E23098" i="1"/>
  <c r="D23098" i="1"/>
  <c r="E23097" i="1"/>
  <c r="D23097" i="1"/>
  <c r="D23096" i="1"/>
  <c r="E23096" i="1" s="1"/>
  <c r="E23095" i="1"/>
  <c r="D23095" i="1"/>
  <c r="D23094" i="1"/>
  <c r="E23094" i="1" s="1"/>
  <c r="D23093" i="1"/>
  <c r="E23093" i="1" s="1"/>
  <c r="D23092" i="1"/>
  <c r="E23092" i="1" s="1"/>
  <c r="E23091" i="1"/>
  <c r="D23091" i="1"/>
  <c r="D23090" i="1"/>
  <c r="E23090" i="1" s="1"/>
  <c r="D23089" i="1"/>
  <c r="E23089" i="1" s="1"/>
  <c r="E23088" i="1"/>
  <c r="D23088" i="1"/>
  <c r="D23087" i="1"/>
  <c r="E23087" i="1" s="1"/>
  <c r="E23086" i="1"/>
  <c r="D23086" i="1"/>
  <c r="E23085" i="1"/>
  <c r="D23085" i="1"/>
  <c r="D23084" i="1"/>
  <c r="E23084" i="1" s="1"/>
  <c r="E23083" i="1"/>
  <c r="D23083" i="1"/>
  <c r="D23082" i="1"/>
  <c r="E23082" i="1" s="1"/>
  <c r="E23081" i="1"/>
  <c r="D23081" i="1"/>
  <c r="E23080" i="1"/>
  <c r="D23080" i="1"/>
  <c r="D23079" i="1"/>
  <c r="E23079" i="1" s="1"/>
  <c r="D23078" i="1"/>
  <c r="E23078" i="1" s="1"/>
  <c r="E23077" i="1"/>
  <c r="D23077" i="1"/>
  <c r="E23076" i="1"/>
  <c r="D23076" i="1"/>
  <c r="D23075" i="1"/>
  <c r="E23075" i="1" s="1"/>
  <c r="E23074" i="1"/>
  <c r="D23074" i="1"/>
  <c r="E23073" i="1"/>
  <c r="D23073" i="1"/>
  <c r="D23072" i="1"/>
  <c r="E23072" i="1" s="1"/>
  <c r="D23071" i="1"/>
  <c r="E23071" i="1" s="1"/>
  <c r="D23070" i="1"/>
  <c r="E23070" i="1" s="1"/>
  <c r="E23069" i="1"/>
  <c r="D23069" i="1"/>
  <c r="D23068" i="1"/>
  <c r="E23068" i="1" s="1"/>
  <c r="E23067" i="1"/>
  <c r="D23067" i="1"/>
  <c r="D23066" i="1"/>
  <c r="E23066" i="1" s="1"/>
  <c r="D23065" i="1"/>
  <c r="E23065" i="1" s="1"/>
  <c r="E23064" i="1"/>
  <c r="D23064" i="1"/>
  <c r="D23063" i="1"/>
  <c r="E23063" i="1" s="1"/>
  <c r="E23062" i="1"/>
  <c r="D23062" i="1"/>
  <c r="E23061" i="1"/>
  <c r="D23061" i="1"/>
  <c r="D23060" i="1"/>
  <c r="E23060" i="1" s="1"/>
  <c r="D23059" i="1"/>
  <c r="E23059" i="1" s="1"/>
  <c r="D23058" i="1"/>
  <c r="E23058" i="1" s="1"/>
  <c r="D23057" i="1"/>
  <c r="E23057" i="1" s="1"/>
  <c r="D23056" i="1"/>
  <c r="E23056" i="1" s="1"/>
  <c r="D23055" i="1"/>
  <c r="E23055" i="1" s="1"/>
  <c r="E23054" i="1"/>
  <c r="D23054" i="1"/>
  <c r="E23053" i="1"/>
  <c r="D23053" i="1"/>
  <c r="E23052" i="1"/>
  <c r="D23052" i="1"/>
  <c r="D23051" i="1"/>
  <c r="E23051" i="1" s="1"/>
  <c r="E23050" i="1"/>
  <c r="D23050" i="1"/>
  <c r="E23049" i="1"/>
  <c r="D23049" i="1"/>
  <c r="D23048" i="1"/>
  <c r="E23048" i="1" s="1"/>
  <c r="E23047" i="1"/>
  <c r="D23047" i="1"/>
  <c r="D23046" i="1"/>
  <c r="E23046" i="1" s="1"/>
  <c r="D23045" i="1"/>
  <c r="E23045" i="1" s="1"/>
  <c r="D23044" i="1"/>
  <c r="E23044" i="1" s="1"/>
  <c r="D23043" i="1"/>
  <c r="E23043" i="1" s="1"/>
  <c r="E23042" i="1"/>
  <c r="D23042" i="1"/>
  <c r="D23041" i="1"/>
  <c r="E23041" i="1" s="1"/>
  <c r="E23040" i="1"/>
  <c r="D23040" i="1"/>
  <c r="D23039" i="1"/>
  <c r="E23039" i="1" s="1"/>
  <c r="E23038" i="1"/>
  <c r="D23038" i="1"/>
  <c r="E23037" i="1"/>
  <c r="D23037" i="1"/>
  <c r="D23036" i="1"/>
  <c r="E23036" i="1" s="1"/>
  <c r="D23035" i="1"/>
  <c r="E23035" i="1" s="1"/>
  <c r="D23034" i="1"/>
  <c r="E23034" i="1" s="1"/>
  <c r="E23033" i="1"/>
  <c r="D23033" i="1"/>
  <c r="E23032" i="1"/>
  <c r="D23032" i="1"/>
  <c r="E23031" i="1"/>
  <c r="D23031" i="1"/>
  <c r="D23030" i="1"/>
  <c r="E23030" i="1" s="1"/>
  <c r="D23029" i="1"/>
  <c r="E23029" i="1" s="1"/>
  <c r="E23028" i="1"/>
  <c r="D23028" i="1"/>
  <c r="D23027" i="1"/>
  <c r="E23027" i="1" s="1"/>
  <c r="E23026" i="1"/>
  <c r="D23026" i="1"/>
  <c r="E23025" i="1"/>
  <c r="D23025" i="1"/>
  <c r="D23024" i="1"/>
  <c r="E23024" i="1" s="1"/>
  <c r="D23023" i="1"/>
  <c r="E23023" i="1" s="1"/>
  <c r="D23022" i="1"/>
  <c r="E23022" i="1" s="1"/>
  <c r="D23021" i="1"/>
  <c r="E23021" i="1" s="1"/>
  <c r="D23020" i="1"/>
  <c r="E23020" i="1" s="1"/>
  <c r="D23019" i="1"/>
  <c r="E23019" i="1" s="1"/>
  <c r="D23018" i="1"/>
  <c r="E23018" i="1" s="1"/>
  <c r="D23017" i="1"/>
  <c r="E23017" i="1" s="1"/>
  <c r="E23016" i="1"/>
  <c r="D23016" i="1"/>
  <c r="D23015" i="1"/>
  <c r="E23015" i="1" s="1"/>
  <c r="E23014" i="1"/>
  <c r="D23014" i="1"/>
  <c r="E23013" i="1"/>
  <c r="D23013" i="1"/>
  <c r="D23012" i="1"/>
  <c r="E23012" i="1" s="1"/>
  <c r="D23011" i="1"/>
  <c r="E23011" i="1" s="1"/>
  <c r="D23010" i="1"/>
  <c r="E23010" i="1" s="1"/>
  <c r="D23009" i="1"/>
  <c r="E23009" i="1" s="1"/>
  <c r="E23008" i="1"/>
  <c r="D23008" i="1"/>
  <c r="D23007" i="1"/>
  <c r="E23007" i="1" s="1"/>
  <c r="E23006" i="1"/>
  <c r="D23006" i="1"/>
  <c r="E23005" i="1"/>
  <c r="D23005" i="1"/>
  <c r="E23004" i="1"/>
  <c r="D23004" i="1"/>
  <c r="D23003" i="1"/>
  <c r="E23003" i="1" s="1"/>
  <c r="E23002" i="1"/>
  <c r="D23002" i="1"/>
  <c r="E23001" i="1"/>
  <c r="D23001" i="1"/>
  <c r="D23000" i="1"/>
  <c r="E23000" i="1" s="1"/>
  <c r="E22999" i="1"/>
  <c r="D22999" i="1"/>
  <c r="D22998" i="1"/>
  <c r="E22998" i="1" s="1"/>
  <c r="D22997" i="1"/>
  <c r="E22997" i="1" s="1"/>
  <c r="D22996" i="1"/>
  <c r="E22996" i="1" s="1"/>
  <c r="E22995" i="1"/>
  <c r="D22995" i="1"/>
  <c r="D22994" i="1"/>
  <c r="E22994" i="1" s="1"/>
  <c r="D22993" i="1"/>
  <c r="E22993" i="1" s="1"/>
  <c r="E22992" i="1"/>
  <c r="D22992" i="1"/>
  <c r="D22991" i="1"/>
  <c r="E22991" i="1" s="1"/>
  <c r="E22990" i="1"/>
  <c r="D22990" i="1"/>
  <c r="D22989" i="1"/>
  <c r="E22989" i="1" s="1"/>
  <c r="D22988" i="1"/>
  <c r="E22988" i="1" s="1"/>
  <c r="E22987" i="1"/>
  <c r="D22987" i="1"/>
  <c r="D22986" i="1"/>
  <c r="E22986" i="1" s="1"/>
  <c r="E22985" i="1"/>
  <c r="D22985" i="1"/>
  <c r="E22984" i="1"/>
  <c r="D22984" i="1"/>
  <c r="D22983" i="1"/>
  <c r="E22983" i="1" s="1"/>
  <c r="D22982" i="1"/>
  <c r="E22982" i="1" s="1"/>
  <c r="E22981" i="1"/>
  <c r="D22981" i="1"/>
  <c r="E22980" i="1"/>
  <c r="D22980" i="1"/>
  <c r="D22979" i="1"/>
  <c r="E22979" i="1" s="1"/>
  <c r="E22978" i="1"/>
  <c r="D22978" i="1"/>
  <c r="D22977" i="1"/>
  <c r="E22977" i="1" s="1"/>
  <c r="D22976" i="1"/>
  <c r="E22976" i="1" s="1"/>
  <c r="D22975" i="1"/>
  <c r="E22975" i="1" s="1"/>
  <c r="D22974" i="1"/>
  <c r="E22974" i="1" s="1"/>
  <c r="E22973" i="1"/>
  <c r="D22973" i="1"/>
  <c r="D22972" i="1"/>
  <c r="E22972" i="1" s="1"/>
  <c r="E22971" i="1"/>
  <c r="D22971" i="1"/>
  <c r="D22970" i="1"/>
  <c r="E22970" i="1" s="1"/>
  <c r="D22969" i="1"/>
  <c r="E22969" i="1" s="1"/>
  <c r="E22968" i="1"/>
  <c r="D22968" i="1"/>
  <c r="D22967" i="1"/>
  <c r="E22967" i="1" s="1"/>
  <c r="E22966" i="1"/>
  <c r="D22966" i="1"/>
  <c r="E22965" i="1"/>
  <c r="D22965" i="1"/>
  <c r="D22964" i="1"/>
  <c r="E22964" i="1" s="1"/>
  <c r="D22963" i="1"/>
  <c r="E22963" i="1" s="1"/>
  <c r="D22962" i="1"/>
  <c r="E22962" i="1" s="1"/>
  <c r="D22961" i="1"/>
  <c r="E22961" i="1" s="1"/>
  <c r="E22960" i="1"/>
  <c r="D22960" i="1"/>
  <c r="D22959" i="1"/>
  <c r="E22959" i="1" s="1"/>
  <c r="E22958" i="1"/>
  <c r="D22958" i="1"/>
  <c r="E22957" i="1"/>
  <c r="D22957" i="1"/>
  <c r="D22956" i="1"/>
  <c r="E22956" i="1" s="1"/>
  <c r="D22955" i="1"/>
  <c r="E22955" i="1" s="1"/>
  <c r="E22954" i="1"/>
  <c r="D22954" i="1"/>
  <c r="D22953" i="1"/>
  <c r="E22953" i="1" s="1"/>
  <c r="D22952" i="1"/>
  <c r="E22952" i="1" s="1"/>
  <c r="E22951" i="1"/>
  <c r="D22951" i="1"/>
  <c r="D22950" i="1"/>
  <c r="E22950" i="1" s="1"/>
  <c r="D22949" i="1"/>
  <c r="E22949" i="1" s="1"/>
  <c r="D22948" i="1"/>
  <c r="E22948" i="1" s="1"/>
  <c r="E22947" i="1"/>
  <c r="D22947" i="1"/>
  <c r="E22946" i="1"/>
  <c r="D22946" i="1"/>
  <c r="D22945" i="1"/>
  <c r="E22945" i="1" s="1"/>
  <c r="E22944" i="1"/>
  <c r="D22944" i="1"/>
  <c r="D22943" i="1"/>
  <c r="E22943" i="1" s="1"/>
  <c r="E22942" i="1"/>
  <c r="D22942" i="1"/>
  <c r="D22941" i="1"/>
  <c r="E22941" i="1" s="1"/>
  <c r="D22940" i="1"/>
  <c r="E22940" i="1" s="1"/>
  <c r="D22939" i="1"/>
  <c r="E22939" i="1" s="1"/>
  <c r="D22938" i="1"/>
  <c r="E22938" i="1" s="1"/>
  <c r="E22937" i="1"/>
  <c r="D22937" i="1"/>
  <c r="E22936" i="1"/>
  <c r="D22936" i="1"/>
  <c r="E22935" i="1"/>
  <c r="D22935" i="1"/>
  <c r="D22934" i="1"/>
  <c r="E22934" i="1" s="1"/>
  <c r="D22933" i="1"/>
  <c r="E22933" i="1" s="1"/>
  <c r="D22932" i="1"/>
  <c r="E22932" i="1" s="1"/>
  <c r="D22931" i="1"/>
  <c r="E22931" i="1" s="1"/>
  <c r="E22930" i="1"/>
  <c r="D22930" i="1"/>
  <c r="D22929" i="1"/>
  <c r="E22929" i="1" s="1"/>
  <c r="D22928" i="1"/>
  <c r="E22928" i="1" s="1"/>
  <c r="D22927" i="1"/>
  <c r="E22927" i="1" s="1"/>
  <c r="D22926" i="1"/>
  <c r="E22926" i="1" s="1"/>
  <c r="D22925" i="1"/>
  <c r="E22925" i="1" s="1"/>
  <c r="D22924" i="1"/>
  <c r="E22924" i="1" s="1"/>
  <c r="E22923" i="1"/>
  <c r="D22923" i="1"/>
  <c r="D22922" i="1"/>
  <c r="E22922" i="1" s="1"/>
  <c r="D22921" i="1"/>
  <c r="E22921" i="1" s="1"/>
  <c r="D22920" i="1"/>
  <c r="E22920" i="1" s="1"/>
  <c r="D22919" i="1"/>
  <c r="E22919" i="1" s="1"/>
  <c r="E22918" i="1"/>
  <c r="D22918" i="1"/>
  <c r="E22917" i="1"/>
  <c r="D22917" i="1"/>
  <c r="D22916" i="1"/>
  <c r="E22916" i="1" s="1"/>
  <c r="D22915" i="1"/>
  <c r="E22915" i="1" s="1"/>
  <c r="D22914" i="1"/>
  <c r="E22914" i="1" s="1"/>
  <c r="D22913" i="1"/>
  <c r="E22913" i="1" s="1"/>
  <c r="E22912" i="1"/>
  <c r="D22912" i="1"/>
  <c r="D22911" i="1"/>
  <c r="E22911" i="1" s="1"/>
  <c r="E22910" i="1"/>
  <c r="D22910" i="1"/>
  <c r="E22909" i="1"/>
  <c r="D22909" i="1"/>
  <c r="E22908" i="1"/>
  <c r="D22908" i="1"/>
  <c r="D22907" i="1"/>
  <c r="E22907" i="1" s="1"/>
  <c r="E22906" i="1"/>
  <c r="D22906" i="1"/>
  <c r="E22905" i="1"/>
  <c r="D22905" i="1"/>
  <c r="D22904" i="1"/>
  <c r="E22904" i="1" s="1"/>
  <c r="E22903" i="1"/>
  <c r="D22903" i="1"/>
  <c r="D22902" i="1"/>
  <c r="E22902" i="1" s="1"/>
  <c r="D22901" i="1"/>
  <c r="E22901" i="1" s="1"/>
  <c r="D22900" i="1"/>
  <c r="E22900" i="1" s="1"/>
  <c r="E22899" i="1"/>
  <c r="D22899" i="1"/>
  <c r="D22898" i="1"/>
  <c r="E22898" i="1" s="1"/>
  <c r="D22897" i="1"/>
  <c r="E22897" i="1" s="1"/>
  <c r="E22896" i="1"/>
  <c r="D22896" i="1"/>
  <c r="D22895" i="1"/>
  <c r="E22895" i="1" s="1"/>
  <c r="E22894" i="1"/>
  <c r="D22894" i="1"/>
  <c r="D22893" i="1"/>
  <c r="E22893" i="1" s="1"/>
  <c r="D22892" i="1"/>
  <c r="E22892" i="1" s="1"/>
  <c r="E22891" i="1"/>
  <c r="D22891" i="1"/>
  <c r="D22890" i="1"/>
  <c r="E22890" i="1" s="1"/>
  <c r="E22889" i="1"/>
  <c r="D22889" i="1"/>
  <c r="E22888" i="1"/>
  <c r="D22888" i="1"/>
  <c r="D22887" i="1"/>
  <c r="E22887" i="1" s="1"/>
  <c r="D22886" i="1"/>
  <c r="E22886" i="1" s="1"/>
  <c r="E22885" i="1"/>
  <c r="D22885" i="1"/>
  <c r="D22884" i="1"/>
  <c r="E22884" i="1" s="1"/>
  <c r="D22883" i="1"/>
  <c r="E22883" i="1" s="1"/>
  <c r="E22882" i="1"/>
  <c r="D22882" i="1"/>
  <c r="D22881" i="1"/>
  <c r="E22881" i="1" s="1"/>
  <c r="D22880" i="1"/>
  <c r="E22880" i="1" s="1"/>
  <c r="D22879" i="1"/>
  <c r="E22879" i="1" s="1"/>
  <c r="D22878" i="1"/>
  <c r="E22878" i="1" s="1"/>
  <c r="E22877" i="1"/>
  <c r="D22877" i="1"/>
  <c r="D22876" i="1"/>
  <c r="E22876" i="1" s="1"/>
  <c r="E22875" i="1"/>
  <c r="D22875" i="1"/>
  <c r="D22874" i="1"/>
  <c r="E22874" i="1" s="1"/>
  <c r="D22873" i="1"/>
  <c r="E22873" i="1" s="1"/>
  <c r="E22872" i="1"/>
  <c r="D22872" i="1"/>
  <c r="D22871" i="1"/>
  <c r="E22871" i="1" s="1"/>
  <c r="E22870" i="1"/>
  <c r="D22870" i="1"/>
  <c r="E22869" i="1"/>
  <c r="D22869" i="1"/>
  <c r="D22868" i="1"/>
  <c r="E22868" i="1" s="1"/>
  <c r="D22867" i="1"/>
  <c r="E22867" i="1" s="1"/>
  <c r="D22866" i="1"/>
  <c r="E22866" i="1" s="1"/>
  <c r="D22865" i="1"/>
  <c r="E22865" i="1" s="1"/>
  <c r="E22864" i="1"/>
  <c r="D22864" i="1"/>
  <c r="D22863" i="1"/>
  <c r="E22863" i="1" s="1"/>
  <c r="E22862" i="1"/>
  <c r="D22862" i="1"/>
  <c r="E22861" i="1"/>
  <c r="D22861" i="1"/>
  <c r="D22860" i="1"/>
  <c r="E22860" i="1" s="1"/>
  <c r="D22859" i="1"/>
  <c r="E22859" i="1" s="1"/>
  <c r="E22858" i="1"/>
  <c r="D22858" i="1"/>
  <c r="D22857" i="1"/>
  <c r="E22857" i="1" s="1"/>
  <c r="D22856" i="1"/>
  <c r="E22856" i="1" s="1"/>
  <c r="E22855" i="1"/>
  <c r="D22855" i="1"/>
  <c r="D22854" i="1"/>
  <c r="E22854" i="1" s="1"/>
  <c r="D22853" i="1"/>
  <c r="E22853" i="1" s="1"/>
  <c r="D22852" i="1"/>
  <c r="E22852" i="1" s="1"/>
  <c r="D22851" i="1"/>
  <c r="E22851" i="1" s="1"/>
  <c r="E22850" i="1"/>
  <c r="D22850" i="1"/>
  <c r="D22849" i="1"/>
  <c r="E22849" i="1" s="1"/>
  <c r="E22848" i="1"/>
  <c r="D22848" i="1"/>
  <c r="D22847" i="1"/>
  <c r="E22847" i="1" s="1"/>
  <c r="D22846" i="1"/>
  <c r="E22846" i="1" s="1"/>
  <c r="D22845" i="1"/>
  <c r="E22845" i="1" s="1"/>
  <c r="D22844" i="1"/>
  <c r="E22844" i="1" s="1"/>
  <c r="D22843" i="1"/>
  <c r="E22843" i="1" s="1"/>
  <c r="D22842" i="1"/>
  <c r="E22842" i="1" s="1"/>
  <c r="E22841" i="1"/>
  <c r="D22841" i="1"/>
  <c r="E22840" i="1"/>
  <c r="D22840" i="1"/>
  <c r="E22839" i="1"/>
  <c r="D22839" i="1"/>
  <c r="D22838" i="1"/>
  <c r="E22838" i="1" s="1"/>
  <c r="E22837" i="1"/>
  <c r="D22837" i="1"/>
  <c r="D22836" i="1"/>
  <c r="E22836" i="1" s="1"/>
  <c r="D22835" i="1"/>
  <c r="E22835" i="1" s="1"/>
  <c r="E22834" i="1"/>
  <c r="D22834" i="1"/>
  <c r="D22833" i="1"/>
  <c r="E22833" i="1" s="1"/>
  <c r="D22832" i="1"/>
  <c r="E22832" i="1" s="1"/>
  <c r="D22831" i="1"/>
  <c r="E22831" i="1" s="1"/>
  <c r="D22830" i="1"/>
  <c r="E22830" i="1" s="1"/>
  <c r="D22829" i="1"/>
  <c r="E22829" i="1" s="1"/>
  <c r="D22828" i="1"/>
  <c r="E22828" i="1" s="1"/>
  <c r="D22827" i="1"/>
  <c r="E22827" i="1" s="1"/>
  <c r="D22826" i="1"/>
  <c r="E22826" i="1" s="1"/>
  <c r="D22825" i="1"/>
  <c r="E22825" i="1" s="1"/>
  <c r="E22824" i="1"/>
  <c r="D22824" i="1"/>
  <c r="D22823" i="1"/>
  <c r="E22823" i="1" s="1"/>
  <c r="D22822" i="1"/>
  <c r="E22822" i="1" s="1"/>
  <c r="E22821" i="1"/>
  <c r="D22821" i="1"/>
  <c r="D22820" i="1"/>
  <c r="E22820" i="1" s="1"/>
  <c r="D22819" i="1"/>
  <c r="E22819" i="1" s="1"/>
  <c r="D22818" i="1"/>
  <c r="E22818" i="1" s="1"/>
  <c r="D22817" i="1"/>
  <c r="E22817" i="1" s="1"/>
  <c r="E22816" i="1"/>
  <c r="D22816" i="1"/>
  <c r="D22815" i="1"/>
  <c r="E22815" i="1" s="1"/>
  <c r="E22814" i="1"/>
  <c r="D22814" i="1"/>
  <c r="E22813" i="1"/>
  <c r="D22813" i="1"/>
  <c r="E22812" i="1"/>
  <c r="D22812" i="1"/>
  <c r="D22811" i="1"/>
  <c r="E22811" i="1" s="1"/>
  <c r="D22810" i="1"/>
  <c r="E22810" i="1" s="1"/>
  <c r="E22809" i="1"/>
  <c r="D22809" i="1"/>
  <c r="D22808" i="1"/>
  <c r="E22808" i="1" s="1"/>
  <c r="E22807" i="1"/>
  <c r="D22807" i="1"/>
  <c r="D22806" i="1"/>
  <c r="E22806" i="1" s="1"/>
  <c r="D22805" i="1"/>
  <c r="E22805" i="1" s="1"/>
  <c r="D22804" i="1"/>
  <c r="E22804" i="1" s="1"/>
  <c r="E22803" i="1"/>
  <c r="D22803" i="1"/>
  <c r="D22802" i="1"/>
  <c r="E22802" i="1" s="1"/>
  <c r="D22801" i="1"/>
  <c r="E22801" i="1" s="1"/>
  <c r="D22800" i="1"/>
  <c r="E22800" i="1" s="1"/>
  <c r="D22799" i="1"/>
  <c r="E22799" i="1" s="1"/>
  <c r="E22798" i="1"/>
  <c r="D22798" i="1"/>
  <c r="D22797" i="1"/>
  <c r="E22797" i="1" s="1"/>
  <c r="D22796" i="1"/>
  <c r="E22796" i="1" s="1"/>
  <c r="E22795" i="1"/>
  <c r="D22795" i="1"/>
  <c r="D22794" i="1"/>
  <c r="E22794" i="1" s="1"/>
  <c r="E22793" i="1"/>
  <c r="D22793" i="1"/>
  <c r="E22792" i="1"/>
  <c r="D22792" i="1"/>
  <c r="D22791" i="1"/>
  <c r="E22791" i="1" s="1"/>
  <c r="D22790" i="1"/>
  <c r="E22790" i="1" s="1"/>
  <c r="E22789" i="1"/>
  <c r="D22789" i="1"/>
  <c r="D22788" i="1"/>
  <c r="E22788" i="1" s="1"/>
  <c r="D22787" i="1"/>
  <c r="E22787" i="1" s="1"/>
  <c r="D22786" i="1"/>
  <c r="E22786" i="1" s="1"/>
  <c r="D22785" i="1"/>
  <c r="E22785" i="1" s="1"/>
  <c r="D22784" i="1"/>
  <c r="E22784" i="1" s="1"/>
  <c r="D22783" i="1"/>
  <c r="E22783" i="1" s="1"/>
  <c r="D22782" i="1"/>
  <c r="E22782" i="1" s="1"/>
  <c r="E22781" i="1"/>
  <c r="D22781" i="1"/>
  <c r="D22780" i="1"/>
  <c r="E22780" i="1" s="1"/>
  <c r="E22779" i="1"/>
  <c r="D22779" i="1"/>
  <c r="D22778" i="1"/>
  <c r="E22778" i="1" s="1"/>
  <c r="D22777" i="1"/>
  <c r="E22777" i="1" s="1"/>
  <c r="E22776" i="1"/>
  <c r="D22776" i="1"/>
  <c r="D22775" i="1"/>
  <c r="E22775" i="1" s="1"/>
  <c r="D22774" i="1"/>
  <c r="E22774" i="1" s="1"/>
  <c r="E22773" i="1"/>
  <c r="D22773" i="1"/>
  <c r="D22772" i="1"/>
  <c r="E22772" i="1" s="1"/>
  <c r="D22771" i="1"/>
  <c r="E22771" i="1" s="1"/>
  <c r="D22770" i="1"/>
  <c r="E22770" i="1" s="1"/>
  <c r="D22769" i="1"/>
  <c r="E22769" i="1" s="1"/>
  <c r="D22768" i="1"/>
  <c r="E22768" i="1" s="1"/>
  <c r="D22767" i="1"/>
  <c r="E22767" i="1" s="1"/>
  <c r="E22766" i="1"/>
  <c r="D22766" i="1"/>
  <c r="E22765" i="1"/>
  <c r="D22765" i="1"/>
  <c r="D22764" i="1"/>
  <c r="E22764" i="1" s="1"/>
  <c r="D22763" i="1"/>
  <c r="E22763" i="1" s="1"/>
  <c r="E22762" i="1"/>
  <c r="D22762" i="1"/>
  <c r="D22761" i="1"/>
  <c r="E22761" i="1" s="1"/>
  <c r="D22760" i="1"/>
  <c r="E22760" i="1" s="1"/>
  <c r="E22759" i="1"/>
  <c r="D22759" i="1"/>
  <c r="D22758" i="1"/>
  <c r="E22758" i="1" s="1"/>
  <c r="D22757" i="1"/>
  <c r="E22757" i="1" s="1"/>
  <c r="D22756" i="1"/>
  <c r="E22756" i="1" s="1"/>
  <c r="E22755" i="1"/>
  <c r="D22755" i="1"/>
  <c r="E22754" i="1"/>
  <c r="D22754" i="1"/>
  <c r="D22753" i="1"/>
  <c r="E22753" i="1" s="1"/>
  <c r="E22752" i="1"/>
  <c r="D22752" i="1"/>
  <c r="D22751" i="1"/>
  <c r="E22751" i="1" s="1"/>
  <c r="D22750" i="1"/>
  <c r="E22750" i="1" s="1"/>
  <c r="D22749" i="1"/>
  <c r="E22749" i="1" s="1"/>
  <c r="D22748" i="1"/>
  <c r="E22748" i="1" s="1"/>
  <c r="D22747" i="1"/>
  <c r="E22747" i="1" s="1"/>
  <c r="D22746" i="1"/>
  <c r="E22746" i="1" s="1"/>
  <c r="E22745" i="1"/>
  <c r="D22745" i="1"/>
  <c r="E22744" i="1"/>
  <c r="D22744" i="1"/>
  <c r="E22743" i="1"/>
  <c r="D22743" i="1"/>
  <c r="D22742" i="1"/>
  <c r="E22742" i="1" s="1"/>
  <c r="D22741" i="1"/>
  <c r="E22741" i="1" s="1"/>
  <c r="D22740" i="1"/>
  <c r="E22740" i="1" s="1"/>
  <c r="D22739" i="1"/>
  <c r="E22739" i="1" s="1"/>
  <c r="E22738" i="1"/>
  <c r="D22738" i="1"/>
  <c r="D22737" i="1"/>
  <c r="E22737" i="1" s="1"/>
  <c r="D22736" i="1"/>
  <c r="E22736" i="1" s="1"/>
  <c r="D22735" i="1"/>
  <c r="E22735" i="1" s="1"/>
  <c r="D22734" i="1"/>
  <c r="E22734" i="1" s="1"/>
  <c r="D22733" i="1"/>
  <c r="E22733" i="1" s="1"/>
  <c r="D22732" i="1"/>
  <c r="E22732" i="1" s="1"/>
  <c r="D22731" i="1"/>
  <c r="E22731" i="1" s="1"/>
  <c r="D22730" i="1"/>
  <c r="E22730" i="1" s="1"/>
  <c r="D22729" i="1"/>
  <c r="E22729" i="1" s="1"/>
  <c r="D22728" i="1"/>
  <c r="E22728" i="1" s="1"/>
  <c r="D22727" i="1"/>
  <c r="E22727" i="1" s="1"/>
  <c r="D22726" i="1"/>
  <c r="E22726" i="1" s="1"/>
  <c r="E22725" i="1"/>
  <c r="D22725" i="1"/>
  <c r="D22724" i="1"/>
  <c r="E22724" i="1" s="1"/>
  <c r="D22723" i="1"/>
  <c r="E22723" i="1" s="1"/>
  <c r="D22722" i="1"/>
  <c r="E22722" i="1" s="1"/>
  <c r="D22721" i="1"/>
  <c r="E22721" i="1" s="1"/>
  <c r="E22720" i="1"/>
  <c r="D22720" i="1"/>
  <c r="D22719" i="1"/>
  <c r="E22719" i="1" s="1"/>
  <c r="E22718" i="1"/>
  <c r="D22718" i="1"/>
  <c r="E22717" i="1"/>
  <c r="D22717" i="1"/>
  <c r="E22716" i="1"/>
  <c r="D22716" i="1"/>
  <c r="D22715" i="1"/>
  <c r="E22715" i="1" s="1"/>
  <c r="D22714" i="1"/>
  <c r="E22714" i="1" s="1"/>
  <c r="E22713" i="1"/>
  <c r="D22713" i="1"/>
  <c r="D22712" i="1"/>
  <c r="E22712" i="1" s="1"/>
  <c r="E22711" i="1"/>
  <c r="D22711" i="1"/>
  <c r="D22710" i="1"/>
  <c r="E22710" i="1" s="1"/>
  <c r="D22709" i="1"/>
  <c r="E22709" i="1" s="1"/>
  <c r="D22708" i="1"/>
  <c r="E22708" i="1" s="1"/>
  <c r="E22707" i="1"/>
  <c r="D22707" i="1"/>
  <c r="D22706" i="1"/>
  <c r="E22706" i="1" s="1"/>
  <c r="D22705" i="1"/>
  <c r="E22705" i="1" s="1"/>
  <c r="D22704" i="1"/>
  <c r="E22704" i="1" s="1"/>
  <c r="D22703" i="1"/>
  <c r="E22703" i="1" s="1"/>
  <c r="E22702" i="1"/>
  <c r="D22702" i="1"/>
  <c r="D22701" i="1"/>
  <c r="E22701" i="1" s="1"/>
  <c r="D22700" i="1"/>
  <c r="E22700" i="1" s="1"/>
  <c r="E22699" i="1"/>
  <c r="D22699" i="1"/>
  <c r="D22698" i="1"/>
  <c r="E22698" i="1" s="1"/>
  <c r="E22697" i="1"/>
  <c r="D22697" i="1"/>
  <c r="E22696" i="1"/>
  <c r="D22696" i="1"/>
  <c r="D22695" i="1"/>
  <c r="E22695" i="1" s="1"/>
  <c r="D22694" i="1"/>
  <c r="E22694" i="1" s="1"/>
  <c r="E22693" i="1"/>
  <c r="D22693" i="1"/>
  <c r="D22692" i="1"/>
  <c r="E22692" i="1" s="1"/>
  <c r="D22691" i="1"/>
  <c r="E22691" i="1" s="1"/>
  <c r="D22690" i="1"/>
  <c r="E22690" i="1" s="1"/>
  <c r="D22689" i="1"/>
  <c r="E22689" i="1" s="1"/>
  <c r="D22688" i="1"/>
  <c r="E22688" i="1" s="1"/>
  <c r="D22687" i="1"/>
  <c r="E22687" i="1" s="1"/>
  <c r="D22686" i="1"/>
  <c r="E22686" i="1" s="1"/>
  <c r="E22685" i="1"/>
  <c r="D22685" i="1"/>
  <c r="D22684" i="1"/>
  <c r="E22684" i="1" s="1"/>
  <c r="E22683" i="1"/>
  <c r="D22683" i="1"/>
  <c r="D22682" i="1"/>
  <c r="E22682" i="1" s="1"/>
  <c r="D22681" i="1"/>
  <c r="E22681" i="1" s="1"/>
  <c r="E22680" i="1"/>
  <c r="D22680" i="1"/>
  <c r="D22679" i="1"/>
  <c r="E22679" i="1" s="1"/>
  <c r="D22678" i="1"/>
  <c r="E22678" i="1" s="1"/>
  <c r="E22677" i="1"/>
  <c r="D22677" i="1"/>
  <c r="E22676" i="1"/>
  <c r="D22676" i="1"/>
  <c r="E22675" i="1"/>
  <c r="D22675" i="1"/>
  <c r="D22674" i="1"/>
  <c r="E22674" i="1" s="1"/>
  <c r="D22673" i="1"/>
  <c r="E22673" i="1" s="1"/>
  <c r="E22672" i="1"/>
  <c r="D22672" i="1"/>
  <c r="D22671" i="1"/>
  <c r="E22671" i="1" s="1"/>
  <c r="E22670" i="1"/>
  <c r="D22670" i="1"/>
  <c r="D22669" i="1"/>
  <c r="E22669" i="1" s="1"/>
  <c r="D22668" i="1"/>
  <c r="E22668" i="1" s="1"/>
  <c r="D22667" i="1"/>
  <c r="E22667" i="1" s="1"/>
  <c r="E22666" i="1"/>
  <c r="D22666" i="1"/>
  <c r="D22665" i="1"/>
  <c r="E22665" i="1" s="1"/>
  <c r="E22664" i="1"/>
  <c r="D22664" i="1"/>
  <c r="E22663" i="1"/>
  <c r="D22663" i="1"/>
  <c r="D22662" i="1"/>
  <c r="E22662" i="1" s="1"/>
  <c r="D22661" i="1"/>
  <c r="E22661" i="1" s="1"/>
  <c r="D22660" i="1"/>
  <c r="E22660" i="1" s="1"/>
  <c r="E22659" i="1"/>
  <c r="D22659" i="1"/>
  <c r="D22658" i="1"/>
  <c r="E22658" i="1" s="1"/>
  <c r="E22657" i="1"/>
  <c r="D22657" i="1"/>
  <c r="D22656" i="1"/>
  <c r="E22656" i="1" s="1"/>
  <c r="D22655" i="1"/>
  <c r="E22655" i="1" s="1"/>
  <c r="D22654" i="1"/>
  <c r="E22654" i="1" s="1"/>
  <c r="E22653" i="1"/>
  <c r="D22653" i="1"/>
  <c r="D22652" i="1"/>
  <c r="E22652" i="1" s="1"/>
  <c r="E22651" i="1"/>
  <c r="D22651" i="1"/>
  <c r="D22650" i="1"/>
  <c r="E22650" i="1" s="1"/>
  <c r="D22649" i="1"/>
  <c r="E22649" i="1" s="1"/>
  <c r="D22648" i="1"/>
  <c r="E22648" i="1" s="1"/>
  <c r="E22647" i="1"/>
  <c r="D22647" i="1"/>
  <c r="E22646" i="1"/>
  <c r="D22646" i="1"/>
  <c r="D22645" i="1"/>
  <c r="E22645" i="1" s="1"/>
  <c r="E22644" i="1"/>
  <c r="D22644" i="1"/>
  <c r="D22643" i="1"/>
  <c r="E22643" i="1" s="1"/>
  <c r="D22642" i="1"/>
  <c r="E22642" i="1" s="1"/>
  <c r="D22641" i="1"/>
  <c r="E22641" i="1" s="1"/>
  <c r="E22640" i="1"/>
  <c r="D22640" i="1"/>
  <c r="D22639" i="1"/>
  <c r="E22639" i="1" s="1"/>
  <c r="D22638" i="1"/>
  <c r="E22638" i="1" s="1"/>
  <c r="D22637" i="1"/>
  <c r="E22637" i="1" s="1"/>
  <c r="D22636" i="1"/>
  <c r="E22636" i="1" s="1"/>
  <c r="D22635" i="1"/>
  <c r="E22635" i="1" s="1"/>
  <c r="E22634" i="1"/>
  <c r="D22634" i="1"/>
  <c r="E22633" i="1"/>
  <c r="D22633" i="1"/>
  <c r="D22632" i="1"/>
  <c r="E22632" i="1" s="1"/>
  <c r="D22631" i="1"/>
  <c r="E22631" i="1" s="1"/>
  <c r="E22630" i="1"/>
  <c r="D22630" i="1"/>
  <c r="D22629" i="1"/>
  <c r="E22629" i="1" s="1"/>
  <c r="D22628" i="1"/>
  <c r="E22628" i="1" s="1"/>
  <c r="E22627" i="1"/>
  <c r="D22627" i="1"/>
  <c r="D22626" i="1"/>
  <c r="E22626" i="1" s="1"/>
  <c r="D22625" i="1"/>
  <c r="E22625" i="1" s="1"/>
  <c r="D22624" i="1"/>
  <c r="E22624" i="1" s="1"/>
  <c r="D22623" i="1"/>
  <c r="E22623" i="1" s="1"/>
  <c r="D22622" i="1"/>
  <c r="E22622" i="1" s="1"/>
  <c r="E22621" i="1"/>
  <c r="D22621" i="1"/>
  <c r="E22620" i="1"/>
  <c r="D22620" i="1"/>
  <c r="D22619" i="1"/>
  <c r="E22619" i="1" s="1"/>
  <c r="E22618" i="1"/>
  <c r="D22618" i="1"/>
  <c r="E22617" i="1"/>
  <c r="D22617" i="1"/>
  <c r="D22616" i="1"/>
  <c r="E22616" i="1" s="1"/>
  <c r="D22615" i="1"/>
  <c r="E22615" i="1" s="1"/>
  <c r="D22614" i="1"/>
  <c r="E22614" i="1" s="1"/>
  <c r="D22613" i="1"/>
  <c r="E22613" i="1" s="1"/>
  <c r="D22612" i="1"/>
  <c r="E22612" i="1" s="1"/>
  <c r="D22611" i="1"/>
  <c r="E22611" i="1" s="1"/>
  <c r="D22610" i="1"/>
  <c r="E22610" i="1" s="1"/>
  <c r="D22609" i="1"/>
  <c r="E22609" i="1" s="1"/>
  <c r="D22608" i="1"/>
  <c r="E22608" i="1" s="1"/>
  <c r="D22607" i="1"/>
  <c r="E22607" i="1" s="1"/>
  <c r="D22606" i="1"/>
  <c r="E22606" i="1" s="1"/>
  <c r="E22605" i="1"/>
  <c r="D22605" i="1"/>
  <c r="E22604" i="1"/>
  <c r="D22604" i="1"/>
  <c r="D22603" i="1"/>
  <c r="E22603" i="1" s="1"/>
  <c r="D22602" i="1"/>
  <c r="E22602" i="1" s="1"/>
  <c r="E22601" i="1"/>
  <c r="D22601" i="1"/>
  <c r="D22600" i="1"/>
  <c r="E22600" i="1" s="1"/>
  <c r="E22599" i="1"/>
  <c r="D22599" i="1"/>
  <c r="E22598" i="1"/>
  <c r="D22598" i="1"/>
  <c r="E22597" i="1"/>
  <c r="D22597" i="1"/>
  <c r="D22596" i="1"/>
  <c r="E22596" i="1" s="1"/>
  <c r="D22595" i="1"/>
  <c r="E22595" i="1" s="1"/>
  <c r="E22594" i="1"/>
  <c r="D22594" i="1"/>
  <c r="D22593" i="1"/>
  <c r="E22593" i="1" s="1"/>
  <c r="E22592" i="1"/>
  <c r="D22592" i="1"/>
  <c r="D22591" i="1"/>
  <c r="E22591" i="1" s="1"/>
  <c r="D22590" i="1"/>
  <c r="E22590" i="1" s="1"/>
  <c r="E22589" i="1"/>
  <c r="D22589" i="1"/>
  <c r="D22588" i="1"/>
  <c r="E22588" i="1" s="1"/>
  <c r="D22587" i="1"/>
  <c r="E22587" i="1" s="1"/>
  <c r="D22586" i="1"/>
  <c r="E22586" i="1" s="1"/>
  <c r="D22585" i="1"/>
  <c r="E22585" i="1" s="1"/>
  <c r="D22584" i="1"/>
  <c r="E22584" i="1" s="1"/>
  <c r="D22583" i="1"/>
  <c r="E22583" i="1" s="1"/>
  <c r="E22582" i="1"/>
  <c r="D22582" i="1"/>
  <c r="D22581" i="1"/>
  <c r="E22581" i="1" s="1"/>
  <c r="E22580" i="1"/>
  <c r="D22580" i="1"/>
  <c r="D22579" i="1"/>
  <c r="E22579" i="1" s="1"/>
  <c r="D22578" i="1"/>
  <c r="E22578" i="1" s="1"/>
  <c r="E22577" i="1"/>
  <c r="D22577" i="1"/>
  <c r="D22576" i="1"/>
  <c r="E22576" i="1" s="1"/>
  <c r="D22575" i="1"/>
  <c r="E22575" i="1" s="1"/>
  <c r="D22574" i="1"/>
  <c r="E22574" i="1" s="1"/>
  <c r="D22573" i="1"/>
  <c r="E22573" i="1" s="1"/>
  <c r="D22572" i="1"/>
  <c r="E22572" i="1" s="1"/>
  <c r="D22571" i="1"/>
  <c r="E22571" i="1" s="1"/>
  <c r="E22570" i="1"/>
  <c r="D22570" i="1"/>
  <c r="D22569" i="1"/>
  <c r="E22569" i="1" s="1"/>
  <c r="E22568" i="1"/>
  <c r="D22568" i="1"/>
  <c r="D22567" i="1"/>
  <c r="E22567" i="1" s="1"/>
  <c r="D22566" i="1"/>
  <c r="E22566" i="1" s="1"/>
  <c r="E22565" i="1"/>
  <c r="D22565" i="1"/>
  <c r="D22564" i="1"/>
  <c r="E22564" i="1" s="1"/>
  <c r="D22563" i="1"/>
  <c r="E22563" i="1" s="1"/>
  <c r="D22562" i="1"/>
  <c r="E22562" i="1" s="1"/>
  <c r="D22561" i="1"/>
  <c r="E22561" i="1" s="1"/>
  <c r="D22560" i="1"/>
  <c r="E22560" i="1" s="1"/>
  <c r="E22559" i="1"/>
  <c r="D22559" i="1"/>
  <c r="E22558" i="1"/>
  <c r="D22558" i="1"/>
  <c r="D22557" i="1"/>
  <c r="E22557" i="1" s="1"/>
  <c r="E22556" i="1"/>
  <c r="D22556" i="1"/>
  <c r="D22555" i="1"/>
  <c r="E22555" i="1" s="1"/>
  <c r="D22554" i="1"/>
  <c r="E22554" i="1" s="1"/>
  <c r="E22553" i="1"/>
  <c r="D22553" i="1"/>
  <c r="D22552" i="1"/>
  <c r="E22552" i="1" s="1"/>
  <c r="D22551" i="1"/>
  <c r="E22551" i="1" s="1"/>
  <c r="D22550" i="1"/>
  <c r="E22550" i="1" s="1"/>
  <c r="D22549" i="1"/>
  <c r="E22549" i="1" s="1"/>
  <c r="D22548" i="1"/>
  <c r="E22548" i="1" s="1"/>
  <c r="D22547" i="1"/>
  <c r="E22547" i="1" s="1"/>
  <c r="E22546" i="1"/>
  <c r="D22546" i="1"/>
  <c r="D22545" i="1"/>
  <c r="E22545" i="1" s="1"/>
  <c r="E22544" i="1"/>
  <c r="D22544" i="1"/>
  <c r="D22543" i="1"/>
  <c r="E22543" i="1" s="1"/>
  <c r="D22542" i="1"/>
  <c r="E22542" i="1" s="1"/>
  <c r="E22541" i="1"/>
  <c r="D22541" i="1"/>
  <c r="D22540" i="1"/>
  <c r="E22540" i="1" s="1"/>
  <c r="D22539" i="1"/>
  <c r="E22539" i="1" s="1"/>
  <c r="D22538" i="1"/>
  <c r="E22538" i="1" s="1"/>
  <c r="D22537" i="1"/>
  <c r="E22537" i="1" s="1"/>
  <c r="D22536" i="1"/>
  <c r="E22536" i="1" s="1"/>
  <c r="D22535" i="1"/>
  <c r="E22535" i="1" s="1"/>
  <c r="E22534" i="1"/>
  <c r="D22534" i="1"/>
  <c r="D22533" i="1"/>
  <c r="E22533" i="1" s="1"/>
  <c r="E22532" i="1"/>
  <c r="D22532" i="1"/>
  <c r="D22531" i="1"/>
  <c r="E22531" i="1" s="1"/>
  <c r="D22530" i="1"/>
  <c r="E22530" i="1" s="1"/>
  <c r="E22529" i="1"/>
  <c r="D22529" i="1"/>
  <c r="D22528" i="1"/>
  <c r="E22528" i="1" s="1"/>
  <c r="D22527" i="1"/>
  <c r="E22527" i="1" s="1"/>
  <c r="D22526" i="1"/>
  <c r="E22526" i="1" s="1"/>
  <c r="D22525" i="1"/>
  <c r="E22525" i="1" s="1"/>
  <c r="D22524" i="1"/>
  <c r="E22524" i="1" s="1"/>
  <c r="E22523" i="1"/>
  <c r="D22523" i="1"/>
  <c r="E22522" i="1"/>
  <c r="D22522" i="1"/>
  <c r="D22521" i="1"/>
  <c r="E22521" i="1" s="1"/>
  <c r="E22520" i="1"/>
  <c r="D22520" i="1"/>
  <c r="D22519" i="1"/>
  <c r="E22519" i="1" s="1"/>
  <c r="D22518" i="1"/>
  <c r="E22518" i="1" s="1"/>
  <c r="E22517" i="1"/>
  <c r="D22517" i="1"/>
  <c r="D22516" i="1"/>
  <c r="E22516" i="1" s="1"/>
  <c r="D22515" i="1"/>
  <c r="E22515" i="1" s="1"/>
  <c r="D22514" i="1"/>
  <c r="E22514" i="1" s="1"/>
  <c r="D22513" i="1"/>
  <c r="E22513" i="1" s="1"/>
  <c r="D22512" i="1"/>
  <c r="E22512" i="1" s="1"/>
  <c r="D22511" i="1"/>
  <c r="E22511" i="1" s="1"/>
  <c r="E22510" i="1"/>
  <c r="D22510" i="1"/>
  <c r="D22509" i="1"/>
  <c r="E22509" i="1" s="1"/>
  <c r="E22508" i="1"/>
  <c r="D22508" i="1"/>
  <c r="D22507" i="1"/>
  <c r="E22507" i="1" s="1"/>
  <c r="D22506" i="1"/>
  <c r="E22506" i="1" s="1"/>
  <c r="E22505" i="1"/>
  <c r="D22505" i="1"/>
  <c r="D22504" i="1"/>
  <c r="E22504" i="1" s="1"/>
  <c r="D22503" i="1"/>
  <c r="E22503" i="1" s="1"/>
  <c r="D22502" i="1"/>
  <c r="E22502" i="1" s="1"/>
  <c r="D22501" i="1"/>
  <c r="E22501" i="1" s="1"/>
  <c r="D22500" i="1"/>
  <c r="E22500" i="1" s="1"/>
  <c r="D22499" i="1"/>
  <c r="E22499" i="1" s="1"/>
  <c r="E22498" i="1"/>
  <c r="D22498" i="1"/>
  <c r="D22497" i="1"/>
  <c r="E22497" i="1" s="1"/>
  <c r="E22496" i="1"/>
  <c r="D22496" i="1"/>
  <c r="D22495" i="1"/>
  <c r="E22495" i="1" s="1"/>
  <c r="D22494" i="1"/>
  <c r="E22494" i="1" s="1"/>
  <c r="E22493" i="1"/>
  <c r="D22493" i="1"/>
  <c r="D22492" i="1"/>
  <c r="E22492" i="1" s="1"/>
  <c r="D22491" i="1"/>
  <c r="E22491" i="1" s="1"/>
  <c r="D22490" i="1"/>
  <c r="E22490" i="1" s="1"/>
  <c r="D22489" i="1"/>
  <c r="E22489" i="1" s="1"/>
  <c r="D22488" i="1"/>
  <c r="E22488" i="1" s="1"/>
  <c r="E22487" i="1"/>
  <c r="D22487" i="1"/>
  <c r="E22486" i="1"/>
  <c r="D22486" i="1"/>
  <c r="D22485" i="1"/>
  <c r="E22485" i="1" s="1"/>
  <c r="E22484" i="1"/>
  <c r="D22484" i="1"/>
  <c r="D22483" i="1"/>
  <c r="E22483" i="1" s="1"/>
  <c r="D22482" i="1"/>
  <c r="E22482" i="1" s="1"/>
  <c r="E22481" i="1"/>
  <c r="D22481" i="1"/>
  <c r="D22480" i="1"/>
  <c r="E22480" i="1" s="1"/>
  <c r="D22479" i="1"/>
  <c r="E22479" i="1" s="1"/>
  <c r="D22478" i="1"/>
  <c r="E22478" i="1" s="1"/>
  <c r="D22477" i="1"/>
  <c r="E22477" i="1" s="1"/>
  <c r="D22476" i="1"/>
  <c r="E22476" i="1" s="1"/>
  <c r="D22475" i="1"/>
  <c r="E22475" i="1" s="1"/>
  <c r="E22474" i="1"/>
  <c r="D22474" i="1"/>
  <c r="D22473" i="1"/>
  <c r="E22473" i="1" s="1"/>
  <c r="E22472" i="1"/>
  <c r="D22472" i="1"/>
  <c r="D22471" i="1"/>
  <c r="E22471" i="1" s="1"/>
  <c r="D22470" i="1"/>
  <c r="E22470" i="1" s="1"/>
  <c r="E22469" i="1"/>
  <c r="D22469" i="1"/>
  <c r="D22468" i="1"/>
  <c r="E22468" i="1" s="1"/>
  <c r="D22467" i="1"/>
  <c r="E22467" i="1" s="1"/>
  <c r="D22466" i="1"/>
  <c r="E22466" i="1" s="1"/>
  <c r="D22465" i="1"/>
  <c r="E22465" i="1" s="1"/>
  <c r="D22464" i="1"/>
  <c r="E22464" i="1" s="1"/>
  <c r="E22463" i="1"/>
  <c r="D22463" i="1"/>
  <c r="E22462" i="1"/>
  <c r="D22462" i="1"/>
  <c r="D22461" i="1"/>
  <c r="E22461" i="1" s="1"/>
  <c r="E22460" i="1"/>
  <c r="D22460" i="1"/>
  <c r="D22459" i="1"/>
  <c r="E22459" i="1" s="1"/>
  <c r="D22458" i="1"/>
  <c r="E22458" i="1" s="1"/>
  <c r="E22457" i="1"/>
  <c r="D22457" i="1"/>
  <c r="D22456" i="1"/>
  <c r="E22456" i="1" s="1"/>
  <c r="D22455" i="1"/>
  <c r="E22455" i="1" s="1"/>
  <c r="D22454" i="1"/>
  <c r="E22454" i="1" s="1"/>
  <c r="D22453" i="1"/>
  <c r="E22453" i="1" s="1"/>
  <c r="D22452" i="1"/>
  <c r="E22452" i="1" s="1"/>
  <c r="E22451" i="1"/>
  <c r="D22451" i="1"/>
  <c r="E22450" i="1"/>
  <c r="D22450" i="1"/>
  <c r="D22449" i="1"/>
  <c r="E22449" i="1" s="1"/>
  <c r="E22448" i="1"/>
  <c r="D22448" i="1"/>
  <c r="D22447" i="1"/>
  <c r="E22447" i="1" s="1"/>
  <c r="D22446" i="1"/>
  <c r="E22446" i="1" s="1"/>
  <c r="E22445" i="1"/>
  <c r="D22445" i="1"/>
  <c r="D22444" i="1"/>
  <c r="E22444" i="1" s="1"/>
  <c r="D22443" i="1"/>
  <c r="E22443" i="1" s="1"/>
  <c r="D22442" i="1"/>
  <c r="E22442" i="1" s="1"/>
  <c r="D22441" i="1"/>
  <c r="E22441" i="1" s="1"/>
  <c r="D22440" i="1"/>
  <c r="E22440" i="1" s="1"/>
  <c r="D22439" i="1"/>
  <c r="E22439" i="1" s="1"/>
  <c r="E22438" i="1"/>
  <c r="D22438" i="1"/>
  <c r="D22437" i="1"/>
  <c r="E22437" i="1" s="1"/>
  <c r="E22436" i="1"/>
  <c r="D22436" i="1"/>
  <c r="D22435" i="1"/>
  <c r="E22435" i="1" s="1"/>
  <c r="D22434" i="1"/>
  <c r="E22434" i="1" s="1"/>
  <c r="E22433" i="1"/>
  <c r="D22433" i="1"/>
  <c r="D22432" i="1"/>
  <c r="E22432" i="1" s="1"/>
  <c r="D22431" i="1"/>
  <c r="E22431" i="1" s="1"/>
  <c r="D22430" i="1"/>
  <c r="E22430" i="1" s="1"/>
  <c r="D22429" i="1"/>
  <c r="E22429" i="1" s="1"/>
  <c r="D22428" i="1"/>
  <c r="E22428" i="1" s="1"/>
  <c r="E22427" i="1"/>
  <c r="D22427" i="1"/>
  <c r="E22426" i="1"/>
  <c r="D22426" i="1"/>
  <c r="D22425" i="1"/>
  <c r="E22425" i="1" s="1"/>
  <c r="E22424" i="1"/>
  <c r="D22424" i="1"/>
  <c r="D22423" i="1"/>
  <c r="E22423" i="1" s="1"/>
  <c r="D22422" i="1"/>
  <c r="E22422" i="1" s="1"/>
  <c r="E22421" i="1"/>
  <c r="D22421" i="1"/>
  <c r="D22420" i="1"/>
  <c r="E22420" i="1" s="1"/>
  <c r="D22419" i="1"/>
  <c r="E22419" i="1" s="1"/>
  <c r="D22418" i="1"/>
  <c r="E22418" i="1" s="1"/>
  <c r="D22417" i="1"/>
  <c r="E22417" i="1" s="1"/>
  <c r="D22416" i="1"/>
  <c r="E22416" i="1" s="1"/>
  <c r="E22415" i="1"/>
  <c r="D22415" i="1"/>
  <c r="E22414" i="1"/>
  <c r="D22414" i="1"/>
  <c r="D22413" i="1"/>
  <c r="E22413" i="1" s="1"/>
  <c r="E22412" i="1"/>
  <c r="D22412" i="1"/>
  <c r="D22411" i="1"/>
  <c r="E22411" i="1" s="1"/>
  <c r="D22410" i="1"/>
  <c r="E22410" i="1" s="1"/>
  <c r="D22409" i="1"/>
  <c r="E22409" i="1" s="1"/>
  <c r="D22408" i="1"/>
  <c r="E22408" i="1" s="1"/>
  <c r="D22407" i="1"/>
  <c r="E22407" i="1" s="1"/>
  <c r="D22406" i="1"/>
  <c r="E22406" i="1" s="1"/>
  <c r="D22405" i="1"/>
  <c r="E22405" i="1" s="1"/>
  <c r="D22404" i="1"/>
  <c r="E22404" i="1" s="1"/>
  <c r="E22403" i="1"/>
  <c r="D22403" i="1"/>
  <c r="E22402" i="1"/>
  <c r="D22402" i="1"/>
  <c r="D22401" i="1"/>
  <c r="E22401" i="1" s="1"/>
  <c r="E22400" i="1"/>
  <c r="D22400" i="1"/>
  <c r="D22399" i="1"/>
  <c r="E22399" i="1" s="1"/>
  <c r="D22398" i="1"/>
  <c r="E22398" i="1" s="1"/>
  <c r="E22397" i="1"/>
  <c r="D22397" i="1"/>
  <c r="D22396" i="1"/>
  <c r="E22396" i="1" s="1"/>
  <c r="D22395" i="1"/>
  <c r="E22395" i="1" s="1"/>
  <c r="D22394" i="1"/>
  <c r="E22394" i="1" s="1"/>
  <c r="D22393" i="1"/>
  <c r="E22393" i="1" s="1"/>
  <c r="D22392" i="1"/>
  <c r="E22392" i="1" s="1"/>
  <c r="E22391" i="1"/>
  <c r="D22391" i="1"/>
  <c r="E22390" i="1"/>
  <c r="D22390" i="1"/>
  <c r="D22389" i="1"/>
  <c r="E22389" i="1" s="1"/>
  <c r="E22388" i="1"/>
  <c r="D22388" i="1"/>
  <c r="D22387" i="1"/>
  <c r="E22387" i="1" s="1"/>
  <c r="D22386" i="1"/>
  <c r="E22386" i="1" s="1"/>
  <c r="E22385" i="1"/>
  <c r="D22385" i="1"/>
  <c r="D22384" i="1"/>
  <c r="E22384" i="1" s="1"/>
  <c r="D22383" i="1"/>
  <c r="E22383" i="1" s="1"/>
  <c r="D22382" i="1"/>
  <c r="E22382" i="1" s="1"/>
  <c r="D22381" i="1"/>
  <c r="E22381" i="1" s="1"/>
  <c r="D22380" i="1"/>
  <c r="E22380" i="1" s="1"/>
  <c r="E22379" i="1"/>
  <c r="D22379" i="1"/>
  <c r="E22378" i="1"/>
  <c r="D22378" i="1"/>
  <c r="D22377" i="1"/>
  <c r="E22377" i="1" s="1"/>
  <c r="E22376" i="1"/>
  <c r="D22376" i="1"/>
  <c r="D22375" i="1"/>
  <c r="E22375" i="1" s="1"/>
  <c r="D22374" i="1"/>
  <c r="E22374" i="1" s="1"/>
  <c r="D22373" i="1"/>
  <c r="E22373" i="1" s="1"/>
  <c r="D22372" i="1"/>
  <c r="E22372" i="1" s="1"/>
  <c r="D22371" i="1"/>
  <c r="E22371" i="1" s="1"/>
  <c r="D22370" i="1"/>
  <c r="E22370" i="1" s="1"/>
  <c r="D22369" i="1"/>
  <c r="E22369" i="1" s="1"/>
  <c r="D22368" i="1"/>
  <c r="E22368" i="1" s="1"/>
  <c r="D22367" i="1"/>
  <c r="E22367" i="1" s="1"/>
  <c r="E22366" i="1"/>
  <c r="D22366" i="1"/>
  <c r="D22365" i="1"/>
  <c r="E22365" i="1" s="1"/>
  <c r="E22364" i="1"/>
  <c r="D22364" i="1"/>
  <c r="D22363" i="1"/>
  <c r="E22363" i="1" s="1"/>
  <c r="D22362" i="1"/>
  <c r="E22362" i="1" s="1"/>
  <c r="E22361" i="1"/>
  <c r="D22361" i="1"/>
  <c r="D22360" i="1"/>
  <c r="E22360" i="1" s="1"/>
  <c r="D22359" i="1"/>
  <c r="E22359" i="1" s="1"/>
  <c r="D22358" i="1"/>
  <c r="E22358" i="1" s="1"/>
  <c r="D22357" i="1"/>
  <c r="E22357" i="1" s="1"/>
  <c r="D22356" i="1"/>
  <c r="E22356" i="1" s="1"/>
  <c r="E22355" i="1"/>
  <c r="D22355" i="1"/>
  <c r="E22354" i="1"/>
  <c r="D22354" i="1"/>
  <c r="D22353" i="1"/>
  <c r="E22353" i="1" s="1"/>
  <c r="E22352" i="1"/>
  <c r="D22352" i="1"/>
  <c r="D22351" i="1"/>
  <c r="E22351" i="1" s="1"/>
  <c r="D22350" i="1"/>
  <c r="E22350" i="1" s="1"/>
  <c r="E22349" i="1"/>
  <c r="D22349" i="1"/>
  <c r="D22348" i="1"/>
  <c r="E22348" i="1" s="1"/>
  <c r="D22347" i="1"/>
  <c r="E22347" i="1" s="1"/>
  <c r="D22346" i="1"/>
  <c r="E22346" i="1" s="1"/>
  <c r="D22345" i="1"/>
  <c r="E22345" i="1" s="1"/>
  <c r="D22344" i="1"/>
  <c r="E22344" i="1" s="1"/>
  <c r="E22343" i="1"/>
  <c r="D22343" i="1"/>
  <c r="E22342" i="1"/>
  <c r="D22342" i="1"/>
  <c r="D22341" i="1"/>
  <c r="E22341" i="1" s="1"/>
  <c r="E22340" i="1"/>
  <c r="D22340" i="1"/>
  <c r="D22339" i="1"/>
  <c r="E22339" i="1" s="1"/>
  <c r="D22338" i="1"/>
  <c r="E22338" i="1" s="1"/>
  <c r="D22337" i="1"/>
  <c r="E22337" i="1" s="1"/>
  <c r="D22336" i="1"/>
  <c r="E22336" i="1" s="1"/>
  <c r="D22335" i="1"/>
  <c r="E22335" i="1" s="1"/>
  <c r="D22334" i="1"/>
  <c r="E22334" i="1" s="1"/>
  <c r="D22333" i="1"/>
  <c r="E22333" i="1" s="1"/>
  <c r="D22332" i="1"/>
  <c r="E22332" i="1" s="1"/>
  <c r="D22331" i="1"/>
  <c r="E22331" i="1" s="1"/>
  <c r="E22330" i="1"/>
  <c r="D22330" i="1"/>
  <c r="D22329" i="1"/>
  <c r="E22329" i="1" s="1"/>
  <c r="E22328" i="1"/>
  <c r="D22328" i="1"/>
  <c r="D22327" i="1"/>
  <c r="E22327" i="1" s="1"/>
  <c r="D22326" i="1"/>
  <c r="E22326" i="1" s="1"/>
  <c r="E22325" i="1"/>
  <c r="D22325" i="1"/>
  <c r="D22324" i="1"/>
  <c r="E22324" i="1" s="1"/>
  <c r="D22323" i="1"/>
  <c r="E22323" i="1" s="1"/>
  <c r="D22322" i="1"/>
  <c r="E22322" i="1" s="1"/>
  <c r="D22321" i="1"/>
  <c r="E22321" i="1" s="1"/>
  <c r="D22320" i="1"/>
  <c r="E22320" i="1" s="1"/>
  <c r="E22319" i="1"/>
  <c r="D22319" i="1"/>
  <c r="E22318" i="1"/>
  <c r="D22318" i="1"/>
  <c r="D22317" i="1"/>
  <c r="E22317" i="1" s="1"/>
  <c r="E22316" i="1"/>
  <c r="D22316" i="1"/>
  <c r="D22315" i="1"/>
  <c r="E22315" i="1" s="1"/>
  <c r="D22314" i="1"/>
  <c r="E22314" i="1" s="1"/>
  <c r="E22313" i="1"/>
  <c r="D22313" i="1"/>
  <c r="D22312" i="1"/>
  <c r="E22312" i="1" s="1"/>
  <c r="D22311" i="1"/>
  <c r="E22311" i="1" s="1"/>
  <c r="D22310" i="1"/>
  <c r="E22310" i="1" s="1"/>
  <c r="D22309" i="1"/>
  <c r="E22309" i="1" s="1"/>
  <c r="D22308" i="1"/>
  <c r="E22308" i="1" s="1"/>
  <c r="E22307" i="1"/>
  <c r="D22307" i="1"/>
  <c r="E22306" i="1"/>
  <c r="D22306" i="1"/>
  <c r="D22305" i="1"/>
  <c r="E22305" i="1" s="1"/>
  <c r="E22304" i="1"/>
  <c r="D22304" i="1"/>
  <c r="D22303" i="1"/>
  <c r="E22303" i="1" s="1"/>
  <c r="D22302" i="1"/>
  <c r="E22302" i="1" s="1"/>
  <c r="D22301" i="1"/>
  <c r="E22301" i="1" s="1"/>
  <c r="D22300" i="1"/>
  <c r="E22300" i="1" s="1"/>
  <c r="D22299" i="1"/>
  <c r="E22299" i="1" s="1"/>
  <c r="D22298" i="1"/>
  <c r="E22298" i="1" s="1"/>
  <c r="D22297" i="1"/>
  <c r="E22297" i="1" s="1"/>
  <c r="D22296" i="1"/>
  <c r="E22296" i="1" s="1"/>
  <c r="E22295" i="1"/>
  <c r="D22295" i="1"/>
  <c r="E22294" i="1"/>
  <c r="D22294" i="1"/>
  <c r="D22293" i="1"/>
  <c r="E22293" i="1" s="1"/>
  <c r="E22292" i="1"/>
  <c r="D22292" i="1"/>
  <c r="D22291" i="1"/>
  <c r="E22291" i="1" s="1"/>
  <c r="D22290" i="1"/>
  <c r="E22290" i="1" s="1"/>
  <c r="E22289" i="1"/>
  <c r="D22289" i="1"/>
  <c r="D22288" i="1"/>
  <c r="E22288" i="1" s="1"/>
  <c r="D22287" i="1"/>
  <c r="E22287" i="1" s="1"/>
  <c r="D22286" i="1"/>
  <c r="E22286" i="1" s="1"/>
  <c r="D22285" i="1"/>
  <c r="E22285" i="1" s="1"/>
  <c r="D22284" i="1"/>
  <c r="E22284" i="1" s="1"/>
  <c r="E22283" i="1"/>
  <c r="D22283" i="1"/>
  <c r="E22282" i="1"/>
  <c r="D22282" i="1"/>
  <c r="D22281" i="1"/>
  <c r="E22281" i="1" s="1"/>
  <c r="E22280" i="1"/>
  <c r="D22280" i="1"/>
  <c r="D22279" i="1"/>
  <c r="E22279" i="1" s="1"/>
  <c r="D22278" i="1"/>
  <c r="E22278" i="1" s="1"/>
  <c r="E22277" i="1"/>
  <c r="D22277" i="1"/>
  <c r="D22276" i="1"/>
  <c r="E22276" i="1" s="1"/>
  <c r="D22275" i="1"/>
  <c r="E22275" i="1" s="1"/>
  <c r="D22274" i="1"/>
  <c r="E22274" i="1" s="1"/>
  <c r="D22273" i="1"/>
  <c r="E22273" i="1" s="1"/>
  <c r="D22272" i="1"/>
  <c r="E22272" i="1" s="1"/>
  <c r="E22271" i="1"/>
  <c r="D22271" i="1"/>
  <c r="E22270" i="1"/>
  <c r="D22270" i="1"/>
  <c r="D22269" i="1"/>
  <c r="E22269" i="1" s="1"/>
  <c r="E22268" i="1"/>
  <c r="D22268" i="1"/>
  <c r="D22267" i="1"/>
  <c r="E22267" i="1" s="1"/>
  <c r="D22266" i="1"/>
  <c r="E22266" i="1" s="1"/>
  <c r="D22265" i="1"/>
  <c r="E22265" i="1" s="1"/>
  <c r="D22264" i="1"/>
  <c r="E22264" i="1" s="1"/>
  <c r="D22263" i="1"/>
  <c r="E22263" i="1" s="1"/>
  <c r="D22262" i="1"/>
  <c r="E22262" i="1" s="1"/>
  <c r="D22261" i="1"/>
  <c r="E22261" i="1" s="1"/>
  <c r="D22260" i="1"/>
  <c r="E22260" i="1" s="1"/>
  <c r="D22259" i="1"/>
  <c r="E22259" i="1" s="1"/>
  <c r="E22258" i="1"/>
  <c r="D22258" i="1"/>
  <c r="D22257" i="1"/>
  <c r="E22257" i="1" s="1"/>
  <c r="E22256" i="1"/>
  <c r="D22256" i="1"/>
  <c r="D22255" i="1"/>
  <c r="E22255" i="1" s="1"/>
  <c r="D22254" i="1"/>
  <c r="E22254" i="1" s="1"/>
  <c r="E22253" i="1"/>
  <c r="D22253" i="1"/>
  <c r="D22252" i="1"/>
  <c r="E22252" i="1" s="1"/>
  <c r="D22251" i="1"/>
  <c r="E22251" i="1" s="1"/>
  <c r="D22250" i="1"/>
  <c r="E22250" i="1" s="1"/>
  <c r="D22249" i="1"/>
  <c r="E22249" i="1" s="1"/>
  <c r="D22248" i="1"/>
  <c r="E22248" i="1" s="1"/>
  <c r="E22247" i="1"/>
  <c r="D22247" i="1"/>
  <c r="E22246" i="1"/>
  <c r="D22246" i="1"/>
  <c r="D22245" i="1"/>
  <c r="E22245" i="1" s="1"/>
  <c r="E22244" i="1"/>
  <c r="D22244" i="1"/>
  <c r="D22243" i="1"/>
  <c r="E22243" i="1" s="1"/>
  <c r="D22242" i="1"/>
  <c r="E22242" i="1" s="1"/>
  <c r="E22241" i="1"/>
  <c r="D22241" i="1"/>
  <c r="D22240" i="1"/>
  <c r="E22240" i="1" s="1"/>
  <c r="D22239" i="1"/>
  <c r="E22239" i="1" s="1"/>
  <c r="D22238" i="1"/>
  <c r="E22238" i="1" s="1"/>
  <c r="D22237" i="1"/>
  <c r="E22237" i="1" s="1"/>
  <c r="D22236" i="1"/>
  <c r="E22236" i="1" s="1"/>
  <c r="E22235" i="1"/>
  <c r="D22235" i="1"/>
  <c r="E22234" i="1"/>
  <c r="D22234" i="1"/>
  <c r="D22233" i="1"/>
  <c r="E22233" i="1" s="1"/>
  <c r="E22232" i="1"/>
  <c r="D22232" i="1"/>
  <c r="D22231" i="1"/>
  <c r="E22231" i="1" s="1"/>
  <c r="D22230" i="1"/>
  <c r="E22230" i="1" s="1"/>
  <c r="D22229" i="1"/>
  <c r="E22229" i="1" s="1"/>
  <c r="D22228" i="1"/>
  <c r="E22228" i="1" s="1"/>
  <c r="D22227" i="1"/>
  <c r="E22227" i="1" s="1"/>
  <c r="D22226" i="1"/>
  <c r="E22226" i="1" s="1"/>
  <c r="D22225" i="1"/>
  <c r="E22225" i="1" s="1"/>
  <c r="D22224" i="1"/>
  <c r="E22224" i="1" s="1"/>
  <c r="D22223" i="1"/>
  <c r="E22223" i="1" s="1"/>
  <c r="E22222" i="1"/>
  <c r="D22222" i="1"/>
  <c r="D22221" i="1"/>
  <c r="E22221" i="1" s="1"/>
  <c r="E22220" i="1"/>
  <c r="D22220" i="1"/>
  <c r="D22219" i="1"/>
  <c r="E22219" i="1" s="1"/>
  <c r="D22218" i="1"/>
  <c r="E22218" i="1" s="1"/>
  <c r="E22217" i="1"/>
  <c r="D22217" i="1"/>
  <c r="D22216" i="1"/>
  <c r="E22216" i="1" s="1"/>
  <c r="D22215" i="1"/>
  <c r="E22215" i="1" s="1"/>
  <c r="D22214" i="1"/>
  <c r="E22214" i="1" s="1"/>
  <c r="D22213" i="1"/>
  <c r="E22213" i="1" s="1"/>
  <c r="D22212" i="1"/>
  <c r="E22212" i="1" s="1"/>
  <c r="E22211" i="1"/>
  <c r="D22211" i="1"/>
  <c r="E22210" i="1"/>
  <c r="D22210" i="1"/>
  <c r="D22209" i="1"/>
  <c r="E22209" i="1" s="1"/>
  <c r="E22208" i="1"/>
  <c r="D22208" i="1"/>
  <c r="D22207" i="1"/>
  <c r="E22207" i="1" s="1"/>
  <c r="D22206" i="1"/>
  <c r="E22206" i="1" s="1"/>
  <c r="E22205" i="1"/>
  <c r="D22205" i="1"/>
  <c r="D22204" i="1"/>
  <c r="E22204" i="1" s="1"/>
  <c r="D22203" i="1"/>
  <c r="E22203" i="1" s="1"/>
  <c r="D22202" i="1"/>
  <c r="E22202" i="1" s="1"/>
  <c r="D22201" i="1"/>
  <c r="E22201" i="1" s="1"/>
  <c r="D22200" i="1"/>
  <c r="E22200" i="1" s="1"/>
  <c r="E22199" i="1"/>
  <c r="D22199" i="1"/>
  <c r="E22198" i="1"/>
  <c r="D22198" i="1"/>
  <c r="D22197" i="1"/>
  <c r="E22197" i="1" s="1"/>
  <c r="E22196" i="1"/>
  <c r="D22196" i="1"/>
  <c r="D22195" i="1"/>
  <c r="E22195" i="1" s="1"/>
  <c r="D22194" i="1"/>
  <c r="E22194" i="1" s="1"/>
  <c r="D22193" i="1"/>
  <c r="E22193" i="1" s="1"/>
  <c r="D22192" i="1"/>
  <c r="E22192" i="1" s="1"/>
  <c r="D22191" i="1"/>
  <c r="E22191" i="1" s="1"/>
  <c r="D22190" i="1"/>
  <c r="E22190" i="1" s="1"/>
  <c r="D22189" i="1"/>
  <c r="E22189" i="1" s="1"/>
  <c r="D22188" i="1"/>
  <c r="E22188" i="1" s="1"/>
  <c r="D22187" i="1"/>
  <c r="E22187" i="1" s="1"/>
  <c r="E22186" i="1"/>
  <c r="D22186" i="1"/>
  <c r="D22185" i="1"/>
  <c r="E22185" i="1" s="1"/>
  <c r="E22184" i="1"/>
  <c r="D22184" i="1"/>
  <c r="D22183" i="1"/>
  <c r="E22183" i="1" s="1"/>
  <c r="D22182" i="1"/>
  <c r="E22182" i="1" s="1"/>
  <c r="E22181" i="1"/>
  <c r="D22181" i="1"/>
  <c r="D22180" i="1"/>
  <c r="E22180" i="1" s="1"/>
  <c r="D22179" i="1"/>
  <c r="E22179" i="1" s="1"/>
  <c r="D22178" i="1"/>
  <c r="E22178" i="1" s="1"/>
  <c r="D22177" i="1"/>
  <c r="E22177" i="1" s="1"/>
  <c r="D22176" i="1"/>
  <c r="E22176" i="1" s="1"/>
  <c r="D22175" i="1"/>
  <c r="E22175" i="1" s="1"/>
  <c r="E22174" i="1"/>
  <c r="D22174" i="1"/>
  <c r="D22173" i="1"/>
  <c r="E22173" i="1" s="1"/>
  <c r="E22172" i="1"/>
  <c r="D22172" i="1"/>
  <c r="D22171" i="1"/>
  <c r="E22171" i="1" s="1"/>
  <c r="D22170" i="1"/>
  <c r="E22170" i="1" s="1"/>
  <c r="D22169" i="1"/>
  <c r="E22169" i="1" s="1"/>
  <c r="D22168" i="1"/>
  <c r="E22168" i="1" s="1"/>
  <c r="D22167" i="1"/>
  <c r="E22167" i="1" s="1"/>
  <c r="D22166" i="1"/>
  <c r="E22166" i="1" s="1"/>
  <c r="D22165" i="1"/>
  <c r="E22165" i="1" s="1"/>
  <c r="D22164" i="1"/>
  <c r="E22164" i="1" s="1"/>
  <c r="E22163" i="1"/>
  <c r="D22163" i="1"/>
  <c r="E22162" i="1"/>
  <c r="D22162" i="1"/>
  <c r="D22161" i="1"/>
  <c r="E22161" i="1" s="1"/>
  <c r="E22160" i="1"/>
  <c r="D22160" i="1"/>
  <c r="D22159" i="1"/>
  <c r="E22159" i="1" s="1"/>
  <c r="D22158" i="1"/>
  <c r="E22158" i="1" s="1"/>
  <c r="D22157" i="1"/>
  <c r="E22157" i="1" s="1"/>
  <c r="D22156" i="1"/>
  <c r="E22156" i="1" s="1"/>
  <c r="D22155" i="1"/>
  <c r="E22155" i="1" s="1"/>
  <c r="E22154" i="1"/>
  <c r="D22154" i="1"/>
  <c r="D22153" i="1"/>
  <c r="E22153" i="1" s="1"/>
  <c r="D22152" i="1"/>
  <c r="E22152" i="1" s="1"/>
  <c r="D22151" i="1"/>
  <c r="E22151" i="1" s="1"/>
  <c r="E22150" i="1"/>
  <c r="D22150" i="1"/>
  <c r="D22149" i="1"/>
  <c r="E22149" i="1" s="1"/>
  <c r="E22148" i="1"/>
  <c r="D22148" i="1"/>
  <c r="D22147" i="1"/>
  <c r="E22147" i="1" s="1"/>
  <c r="D22146" i="1"/>
  <c r="E22146" i="1" s="1"/>
  <c r="D22145" i="1"/>
  <c r="E22145" i="1" s="1"/>
  <c r="D22144" i="1"/>
  <c r="E22144" i="1" s="1"/>
  <c r="E22143" i="1"/>
  <c r="D22143" i="1"/>
  <c r="E22142" i="1"/>
  <c r="D22142" i="1"/>
  <c r="D22141" i="1"/>
  <c r="E22141" i="1" s="1"/>
  <c r="D22140" i="1"/>
  <c r="E22140" i="1" s="1"/>
  <c r="D22139" i="1"/>
  <c r="E22139" i="1" s="1"/>
  <c r="D22138" i="1"/>
  <c r="E22138" i="1" s="1"/>
  <c r="D22137" i="1"/>
  <c r="E22137" i="1" s="1"/>
  <c r="D22136" i="1"/>
  <c r="E22136" i="1" s="1"/>
  <c r="D22135" i="1"/>
  <c r="E22135" i="1" s="1"/>
  <c r="D22134" i="1"/>
  <c r="E22134" i="1" s="1"/>
  <c r="E22133" i="1"/>
  <c r="D22133" i="1"/>
  <c r="D22132" i="1"/>
  <c r="E22132" i="1" s="1"/>
  <c r="D22131" i="1"/>
  <c r="E22131" i="1" s="1"/>
  <c r="D22130" i="1"/>
  <c r="E22130" i="1" s="1"/>
  <c r="D22129" i="1"/>
  <c r="E22129" i="1" s="1"/>
  <c r="D22128" i="1"/>
  <c r="E22128" i="1" s="1"/>
  <c r="D22127" i="1"/>
  <c r="E22127" i="1" s="1"/>
  <c r="D22126" i="1"/>
  <c r="E22126" i="1" s="1"/>
  <c r="D22125" i="1"/>
  <c r="E22125" i="1" s="1"/>
  <c r="D22124" i="1"/>
  <c r="E22124" i="1" s="1"/>
  <c r="D22123" i="1"/>
  <c r="E22123" i="1" s="1"/>
  <c r="E22122" i="1"/>
  <c r="D22122" i="1"/>
  <c r="D22121" i="1"/>
  <c r="E22121" i="1" s="1"/>
  <c r="D22120" i="1"/>
  <c r="E22120" i="1" s="1"/>
  <c r="D22119" i="1"/>
  <c r="E22119" i="1" s="1"/>
  <c r="E22118" i="1"/>
  <c r="D22118" i="1"/>
  <c r="D22117" i="1"/>
  <c r="E22117" i="1" s="1"/>
  <c r="D22116" i="1"/>
  <c r="E22116" i="1" s="1"/>
  <c r="E22115" i="1"/>
  <c r="D22115" i="1"/>
  <c r="D22114" i="1"/>
  <c r="E22114" i="1" s="1"/>
  <c r="D22113" i="1"/>
  <c r="E22113" i="1" s="1"/>
  <c r="D22112" i="1"/>
  <c r="E22112" i="1" s="1"/>
  <c r="D22111" i="1"/>
  <c r="E22111" i="1" s="1"/>
  <c r="E22110" i="1"/>
  <c r="D22110" i="1"/>
  <c r="D22109" i="1"/>
  <c r="E22109" i="1" s="1"/>
  <c r="D22108" i="1"/>
  <c r="E22108" i="1" s="1"/>
  <c r="E22107" i="1"/>
  <c r="D22107" i="1"/>
  <c r="D22106" i="1"/>
  <c r="E22106" i="1" s="1"/>
  <c r="D22105" i="1"/>
  <c r="E22105" i="1" s="1"/>
  <c r="D22104" i="1"/>
  <c r="E22104" i="1" s="1"/>
  <c r="D22103" i="1"/>
  <c r="E22103" i="1" s="1"/>
  <c r="E22102" i="1"/>
  <c r="D22102" i="1"/>
  <c r="D22101" i="1"/>
  <c r="E22101" i="1" s="1"/>
  <c r="E22100" i="1"/>
  <c r="D22100" i="1"/>
  <c r="D22099" i="1"/>
  <c r="E22099" i="1" s="1"/>
  <c r="E22098" i="1"/>
  <c r="D22098" i="1"/>
  <c r="D22097" i="1"/>
  <c r="E22097" i="1" s="1"/>
  <c r="D22096" i="1"/>
  <c r="E22096" i="1" s="1"/>
  <c r="E22095" i="1"/>
  <c r="D22095" i="1"/>
  <c r="D22094" i="1"/>
  <c r="E22094" i="1" s="1"/>
  <c r="D22093" i="1"/>
  <c r="E22093" i="1" s="1"/>
  <c r="D22092" i="1"/>
  <c r="E22092" i="1" s="1"/>
  <c r="D22091" i="1"/>
  <c r="E22091" i="1" s="1"/>
  <c r="E22090" i="1"/>
  <c r="D22090" i="1"/>
  <c r="D22089" i="1"/>
  <c r="E22089" i="1" s="1"/>
  <c r="D22088" i="1"/>
  <c r="E22088" i="1" s="1"/>
  <c r="D22087" i="1"/>
  <c r="E22087" i="1" s="1"/>
  <c r="E22086" i="1"/>
  <c r="D22086" i="1"/>
  <c r="E22085" i="1"/>
  <c r="D22085" i="1"/>
  <c r="D22084" i="1"/>
  <c r="E22084" i="1" s="1"/>
  <c r="E22083" i="1"/>
  <c r="D22083" i="1"/>
  <c r="D22082" i="1"/>
  <c r="E22082" i="1" s="1"/>
  <c r="D22081" i="1"/>
  <c r="E22081" i="1" s="1"/>
  <c r="D22080" i="1"/>
  <c r="E22080" i="1" s="1"/>
  <c r="D22079" i="1"/>
  <c r="E22079" i="1" s="1"/>
  <c r="E22078" i="1"/>
  <c r="D22078" i="1"/>
  <c r="D22077" i="1"/>
  <c r="E22077" i="1" s="1"/>
  <c r="D22076" i="1"/>
  <c r="E22076" i="1" s="1"/>
  <c r="D22075" i="1"/>
  <c r="E22075" i="1" s="1"/>
  <c r="E22074" i="1"/>
  <c r="D22074" i="1"/>
  <c r="D22073" i="1"/>
  <c r="E22073" i="1" s="1"/>
  <c r="D22072" i="1"/>
  <c r="E22072" i="1" s="1"/>
  <c r="E22071" i="1"/>
  <c r="D22071" i="1"/>
  <c r="E22070" i="1"/>
  <c r="D22070" i="1"/>
  <c r="D22069" i="1"/>
  <c r="E22069" i="1" s="1"/>
  <c r="E22068" i="1"/>
  <c r="D22068" i="1"/>
  <c r="D22067" i="1"/>
  <c r="E22067" i="1" s="1"/>
  <c r="D22066" i="1"/>
  <c r="E22066" i="1" s="1"/>
  <c r="D22065" i="1"/>
  <c r="E22065" i="1" s="1"/>
  <c r="D22064" i="1"/>
  <c r="E22064" i="1" s="1"/>
  <c r="D22063" i="1"/>
  <c r="E22063" i="1" s="1"/>
  <c r="E22062" i="1"/>
  <c r="D22062" i="1"/>
  <c r="D22061" i="1"/>
  <c r="E22061" i="1" s="1"/>
  <c r="D22060" i="1"/>
  <c r="E22060" i="1" s="1"/>
  <c r="D22059" i="1"/>
  <c r="E22059" i="1" s="1"/>
  <c r="E22058" i="1"/>
  <c r="D22058" i="1"/>
  <c r="D22057" i="1"/>
  <c r="E22057" i="1" s="1"/>
  <c r="D22056" i="1"/>
  <c r="E22056" i="1" s="1"/>
  <c r="D22055" i="1"/>
  <c r="E22055" i="1" s="1"/>
  <c r="E22054" i="1"/>
  <c r="D22054" i="1"/>
  <c r="D22053" i="1"/>
  <c r="E22053" i="1" s="1"/>
  <c r="E22052" i="1"/>
  <c r="D22052" i="1"/>
  <c r="D22051" i="1"/>
  <c r="E22051" i="1" s="1"/>
  <c r="D22050" i="1"/>
  <c r="E22050" i="1" s="1"/>
  <c r="E22049" i="1"/>
  <c r="D22049" i="1"/>
  <c r="D22048" i="1"/>
  <c r="E22048" i="1" s="1"/>
  <c r="D22047" i="1"/>
  <c r="E22047" i="1" s="1"/>
  <c r="E22046" i="1"/>
  <c r="D22046" i="1"/>
  <c r="D22045" i="1"/>
  <c r="E22045" i="1" s="1"/>
  <c r="D22044" i="1"/>
  <c r="E22044" i="1" s="1"/>
  <c r="E22043" i="1"/>
  <c r="D22043" i="1"/>
  <c r="D22042" i="1"/>
  <c r="E22042" i="1" s="1"/>
  <c r="D22041" i="1"/>
  <c r="E22041" i="1" s="1"/>
  <c r="D22040" i="1"/>
  <c r="E22040" i="1" s="1"/>
  <c r="D22039" i="1"/>
  <c r="E22039" i="1" s="1"/>
  <c r="D22038" i="1"/>
  <c r="E22038" i="1" s="1"/>
  <c r="D22037" i="1"/>
  <c r="E22037" i="1" s="1"/>
  <c r="D22036" i="1"/>
  <c r="E22036" i="1" s="1"/>
  <c r="D22035" i="1"/>
  <c r="E22035" i="1" s="1"/>
  <c r="D22034" i="1"/>
  <c r="E22034" i="1" s="1"/>
  <c r="D22033" i="1"/>
  <c r="E22033" i="1" s="1"/>
  <c r="D22032" i="1"/>
  <c r="E22032" i="1" s="1"/>
  <c r="E22031" i="1"/>
  <c r="D22031" i="1"/>
  <c r="D22030" i="1"/>
  <c r="E22030" i="1" s="1"/>
  <c r="D22029" i="1"/>
  <c r="E22029" i="1" s="1"/>
  <c r="E22028" i="1"/>
  <c r="D22028" i="1"/>
  <c r="D22027" i="1"/>
  <c r="E22027" i="1" s="1"/>
  <c r="D22026" i="1"/>
  <c r="E22026" i="1" s="1"/>
  <c r="E22025" i="1"/>
  <c r="D22025" i="1"/>
  <c r="D22024" i="1"/>
  <c r="E22024" i="1" s="1"/>
  <c r="E22023" i="1"/>
  <c r="D22023" i="1"/>
  <c r="E22022" i="1"/>
  <c r="D22022" i="1"/>
  <c r="D22021" i="1"/>
  <c r="E22021" i="1" s="1"/>
  <c r="D22020" i="1"/>
  <c r="E22020" i="1" s="1"/>
  <c r="E22019" i="1"/>
  <c r="D22019" i="1"/>
  <c r="D22018" i="1"/>
  <c r="E22018" i="1" s="1"/>
  <c r="D22017" i="1"/>
  <c r="E22017" i="1" s="1"/>
  <c r="D22016" i="1"/>
  <c r="E22016" i="1" s="1"/>
  <c r="D22015" i="1"/>
  <c r="E22015" i="1" s="1"/>
  <c r="E22014" i="1"/>
  <c r="D22014" i="1"/>
  <c r="D22013" i="1"/>
  <c r="E22013" i="1" s="1"/>
  <c r="D22012" i="1"/>
  <c r="E22012" i="1" s="1"/>
  <c r="D22011" i="1"/>
  <c r="E22011" i="1" s="1"/>
  <c r="E22010" i="1"/>
  <c r="D22010" i="1"/>
  <c r="D22009" i="1"/>
  <c r="E22009" i="1" s="1"/>
  <c r="D22008" i="1"/>
  <c r="E22008" i="1" s="1"/>
  <c r="D22007" i="1"/>
  <c r="E22007" i="1" s="1"/>
  <c r="D22006" i="1"/>
  <c r="E22006" i="1" s="1"/>
  <c r="D22005" i="1"/>
  <c r="E22005" i="1" s="1"/>
  <c r="D22004" i="1"/>
  <c r="E22004" i="1" s="1"/>
  <c r="D22003" i="1"/>
  <c r="E22003" i="1" s="1"/>
  <c r="E22002" i="1"/>
  <c r="D22002" i="1"/>
  <c r="D22001" i="1"/>
  <c r="E22001" i="1" s="1"/>
  <c r="D22000" i="1"/>
  <c r="E22000" i="1" s="1"/>
  <c r="E21999" i="1"/>
  <c r="D21999" i="1"/>
  <c r="E21998" i="1"/>
  <c r="D21998" i="1"/>
  <c r="D21997" i="1"/>
  <c r="E21997" i="1" s="1"/>
  <c r="E21996" i="1"/>
  <c r="D21996" i="1"/>
  <c r="D21995" i="1"/>
  <c r="E21995" i="1" s="1"/>
  <c r="D21994" i="1"/>
  <c r="E21994" i="1" s="1"/>
  <c r="D21993" i="1"/>
  <c r="E21993" i="1" s="1"/>
  <c r="D21992" i="1"/>
  <c r="E21992" i="1" s="1"/>
  <c r="D21991" i="1"/>
  <c r="E21991" i="1" s="1"/>
  <c r="E21990" i="1"/>
  <c r="D21990" i="1"/>
  <c r="D21989" i="1"/>
  <c r="E21989" i="1" s="1"/>
  <c r="D21988" i="1"/>
  <c r="E21988" i="1" s="1"/>
  <c r="D21987" i="1"/>
  <c r="E21987" i="1" s="1"/>
  <c r="E21986" i="1"/>
  <c r="D21986" i="1"/>
  <c r="D21985" i="1"/>
  <c r="E21985" i="1" s="1"/>
  <c r="D21984" i="1"/>
  <c r="E21984" i="1" s="1"/>
  <c r="D21983" i="1"/>
  <c r="E21983" i="1" s="1"/>
  <c r="E21982" i="1"/>
  <c r="D21982" i="1"/>
  <c r="D21981" i="1"/>
  <c r="E21981" i="1" s="1"/>
  <c r="E21980" i="1"/>
  <c r="D21980" i="1"/>
  <c r="D21979" i="1"/>
  <c r="E21979" i="1" s="1"/>
  <c r="E21978" i="1"/>
  <c r="D21978" i="1"/>
  <c r="D21977" i="1"/>
  <c r="E21977" i="1" s="1"/>
  <c r="D21976" i="1"/>
  <c r="E21976" i="1" s="1"/>
  <c r="D21975" i="1"/>
  <c r="E21975" i="1" s="1"/>
  <c r="E21974" i="1"/>
  <c r="D21974" i="1"/>
  <c r="D21973" i="1"/>
  <c r="E21973" i="1" s="1"/>
  <c r="D21972" i="1"/>
  <c r="E21972" i="1" s="1"/>
  <c r="E21971" i="1"/>
  <c r="D21971" i="1"/>
  <c r="D21970" i="1"/>
  <c r="E21970" i="1" s="1"/>
  <c r="D21969" i="1"/>
  <c r="E21969" i="1" s="1"/>
  <c r="D21968" i="1"/>
  <c r="E21968" i="1" s="1"/>
  <c r="D21967" i="1"/>
  <c r="E21967" i="1" s="1"/>
  <c r="D21966" i="1"/>
  <c r="E21966" i="1" s="1"/>
  <c r="D21965" i="1"/>
  <c r="E21965" i="1" s="1"/>
  <c r="D21964" i="1"/>
  <c r="E21964" i="1" s="1"/>
  <c r="D21963" i="1"/>
  <c r="E21963" i="1" s="1"/>
  <c r="E21962" i="1"/>
  <c r="D21962" i="1"/>
  <c r="D21961" i="1"/>
  <c r="E21961" i="1" s="1"/>
  <c r="D21960" i="1"/>
  <c r="E21960" i="1" s="1"/>
  <c r="E21959" i="1"/>
  <c r="D21959" i="1"/>
  <c r="D21958" i="1"/>
  <c r="E21958" i="1" s="1"/>
  <c r="D21957" i="1"/>
  <c r="E21957" i="1" s="1"/>
  <c r="E21956" i="1"/>
  <c r="D21956" i="1"/>
  <c r="D21955" i="1"/>
  <c r="E21955" i="1" s="1"/>
  <c r="D21954" i="1"/>
  <c r="E21954" i="1" s="1"/>
  <c r="E21953" i="1"/>
  <c r="D21953" i="1"/>
  <c r="D21952" i="1"/>
  <c r="E21952" i="1" s="1"/>
  <c r="E21951" i="1"/>
  <c r="D21951" i="1"/>
  <c r="E21950" i="1"/>
  <c r="D21950" i="1"/>
  <c r="D21949" i="1"/>
  <c r="E21949" i="1" s="1"/>
  <c r="D21948" i="1"/>
  <c r="E21948" i="1" s="1"/>
  <c r="E21947" i="1"/>
  <c r="D21947" i="1"/>
  <c r="D21946" i="1"/>
  <c r="E21946" i="1" s="1"/>
  <c r="D21945" i="1"/>
  <c r="E21945" i="1" s="1"/>
  <c r="D21944" i="1"/>
  <c r="E21944" i="1" s="1"/>
  <c r="D21943" i="1"/>
  <c r="E21943" i="1" s="1"/>
  <c r="E21942" i="1"/>
  <c r="D21942" i="1"/>
  <c r="D21941" i="1"/>
  <c r="E21941" i="1" s="1"/>
  <c r="D21940" i="1"/>
  <c r="E21940" i="1" s="1"/>
  <c r="D21939" i="1"/>
  <c r="E21939" i="1" s="1"/>
  <c r="E21938" i="1"/>
  <c r="D21938" i="1"/>
  <c r="D21937" i="1"/>
  <c r="E21937" i="1" s="1"/>
  <c r="D21936" i="1"/>
  <c r="E21936" i="1" s="1"/>
  <c r="E21935" i="1"/>
  <c r="D21935" i="1"/>
  <c r="D21934" i="1"/>
  <c r="E21934" i="1" s="1"/>
  <c r="D21933" i="1"/>
  <c r="E21933" i="1" s="1"/>
  <c r="D21932" i="1"/>
  <c r="E21932" i="1" s="1"/>
  <c r="D21931" i="1"/>
  <c r="E21931" i="1" s="1"/>
  <c r="E21930" i="1"/>
  <c r="D21930" i="1"/>
  <c r="D21929" i="1"/>
  <c r="E21929" i="1" s="1"/>
  <c r="D21928" i="1"/>
  <c r="E21928" i="1" s="1"/>
  <c r="E21927" i="1"/>
  <c r="D21927" i="1"/>
  <c r="E21926" i="1"/>
  <c r="D21926" i="1"/>
  <c r="D21925" i="1"/>
  <c r="E21925" i="1" s="1"/>
  <c r="E21924" i="1"/>
  <c r="D21924" i="1"/>
  <c r="D21923" i="1"/>
  <c r="E21923" i="1" s="1"/>
  <c r="D21922" i="1"/>
  <c r="E21922" i="1" s="1"/>
  <c r="D21921" i="1"/>
  <c r="E21921" i="1" s="1"/>
  <c r="D21920" i="1"/>
  <c r="E21920" i="1" s="1"/>
  <c r="D21919" i="1"/>
  <c r="E21919" i="1" s="1"/>
  <c r="E21918" i="1"/>
  <c r="D21918" i="1"/>
  <c r="D21917" i="1"/>
  <c r="E21917" i="1" s="1"/>
  <c r="D21916" i="1"/>
  <c r="E21916" i="1" s="1"/>
  <c r="D21915" i="1"/>
  <c r="E21915" i="1" s="1"/>
  <c r="E21914" i="1"/>
  <c r="D21914" i="1"/>
  <c r="D21913" i="1"/>
  <c r="E21913" i="1" s="1"/>
  <c r="D21912" i="1"/>
  <c r="E21912" i="1" s="1"/>
  <c r="D21911" i="1"/>
  <c r="E21911" i="1" s="1"/>
  <c r="E21910" i="1"/>
  <c r="D21910" i="1"/>
  <c r="D21909" i="1"/>
  <c r="E21909" i="1" s="1"/>
  <c r="E21908" i="1"/>
  <c r="D21908" i="1"/>
  <c r="D21907" i="1"/>
  <c r="E21907" i="1" s="1"/>
  <c r="E21906" i="1"/>
  <c r="D21906" i="1"/>
  <c r="D21905" i="1"/>
  <c r="E21905" i="1" s="1"/>
  <c r="D21904" i="1"/>
  <c r="E21904" i="1" s="1"/>
  <c r="D21903" i="1"/>
  <c r="E21903" i="1" s="1"/>
  <c r="E21902" i="1"/>
  <c r="D21902" i="1"/>
  <c r="D21901" i="1"/>
  <c r="E21901" i="1" s="1"/>
  <c r="D21900" i="1"/>
  <c r="E21900" i="1" s="1"/>
  <c r="E21899" i="1"/>
  <c r="D21899" i="1"/>
  <c r="D21898" i="1"/>
  <c r="E21898" i="1" s="1"/>
  <c r="D21897" i="1"/>
  <c r="E21897" i="1" s="1"/>
  <c r="D21896" i="1"/>
  <c r="E21896" i="1" s="1"/>
  <c r="D21895" i="1"/>
  <c r="E21895" i="1" s="1"/>
  <c r="D21894" i="1"/>
  <c r="E21894" i="1" s="1"/>
  <c r="D21893" i="1"/>
  <c r="E21893" i="1" s="1"/>
  <c r="D21892" i="1"/>
  <c r="E21892" i="1" s="1"/>
  <c r="D21891" i="1"/>
  <c r="E21891" i="1" s="1"/>
  <c r="D21890" i="1"/>
  <c r="E21890" i="1" s="1"/>
  <c r="D21889" i="1"/>
  <c r="E21889" i="1" s="1"/>
  <c r="E21888" i="1"/>
  <c r="D21888" i="1"/>
  <c r="D21887" i="1"/>
  <c r="E21887" i="1" s="1"/>
  <c r="E21886" i="1"/>
  <c r="D21886" i="1"/>
  <c r="D21885" i="1"/>
  <c r="E21885" i="1" s="1"/>
  <c r="D21884" i="1"/>
  <c r="E21884" i="1" s="1"/>
  <c r="D21883" i="1"/>
  <c r="E21883" i="1" s="1"/>
  <c r="D21882" i="1"/>
  <c r="E21882" i="1" s="1"/>
  <c r="E21881" i="1"/>
  <c r="D21881" i="1"/>
  <c r="D21880" i="1"/>
  <c r="E21880" i="1" s="1"/>
  <c r="D21879" i="1"/>
  <c r="E21879" i="1" s="1"/>
  <c r="E21878" i="1"/>
  <c r="D21878" i="1"/>
  <c r="D21877" i="1"/>
  <c r="E21877" i="1" s="1"/>
  <c r="E21876" i="1"/>
  <c r="D21876" i="1"/>
  <c r="D21875" i="1"/>
  <c r="E21875" i="1" s="1"/>
  <c r="E21874" i="1"/>
  <c r="D21874" i="1"/>
  <c r="D21873" i="1"/>
  <c r="E21873" i="1" s="1"/>
  <c r="E21872" i="1"/>
  <c r="D21872" i="1"/>
  <c r="D21871" i="1"/>
  <c r="E21871" i="1" s="1"/>
  <c r="D21870" i="1"/>
  <c r="E21870" i="1" s="1"/>
  <c r="D21869" i="1"/>
  <c r="E21869" i="1" s="1"/>
  <c r="D21868" i="1"/>
  <c r="E21868" i="1" s="1"/>
  <c r="E21867" i="1"/>
  <c r="D21867" i="1"/>
  <c r="E21866" i="1"/>
  <c r="D21866" i="1"/>
  <c r="E21865" i="1"/>
  <c r="D21865" i="1"/>
  <c r="D21864" i="1"/>
  <c r="E21864" i="1" s="1"/>
  <c r="D21863" i="1"/>
  <c r="E21863" i="1" s="1"/>
  <c r="D21862" i="1"/>
  <c r="E21862" i="1" s="1"/>
  <c r="D21861" i="1"/>
  <c r="E21861" i="1" s="1"/>
  <c r="E21860" i="1"/>
  <c r="D21860" i="1"/>
  <c r="D21859" i="1"/>
  <c r="E21859" i="1" s="1"/>
  <c r="E21858" i="1"/>
  <c r="D21858" i="1"/>
  <c r="E21857" i="1"/>
  <c r="D21857" i="1"/>
  <c r="D21856" i="1"/>
  <c r="E21856" i="1" s="1"/>
  <c r="D21855" i="1"/>
  <c r="E21855" i="1" s="1"/>
  <c r="E21854" i="1"/>
  <c r="D21854" i="1"/>
  <c r="D21853" i="1"/>
  <c r="E21853" i="1" s="1"/>
  <c r="D21852" i="1"/>
  <c r="E21852" i="1" s="1"/>
  <c r="E21851" i="1"/>
  <c r="D21851" i="1"/>
  <c r="E21850" i="1"/>
  <c r="D21850" i="1"/>
  <c r="D21849" i="1"/>
  <c r="E21849" i="1" s="1"/>
  <c r="D21848" i="1"/>
  <c r="E21848" i="1" s="1"/>
  <c r="D21847" i="1"/>
  <c r="E21847" i="1" s="1"/>
  <c r="E21846" i="1"/>
  <c r="D21846" i="1"/>
  <c r="D21845" i="1"/>
  <c r="E21845" i="1" s="1"/>
  <c r="D21844" i="1"/>
  <c r="E21844" i="1" s="1"/>
  <c r="E21843" i="1"/>
  <c r="D21843" i="1"/>
  <c r="E21842" i="1"/>
  <c r="D21842" i="1"/>
  <c r="D21841" i="1"/>
  <c r="E21841" i="1" s="1"/>
  <c r="E21840" i="1"/>
  <c r="D21840" i="1"/>
  <c r="E21839" i="1"/>
  <c r="D21839" i="1"/>
  <c r="E21838" i="1"/>
  <c r="D21838" i="1"/>
  <c r="D21837" i="1"/>
  <c r="E21837" i="1" s="1"/>
  <c r="E21836" i="1"/>
  <c r="D21836" i="1"/>
  <c r="D21835" i="1"/>
  <c r="E21835" i="1" s="1"/>
  <c r="D21834" i="1"/>
  <c r="E21834" i="1" s="1"/>
  <c r="E21833" i="1"/>
  <c r="D21833" i="1"/>
  <c r="D21832" i="1"/>
  <c r="E21832" i="1" s="1"/>
  <c r="D21831" i="1"/>
  <c r="E21831" i="1" s="1"/>
  <c r="E21830" i="1"/>
  <c r="D21830" i="1"/>
  <c r="D21829" i="1"/>
  <c r="E21829" i="1" s="1"/>
  <c r="D21828" i="1"/>
  <c r="E21828" i="1" s="1"/>
  <c r="E21827" i="1"/>
  <c r="D21827" i="1"/>
  <c r="D21826" i="1"/>
  <c r="E21826" i="1" s="1"/>
  <c r="D21825" i="1"/>
  <c r="E21825" i="1" s="1"/>
  <c r="E21824" i="1"/>
  <c r="D21824" i="1"/>
  <c r="D21823" i="1"/>
  <c r="E21823" i="1" s="1"/>
  <c r="E21822" i="1"/>
  <c r="D21822" i="1"/>
  <c r="E21821" i="1"/>
  <c r="D21821" i="1"/>
  <c r="D21820" i="1"/>
  <c r="E21820" i="1" s="1"/>
  <c r="E21819" i="1"/>
  <c r="D21819" i="1"/>
  <c r="D21818" i="1"/>
  <c r="E21818" i="1" s="1"/>
  <c r="E21817" i="1"/>
  <c r="D21817" i="1"/>
  <c r="E21816" i="1"/>
  <c r="D21816" i="1"/>
  <c r="E21815" i="1"/>
  <c r="D21815" i="1"/>
  <c r="D21814" i="1"/>
  <c r="E21814" i="1" s="1"/>
  <c r="D21813" i="1"/>
  <c r="E21813" i="1" s="1"/>
  <c r="D21812" i="1"/>
  <c r="E21812" i="1" s="1"/>
  <c r="D21811" i="1"/>
  <c r="E21811" i="1" s="1"/>
  <c r="E21810" i="1"/>
  <c r="D21810" i="1"/>
  <c r="D21809" i="1"/>
  <c r="E21809" i="1" s="1"/>
  <c r="D21808" i="1"/>
  <c r="E21808" i="1" s="1"/>
  <c r="E21807" i="1"/>
  <c r="D21807" i="1"/>
  <c r="D21806" i="1"/>
  <c r="E21806" i="1" s="1"/>
  <c r="E21805" i="1"/>
  <c r="D21805" i="1"/>
  <c r="D21804" i="1"/>
  <c r="E21804" i="1" s="1"/>
  <c r="E21803" i="1"/>
  <c r="D21803" i="1"/>
  <c r="D21802" i="1"/>
  <c r="E21802" i="1" s="1"/>
  <c r="D21801" i="1"/>
  <c r="E21801" i="1" s="1"/>
  <c r="D21800" i="1"/>
  <c r="E21800" i="1" s="1"/>
  <c r="D21799" i="1"/>
  <c r="E21799" i="1" s="1"/>
  <c r="D21798" i="1"/>
  <c r="E21798" i="1" s="1"/>
  <c r="D21797" i="1"/>
  <c r="E21797" i="1" s="1"/>
  <c r="D21796" i="1"/>
  <c r="E21796" i="1" s="1"/>
  <c r="D21795" i="1"/>
  <c r="E21795" i="1" s="1"/>
  <c r="D21794" i="1"/>
  <c r="E21794" i="1" s="1"/>
  <c r="D21793" i="1"/>
  <c r="E21793" i="1" s="1"/>
  <c r="E21792" i="1"/>
  <c r="D21792" i="1"/>
  <c r="D21791" i="1"/>
  <c r="E21791" i="1" s="1"/>
  <c r="E21790" i="1"/>
  <c r="D21790" i="1"/>
  <c r="D21789" i="1"/>
  <c r="E21789" i="1" s="1"/>
  <c r="D21788" i="1"/>
  <c r="E21788" i="1" s="1"/>
  <c r="D21787" i="1"/>
  <c r="E21787" i="1" s="1"/>
  <c r="D21786" i="1"/>
  <c r="E21786" i="1" s="1"/>
  <c r="E21785" i="1"/>
  <c r="D21785" i="1"/>
  <c r="D21784" i="1"/>
  <c r="E21784" i="1" s="1"/>
  <c r="D21783" i="1"/>
  <c r="E21783" i="1" s="1"/>
  <c r="E21782" i="1"/>
  <c r="D21782" i="1"/>
  <c r="E21781" i="1"/>
  <c r="D21781" i="1"/>
  <c r="E21780" i="1"/>
  <c r="D21780" i="1"/>
  <c r="D21779" i="1"/>
  <c r="E21779" i="1" s="1"/>
  <c r="E21778" i="1"/>
  <c r="D21778" i="1"/>
  <c r="D21777" i="1"/>
  <c r="E21777" i="1" s="1"/>
  <c r="E21776" i="1"/>
  <c r="D21776" i="1"/>
  <c r="D21775" i="1"/>
  <c r="E21775" i="1" s="1"/>
  <c r="D21774" i="1"/>
  <c r="E21774" i="1" s="1"/>
  <c r="D21773" i="1"/>
  <c r="E21773" i="1" s="1"/>
  <c r="D21772" i="1"/>
  <c r="E21772" i="1" s="1"/>
  <c r="E21771" i="1"/>
  <c r="D21771" i="1"/>
  <c r="E21770" i="1"/>
  <c r="D21770" i="1"/>
  <c r="E21769" i="1"/>
  <c r="D21769" i="1"/>
  <c r="D21768" i="1"/>
  <c r="E21768" i="1" s="1"/>
  <c r="E21767" i="1"/>
  <c r="D21767" i="1"/>
  <c r="D21766" i="1"/>
  <c r="E21766" i="1" s="1"/>
  <c r="D21765" i="1"/>
  <c r="E21765" i="1" s="1"/>
  <c r="E21764" i="1"/>
  <c r="D21764" i="1"/>
  <c r="D21763" i="1"/>
  <c r="E21763" i="1" s="1"/>
  <c r="E21762" i="1"/>
  <c r="D21762" i="1"/>
  <c r="E21761" i="1"/>
  <c r="D21761" i="1"/>
  <c r="D21760" i="1"/>
  <c r="E21760" i="1" s="1"/>
  <c r="D21759" i="1"/>
  <c r="E21759" i="1" s="1"/>
  <c r="E21758" i="1"/>
  <c r="D21758" i="1"/>
  <c r="D21757" i="1"/>
  <c r="E21757" i="1" s="1"/>
  <c r="D21756" i="1"/>
  <c r="E21756" i="1" s="1"/>
  <c r="E21755" i="1"/>
  <c r="D21755" i="1"/>
  <c r="E21754" i="1"/>
  <c r="D21754" i="1"/>
  <c r="D21753" i="1"/>
  <c r="E21753" i="1" s="1"/>
  <c r="D21752" i="1"/>
  <c r="E21752" i="1" s="1"/>
  <c r="D21751" i="1"/>
  <c r="E21751" i="1" s="1"/>
  <c r="E21750" i="1"/>
  <c r="D21750" i="1"/>
  <c r="D21749" i="1"/>
  <c r="E21749" i="1" s="1"/>
  <c r="D21748" i="1"/>
  <c r="E21748" i="1" s="1"/>
  <c r="E21747" i="1"/>
  <c r="D21747" i="1"/>
  <c r="E21746" i="1"/>
  <c r="D21746" i="1"/>
  <c r="D21745" i="1"/>
  <c r="E21745" i="1" s="1"/>
  <c r="E21744" i="1"/>
  <c r="D21744" i="1"/>
  <c r="E21743" i="1"/>
  <c r="D21743" i="1"/>
  <c r="E21742" i="1"/>
  <c r="D21742" i="1"/>
  <c r="D21741" i="1"/>
  <c r="E21741" i="1" s="1"/>
  <c r="E21740" i="1"/>
  <c r="D21740" i="1"/>
  <c r="D21739" i="1"/>
  <c r="E21739" i="1" s="1"/>
  <c r="D21738" i="1"/>
  <c r="E21738" i="1" s="1"/>
  <c r="E21737" i="1"/>
  <c r="D21737" i="1"/>
  <c r="D21736" i="1"/>
  <c r="E21736" i="1" s="1"/>
  <c r="D21735" i="1"/>
  <c r="E21735" i="1" s="1"/>
  <c r="E21734" i="1"/>
  <c r="D21734" i="1"/>
  <c r="D21733" i="1"/>
  <c r="E21733" i="1" s="1"/>
  <c r="D21732" i="1"/>
  <c r="E21732" i="1" s="1"/>
  <c r="D21731" i="1"/>
  <c r="E21731" i="1" s="1"/>
  <c r="D21730" i="1"/>
  <c r="E21730" i="1" s="1"/>
  <c r="D21729" i="1"/>
  <c r="E21729" i="1" s="1"/>
  <c r="E21728" i="1"/>
  <c r="D21728" i="1"/>
  <c r="D21727" i="1"/>
  <c r="E21727" i="1" s="1"/>
  <c r="E21726" i="1"/>
  <c r="D21726" i="1"/>
  <c r="E21725" i="1"/>
  <c r="D21725" i="1"/>
  <c r="D21724" i="1"/>
  <c r="E21724" i="1" s="1"/>
  <c r="E21723" i="1"/>
  <c r="D21723" i="1"/>
  <c r="D21722" i="1"/>
  <c r="E21722" i="1" s="1"/>
  <c r="E21721" i="1"/>
  <c r="D21721" i="1"/>
  <c r="E21720" i="1"/>
  <c r="D21720" i="1"/>
  <c r="E21719" i="1"/>
  <c r="D21719" i="1"/>
  <c r="D21718" i="1"/>
  <c r="E21718" i="1" s="1"/>
  <c r="D21717" i="1"/>
  <c r="E21717" i="1" s="1"/>
  <c r="D21716" i="1"/>
  <c r="E21716" i="1" s="1"/>
  <c r="D21715" i="1"/>
  <c r="E21715" i="1" s="1"/>
  <c r="E21714" i="1"/>
  <c r="D21714" i="1"/>
  <c r="D21713" i="1"/>
  <c r="E21713" i="1" s="1"/>
  <c r="D21712" i="1"/>
  <c r="E21712" i="1" s="1"/>
  <c r="E21711" i="1"/>
  <c r="D21711" i="1"/>
  <c r="D21710" i="1"/>
  <c r="E21710" i="1" s="1"/>
  <c r="E21709" i="1"/>
  <c r="D21709" i="1"/>
  <c r="D21708" i="1"/>
  <c r="E21708" i="1" s="1"/>
  <c r="E21707" i="1"/>
  <c r="D21707" i="1"/>
  <c r="D21706" i="1"/>
  <c r="E21706" i="1" s="1"/>
  <c r="D21705" i="1"/>
  <c r="E21705" i="1" s="1"/>
  <c r="D21704" i="1"/>
  <c r="E21704" i="1" s="1"/>
  <c r="D21703" i="1"/>
  <c r="E21703" i="1" s="1"/>
  <c r="D21702" i="1"/>
  <c r="E21702" i="1" s="1"/>
  <c r="D21701" i="1"/>
  <c r="E21701" i="1" s="1"/>
  <c r="D21700" i="1"/>
  <c r="E21700" i="1" s="1"/>
  <c r="D21699" i="1"/>
  <c r="E21699" i="1" s="1"/>
  <c r="E21698" i="1"/>
  <c r="D21698" i="1"/>
  <c r="D21697" i="1"/>
  <c r="E21697" i="1" s="1"/>
  <c r="E21696" i="1"/>
  <c r="D21696" i="1"/>
  <c r="D21695" i="1"/>
  <c r="E21695" i="1" s="1"/>
  <c r="E21694" i="1"/>
  <c r="D21694" i="1"/>
  <c r="D21693" i="1"/>
  <c r="E21693" i="1" s="1"/>
  <c r="D21692" i="1"/>
  <c r="E21692" i="1" s="1"/>
  <c r="D21691" i="1"/>
  <c r="E21691" i="1" s="1"/>
  <c r="D21690" i="1"/>
  <c r="E21690" i="1" s="1"/>
  <c r="E21689" i="1"/>
  <c r="D21689" i="1"/>
  <c r="D21688" i="1"/>
  <c r="E21688" i="1" s="1"/>
  <c r="D21687" i="1"/>
  <c r="E21687" i="1" s="1"/>
  <c r="E21686" i="1"/>
  <c r="D21686" i="1"/>
  <c r="D21685" i="1"/>
  <c r="E21685" i="1" s="1"/>
  <c r="E21684" i="1"/>
  <c r="D21684" i="1"/>
  <c r="D21683" i="1"/>
  <c r="E21683" i="1" s="1"/>
  <c r="E21682" i="1"/>
  <c r="D21682" i="1"/>
  <c r="D21681" i="1"/>
  <c r="E21681" i="1" s="1"/>
  <c r="E21680" i="1"/>
  <c r="D21680" i="1"/>
  <c r="D21679" i="1"/>
  <c r="E21679" i="1" s="1"/>
  <c r="D21678" i="1"/>
  <c r="E21678" i="1" s="1"/>
  <c r="D21677" i="1"/>
  <c r="E21677" i="1" s="1"/>
  <c r="D21676" i="1"/>
  <c r="E21676" i="1" s="1"/>
  <c r="E21675" i="1"/>
  <c r="D21675" i="1"/>
  <c r="E21674" i="1"/>
  <c r="D21674" i="1"/>
  <c r="E21673" i="1"/>
  <c r="D21673" i="1"/>
  <c r="D21672" i="1"/>
  <c r="E21672" i="1" s="1"/>
  <c r="E21671" i="1"/>
  <c r="D21671" i="1"/>
  <c r="D21670" i="1"/>
  <c r="E21670" i="1" s="1"/>
  <c r="D21669" i="1"/>
  <c r="E21669" i="1" s="1"/>
  <c r="E21668" i="1"/>
  <c r="D21668" i="1"/>
  <c r="D21667" i="1"/>
  <c r="E21667" i="1" s="1"/>
  <c r="E21666" i="1"/>
  <c r="D21666" i="1"/>
  <c r="E21665" i="1"/>
  <c r="D21665" i="1"/>
  <c r="D21664" i="1"/>
  <c r="E21664" i="1" s="1"/>
  <c r="D21663" i="1"/>
  <c r="E21663" i="1" s="1"/>
  <c r="D21662" i="1"/>
  <c r="E21662" i="1" s="1"/>
  <c r="D21661" i="1"/>
  <c r="E21661" i="1" s="1"/>
  <c r="D21660" i="1"/>
  <c r="E21660" i="1" s="1"/>
  <c r="E21659" i="1"/>
  <c r="D21659" i="1"/>
  <c r="D21658" i="1"/>
  <c r="E21658" i="1" s="1"/>
  <c r="D21657" i="1"/>
  <c r="E21657" i="1" s="1"/>
  <c r="D21656" i="1"/>
  <c r="E21656" i="1" s="1"/>
  <c r="D21655" i="1"/>
  <c r="E21655" i="1" s="1"/>
  <c r="E21654" i="1"/>
  <c r="D21654" i="1"/>
  <c r="D21653" i="1"/>
  <c r="E21653" i="1" s="1"/>
  <c r="D21652" i="1"/>
  <c r="E21652" i="1" s="1"/>
  <c r="E21651" i="1"/>
  <c r="D21651" i="1"/>
  <c r="E21650" i="1"/>
  <c r="D21650" i="1"/>
  <c r="D21649" i="1"/>
  <c r="E21649" i="1" s="1"/>
  <c r="E21648" i="1"/>
  <c r="D21648" i="1"/>
  <c r="E21647" i="1"/>
  <c r="D21647" i="1"/>
  <c r="E21646" i="1"/>
  <c r="D21646" i="1"/>
  <c r="D21645" i="1"/>
  <c r="E21645" i="1" s="1"/>
  <c r="E21644" i="1"/>
  <c r="D21644" i="1"/>
  <c r="D21643" i="1"/>
  <c r="E21643" i="1" s="1"/>
  <c r="D21642" i="1"/>
  <c r="E21642" i="1" s="1"/>
  <c r="E21641" i="1"/>
  <c r="D21641" i="1"/>
  <c r="D21640" i="1"/>
  <c r="E21640" i="1" s="1"/>
  <c r="D21639" i="1"/>
  <c r="E21639" i="1" s="1"/>
  <c r="E21638" i="1"/>
  <c r="D21638" i="1"/>
  <c r="D21637" i="1"/>
  <c r="E21637" i="1" s="1"/>
  <c r="D21636" i="1"/>
  <c r="E21636" i="1" s="1"/>
  <c r="D21635" i="1"/>
  <c r="E21635" i="1" s="1"/>
  <c r="D21634" i="1"/>
  <c r="E21634" i="1" s="1"/>
  <c r="D21633" i="1"/>
  <c r="E21633" i="1" s="1"/>
  <c r="E21632" i="1"/>
  <c r="D21632" i="1"/>
  <c r="D21631" i="1"/>
  <c r="E21631" i="1" s="1"/>
  <c r="E21630" i="1"/>
  <c r="D21630" i="1"/>
  <c r="E21629" i="1"/>
  <c r="D21629" i="1"/>
  <c r="D21628" i="1"/>
  <c r="E21628" i="1" s="1"/>
  <c r="E21627" i="1"/>
  <c r="D21627" i="1"/>
  <c r="D21626" i="1"/>
  <c r="E21626" i="1" s="1"/>
  <c r="E21625" i="1"/>
  <c r="D21625" i="1"/>
  <c r="E21624" i="1"/>
  <c r="D21624" i="1"/>
  <c r="E21623" i="1"/>
  <c r="D21623" i="1"/>
  <c r="D21622" i="1"/>
  <c r="E21622" i="1" s="1"/>
  <c r="D21621" i="1"/>
  <c r="E21621" i="1" s="1"/>
  <c r="D21620" i="1"/>
  <c r="E21620" i="1" s="1"/>
  <c r="D21619" i="1"/>
  <c r="E21619" i="1" s="1"/>
  <c r="E21618" i="1"/>
  <c r="D21618" i="1"/>
  <c r="D21617" i="1"/>
  <c r="E21617" i="1" s="1"/>
  <c r="D21616" i="1"/>
  <c r="E21616" i="1" s="1"/>
  <c r="E21615" i="1"/>
  <c r="D21615" i="1"/>
  <c r="D21614" i="1"/>
  <c r="E21614" i="1" s="1"/>
  <c r="E21613" i="1"/>
  <c r="D21613" i="1"/>
  <c r="D21612" i="1"/>
  <c r="E21612" i="1" s="1"/>
  <c r="E21611" i="1"/>
  <c r="D21611" i="1"/>
  <c r="D21610" i="1"/>
  <c r="E21610" i="1" s="1"/>
  <c r="D21609" i="1"/>
  <c r="E21609" i="1" s="1"/>
  <c r="D21608" i="1"/>
  <c r="E21608" i="1" s="1"/>
  <c r="D21607" i="1"/>
  <c r="E21607" i="1" s="1"/>
  <c r="D21606" i="1"/>
  <c r="E21606" i="1" s="1"/>
  <c r="D21605" i="1"/>
  <c r="E21605" i="1" s="1"/>
  <c r="D21604" i="1"/>
  <c r="E21604" i="1" s="1"/>
  <c r="D21603" i="1"/>
  <c r="E21603" i="1" s="1"/>
  <c r="D21602" i="1"/>
  <c r="E21602" i="1" s="1"/>
  <c r="D21601" i="1"/>
  <c r="E21601" i="1" s="1"/>
  <c r="E21600" i="1"/>
  <c r="D21600" i="1"/>
  <c r="D21599" i="1"/>
  <c r="E21599" i="1" s="1"/>
  <c r="E21598" i="1"/>
  <c r="D21598" i="1"/>
  <c r="D21597" i="1"/>
  <c r="E21597" i="1" s="1"/>
  <c r="D21596" i="1"/>
  <c r="E21596" i="1" s="1"/>
  <c r="D21595" i="1"/>
  <c r="E21595" i="1" s="1"/>
  <c r="D21594" i="1"/>
  <c r="E21594" i="1" s="1"/>
  <c r="E21593" i="1"/>
  <c r="D21593" i="1"/>
  <c r="D21592" i="1"/>
  <c r="E21592" i="1" s="1"/>
  <c r="D21591" i="1"/>
  <c r="E21591" i="1" s="1"/>
  <c r="E21590" i="1"/>
  <c r="D21590" i="1"/>
  <c r="E21589" i="1"/>
  <c r="D21589" i="1"/>
  <c r="E21588" i="1"/>
  <c r="D21588" i="1"/>
  <c r="D21587" i="1"/>
  <c r="E21587" i="1" s="1"/>
  <c r="E21586" i="1"/>
  <c r="D21586" i="1"/>
  <c r="D21585" i="1"/>
  <c r="E21585" i="1" s="1"/>
  <c r="E21584" i="1"/>
  <c r="D21584" i="1"/>
  <c r="D21583" i="1"/>
  <c r="E21583" i="1" s="1"/>
  <c r="D21582" i="1"/>
  <c r="E21582" i="1" s="1"/>
  <c r="D21581" i="1"/>
  <c r="E21581" i="1" s="1"/>
  <c r="D21580" i="1"/>
  <c r="E21580" i="1" s="1"/>
  <c r="E21579" i="1"/>
  <c r="D21579" i="1"/>
  <c r="E21578" i="1"/>
  <c r="D21578" i="1"/>
  <c r="E21577" i="1"/>
  <c r="D21577" i="1"/>
  <c r="D21576" i="1"/>
  <c r="E21576" i="1" s="1"/>
  <c r="D21575" i="1"/>
  <c r="E21575" i="1" s="1"/>
  <c r="D21574" i="1"/>
  <c r="E21574" i="1" s="1"/>
  <c r="D21573" i="1"/>
  <c r="E21573" i="1" s="1"/>
  <c r="E21572" i="1"/>
  <c r="D21572" i="1"/>
  <c r="D21571" i="1"/>
  <c r="E21571" i="1" s="1"/>
  <c r="E21570" i="1"/>
  <c r="D21570" i="1"/>
  <c r="E21569" i="1"/>
  <c r="D21569" i="1"/>
  <c r="D21568" i="1"/>
  <c r="E21568" i="1" s="1"/>
  <c r="D21567" i="1"/>
  <c r="E21567" i="1" s="1"/>
  <c r="D21566" i="1"/>
  <c r="E21566" i="1" s="1"/>
  <c r="D21565" i="1"/>
  <c r="E21565" i="1" s="1"/>
  <c r="D21564" i="1"/>
  <c r="E21564" i="1" s="1"/>
  <c r="E21563" i="1"/>
  <c r="D21563" i="1"/>
  <c r="D21562" i="1"/>
  <c r="E21562" i="1" s="1"/>
  <c r="D21561" i="1"/>
  <c r="E21561" i="1" s="1"/>
  <c r="D21560" i="1"/>
  <c r="E21560" i="1" s="1"/>
  <c r="D21559" i="1"/>
  <c r="E21559" i="1" s="1"/>
  <c r="E21558" i="1"/>
  <c r="D21558" i="1"/>
  <c r="D21557" i="1"/>
  <c r="E21557" i="1" s="1"/>
  <c r="E21556" i="1"/>
  <c r="D21556" i="1"/>
  <c r="D21555" i="1"/>
  <c r="E21555" i="1" s="1"/>
  <c r="D21554" i="1"/>
  <c r="E21554" i="1" s="1"/>
  <c r="D21553" i="1"/>
  <c r="E21553" i="1" s="1"/>
  <c r="D21552" i="1"/>
  <c r="E21552" i="1" s="1"/>
  <c r="D21551" i="1"/>
  <c r="E21551" i="1" s="1"/>
  <c r="E21550" i="1"/>
  <c r="D21550" i="1"/>
  <c r="D21549" i="1"/>
  <c r="E21549" i="1" s="1"/>
  <c r="D21548" i="1"/>
  <c r="E21548" i="1" s="1"/>
  <c r="D21547" i="1"/>
  <c r="E21547" i="1" s="1"/>
  <c r="D21546" i="1"/>
  <c r="E21546" i="1" s="1"/>
  <c r="E21545" i="1"/>
  <c r="D21545" i="1"/>
  <c r="D21544" i="1"/>
  <c r="E21544" i="1" s="1"/>
  <c r="E21543" i="1"/>
  <c r="D21543" i="1"/>
  <c r="D21542" i="1"/>
  <c r="E21542" i="1" s="1"/>
  <c r="D21541" i="1"/>
  <c r="E21541" i="1" s="1"/>
  <c r="D21540" i="1"/>
  <c r="E21540" i="1" s="1"/>
  <c r="D21539" i="1"/>
  <c r="E21539" i="1" s="1"/>
  <c r="D21538" i="1"/>
  <c r="E21538" i="1" s="1"/>
  <c r="E21537" i="1"/>
  <c r="D21537" i="1"/>
  <c r="D21536" i="1"/>
  <c r="E21536" i="1" s="1"/>
  <c r="D21535" i="1"/>
  <c r="E21535" i="1" s="1"/>
  <c r="D21534" i="1"/>
  <c r="E21534" i="1" s="1"/>
  <c r="E21533" i="1"/>
  <c r="D21533" i="1"/>
  <c r="D21532" i="1"/>
  <c r="E21532" i="1" s="1"/>
  <c r="E21531" i="1"/>
  <c r="D21531" i="1"/>
  <c r="E21530" i="1"/>
  <c r="D21530" i="1"/>
  <c r="E21529" i="1"/>
  <c r="D21529" i="1"/>
  <c r="D21528" i="1"/>
  <c r="E21528" i="1" s="1"/>
  <c r="E21527" i="1"/>
  <c r="D21527" i="1"/>
  <c r="E21526" i="1"/>
  <c r="D21526" i="1"/>
  <c r="E21525" i="1"/>
  <c r="D21525" i="1"/>
  <c r="D21524" i="1"/>
  <c r="E21524" i="1" s="1"/>
  <c r="D21523" i="1"/>
  <c r="E21523" i="1" s="1"/>
  <c r="E21522" i="1"/>
  <c r="D21522" i="1"/>
  <c r="D21521" i="1"/>
  <c r="E21521" i="1" s="1"/>
  <c r="E21520" i="1"/>
  <c r="D21520" i="1"/>
  <c r="D21519" i="1"/>
  <c r="E21519" i="1" s="1"/>
  <c r="E21518" i="1"/>
  <c r="D21518" i="1"/>
  <c r="D21517" i="1"/>
  <c r="E21517" i="1" s="1"/>
  <c r="D21516" i="1"/>
  <c r="E21516" i="1" s="1"/>
  <c r="D21515" i="1"/>
  <c r="E21515" i="1" s="1"/>
  <c r="D21514" i="1"/>
  <c r="E21514" i="1" s="1"/>
  <c r="D21513" i="1"/>
  <c r="E21513" i="1" s="1"/>
  <c r="E21512" i="1"/>
  <c r="D21512" i="1"/>
  <c r="E21511" i="1"/>
  <c r="D21511" i="1"/>
  <c r="E21510" i="1"/>
  <c r="D21510" i="1"/>
  <c r="D21509" i="1"/>
  <c r="E21509" i="1" s="1"/>
  <c r="E21508" i="1"/>
  <c r="D21508" i="1"/>
  <c r="D21507" i="1"/>
  <c r="E21507" i="1" s="1"/>
  <c r="E21506" i="1"/>
  <c r="D21506" i="1"/>
  <c r="D21505" i="1"/>
  <c r="E21505" i="1" s="1"/>
  <c r="D21504" i="1"/>
  <c r="E21504" i="1" s="1"/>
  <c r="D21503" i="1"/>
  <c r="E21503" i="1" s="1"/>
  <c r="D21502" i="1"/>
  <c r="E21502" i="1" s="1"/>
  <c r="D21501" i="1"/>
  <c r="E21501" i="1" s="1"/>
  <c r="E21500" i="1"/>
  <c r="D21500" i="1"/>
  <c r="E21499" i="1"/>
  <c r="D21499" i="1"/>
  <c r="E21498" i="1"/>
  <c r="D21498" i="1"/>
  <c r="D21497" i="1"/>
  <c r="E21497" i="1" s="1"/>
  <c r="E21496" i="1"/>
  <c r="D21496" i="1"/>
  <c r="D21495" i="1"/>
  <c r="E21495" i="1" s="1"/>
  <c r="E21494" i="1"/>
  <c r="D21494" i="1"/>
  <c r="D21493" i="1"/>
  <c r="E21493" i="1" s="1"/>
  <c r="D21492" i="1"/>
  <c r="E21492" i="1" s="1"/>
  <c r="D21491" i="1"/>
  <c r="E21491" i="1" s="1"/>
  <c r="D21490" i="1"/>
  <c r="E21490" i="1" s="1"/>
  <c r="D21489" i="1"/>
  <c r="E21489" i="1" s="1"/>
  <c r="E21488" i="1"/>
  <c r="D21488" i="1"/>
  <c r="D21487" i="1"/>
  <c r="E21487" i="1" s="1"/>
  <c r="E21486" i="1"/>
  <c r="D21486" i="1"/>
  <c r="D21485" i="1"/>
  <c r="E21485" i="1" s="1"/>
  <c r="E21484" i="1"/>
  <c r="D21484" i="1"/>
  <c r="D21483" i="1"/>
  <c r="E21483" i="1" s="1"/>
  <c r="E21482" i="1"/>
  <c r="D21482" i="1"/>
  <c r="D21481" i="1"/>
  <c r="E21481" i="1" s="1"/>
  <c r="D21480" i="1"/>
  <c r="E21480" i="1" s="1"/>
  <c r="D21479" i="1"/>
  <c r="E21479" i="1" s="1"/>
  <c r="D21478" i="1"/>
  <c r="E21478" i="1" s="1"/>
  <c r="D21477" i="1"/>
  <c r="E21477" i="1" s="1"/>
  <c r="E21476" i="1"/>
  <c r="D21476" i="1"/>
  <c r="E21475" i="1"/>
  <c r="D21475" i="1"/>
  <c r="E21474" i="1"/>
  <c r="D21474" i="1"/>
  <c r="D21473" i="1"/>
  <c r="E21473" i="1" s="1"/>
  <c r="E21472" i="1"/>
  <c r="D21472" i="1"/>
  <c r="D21471" i="1"/>
  <c r="E21471" i="1" s="1"/>
  <c r="E21470" i="1"/>
  <c r="D21470" i="1"/>
  <c r="D21469" i="1"/>
  <c r="E21469" i="1" s="1"/>
  <c r="D21468" i="1"/>
  <c r="E21468" i="1" s="1"/>
  <c r="D21467" i="1"/>
  <c r="E21467" i="1" s="1"/>
  <c r="D21466" i="1"/>
  <c r="E21466" i="1" s="1"/>
  <c r="D21465" i="1"/>
  <c r="E21465" i="1" s="1"/>
  <c r="E21464" i="1"/>
  <c r="D21464" i="1"/>
  <c r="D21463" i="1"/>
  <c r="E21463" i="1" s="1"/>
  <c r="E21462" i="1"/>
  <c r="D21462" i="1"/>
  <c r="D21461" i="1"/>
  <c r="E21461" i="1" s="1"/>
  <c r="E21460" i="1"/>
  <c r="D21460" i="1"/>
  <c r="D21459" i="1"/>
  <c r="E21459" i="1" s="1"/>
  <c r="E21458" i="1"/>
  <c r="D21458" i="1"/>
  <c r="D21457" i="1"/>
  <c r="E21457" i="1" s="1"/>
  <c r="D21456" i="1"/>
  <c r="E21456" i="1" s="1"/>
  <c r="D21455" i="1"/>
  <c r="E21455" i="1" s="1"/>
  <c r="D21454" i="1"/>
  <c r="E21454" i="1" s="1"/>
  <c r="D21453" i="1"/>
  <c r="E21453" i="1" s="1"/>
  <c r="E21452" i="1"/>
  <c r="D21452" i="1"/>
  <c r="D21451" i="1"/>
  <c r="E21451" i="1" s="1"/>
  <c r="E21450" i="1"/>
  <c r="D21450" i="1"/>
  <c r="D21449" i="1"/>
  <c r="E21449" i="1" s="1"/>
  <c r="E21448" i="1"/>
  <c r="D21448" i="1"/>
  <c r="D21447" i="1"/>
  <c r="E21447" i="1" s="1"/>
  <c r="E21446" i="1"/>
  <c r="D21446" i="1"/>
  <c r="D21445" i="1"/>
  <c r="E21445" i="1" s="1"/>
  <c r="D21444" i="1"/>
  <c r="E21444" i="1" s="1"/>
  <c r="D21443" i="1"/>
  <c r="E21443" i="1" s="1"/>
  <c r="D21442" i="1"/>
  <c r="E21442" i="1" s="1"/>
  <c r="D21441" i="1"/>
  <c r="E21441" i="1" s="1"/>
  <c r="E21440" i="1"/>
  <c r="D21440" i="1"/>
  <c r="D21439" i="1"/>
  <c r="E21439" i="1" s="1"/>
  <c r="E21438" i="1"/>
  <c r="D21438" i="1"/>
  <c r="D21437" i="1"/>
  <c r="E21437" i="1" s="1"/>
  <c r="E21436" i="1"/>
  <c r="D21436" i="1"/>
  <c r="D21435" i="1"/>
  <c r="E21435" i="1" s="1"/>
  <c r="E21434" i="1"/>
  <c r="D21434" i="1"/>
  <c r="D21433" i="1"/>
  <c r="E21433" i="1" s="1"/>
  <c r="D21432" i="1"/>
  <c r="E21432" i="1" s="1"/>
  <c r="D21431" i="1"/>
  <c r="E21431" i="1" s="1"/>
  <c r="D21430" i="1"/>
  <c r="E21430" i="1" s="1"/>
  <c r="D21429" i="1"/>
  <c r="E21429" i="1" s="1"/>
  <c r="E21428" i="1"/>
  <c r="D21428" i="1"/>
  <c r="D21427" i="1"/>
  <c r="E21427" i="1" s="1"/>
  <c r="E21426" i="1"/>
  <c r="D21426" i="1"/>
  <c r="D21425" i="1"/>
  <c r="E21425" i="1" s="1"/>
  <c r="E21424" i="1"/>
  <c r="D21424" i="1"/>
  <c r="D21423" i="1"/>
  <c r="E21423" i="1" s="1"/>
  <c r="E21422" i="1"/>
  <c r="D21422" i="1"/>
  <c r="D21421" i="1"/>
  <c r="E21421" i="1" s="1"/>
  <c r="D21420" i="1"/>
  <c r="E21420" i="1" s="1"/>
  <c r="D21419" i="1"/>
  <c r="E21419" i="1" s="1"/>
  <c r="D21418" i="1"/>
  <c r="E21418" i="1" s="1"/>
  <c r="D21417" i="1"/>
  <c r="E21417" i="1" s="1"/>
  <c r="E21416" i="1"/>
  <c r="D21416" i="1"/>
  <c r="D21415" i="1"/>
  <c r="E21415" i="1" s="1"/>
  <c r="E21414" i="1"/>
  <c r="D21414" i="1"/>
  <c r="D21413" i="1"/>
  <c r="E21413" i="1" s="1"/>
  <c r="E21412" i="1"/>
  <c r="D21412" i="1"/>
  <c r="D21411" i="1"/>
  <c r="E21411" i="1" s="1"/>
  <c r="E21410" i="1"/>
  <c r="D21410" i="1"/>
  <c r="D21409" i="1"/>
  <c r="E21409" i="1" s="1"/>
  <c r="D21408" i="1"/>
  <c r="E21408" i="1" s="1"/>
  <c r="D21407" i="1"/>
  <c r="E21407" i="1" s="1"/>
  <c r="D21406" i="1"/>
  <c r="E21406" i="1" s="1"/>
  <c r="D21405" i="1"/>
  <c r="E21405" i="1" s="1"/>
  <c r="E21404" i="1"/>
  <c r="D21404" i="1"/>
  <c r="D21403" i="1"/>
  <c r="E21403" i="1" s="1"/>
  <c r="E21402" i="1"/>
  <c r="D21402" i="1"/>
  <c r="D21401" i="1"/>
  <c r="E21401" i="1" s="1"/>
  <c r="E21400" i="1"/>
  <c r="D21400" i="1"/>
  <c r="D21399" i="1"/>
  <c r="E21399" i="1" s="1"/>
  <c r="E21398" i="1"/>
  <c r="D21398" i="1"/>
  <c r="D21397" i="1"/>
  <c r="E21397" i="1" s="1"/>
  <c r="D21396" i="1"/>
  <c r="E21396" i="1" s="1"/>
  <c r="D21395" i="1"/>
  <c r="E21395" i="1" s="1"/>
  <c r="D21394" i="1"/>
  <c r="E21394" i="1" s="1"/>
  <c r="D21393" i="1"/>
  <c r="E21393" i="1" s="1"/>
  <c r="E21392" i="1"/>
  <c r="D21392" i="1"/>
  <c r="D21391" i="1"/>
  <c r="E21391" i="1" s="1"/>
  <c r="E21390" i="1"/>
  <c r="D21390" i="1"/>
  <c r="D21389" i="1"/>
  <c r="E21389" i="1" s="1"/>
  <c r="E21388" i="1"/>
  <c r="D21388" i="1"/>
  <c r="D21387" i="1"/>
  <c r="E21387" i="1" s="1"/>
  <c r="E21386" i="1"/>
  <c r="D21386" i="1"/>
  <c r="D21385" i="1"/>
  <c r="E21385" i="1" s="1"/>
  <c r="D21384" i="1"/>
  <c r="E21384" i="1" s="1"/>
  <c r="D21383" i="1"/>
  <c r="E21383" i="1" s="1"/>
  <c r="D21382" i="1"/>
  <c r="E21382" i="1" s="1"/>
  <c r="D21381" i="1"/>
  <c r="E21381" i="1" s="1"/>
  <c r="E21380" i="1"/>
  <c r="D21380" i="1"/>
  <c r="D21379" i="1"/>
  <c r="E21379" i="1" s="1"/>
  <c r="E21378" i="1"/>
  <c r="D21378" i="1"/>
  <c r="D21377" i="1"/>
  <c r="E21377" i="1" s="1"/>
  <c r="E21376" i="1"/>
  <c r="D21376" i="1"/>
  <c r="D21375" i="1"/>
  <c r="E21375" i="1" s="1"/>
  <c r="E21374" i="1"/>
  <c r="D21374" i="1"/>
  <c r="D21373" i="1"/>
  <c r="E21373" i="1" s="1"/>
  <c r="D21372" i="1"/>
  <c r="E21372" i="1" s="1"/>
  <c r="D21371" i="1"/>
  <c r="E21371" i="1" s="1"/>
  <c r="D21370" i="1"/>
  <c r="E21370" i="1" s="1"/>
  <c r="D21369" i="1"/>
  <c r="E21369" i="1" s="1"/>
  <c r="E21368" i="1"/>
  <c r="D21368" i="1"/>
  <c r="D21367" i="1"/>
  <c r="E21367" i="1" s="1"/>
  <c r="E21366" i="1"/>
  <c r="D21366" i="1"/>
  <c r="D21365" i="1"/>
  <c r="E21365" i="1" s="1"/>
  <c r="E21364" i="1"/>
  <c r="D21364" i="1"/>
  <c r="D21363" i="1"/>
  <c r="E21363" i="1" s="1"/>
  <c r="E21362" i="1"/>
  <c r="D21362" i="1"/>
  <c r="D21361" i="1"/>
  <c r="E21361" i="1" s="1"/>
  <c r="D21360" i="1"/>
  <c r="E21360" i="1" s="1"/>
  <c r="D21359" i="1"/>
  <c r="E21359" i="1" s="1"/>
  <c r="D21358" i="1"/>
  <c r="E21358" i="1" s="1"/>
  <c r="D21357" i="1"/>
  <c r="E21357" i="1" s="1"/>
  <c r="E21356" i="1"/>
  <c r="D21356" i="1"/>
  <c r="D21355" i="1"/>
  <c r="E21355" i="1" s="1"/>
  <c r="E21354" i="1"/>
  <c r="D21354" i="1"/>
  <c r="D21353" i="1"/>
  <c r="E21353" i="1" s="1"/>
  <c r="E21352" i="1"/>
  <c r="D21352" i="1"/>
  <c r="D21351" i="1"/>
  <c r="E21351" i="1" s="1"/>
  <c r="E21350" i="1"/>
  <c r="D21350" i="1"/>
  <c r="D21349" i="1"/>
  <c r="E21349" i="1" s="1"/>
  <c r="D21348" i="1"/>
  <c r="E21348" i="1" s="1"/>
  <c r="D21347" i="1"/>
  <c r="E21347" i="1" s="1"/>
  <c r="D21346" i="1"/>
  <c r="E21346" i="1" s="1"/>
  <c r="D21345" i="1"/>
  <c r="E21345" i="1" s="1"/>
  <c r="E21344" i="1"/>
  <c r="D21344" i="1"/>
  <c r="D21343" i="1"/>
  <c r="E21343" i="1" s="1"/>
  <c r="E21342" i="1"/>
  <c r="D21342" i="1"/>
  <c r="D21341" i="1"/>
  <c r="E21341" i="1" s="1"/>
  <c r="E21340" i="1"/>
  <c r="D21340" i="1"/>
  <c r="D21339" i="1"/>
  <c r="E21339" i="1" s="1"/>
  <c r="E21338" i="1"/>
  <c r="D21338" i="1"/>
  <c r="D21337" i="1"/>
  <c r="E21337" i="1" s="1"/>
  <c r="D21336" i="1"/>
  <c r="E21336" i="1" s="1"/>
  <c r="D21335" i="1"/>
  <c r="E21335" i="1" s="1"/>
  <c r="D21334" i="1"/>
  <c r="E21334" i="1" s="1"/>
  <c r="D21333" i="1"/>
  <c r="E21333" i="1" s="1"/>
  <c r="E21332" i="1"/>
  <c r="D21332" i="1"/>
  <c r="D21331" i="1"/>
  <c r="E21331" i="1" s="1"/>
  <c r="E21330" i="1"/>
  <c r="D21330" i="1"/>
  <c r="D21329" i="1"/>
  <c r="E21329" i="1" s="1"/>
  <c r="E21328" i="1"/>
  <c r="D21328" i="1"/>
  <c r="D21327" i="1"/>
  <c r="E21327" i="1" s="1"/>
  <c r="E21326" i="1"/>
  <c r="D21326" i="1"/>
  <c r="D21325" i="1"/>
  <c r="E21325" i="1" s="1"/>
  <c r="D21324" i="1"/>
  <c r="E21324" i="1" s="1"/>
  <c r="D21323" i="1"/>
  <c r="E21323" i="1" s="1"/>
  <c r="D21322" i="1"/>
  <c r="E21322" i="1" s="1"/>
  <c r="D21321" i="1"/>
  <c r="E21321" i="1" s="1"/>
  <c r="E21320" i="1"/>
  <c r="D21320" i="1"/>
  <c r="D21319" i="1"/>
  <c r="E21319" i="1" s="1"/>
  <c r="E21318" i="1"/>
  <c r="D21318" i="1"/>
  <c r="D21317" i="1"/>
  <c r="E21317" i="1" s="1"/>
  <c r="E21316" i="1"/>
  <c r="D21316" i="1"/>
  <c r="D21315" i="1"/>
  <c r="E21315" i="1" s="1"/>
  <c r="E21314" i="1"/>
  <c r="D21314" i="1"/>
  <c r="D21313" i="1"/>
  <c r="E21313" i="1" s="1"/>
  <c r="D21312" i="1"/>
  <c r="E21312" i="1" s="1"/>
  <c r="D21311" i="1"/>
  <c r="E21311" i="1" s="1"/>
  <c r="D21310" i="1"/>
  <c r="E21310" i="1" s="1"/>
  <c r="D21309" i="1"/>
  <c r="E21309" i="1" s="1"/>
  <c r="E21308" i="1"/>
  <c r="D21308" i="1"/>
  <c r="D21307" i="1"/>
  <c r="E21307" i="1" s="1"/>
  <c r="E21306" i="1"/>
  <c r="D21306" i="1"/>
  <c r="D21305" i="1"/>
  <c r="E21305" i="1" s="1"/>
  <c r="E21304" i="1"/>
  <c r="D21304" i="1"/>
  <c r="D21303" i="1"/>
  <c r="E21303" i="1" s="1"/>
  <c r="E21302" i="1"/>
  <c r="D21302" i="1"/>
  <c r="D21301" i="1"/>
  <c r="E21301" i="1" s="1"/>
  <c r="D21300" i="1"/>
  <c r="E21300" i="1" s="1"/>
  <c r="D21299" i="1"/>
  <c r="E21299" i="1" s="1"/>
  <c r="D21298" i="1"/>
  <c r="E21298" i="1" s="1"/>
  <c r="D21297" i="1"/>
  <c r="E21297" i="1" s="1"/>
  <c r="E21296" i="1"/>
  <c r="D21296" i="1"/>
  <c r="D21295" i="1"/>
  <c r="E21295" i="1" s="1"/>
  <c r="E21294" i="1"/>
  <c r="D21294" i="1"/>
  <c r="D21293" i="1"/>
  <c r="E21293" i="1" s="1"/>
  <c r="E21292" i="1"/>
  <c r="D21292" i="1"/>
  <c r="D21291" i="1"/>
  <c r="E21291" i="1" s="1"/>
  <c r="E21290" i="1"/>
  <c r="D21290" i="1"/>
  <c r="D21289" i="1"/>
  <c r="E21289" i="1" s="1"/>
  <c r="D21288" i="1"/>
  <c r="E21288" i="1" s="1"/>
  <c r="D21287" i="1"/>
  <c r="E21287" i="1" s="1"/>
  <c r="D21286" i="1"/>
  <c r="E21286" i="1" s="1"/>
  <c r="D21285" i="1"/>
  <c r="E21285" i="1" s="1"/>
  <c r="E21284" i="1"/>
  <c r="D21284" i="1"/>
  <c r="D21283" i="1"/>
  <c r="E21283" i="1" s="1"/>
  <c r="E21282" i="1"/>
  <c r="D21282" i="1"/>
  <c r="D21281" i="1"/>
  <c r="E21281" i="1" s="1"/>
  <c r="E21280" i="1"/>
  <c r="D21280" i="1"/>
  <c r="D21279" i="1"/>
  <c r="E21279" i="1" s="1"/>
  <c r="E21278" i="1"/>
  <c r="D21278" i="1"/>
  <c r="D21277" i="1"/>
  <c r="E21277" i="1" s="1"/>
  <c r="D21276" i="1"/>
  <c r="E21276" i="1" s="1"/>
  <c r="D21275" i="1"/>
  <c r="E21275" i="1" s="1"/>
  <c r="D21274" i="1"/>
  <c r="E21274" i="1" s="1"/>
  <c r="D21273" i="1"/>
  <c r="E21273" i="1" s="1"/>
  <c r="E21272" i="1"/>
  <c r="D21272" i="1"/>
  <c r="D21271" i="1"/>
  <c r="E21271" i="1" s="1"/>
  <c r="E21270" i="1"/>
  <c r="D21270" i="1"/>
  <c r="D21269" i="1"/>
  <c r="E21269" i="1" s="1"/>
  <c r="E21268" i="1"/>
  <c r="D21268" i="1"/>
  <c r="D21267" i="1"/>
  <c r="E21267" i="1" s="1"/>
  <c r="E21266" i="1"/>
  <c r="D21266" i="1"/>
  <c r="D21265" i="1"/>
  <c r="E21265" i="1" s="1"/>
  <c r="D21264" i="1"/>
  <c r="E21264" i="1" s="1"/>
  <c r="D21263" i="1"/>
  <c r="E21263" i="1" s="1"/>
  <c r="D21262" i="1"/>
  <c r="E21262" i="1" s="1"/>
  <c r="D21261" i="1"/>
  <c r="E21261" i="1" s="1"/>
  <c r="E21260" i="1"/>
  <c r="D21260" i="1"/>
  <c r="D21259" i="1"/>
  <c r="E21259" i="1" s="1"/>
  <c r="E21258" i="1"/>
  <c r="D21258" i="1"/>
  <c r="D21257" i="1"/>
  <c r="E21257" i="1" s="1"/>
  <c r="E21256" i="1"/>
  <c r="D21256" i="1"/>
  <c r="D21255" i="1"/>
  <c r="E21255" i="1" s="1"/>
  <c r="E21254" i="1"/>
  <c r="D21254" i="1"/>
  <c r="D21253" i="1"/>
  <c r="E21253" i="1" s="1"/>
  <c r="D21252" i="1"/>
  <c r="E21252" i="1" s="1"/>
  <c r="D21251" i="1"/>
  <c r="E21251" i="1" s="1"/>
  <c r="D21250" i="1"/>
  <c r="E21250" i="1" s="1"/>
  <c r="D21249" i="1"/>
  <c r="E21249" i="1" s="1"/>
  <c r="E21248" i="1"/>
  <c r="D21248" i="1"/>
  <c r="D21247" i="1"/>
  <c r="E21247" i="1" s="1"/>
  <c r="E21246" i="1"/>
  <c r="D21246" i="1"/>
  <c r="D21245" i="1"/>
  <c r="E21245" i="1" s="1"/>
  <c r="E21244" i="1"/>
  <c r="D21244" i="1"/>
  <c r="D21243" i="1"/>
  <c r="E21243" i="1" s="1"/>
  <c r="E21242" i="1"/>
  <c r="D21242" i="1"/>
  <c r="D21241" i="1"/>
  <c r="E21241" i="1" s="1"/>
  <c r="D21240" i="1"/>
  <c r="E21240" i="1" s="1"/>
  <c r="D21239" i="1"/>
  <c r="E21239" i="1" s="1"/>
  <c r="D21238" i="1"/>
  <c r="E21238" i="1" s="1"/>
  <c r="D21237" i="1"/>
  <c r="E21237" i="1" s="1"/>
  <c r="E21236" i="1"/>
  <c r="D21236" i="1"/>
  <c r="D21235" i="1"/>
  <c r="E21235" i="1" s="1"/>
  <c r="E21234" i="1"/>
  <c r="D21234" i="1"/>
  <c r="D21233" i="1"/>
  <c r="E21233" i="1" s="1"/>
  <c r="E21232" i="1"/>
  <c r="D21232" i="1"/>
  <c r="D21231" i="1"/>
  <c r="E21231" i="1" s="1"/>
  <c r="E21230" i="1"/>
  <c r="D21230" i="1"/>
  <c r="D21229" i="1"/>
  <c r="E21229" i="1" s="1"/>
  <c r="D21228" i="1"/>
  <c r="E21228" i="1" s="1"/>
  <c r="D21227" i="1"/>
  <c r="E21227" i="1" s="1"/>
  <c r="D21226" i="1"/>
  <c r="E21226" i="1" s="1"/>
  <c r="D21225" i="1"/>
  <c r="E21225" i="1" s="1"/>
  <c r="E21224" i="1"/>
  <c r="D21224" i="1"/>
  <c r="D21223" i="1"/>
  <c r="E21223" i="1" s="1"/>
  <c r="E21222" i="1"/>
  <c r="D21222" i="1"/>
  <c r="D21221" i="1"/>
  <c r="E21221" i="1" s="1"/>
  <c r="E21220" i="1"/>
  <c r="D21220" i="1"/>
  <c r="D21219" i="1"/>
  <c r="E21219" i="1" s="1"/>
  <c r="E21218" i="1"/>
  <c r="D21218" i="1"/>
  <c r="D21217" i="1"/>
  <c r="E21217" i="1" s="1"/>
  <c r="D21216" i="1"/>
  <c r="E21216" i="1" s="1"/>
  <c r="D21215" i="1"/>
  <c r="E21215" i="1" s="1"/>
  <c r="D21214" i="1"/>
  <c r="E21214" i="1" s="1"/>
  <c r="D21213" i="1"/>
  <c r="E21213" i="1" s="1"/>
  <c r="E21212" i="1"/>
  <c r="D21212" i="1"/>
  <c r="D21211" i="1"/>
  <c r="E21211" i="1" s="1"/>
  <c r="E21210" i="1"/>
  <c r="D21210" i="1"/>
  <c r="D21209" i="1"/>
  <c r="E21209" i="1" s="1"/>
  <c r="E21208" i="1"/>
  <c r="D21208" i="1"/>
  <c r="D21207" i="1"/>
  <c r="E21207" i="1" s="1"/>
  <c r="E21206" i="1"/>
  <c r="D21206" i="1"/>
  <c r="D21205" i="1"/>
  <c r="E21205" i="1" s="1"/>
  <c r="D21204" i="1"/>
  <c r="E21204" i="1" s="1"/>
  <c r="D21203" i="1"/>
  <c r="E21203" i="1" s="1"/>
  <c r="D21202" i="1"/>
  <c r="E21202" i="1" s="1"/>
  <c r="D21201" i="1"/>
  <c r="E21201" i="1" s="1"/>
  <c r="E21200" i="1"/>
  <c r="D21200" i="1"/>
  <c r="D21199" i="1"/>
  <c r="E21199" i="1" s="1"/>
  <c r="E21198" i="1"/>
  <c r="D21198" i="1"/>
  <c r="D21197" i="1"/>
  <c r="E21197" i="1" s="1"/>
  <c r="E21196" i="1"/>
  <c r="D21196" i="1"/>
  <c r="D21195" i="1"/>
  <c r="E21195" i="1" s="1"/>
  <c r="E21194" i="1"/>
  <c r="D21194" i="1"/>
  <c r="D21193" i="1"/>
  <c r="E21193" i="1" s="1"/>
  <c r="D21192" i="1"/>
  <c r="E21192" i="1" s="1"/>
  <c r="D21191" i="1"/>
  <c r="E21191" i="1" s="1"/>
  <c r="D21190" i="1"/>
  <c r="E21190" i="1" s="1"/>
  <c r="D21189" i="1"/>
  <c r="E21189" i="1" s="1"/>
  <c r="E21188" i="1"/>
  <c r="D21188" i="1"/>
  <c r="D21187" i="1"/>
  <c r="E21187" i="1" s="1"/>
  <c r="E21186" i="1"/>
  <c r="D21186" i="1"/>
  <c r="D21185" i="1"/>
  <c r="E21185" i="1" s="1"/>
  <c r="E21184" i="1"/>
  <c r="D21184" i="1"/>
  <c r="D21183" i="1"/>
  <c r="E21183" i="1" s="1"/>
  <c r="E21182" i="1"/>
  <c r="D21182" i="1"/>
  <c r="D21181" i="1"/>
  <c r="E21181" i="1" s="1"/>
  <c r="D21180" i="1"/>
  <c r="E21180" i="1" s="1"/>
  <c r="D21179" i="1"/>
  <c r="E21179" i="1" s="1"/>
  <c r="D21178" i="1"/>
  <c r="E21178" i="1" s="1"/>
  <c r="D21177" i="1"/>
  <c r="E21177" i="1" s="1"/>
  <c r="E21176" i="1"/>
  <c r="D21176" i="1"/>
  <c r="D21175" i="1"/>
  <c r="E21175" i="1" s="1"/>
  <c r="E21174" i="1"/>
  <c r="D21174" i="1"/>
  <c r="D21173" i="1"/>
  <c r="E21173" i="1" s="1"/>
  <c r="E21172" i="1"/>
  <c r="D21172" i="1"/>
  <c r="D21171" i="1"/>
  <c r="E21171" i="1" s="1"/>
  <c r="E21170" i="1"/>
  <c r="D21170" i="1"/>
  <c r="D21169" i="1"/>
  <c r="E21169" i="1" s="1"/>
  <c r="D21168" i="1"/>
  <c r="E21168" i="1" s="1"/>
  <c r="D21167" i="1"/>
  <c r="E21167" i="1" s="1"/>
  <c r="D21166" i="1"/>
  <c r="E21166" i="1" s="1"/>
  <c r="D21165" i="1"/>
  <c r="E21165" i="1" s="1"/>
  <c r="E21164" i="1"/>
  <c r="D21164" i="1"/>
  <c r="D21163" i="1"/>
  <c r="E21163" i="1" s="1"/>
  <c r="E21162" i="1"/>
  <c r="D21162" i="1"/>
  <c r="D21161" i="1"/>
  <c r="E21161" i="1" s="1"/>
  <c r="E21160" i="1"/>
  <c r="D21160" i="1"/>
  <c r="D21159" i="1"/>
  <c r="E21159" i="1" s="1"/>
  <c r="E21158" i="1"/>
  <c r="D21158" i="1"/>
  <c r="D21157" i="1"/>
  <c r="E21157" i="1" s="1"/>
  <c r="D21156" i="1"/>
  <c r="E21156" i="1" s="1"/>
  <c r="D21155" i="1"/>
  <c r="E21155" i="1" s="1"/>
  <c r="D21154" i="1"/>
  <c r="E21154" i="1" s="1"/>
  <c r="D21153" i="1"/>
  <c r="E21153" i="1" s="1"/>
  <c r="E21152" i="1"/>
  <c r="D21152" i="1"/>
  <c r="D21151" i="1"/>
  <c r="E21151" i="1" s="1"/>
  <c r="E21150" i="1"/>
  <c r="D21150" i="1"/>
  <c r="D21149" i="1"/>
  <c r="E21149" i="1" s="1"/>
  <c r="E21148" i="1"/>
  <c r="D21148" i="1"/>
  <c r="D21147" i="1"/>
  <c r="E21147" i="1" s="1"/>
  <c r="E21146" i="1"/>
  <c r="D21146" i="1"/>
  <c r="D21145" i="1"/>
  <c r="E21145" i="1" s="1"/>
  <c r="D21144" i="1"/>
  <c r="E21144" i="1" s="1"/>
  <c r="D21143" i="1"/>
  <c r="E21143" i="1" s="1"/>
  <c r="D21142" i="1"/>
  <c r="E21142" i="1" s="1"/>
  <c r="D21141" i="1"/>
  <c r="E21141" i="1" s="1"/>
  <c r="E21140" i="1"/>
  <c r="D21140" i="1"/>
  <c r="D21139" i="1"/>
  <c r="E21139" i="1" s="1"/>
  <c r="E21138" i="1"/>
  <c r="D21138" i="1"/>
  <c r="D21137" i="1"/>
  <c r="E21137" i="1" s="1"/>
  <c r="E21136" i="1"/>
  <c r="D21136" i="1"/>
  <c r="D21135" i="1"/>
  <c r="E21135" i="1" s="1"/>
  <c r="E21134" i="1"/>
  <c r="D21134" i="1"/>
  <c r="D21133" i="1"/>
  <c r="E21133" i="1" s="1"/>
  <c r="D21132" i="1"/>
  <c r="E21132" i="1" s="1"/>
  <c r="D21131" i="1"/>
  <c r="E21131" i="1" s="1"/>
  <c r="D21130" i="1"/>
  <c r="E21130" i="1" s="1"/>
  <c r="D21129" i="1"/>
  <c r="E21129" i="1" s="1"/>
  <c r="E21128" i="1"/>
  <c r="D21128" i="1"/>
  <c r="D21127" i="1"/>
  <c r="E21127" i="1" s="1"/>
  <c r="E21126" i="1"/>
  <c r="D21126" i="1"/>
  <c r="D21125" i="1"/>
  <c r="E21125" i="1" s="1"/>
  <c r="E21124" i="1"/>
  <c r="D21124" i="1"/>
  <c r="D21123" i="1"/>
  <c r="E21123" i="1" s="1"/>
  <c r="D21122" i="1"/>
  <c r="E21122" i="1" s="1"/>
  <c r="D21121" i="1"/>
  <c r="E21121" i="1" s="1"/>
  <c r="D21120" i="1"/>
  <c r="E21120" i="1" s="1"/>
  <c r="D21119" i="1"/>
  <c r="E21119" i="1" s="1"/>
  <c r="D21118" i="1"/>
  <c r="E21118" i="1" s="1"/>
  <c r="D21117" i="1"/>
  <c r="E21117" i="1" s="1"/>
  <c r="E21116" i="1"/>
  <c r="D21116" i="1"/>
  <c r="D21115" i="1"/>
  <c r="E21115" i="1" s="1"/>
  <c r="E21114" i="1"/>
  <c r="D21114" i="1"/>
  <c r="D21113" i="1"/>
  <c r="E21113" i="1" s="1"/>
  <c r="E21112" i="1"/>
  <c r="D21112" i="1"/>
  <c r="D21111" i="1"/>
  <c r="E21111" i="1" s="1"/>
  <c r="E21110" i="1"/>
  <c r="D21110" i="1"/>
  <c r="D21109" i="1"/>
  <c r="E21109" i="1" s="1"/>
  <c r="D21108" i="1"/>
  <c r="E21108" i="1" s="1"/>
  <c r="D21107" i="1"/>
  <c r="E21107" i="1" s="1"/>
  <c r="D21106" i="1"/>
  <c r="E21106" i="1" s="1"/>
  <c r="D21105" i="1"/>
  <c r="E21105" i="1" s="1"/>
  <c r="E21104" i="1"/>
  <c r="D21104" i="1"/>
  <c r="D21103" i="1"/>
  <c r="E21103" i="1" s="1"/>
  <c r="E21102" i="1"/>
  <c r="D21102" i="1"/>
  <c r="D21101" i="1"/>
  <c r="E21101" i="1" s="1"/>
  <c r="E21100" i="1"/>
  <c r="D21100" i="1"/>
  <c r="D21099" i="1"/>
  <c r="E21099" i="1" s="1"/>
  <c r="D21098" i="1"/>
  <c r="E21098" i="1" s="1"/>
  <c r="D21097" i="1"/>
  <c r="E21097" i="1" s="1"/>
  <c r="D21096" i="1"/>
  <c r="E21096" i="1" s="1"/>
  <c r="E21095" i="1"/>
  <c r="D21095" i="1"/>
  <c r="D21094" i="1"/>
  <c r="E21094" i="1" s="1"/>
  <c r="E21093" i="1"/>
  <c r="D21093" i="1"/>
  <c r="D21092" i="1"/>
  <c r="E21092" i="1" s="1"/>
  <c r="D21091" i="1"/>
  <c r="E21091" i="1" s="1"/>
  <c r="E21090" i="1"/>
  <c r="D21090" i="1"/>
  <c r="D21089" i="1"/>
  <c r="E21089" i="1" s="1"/>
  <c r="E21088" i="1"/>
  <c r="D21088" i="1"/>
  <c r="D21087" i="1"/>
  <c r="E21087" i="1" s="1"/>
  <c r="E21086" i="1"/>
  <c r="D21086" i="1"/>
  <c r="D21085" i="1"/>
  <c r="E21085" i="1" s="1"/>
  <c r="D21084" i="1"/>
  <c r="E21084" i="1" s="1"/>
  <c r="E21083" i="1"/>
  <c r="D21083" i="1"/>
  <c r="D21082" i="1"/>
  <c r="E21082" i="1" s="1"/>
  <c r="E21081" i="1"/>
  <c r="D21081" i="1"/>
  <c r="D21080" i="1"/>
  <c r="E21080" i="1" s="1"/>
  <c r="D21079" i="1"/>
  <c r="E21079" i="1" s="1"/>
  <c r="E21078" i="1"/>
  <c r="D21078" i="1"/>
  <c r="D21077" i="1"/>
  <c r="E21077" i="1" s="1"/>
  <c r="E21076" i="1"/>
  <c r="D21076" i="1"/>
  <c r="D21075" i="1"/>
  <c r="E21075" i="1" s="1"/>
  <c r="E21074" i="1"/>
  <c r="D21074" i="1"/>
  <c r="D21073" i="1"/>
  <c r="E21073" i="1" s="1"/>
  <c r="D21072" i="1"/>
  <c r="E21072" i="1" s="1"/>
  <c r="D21071" i="1"/>
  <c r="E21071" i="1" s="1"/>
  <c r="D21070" i="1"/>
  <c r="E21070" i="1" s="1"/>
  <c r="D21069" i="1"/>
  <c r="E21069" i="1" s="1"/>
  <c r="E21068" i="1"/>
  <c r="D21068" i="1"/>
  <c r="E21067" i="1"/>
  <c r="D21067" i="1"/>
  <c r="E21066" i="1"/>
  <c r="D21066" i="1"/>
  <c r="D21065" i="1"/>
  <c r="E21065" i="1" s="1"/>
  <c r="E21064" i="1"/>
  <c r="D21064" i="1"/>
  <c r="D21063" i="1"/>
  <c r="E21063" i="1" s="1"/>
  <c r="D21062" i="1"/>
  <c r="E21062" i="1" s="1"/>
  <c r="D21061" i="1"/>
  <c r="E21061" i="1" s="1"/>
  <c r="D21060" i="1"/>
  <c r="E21060" i="1" s="1"/>
  <c r="E21059" i="1"/>
  <c r="D21059" i="1"/>
  <c r="D21058" i="1"/>
  <c r="E21058" i="1" s="1"/>
  <c r="D21057" i="1"/>
  <c r="E21057" i="1" s="1"/>
  <c r="D21056" i="1"/>
  <c r="E21056" i="1" s="1"/>
  <c r="D21055" i="1"/>
  <c r="E21055" i="1" s="1"/>
  <c r="E21054" i="1"/>
  <c r="D21054" i="1"/>
  <c r="D21053" i="1"/>
  <c r="E21053" i="1" s="1"/>
  <c r="E21052" i="1"/>
  <c r="D21052" i="1"/>
  <c r="D21051" i="1"/>
  <c r="E21051" i="1" s="1"/>
  <c r="D21050" i="1"/>
  <c r="E21050" i="1" s="1"/>
  <c r="D21049" i="1"/>
  <c r="E21049" i="1" s="1"/>
  <c r="D21048" i="1"/>
  <c r="E21048" i="1" s="1"/>
  <c r="E21047" i="1"/>
  <c r="D21047" i="1"/>
  <c r="D21046" i="1"/>
  <c r="E21046" i="1" s="1"/>
  <c r="D21045" i="1"/>
  <c r="E21045" i="1" s="1"/>
  <c r="E21044" i="1"/>
  <c r="D21044" i="1"/>
  <c r="D21043" i="1"/>
  <c r="E21043" i="1" s="1"/>
  <c r="E21042" i="1"/>
  <c r="D21042" i="1"/>
  <c r="D21041" i="1"/>
  <c r="E21041" i="1" s="1"/>
  <c r="E21040" i="1"/>
  <c r="D21040" i="1"/>
  <c r="D21039" i="1"/>
  <c r="E21039" i="1" s="1"/>
  <c r="E21038" i="1"/>
  <c r="D21038" i="1"/>
  <c r="D21037" i="1"/>
  <c r="E21037" i="1" s="1"/>
  <c r="D21036" i="1"/>
  <c r="E21036" i="1" s="1"/>
  <c r="D21035" i="1"/>
  <c r="E21035" i="1" s="1"/>
  <c r="D21034" i="1"/>
  <c r="E21034" i="1" s="1"/>
  <c r="D21033" i="1"/>
  <c r="E21033" i="1" s="1"/>
  <c r="E21032" i="1"/>
  <c r="D21032" i="1"/>
  <c r="E21031" i="1"/>
  <c r="D21031" i="1"/>
  <c r="E21030" i="1"/>
  <c r="D21030" i="1"/>
  <c r="D21029" i="1"/>
  <c r="E21029" i="1" s="1"/>
  <c r="E21028" i="1"/>
  <c r="D21028" i="1"/>
  <c r="D21027" i="1"/>
  <c r="E21027" i="1" s="1"/>
  <c r="D21026" i="1"/>
  <c r="E21026" i="1" s="1"/>
  <c r="D21025" i="1"/>
  <c r="E21025" i="1" s="1"/>
  <c r="D21024" i="1"/>
  <c r="E21024" i="1" s="1"/>
  <c r="E21023" i="1"/>
  <c r="D21023" i="1"/>
  <c r="D21022" i="1"/>
  <c r="E21022" i="1" s="1"/>
  <c r="E21021" i="1"/>
  <c r="D21021" i="1"/>
  <c r="D21020" i="1"/>
  <c r="E21020" i="1" s="1"/>
  <c r="E21019" i="1"/>
  <c r="D21019" i="1"/>
  <c r="E21018" i="1"/>
  <c r="D21018" i="1"/>
  <c r="D21017" i="1"/>
  <c r="E21017" i="1" s="1"/>
  <c r="E21016" i="1"/>
  <c r="D21016" i="1"/>
  <c r="D21015" i="1"/>
  <c r="E21015" i="1" s="1"/>
  <c r="E21014" i="1"/>
  <c r="D21014" i="1"/>
  <c r="D21013" i="1"/>
  <c r="E21013" i="1" s="1"/>
  <c r="D21012" i="1"/>
  <c r="E21012" i="1" s="1"/>
  <c r="E21011" i="1"/>
  <c r="D21011" i="1"/>
  <c r="D21010" i="1"/>
  <c r="E21010" i="1" s="1"/>
  <c r="D21009" i="1"/>
  <c r="E21009" i="1" s="1"/>
  <c r="E21008" i="1"/>
  <c r="D21008" i="1"/>
  <c r="D21007" i="1"/>
  <c r="E21007" i="1" s="1"/>
  <c r="E21006" i="1"/>
  <c r="D21006" i="1"/>
  <c r="D21005" i="1"/>
  <c r="E21005" i="1" s="1"/>
  <c r="E21004" i="1"/>
  <c r="D21004" i="1"/>
  <c r="D21003" i="1"/>
  <c r="E21003" i="1" s="1"/>
  <c r="E21002" i="1"/>
  <c r="D21002" i="1"/>
  <c r="D21001" i="1"/>
  <c r="E21001" i="1" s="1"/>
  <c r="D21000" i="1"/>
  <c r="E21000" i="1" s="1"/>
  <c r="D20999" i="1"/>
  <c r="E20999" i="1" s="1"/>
  <c r="D20998" i="1"/>
  <c r="E20998" i="1" s="1"/>
  <c r="D20997" i="1"/>
  <c r="E20997" i="1" s="1"/>
  <c r="E20996" i="1"/>
  <c r="D20996" i="1"/>
  <c r="E20995" i="1"/>
  <c r="D20995" i="1"/>
  <c r="E20994" i="1"/>
  <c r="D20994" i="1"/>
  <c r="D20993" i="1"/>
  <c r="E20993" i="1" s="1"/>
  <c r="D20992" i="1"/>
  <c r="E20992" i="1" s="1"/>
  <c r="D20991" i="1"/>
  <c r="E20991" i="1" s="1"/>
  <c r="D20990" i="1"/>
  <c r="E20990" i="1" s="1"/>
  <c r="D20989" i="1"/>
  <c r="E20989" i="1" s="1"/>
  <c r="D20988" i="1"/>
  <c r="E20988" i="1" s="1"/>
  <c r="E20987" i="1"/>
  <c r="D20987" i="1"/>
  <c r="D20986" i="1"/>
  <c r="E20986" i="1" s="1"/>
  <c r="E20985" i="1"/>
  <c r="D20985" i="1"/>
  <c r="D20984" i="1"/>
  <c r="E20984" i="1" s="1"/>
  <c r="E20983" i="1"/>
  <c r="D20983" i="1"/>
  <c r="E20982" i="1"/>
  <c r="D20982" i="1"/>
  <c r="D20981" i="1"/>
  <c r="E20981" i="1" s="1"/>
  <c r="E20980" i="1"/>
  <c r="D20980" i="1"/>
  <c r="D20979" i="1"/>
  <c r="E20979" i="1" s="1"/>
  <c r="E20978" i="1"/>
  <c r="D20978" i="1"/>
  <c r="D20977" i="1"/>
  <c r="E20977" i="1" s="1"/>
  <c r="D20976" i="1"/>
  <c r="E20976" i="1" s="1"/>
  <c r="E20975" i="1"/>
  <c r="D20975" i="1"/>
  <c r="D20974" i="1"/>
  <c r="E20974" i="1" s="1"/>
  <c r="E20973" i="1"/>
  <c r="D20973" i="1"/>
  <c r="E20972" i="1"/>
  <c r="D20972" i="1"/>
  <c r="D20971" i="1"/>
  <c r="E20971" i="1" s="1"/>
  <c r="E20970" i="1"/>
  <c r="D20970" i="1"/>
  <c r="D20969" i="1"/>
  <c r="E20969" i="1" s="1"/>
  <c r="E20968" i="1"/>
  <c r="D20968" i="1"/>
  <c r="D20967" i="1"/>
  <c r="E20967" i="1" s="1"/>
  <c r="E20966" i="1"/>
  <c r="D20966" i="1"/>
  <c r="D20965" i="1"/>
  <c r="E20965" i="1" s="1"/>
  <c r="D20964" i="1"/>
  <c r="E20964" i="1" s="1"/>
  <c r="D20963" i="1"/>
  <c r="E20963" i="1" s="1"/>
  <c r="D20962" i="1"/>
  <c r="E20962" i="1" s="1"/>
  <c r="D20961" i="1"/>
  <c r="E20961" i="1" s="1"/>
  <c r="E20960" i="1"/>
  <c r="D20960" i="1"/>
  <c r="D20959" i="1"/>
  <c r="E20959" i="1" s="1"/>
  <c r="E20958" i="1"/>
  <c r="D20958" i="1"/>
  <c r="D20957" i="1"/>
  <c r="E20957" i="1" s="1"/>
  <c r="D20956" i="1"/>
  <c r="E20956" i="1" s="1"/>
  <c r="D20955" i="1"/>
  <c r="E20955" i="1" s="1"/>
  <c r="D20954" i="1"/>
  <c r="E20954" i="1" s="1"/>
  <c r="D20953" i="1"/>
  <c r="E20953" i="1" s="1"/>
  <c r="D20952" i="1"/>
  <c r="E20952" i="1" s="1"/>
  <c r="D20951" i="1"/>
  <c r="E20951" i="1" s="1"/>
  <c r="D20950" i="1"/>
  <c r="E20950" i="1" s="1"/>
  <c r="E20949" i="1"/>
  <c r="D20949" i="1"/>
  <c r="D20948" i="1"/>
  <c r="E20948" i="1" s="1"/>
  <c r="E20947" i="1"/>
  <c r="D20947" i="1"/>
  <c r="E20946" i="1"/>
  <c r="D20946" i="1"/>
  <c r="D20945" i="1"/>
  <c r="E20945" i="1" s="1"/>
  <c r="E20944" i="1"/>
  <c r="D20944" i="1"/>
  <c r="D20943" i="1"/>
  <c r="E20943" i="1" s="1"/>
  <c r="E20942" i="1"/>
  <c r="D20942" i="1"/>
  <c r="D20941" i="1"/>
  <c r="E20941" i="1" s="1"/>
  <c r="D20940" i="1"/>
  <c r="E20940" i="1" s="1"/>
  <c r="D20939" i="1"/>
  <c r="E20939" i="1" s="1"/>
  <c r="D20938" i="1"/>
  <c r="E20938" i="1" s="1"/>
  <c r="E20937" i="1"/>
  <c r="D20937" i="1"/>
  <c r="D20936" i="1"/>
  <c r="E20936" i="1" s="1"/>
  <c r="D20935" i="1"/>
  <c r="E20935" i="1" s="1"/>
  <c r="E20934" i="1"/>
  <c r="D20934" i="1"/>
  <c r="D20933" i="1"/>
  <c r="E20933" i="1" s="1"/>
  <c r="E20932" i="1"/>
  <c r="D20932" i="1"/>
  <c r="D20931" i="1"/>
  <c r="E20931" i="1" s="1"/>
  <c r="E20930" i="1"/>
  <c r="D20930" i="1"/>
  <c r="D20929" i="1"/>
  <c r="E20929" i="1" s="1"/>
  <c r="D20928" i="1"/>
  <c r="E20928" i="1" s="1"/>
  <c r="D20927" i="1"/>
  <c r="E20927" i="1" s="1"/>
  <c r="D20926" i="1"/>
  <c r="E20926" i="1" s="1"/>
  <c r="D20925" i="1"/>
  <c r="E20925" i="1" s="1"/>
  <c r="D20924" i="1"/>
  <c r="E20924" i="1" s="1"/>
  <c r="E20923" i="1"/>
  <c r="D20923" i="1"/>
  <c r="E20922" i="1"/>
  <c r="D20922" i="1"/>
  <c r="E20921" i="1"/>
  <c r="D20921" i="1"/>
  <c r="E20920" i="1"/>
  <c r="D20920" i="1"/>
  <c r="D20919" i="1"/>
  <c r="E20919" i="1" s="1"/>
  <c r="E20918" i="1"/>
  <c r="D20918" i="1"/>
  <c r="D20917" i="1"/>
  <c r="E20917" i="1" s="1"/>
  <c r="E20916" i="1"/>
  <c r="D20916" i="1"/>
  <c r="D20915" i="1"/>
  <c r="E20915" i="1" s="1"/>
  <c r="D20914" i="1"/>
  <c r="E20914" i="1" s="1"/>
  <c r="E20913" i="1"/>
  <c r="D20913" i="1"/>
  <c r="E20912" i="1"/>
  <c r="D20912" i="1"/>
  <c r="D20911" i="1"/>
  <c r="E20911" i="1" s="1"/>
  <c r="E20910" i="1"/>
  <c r="D20910" i="1"/>
  <c r="D20909" i="1"/>
  <c r="E20909" i="1" s="1"/>
  <c r="D20908" i="1"/>
  <c r="E20908" i="1" s="1"/>
  <c r="E20907" i="1"/>
  <c r="D20907" i="1"/>
  <c r="E20906" i="1"/>
  <c r="D20906" i="1"/>
  <c r="D20905" i="1"/>
  <c r="E20905" i="1" s="1"/>
  <c r="E20904" i="1"/>
  <c r="D20904" i="1"/>
  <c r="D20903" i="1"/>
  <c r="E20903" i="1" s="1"/>
  <c r="E20902" i="1"/>
  <c r="D20902" i="1"/>
  <c r="E20901" i="1"/>
  <c r="D20901" i="1"/>
  <c r="D20900" i="1"/>
  <c r="E20900" i="1" s="1"/>
  <c r="D20899" i="1"/>
  <c r="E20899" i="1" s="1"/>
  <c r="E20898" i="1"/>
  <c r="D20898" i="1"/>
  <c r="D20897" i="1"/>
  <c r="E20897" i="1" s="1"/>
  <c r="E20896" i="1"/>
  <c r="D20896" i="1"/>
  <c r="E20895" i="1"/>
  <c r="D20895" i="1"/>
  <c r="D20894" i="1"/>
  <c r="E20894" i="1" s="1"/>
  <c r="D20893" i="1"/>
  <c r="E20893" i="1" s="1"/>
  <c r="D20892" i="1"/>
  <c r="E20892" i="1" s="1"/>
  <c r="E20891" i="1"/>
  <c r="D20891" i="1"/>
  <c r="E20890" i="1"/>
  <c r="D20890" i="1"/>
  <c r="D20889" i="1"/>
  <c r="E20889" i="1" s="1"/>
  <c r="E20888" i="1"/>
  <c r="D20888" i="1"/>
  <c r="E20887" i="1"/>
  <c r="D20887" i="1"/>
  <c r="D20886" i="1"/>
  <c r="E20886" i="1" s="1"/>
  <c r="E20885" i="1"/>
  <c r="D20885" i="1"/>
  <c r="D20884" i="1"/>
  <c r="E20884" i="1" s="1"/>
  <c r="D20883" i="1"/>
  <c r="E20883" i="1" s="1"/>
  <c r="E20882" i="1"/>
  <c r="D20882" i="1"/>
  <c r="D20881" i="1"/>
  <c r="E20881" i="1" s="1"/>
  <c r="E20880" i="1"/>
  <c r="D20880" i="1"/>
  <c r="E20879" i="1"/>
  <c r="D20879" i="1"/>
  <c r="D20878" i="1"/>
  <c r="E20878" i="1" s="1"/>
  <c r="E20877" i="1"/>
  <c r="D20877" i="1"/>
  <c r="E20876" i="1"/>
  <c r="D20876" i="1"/>
  <c r="D20875" i="1"/>
  <c r="E20875" i="1" s="1"/>
  <c r="D20874" i="1"/>
  <c r="E20874" i="1" s="1"/>
  <c r="E20873" i="1"/>
  <c r="D20873" i="1"/>
  <c r="D20872" i="1"/>
  <c r="E20872" i="1" s="1"/>
  <c r="E20871" i="1"/>
  <c r="D20871" i="1"/>
  <c r="E20870" i="1"/>
  <c r="D20870" i="1"/>
  <c r="D20869" i="1"/>
  <c r="E20869" i="1" s="1"/>
  <c r="E20868" i="1"/>
  <c r="D20868" i="1"/>
  <c r="D20867" i="1"/>
  <c r="E20867" i="1" s="1"/>
  <c r="E20866" i="1"/>
  <c r="D20866" i="1"/>
  <c r="D20865" i="1"/>
  <c r="E20865" i="1" s="1"/>
  <c r="D20864" i="1"/>
  <c r="E20864" i="1" s="1"/>
  <c r="E20863" i="1"/>
  <c r="D20863" i="1"/>
  <c r="E20862" i="1"/>
  <c r="D20862" i="1"/>
  <c r="D20861" i="1"/>
  <c r="E20861" i="1" s="1"/>
  <c r="E20860" i="1"/>
  <c r="D20860" i="1"/>
  <c r="D20859" i="1"/>
  <c r="E20859" i="1" s="1"/>
  <c r="D20858" i="1"/>
  <c r="E20858" i="1" s="1"/>
  <c r="D20857" i="1"/>
  <c r="E20857" i="1" s="1"/>
  <c r="D20856" i="1"/>
  <c r="E20856" i="1" s="1"/>
  <c r="E20855" i="1"/>
  <c r="D20855" i="1"/>
  <c r="E20854" i="1"/>
  <c r="D20854" i="1"/>
  <c r="D20853" i="1"/>
  <c r="E20853" i="1" s="1"/>
  <c r="E20852" i="1"/>
  <c r="D20852" i="1"/>
  <c r="E20851" i="1"/>
  <c r="D20851" i="1"/>
  <c r="D20850" i="1"/>
  <c r="E20850" i="1" s="1"/>
  <c r="D20849" i="1"/>
  <c r="E20849" i="1" s="1"/>
  <c r="E20848" i="1"/>
  <c r="D20848" i="1"/>
  <c r="D20847" i="1"/>
  <c r="E20847" i="1" s="1"/>
  <c r="E20846" i="1"/>
  <c r="D20846" i="1"/>
  <c r="D20845" i="1"/>
  <c r="E20845" i="1" s="1"/>
  <c r="E20844" i="1"/>
  <c r="D20844" i="1"/>
  <c r="E20843" i="1"/>
  <c r="D20843" i="1"/>
  <c r="D20842" i="1"/>
  <c r="E20842" i="1" s="1"/>
  <c r="E20841" i="1"/>
  <c r="D20841" i="1"/>
  <c r="E20840" i="1"/>
  <c r="D20840" i="1"/>
  <c r="D20839" i="1"/>
  <c r="E20839" i="1" s="1"/>
  <c r="E20838" i="1"/>
  <c r="D20838" i="1"/>
  <c r="E20837" i="1"/>
  <c r="D20837" i="1"/>
  <c r="D20836" i="1"/>
  <c r="E20836" i="1" s="1"/>
  <c r="E20835" i="1"/>
  <c r="D20835" i="1"/>
  <c r="D20834" i="1"/>
  <c r="E20834" i="1" s="1"/>
  <c r="D20833" i="1"/>
  <c r="E20833" i="1" s="1"/>
  <c r="E20832" i="1"/>
  <c r="D20832" i="1"/>
  <c r="D20831" i="1"/>
  <c r="E20831" i="1" s="1"/>
  <c r="E20830" i="1"/>
  <c r="D20830" i="1"/>
  <c r="E20829" i="1"/>
  <c r="D20829" i="1"/>
  <c r="D20828" i="1"/>
  <c r="E20828" i="1" s="1"/>
  <c r="E20827" i="1"/>
  <c r="D20827" i="1"/>
  <c r="E20826" i="1"/>
  <c r="D20826" i="1"/>
  <c r="D20825" i="1"/>
  <c r="E20825" i="1" s="1"/>
  <c r="D20824" i="1"/>
  <c r="E20824" i="1" s="1"/>
  <c r="E20823" i="1"/>
  <c r="D20823" i="1"/>
  <c r="D20822" i="1"/>
  <c r="E20822" i="1" s="1"/>
  <c r="D20821" i="1"/>
  <c r="E20821" i="1" s="1"/>
  <c r="D20820" i="1"/>
  <c r="E20820" i="1" s="1"/>
  <c r="E20819" i="1"/>
  <c r="D20819" i="1"/>
  <c r="E20818" i="1"/>
  <c r="D20818" i="1"/>
  <c r="D20817" i="1"/>
  <c r="E20817" i="1" s="1"/>
  <c r="E20816" i="1"/>
  <c r="D20816" i="1"/>
  <c r="E20815" i="1"/>
  <c r="D20815" i="1"/>
  <c r="D20814" i="1"/>
  <c r="E20814" i="1" s="1"/>
  <c r="E20813" i="1"/>
  <c r="D20813" i="1"/>
  <c r="E20812" i="1"/>
  <c r="D20812" i="1"/>
  <c r="D20811" i="1"/>
  <c r="E20811" i="1" s="1"/>
  <c r="E20810" i="1"/>
  <c r="D20810" i="1"/>
  <c r="D20809" i="1"/>
  <c r="E20809" i="1" s="1"/>
  <c r="D20808" i="1"/>
  <c r="E20808" i="1" s="1"/>
  <c r="E20807" i="1"/>
  <c r="D20807" i="1"/>
  <c r="E20806" i="1"/>
  <c r="D20806" i="1"/>
  <c r="D20805" i="1"/>
  <c r="E20805" i="1" s="1"/>
  <c r="E20804" i="1"/>
  <c r="D20804" i="1"/>
  <c r="E20803" i="1"/>
  <c r="D20803" i="1"/>
  <c r="D20802" i="1"/>
  <c r="E20802" i="1" s="1"/>
  <c r="E20801" i="1"/>
  <c r="D20801" i="1"/>
  <c r="E20800" i="1"/>
  <c r="D20800" i="1"/>
  <c r="D20799" i="1"/>
  <c r="E20799" i="1" s="1"/>
  <c r="E20798" i="1"/>
  <c r="D20798" i="1"/>
  <c r="D20797" i="1"/>
  <c r="E20797" i="1" s="1"/>
  <c r="D20796" i="1"/>
  <c r="E20796" i="1" s="1"/>
  <c r="E20795" i="1"/>
  <c r="D20795" i="1"/>
  <c r="E20794" i="1"/>
  <c r="D20794" i="1"/>
  <c r="D20793" i="1"/>
  <c r="E20793" i="1" s="1"/>
  <c r="E20792" i="1"/>
  <c r="D20792" i="1"/>
  <c r="D20791" i="1"/>
  <c r="E20791" i="1" s="1"/>
  <c r="D20790" i="1"/>
  <c r="E20790" i="1" s="1"/>
  <c r="E20789" i="1"/>
  <c r="D20789" i="1"/>
  <c r="E20788" i="1"/>
  <c r="D20788" i="1"/>
  <c r="D20787" i="1"/>
  <c r="E20787" i="1" s="1"/>
  <c r="E20786" i="1"/>
  <c r="D20786" i="1"/>
  <c r="D20785" i="1"/>
  <c r="E20785" i="1" s="1"/>
  <c r="D20784" i="1"/>
  <c r="E20784" i="1" s="1"/>
  <c r="E20783" i="1"/>
  <c r="D20783" i="1"/>
  <c r="E20782" i="1"/>
  <c r="D20782" i="1"/>
  <c r="D20781" i="1"/>
  <c r="E20781" i="1" s="1"/>
  <c r="E20780" i="1"/>
  <c r="D20780" i="1"/>
  <c r="D20779" i="1"/>
  <c r="E20779" i="1" s="1"/>
  <c r="D20778" i="1"/>
  <c r="E20778" i="1" s="1"/>
  <c r="E20777" i="1"/>
  <c r="D20777" i="1"/>
  <c r="E20776" i="1"/>
  <c r="D20776" i="1"/>
  <c r="D20775" i="1"/>
  <c r="E20775" i="1" s="1"/>
  <c r="E20774" i="1"/>
  <c r="D20774" i="1"/>
  <c r="D20773" i="1"/>
  <c r="E20773" i="1" s="1"/>
  <c r="D20772" i="1"/>
  <c r="E20772" i="1" s="1"/>
  <c r="E20771" i="1"/>
  <c r="D20771" i="1"/>
  <c r="E20770" i="1"/>
  <c r="D20770" i="1"/>
  <c r="D20769" i="1"/>
  <c r="E20769" i="1" s="1"/>
  <c r="E20768" i="1"/>
  <c r="D20768" i="1"/>
  <c r="D20767" i="1"/>
  <c r="E20767" i="1" s="1"/>
  <c r="D20766" i="1"/>
  <c r="E20766" i="1" s="1"/>
  <c r="E20765" i="1"/>
  <c r="D20765" i="1"/>
  <c r="E20764" i="1"/>
  <c r="D20764" i="1"/>
  <c r="D20763" i="1"/>
  <c r="E20763" i="1" s="1"/>
  <c r="E20762" i="1"/>
  <c r="D20762" i="1"/>
  <c r="D20761" i="1"/>
  <c r="E20761" i="1" s="1"/>
  <c r="D20760" i="1"/>
  <c r="E20760" i="1" s="1"/>
  <c r="E20759" i="1"/>
  <c r="D20759" i="1"/>
  <c r="E20758" i="1"/>
  <c r="D20758" i="1"/>
  <c r="D20757" i="1"/>
  <c r="E20757" i="1" s="1"/>
  <c r="E20756" i="1"/>
  <c r="D20756" i="1"/>
  <c r="D20755" i="1"/>
  <c r="E20755" i="1" s="1"/>
  <c r="D20754" i="1"/>
  <c r="E20754" i="1" s="1"/>
  <c r="E20753" i="1"/>
  <c r="D20753" i="1"/>
  <c r="E20752" i="1"/>
  <c r="D20752" i="1"/>
  <c r="D20751" i="1"/>
  <c r="E20751" i="1" s="1"/>
  <c r="E20750" i="1"/>
  <c r="D20750" i="1"/>
  <c r="D20749" i="1"/>
  <c r="E20749" i="1" s="1"/>
  <c r="D20748" i="1"/>
  <c r="E20748" i="1" s="1"/>
  <c r="E20747" i="1"/>
  <c r="D20747" i="1"/>
  <c r="E20746" i="1"/>
  <c r="D20746" i="1"/>
  <c r="D20745" i="1"/>
  <c r="E20745" i="1" s="1"/>
  <c r="E20744" i="1"/>
  <c r="D20744" i="1"/>
  <c r="D20743" i="1"/>
  <c r="E20743" i="1" s="1"/>
  <c r="D20742" i="1"/>
  <c r="E20742" i="1" s="1"/>
  <c r="E20741" i="1"/>
  <c r="D20741" i="1"/>
  <c r="E20740" i="1"/>
  <c r="D20740" i="1"/>
  <c r="D20739" i="1"/>
  <c r="E20739" i="1" s="1"/>
  <c r="E20738" i="1"/>
  <c r="D20738" i="1"/>
  <c r="D20737" i="1"/>
  <c r="E20737" i="1" s="1"/>
  <c r="D20736" i="1"/>
  <c r="E20736" i="1" s="1"/>
  <c r="E20735" i="1"/>
  <c r="D20735" i="1"/>
  <c r="E20734" i="1"/>
  <c r="D20734" i="1"/>
  <c r="D20733" i="1"/>
  <c r="E20733" i="1" s="1"/>
  <c r="E20732" i="1"/>
  <c r="D20732" i="1"/>
  <c r="D20731" i="1"/>
  <c r="E20731" i="1" s="1"/>
  <c r="D20730" i="1"/>
  <c r="E20730" i="1" s="1"/>
  <c r="E20729" i="1"/>
  <c r="D20729" i="1"/>
  <c r="E20728" i="1"/>
  <c r="D20728" i="1"/>
  <c r="D20727" i="1"/>
  <c r="E20727" i="1" s="1"/>
  <c r="E20726" i="1"/>
  <c r="D20726" i="1"/>
  <c r="D20725" i="1"/>
  <c r="E20725" i="1" s="1"/>
  <c r="D20724" i="1"/>
  <c r="E20724" i="1" s="1"/>
  <c r="E20723" i="1"/>
  <c r="D20723" i="1"/>
  <c r="E20722" i="1"/>
  <c r="D20722" i="1"/>
  <c r="D20721" i="1"/>
  <c r="E20721" i="1" s="1"/>
  <c r="E20720" i="1"/>
  <c r="D20720" i="1"/>
  <c r="D20719" i="1"/>
  <c r="E20719" i="1" s="1"/>
  <c r="D20718" i="1"/>
  <c r="E20718" i="1" s="1"/>
  <c r="E20717" i="1"/>
  <c r="D20717" i="1"/>
  <c r="E20716" i="1"/>
  <c r="D20716" i="1"/>
  <c r="D20715" i="1"/>
  <c r="E20715" i="1" s="1"/>
  <c r="E20714" i="1"/>
  <c r="D20714" i="1"/>
  <c r="D20713" i="1"/>
  <c r="E20713" i="1" s="1"/>
  <c r="D20712" i="1"/>
  <c r="E20712" i="1" s="1"/>
  <c r="E20711" i="1"/>
  <c r="D20711" i="1"/>
  <c r="E20710" i="1"/>
  <c r="D20710" i="1"/>
  <c r="D20709" i="1"/>
  <c r="E20709" i="1" s="1"/>
  <c r="E20708" i="1"/>
  <c r="D20708" i="1"/>
  <c r="E20707" i="1"/>
  <c r="D20707" i="1"/>
  <c r="D20706" i="1"/>
  <c r="E20706" i="1" s="1"/>
  <c r="E20705" i="1"/>
  <c r="D20705" i="1"/>
  <c r="E20704" i="1"/>
  <c r="D20704" i="1"/>
  <c r="D20703" i="1"/>
  <c r="E20703" i="1" s="1"/>
  <c r="E20702" i="1"/>
  <c r="D20702" i="1"/>
  <c r="D20701" i="1"/>
  <c r="E20701" i="1" s="1"/>
  <c r="D20700" i="1"/>
  <c r="E20700" i="1" s="1"/>
  <c r="E20699" i="1"/>
  <c r="D20699" i="1"/>
  <c r="E20698" i="1"/>
  <c r="D20698" i="1"/>
  <c r="D20697" i="1"/>
  <c r="E20697" i="1" s="1"/>
  <c r="E20696" i="1"/>
  <c r="D20696" i="1"/>
  <c r="E20695" i="1"/>
  <c r="D20695" i="1"/>
  <c r="D20694" i="1"/>
  <c r="E20694" i="1" s="1"/>
  <c r="E20693" i="1"/>
  <c r="D20693" i="1"/>
  <c r="E20692" i="1"/>
  <c r="D20692" i="1"/>
  <c r="D20691" i="1"/>
  <c r="E20691" i="1" s="1"/>
  <c r="E20690" i="1"/>
  <c r="D20690" i="1"/>
  <c r="D20689" i="1"/>
  <c r="E20689" i="1" s="1"/>
  <c r="D20688" i="1"/>
  <c r="E20688" i="1" s="1"/>
  <c r="E20687" i="1"/>
  <c r="D20687" i="1"/>
  <c r="E20686" i="1"/>
  <c r="D20686" i="1"/>
  <c r="D20685" i="1"/>
  <c r="E20685" i="1" s="1"/>
  <c r="E20684" i="1"/>
  <c r="D20684" i="1"/>
  <c r="D20683" i="1"/>
  <c r="E20683" i="1" s="1"/>
  <c r="D20682" i="1"/>
  <c r="E20682" i="1" s="1"/>
  <c r="E20681" i="1"/>
  <c r="D20681" i="1"/>
  <c r="E20680" i="1"/>
  <c r="D20680" i="1"/>
  <c r="D20679" i="1"/>
  <c r="E20679" i="1" s="1"/>
  <c r="E20678" i="1"/>
  <c r="D20678" i="1"/>
  <c r="D20677" i="1"/>
  <c r="E20677" i="1" s="1"/>
  <c r="D20676" i="1"/>
  <c r="E20676" i="1" s="1"/>
  <c r="E20675" i="1"/>
  <c r="D20675" i="1"/>
  <c r="E20674" i="1"/>
  <c r="D20674" i="1"/>
  <c r="D20673" i="1"/>
  <c r="E20673" i="1" s="1"/>
  <c r="E20672" i="1"/>
  <c r="D20672" i="1"/>
  <c r="D20671" i="1"/>
  <c r="E20671" i="1" s="1"/>
  <c r="D20670" i="1"/>
  <c r="E20670" i="1" s="1"/>
  <c r="E20669" i="1"/>
  <c r="D20669" i="1"/>
  <c r="E20668" i="1"/>
  <c r="D20668" i="1"/>
  <c r="D20667" i="1"/>
  <c r="E20667" i="1" s="1"/>
  <c r="E20666" i="1"/>
  <c r="D20666" i="1"/>
  <c r="D20665" i="1"/>
  <c r="E20665" i="1" s="1"/>
  <c r="D20664" i="1"/>
  <c r="E20664" i="1" s="1"/>
  <c r="E20663" i="1"/>
  <c r="D20663" i="1"/>
  <c r="E20662" i="1"/>
  <c r="D20662" i="1"/>
  <c r="D20661" i="1"/>
  <c r="E20661" i="1" s="1"/>
  <c r="E20660" i="1"/>
  <c r="D20660" i="1"/>
  <c r="D20659" i="1"/>
  <c r="E20659" i="1" s="1"/>
  <c r="D20658" i="1"/>
  <c r="E20658" i="1" s="1"/>
  <c r="E20657" i="1"/>
  <c r="D20657" i="1"/>
  <c r="E20656" i="1"/>
  <c r="D20656" i="1"/>
  <c r="D20655" i="1"/>
  <c r="E20655" i="1" s="1"/>
  <c r="E20654" i="1"/>
  <c r="D20654" i="1"/>
  <c r="D20653" i="1"/>
  <c r="E20653" i="1" s="1"/>
  <c r="D20652" i="1"/>
  <c r="E20652" i="1" s="1"/>
  <c r="E20651" i="1"/>
  <c r="D20651" i="1"/>
  <c r="E20650" i="1"/>
  <c r="D20650" i="1"/>
  <c r="D20649" i="1"/>
  <c r="E20649" i="1" s="1"/>
  <c r="E20648" i="1"/>
  <c r="D20648" i="1"/>
  <c r="D20647" i="1"/>
  <c r="E20647" i="1" s="1"/>
  <c r="D20646" i="1"/>
  <c r="E20646" i="1" s="1"/>
  <c r="E20645" i="1"/>
  <c r="D20645" i="1"/>
  <c r="E20644" i="1"/>
  <c r="D20644" i="1"/>
  <c r="D20643" i="1"/>
  <c r="E20643" i="1" s="1"/>
  <c r="E20642" i="1"/>
  <c r="D20642" i="1"/>
  <c r="D20641" i="1"/>
  <c r="E20641" i="1" s="1"/>
  <c r="D20640" i="1"/>
  <c r="E20640" i="1" s="1"/>
  <c r="E20639" i="1"/>
  <c r="D20639" i="1"/>
  <c r="E20638" i="1"/>
  <c r="D20638" i="1"/>
  <c r="D20637" i="1"/>
  <c r="E20637" i="1" s="1"/>
  <c r="E20636" i="1"/>
  <c r="D20636" i="1"/>
  <c r="E20635" i="1"/>
  <c r="D20635" i="1"/>
  <c r="D20634" i="1"/>
  <c r="E20634" i="1" s="1"/>
  <c r="E20633" i="1"/>
  <c r="D20633" i="1"/>
  <c r="E20632" i="1"/>
  <c r="D20632" i="1"/>
  <c r="D20631" i="1"/>
  <c r="E20631" i="1" s="1"/>
  <c r="E20630" i="1"/>
  <c r="D20630" i="1"/>
  <c r="D20629" i="1"/>
  <c r="E20629" i="1" s="1"/>
  <c r="D20628" i="1"/>
  <c r="E20628" i="1" s="1"/>
  <c r="E20627" i="1"/>
  <c r="D20627" i="1"/>
  <c r="E20626" i="1"/>
  <c r="D20626" i="1"/>
  <c r="D20625" i="1"/>
  <c r="E20625" i="1" s="1"/>
  <c r="E20624" i="1"/>
  <c r="D20624" i="1"/>
  <c r="E20623" i="1"/>
  <c r="D20623" i="1"/>
  <c r="D20622" i="1"/>
  <c r="E20622" i="1" s="1"/>
  <c r="E20621" i="1"/>
  <c r="D20621" i="1"/>
  <c r="E20620" i="1"/>
  <c r="D20620" i="1"/>
  <c r="D20619" i="1"/>
  <c r="E20619" i="1" s="1"/>
  <c r="E20618" i="1"/>
  <c r="D20618" i="1"/>
  <c r="D20617" i="1"/>
  <c r="E20617" i="1" s="1"/>
  <c r="D20616" i="1"/>
  <c r="E20616" i="1" s="1"/>
  <c r="E20615" i="1"/>
  <c r="D20615" i="1"/>
  <c r="E20614" i="1"/>
  <c r="D20614" i="1"/>
  <c r="D20613" i="1"/>
  <c r="E20613" i="1" s="1"/>
  <c r="E20612" i="1"/>
  <c r="D20612" i="1"/>
  <c r="E20611" i="1"/>
  <c r="D20611" i="1"/>
  <c r="D20610" i="1"/>
  <c r="E20610" i="1" s="1"/>
  <c r="E20609" i="1"/>
  <c r="D20609" i="1"/>
  <c r="E20608" i="1"/>
  <c r="D20608" i="1"/>
  <c r="D20607" i="1"/>
  <c r="E20607" i="1" s="1"/>
  <c r="E20606" i="1"/>
  <c r="D20606" i="1"/>
  <c r="D20605" i="1"/>
  <c r="E20605" i="1" s="1"/>
  <c r="D20604" i="1"/>
  <c r="E20604" i="1" s="1"/>
  <c r="E20603" i="1"/>
  <c r="D20603" i="1"/>
  <c r="D20602" i="1"/>
  <c r="E20602" i="1" s="1"/>
  <c r="D20601" i="1"/>
  <c r="E20601" i="1" s="1"/>
  <c r="E20600" i="1"/>
  <c r="D20600" i="1"/>
  <c r="E20599" i="1"/>
  <c r="D20599" i="1"/>
  <c r="D20598" i="1"/>
  <c r="E20598" i="1" s="1"/>
  <c r="E20597" i="1"/>
  <c r="D20597" i="1"/>
  <c r="E20596" i="1"/>
  <c r="D20596" i="1"/>
  <c r="D20595" i="1"/>
  <c r="E20595" i="1" s="1"/>
  <c r="E20594" i="1"/>
  <c r="D20594" i="1"/>
  <c r="D20593" i="1"/>
  <c r="E20593" i="1" s="1"/>
  <c r="D20592" i="1"/>
  <c r="E20592" i="1" s="1"/>
  <c r="E20591" i="1"/>
  <c r="D20591" i="1"/>
  <c r="D20590" i="1"/>
  <c r="E20590" i="1" s="1"/>
  <c r="D20589" i="1"/>
  <c r="E20589" i="1" s="1"/>
  <c r="E20588" i="1"/>
  <c r="D20588" i="1"/>
  <c r="D20587" i="1"/>
  <c r="E20587" i="1" s="1"/>
  <c r="D20586" i="1"/>
  <c r="E20586" i="1" s="1"/>
  <c r="E20585" i="1"/>
  <c r="D20585" i="1"/>
  <c r="E20584" i="1"/>
  <c r="D20584" i="1"/>
  <c r="D20583" i="1"/>
  <c r="E20583" i="1" s="1"/>
  <c r="E20582" i="1"/>
  <c r="D20582" i="1"/>
  <c r="D20581" i="1"/>
  <c r="E20581" i="1" s="1"/>
  <c r="D20580" i="1"/>
  <c r="E20580" i="1" s="1"/>
  <c r="E20579" i="1"/>
  <c r="D20579" i="1"/>
  <c r="D20578" i="1"/>
  <c r="E20578" i="1" s="1"/>
  <c r="D20577" i="1"/>
  <c r="E20577" i="1" s="1"/>
  <c r="E20576" i="1"/>
  <c r="D20576" i="1"/>
  <c r="D20575" i="1"/>
  <c r="E20575" i="1" s="1"/>
  <c r="D20574" i="1"/>
  <c r="E20574" i="1" s="1"/>
  <c r="E20573" i="1"/>
  <c r="D20573" i="1"/>
  <c r="E20572" i="1"/>
  <c r="D20572" i="1"/>
  <c r="D20571" i="1"/>
  <c r="E20571" i="1" s="1"/>
  <c r="E20570" i="1"/>
  <c r="D20570" i="1"/>
  <c r="D20569" i="1"/>
  <c r="E20569" i="1" s="1"/>
  <c r="D20568" i="1"/>
  <c r="E20568" i="1" s="1"/>
  <c r="E20567" i="1"/>
  <c r="D20567" i="1"/>
  <c r="E20566" i="1"/>
  <c r="D20566" i="1"/>
  <c r="D20565" i="1"/>
  <c r="E20565" i="1" s="1"/>
  <c r="E20564" i="1"/>
  <c r="D20564" i="1"/>
  <c r="D20563" i="1"/>
  <c r="E20563" i="1" s="1"/>
  <c r="D20562" i="1"/>
  <c r="E20562" i="1" s="1"/>
  <c r="E20561" i="1"/>
  <c r="D20561" i="1"/>
  <c r="E20560" i="1"/>
  <c r="D20560" i="1"/>
  <c r="D20559" i="1"/>
  <c r="E20559" i="1" s="1"/>
  <c r="E20558" i="1"/>
  <c r="D20558" i="1"/>
  <c r="D20557" i="1"/>
  <c r="E20557" i="1" s="1"/>
  <c r="D20556" i="1"/>
  <c r="E20556" i="1" s="1"/>
  <c r="E20555" i="1"/>
  <c r="D20555" i="1"/>
  <c r="E20554" i="1"/>
  <c r="D20554" i="1"/>
  <c r="D20553" i="1"/>
  <c r="E20553" i="1" s="1"/>
  <c r="E20552" i="1"/>
  <c r="D20552" i="1"/>
  <c r="E20551" i="1"/>
  <c r="D20551" i="1"/>
  <c r="D20550" i="1"/>
  <c r="E20550" i="1" s="1"/>
  <c r="E20549" i="1"/>
  <c r="D20549" i="1"/>
  <c r="E20548" i="1"/>
  <c r="D20548" i="1"/>
  <c r="D20547" i="1"/>
  <c r="E20547" i="1" s="1"/>
  <c r="E20546" i="1"/>
  <c r="D20546" i="1"/>
  <c r="D20545" i="1"/>
  <c r="E20545" i="1" s="1"/>
  <c r="D20544" i="1"/>
  <c r="E20544" i="1" s="1"/>
  <c r="E20543" i="1"/>
  <c r="D20543" i="1"/>
  <c r="E20542" i="1"/>
  <c r="D20542" i="1"/>
  <c r="D20541" i="1"/>
  <c r="E20541" i="1" s="1"/>
  <c r="E20540" i="1"/>
  <c r="D20540" i="1"/>
  <c r="E20539" i="1"/>
  <c r="D20539" i="1"/>
  <c r="D20538" i="1"/>
  <c r="E20538" i="1" s="1"/>
  <c r="E20537" i="1"/>
  <c r="D20537" i="1"/>
  <c r="E20536" i="1"/>
  <c r="D20536" i="1"/>
  <c r="D20535" i="1"/>
  <c r="E20535" i="1" s="1"/>
  <c r="E20534" i="1"/>
  <c r="D20534" i="1"/>
  <c r="D20533" i="1"/>
  <c r="E20533" i="1" s="1"/>
  <c r="D20532" i="1"/>
  <c r="E20532" i="1" s="1"/>
  <c r="E20531" i="1"/>
  <c r="D20531" i="1"/>
  <c r="E20530" i="1"/>
  <c r="D20530" i="1"/>
  <c r="D20529" i="1"/>
  <c r="E20529" i="1" s="1"/>
  <c r="E20528" i="1"/>
  <c r="D20528" i="1"/>
  <c r="E20527" i="1"/>
  <c r="D20527" i="1"/>
  <c r="D20526" i="1"/>
  <c r="E20526" i="1" s="1"/>
  <c r="E20525" i="1"/>
  <c r="D20525" i="1"/>
  <c r="E20524" i="1"/>
  <c r="D20524" i="1"/>
  <c r="D20523" i="1"/>
  <c r="E20523" i="1" s="1"/>
  <c r="E20522" i="1"/>
  <c r="D20522" i="1"/>
  <c r="D20521" i="1"/>
  <c r="E20521" i="1" s="1"/>
  <c r="D20520" i="1"/>
  <c r="E20520" i="1" s="1"/>
  <c r="E20519" i="1"/>
  <c r="D20519" i="1"/>
  <c r="D20518" i="1"/>
  <c r="E20518" i="1" s="1"/>
  <c r="D20517" i="1"/>
  <c r="E20517" i="1" s="1"/>
  <c r="E20516" i="1"/>
  <c r="D20516" i="1"/>
  <c r="E20515" i="1"/>
  <c r="D20515" i="1"/>
  <c r="D20514" i="1"/>
  <c r="E20514" i="1" s="1"/>
  <c r="E20513" i="1"/>
  <c r="D20513" i="1"/>
  <c r="E20512" i="1"/>
  <c r="D20512" i="1"/>
  <c r="D20511" i="1"/>
  <c r="E20511" i="1" s="1"/>
  <c r="E20510" i="1"/>
  <c r="D20510" i="1"/>
  <c r="D20509" i="1"/>
  <c r="E20509" i="1" s="1"/>
  <c r="D20508" i="1"/>
  <c r="E20508" i="1" s="1"/>
  <c r="D20507" i="1"/>
  <c r="E20507" i="1" s="1"/>
  <c r="D20506" i="1"/>
  <c r="E20506" i="1" s="1"/>
  <c r="D20505" i="1"/>
  <c r="E20505" i="1" s="1"/>
  <c r="E20504" i="1"/>
  <c r="D20504" i="1"/>
  <c r="D20503" i="1"/>
  <c r="E20503" i="1" s="1"/>
  <c r="D20502" i="1"/>
  <c r="E20502" i="1" s="1"/>
  <c r="E20501" i="1"/>
  <c r="D20501" i="1"/>
  <c r="E20500" i="1"/>
  <c r="D20500" i="1"/>
  <c r="D20499" i="1"/>
  <c r="E20499" i="1" s="1"/>
  <c r="E20498" i="1"/>
  <c r="D20498" i="1"/>
  <c r="D20497" i="1"/>
  <c r="E20497" i="1" s="1"/>
  <c r="D20496" i="1"/>
  <c r="E20496" i="1" s="1"/>
  <c r="D20495" i="1"/>
  <c r="E20495" i="1" s="1"/>
  <c r="D20494" i="1"/>
  <c r="E20494" i="1" s="1"/>
  <c r="D20493" i="1"/>
  <c r="E20493" i="1" s="1"/>
  <c r="E20492" i="1"/>
  <c r="D20492" i="1"/>
  <c r="D20491" i="1"/>
  <c r="E20491" i="1" s="1"/>
  <c r="D20490" i="1"/>
  <c r="E20490" i="1" s="1"/>
  <c r="E20489" i="1"/>
  <c r="D20489" i="1"/>
  <c r="E20488" i="1"/>
  <c r="D20488" i="1"/>
  <c r="D20487" i="1"/>
  <c r="E20487" i="1" s="1"/>
  <c r="E20486" i="1"/>
  <c r="D20486" i="1"/>
  <c r="D20485" i="1"/>
  <c r="E20485" i="1" s="1"/>
  <c r="D20484" i="1"/>
  <c r="E20484" i="1" s="1"/>
  <c r="E20483" i="1"/>
  <c r="D20483" i="1"/>
  <c r="D20482" i="1"/>
  <c r="E20482" i="1" s="1"/>
  <c r="D20481" i="1"/>
  <c r="E20481" i="1" s="1"/>
  <c r="E20480" i="1"/>
  <c r="D20480" i="1"/>
  <c r="D20479" i="1"/>
  <c r="E20479" i="1" s="1"/>
  <c r="D20478" i="1"/>
  <c r="E20478" i="1" s="1"/>
  <c r="E20477" i="1"/>
  <c r="D20477" i="1"/>
  <c r="E20476" i="1"/>
  <c r="D20476" i="1"/>
  <c r="D20475" i="1"/>
  <c r="E20475" i="1" s="1"/>
  <c r="E20474" i="1"/>
  <c r="D20474" i="1"/>
  <c r="D20473" i="1"/>
  <c r="E20473" i="1" s="1"/>
  <c r="D20472" i="1"/>
  <c r="E20472" i="1" s="1"/>
  <c r="E20471" i="1"/>
  <c r="D20471" i="1"/>
  <c r="D20470" i="1"/>
  <c r="E20470" i="1" s="1"/>
  <c r="D20469" i="1"/>
  <c r="E20469" i="1" s="1"/>
  <c r="E20468" i="1"/>
  <c r="D20468" i="1"/>
  <c r="D20467" i="1"/>
  <c r="E20467" i="1" s="1"/>
  <c r="D20466" i="1"/>
  <c r="E20466" i="1" s="1"/>
  <c r="E20465" i="1"/>
  <c r="D20465" i="1"/>
  <c r="E20464" i="1"/>
  <c r="D20464" i="1"/>
  <c r="D20463" i="1"/>
  <c r="E20463" i="1" s="1"/>
  <c r="E20462" i="1"/>
  <c r="D20462" i="1"/>
  <c r="D20461" i="1"/>
  <c r="E20461" i="1" s="1"/>
  <c r="D20460" i="1"/>
  <c r="E20460" i="1" s="1"/>
  <c r="E20459" i="1"/>
  <c r="D20459" i="1"/>
  <c r="D20458" i="1"/>
  <c r="E20458" i="1" s="1"/>
  <c r="D20457" i="1"/>
  <c r="E20457" i="1" s="1"/>
  <c r="E20456" i="1"/>
  <c r="D20456" i="1"/>
  <c r="D20455" i="1"/>
  <c r="E20455" i="1" s="1"/>
  <c r="D20454" i="1"/>
  <c r="E20454" i="1" s="1"/>
  <c r="E20453" i="1"/>
  <c r="D20453" i="1"/>
  <c r="E20452" i="1"/>
  <c r="D20452" i="1"/>
  <c r="D20451" i="1"/>
  <c r="E20451" i="1" s="1"/>
  <c r="E20450" i="1"/>
  <c r="D20450" i="1"/>
  <c r="D20449" i="1"/>
  <c r="E20449" i="1" s="1"/>
  <c r="D20448" i="1"/>
  <c r="E20448" i="1" s="1"/>
  <c r="E20447" i="1"/>
  <c r="D20447" i="1"/>
  <c r="D20446" i="1"/>
  <c r="E20446" i="1" s="1"/>
  <c r="D20445" i="1"/>
  <c r="E20445" i="1" s="1"/>
  <c r="E20444" i="1"/>
  <c r="D20444" i="1"/>
  <c r="D20443" i="1"/>
  <c r="E20443" i="1" s="1"/>
  <c r="D20442" i="1"/>
  <c r="E20442" i="1" s="1"/>
  <c r="E20441" i="1"/>
  <c r="D20441" i="1"/>
  <c r="E20440" i="1"/>
  <c r="D20440" i="1"/>
  <c r="D20439" i="1"/>
  <c r="E20439" i="1" s="1"/>
  <c r="E20438" i="1"/>
  <c r="D20438" i="1"/>
  <c r="D20437" i="1"/>
  <c r="E20437" i="1" s="1"/>
  <c r="D20436" i="1"/>
  <c r="E20436" i="1" s="1"/>
  <c r="D20435" i="1"/>
  <c r="E20435" i="1" s="1"/>
  <c r="E20434" i="1"/>
  <c r="D20434" i="1"/>
  <c r="D20433" i="1"/>
  <c r="E20433" i="1" s="1"/>
  <c r="E20432" i="1"/>
  <c r="D20432" i="1"/>
  <c r="D20431" i="1"/>
  <c r="E20431" i="1" s="1"/>
  <c r="D20430" i="1"/>
  <c r="E20430" i="1" s="1"/>
  <c r="E20429" i="1"/>
  <c r="D20429" i="1"/>
  <c r="E20428" i="1"/>
  <c r="D20428" i="1"/>
  <c r="D20427" i="1"/>
  <c r="E20427" i="1" s="1"/>
  <c r="E20426" i="1"/>
  <c r="D20426" i="1"/>
  <c r="D20425" i="1"/>
  <c r="E20425" i="1" s="1"/>
  <c r="D20424" i="1"/>
  <c r="E20424" i="1" s="1"/>
  <c r="D20423" i="1"/>
  <c r="E20423" i="1" s="1"/>
  <c r="E20422" i="1"/>
  <c r="D20422" i="1"/>
  <c r="D20421" i="1"/>
  <c r="E20421" i="1" s="1"/>
  <c r="E20420" i="1"/>
  <c r="D20420" i="1"/>
  <c r="E20419" i="1"/>
  <c r="D20419" i="1"/>
  <c r="D20418" i="1"/>
  <c r="E20418" i="1" s="1"/>
  <c r="E20417" i="1"/>
  <c r="D20417" i="1"/>
  <c r="E20416" i="1"/>
  <c r="D20416" i="1"/>
  <c r="D20415" i="1"/>
  <c r="E20415" i="1" s="1"/>
  <c r="E20414" i="1"/>
  <c r="D20414" i="1"/>
  <c r="D20413" i="1"/>
  <c r="E20413" i="1" s="1"/>
  <c r="D20412" i="1"/>
  <c r="E20412" i="1" s="1"/>
  <c r="D20411" i="1"/>
  <c r="E20411" i="1" s="1"/>
  <c r="D20410" i="1"/>
  <c r="E20410" i="1" s="1"/>
  <c r="D20409" i="1"/>
  <c r="E20409" i="1" s="1"/>
  <c r="E20408" i="1"/>
  <c r="D20408" i="1"/>
  <c r="E20407" i="1"/>
  <c r="D20407" i="1"/>
  <c r="D20406" i="1"/>
  <c r="E20406" i="1" s="1"/>
  <c r="E20405" i="1"/>
  <c r="D20405" i="1"/>
  <c r="E20404" i="1"/>
  <c r="D20404" i="1"/>
  <c r="D20403" i="1"/>
  <c r="E20403" i="1" s="1"/>
  <c r="E20402" i="1"/>
  <c r="D20402" i="1"/>
  <c r="D20401" i="1"/>
  <c r="E20401" i="1" s="1"/>
  <c r="D20400" i="1"/>
  <c r="E20400" i="1" s="1"/>
  <c r="E20399" i="1"/>
  <c r="D20399" i="1"/>
  <c r="D20398" i="1"/>
  <c r="E20398" i="1" s="1"/>
  <c r="D20397" i="1"/>
  <c r="E20397" i="1" s="1"/>
  <c r="E20396" i="1"/>
  <c r="D20396" i="1"/>
  <c r="D20395" i="1"/>
  <c r="E20395" i="1" s="1"/>
  <c r="D20394" i="1"/>
  <c r="E20394" i="1" s="1"/>
  <c r="E20393" i="1"/>
  <c r="D20393" i="1"/>
  <c r="E20392" i="1"/>
  <c r="D20392" i="1"/>
  <c r="D20391" i="1"/>
  <c r="E20391" i="1" s="1"/>
  <c r="E20390" i="1"/>
  <c r="D20390" i="1"/>
  <c r="D20389" i="1"/>
  <c r="E20389" i="1" s="1"/>
  <c r="D20388" i="1"/>
  <c r="E20388" i="1" s="1"/>
  <c r="E20387" i="1"/>
  <c r="D20387" i="1"/>
  <c r="D20386" i="1"/>
  <c r="E20386" i="1" s="1"/>
  <c r="D20385" i="1"/>
  <c r="E20385" i="1" s="1"/>
  <c r="E20384" i="1"/>
  <c r="D20384" i="1"/>
  <c r="D20383" i="1"/>
  <c r="E20383" i="1" s="1"/>
  <c r="D20382" i="1"/>
  <c r="E20382" i="1" s="1"/>
  <c r="E20381" i="1"/>
  <c r="D20381" i="1"/>
  <c r="E20380" i="1"/>
  <c r="D20380" i="1"/>
  <c r="D20379" i="1"/>
  <c r="E20379" i="1" s="1"/>
  <c r="E20378" i="1"/>
  <c r="D20378" i="1"/>
  <c r="D20377" i="1"/>
  <c r="E20377" i="1" s="1"/>
  <c r="D20376" i="1"/>
  <c r="E20376" i="1" s="1"/>
  <c r="E20375" i="1"/>
  <c r="D20375" i="1"/>
  <c r="D20374" i="1"/>
  <c r="E20374" i="1" s="1"/>
  <c r="D20373" i="1"/>
  <c r="E20373" i="1" s="1"/>
  <c r="E20372" i="1"/>
  <c r="D20372" i="1"/>
  <c r="D20371" i="1"/>
  <c r="E20371" i="1" s="1"/>
  <c r="D20370" i="1"/>
  <c r="E20370" i="1" s="1"/>
  <c r="E20369" i="1"/>
  <c r="D20369" i="1"/>
  <c r="E20368" i="1"/>
  <c r="D20368" i="1"/>
  <c r="D20367" i="1"/>
  <c r="E20367" i="1" s="1"/>
  <c r="E20366" i="1"/>
  <c r="D20366" i="1"/>
  <c r="D20365" i="1"/>
  <c r="E20365" i="1" s="1"/>
  <c r="D20364" i="1"/>
  <c r="E20364" i="1" s="1"/>
  <c r="E20363" i="1"/>
  <c r="D20363" i="1"/>
  <c r="E20362" i="1"/>
  <c r="D20362" i="1"/>
  <c r="D20361" i="1"/>
  <c r="E20361" i="1" s="1"/>
  <c r="E20360" i="1"/>
  <c r="D20360" i="1"/>
  <c r="D20359" i="1"/>
  <c r="E20359" i="1" s="1"/>
  <c r="D20358" i="1"/>
  <c r="E20358" i="1" s="1"/>
  <c r="E20357" i="1"/>
  <c r="D20357" i="1"/>
  <c r="E20356" i="1"/>
  <c r="D20356" i="1"/>
  <c r="D20355" i="1"/>
  <c r="E20355" i="1" s="1"/>
  <c r="E20354" i="1"/>
  <c r="D20354" i="1"/>
  <c r="D20353" i="1"/>
  <c r="E20353" i="1" s="1"/>
  <c r="D20352" i="1"/>
  <c r="E20352" i="1" s="1"/>
  <c r="D20351" i="1"/>
  <c r="E20351" i="1" s="1"/>
  <c r="E20350" i="1"/>
  <c r="D20350" i="1"/>
  <c r="D20349" i="1"/>
  <c r="E20349" i="1" s="1"/>
  <c r="E20348" i="1"/>
  <c r="D20348" i="1"/>
  <c r="E20347" i="1"/>
  <c r="D20347" i="1"/>
  <c r="D20346" i="1"/>
  <c r="E20346" i="1" s="1"/>
  <c r="E20345" i="1"/>
  <c r="D20345" i="1"/>
  <c r="E20344" i="1"/>
  <c r="D20344" i="1"/>
  <c r="D20343" i="1"/>
  <c r="E20343" i="1" s="1"/>
  <c r="E20342" i="1"/>
  <c r="D20342" i="1"/>
  <c r="D20341" i="1"/>
  <c r="E20341" i="1" s="1"/>
  <c r="D20340" i="1"/>
  <c r="E20340" i="1" s="1"/>
  <c r="D20339" i="1"/>
  <c r="E20339" i="1" s="1"/>
  <c r="E20338" i="1"/>
  <c r="D20338" i="1"/>
  <c r="D20337" i="1"/>
  <c r="E20337" i="1" s="1"/>
  <c r="E20336" i="1"/>
  <c r="D20336" i="1"/>
  <c r="E20335" i="1"/>
  <c r="D20335" i="1"/>
  <c r="D20334" i="1"/>
  <c r="E20334" i="1" s="1"/>
  <c r="E20333" i="1"/>
  <c r="D20333" i="1"/>
  <c r="E20332" i="1"/>
  <c r="D20332" i="1"/>
  <c r="D20331" i="1"/>
  <c r="E20331" i="1" s="1"/>
  <c r="E20330" i="1"/>
  <c r="D20330" i="1"/>
  <c r="E20329" i="1"/>
  <c r="D20329" i="1"/>
  <c r="D20328" i="1"/>
  <c r="E20328" i="1" s="1"/>
  <c r="E20327" i="1"/>
  <c r="D20327" i="1"/>
  <c r="D20326" i="1"/>
  <c r="E20326" i="1" s="1"/>
  <c r="D20325" i="1"/>
  <c r="E20325" i="1" s="1"/>
  <c r="E20324" i="1"/>
  <c r="D20324" i="1"/>
  <c r="D20323" i="1"/>
  <c r="E20323" i="1" s="1"/>
  <c r="D20322" i="1"/>
  <c r="E20322" i="1" s="1"/>
  <c r="E20321" i="1"/>
  <c r="D20321" i="1"/>
  <c r="E20320" i="1"/>
  <c r="D20320" i="1"/>
  <c r="D20319" i="1"/>
  <c r="E20319" i="1" s="1"/>
  <c r="E20318" i="1"/>
  <c r="D20318" i="1"/>
  <c r="D20317" i="1"/>
  <c r="E20317" i="1" s="1"/>
  <c r="D20316" i="1"/>
  <c r="E20316" i="1" s="1"/>
  <c r="D20315" i="1"/>
  <c r="E20315" i="1" s="1"/>
  <c r="E20314" i="1"/>
  <c r="D20314" i="1"/>
  <c r="D20313" i="1"/>
  <c r="E20313" i="1" s="1"/>
  <c r="E20312" i="1"/>
  <c r="D20312" i="1"/>
  <c r="D20311" i="1"/>
  <c r="E20311" i="1" s="1"/>
  <c r="D20310" i="1"/>
  <c r="E20310" i="1" s="1"/>
  <c r="E20309" i="1"/>
  <c r="D20309" i="1"/>
  <c r="E20308" i="1"/>
  <c r="D20308" i="1"/>
  <c r="D20307" i="1"/>
  <c r="E20307" i="1" s="1"/>
  <c r="E20306" i="1"/>
  <c r="D20306" i="1"/>
  <c r="D20305" i="1"/>
  <c r="E20305" i="1" s="1"/>
  <c r="D20304" i="1"/>
  <c r="E20304" i="1" s="1"/>
  <c r="E20303" i="1"/>
  <c r="D20303" i="1"/>
  <c r="D20302" i="1"/>
  <c r="E20302" i="1" s="1"/>
  <c r="D20301" i="1"/>
  <c r="E20301" i="1" s="1"/>
  <c r="E20300" i="1"/>
  <c r="D20300" i="1"/>
  <c r="D20299" i="1"/>
  <c r="E20299" i="1" s="1"/>
  <c r="D20298" i="1"/>
  <c r="E20298" i="1" s="1"/>
  <c r="E20297" i="1"/>
  <c r="D20297" i="1"/>
  <c r="E20296" i="1"/>
  <c r="D20296" i="1"/>
  <c r="D20295" i="1"/>
  <c r="E20295" i="1" s="1"/>
  <c r="E20294" i="1"/>
  <c r="D20294" i="1"/>
  <c r="D20293" i="1"/>
  <c r="E20293" i="1" s="1"/>
  <c r="D20292" i="1"/>
  <c r="E20292" i="1" s="1"/>
  <c r="D20291" i="1"/>
  <c r="E20291" i="1" s="1"/>
  <c r="E20290" i="1"/>
  <c r="D20290" i="1"/>
  <c r="D20289" i="1"/>
  <c r="E20289" i="1" s="1"/>
  <c r="D20288" i="1"/>
  <c r="E20288" i="1" s="1"/>
  <c r="E20287" i="1"/>
  <c r="D20287" i="1"/>
  <c r="D20286" i="1"/>
  <c r="E20286" i="1" s="1"/>
  <c r="E20285" i="1"/>
  <c r="D20285" i="1"/>
  <c r="E20284" i="1"/>
  <c r="D20284" i="1"/>
  <c r="D20283" i="1"/>
  <c r="E20283" i="1" s="1"/>
  <c r="E20282" i="1"/>
  <c r="D20282" i="1"/>
  <c r="E20281" i="1"/>
  <c r="D20281" i="1"/>
  <c r="D20280" i="1"/>
  <c r="E20280" i="1" s="1"/>
  <c r="D20279" i="1"/>
  <c r="E20279" i="1" s="1"/>
  <c r="D20278" i="1"/>
  <c r="E20278" i="1" s="1"/>
  <c r="D20277" i="1"/>
  <c r="E20277" i="1" s="1"/>
  <c r="D20276" i="1"/>
  <c r="E20276" i="1" s="1"/>
  <c r="D20275" i="1"/>
  <c r="E20275" i="1" s="1"/>
  <c r="E20274" i="1"/>
  <c r="D20274" i="1"/>
  <c r="E20273" i="1"/>
  <c r="D20273" i="1"/>
  <c r="D20272" i="1"/>
  <c r="E20272" i="1" s="1"/>
  <c r="D20271" i="1"/>
  <c r="E20271" i="1" s="1"/>
  <c r="E20270" i="1"/>
  <c r="D20270" i="1"/>
  <c r="D20269" i="1"/>
  <c r="E20269" i="1" s="1"/>
  <c r="E20268" i="1"/>
  <c r="D20268" i="1"/>
  <c r="D20267" i="1"/>
  <c r="E20267" i="1" s="1"/>
  <c r="D20266" i="1"/>
  <c r="E20266" i="1" s="1"/>
  <c r="D20265" i="1"/>
  <c r="E20265" i="1" s="1"/>
  <c r="D20264" i="1"/>
  <c r="E20264" i="1" s="1"/>
  <c r="D20263" i="1"/>
  <c r="E20263" i="1" s="1"/>
  <c r="D20262" i="1"/>
  <c r="E20262" i="1" s="1"/>
  <c r="E20261" i="1"/>
  <c r="D20261" i="1"/>
  <c r="D20260" i="1"/>
  <c r="E20260" i="1" s="1"/>
  <c r="D20259" i="1"/>
  <c r="E20259" i="1" s="1"/>
  <c r="E20258" i="1"/>
  <c r="D20258" i="1"/>
  <c r="D20257" i="1"/>
  <c r="E20257" i="1" s="1"/>
  <c r="D20256" i="1"/>
  <c r="E20256" i="1" s="1"/>
  <c r="E20255" i="1"/>
  <c r="D20255" i="1"/>
  <c r="D20254" i="1"/>
  <c r="E20254" i="1" s="1"/>
  <c r="D20253" i="1"/>
  <c r="E20253" i="1" s="1"/>
  <c r="D20252" i="1"/>
  <c r="E20252" i="1" s="1"/>
  <c r="E20251" i="1"/>
  <c r="D20251" i="1"/>
  <c r="E20250" i="1"/>
  <c r="D20250" i="1"/>
  <c r="E20249" i="1"/>
  <c r="D20249" i="1"/>
  <c r="D20248" i="1"/>
  <c r="E20248" i="1" s="1"/>
  <c r="D20247" i="1"/>
  <c r="E20247" i="1" s="1"/>
  <c r="E20246" i="1"/>
  <c r="D20246" i="1"/>
  <c r="E20245" i="1"/>
  <c r="D20245" i="1"/>
  <c r="D20244" i="1"/>
  <c r="E20244" i="1" s="1"/>
  <c r="E20243" i="1"/>
  <c r="D20243" i="1"/>
  <c r="D20242" i="1"/>
  <c r="E20242" i="1" s="1"/>
  <c r="D20241" i="1"/>
  <c r="E20241" i="1" s="1"/>
  <c r="E20240" i="1"/>
  <c r="D20240" i="1"/>
  <c r="D20239" i="1"/>
  <c r="E20239" i="1" s="1"/>
  <c r="D20238" i="1"/>
  <c r="E20238" i="1" s="1"/>
  <c r="D20237" i="1"/>
  <c r="E20237" i="1" s="1"/>
  <c r="E20236" i="1"/>
  <c r="D20236" i="1"/>
  <c r="D20235" i="1"/>
  <c r="E20235" i="1" s="1"/>
  <c r="E20234" i="1"/>
  <c r="D20234" i="1"/>
  <c r="E20233" i="1"/>
  <c r="D20233" i="1"/>
  <c r="D20232" i="1"/>
  <c r="E20232" i="1" s="1"/>
  <c r="D20231" i="1"/>
  <c r="E20231" i="1" s="1"/>
  <c r="E20230" i="1"/>
  <c r="D20230" i="1"/>
  <c r="D20229" i="1"/>
  <c r="E20229" i="1" s="1"/>
  <c r="D20228" i="1"/>
  <c r="E20228" i="1" s="1"/>
  <c r="D20227" i="1"/>
  <c r="E20227" i="1" s="1"/>
  <c r="E20226" i="1"/>
  <c r="D20226" i="1"/>
  <c r="E20225" i="1"/>
  <c r="D20225" i="1"/>
  <c r="D20224" i="1"/>
  <c r="E20224" i="1" s="1"/>
  <c r="D20223" i="1"/>
  <c r="E20223" i="1" s="1"/>
  <c r="D20222" i="1"/>
  <c r="E20222" i="1" s="1"/>
  <c r="D20221" i="1"/>
  <c r="E20221" i="1" s="1"/>
  <c r="E20220" i="1"/>
  <c r="D20220" i="1"/>
  <c r="D20219" i="1"/>
  <c r="E20219" i="1" s="1"/>
  <c r="E20218" i="1"/>
  <c r="D20218" i="1"/>
  <c r="D20217" i="1"/>
  <c r="E20217" i="1" s="1"/>
  <c r="D20216" i="1"/>
  <c r="E20216" i="1" s="1"/>
  <c r="E20215" i="1"/>
  <c r="D20215" i="1"/>
  <c r="D20214" i="1"/>
  <c r="E20214" i="1" s="1"/>
  <c r="D20213" i="1"/>
  <c r="E20213" i="1" s="1"/>
  <c r="D20212" i="1"/>
  <c r="E20212" i="1" s="1"/>
  <c r="D20211" i="1"/>
  <c r="E20211" i="1" s="1"/>
  <c r="D20210" i="1"/>
  <c r="E20210" i="1" s="1"/>
  <c r="E20209" i="1"/>
  <c r="D20209" i="1"/>
  <c r="E20208" i="1"/>
  <c r="D20208" i="1"/>
  <c r="D20207" i="1"/>
  <c r="E20207" i="1" s="1"/>
  <c r="D20206" i="1"/>
  <c r="E20206" i="1" s="1"/>
  <c r="E20205" i="1"/>
  <c r="D20205" i="1"/>
  <c r="D20204" i="1"/>
  <c r="E20204" i="1" s="1"/>
  <c r="D20203" i="1"/>
  <c r="E20203" i="1" s="1"/>
  <c r="D20202" i="1"/>
  <c r="E20202" i="1" s="1"/>
  <c r="E20201" i="1"/>
  <c r="D20201" i="1"/>
  <c r="E20200" i="1"/>
  <c r="D20200" i="1"/>
  <c r="D20199" i="1"/>
  <c r="E20199" i="1" s="1"/>
  <c r="E20198" i="1"/>
  <c r="D20198" i="1"/>
  <c r="D20197" i="1"/>
  <c r="E20197" i="1" s="1"/>
  <c r="D20196" i="1"/>
  <c r="E20196" i="1" s="1"/>
  <c r="E20195" i="1"/>
  <c r="D20195" i="1"/>
  <c r="D20194" i="1"/>
  <c r="E20194" i="1" s="1"/>
  <c r="E20193" i="1"/>
  <c r="D20193" i="1"/>
  <c r="D20192" i="1"/>
  <c r="E20192" i="1" s="1"/>
  <c r="D20191" i="1"/>
  <c r="E20191" i="1" s="1"/>
  <c r="E20190" i="1"/>
  <c r="D20190" i="1"/>
  <c r="D20189" i="1"/>
  <c r="E20189" i="1" s="1"/>
  <c r="D20188" i="1"/>
  <c r="E20188" i="1" s="1"/>
  <c r="D20187" i="1"/>
  <c r="E20187" i="1" s="1"/>
  <c r="D20186" i="1"/>
  <c r="E20186" i="1" s="1"/>
  <c r="D20185" i="1"/>
  <c r="E20185" i="1" s="1"/>
  <c r="E20184" i="1"/>
  <c r="D20184" i="1"/>
  <c r="E20183" i="1"/>
  <c r="D20183" i="1"/>
  <c r="D20182" i="1"/>
  <c r="E20182" i="1" s="1"/>
  <c r="D20181" i="1"/>
  <c r="E20181" i="1" s="1"/>
  <c r="E20180" i="1"/>
  <c r="D20180" i="1"/>
  <c r="D20179" i="1"/>
  <c r="E20179" i="1" s="1"/>
  <c r="D20178" i="1"/>
  <c r="E20178" i="1" s="1"/>
  <c r="D20177" i="1"/>
  <c r="E20177" i="1" s="1"/>
  <c r="E20176" i="1"/>
  <c r="D20176" i="1"/>
  <c r="D20175" i="1"/>
  <c r="E20175" i="1" s="1"/>
  <c r="D20174" i="1"/>
  <c r="E20174" i="1" s="1"/>
  <c r="E20173" i="1"/>
  <c r="D20173" i="1"/>
  <c r="E20172" i="1"/>
  <c r="D20172" i="1"/>
  <c r="D20171" i="1"/>
  <c r="E20171" i="1" s="1"/>
  <c r="E20170" i="1"/>
  <c r="D20170" i="1"/>
  <c r="D20169" i="1"/>
  <c r="E20169" i="1" s="1"/>
  <c r="E20168" i="1"/>
  <c r="D20168" i="1"/>
  <c r="D20167" i="1"/>
  <c r="E20167" i="1" s="1"/>
  <c r="D20166" i="1"/>
  <c r="E20166" i="1" s="1"/>
  <c r="E20165" i="1"/>
  <c r="D20165" i="1"/>
  <c r="D20164" i="1"/>
  <c r="E20164" i="1" s="1"/>
  <c r="D20163" i="1"/>
  <c r="E20163" i="1" s="1"/>
  <c r="E20162" i="1"/>
  <c r="D20162" i="1"/>
  <c r="D20161" i="1"/>
  <c r="E20161" i="1" s="1"/>
  <c r="D20160" i="1"/>
  <c r="E20160" i="1" s="1"/>
  <c r="E20159" i="1"/>
  <c r="D20159" i="1"/>
  <c r="E20158" i="1"/>
  <c r="D20158" i="1"/>
  <c r="D20157" i="1"/>
  <c r="E20157" i="1" s="1"/>
  <c r="D20156" i="1"/>
  <c r="E20156" i="1" s="1"/>
  <c r="E20155" i="1"/>
  <c r="D20155" i="1"/>
  <c r="D20154" i="1"/>
  <c r="E20154" i="1" s="1"/>
  <c r="D20153" i="1"/>
  <c r="E20153" i="1" s="1"/>
  <c r="D20152" i="1"/>
  <c r="E20152" i="1" s="1"/>
  <c r="D20151" i="1"/>
  <c r="E20151" i="1" s="1"/>
  <c r="D20150" i="1"/>
  <c r="E20150" i="1" s="1"/>
  <c r="D20149" i="1"/>
  <c r="E20149" i="1" s="1"/>
  <c r="E20148" i="1"/>
  <c r="D20148" i="1"/>
  <c r="E20147" i="1"/>
  <c r="D20147" i="1"/>
  <c r="D20146" i="1"/>
  <c r="E20146" i="1" s="1"/>
  <c r="E20145" i="1"/>
  <c r="D20145" i="1"/>
  <c r="D20144" i="1"/>
  <c r="E20144" i="1" s="1"/>
  <c r="E20143" i="1"/>
  <c r="D20143" i="1"/>
  <c r="D20142" i="1"/>
  <c r="E20142" i="1" s="1"/>
  <c r="D20141" i="1"/>
  <c r="E20141" i="1" s="1"/>
  <c r="E20140" i="1"/>
  <c r="D20140" i="1"/>
  <c r="D20139" i="1"/>
  <c r="E20139" i="1" s="1"/>
  <c r="E20138" i="1"/>
  <c r="D20138" i="1"/>
  <c r="E20137" i="1"/>
  <c r="D20137" i="1"/>
  <c r="D20136" i="1"/>
  <c r="E20136" i="1" s="1"/>
  <c r="D20135" i="1"/>
  <c r="E20135" i="1" s="1"/>
  <c r="E20134" i="1"/>
  <c r="D20134" i="1"/>
  <c r="E20133" i="1"/>
  <c r="D20133" i="1"/>
  <c r="D20132" i="1"/>
  <c r="E20132" i="1" s="1"/>
  <c r="D20131" i="1"/>
  <c r="E20131" i="1" s="1"/>
  <c r="E20130" i="1"/>
  <c r="D20130" i="1"/>
  <c r="D20129" i="1"/>
  <c r="E20129" i="1" s="1"/>
  <c r="D20128" i="1"/>
  <c r="E20128" i="1" s="1"/>
  <c r="D20127" i="1"/>
  <c r="E20127" i="1" s="1"/>
  <c r="D20126" i="1"/>
  <c r="E20126" i="1" s="1"/>
  <c r="D20125" i="1"/>
  <c r="E20125" i="1" s="1"/>
  <c r="D20124" i="1"/>
  <c r="E20124" i="1" s="1"/>
  <c r="E20123" i="1"/>
  <c r="D20123" i="1"/>
  <c r="D20122" i="1"/>
  <c r="E20122" i="1" s="1"/>
  <c r="D20121" i="1"/>
  <c r="E20121" i="1" s="1"/>
  <c r="E20120" i="1"/>
  <c r="D20120" i="1"/>
  <c r="D20119" i="1"/>
  <c r="E20119" i="1" s="1"/>
  <c r="E20118" i="1"/>
  <c r="D20118" i="1"/>
  <c r="D20117" i="1"/>
  <c r="E20117" i="1" s="1"/>
  <c r="D20116" i="1"/>
  <c r="E20116" i="1" s="1"/>
  <c r="D20115" i="1"/>
  <c r="E20115" i="1" s="1"/>
  <c r="D20114" i="1"/>
  <c r="E20114" i="1" s="1"/>
  <c r="E20113" i="1"/>
  <c r="D20113" i="1"/>
  <c r="E20112" i="1"/>
  <c r="D20112" i="1"/>
  <c r="D20111" i="1"/>
  <c r="E20111" i="1" s="1"/>
  <c r="D20110" i="1"/>
  <c r="E20110" i="1" s="1"/>
  <c r="E20109" i="1"/>
  <c r="D20109" i="1"/>
  <c r="E20108" i="1"/>
  <c r="D20108" i="1"/>
  <c r="D20107" i="1"/>
  <c r="E20107" i="1" s="1"/>
  <c r="D20106" i="1"/>
  <c r="E20106" i="1" s="1"/>
  <c r="E20105" i="1"/>
  <c r="D20105" i="1"/>
  <c r="D20104" i="1"/>
  <c r="E20104" i="1" s="1"/>
  <c r="D20103" i="1"/>
  <c r="E20103" i="1" s="1"/>
  <c r="E20102" i="1"/>
  <c r="D20102" i="1"/>
  <c r="D20101" i="1"/>
  <c r="E20101" i="1" s="1"/>
  <c r="D20100" i="1"/>
  <c r="E20100" i="1" s="1"/>
  <c r="D20099" i="1"/>
  <c r="E20099" i="1" s="1"/>
  <c r="E20098" i="1"/>
  <c r="D20098" i="1"/>
  <c r="D20097" i="1"/>
  <c r="E20097" i="1" s="1"/>
  <c r="D20096" i="1"/>
  <c r="E20096" i="1" s="1"/>
  <c r="E20095" i="1"/>
  <c r="D20095" i="1"/>
  <c r="D20094" i="1"/>
  <c r="E20094" i="1" s="1"/>
  <c r="E20093" i="1"/>
  <c r="D20093" i="1"/>
  <c r="D20092" i="1"/>
  <c r="E20092" i="1" s="1"/>
  <c r="D20091" i="1"/>
  <c r="E20091" i="1" s="1"/>
  <c r="D20090" i="1"/>
  <c r="E20090" i="1" s="1"/>
  <c r="D20089" i="1"/>
  <c r="E20089" i="1" s="1"/>
  <c r="E20088" i="1"/>
  <c r="D20088" i="1"/>
  <c r="E20087" i="1"/>
  <c r="D20087" i="1"/>
  <c r="D20086" i="1"/>
  <c r="E20086" i="1" s="1"/>
  <c r="D20085" i="1"/>
  <c r="E20085" i="1" s="1"/>
  <c r="E20084" i="1"/>
  <c r="D20084" i="1"/>
  <c r="E20083" i="1"/>
  <c r="D20083" i="1"/>
  <c r="D20082" i="1"/>
  <c r="E20082" i="1" s="1"/>
  <c r="D20081" i="1"/>
  <c r="E20081" i="1" s="1"/>
  <c r="E20080" i="1"/>
  <c r="D20080" i="1"/>
  <c r="D20079" i="1"/>
  <c r="E20079" i="1" s="1"/>
  <c r="D20078" i="1"/>
  <c r="E20078" i="1" s="1"/>
  <c r="E20077" i="1"/>
  <c r="D20077" i="1"/>
  <c r="D20076" i="1"/>
  <c r="E20076" i="1" s="1"/>
  <c r="D20075" i="1"/>
  <c r="E20075" i="1" s="1"/>
  <c r="D20074" i="1"/>
  <c r="E20074" i="1" s="1"/>
  <c r="E20073" i="1"/>
  <c r="D20073" i="1"/>
  <c r="E20072" i="1"/>
  <c r="D20072" i="1"/>
  <c r="D20071" i="1"/>
  <c r="E20071" i="1" s="1"/>
  <c r="E20070" i="1"/>
  <c r="D20070" i="1"/>
  <c r="D20069" i="1"/>
  <c r="E20069" i="1" s="1"/>
  <c r="E20068" i="1"/>
  <c r="D20068" i="1"/>
  <c r="D20067" i="1"/>
  <c r="E20067" i="1" s="1"/>
  <c r="D20066" i="1"/>
  <c r="E20066" i="1" s="1"/>
  <c r="D20065" i="1"/>
  <c r="E20065" i="1" s="1"/>
  <c r="D20064" i="1"/>
  <c r="E20064" i="1" s="1"/>
  <c r="E20063" i="1"/>
  <c r="D20063" i="1"/>
  <c r="E20062" i="1"/>
  <c r="D20062" i="1"/>
  <c r="D20061" i="1"/>
  <c r="E20061" i="1" s="1"/>
  <c r="D20060" i="1"/>
  <c r="E20060" i="1" s="1"/>
  <c r="E20059" i="1"/>
  <c r="D20059" i="1"/>
  <c r="E20058" i="1"/>
  <c r="D20058" i="1"/>
  <c r="D20057" i="1"/>
  <c r="E20057" i="1" s="1"/>
  <c r="D20056" i="1"/>
  <c r="E20056" i="1" s="1"/>
  <c r="D20055" i="1"/>
  <c r="E20055" i="1" s="1"/>
  <c r="D20054" i="1"/>
  <c r="E20054" i="1" s="1"/>
  <c r="D20053" i="1"/>
  <c r="E20053" i="1" s="1"/>
  <c r="E20052" i="1"/>
  <c r="D20052" i="1"/>
  <c r="D20051" i="1"/>
  <c r="E20051" i="1" s="1"/>
  <c r="D20050" i="1"/>
  <c r="E20050" i="1" s="1"/>
  <c r="D20049" i="1"/>
  <c r="E20049" i="1" s="1"/>
  <c r="E20048" i="1"/>
  <c r="D20048" i="1"/>
  <c r="D20047" i="1"/>
  <c r="E20047" i="1" s="1"/>
  <c r="D20046" i="1"/>
  <c r="E20046" i="1" s="1"/>
  <c r="E20045" i="1"/>
  <c r="D20045" i="1"/>
  <c r="D20044" i="1"/>
  <c r="E20044" i="1" s="1"/>
  <c r="D20043" i="1"/>
  <c r="E20043" i="1" s="1"/>
  <c r="E20042" i="1"/>
  <c r="D20042" i="1"/>
  <c r="D20041" i="1"/>
  <c r="E20041" i="1" s="1"/>
  <c r="D20040" i="1"/>
  <c r="E20040" i="1" s="1"/>
  <c r="D20039" i="1"/>
  <c r="E20039" i="1" s="1"/>
  <c r="E20038" i="1"/>
  <c r="D20038" i="1"/>
  <c r="E20037" i="1"/>
  <c r="D20037" i="1"/>
  <c r="D20036" i="1"/>
  <c r="E20036" i="1" s="1"/>
  <c r="D20035" i="1"/>
  <c r="E20035" i="1" s="1"/>
  <c r="E20034" i="1"/>
  <c r="D20034" i="1"/>
  <c r="E20033" i="1"/>
  <c r="D20033" i="1"/>
  <c r="D20032" i="1"/>
  <c r="E20032" i="1" s="1"/>
  <c r="D20031" i="1"/>
  <c r="E20031" i="1" s="1"/>
  <c r="E20030" i="1"/>
  <c r="D20030" i="1"/>
  <c r="D20029" i="1"/>
  <c r="E20029" i="1" s="1"/>
  <c r="D20028" i="1"/>
  <c r="E20028" i="1" s="1"/>
  <c r="E20027" i="1"/>
  <c r="D20027" i="1"/>
  <c r="D20026" i="1"/>
  <c r="E20026" i="1" s="1"/>
  <c r="D20025" i="1"/>
  <c r="E20025" i="1" s="1"/>
  <c r="D20024" i="1"/>
  <c r="E20024" i="1" s="1"/>
  <c r="E20023" i="1"/>
  <c r="D20023" i="1"/>
  <c r="E20022" i="1"/>
  <c r="D20022" i="1"/>
  <c r="D20021" i="1"/>
  <c r="E20021" i="1" s="1"/>
  <c r="E20020" i="1"/>
  <c r="D20020" i="1"/>
  <c r="D20019" i="1"/>
  <c r="E20019" i="1" s="1"/>
  <c r="D20018" i="1"/>
  <c r="E20018" i="1" s="1"/>
  <c r="E20017" i="1"/>
  <c r="D20017" i="1"/>
  <c r="D20016" i="1"/>
  <c r="E20016" i="1" s="1"/>
  <c r="D20015" i="1"/>
  <c r="E20015" i="1" s="1"/>
  <c r="D20014" i="1"/>
  <c r="E20014" i="1" s="1"/>
  <c r="E20013" i="1"/>
  <c r="D20013" i="1"/>
  <c r="E20012" i="1"/>
  <c r="D20012" i="1"/>
  <c r="D20011" i="1"/>
  <c r="E20011" i="1" s="1"/>
  <c r="D20010" i="1"/>
  <c r="E20010" i="1" s="1"/>
  <c r="E20009" i="1"/>
  <c r="D20009" i="1"/>
  <c r="E20008" i="1"/>
  <c r="D20008" i="1"/>
  <c r="D20007" i="1"/>
  <c r="E20007" i="1" s="1"/>
  <c r="D20006" i="1"/>
  <c r="E20006" i="1" s="1"/>
  <c r="E20005" i="1"/>
  <c r="D20005" i="1"/>
  <c r="D20004" i="1"/>
  <c r="E20004" i="1" s="1"/>
  <c r="D20003" i="1"/>
  <c r="E20003" i="1" s="1"/>
  <c r="E20002" i="1"/>
  <c r="D20002" i="1"/>
  <c r="D20001" i="1"/>
  <c r="E20001" i="1" s="1"/>
  <c r="D20000" i="1"/>
  <c r="E20000" i="1" s="1"/>
  <c r="D19999" i="1"/>
  <c r="E19999" i="1" s="1"/>
  <c r="E19998" i="1"/>
  <c r="D19998" i="1"/>
  <c r="D19997" i="1"/>
  <c r="E19997" i="1" s="1"/>
  <c r="D19996" i="1"/>
  <c r="E19996" i="1" s="1"/>
  <c r="D19995" i="1"/>
  <c r="E19995" i="1" s="1"/>
  <c r="D19994" i="1"/>
  <c r="E19994" i="1" s="1"/>
  <c r="D19993" i="1"/>
  <c r="E19993" i="1" s="1"/>
  <c r="E19992" i="1"/>
  <c r="D19992" i="1"/>
  <c r="D19991" i="1"/>
  <c r="E19991" i="1" s="1"/>
  <c r="D19990" i="1"/>
  <c r="E19990" i="1" s="1"/>
  <c r="D19989" i="1"/>
  <c r="E19989" i="1" s="1"/>
  <c r="E19988" i="1"/>
  <c r="D19988" i="1"/>
  <c r="E19987" i="1"/>
  <c r="D19987" i="1"/>
  <c r="D19986" i="1"/>
  <c r="E19986" i="1" s="1"/>
  <c r="D19985" i="1"/>
  <c r="E19985" i="1" s="1"/>
  <c r="E19984" i="1"/>
  <c r="D19984" i="1"/>
  <c r="D19983" i="1"/>
  <c r="E19983" i="1" s="1"/>
  <c r="E19982" i="1"/>
  <c r="D19982" i="1"/>
  <c r="D19981" i="1"/>
  <c r="E19981" i="1" s="1"/>
  <c r="E19980" i="1"/>
  <c r="D19980" i="1"/>
  <c r="D19979" i="1"/>
  <c r="E19979" i="1" s="1"/>
  <c r="D19978" i="1"/>
  <c r="E19978" i="1" s="1"/>
  <c r="E19977" i="1"/>
  <c r="D19977" i="1"/>
  <c r="D19976" i="1"/>
  <c r="E19976" i="1" s="1"/>
  <c r="D19975" i="1"/>
  <c r="E19975" i="1" s="1"/>
  <c r="D19974" i="1"/>
  <c r="E19974" i="1" s="1"/>
  <c r="E19973" i="1"/>
  <c r="D19973" i="1"/>
  <c r="E19972" i="1"/>
  <c r="D19972" i="1"/>
  <c r="D19971" i="1"/>
  <c r="E19971" i="1" s="1"/>
  <c r="E19970" i="1"/>
  <c r="D19970" i="1"/>
  <c r="D19969" i="1"/>
  <c r="E19969" i="1" s="1"/>
  <c r="D19968" i="1"/>
  <c r="E19968" i="1" s="1"/>
  <c r="E19967" i="1"/>
  <c r="D19967" i="1"/>
  <c r="D19966" i="1"/>
  <c r="E19966" i="1" s="1"/>
  <c r="D19965" i="1"/>
  <c r="E19965" i="1" s="1"/>
  <c r="D19964" i="1"/>
  <c r="E19964" i="1" s="1"/>
  <c r="E19963" i="1"/>
  <c r="D19963" i="1"/>
  <c r="E19962" i="1"/>
  <c r="D19962" i="1"/>
  <c r="D19961" i="1"/>
  <c r="E19961" i="1" s="1"/>
  <c r="D19960" i="1"/>
  <c r="E19960" i="1" s="1"/>
  <c r="D19959" i="1"/>
  <c r="E19959" i="1" s="1"/>
  <c r="D19958" i="1"/>
  <c r="E19958" i="1" s="1"/>
  <c r="E19957" i="1"/>
  <c r="D19957" i="1"/>
  <c r="D19956" i="1"/>
  <c r="E19956" i="1" s="1"/>
  <c r="E19955" i="1"/>
  <c r="D19955" i="1"/>
  <c r="D19954" i="1"/>
  <c r="E19954" i="1" s="1"/>
  <c r="D19953" i="1"/>
  <c r="E19953" i="1" s="1"/>
  <c r="E19952" i="1"/>
  <c r="D19952" i="1"/>
  <c r="D19951" i="1"/>
  <c r="E19951" i="1" s="1"/>
  <c r="D19950" i="1"/>
  <c r="E19950" i="1" s="1"/>
  <c r="D19949" i="1"/>
  <c r="E19949" i="1" s="1"/>
  <c r="E19948" i="1"/>
  <c r="D19948" i="1"/>
  <c r="D19947" i="1"/>
  <c r="E19947" i="1" s="1"/>
  <c r="E19946" i="1"/>
  <c r="D19946" i="1"/>
  <c r="E19945" i="1"/>
  <c r="D19945" i="1"/>
  <c r="D19944" i="1"/>
  <c r="E19944" i="1" s="1"/>
  <c r="D19943" i="1"/>
  <c r="E19943" i="1" s="1"/>
  <c r="E19942" i="1"/>
  <c r="D19942" i="1"/>
  <c r="D19941" i="1"/>
  <c r="E19941" i="1" s="1"/>
  <c r="D19940" i="1"/>
  <c r="E19940" i="1" s="1"/>
  <c r="D19939" i="1"/>
  <c r="E19939" i="1" s="1"/>
  <c r="E19938" i="1"/>
  <c r="D19938" i="1"/>
  <c r="E19937" i="1"/>
  <c r="D19937" i="1"/>
  <c r="D19936" i="1"/>
  <c r="E19936" i="1" s="1"/>
  <c r="D19935" i="1"/>
  <c r="E19935" i="1" s="1"/>
  <c r="D19934" i="1"/>
  <c r="E19934" i="1" s="1"/>
  <c r="D19933" i="1"/>
  <c r="E19933" i="1" s="1"/>
  <c r="E19932" i="1"/>
  <c r="D19932" i="1"/>
  <c r="D19931" i="1"/>
  <c r="E19931" i="1" s="1"/>
  <c r="E19930" i="1"/>
  <c r="D19930" i="1"/>
  <c r="D19929" i="1"/>
  <c r="E19929" i="1" s="1"/>
  <c r="D19928" i="1"/>
  <c r="E19928" i="1" s="1"/>
  <c r="E19927" i="1"/>
  <c r="D19927" i="1"/>
  <c r="D19926" i="1"/>
  <c r="E19926" i="1" s="1"/>
  <c r="D19925" i="1"/>
  <c r="E19925" i="1" s="1"/>
  <c r="D19924" i="1"/>
  <c r="E19924" i="1" s="1"/>
  <c r="D19923" i="1"/>
  <c r="E19923" i="1" s="1"/>
  <c r="D19922" i="1"/>
  <c r="E19922" i="1" s="1"/>
  <c r="E19921" i="1"/>
  <c r="D19921" i="1"/>
  <c r="E19920" i="1"/>
  <c r="D19920" i="1"/>
  <c r="D19919" i="1"/>
  <c r="E19919" i="1" s="1"/>
  <c r="D19918" i="1"/>
  <c r="E19918" i="1" s="1"/>
  <c r="E19917" i="1"/>
  <c r="D19917" i="1"/>
  <c r="D19916" i="1"/>
  <c r="E19916" i="1" s="1"/>
  <c r="D19915" i="1"/>
  <c r="E19915" i="1" s="1"/>
  <c r="D19914" i="1"/>
  <c r="E19914" i="1" s="1"/>
  <c r="E19913" i="1"/>
  <c r="D19913" i="1"/>
  <c r="E19912" i="1"/>
  <c r="D19912" i="1"/>
  <c r="D19911" i="1"/>
  <c r="E19911" i="1" s="1"/>
  <c r="E19910" i="1"/>
  <c r="D19910" i="1"/>
  <c r="E19909" i="1"/>
  <c r="D19909" i="1"/>
  <c r="D19908" i="1"/>
  <c r="E19908" i="1" s="1"/>
  <c r="E19907" i="1"/>
  <c r="D19907" i="1"/>
  <c r="D19906" i="1"/>
  <c r="E19906" i="1" s="1"/>
  <c r="E19905" i="1"/>
  <c r="D19905" i="1"/>
  <c r="D19904" i="1"/>
  <c r="E19904" i="1" s="1"/>
  <c r="D19903" i="1"/>
  <c r="E19903" i="1" s="1"/>
  <c r="E19902" i="1"/>
  <c r="D19902" i="1"/>
  <c r="D19901" i="1"/>
  <c r="E19901" i="1" s="1"/>
  <c r="D19900" i="1"/>
  <c r="E19900" i="1" s="1"/>
  <c r="D19899" i="1"/>
  <c r="E19899" i="1" s="1"/>
  <c r="E19898" i="1"/>
  <c r="D19898" i="1"/>
  <c r="D19897" i="1"/>
  <c r="E19897" i="1" s="1"/>
  <c r="D19896" i="1"/>
  <c r="E19896" i="1" s="1"/>
  <c r="E19895" i="1"/>
  <c r="D19895" i="1"/>
  <c r="D19894" i="1"/>
  <c r="E19894" i="1" s="1"/>
  <c r="E19893" i="1"/>
  <c r="D19893" i="1"/>
  <c r="D19892" i="1"/>
  <c r="E19892" i="1" s="1"/>
  <c r="D19891" i="1"/>
  <c r="E19891" i="1" s="1"/>
  <c r="E19890" i="1"/>
  <c r="D19890" i="1"/>
  <c r="D19889" i="1"/>
  <c r="E19889" i="1" s="1"/>
  <c r="D19888" i="1"/>
  <c r="E19888" i="1" s="1"/>
  <c r="D19887" i="1"/>
  <c r="E19887" i="1" s="1"/>
  <c r="E19886" i="1"/>
  <c r="D19886" i="1"/>
  <c r="D19885" i="1"/>
  <c r="E19885" i="1" s="1"/>
  <c r="D19884" i="1"/>
  <c r="E19884" i="1" s="1"/>
  <c r="E19883" i="1"/>
  <c r="D19883" i="1"/>
  <c r="D19882" i="1"/>
  <c r="E19882" i="1" s="1"/>
  <c r="E19881" i="1"/>
  <c r="D19881" i="1"/>
  <c r="D19880" i="1"/>
  <c r="E19880" i="1" s="1"/>
  <c r="D19879" i="1"/>
  <c r="E19879" i="1" s="1"/>
  <c r="E19878" i="1"/>
  <c r="D19878" i="1"/>
  <c r="D19877" i="1"/>
  <c r="E19877" i="1" s="1"/>
  <c r="D19876" i="1"/>
  <c r="E19876" i="1" s="1"/>
  <c r="D19875" i="1"/>
  <c r="E19875" i="1" s="1"/>
  <c r="E19874" i="1"/>
  <c r="D19874" i="1"/>
  <c r="E19873" i="1"/>
  <c r="D19873" i="1"/>
  <c r="D19872" i="1"/>
  <c r="E19872" i="1" s="1"/>
  <c r="E19871" i="1"/>
  <c r="D19871" i="1"/>
  <c r="D19870" i="1"/>
  <c r="E19870" i="1" s="1"/>
  <c r="E19869" i="1"/>
  <c r="D19869" i="1"/>
  <c r="D19868" i="1"/>
  <c r="E19868" i="1" s="1"/>
  <c r="D19867" i="1"/>
  <c r="E19867" i="1" s="1"/>
  <c r="E19866" i="1"/>
  <c r="D19866" i="1"/>
  <c r="D19865" i="1"/>
  <c r="E19865" i="1" s="1"/>
  <c r="D19864" i="1"/>
  <c r="E19864" i="1" s="1"/>
  <c r="D19863" i="1"/>
  <c r="E19863" i="1" s="1"/>
  <c r="E19862" i="1"/>
  <c r="D19862" i="1"/>
  <c r="E19861" i="1"/>
  <c r="D19861" i="1"/>
  <c r="D19860" i="1"/>
  <c r="E19860" i="1" s="1"/>
  <c r="E19859" i="1"/>
  <c r="D19859" i="1"/>
  <c r="D19858" i="1"/>
  <c r="E19858" i="1" s="1"/>
  <c r="E19857" i="1"/>
  <c r="D19857" i="1"/>
  <c r="D19856" i="1"/>
  <c r="E19856" i="1" s="1"/>
  <c r="D19855" i="1"/>
  <c r="E19855" i="1" s="1"/>
  <c r="E19854" i="1"/>
  <c r="D19854" i="1"/>
  <c r="D19853" i="1"/>
  <c r="E19853" i="1" s="1"/>
  <c r="D19852" i="1"/>
  <c r="E19852" i="1" s="1"/>
  <c r="D19851" i="1"/>
  <c r="E19851" i="1" s="1"/>
  <c r="E19850" i="1"/>
  <c r="D19850" i="1"/>
  <c r="D19849" i="1"/>
  <c r="E19849" i="1" s="1"/>
  <c r="D19848" i="1"/>
  <c r="E19848" i="1" s="1"/>
  <c r="E19847" i="1"/>
  <c r="D19847" i="1"/>
  <c r="D19846" i="1"/>
  <c r="E19846" i="1" s="1"/>
  <c r="E19845" i="1"/>
  <c r="D19845" i="1"/>
  <c r="D19844" i="1"/>
  <c r="E19844" i="1" s="1"/>
  <c r="D19843" i="1"/>
  <c r="E19843" i="1" s="1"/>
  <c r="E19842" i="1"/>
  <c r="D19842" i="1"/>
  <c r="D19841" i="1"/>
  <c r="E19841" i="1" s="1"/>
  <c r="D19840" i="1"/>
  <c r="E19840" i="1" s="1"/>
  <c r="D19839" i="1"/>
  <c r="E19839" i="1" s="1"/>
  <c r="E19838" i="1"/>
  <c r="D19838" i="1"/>
  <c r="E19837" i="1"/>
  <c r="D19837" i="1"/>
  <c r="D19836" i="1"/>
  <c r="E19836" i="1" s="1"/>
  <c r="E19835" i="1"/>
  <c r="D19835" i="1"/>
  <c r="D19834" i="1"/>
  <c r="E19834" i="1" s="1"/>
  <c r="E19833" i="1"/>
  <c r="D19833" i="1"/>
  <c r="D19832" i="1"/>
  <c r="E19832" i="1" s="1"/>
  <c r="D19831" i="1"/>
  <c r="E19831" i="1" s="1"/>
  <c r="E19830" i="1"/>
  <c r="D19830" i="1"/>
  <c r="D19829" i="1"/>
  <c r="E19829" i="1" s="1"/>
  <c r="D19828" i="1"/>
  <c r="E19828" i="1" s="1"/>
  <c r="D19827" i="1"/>
  <c r="E19827" i="1" s="1"/>
  <c r="E19826" i="1"/>
  <c r="D19826" i="1"/>
  <c r="D19825" i="1"/>
  <c r="E19825" i="1" s="1"/>
  <c r="D19824" i="1"/>
  <c r="E19824" i="1" s="1"/>
  <c r="E19823" i="1"/>
  <c r="D19823" i="1"/>
  <c r="D19822" i="1"/>
  <c r="E19822" i="1" s="1"/>
  <c r="E19821" i="1"/>
  <c r="D19821" i="1"/>
  <c r="D19820" i="1"/>
  <c r="E19820" i="1" s="1"/>
  <c r="D19819" i="1"/>
  <c r="E19819" i="1" s="1"/>
  <c r="E19818" i="1"/>
  <c r="D19818" i="1"/>
  <c r="D19817" i="1"/>
  <c r="E19817" i="1" s="1"/>
  <c r="D19816" i="1"/>
  <c r="E19816" i="1" s="1"/>
  <c r="D19815" i="1"/>
  <c r="E19815" i="1" s="1"/>
  <c r="E19814" i="1"/>
  <c r="D19814" i="1"/>
  <c r="E19813" i="1"/>
  <c r="D19813" i="1"/>
  <c r="D19812" i="1"/>
  <c r="E19812" i="1" s="1"/>
  <c r="E19811" i="1"/>
  <c r="D19811" i="1"/>
  <c r="D19810" i="1"/>
  <c r="E19810" i="1" s="1"/>
  <c r="E19809" i="1"/>
  <c r="D19809" i="1"/>
  <c r="D19808" i="1"/>
  <c r="E19808" i="1" s="1"/>
  <c r="D19807" i="1"/>
  <c r="E19807" i="1" s="1"/>
  <c r="E19806" i="1"/>
  <c r="D19806" i="1"/>
  <c r="D19805" i="1"/>
  <c r="E19805" i="1" s="1"/>
  <c r="D19804" i="1"/>
  <c r="E19804" i="1" s="1"/>
  <c r="D19803" i="1"/>
  <c r="E19803" i="1" s="1"/>
  <c r="E19802" i="1"/>
  <c r="D19802" i="1"/>
  <c r="E19801" i="1"/>
  <c r="D19801" i="1"/>
  <c r="D19800" i="1"/>
  <c r="E19800" i="1" s="1"/>
  <c r="E19799" i="1"/>
  <c r="D19799" i="1"/>
  <c r="D19798" i="1"/>
  <c r="E19798" i="1" s="1"/>
  <c r="E19797" i="1"/>
  <c r="D19797" i="1"/>
  <c r="D19796" i="1"/>
  <c r="E19796" i="1" s="1"/>
  <c r="D19795" i="1"/>
  <c r="E19795" i="1" s="1"/>
  <c r="E19794" i="1"/>
  <c r="D19794" i="1"/>
  <c r="D19793" i="1"/>
  <c r="E19793" i="1" s="1"/>
  <c r="D19792" i="1"/>
  <c r="E19792" i="1" s="1"/>
  <c r="D19791" i="1"/>
  <c r="E19791" i="1" s="1"/>
  <c r="E19790" i="1"/>
  <c r="D19790" i="1"/>
  <c r="E19789" i="1"/>
  <c r="D19789" i="1"/>
  <c r="D19788" i="1"/>
  <c r="E19788" i="1" s="1"/>
  <c r="E19787" i="1"/>
  <c r="D19787" i="1"/>
  <c r="D19786" i="1"/>
  <c r="E19786" i="1" s="1"/>
  <c r="E19785" i="1"/>
  <c r="D19785" i="1"/>
  <c r="D19784" i="1"/>
  <c r="E19784" i="1" s="1"/>
  <c r="D19783" i="1"/>
  <c r="E19783" i="1" s="1"/>
  <c r="E19782" i="1"/>
  <c r="D19782" i="1"/>
  <c r="D19781" i="1"/>
  <c r="E19781" i="1" s="1"/>
  <c r="D19780" i="1"/>
  <c r="E19780" i="1" s="1"/>
  <c r="D19779" i="1"/>
  <c r="E19779" i="1" s="1"/>
  <c r="E19778" i="1"/>
  <c r="D19778" i="1"/>
  <c r="E19777" i="1"/>
  <c r="D19777" i="1"/>
  <c r="D19776" i="1"/>
  <c r="E19776" i="1" s="1"/>
  <c r="E19775" i="1"/>
  <c r="D19775" i="1"/>
  <c r="D19774" i="1"/>
  <c r="E19774" i="1" s="1"/>
  <c r="E19773" i="1"/>
  <c r="D19773" i="1"/>
  <c r="D19772" i="1"/>
  <c r="E19772" i="1" s="1"/>
  <c r="D19771" i="1"/>
  <c r="E19771" i="1" s="1"/>
  <c r="E19770" i="1"/>
  <c r="D19770" i="1"/>
  <c r="D19769" i="1"/>
  <c r="E19769" i="1" s="1"/>
  <c r="D19768" i="1"/>
  <c r="E19768" i="1" s="1"/>
  <c r="D19767" i="1"/>
  <c r="E19767" i="1" s="1"/>
  <c r="E19766" i="1"/>
  <c r="D19766" i="1"/>
  <c r="D19765" i="1"/>
  <c r="E19765" i="1" s="1"/>
  <c r="D19764" i="1"/>
  <c r="E19764" i="1" s="1"/>
  <c r="E19763" i="1"/>
  <c r="D19763" i="1"/>
  <c r="D19762" i="1"/>
  <c r="E19762" i="1" s="1"/>
  <c r="E19761" i="1"/>
  <c r="D19761" i="1"/>
  <c r="D19760" i="1"/>
  <c r="E19760" i="1" s="1"/>
  <c r="D19759" i="1"/>
  <c r="E19759" i="1" s="1"/>
  <c r="E19758" i="1"/>
  <c r="D19758" i="1"/>
  <c r="E19757" i="1"/>
  <c r="D19757" i="1"/>
  <c r="D19756" i="1"/>
  <c r="E19756" i="1" s="1"/>
  <c r="D19755" i="1"/>
  <c r="E19755" i="1" s="1"/>
  <c r="E19754" i="1"/>
  <c r="D19754" i="1"/>
  <c r="D19753" i="1"/>
  <c r="E19753" i="1" s="1"/>
  <c r="D19752" i="1"/>
  <c r="E19752" i="1" s="1"/>
  <c r="E19751" i="1"/>
  <c r="D19751" i="1"/>
  <c r="D19750" i="1"/>
  <c r="E19750" i="1" s="1"/>
  <c r="E19749" i="1"/>
  <c r="D19749" i="1"/>
  <c r="D19748" i="1"/>
  <c r="E19748" i="1" s="1"/>
  <c r="D19747" i="1"/>
  <c r="E19747" i="1" s="1"/>
  <c r="E19746" i="1"/>
  <c r="D19746" i="1"/>
  <c r="E19745" i="1"/>
  <c r="D19745" i="1"/>
  <c r="D19744" i="1"/>
  <c r="E19744" i="1" s="1"/>
  <c r="D19743" i="1"/>
  <c r="E19743" i="1" s="1"/>
  <c r="E19742" i="1"/>
  <c r="D19742" i="1"/>
  <c r="E19741" i="1"/>
  <c r="D19741" i="1"/>
  <c r="D19740" i="1"/>
  <c r="E19740" i="1" s="1"/>
  <c r="E19739" i="1"/>
  <c r="D19739" i="1"/>
  <c r="D19738" i="1"/>
  <c r="E19738" i="1" s="1"/>
  <c r="E19737" i="1"/>
  <c r="D19737" i="1"/>
  <c r="D19736" i="1"/>
  <c r="E19736" i="1" s="1"/>
  <c r="D19735" i="1"/>
  <c r="E19735" i="1" s="1"/>
  <c r="E19734" i="1"/>
  <c r="D19734" i="1"/>
  <c r="D19733" i="1"/>
  <c r="E19733" i="1" s="1"/>
  <c r="D19732" i="1"/>
  <c r="E19732" i="1" s="1"/>
  <c r="D19731" i="1"/>
  <c r="E19731" i="1" s="1"/>
  <c r="E19730" i="1"/>
  <c r="D19730" i="1"/>
  <c r="E19729" i="1"/>
  <c r="D19729" i="1"/>
  <c r="D19728" i="1"/>
  <c r="E19728" i="1" s="1"/>
  <c r="E19727" i="1"/>
  <c r="D19727" i="1"/>
  <c r="D19726" i="1"/>
  <c r="E19726" i="1" s="1"/>
  <c r="E19725" i="1"/>
  <c r="D19725" i="1"/>
  <c r="D19724" i="1"/>
  <c r="E19724" i="1" s="1"/>
  <c r="D19723" i="1"/>
  <c r="E19723" i="1" s="1"/>
  <c r="E19722" i="1"/>
  <c r="D19722" i="1"/>
  <c r="D19721" i="1"/>
  <c r="E19721" i="1" s="1"/>
  <c r="D19720" i="1"/>
  <c r="E19720" i="1" s="1"/>
  <c r="D19719" i="1"/>
  <c r="E19719" i="1" s="1"/>
  <c r="E19718" i="1"/>
  <c r="D19718" i="1"/>
  <c r="D19717" i="1"/>
  <c r="E19717" i="1" s="1"/>
  <c r="D19716" i="1"/>
  <c r="E19716" i="1" s="1"/>
  <c r="E19715" i="1"/>
  <c r="D19715" i="1"/>
  <c r="D19714" i="1"/>
  <c r="E19714" i="1" s="1"/>
  <c r="E19713" i="1"/>
  <c r="D19713" i="1"/>
  <c r="D19712" i="1"/>
  <c r="E19712" i="1" s="1"/>
  <c r="D19711" i="1"/>
  <c r="E19711" i="1" s="1"/>
  <c r="E19710" i="1"/>
  <c r="D19710" i="1"/>
  <c r="E19709" i="1"/>
  <c r="D19709" i="1"/>
  <c r="D19708" i="1"/>
  <c r="E19708" i="1" s="1"/>
  <c r="D19707" i="1"/>
  <c r="E19707" i="1" s="1"/>
  <c r="E19706" i="1"/>
  <c r="D19706" i="1"/>
  <c r="D19705" i="1"/>
  <c r="E19705" i="1" s="1"/>
  <c r="D19704" i="1"/>
  <c r="E19704" i="1" s="1"/>
  <c r="E19703" i="1"/>
  <c r="D19703" i="1"/>
  <c r="D19702" i="1"/>
  <c r="E19702" i="1" s="1"/>
  <c r="E19701" i="1"/>
  <c r="D19701" i="1"/>
  <c r="D19700" i="1"/>
  <c r="E19700" i="1" s="1"/>
  <c r="D19699" i="1"/>
  <c r="E19699" i="1" s="1"/>
  <c r="E19698" i="1"/>
  <c r="D19698" i="1"/>
  <c r="E19697" i="1"/>
  <c r="D19697" i="1"/>
  <c r="D19696" i="1"/>
  <c r="E19696" i="1" s="1"/>
  <c r="D19695" i="1"/>
  <c r="E19695" i="1" s="1"/>
  <c r="E19694" i="1"/>
  <c r="D19694" i="1"/>
  <c r="E19693" i="1"/>
  <c r="D19693" i="1"/>
  <c r="D19692" i="1"/>
  <c r="E19692" i="1" s="1"/>
  <c r="E19691" i="1"/>
  <c r="D19691" i="1"/>
  <c r="D19690" i="1"/>
  <c r="E19690" i="1" s="1"/>
  <c r="E19689" i="1"/>
  <c r="D19689" i="1"/>
  <c r="D19688" i="1"/>
  <c r="E19688" i="1" s="1"/>
  <c r="D19687" i="1"/>
  <c r="E19687" i="1" s="1"/>
  <c r="E19686" i="1"/>
  <c r="D19686" i="1"/>
  <c r="D19685" i="1"/>
  <c r="E19685" i="1" s="1"/>
  <c r="D19684" i="1"/>
  <c r="E19684" i="1" s="1"/>
  <c r="D19683" i="1"/>
  <c r="E19683" i="1" s="1"/>
  <c r="E19682" i="1"/>
  <c r="D19682" i="1"/>
  <c r="E19681" i="1"/>
  <c r="D19681" i="1"/>
  <c r="D19680" i="1"/>
  <c r="E19680" i="1" s="1"/>
  <c r="E19679" i="1"/>
  <c r="D19679" i="1"/>
  <c r="D19678" i="1"/>
  <c r="E19678" i="1" s="1"/>
  <c r="E19677" i="1"/>
  <c r="D19677" i="1"/>
  <c r="D19676" i="1"/>
  <c r="E19676" i="1" s="1"/>
  <c r="D19675" i="1"/>
  <c r="E19675" i="1" s="1"/>
  <c r="E19674" i="1"/>
  <c r="D19674" i="1"/>
  <c r="D19673" i="1"/>
  <c r="E19673" i="1" s="1"/>
  <c r="D19672" i="1"/>
  <c r="E19672" i="1" s="1"/>
  <c r="D19671" i="1"/>
  <c r="E19671" i="1" s="1"/>
  <c r="E19670" i="1"/>
  <c r="D19670" i="1"/>
  <c r="D19669" i="1"/>
  <c r="E19669" i="1" s="1"/>
  <c r="D19668" i="1"/>
  <c r="E19668" i="1" s="1"/>
  <c r="E19667" i="1"/>
  <c r="D19667" i="1"/>
  <c r="D19666" i="1"/>
  <c r="E19666" i="1" s="1"/>
  <c r="E19665" i="1"/>
  <c r="D19665" i="1"/>
  <c r="D19664" i="1"/>
  <c r="E19664" i="1" s="1"/>
  <c r="D19663" i="1"/>
  <c r="E19663" i="1" s="1"/>
  <c r="D19662" i="1"/>
  <c r="E19662" i="1" s="1"/>
  <c r="E19661" i="1"/>
  <c r="D19661" i="1"/>
  <c r="D19660" i="1"/>
  <c r="E19660" i="1" s="1"/>
  <c r="D19659" i="1"/>
  <c r="E19659" i="1" s="1"/>
  <c r="E19658" i="1"/>
  <c r="D19658" i="1"/>
  <c r="D19657" i="1"/>
  <c r="E19657" i="1" s="1"/>
  <c r="D19656" i="1"/>
  <c r="E19656" i="1" s="1"/>
  <c r="E19655" i="1"/>
  <c r="D19655" i="1"/>
  <c r="D19654" i="1"/>
  <c r="E19654" i="1" s="1"/>
  <c r="D19653" i="1"/>
  <c r="E19653" i="1" s="1"/>
  <c r="D19652" i="1"/>
  <c r="E19652" i="1" s="1"/>
  <c r="D19651" i="1"/>
  <c r="E19651" i="1" s="1"/>
  <c r="D19650" i="1"/>
  <c r="E19650" i="1" s="1"/>
  <c r="E19649" i="1"/>
  <c r="D19649" i="1"/>
  <c r="D19648" i="1"/>
  <c r="E19648" i="1" s="1"/>
  <c r="D19647" i="1"/>
  <c r="E19647" i="1" s="1"/>
  <c r="D19646" i="1"/>
  <c r="E19646" i="1" s="1"/>
  <c r="E19645" i="1"/>
  <c r="D19645" i="1"/>
  <c r="D19644" i="1"/>
  <c r="E19644" i="1" s="1"/>
  <c r="E19643" i="1"/>
  <c r="D19643" i="1"/>
  <c r="D19642" i="1"/>
  <c r="E19642" i="1" s="1"/>
  <c r="D19641" i="1"/>
  <c r="E19641" i="1" s="1"/>
  <c r="D19640" i="1"/>
  <c r="E19640" i="1" s="1"/>
  <c r="D19639" i="1"/>
  <c r="E19639" i="1" s="1"/>
  <c r="E19638" i="1"/>
  <c r="D19638" i="1"/>
  <c r="D19637" i="1"/>
  <c r="E19637" i="1" s="1"/>
  <c r="D19636" i="1"/>
  <c r="E19636" i="1" s="1"/>
  <c r="D19635" i="1"/>
  <c r="E19635" i="1" s="1"/>
  <c r="D19634" i="1"/>
  <c r="E19634" i="1" s="1"/>
  <c r="E19633" i="1"/>
  <c r="D19633" i="1"/>
  <c r="D19632" i="1"/>
  <c r="E19632" i="1" s="1"/>
  <c r="E19631" i="1"/>
  <c r="D19631" i="1"/>
  <c r="D19630" i="1"/>
  <c r="E19630" i="1" s="1"/>
  <c r="E19629" i="1"/>
  <c r="D19629" i="1"/>
  <c r="D19628" i="1"/>
  <c r="E19628" i="1" s="1"/>
  <c r="D19627" i="1"/>
  <c r="E19627" i="1" s="1"/>
  <c r="E19626" i="1"/>
  <c r="D19626" i="1"/>
  <c r="D19625" i="1"/>
  <c r="E19625" i="1" s="1"/>
  <c r="D19624" i="1"/>
  <c r="E19624" i="1" s="1"/>
  <c r="D19623" i="1"/>
  <c r="E19623" i="1" s="1"/>
  <c r="E19622" i="1"/>
  <c r="D19622" i="1"/>
  <c r="D19621" i="1"/>
  <c r="E19621" i="1" s="1"/>
  <c r="D19620" i="1"/>
  <c r="E19620" i="1" s="1"/>
  <c r="E19619" i="1"/>
  <c r="D19619" i="1"/>
  <c r="D19618" i="1"/>
  <c r="E19618" i="1" s="1"/>
  <c r="E19617" i="1"/>
  <c r="D19617" i="1"/>
  <c r="D19616" i="1"/>
  <c r="E19616" i="1" s="1"/>
  <c r="D19615" i="1"/>
  <c r="E19615" i="1" s="1"/>
  <c r="D19614" i="1"/>
  <c r="E19614" i="1" s="1"/>
  <c r="E19613" i="1"/>
  <c r="D19613" i="1"/>
  <c r="D19612" i="1"/>
  <c r="E19612" i="1" s="1"/>
  <c r="D19611" i="1"/>
  <c r="E19611" i="1" s="1"/>
  <c r="E19610" i="1"/>
  <c r="D19610" i="1"/>
  <c r="D19609" i="1"/>
  <c r="E19609" i="1" s="1"/>
  <c r="D19608" i="1"/>
  <c r="E19608" i="1" s="1"/>
  <c r="E19607" i="1"/>
  <c r="D19607" i="1"/>
  <c r="D19606" i="1"/>
  <c r="E19606" i="1" s="1"/>
  <c r="D19605" i="1"/>
  <c r="E19605" i="1" s="1"/>
  <c r="D19604" i="1"/>
  <c r="E19604" i="1" s="1"/>
  <c r="D19603" i="1"/>
  <c r="E19603" i="1" s="1"/>
  <c r="D19602" i="1"/>
  <c r="E19602" i="1" s="1"/>
  <c r="E19601" i="1"/>
  <c r="D19601" i="1"/>
  <c r="D19600" i="1"/>
  <c r="E19600" i="1" s="1"/>
  <c r="D19599" i="1"/>
  <c r="E19599" i="1" s="1"/>
  <c r="D19598" i="1"/>
  <c r="E19598" i="1" s="1"/>
  <c r="E19597" i="1"/>
  <c r="D19597" i="1"/>
  <c r="D19596" i="1"/>
  <c r="E19596" i="1" s="1"/>
  <c r="E19595" i="1"/>
  <c r="D19595" i="1"/>
  <c r="D19594" i="1"/>
  <c r="E19594" i="1" s="1"/>
  <c r="D19593" i="1"/>
  <c r="E19593" i="1" s="1"/>
  <c r="D19592" i="1"/>
  <c r="E19592" i="1" s="1"/>
  <c r="D19591" i="1"/>
  <c r="E19591" i="1" s="1"/>
  <c r="E19590" i="1"/>
  <c r="D19590" i="1"/>
  <c r="D19589" i="1"/>
  <c r="E19589" i="1" s="1"/>
  <c r="D19588" i="1"/>
  <c r="E19588" i="1" s="1"/>
  <c r="D19587" i="1"/>
  <c r="E19587" i="1" s="1"/>
  <c r="D19586" i="1"/>
  <c r="E19586" i="1" s="1"/>
  <c r="E19585" i="1"/>
  <c r="D19585" i="1"/>
  <c r="D19584" i="1"/>
  <c r="E19584" i="1" s="1"/>
  <c r="E19583" i="1"/>
  <c r="D19583" i="1"/>
  <c r="D19582" i="1"/>
  <c r="E19582" i="1" s="1"/>
  <c r="E19581" i="1"/>
  <c r="D19581" i="1"/>
  <c r="D19580" i="1"/>
  <c r="E19580" i="1" s="1"/>
  <c r="D19579" i="1"/>
  <c r="E19579" i="1" s="1"/>
  <c r="E19578" i="1"/>
  <c r="D19578" i="1"/>
  <c r="D19577" i="1"/>
  <c r="E19577" i="1" s="1"/>
  <c r="D19576" i="1"/>
  <c r="E19576" i="1" s="1"/>
  <c r="D19575" i="1"/>
  <c r="E19575" i="1" s="1"/>
  <c r="E19574" i="1"/>
  <c r="D19574" i="1"/>
  <c r="D19573" i="1"/>
  <c r="E19573" i="1" s="1"/>
  <c r="D19572" i="1"/>
  <c r="E19572" i="1" s="1"/>
  <c r="E19571" i="1"/>
  <c r="D19571" i="1"/>
  <c r="D19570" i="1"/>
  <c r="E19570" i="1" s="1"/>
  <c r="E19569" i="1"/>
  <c r="D19569" i="1"/>
  <c r="D19568" i="1"/>
  <c r="E19568" i="1" s="1"/>
  <c r="D19567" i="1"/>
  <c r="E19567" i="1" s="1"/>
  <c r="D19566" i="1"/>
  <c r="E19566" i="1" s="1"/>
  <c r="E19565" i="1"/>
  <c r="D19565" i="1"/>
  <c r="D19564" i="1"/>
  <c r="E19564" i="1" s="1"/>
  <c r="D19563" i="1"/>
  <c r="E19563" i="1" s="1"/>
  <c r="D19562" i="1"/>
  <c r="E19562" i="1" s="1"/>
  <c r="D19561" i="1"/>
  <c r="E19561" i="1" s="1"/>
  <c r="D19560" i="1"/>
  <c r="E19560" i="1" s="1"/>
  <c r="E19559" i="1"/>
  <c r="D19559" i="1"/>
  <c r="D19558" i="1"/>
  <c r="E19558" i="1" s="1"/>
  <c r="D19557" i="1"/>
  <c r="E19557" i="1" s="1"/>
  <c r="D19556" i="1"/>
  <c r="E19556" i="1" s="1"/>
  <c r="D19555" i="1"/>
  <c r="E19555" i="1" s="1"/>
  <c r="D19554" i="1"/>
  <c r="E19554" i="1" s="1"/>
  <c r="D19553" i="1"/>
  <c r="E19553" i="1" s="1"/>
  <c r="D19552" i="1"/>
  <c r="E19552" i="1" s="1"/>
  <c r="D19551" i="1"/>
  <c r="E19551" i="1" s="1"/>
  <c r="E19550" i="1"/>
  <c r="D19550" i="1"/>
  <c r="E19549" i="1"/>
  <c r="D19549" i="1"/>
  <c r="D19548" i="1"/>
  <c r="E19548" i="1" s="1"/>
  <c r="E19547" i="1"/>
  <c r="D19547" i="1"/>
  <c r="D19546" i="1"/>
  <c r="E19546" i="1" s="1"/>
  <c r="E19545" i="1"/>
  <c r="D19545" i="1"/>
  <c r="D19544" i="1"/>
  <c r="E19544" i="1" s="1"/>
  <c r="D19543" i="1"/>
  <c r="E19543" i="1" s="1"/>
  <c r="D19542" i="1"/>
  <c r="E19542" i="1" s="1"/>
  <c r="D19541" i="1"/>
  <c r="E19541" i="1" s="1"/>
  <c r="D19540" i="1"/>
  <c r="E19540" i="1" s="1"/>
  <c r="D19539" i="1"/>
  <c r="E19539" i="1" s="1"/>
  <c r="D19538" i="1"/>
  <c r="E19538" i="1" s="1"/>
  <c r="E19537" i="1"/>
  <c r="D19537" i="1"/>
  <c r="D19536" i="1"/>
  <c r="E19536" i="1" s="1"/>
  <c r="E19535" i="1"/>
  <c r="D19535" i="1"/>
  <c r="D19534" i="1"/>
  <c r="E19534" i="1" s="1"/>
  <c r="D19533" i="1"/>
  <c r="E19533" i="1" s="1"/>
  <c r="D19532" i="1"/>
  <c r="E19532" i="1" s="1"/>
  <c r="D19531" i="1"/>
  <c r="E19531" i="1" s="1"/>
  <c r="D19530" i="1"/>
  <c r="E19530" i="1" s="1"/>
  <c r="D19529" i="1"/>
  <c r="E19529" i="1" s="1"/>
  <c r="D19528" i="1"/>
  <c r="E19528" i="1" s="1"/>
  <c r="D19527" i="1"/>
  <c r="E19527" i="1" s="1"/>
  <c r="E19526" i="1"/>
  <c r="D19526" i="1"/>
  <c r="D19525" i="1"/>
  <c r="E19525" i="1" s="1"/>
  <c r="D19524" i="1"/>
  <c r="E19524" i="1" s="1"/>
  <c r="E19523" i="1"/>
  <c r="D19523" i="1"/>
  <c r="D19522" i="1"/>
  <c r="E19522" i="1" s="1"/>
  <c r="D19521" i="1"/>
  <c r="E19521" i="1" s="1"/>
  <c r="D19520" i="1"/>
  <c r="E19520" i="1" s="1"/>
  <c r="D19519" i="1"/>
  <c r="E19519" i="1" s="1"/>
  <c r="E19518" i="1"/>
  <c r="D19518" i="1"/>
  <c r="E19517" i="1"/>
  <c r="D19517" i="1"/>
  <c r="D19516" i="1"/>
  <c r="E19516" i="1" s="1"/>
  <c r="D19515" i="1"/>
  <c r="E19515" i="1" s="1"/>
  <c r="D19514" i="1"/>
  <c r="E19514" i="1" s="1"/>
  <c r="E19513" i="1"/>
  <c r="D19513" i="1"/>
  <c r="D19512" i="1"/>
  <c r="E19512" i="1" s="1"/>
  <c r="E19511" i="1"/>
  <c r="D19511" i="1"/>
  <c r="D19510" i="1"/>
  <c r="E19510" i="1" s="1"/>
  <c r="D19509" i="1"/>
  <c r="E19509" i="1" s="1"/>
  <c r="D19508" i="1"/>
  <c r="E19508" i="1" s="1"/>
  <c r="D19507" i="1"/>
  <c r="E19507" i="1" s="1"/>
  <c r="E19506" i="1"/>
  <c r="D19506" i="1"/>
  <c r="D19505" i="1"/>
  <c r="E19505" i="1" s="1"/>
  <c r="D19504" i="1"/>
  <c r="E19504" i="1" s="1"/>
  <c r="E19503" i="1"/>
  <c r="D19503" i="1"/>
  <c r="E19502" i="1"/>
  <c r="D19502" i="1"/>
  <c r="D19501" i="1"/>
  <c r="E19501" i="1" s="1"/>
  <c r="D19500" i="1"/>
  <c r="E19500" i="1" s="1"/>
  <c r="E19499" i="1"/>
  <c r="D19499" i="1"/>
  <c r="D19498" i="1"/>
  <c r="E19498" i="1" s="1"/>
  <c r="D19497" i="1"/>
  <c r="E19497" i="1" s="1"/>
  <c r="D19496" i="1"/>
  <c r="E19496" i="1" s="1"/>
  <c r="D19495" i="1"/>
  <c r="E19495" i="1" s="1"/>
  <c r="D19494" i="1"/>
  <c r="E19494" i="1" s="1"/>
  <c r="E19493" i="1"/>
  <c r="D19493" i="1"/>
  <c r="D19492" i="1"/>
  <c r="E19492" i="1" s="1"/>
  <c r="E19491" i="1"/>
  <c r="D19491" i="1"/>
  <c r="D19490" i="1"/>
  <c r="E19490" i="1" s="1"/>
  <c r="D19489" i="1"/>
  <c r="E19489" i="1" s="1"/>
  <c r="D19488" i="1"/>
  <c r="E19488" i="1" s="1"/>
  <c r="E19487" i="1"/>
  <c r="D19487" i="1"/>
  <c r="D19486" i="1"/>
  <c r="E19486" i="1" s="1"/>
  <c r="D19485" i="1"/>
  <c r="E19485" i="1" s="1"/>
  <c r="D19484" i="1"/>
  <c r="E19484" i="1" s="1"/>
  <c r="D19483" i="1"/>
  <c r="E19483" i="1" s="1"/>
  <c r="E19482" i="1"/>
  <c r="D19482" i="1"/>
  <c r="D19481" i="1"/>
  <c r="E19481" i="1" s="1"/>
  <c r="D19480" i="1"/>
  <c r="E19480" i="1" s="1"/>
  <c r="D19479" i="1"/>
  <c r="E19479" i="1" s="1"/>
  <c r="E19478" i="1"/>
  <c r="D19478" i="1"/>
  <c r="E19477" i="1"/>
  <c r="D19477" i="1"/>
  <c r="D19476" i="1"/>
  <c r="E19476" i="1" s="1"/>
  <c r="E19475" i="1"/>
  <c r="D19475" i="1"/>
  <c r="D19474" i="1"/>
  <c r="E19474" i="1" s="1"/>
  <c r="E19473" i="1"/>
  <c r="D19473" i="1"/>
  <c r="D19472" i="1"/>
  <c r="E19472" i="1" s="1"/>
  <c r="D19471" i="1"/>
  <c r="E19471" i="1" s="1"/>
  <c r="D19470" i="1"/>
  <c r="E19470" i="1" s="1"/>
  <c r="E19469" i="1"/>
  <c r="D19469" i="1"/>
  <c r="D19468" i="1"/>
  <c r="E19468" i="1" s="1"/>
  <c r="E19467" i="1"/>
  <c r="D19467" i="1"/>
  <c r="D19466" i="1"/>
  <c r="E19466" i="1" s="1"/>
  <c r="E19465" i="1"/>
  <c r="D19465" i="1"/>
  <c r="D19464" i="1"/>
  <c r="E19464" i="1" s="1"/>
  <c r="E19463" i="1"/>
  <c r="D19463" i="1"/>
  <c r="D19462" i="1"/>
  <c r="E19462" i="1" s="1"/>
  <c r="E19461" i="1"/>
  <c r="D19461" i="1"/>
  <c r="D19460" i="1"/>
  <c r="E19460" i="1" s="1"/>
  <c r="D19459" i="1"/>
  <c r="E19459" i="1" s="1"/>
  <c r="D19458" i="1"/>
  <c r="E19458" i="1" s="1"/>
  <c r="D19457" i="1"/>
  <c r="E19457" i="1" s="1"/>
  <c r="D19456" i="1"/>
  <c r="E19456" i="1" s="1"/>
  <c r="D19455" i="1"/>
  <c r="E19455" i="1" s="1"/>
  <c r="E19454" i="1"/>
  <c r="D19454" i="1"/>
  <c r="E19453" i="1"/>
  <c r="D19453" i="1"/>
  <c r="D19452" i="1"/>
  <c r="E19452" i="1" s="1"/>
  <c r="E19451" i="1"/>
  <c r="D19451" i="1"/>
  <c r="D19450" i="1"/>
  <c r="E19450" i="1" s="1"/>
  <c r="D19449" i="1"/>
  <c r="E19449" i="1" s="1"/>
  <c r="D19448" i="1"/>
  <c r="E19448" i="1" s="1"/>
  <c r="D19447" i="1"/>
  <c r="E19447" i="1" s="1"/>
  <c r="E19446" i="1"/>
  <c r="D19446" i="1"/>
  <c r="D19445" i="1"/>
  <c r="E19445" i="1" s="1"/>
  <c r="D19444" i="1"/>
  <c r="E19444" i="1" s="1"/>
  <c r="D19443" i="1"/>
  <c r="E19443" i="1" s="1"/>
  <c r="D19442" i="1"/>
  <c r="E19442" i="1" s="1"/>
  <c r="D19441" i="1"/>
  <c r="E19441" i="1" s="1"/>
  <c r="D19440" i="1"/>
  <c r="E19440" i="1" s="1"/>
  <c r="E19439" i="1"/>
  <c r="D19439" i="1"/>
  <c r="D19438" i="1"/>
  <c r="E19438" i="1" s="1"/>
  <c r="E19437" i="1"/>
  <c r="D19437" i="1"/>
  <c r="D19436" i="1"/>
  <c r="E19436" i="1" s="1"/>
  <c r="D19435" i="1"/>
  <c r="E19435" i="1" s="1"/>
  <c r="E19434" i="1"/>
  <c r="D19434" i="1"/>
  <c r="D19433" i="1"/>
  <c r="E19433" i="1" s="1"/>
  <c r="D19432" i="1"/>
  <c r="E19432" i="1" s="1"/>
  <c r="E19431" i="1"/>
  <c r="D19431" i="1"/>
  <c r="D19430" i="1"/>
  <c r="E19430" i="1" s="1"/>
  <c r="E19429" i="1"/>
  <c r="D19429" i="1"/>
  <c r="D19428" i="1"/>
  <c r="E19428" i="1" s="1"/>
  <c r="E19427" i="1"/>
  <c r="D19427" i="1"/>
  <c r="D19426" i="1"/>
  <c r="E19426" i="1" s="1"/>
  <c r="D19425" i="1"/>
  <c r="E19425" i="1" s="1"/>
  <c r="D19424" i="1"/>
  <c r="E19424" i="1" s="1"/>
  <c r="D19423" i="1"/>
  <c r="E19423" i="1" s="1"/>
  <c r="E19422" i="1"/>
  <c r="D19422" i="1"/>
  <c r="D19421" i="1"/>
  <c r="E19421" i="1" s="1"/>
  <c r="D19420" i="1"/>
  <c r="E19420" i="1" s="1"/>
  <c r="E19419" i="1"/>
  <c r="D19419" i="1"/>
  <c r="D19418" i="1"/>
  <c r="E19418" i="1" s="1"/>
  <c r="D19417" i="1"/>
  <c r="E19417" i="1" s="1"/>
  <c r="D19416" i="1"/>
  <c r="E19416" i="1" s="1"/>
  <c r="E19415" i="1"/>
  <c r="D19415" i="1"/>
  <c r="D19414" i="1"/>
  <c r="E19414" i="1" s="1"/>
  <c r="D19413" i="1"/>
  <c r="E19413" i="1" s="1"/>
  <c r="D19412" i="1"/>
  <c r="E19412" i="1" s="1"/>
  <c r="D19411" i="1"/>
  <c r="E19411" i="1" s="1"/>
  <c r="D19410" i="1"/>
  <c r="E19410" i="1" s="1"/>
  <c r="D19409" i="1"/>
  <c r="E19409" i="1" s="1"/>
  <c r="D19408" i="1"/>
  <c r="E19408" i="1" s="1"/>
  <c r="E19407" i="1"/>
  <c r="D19407" i="1"/>
  <c r="D19406" i="1"/>
  <c r="E19406" i="1" s="1"/>
  <c r="D19405" i="1"/>
  <c r="E19405" i="1" s="1"/>
  <c r="D19404" i="1"/>
  <c r="E19404" i="1" s="1"/>
  <c r="E19403" i="1"/>
  <c r="D19403" i="1"/>
  <c r="D19402" i="1"/>
  <c r="E19402" i="1" s="1"/>
  <c r="E19401" i="1"/>
  <c r="D19401" i="1"/>
  <c r="D19400" i="1"/>
  <c r="E19400" i="1" s="1"/>
  <c r="D19399" i="1"/>
  <c r="E19399" i="1" s="1"/>
  <c r="E19398" i="1"/>
  <c r="D19398" i="1"/>
  <c r="E19397" i="1"/>
  <c r="D19397" i="1"/>
  <c r="D19396" i="1"/>
  <c r="E19396" i="1" s="1"/>
  <c r="D19395" i="1"/>
  <c r="E19395" i="1" s="1"/>
  <c r="D19394" i="1"/>
  <c r="E19394" i="1" s="1"/>
  <c r="D19393" i="1"/>
  <c r="E19393" i="1" s="1"/>
  <c r="D19392" i="1"/>
  <c r="E19392" i="1" s="1"/>
  <c r="E19391" i="1"/>
  <c r="D19391" i="1"/>
  <c r="D19390" i="1"/>
  <c r="E19390" i="1" s="1"/>
  <c r="E19389" i="1"/>
  <c r="D19389" i="1"/>
  <c r="D19388" i="1"/>
  <c r="E19388" i="1" s="1"/>
  <c r="D19387" i="1"/>
  <c r="E19387" i="1" s="1"/>
  <c r="D19386" i="1"/>
  <c r="E19386" i="1" s="1"/>
  <c r="E19385" i="1"/>
  <c r="D19385" i="1"/>
  <c r="D19384" i="1"/>
  <c r="E19384" i="1" s="1"/>
  <c r="E19383" i="1"/>
  <c r="D19383" i="1"/>
  <c r="E19382" i="1"/>
  <c r="D19382" i="1"/>
  <c r="E19381" i="1"/>
  <c r="D19381" i="1"/>
  <c r="D19380" i="1"/>
  <c r="E19380" i="1" s="1"/>
  <c r="E19379" i="1"/>
  <c r="D19379" i="1"/>
  <c r="D19378" i="1"/>
  <c r="E19378" i="1" s="1"/>
  <c r="D19377" i="1"/>
  <c r="E19377" i="1" s="1"/>
  <c r="D19376" i="1"/>
  <c r="E19376" i="1" s="1"/>
  <c r="D19375" i="1"/>
  <c r="E19375" i="1" s="1"/>
  <c r="E19374" i="1"/>
  <c r="D19374" i="1"/>
  <c r="D19373" i="1"/>
  <c r="E19373" i="1" s="1"/>
  <c r="D19372" i="1"/>
  <c r="E19372" i="1" s="1"/>
  <c r="D19371" i="1"/>
  <c r="E19371" i="1" s="1"/>
  <c r="E19370" i="1"/>
  <c r="D19370" i="1"/>
  <c r="D19369" i="1"/>
  <c r="E19369" i="1" s="1"/>
  <c r="D19368" i="1"/>
  <c r="E19368" i="1" s="1"/>
  <c r="E19367" i="1"/>
  <c r="D19367" i="1"/>
  <c r="D19366" i="1"/>
  <c r="E19366" i="1" s="1"/>
  <c r="D19365" i="1"/>
  <c r="E19365" i="1" s="1"/>
  <c r="D19364" i="1"/>
  <c r="E19364" i="1" s="1"/>
  <c r="D19363" i="1"/>
  <c r="E19363" i="1" s="1"/>
  <c r="D19362" i="1"/>
  <c r="E19362" i="1" s="1"/>
  <c r="E19361" i="1"/>
  <c r="D19361" i="1"/>
  <c r="D19360" i="1"/>
  <c r="E19360" i="1" s="1"/>
  <c r="E19359" i="1"/>
  <c r="D19359" i="1"/>
  <c r="D19358" i="1"/>
  <c r="E19358" i="1" s="1"/>
  <c r="D19357" i="1"/>
  <c r="E19357" i="1" s="1"/>
  <c r="D19356" i="1"/>
  <c r="E19356" i="1" s="1"/>
  <c r="E19355" i="1"/>
  <c r="D19355" i="1"/>
  <c r="D19354" i="1"/>
  <c r="E19354" i="1" s="1"/>
  <c r="D19353" i="1"/>
  <c r="E19353" i="1" s="1"/>
  <c r="D19352" i="1"/>
  <c r="E19352" i="1" s="1"/>
  <c r="D19351" i="1"/>
  <c r="E19351" i="1" s="1"/>
  <c r="D19350" i="1"/>
  <c r="E19350" i="1" s="1"/>
  <c r="D19349" i="1"/>
  <c r="E19349" i="1" s="1"/>
  <c r="D19348" i="1"/>
  <c r="E19348" i="1" s="1"/>
  <c r="E19347" i="1"/>
  <c r="D19347" i="1"/>
  <c r="D19346" i="1"/>
  <c r="E19346" i="1" s="1"/>
  <c r="E19345" i="1"/>
  <c r="D19345" i="1"/>
  <c r="D19344" i="1"/>
  <c r="E19344" i="1" s="1"/>
  <c r="E19343" i="1"/>
  <c r="D19343" i="1"/>
  <c r="D19342" i="1"/>
  <c r="E19342" i="1" s="1"/>
  <c r="E19341" i="1"/>
  <c r="D19341" i="1"/>
  <c r="D19340" i="1"/>
  <c r="E19340" i="1" s="1"/>
  <c r="D19339" i="1"/>
  <c r="E19339" i="1" s="1"/>
  <c r="D19338" i="1"/>
  <c r="E19338" i="1" s="1"/>
  <c r="D19337" i="1"/>
  <c r="E19337" i="1" s="1"/>
  <c r="D19336" i="1"/>
  <c r="E19336" i="1" s="1"/>
  <c r="D19335" i="1"/>
  <c r="E19335" i="1" s="1"/>
  <c r="D19334" i="1"/>
  <c r="E19334" i="1" s="1"/>
  <c r="E19333" i="1"/>
  <c r="D19333" i="1"/>
  <c r="D19332" i="1"/>
  <c r="E19332" i="1" s="1"/>
  <c r="D19331" i="1"/>
  <c r="E19331" i="1" s="1"/>
  <c r="D19330" i="1"/>
  <c r="E19330" i="1" s="1"/>
  <c r="D19329" i="1"/>
  <c r="E19329" i="1" s="1"/>
  <c r="D19328" i="1"/>
  <c r="E19328" i="1" s="1"/>
  <c r="D19327" i="1"/>
  <c r="E19327" i="1" s="1"/>
  <c r="E19326" i="1"/>
  <c r="D19326" i="1"/>
  <c r="D19325" i="1"/>
  <c r="E19325" i="1" s="1"/>
  <c r="D19324" i="1"/>
  <c r="E19324" i="1" s="1"/>
  <c r="D19323" i="1"/>
  <c r="E19323" i="1" s="1"/>
  <c r="D19322" i="1"/>
  <c r="E19322" i="1" s="1"/>
  <c r="D19321" i="1"/>
  <c r="E19321" i="1" s="1"/>
  <c r="D19320" i="1"/>
  <c r="E19320" i="1" s="1"/>
  <c r="D19319" i="1"/>
  <c r="E19319" i="1" s="1"/>
  <c r="D19318" i="1"/>
  <c r="E19318" i="1" s="1"/>
  <c r="D19317" i="1"/>
  <c r="E19317" i="1" s="1"/>
  <c r="D19316" i="1"/>
  <c r="E19316" i="1" s="1"/>
  <c r="D19315" i="1"/>
  <c r="E19315" i="1" s="1"/>
  <c r="D19314" i="1"/>
  <c r="E19314" i="1" s="1"/>
  <c r="D19313" i="1"/>
  <c r="E19313" i="1" s="1"/>
  <c r="E19312" i="1"/>
  <c r="D19312" i="1"/>
  <c r="D19311" i="1"/>
  <c r="E19311" i="1" s="1"/>
  <c r="D19310" i="1"/>
  <c r="E19310" i="1" s="1"/>
  <c r="D19309" i="1"/>
  <c r="E19309" i="1" s="1"/>
  <c r="D19308" i="1"/>
  <c r="E19308" i="1" s="1"/>
  <c r="D19307" i="1"/>
  <c r="E19307" i="1" s="1"/>
  <c r="D19306" i="1"/>
  <c r="E19306" i="1" s="1"/>
  <c r="D19305" i="1"/>
  <c r="E19305" i="1" s="1"/>
  <c r="D19304" i="1"/>
  <c r="E19304" i="1" s="1"/>
  <c r="D19303" i="1"/>
  <c r="E19303" i="1" s="1"/>
  <c r="D19302" i="1"/>
  <c r="E19302" i="1" s="1"/>
  <c r="E19301" i="1"/>
  <c r="D19301" i="1"/>
  <c r="D19300" i="1"/>
  <c r="E19300" i="1" s="1"/>
  <c r="D19299" i="1"/>
  <c r="E19299" i="1" s="1"/>
  <c r="E19298" i="1"/>
  <c r="D19298" i="1"/>
  <c r="D19297" i="1"/>
  <c r="E19297" i="1" s="1"/>
  <c r="D19296" i="1"/>
  <c r="E19296" i="1" s="1"/>
  <c r="E19295" i="1"/>
  <c r="D19295" i="1"/>
  <c r="D19294" i="1"/>
  <c r="E19294" i="1" s="1"/>
  <c r="D19293" i="1"/>
  <c r="E19293" i="1" s="1"/>
  <c r="D19292" i="1"/>
  <c r="E19292" i="1" s="1"/>
  <c r="D19291" i="1"/>
  <c r="E19291" i="1" s="1"/>
  <c r="D19290" i="1"/>
  <c r="E19290" i="1" s="1"/>
  <c r="E19289" i="1"/>
  <c r="D19289" i="1"/>
  <c r="D19288" i="1"/>
  <c r="E19288" i="1" s="1"/>
  <c r="E19287" i="1"/>
  <c r="D19287" i="1"/>
  <c r="D19286" i="1"/>
  <c r="E19286" i="1" s="1"/>
  <c r="D19285" i="1"/>
  <c r="E19285" i="1" s="1"/>
  <c r="D19284" i="1"/>
  <c r="E19284" i="1" s="1"/>
  <c r="D19283" i="1"/>
  <c r="E19283" i="1" s="1"/>
  <c r="D19282" i="1"/>
  <c r="E19282" i="1" s="1"/>
  <c r="D19281" i="1"/>
  <c r="E19281" i="1" s="1"/>
  <c r="D19280" i="1"/>
  <c r="E19280" i="1" s="1"/>
  <c r="D19279" i="1"/>
  <c r="E19279" i="1" s="1"/>
  <c r="D19278" i="1"/>
  <c r="E19278" i="1" s="1"/>
  <c r="D19277" i="1"/>
  <c r="E19277" i="1" s="1"/>
  <c r="D19276" i="1"/>
  <c r="E19276" i="1" s="1"/>
  <c r="E19275" i="1"/>
  <c r="D19275" i="1"/>
  <c r="D19274" i="1"/>
  <c r="E19274" i="1" s="1"/>
  <c r="E19273" i="1"/>
  <c r="D19273" i="1"/>
  <c r="D19272" i="1"/>
  <c r="E19272" i="1" s="1"/>
  <c r="E19271" i="1"/>
  <c r="D19271" i="1"/>
  <c r="D19270" i="1"/>
  <c r="E19270" i="1" s="1"/>
  <c r="E19269" i="1"/>
  <c r="D19269" i="1"/>
  <c r="D19268" i="1"/>
  <c r="E19268" i="1" s="1"/>
  <c r="D19267" i="1"/>
  <c r="E19267" i="1" s="1"/>
  <c r="D19266" i="1"/>
  <c r="E19266" i="1" s="1"/>
  <c r="D19265" i="1"/>
  <c r="E19265" i="1" s="1"/>
  <c r="D19264" i="1"/>
  <c r="E19264" i="1" s="1"/>
  <c r="D19263" i="1"/>
  <c r="E19263" i="1" s="1"/>
  <c r="D19262" i="1"/>
  <c r="E19262" i="1" s="1"/>
  <c r="E19261" i="1"/>
  <c r="D19261" i="1"/>
  <c r="D19260" i="1"/>
  <c r="E19260" i="1" s="1"/>
  <c r="D19259" i="1"/>
  <c r="E19259" i="1" s="1"/>
  <c r="D19258" i="1"/>
  <c r="E19258" i="1" s="1"/>
  <c r="D19257" i="1"/>
  <c r="E19257" i="1" s="1"/>
  <c r="D19256" i="1"/>
  <c r="E19256" i="1" s="1"/>
  <c r="D19255" i="1"/>
  <c r="E19255" i="1" s="1"/>
  <c r="E19254" i="1"/>
  <c r="D19254" i="1"/>
  <c r="D19253" i="1"/>
  <c r="E19253" i="1" s="1"/>
  <c r="D19252" i="1"/>
  <c r="E19252" i="1" s="1"/>
  <c r="D19251" i="1"/>
  <c r="E19251" i="1" s="1"/>
  <c r="D19250" i="1"/>
  <c r="E19250" i="1" s="1"/>
  <c r="D19249" i="1"/>
  <c r="E19249" i="1" s="1"/>
  <c r="D19248" i="1"/>
  <c r="E19248" i="1" s="1"/>
  <c r="D19247" i="1"/>
  <c r="E19247" i="1" s="1"/>
  <c r="D19246" i="1"/>
  <c r="E19246" i="1" s="1"/>
  <c r="D19245" i="1"/>
  <c r="E19245" i="1" s="1"/>
  <c r="D19244" i="1"/>
  <c r="E19244" i="1" s="1"/>
  <c r="D19243" i="1"/>
  <c r="E19243" i="1" s="1"/>
  <c r="D19242" i="1"/>
  <c r="E19242" i="1" s="1"/>
  <c r="D19241" i="1"/>
  <c r="E19241" i="1" s="1"/>
  <c r="E19240" i="1"/>
  <c r="D19240" i="1"/>
  <c r="D19239" i="1"/>
  <c r="E19239" i="1" s="1"/>
  <c r="D19238" i="1"/>
  <c r="E19238" i="1" s="1"/>
  <c r="D19237" i="1"/>
  <c r="E19237" i="1" s="1"/>
  <c r="D19236" i="1"/>
  <c r="E19236" i="1" s="1"/>
  <c r="D19235" i="1"/>
  <c r="E19235" i="1" s="1"/>
  <c r="E19234" i="1"/>
  <c r="D19234" i="1"/>
  <c r="D19233" i="1"/>
  <c r="E19233" i="1" s="1"/>
  <c r="D19232" i="1"/>
  <c r="E19232" i="1" s="1"/>
  <c r="D19231" i="1"/>
  <c r="E19231" i="1" s="1"/>
  <c r="D19230" i="1"/>
  <c r="E19230" i="1" s="1"/>
  <c r="E19229" i="1"/>
  <c r="D19229" i="1"/>
  <c r="E19228" i="1"/>
  <c r="D19228" i="1"/>
  <c r="E19227" i="1"/>
  <c r="D19227" i="1"/>
  <c r="D19226" i="1"/>
  <c r="E19226" i="1" s="1"/>
  <c r="E19225" i="1"/>
  <c r="D19225" i="1"/>
  <c r="D19224" i="1"/>
  <c r="E19224" i="1" s="1"/>
  <c r="D19223" i="1"/>
  <c r="E19223" i="1" s="1"/>
  <c r="D19222" i="1"/>
  <c r="E19222" i="1" s="1"/>
  <c r="D19221" i="1"/>
  <c r="E19221" i="1" s="1"/>
  <c r="D19220" i="1"/>
  <c r="E19220" i="1" s="1"/>
  <c r="D19219" i="1"/>
  <c r="E19219" i="1" s="1"/>
  <c r="E19218" i="1"/>
  <c r="D19218" i="1"/>
  <c r="D19217" i="1"/>
  <c r="E19217" i="1" s="1"/>
  <c r="E19216" i="1"/>
  <c r="D19216" i="1"/>
  <c r="D19215" i="1"/>
  <c r="E19215" i="1" s="1"/>
  <c r="D19214" i="1"/>
  <c r="E19214" i="1" s="1"/>
  <c r="E19213" i="1"/>
  <c r="D19213" i="1"/>
  <c r="D19212" i="1"/>
  <c r="E19212" i="1" s="1"/>
  <c r="E19211" i="1"/>
  <c r="D19211" i="1"/>
  <c r="E19210" i="1"/>
  <c r="D19210" i="1"/>
  <c r="E19209" i="1"/>
  <c r="D19209" i="1"/>
  <c r="D19208" i="1"/>
  <c r="E19208" i="1" s="1"/>
  <c r="D19207" i="1"/>
  <c r="E19207" i="1" s="1"/>
  <c r="E19206" i="1"/>
  <c r="D19206" i="1"/>
  <c r="D19205" i="1"/>
  <c r="E19205" i="1" s="1"/>
  <c r="D19204" i="1"/>
  <c r="E19204" i="1" s="1"/>
  <c r="D19203" i="1"/>
  <c r="E19203" i="1" s="1"/>
  <c r="E19202" i="1"/>
  <c r="D19202" i="1"/>
  <c r="E19201" i="1"/>
  <c r="D19201" i="1"/>
  <c r="D19200" i="1"/>
  <c r="E19200" i="1" s="1"/>
  <c r="E19199" i="1"/>
  <c r="D19199" i="1"/>
  <c r="D19198" i="1"/>
  <c r="E19198" i="1" s="1"/>
  <c r="D19197" i="1"/>
  <c r="E19197" i="1" s="1"/>
  <c r="D19196" i="1"/>
  <c r="E19196" i="1" s="1"/>
  <c r="D19195" i="1"/>
  <c r="E19195" i="1" s="1"/>
  <c r="D19194" i="1"/>
  <c r="E19194" i="1" s="1"/>
  <c r="D19193" i="1"/>
  <c r="E19193" i="1" s="1"/>
  <c r="D19192" i="1"/>
  <c r="E19192" i="1" s="1"/>
  <c r="E19191" i="1"/>
  <c r="D19191" i="1"/>
  <c r="D19190" i="1"/>
  <c r="E19190" i="1" s="1"/>
  <c r="E19189" i="1"/>
  <c r="D19189" i="1"/>
  <c r="D19188" i="1"/>
  <c r="E19188" i="1" s="1"/>
  <c r="E19187" i="1"/>
  <c r="D19187" i="1"/>
  <c r="E19186" i="1"/>
  <c r="D19186" i="1"/>
  <c r="D19185" i="1"/>
  <c r="E19185" i="1" s="1"/>
  <c r="D19184" i="1"/>
  <c r="E19184" i="1" s="1"/>
  <c r="D19183" i="1"/>
  <c r="E19183" i="1" s="1"/>
  <c r="E19182" i="1"/>
  <c r="D19182" i="1"/>
  <c r="E19181" i="1"/>
  <c r="D19181" i="1"/>
  <c r="D19180" i="1"/>
  <c r="E19180" i="1" s="1"/>
  <c r="E19179" i="1"/>
  <c r="D19179" i="1"/>
  <c r="D19178" i="1"/>
  <c r="E19178" i="1" s="1"/>
  <c r="D19177" i="1"/>
  <c r="E19177" i="1" s="1"/>
  <c r="D19176" i="1"/>
  <c r="E19176" i="1" s="1"/>
  <c r="E19175" i="1"/>
  <c r="D19175" i="1"/>
  <c r="D19174" i="1"/>
  <c r="E19174" i="1" s="1"/>
  <c r="D19173" i="1"/>
  <c r="E19173" i="1" s="1"/>
  <c r="D19172" i="1"/>
  <c r="E19172" i="1" s="1"/>
  <c r="D19171" i="1"/>
  <c r="E19171" i="1" s="1"/>
  <c r="D19170" i="1"/>
  <c r="E19170" i="1" s="1"/>
  <c r="D19169" i="1"/>
  <c r="E19169" i="1" s="1"/>
  <c r="D19168" i="1"/>
  <c r="E19168" i="1" s="1"/>
  <c r="D19167" i="1"/>
  <c r="E19167" i="1" s="1"/>
  <c r="D19166" i="1"/>
  <c r="E19166" i="1" s="1"/>
  <c r="D19165" i="1"/>
  <c r="E19165" i="1" s="1"/>
  <c r="D19164" i="1"/>
  <c r="E19164" i="1" s="1"/>
  <c r="D19163" i="1"/>
  <c r="E19163" i="1" s="1"/>
  <c r="E19162" i="1"/>
  <c r="D19162" i="1"/>
  <c r="E19161" i="1"/>
  <c r="D19161" i="1"/>
  <c r="D19160" i="1"/>
  <c r="E19160" i="1" s="1"/>
  <c r="D19159" i="1"/>
  <c r="E19159" i="1" s="1"/>
  <c r="E19158" i="1"/>
  <c r="D19158" i="1"/>
  <c r="D19157" i="1"/>
  <c r="E19157" i="1" s="1"/>
  <c r="E19156" i="1"/>
  <c r="D19156" i="1"/>
  <c r="E19155" i="1"/>
  <c r="D19155" i="1"/>
  <c r="E19154" i="1"/>
  <c r="D19154" i="1"/>
  <c r="D19153" i="1"/>
  <c r="E19153" i="1" s="1"/>
  <c r="D19152" i="1"/>
  <c r="E19152" i="1" s="1"/>
  <c r="D19151" i="1"/>
  <c r="E19151" i="1" s="1"/>
  <c r="E19150" i="1"/>
  <c r="D19150" i="1"/>
  <c r="D19149" i="1"/>
  <c r="E19149" i="1" s="1"/>
  <c r="D19148" i="1"/>
  <c r="E19148" i="1" s="1"/>
  <c r="D19147" i="1"/>
  <c r="E19147" i="1" s="1"/>
  <c r="D19146" i="1"/>
  <c r="E19146" i="1" s="1"/>
  <c r="D19145" i="1"/>
  <c r="E19145" i="1" s="1"/>
  <c r="E19144" i="1"/>
  <c r="D19144" i="1"/>
  <c r="D19143" i="1"/>
  <c r="E19143" i="1" s="1"/>
  <c r="D19142" i="1"/>
  <c r="E19142" i="1" s="1"/>
  <c r="D19141" i="1"/>
  <c r="E19141" i="1" s="1"/>
  <c r="D19140" i="1"/>
  <c r="E19140" i="1" s="1"/>
  <c r="D19139" i="1"/>
  <c r="E19139" i="1" s="1"/>
  <c r="E19138" i="1"/>
  <c r="D19138" i="1"/>
  <c r="D19137" i="1"/>
  <c r="E19137" i="1" s="1"/>
  <c r="D19136" i="1"/>
  <c r="E19136" i="1" s="1"/>
  <c r="D19135" i="1"/>
  <c r="E19135" i="1" s="1"/>
  <c r="D19134" i="1"/>
  <c r="E19134" i="1" s="1"/>
  <c r="E19133" i="1"/>
  <c r="D19133" i="1"/>
  <c r="E19132" i="1"/>
  <c r="D19132" i="1"/>
  <c r="E19131" i="1"/>
  <c r="D19131" i="1"/>
  <c r="D19130" i="1"/>
  <c r="E19130" i="1" s="1"/>
  <c r="E19129" i="1"/>
  <c r="D19129" i="1"/>
  <c r="D19128" i="1"/>
  <c r="E19128" i="1" s="1"/>
  <c r="D19127" i="1"/>
  <c r="E19127" i="1" s="1"/>
  <c r="D19126" i="1"/>
  <c r="E19126" i="1" s="1"/>
  <c r="D19125" i="1"/>
  <c r="E19125" i="1" s="1"/>
  <c r="D19124" i="1"/>
  <c r="E19124" i="1" s="1"/>
  <c r="D19123" i="1"/>
  <c r="E19123" i="1" s="1"/>
  <c r="E19122" i="1"/>
  <c r="D19122" i="1"/>
  <c r="D19121" i="1"/>
  <c r="E19121" i="1" s="1"/>
  <c r="E19120" i="1"/>
  <c r="D19120" i="1"/>
  <c r="D19119" i="1"/>
  <c r="E19119" i="1" s="1"/>
  <c r="D19118" i="1"/>
  <c r="E19118" i="1" s="1"/>
  <c r="E19117" i="1"/>
  <c r="D19117" i="1"/>
  <c r="D19116" i="1"/>
  <c r="E19116" i="1" s="1"/>
  <c r="E19115" i="1"/>
  <c r="D19115" i="1"/>
  <c r="E19114" i="1"/>
  <c r="D19114" i="1"/>
  <c r="E19113" i="1"/>
  <c r="D19113" i="1"/>
  <c r="D19112" i="1"/>
  <c r="E19112" i="1" s="1"/>
  <c r="D19111" i="1"/>
  <c r="E19111" i="1" s="1"/>
  <c r="E19110" i="1"/>
  <c r="D19110" i="1"/>
  <c r="D19109" i="1"/>
  <c r="E19109" i="1" s="1"/>
  <c r="D19108" i="1"/>
  <c r="E19108" i="1" s="1"/>
  <c r="D19107" i="1"/>
  <c r="E19107" i="1" s="1"/>
  <c r="E19106" i="1"/>
  <c r="D19106" i="1"/>
  <c r="E19105" i="1"/>
  <c r="D19105" i="1"/>
  <c r="D19104" i="1"/>
  <c r="E19104" i="1" s="1"/>
  <c r="E19103" i="1"/>
  <c r="D19103" i="1"/>
  <c r="D19102" i="1"/>
  <c r="E19102" i="1" s="1"/>
  <c r="D19101" i="1"/>
  <c r="E19101" i="1" s="1"/>
  <c r="D19100" i="1"/>
  <c r="E19100" i="1" s="1"/>
  <c r="D19099" i="1"/>
  <c r="E19099" i="1" s="1"/>
  <c r="D19098" i="1"/>
  <c r="E19098" i="1" s="1"/>
  <c r="D19097" i="1"/>
  <c r="E19097" i="1" s="1"/>
  <c r="E19096" i="1"/>
  <c r="D19096" i="1"/>
  <c r="D19095" i="1"/>
  <c r="E19095" i="1" s="1"/>
  <c r="E19094" i="1"/>
  <c r="D19094" i="1"/>
  <c r="D19093" i="1"/>
  <c r="E19093" i="1" s="1"/>
  <c r="D19092" i="1"/>
  <c r="E19092" i="1" s="1"/>
  <c r="E19091" i="1"/>
  <c r="D19091" i="1"/>
  <c r="D19090" i="1"/>
  <c r="E19090" i="1" s="1"/>
  <c r="D19089" i="1"/>
  <c r="E19089" i="1" s="1"/>
  <c r="D19088" i="1"/>
  <c r="E19088" i="1" s="1"/>
  <c r="D19087" i="1"/>
  <c r="E19087" i="1" s="1"/>
  <c r="D19086" i="1"/>
  <c r="E19086" i="1" s="1"/>
  <c r="D19085" i="1"/>
  <c r="E19085" i="1" s="1"/>
  <c r="E19084" i="1"/>
  <c r="D19084" i="1"/>
  <c r="D19083" i="1"/>
  <c r="E19083" i="1" s="1"/>
  <c r="E19082" i="1"/>
  <c r="D19082" i="1"/>
  <c r="D19081" i="1"/>
  <c r="E19081" i="1" s="1"/>
  <c r="D19080" i="1"/>
  <c r="E19080" i="1" s="1"/>
  <c r="E19079" i="1"/>
  <c r="D19079" i="1"/>
  <c r="D19078" i="1"/>
  <c r="E19078" i="1" s="1"/>
  <c r="D19077" i="1"/>
  <c r="E19077" i="1" s="1"/>
  <c r="D19076" i="1"/>
  <c r="E19076" i="1" s="1"/>
  <c r="D19075" i="1"/>
  <c r="E19075" i="1" s="1"/>
  <c r="D19074" i="1"/>
  <c r="E19074" i="1" s="1"/>
  <c r="D19073" i="1"/>
  <c r="E19073" i="1" s="1"/>
  <c r="E19072" i="1"/>
  <c r="D19072" i="1"/>
  <c r="D19071" i="1"/>
  <c r="E19071" i="1" s="1"/>
  <c r="E19070" i="1"/>
  <c r="D19070" i="1"/>
  <c r="D19069" i="1"/>
  <c r="E19069" i="1" s="1"/>
  <c r="D19068" i="1"/>
  <c r="E19068" i="1" s="1"/>
  <c r="E19067" i="1"/>
  <c r="D19067" i="1"/>
  <c r="D19066" i="1"/>
  <c r="E19066" i="1" s="1"/>
  <c r="D19065" i="1"/>
  <c r="E19065" i="1" s="1"/>
  <c r="D19064" i="1"/>
  <c r="E19064" i="1" s="1"/>
  <c r="D19063" i="1"/>
  <c r="E19063" i="1" s="1"/>
  <c r="D19062" i="1"/>
  <c r="E19062" i="1" s="1"/>
  <c r="D19061" i="1"/>
  <c r="E19061" i="1" s="1"/>
  <c r="E19060" i="1"/>
  <c r="D19060" i="1"/>
  <c r="D19059" i="1"/>
  <c r="E19059" i="1" s="1"/>
  <c r="E19058" i="1"/>
  <c r="D19058" i="1"/>
  <c r="D19057" i="1"/>
  <c r="E19057" i="1" s="1"/>
  <c r="D19056" i="1"/>
  <c r="E19056" i="1" s="1"/>
  <c r="E19055" i="1"/>
  <c r="D19055" i="1"/>
  <c r="D19054" i="1"/>
  <c r="E19054" i="1" s="1"/>
  <c r="D19053" i="1"/>
  <c r="E19053" i="1" s="1"/>
  <c r="D19052" i="1"/>
  <c r="E19052" i="1" s="1"/>
  <c r="D19051" i="1"/>
  <c r="E19051" i="1" s="1"/>
  <c r="D19050" i="1"/>
  <c r="E19050" i="1" s="1"/>
  <c r="D19049" i="1"/>
  <c r="E19049" i="1" s="1"/>
  <c r="E19048" i="1"/>
  <c r="D19048" i="1"/>
  <c r="D19047" i="1"/>
  <c r="E19047" i="1" s="1"/>
  <c r="E19046" i="1"/>
  <c r="D19046" i="1"/>
  <c r="D19045" i="1"/>
  <c r="E19045" i="1" s="1"/>
  <c r="D19044" i="1"/>
  <c r="E19044" i="1" s="1"/>
  <c r="E19043" i="1"/>
  <c r="D19043" i="1"/>
  <c r="D19042" i="1"/>
  <c r="E19042" i="1" s="1"/>
  <c r="D19041" i="1"/>
  <c r="E19041" i="1" s="1"/>
  <c r="D19040" i="1"/>
  <c r="E19040" i="1" s="1"/>
  <c r="D19039" i="1"/>
  <c r="E19039" i="1" s="1"/>
  <c r="D19038" i="1"/>
  <c r="E19038" i="1" s="1"/>
  <c r="D19037" i="1"/>
  <c r="E19037" i="1" s="1"/>
  <c r="E19036" i="1"/>
  <c r="D19036" i="1"/>
  <c r="D19035" i="1"/>
  <c r="E19035" i="1" s="1"/>
  <c r="E19034" i="1"/>
  <c r="D19034" i="1"/>
  <c r="D19033" i="1"/>
  <c r="E19033" i="1" s="1"/>
  <c r="D19032" i="1"/>
  <c r="E19032" i="1" s="1"/>
  <c r="E19031" i="1"/>
  <c r="D19031" i="1"/>
  <c r="D19030" i="1"/>
  <c r="E19030" i="1" s="1"/>
  <c r="D19029" i="1"/>
  <c r="E19029" i="1" s="1"/>
  <c r="D19028" i="1"/>
  <c r="E19028" i="1" s="1"/>
  <c r="D19027" i="1"/>
  <c r="E19027" i="1" s="1"/>
  <c r="D19026" i="1"/>
  <c r="E19026" i="1" s="1"/>
  <c r="D19025" i="1"/>
  <c r="E19025" i="1" s="1"/>
  <c r="E19024" i="1"/>
  <c r="D19024" i="1"/>
  <c r="D19023" i="1"/>
  <c r="E19023" i="1" s="1"/>
  <c r="E19022" i="1"/>
  <c r="D19022" i="1"/>
  <c r="D19021" i="1"/>
  <c r="E19021" i="1" s="1"/>
  <c r="D19020" i="1"/>
  <c r="E19020" i="1" s="1"/>
  <c r="E19019" i="1"/>
  <c r="D19019" i="1"/>
  <c r="D19018" i="1"/>
  <c r="E19018" i="1" s="1"/>
  <c r="D19017" i="1"/>
  <c r="E19017" i="1" s="1"/>
  <c r="D19016" i="1"/>
  <c r="E19016" i="1" s="1"/>
  <c r="D19015" i="1"/>
  <c r="E19015" i="1" s="1"/>
  <c r="D19014" i="1"/>
  <c r="E19014" i="1" s="1"/>
  <c r="D19013" i="1"/>
  <c r="E19013" i="1" s="1"/>
  <c r="E19012" i="1"/>
  <c r="D19012" i="1"/>
  <c r="D19011" i="1"/>
  <c r="E19011" i="1" s="1"/>
  <c r="E19010" i="1"/>
  <c r="D19010" i="1"/>
  <c r="D19009" i="1"/>
  <c r="E19009" i="1" s="1"/>
  <c r="D19008" i="1"/>
  <c r="E19008" i="1" s="1"/>
  <c r="E19007" i="1"/>
  <c r="D19007" i="1"/>
  <c r="D19006" i="1"/>
  <c r="E19006" i="1" s="1"/>
  <c r="D19005" i="1"/>
  <c r="E19005" i="1" s="1"/>
  <c r="D19004" i="1"/>
  <c r="E19004" i="1" s="1"/>
  <c r="D19003" i="1"/>
  <c r="E19003" i="1" s="1"/>
  <c r="D19002" i="1"/>
  <c r="E19002" i="1" s="1"/>
  <c r="D19001" i="1"/>
  <c r="E19001" i="1" s="1"/>
  <c r="E19000" i="1"/>
  <c r="D19000" i="1"/>
  <c r="D18999" i="1"/>
  <c r="E18999" i="1" s="1"/>
  <c r="E18998" i="1"/>
  <c r="D18998" i="1"/>
  <c r="D18997" i="1"/>
  <c r="E18997" i="1" s="1"/>
  <c r="D18996" i="1"/>
  <c r="E18996" i="1" s="1"/>
  <c r="E18995" i="1"/>
  <c r="D18995" i="1"/>
  <c r="D18994" i="1"/>
  <c r="E18994" i="1" s="1"/>
  <c r="D18993" i="1"/>
  <c r="E18993" i="1" s="1"/>
  <c r="D18992" i="1"/>
  <c r="E18992" i="1" s="1"/>
  <c r="D18991" i="1"/>
  <c r="E18991" i="1" s="1"/>
  <c r="D18990" i="1"/>
  <c r="E18990" i="1" s="1"/>
  <c r="D18989" i="1"/>
  <c r="E18989" i="1" s="1"/>
  <c r="E18988" i="1"/>
  <c r="D18988" i="1"/>
  <c r="D18987" i="1"/>
  <c r="E18987" i="1" s="1"/>
  <c r="E18986" i="1"/>
  <c r="D18986" i="1"/>
  <c r="D18985" i="1"/>
  <c r="E18985" i="1" s="1"/>
  <c r="D18984" i="1"/>
  <c r="E18984" i="1" s="1"/>
  <c r="E18983" i="1"/>
  <c r="D18983" i="1"/>
  <c r="D18982" i="1"/>
  <c r="E18982" i="1" s="1"/>
  <c r="D18981" i="1"/>
  <c r="E18981" i="1" s="1"/>
  <c r="D18980" i="1"/>
  <c r="E18980" i="1" s="1"/>
  <c r="D18979" i="1"/>
  <c r="E18979" i="1" s="1"/>
  <c r="D18978" i="1"/>
  <c r="E18978" i="1" s="1"/>
  <c r="D18977" i="1"/>
  <c r="E18977" i="1" s="1"/>
  <c r="E18976" i="1"/>
  <c r="D18976" i="1"/>
  <c r="D18975" i="1"/>
  <c r="E18975" i="1" s="1"/>
  <c r="E18974" i="1"/>
  <c r="D18974" i="1"/>
  <c r="D18973" i="1"/>
  <c r="E18973" i="1" s="1"/>
  <c r="D18972" i="1"/>
  <c r="E18972" i="1" s="1"/>
  <c r="E18971" i="1"/>
  <c r="D18971" i="1"/>
  <c r="D18970" i="1"/>
  <c r="E18970" i="1" s="1"/>
  <c r="D18969" i="1"/>
  <c r="E18969" i="1" s="1"/>
  <c r="D18968" i="1"/>
  <c r="E18968" i="1" s="1"/>
  <c r="D18967" i="1"/>
  <c r="E18967" i="1" s="1"/>
  <c r="D18966" i="1"/>
  <c r="E18966" i="1" s="1"/>
  <c r="D18965" i="1"/>
  <c r="E18965" i="1" s="1"/>
  <c r="E18964" i="1"/>
  <c r="D18964" i="1"/>
  <c r="D18963" i="1"/>
  <c r="E18963" i="1" s="1"/>
  <c r="E18962" i="1"/>
  <c r="D18962" i="1"/>
  <c r="D18961" i="1"/>
  <c r="E18961" i="1" s="1"/>
  <c r="D18960" i="1"/>
  <c r="E18960" i="1" s="1"/>
  <c r="E18959" i="1"/>
  <c r="D18959" i="1"/>
  <c r="D18958" i="1"/>
  <c r="E18958" i="1" s="1"/>
  <c r="D18957" i="1"/>
  <c r="E18957" i="1" s="1"/>
  <c r="D18956" i="1"/>
  <c r="E18956" i="1" s="1"/>
  <c r="D18955" i="1"/>
  <c r="E18955" i="1" s="1"/>
  <c r="D18954" i="1"/>
  <c r="E18954" i="1" s="1"/>
  <c r="D18953" i="1"/>
  <c r="E18953" i="1" s="1"/>
  <c r="E18952" i="1"/>
  <c r="D18952" i="1"/>
  <c r="D18951" i="1"/>
  <c r="E18951" i="1" s="1"/>
  <c r="E18950" i="1"/>
  <c r="D18950" i="1"/>
  <c r="D18949" i="1"/>
  <c r="E18949" i="1" s="1"/>
  <c r="D18948" i="1"/>
  <c r="E18948" i="1" s="1"/>
  <c r="E18947" i="1"/>
  <c r="D18947" i="1"/>
  <c r="D18946" i="1"/>
  <c r="E18946" i="1" s="1"/>
  <c r="D18945" i="1"/>
  <c r="E18945" i="1" s="1"/>
  <c r="D18944" i="1"/>
  <c r="E18944" i="1" s="1"/>
  <c r="D18943" i="1"/>
  <c r="E18943" i="1" s="1"/>
  <c r="D18942" i="1"/>
  <c r="E18942" i="1" s="1"/>
  <c r="D18941" i="1"/>
  <c r="E18941" i="1" s="1"/>
  <c r="E18940" i="1"/>
  <c r="D18940" i="1"/>
  <c r="D18939" i="1"/>
  <c r="E18939" i="1" s="1"/>
  <c r="E18938" i="1"/>
  <c r="D18938" i="1"/>
  <c r="D18937" i="1"/>
  <c r="E18937" i="1" s="1"/>
  <c r="D18936" i="1"/>
  <c r="E18936" i="1" s="1"/>
  <c r="E18935" i="1"/>
  <c r="D18935" i="1"/>
  <c r="D18934" i="1"/>
  <c r="E18934" i="1" s="1"/>
  <c r="D18933" i="1"/>
  <c r="E18933" i="1" s="1"/>
  <c r="D18932" i="1"/>
  <c r="E18932" i="1" s="1"/>
  <c r="D18931" i="1"/>
  <c r="E18931" i="1" s="1"/>
  <c r="D18930" i="1"/>
  <c r="E18930" i="1" s="1"/>
  <c r="D18929" i="1"/>
  <c r="E18929" i="1" s="1"/>
  <c r="E18928" i="1"/>
  <c r="D18928" i="1"/>
  <c r="D18927" i="1"/>
  <c r="E18927" i="1" s="1"/>
  <c r="E18926" i="1"/>
  <c r="D18926" i="1"/>
  <c r="D18925" i="1"/>
  <c r="E18925" i="1" s="1"/>
  <c r="D18924" i="1"/>
  <c r="E18924" i="1" s="1"/>
  <c r="E18923" i="1"/>
  <c r="D18923" i="1"/>
  <c r="D18922" i="1"/>
  <c r="E18922" i="1" s="1"/>
  <c r="D18921" i="1"/>
  <c r="E18921" i="1" s="1"/>
  <c r="D18920" i="1"/>
  <c r="E18920" i="1" s="1"/>
  <c r="D18919" i="1"/>
  <c r="E18919" i="1" s="1"/>
  <c r="D18918" i="1"/>
  <c r="E18918" i="1" s="1"/>
  <c r="D18917" i="1"/>
  <c r="E18917" i="1" s="1"/>
  <c r="E18916" i="1"/>
  <c r="D18916" i="1"/>
  <c r="D18915" i="1"/>
  <c r="E18915" i="1" s="1"/>
  <c r="E18914" i="1"/>
  <c r="D18914" i="1"/>
  <c r="D18913" i="1"/>
  <c r="E18913" i="1" s="1"/>
  <c r="D18912" i="1"/>
  <c r="E18912" i="1" s="1"/>
  <c r="E18911" i="1"/>
  <c r="D18911" i="1"/>
  <c r="D18910" i="1"/>
  <c r="E18910" i="1" s="1"/>
  <c r="D18909" i="1"/>
  <c r="E18909" i="1" s="1"/>
  <c r="D18908" i="1"/>
  <c r="E18908" i="1" s="1"/>
  <c r="D18907" i="1"/>
  <c r="E18907" i="1" s="1"/>
  <c r="D18906" i="1"/>
  <c r="E18906" i="1" s="1"/>
  <c r="D18905" i="1"/>
  <c r="E18905" i="1" s="1"/>
  <c r="E18904" i="1"/>
  <c r="D18904" i="1"/>
  <c r="D18903" i="1"/>
  <c r="E18903" i="1" s="1"/>
  <c r="E18902" i="1"/>
  <c r="D18902" i="1"/>
  <c r="D18901" i="1"/>
  <c r="E18901" i="1" s="1"/>
  <c r="D18900" i="1"/>
  <c r="E18900" i="1" s="1"/>
  <c r="E18899" i="1"/>
  <c r="D18899" i="1"/>
  <c r="D18898" i="1"/>
  <c r="E18898" i="1" s="1"/>
  <c r="D18897" i="1"/>
  <c r="E18897" i="1" s="1"/>
  <c r="D18896" i="1"/>
  <c r="E18896" i="1" s="1"/>
  <c r="D18895" i="1"/>
  <c r="E18895" i="1" s="1"/>
  <c r="D18894" i="1"/>
  <c r="E18894" i="1" s="1"/>
  <c r="D18893" i="1"/>
  <c r="E18893" i="1" s="1"/>
  <c r="E18892" i="1"/>
  <c r="D18892" i="1"/>
  <c r="D18891" i="1"/>
  <c r="E18891" i="1" s="1"/>
  <c r="E18890" i="1"/>
  <c r="D18890" i="1"/>
  <c r="D18889" i="1"/>
  <c r="E18889" i="1" s="1"/>
  <c r="D18888" i="1"/>
  <c r="E18888" i="1" s="1"/>
  <c r="E18887" i="1"/>
  <c r="D18887" i="1"/>
  <c r="D18886" i="1"/>
  <c r="E18886" i="1" s="1"/>
  <c r="D18885" i="1"/>
  <c r="E18885" i="1" s="1"/>
  <c r="D18884" i="1"/>
  <c r="E18884" i="1" s="1"/>
  <c r="D18883" i="1"/>
  <c r="E18883" i="1" s="1"/>
  <c r="D18882" i="1"/>
  <c r="E18882" i="1" s="1"/>
  <c r="D18881" i="1"/>
  <c r="E18881" i="1" s="1"/>
  <c r="E18880" i="1"/>
  <c r="D18880" i="1"/>
  <c r="D18879" i="1"/>
  <c r="E18879" i="1" s="1"/>
  <c r="E18878" i="1"/>
  <c r="D18878" i="1"/>
  <c r="D18877" i="1"/>
  <c r="E18877" i="1" s="1"/>
  <c r="D18876" i="1"/>
  <c r="E18876" i="1" s="1"/>
  <c r="E18875" i="1"/>
  <c r="D18875" i="1"/>
  <c r="D18874" i="1"/>
  <c r="E18874" i="1" s="1"/>
  <c r="D18873" i="1"/>
  <c r="E18873" i="1" s="1"/>
  <c r="D18872" i="1"/>
  <c r="E18872" i="1" s="1"/>
  <c r="D18871" i="1"/>
  <c r="E18871" i="1" s="1"/>
  <c r="D18870" i="1"/>
  <c r="E18870" i="1" s="1"/>
  <c r="D18869" i="1"/>
  <c r="E18869" i="1" s="1"/>
  <c r="E18868" i="1"/>
  <c r="D18868" i="1"/>
  <c r="D18867" i="1"/>
  <c r="E18867" i="1" s="1"/>
  <c r="E18866" i="1"/>
  <c r="D18866" i="1"/>
  <c r="D18865" i="1"/>
  <c r="E18865" i="1" s="1"/>
  <c r="D18864" i="1"/>
  <c r="E18864" i="1" s="1"/>
  <c r="E18863" i="1"/>
  <c r="D18863" i="1"/>
  <c r="D18862" i="1"/>
  <c r="E18862" i="1" s="1"/>
  <c r="D18861" i="1"/>
  <c r="E18861" i="1" s="1"/>
  <c r="D18860" i="1"/>
  <c r="E18860" i="1" s="1"/>
  <c r="D18859" i="1"/>
  <c r="E18859" i="1" s="1"/>
  <c r="D18858" i="1"/>
  <c r="E18858" i="1" s="1"/>
  <c r="D18857" i="1"/>
  <c r="E18857" i="1" s="1"/>
  <c r="E18856" i="1"/>
  <c r="D18856" i="1"/>
  <c r="D18855" i="1"/>
  <c r="E18855" i="1" s="1"/>
  <c r="E18854" i="1"/>
  <c r="D18854" i="1"/>
  <c r="D18853" i="1"/>
  <c r="E18853" i="1" s="1"/>
  <c r="D18852" i="1"/>
  <c r="E18852" i="1" s="1"/>
  <c r="E18851" i="1"/>
  <c r="D18851" i="1"/>
  <c r="D18850" i="1"/>
  <c r="E18850" i="1" s="1"/>
  <c r="D18849" i="1"/>
  <c r="E18849" i="1" s="1"/>
  <c r="D18848" i="1"/>
  <c r="E18848" i="1" s="1"/>
  <c r="D18847" i="1"/>
  <c r="E18847" i="1" s="1"/>
  <c r="D18846" i="1"/>
  <c r="E18846" i="1" s="1"/>
  <c r="D18845" i="1"/>
  <c r="E18845" i="1" s="1"/>
  <c r="E18844" i="1"/>
  <c r="D18844" i="1"/>
  <c r="D18843" i="1"/>
  <c r="E18843" i="1" s="1"/>
  <c r="E18842" i="1"/>
  <c r="D18842" i="1"/>
  <c r="D18841" i="1"/>
  <c r="E18841" i="1" s="1"/>
  <c r="D18840" i="1"/>
  <c r="E18840" i="1" s="1"/>
  <c r="E18839" i="1"/>
  <c r="D18839" i="1"/>
  <c r="D18838" i="1"/>
  <c r="E18838" i="1" s="1"/>
  <c r="D18837" i="1"/>
  <c r="E18837" i="1" s="1"/>
  <c r="D18836" i="1"/>
  <c r="E18836" i="1" s="1"/>
  <c r="D18835" i="1"/>
  <c r="E18835" i="1" s="1"/>
  <c r="D18834" i="1"/>
  <c r="E18834" i="1" s="1"/>
  <c r="D18833" i="1"/>
  <c r="E18833" i="1" s="1"/>
  <c r="E18832" i="1"/>
  <c r="D18832" i="1"/>
  <c r="D18831" i="1"/>
  <c r="E18831" i="1" s="1"/>
  <c r="E18830" i="1"/>
  <c r="D18830" i="1"/>
  <c r="D18829" i="1"/>
  <c r="E18829" i="1" s="1"/>
  <c r="D18828" i="1"/>
  <c r="E18828" i="1" s="1"/>
  <c r="E18827" i="1"/>
  <c r="D18827" i="1"/>
  <c r="D18826" i="1"/>
  <c r="E18826" i="1" s="1"/>
  <c r="D18825" i="1"/>
  <c r="E18825" i="1" s="1"/>
  <c r="D18824" i="1"/>
  <c r="E18824" i="1" s="1"/>
  <c r="D18823" i="1"/>
  <c r="E18823" i="1" s="1"/>
  <c r="D18822" i="1"/>
  <c r="E18822" i="1" s="1"/>
  <c r="D18821" i="1"/>
  <c r="E18821" i="1" s="1"/>
  <c r="E18820" i="1"/>
  <c r="D18820" i="1"/>
  <c r="D18819" i="1"/>
  <c r="E18819" i="1" s="1"/>
  <c r="E18818" i="1"/>
  <c r="D18818" i="1"/>
  <c r="D18817" i="1"/>
  <c r="E18817" i="1" s="1"/>
  <c r="D18816" i="1"/>
  <c r="E18816" i="1" s="1"/>
  <c r="E18815" i="1"/>
  <c r="D18815" i="1"/>
  <c r="D18814" i="1"/>
  <c r="E18814" i="1" s="1"/>
  <c r="D18813" i="1"/>
  <c r="E18813" i="1" s="1"/>
  <c r="D18812" i="1"/>
  <c r="E18812" i="1" s="1"/>
  <c r="D18811" i="1"/>
  <c r="E18811" i="1" s="1"/>
  <c r="D18810" i="1"/>
  <c r="E18810" i="1" s="1"/>
  <c r="D18809" i="1"/>
  <c r="E18809" i="1" s="1"/>
  <c r="E18808" i="1"/>
  <c r="D18808" i="1"/>
  <c r="D18807" i="1"/>
  <c r="E18807" i="1" s="1"/>
  <c r="E18806" i="1"/>
  <c r="D18806" i="1"/>
  <c r="D18805" i="1"/>
  <c r="E18805" i="1" s="1"/>
  <c r="D18804" i="1"/>
  <c r="E18804" i="1" s="1"/>
  <c r="E18803" i="1"/>
  <c r="D18803" i="1"/>
  <c r="D18802" i="1"/>
  <c r="E18802" i="1" s="1"/>
  <c r="D18801" i="1"/>
  <c r="E18801" i="1" s="1"/>
  <c r="D18800" i="1"/>
  <c r="E18800" i="1" s="1"/>
  <c r="D18799" i="1"/>
  <c r="E18799" i="1" s="1"/>
  <c r="D18798" i="1"/>
  <c r="E18798" i="1" s="1"/>
  <c r="D18797" i="1"/>
  <c r="E18797" i="1" s="1"/>
  <c r="E18796" i="1"/>
  <c r="D18796" i="1"/>
  <c r="D18795" i="1"/>
  <c r="E18795" i="1" s="1"/>
  <c r="E18794" i="1"/>
  <c r="D18794" i="1"/>
  <c r="D18793" i="1"/>
  <c r="E18793" i="1" s="1"/>
  <c r="D18792" i="1"/>
  <c r="E18792" i="1" s="1"/>
  <c r="E18791" i="1"/>
  <c r="D18791" i="1"/>
  <c r="D18790" i="1"/>
  <c r="E18790" i="1" s="1"/>
  <c r="D18789" i="1"/>
  <c r="E18789" i="1" s="1"/>
  <c r="D18788" i="1"/>
  <c r="E18788" i="1" s="1"/>
  <c r="D18787" i="1"/>
  <c r="E18787" i="1" s="1"/>
  <c r="D18786" i="1"/>
  <c r="E18786" i="1" s="1"/>
  <c r="D18785" i="1"/>
  <c r="E18785" i="1" s="1"/>
  <c r="E18784" i="1"/>
  <c r="D18784" i="1"/>
  <c r="D18783" i="1"/>
  <c r="E18783" i="1" s="1"/>
  <c r="E18782" i="1"/>
  <c r="D18782" i="1"/>
  <c r="D18781" i="1"/>
  <c r="E18781" i="1" s="1"/>
  <c r="D18780" i="1"/>
  <c r="E18780" i="1" s="1"/>
  <c r="E18779" i="1"/>
  <c r="D18779" i="1"/>
  <c r="D18778" i="1"/>
  <c r="E18778" i="1" s="1"/>
  <c r="D18777" i="1"/>
  <c r="E18777" i="1" s="1"/>
  <c r="D18776" i="1"/>
  <c r="E18776" i="1" s="1"/>
  <c r="D18775" i="1"/>
  <c r="E18775" i="1" s="1"/>
  <c r="D18774" i="1"/>
  <c r="E18774" i="1" s="1"/>
  <c r="D18773" i="1"/>
  <c r="E18773" i="1" s="1"/>
  <c r="E18772" i="1"/>
  <c r="D18772" i="1"/>
  <c r="D18771" i="1"/>
  <c r="E18771" i="1" s="1"/>
  <c r="E18770" i="1"/>
  <c r="D18770" i="1"/>
  <c r="D18769" i="1"/>
  <c r="E18769" i="1" s="1"/>
  <c r="D18768" i="1"/>
  <c r="E18768" i="1" s="1"/>
  <c r="E18767" i="1"/>
  <c r="D18767" i="1"/>
  <c r="D18766" i="1"/>
  <c r="E18766" i="1" s="1"/>
  <c r="D18765" i="1"/>
  <c r="E18765" i="1" s="1"/>
  <c r="D18764" i="1"/>
  <c r="E18764" i="1" s="1"/>
  <c r="D18763" i="1"/>
  <c r="E18763" i="1" s="1"/>
  <c r="D18762" i="1"/>
  <c r="E18762" i="1" s="1"/>
  <c r="D18761" i="1"/>
  <c r="E18761" i="1" s="1"/>
  <c r="E18760" i="1"/>
  <c r="D18760" i="1"/>
  <c r="D18759" i="1"/>
  <c r="E18759" i="1" s="1"/>
  <c r="E18758" i="1"/>
  <c r="D18758" i="1"/>
  <c r="D18757" i="1"/>
  <c r="E18757" i="1" s="1"/>
  <c r="D18756" i="1"/>
  <c r="E18756" i="1" s="1"/>
  <c r="E18755" i="1"/>
  <c r="D18755" i="1"/>
  <c r="D18754" i="1"/>
  <c r="E18754" i="1" s="1"/>
  <c r="D18753" i="1"/>
  <c r="E18753" i="1" s="1"/>
  <c r="D18752" i="1"/>
  <c r="E18752" i="1" s="1"/>
  <c r="D18751" i="1"/>
  <c r="E18751" i="1" s="1"/>
  <c r="D18750" i="1"/>
  <c r="E18750" i="1" s="1"/>
  <c r="D18749" i="1"/>
  <c r="E18749" i="1" s="1"/>
  <c r="E18748" i="1"/>
  <c r="D18748" i="1"/>
  <c r="D18747" i="1"/>
  <c r="E18747" i="1" s="1"/>
  <c r="E18746" i="1"/>
  <c r="D18746" i="1"/>
  <c r="D18745" i="1"/>
  <c r="E18745" i="1" s="1"/>
  <c r="D18744" i="1"/>
  <c r="E18744" i="1" s="1"/>
  <c r="E18743" i="1"/>
  <c r="D18743" i="1"/>
  <c r="D18742" i="1"/>
  <c r="E18742" i="1" s="1"/>
  <c r="D18741" i="1"/>
  <c r="E18741" i="1" s="1"/>
  <c r="D18740" i="1"/>
  <c r="E18740" i="1" s="1"/>
  <c r="D18739" i="1"/>
  <c r="E18739" i="1" s="1"/>
  <c r="D18738" i="1"/>
  <c r="E18738" i="1" s="1"/>
  <c r="D18737" i="1"/>
  <c r="E18737" i="1" s="1"/>
  <c r="E18736" i="1"/>
  <c r="D18736" i="1"/>
  <c r="D18735" i="1"/>
  <c r="E18735" i="1" s="1"/>
  <c r="E18734" i="1"/>
  <c r="D18734" i="1"/>
  <c r="D18733" i="1"/>
  <c r="E18733" i="1" s="1"/>
  <c r="D18732" i="1"/>
  <c r="E18732" i="1" s="1"/>
  <c r="E18731" i="1"/>
  <c r="D18731" i="1"/>
  <c r="D18730" i="1"/>
  <c r="E18730" i="1" s="1"/>
  <c r="D18729" i="1"/>
  <c r="E18729" i="1" s="1"/>
  <c r="D18728" i="1"/>
  <c r="E18728" i="1" s="1"/>
  <c r="D18727" i="1"/>
  <c r="E18727" i="1" s="1"/>
  <c r="D18726" i="1"/>
  <c r="E18726" i="1" s="1"/>
  <c r="D18725" i="1"/>
  <c r="E18725" i="1" s="1"/>
  <c r="D18724" i="1"/>
  <c r="E18724" i="1" s="1"/>
  <c r="D18723" i="1"/>
  <c r="E18723" i="1" s="1"/>
  <c r="E18722" i="1"/>
  <c r="D18722" i="1"/>
  <c r="D18721" i="1"/>
  <c r="E18721" i="1" s="1"/>
  <c r="D18720" i="1"/>
  <c r="E18720" i="1" s="1"/>
  <c r="E18719" i="1"/>
  <c r="D18719" i="1"/>
  <c r="D18718" i="1"/>
  <c r="E18718" i="1" s="1"/>
  <c r="D18717" i="1"/>
  <c r="E18717" i="1" s="1"/>
  <c r="D18716" i="1"/>
  <c r="E18716" i="1" s="1"/>
  <c r="D18715" i="1"/>
  <c r="E18715" i="1" s="1"/>
  <c r="D18714" i="1"/>
  <c r="E18714" i="1" s="1"/>
  <c r="D18713" i="1"/>
  <c r="E18713" i="1" s="1"/>
  <c r="E18712" i="1"/>
  <c r="D18712" i="1"/>
  <c r="D18711" i="1"/>
  <c r="E18711" i="1" s="1"/>
  <c r="E18710" i="1"/>
  <c r="D18710" i="1"/>
  <c r="D18709" i="1"/>
  <c r="E18709" i="1" s="1"/>
  <c r="D18708" i="1"/>
  <c r="E18708" i="1" s="1"/>
  <c r="E18707" i="1"/>
  <c r="D18707" i="1"/>
  <c r="D18706" i="1"/>
  <c r="E18706" i="1" s="1"/>
  <c r="D18705" i="1"/>
  <c r="E18705" i="1" s="1"/>
  <c r="D18704" i="1"/>
  <c r="E18704" i="1" s="1"/>
  <c r="D18703" i="1"/>
  <c r="E18703" i="1" s="1"/>
  <c r="D18702" i="1"/>
  <c r="E18702" i="1" s="1"/>
  <c r="D18701" i="1"/>
  <c r="E18701" i="1" s="1"/>
  <c r="E18700" i="1"/>
  <c r="D18700" i="1"/>
  <c r="D18699" i="1"/>
  <c r="E18699" i="1" s="1"/>
  <c r="E18698" i="1"/>
  <c r="D18698" i="1"/>
  <c r="D18697" i="1"/>
  <c r="E18697" i="1" s="1"/>
  <c r="D18696" i="1"/>
  <c r="E18696" i="1" s="1"/>
  <c r="E18695" i="1"/>
  <c r="D18695" i="1"/>
  <c r="D18694" i="1"/>
  <c r="E18694" i="1" s="1"/>
  <c r="D18693" i="1"/>
  <c r="E18693" i="1" s="1"/>
  <c r="D18692" i="1"/>
  <c r="E18692" i="1" s="1"/>
  <c r="D18691" i="1"/>
  <c r="E18691" i="1" s="1"/>
  <c r="D18690" i="1"/>
  <c r="E18690" i="1" s="1"/>
  <c r="D18689" i="1"/>
  <c r="E18689" i="1" s="1"/>
  <c r="D18688" i="1"/>
  <c r="E18688" i="1" s="1"/>
  <c r="D18687" i="1"/>
  <c r="E18687" i="1" s="1"/>
  <c r="E18686" i="1"/>
  <c r="D18686" i="1"/>
  <c r="D18685" i="1"/>
  <c r="E18685" i="1" s="1"/>
  <c r="D18684" i="1"/>
  <c r="E18684" i="1" s="1"/>
  <c r="E18683" i="1"/>
  <c r="D18683" i="1"/>
  <c r="D18682" i="1"/>
  <c r="E18682" i="1" s="1"/>
  <c r="D18681" i="1"/>
  <c r="E18681" i="1" s="1"/>
  <c r="D18680" i="1"/>
  <c r="E18680" i="1" s="1"/>
  <c r="D18679" i="1"/>
  <c r="E18679" i="1" s="1"/>
  <c r="D18678" i="1"/>
  <c r="E18678" i="1" s="1"/>
  <c r="D18677" i="1"/>
  <c r="E18677" i="1" s="1"/>
  <c r="D18676" i="1"/>
  <c r="E18676" i="1" s="1"/>
  <c r="D18675" i="1"/>
  <c r="E18675" i="1" s="1"/>
  <c r="E18674" i="1"/>
  <c r="D18674" i="1"/>
  <c r="D18673" i="1"/>
  <c r="E18673" i="1" s="1"/>
  <c r="D18672" i="1"/>
  <c r="E18672" i="1" s="1"/>
  <c r="E18671" i="1"/>
  <c r="D18671" i="1"/>
  <c r="D18670" i="1"/>
  <c r="E18670" i="1" s="1"/>
  <c r="D18669" i="1"/>
  <c r="E18669" i="1" s="1"/>
  <c r="D18668" i="1"/>
  <c r="E18668" i="1" s="1"/>
  <c r="D18667" i="1"/>
  <c r="E18667" i="1" s="1"/>
  <c r="D18666" i="1"/>
  <c r="E18666" i="1" s="1"/>
  <c r="D18665" i="1"/>
  <c r="E18665" i="1" s="1"/>
  <c r="E18664" i="1"/>
  <c r="D18664" i="1"/>
  <c r="D18663" i="1"/>
  <c r="E18663" i="1" s="1"/>
  <c r="E18662" i="1"/>
  <c r="D18662" i="1"/>
  <c r="D18661" i="1"/>
  <c r="E18661" i="1" s="1"/>
  <c r="D18660" i="1"/>
  <c r="E18660" i="1" s="1"/>
  <c r="E18659" i="1"/>
  <c r="D18659" i="1"/>
  <c r="D18658" i="1"/>
  <c r="E18658" i="1" s="1"/>
  <c r="D18657" i="1"/>
  <c r="E18657" i="1" s="1"/>
  <c r="D18656" i="1"/>
  <c r="E18656" i="1" s="1"/>
  <c r="D18655" i="1"/>
  <c r="E18655" i="1" s="1"/>
  <c r="D18654" i="1"/>
  <c r="E18654" i="1" s="1"/>
  <c r="D18653" i="1"/>
  <c r="E18653" i="1" s="1"/>
  <c r="E18652" i="1"/>
  <c r="D18652" i="1"/>
  <c r="D18651" i="1"/>
  <c r="E18651" i="1" s="1"/>
  <c r="E18650" i="1"/>
  <c r="D18650" i="1"/>
  <c r="D18649" i="1"/>
  <c r="E18649" i="1" s="1"/>
  <c r="D18648" i="1"/>
  <c r="E18648" i="1" s="1"/>
  <c r="E18647" i="1"/>
  <c r="D18647" i="1"/>
  <c r="D18646" i="1"/>
  <c r="E18646" i="1" s="1"/>
  <c r="D18645" i="1"/>
  <c r="E18645" i="1" s="1"/>
  <c r="D18644" i="1"/>
  <c r="E18644" i="1" s="1"/>
  <c r="D18643" i="1"/>
  <c r="E18643" i="1" s="1"/>
  <c r="D18642" i="1"/>
  <c r="E18642" i="1" s="1"/>
  <c r="D18641" i="1"/>
  <c r="E18641" i="1" s="1"/>
  <c r="E18640" i="1"/>
  <c r="D18640" i="1"/>
  <c r="D18639" i="1"/>
  <c r="E18639" i="1" s="1"/>
  <c r="E18638" i="1"/>
  <c r="D18638" i="1"/>
  <c r="D18637" i="1"/>
  <c r="E18637" i="1" s="1"/>
  <c r="D18636" i="1"/>
  <c r="E18636" i="1" s="1"/>
  <c r="E18635" i="1"/>
  <c r="D18635" i="1"/>
  <c r="D18634" i="1"/>
  <c r="E18634" i="1" s="1"/>
  <c r="D18633" i="1"/>
  <c r="E18633" i="1" s="1"/>
  <c r="D18632" i="1"/>
  <c r="E18632" i="1" s="1"/>
  <c r="D18631" i="1"/>
  <c r="E18631" i="1" s="1"/>
  <c r="D18630" i="1"/>
  <c r="E18630" i="1" s="1"/>
  <c r="D18629" i="1"/>
  <c r="E18629" i="1" s="1"/>
  <c r="E18628" i="1"/>
  <c r="D18628" i="1"/>
  <c r="D18627" i="1"/>
  <c r="E18627" i="1" s="1"/>
  <c r="E18626" i="1"/>
  <c r="D18626" i="1"/>
  <c r="D18625" i="1"/>
  <c r="E18625" i="1" s="1"/>
  <c r="D18624" i="1"/>
  <c r="E18624" i="1" s="1"/>
  <c r="E18623" i="1"/>
  <c r="D18623" i="1"/>
  <c r="D18622" i="1"/>
  <c r="E18622" i="1" s="1"/>
  <c r="D18621" i="1"/>
  <c r="E18621" i="1" s="1"/>
  <c r="D18620" i="1"/>
  <c r="E18620" i="1" s="1"/>
  <c r="D18619" i="1"/>
  <c r="E18619" i="1" s="1"/>
  <c r="D18618" i="1"/>
  <c r="E18618" i="1" s="1"/>
  <c r="D18617" i="1"/>
  <c r="E18617" i="1" s="1"/>
  <c r="E18616" i="1"/>
  <c r="D18616" i="1"/>
  <c r="D18615" i="1"/>
  <c r="E18615" i="1" s="1"/>
  <c r="E18614" i="1"/>
  <c r="D18614" i="1"/>
  <c r="D18613" i="1"/>
  <c r="E18613" i="1" s="1"/>
  <c r="D18612" i="1"/>
  <c r="E18612" i="1" s="1"/>
  <c r="E18611" i="1"/>
  <c r="D18611" i="1"/>
  <c r="D18610" i="1"/>
  <c r="E18610" i="1" s="1"/>
  <c r="D18609" i="1"/>
  <c r="E18609" i="1" s="1"/>
  <c r="D18608" i="1"/>
  <c r="E18608" i="1" s="1"/>
  <c r="D18607" i="1"/>
  <c r="E18607" i="1" s="1"/>
  <c r="D18606" i="1"/>
  <c r="E18606" i="1" s="1"/>
  <c r="D18605" i="1"/>
  <c r="E18605" i="1" s="1"/>
  <c r="E18604" i="1"/>
  <c r="D18604" i="1"/>
  <c r="D18603" i="1"/>
  <c r="E18603" i="1" s="1"/>
  <c r="E18602" i="1"/>
  <c r="D18602" i="1"/>
  <c r="D18601" i="1"/>
  <c r="E18601" i="1" s="1"/>
  <c r="D18600" i="1"/>
  <c r="E18600" i="1" s="1"/>
  <c r="E18599" i="1"/>
  <c r="D18599" i="1"/>
  <c r="D18598" i="1"/>
  <c r="E18598" i="1" s="1"/>
  <c r="D18597" i="1"/>
  <c r="E18597" i="1" s="1"/>
  <c r="D18596" i="1"/>
  <c r="E18596" i="1" s="1"/>
  <c r="D18595" i="1"/>
  <c r="E18595" i="1" s="1"/>
  <c r="D18594" i="1"/>
  <c r="E18594" i="1" s="1"/>
  <c r="D18593" i="1"/>
  <c r="E18593" i="1" s="1"/>
  <c r="D18592" i="1"/>
  <c r="E18592" i="1" s="1"/>
  <c r="D18591" i="1"/>
  <c r="E18591" i="1" s="1"/>
  <c r="E18590" i="1"/>
  <c r="D18590" i="1"/>
  <c r="D18589" i="1"/>
  <c r="E18589" i="1" s="1"/>
  <c r="D18588" i="1"/>
  <c r="E18588" i="1" s="1"/>
  <c r="E18587" i="1"/>
  <c r="D18587" i="1"/>
  <c r="D18586" i="1"/>
  <c r="E18586" i="1" s="1"/>
  <c r="D18585" i="1"/>
  <c r="E18585" i="1" s="1"/>
  <c r="D18584" i="1"/>
  <c r="E18584" i="1" s="1"/>
  <c r="D18583" i="1"/>
  <c r="E18583" i="1" s="1"/>
  <c r="D18582" i="1"/>
  <c r="E18582" i="1" s="1"/>
  <c r="D18581" i="1"/>
  <c r="E18581" i="1" s="1"/>
  <c r="D18580" i="1"/>
  <c r="E18580" i="1" s="1"/>
  <c r="D18579" i="1"/>
  <c r="E18579" i="1" s="1"/>
  <c r="E18578" i="1"/>
  <c r="D18578" i="1"/>
  <c r="D18577" i="1"/>
  <c r="E18577" i="1" s="1"/>
  <c r="D18576" i="1"/>
  <c r="E18576" i="1" s="1"/>
  <c r="E18575" i="1"/>
  <c r="D18575" i="1"/>
  <c r="D18574" i="1"/>
  <c r="E18574" i="1" s="1"/>
  <c r="D18573" i="1"/>
  <c r="E18573" i="1" s="1"/>
  <c r="D18572" i="1"/>
  <c r="E18572" i="1" s="1"/>
  <c r="D18571" i="1"/>
  <c r="E18571" i="1" s="1"/>
  <c r="D18570" i="1"/>
  <c r="E18570" i="1" s="1"/>
  <c r="D18569" i="1"/>
  <c r="E18569" i="1" s="1"/>
  <c r="E18568" i="1"/>
  <c r="D18568" i="1"/>
  <c r="D18567" i="1"/>
  <c r="E18567" i="1" s="1"/>
  <c r="E18566" i="1"/>
  <c r="D18566" i="1"/>
  <c r="D18565" i="1"/>
  <c r="E18565" i="1" s="1"/>
  <c r="D18564" i="1"/>
  <c r="E18564" i="1" s="1"/>
  <c r="E18563" i="1"/>
  <c r="D18563" i="1"/>
  <c r="D18562" i="1"/>
  <c r="E18562" i="1" s="1"/>
  <c r="D18561" i="1"/>
  <c r="E18561" i="1" s="1"/>
  <c r="D18560" i="1"/>
  <c r="E18560" i="1" s="1"/>
  <c r="D18559" i="1"/>
  <c r="E18559" i="1" s="1"/>
  <c r="D18558" i="1"/>
  <c r="E18558" i="1" s="1"/>
  <c r="D18557" i="1"/>
  <c r="E18557" i="1" s="1"/>
  <c r="E18556" i="1"/>
  <c r="D18556" i="1"/>
  <c r="D18555" i="1"/>
  <c r="E18555" i="1" s="1"/>
  <c r="D18554" i="1"/>
  <c r="E18554" i="1" s="1"/>
  <c r="D18553" i="1"/>
  <c r="E18553" i="1" s="1"/>
  <c r="D18552" i="1"/>
  <c r="E18552" i="1" s="1"/>
  <c r="E18551" i="1"/>
  <c r="D18551" i="1"/>
  <c r="D18550" i="1"/>
  <c r="E18550" i="1" s="1"/>
  <c r="D18549" i="1"/>
  <c r="E18549" i="1" s="1"/>
  <c r="D18548" i="1"/>
  <c r="E18548" i="1" s="1"/>
  <c r="D18547" i="1"/>
  <c r="E18547" i="1" s="1"/>
  <c r="D18546" i="1"/>
  <c r="E18546" i="1" s="1"/>
  <c r="D18545" i="1"/>
  <c r="E18545" i="1" s="1"/>
  <c r="E18544" i="1"/>
  <c r="D18544" i="1"/>
  <c r="D18543" i="1"/>
  <c r="E18543" i="1" s="1"/>
  <c r="D18542" i="1"/>
  <c r="E18542" i="1" s="1"/>
  <c r="D18541" i="1"/>
  <c r="E18541" i="1" s="1"/>
  <c r="D18540" i="1"/>
  <c r="E18540" i="1" s="1"/>
  <c r="E18539" i="1"/>
  <c r="D18539" i="1"/>
  <c r="D18538" i="1"/>
  <c r="E18538" i="1" s="1"/>
  <c r="D18537" i="1"/>
  <c r="E18537" i="1" s="1"/>
  <c r="D18536" i="1"/>
  <c r="E18536" i="1" s="1"/>
  <c r="D18535" i="1"/>
  <c r="E18535" i="1" s="1"/>
  <c r="D18534" i="1"/>
  <c r="E18534" i="1" s="1"/>
  <c r="D18533" i="1"/>
  <c r="E18533" i="1" s="1"/>
  <c r="E18532" i="1"/>
  <c r="D18532" i="1"/>
  <c r="D18531" i="1"/>
  <c r="E18531" i="1" s="1"/>
  <c r="E18530" i="1"/>
  <c r="D18530" i="1"/>
  <c r="D18529" i="1"/>
  <c r="E18529" i="1" s="1"/>
  <c r="D18528" i="1"/>
  <c r="E18528" i="1" s="1"/>
  <c r="E18527" i="1"/>
  <c r="D18527" i="1"/>
  <c r="D18526" i="1"/>
  <c r="E18526" i="1" s="1"/>
  <c r="D18525" i="1"/>
  <c r="E18525" i="1" s="1"/>
  <c r="D18524" i="1"/>
  <c r="E18524" i="1" s="1"/>
  <c r="D18523" i="1"/>
  <c r="E18523" i="1" s="1"/>
  <c r="D18522" i="1"/>
  <c r="E18522" i="1" s="1"/>
  <c r="D18521" i="1"/>
  <c r="E18521" i="1" s="1"/>
  <c r="E18520" i="1"/>
  <c r="D18520" i="1"/>
  <c r="D18519" i="1"/>
  <c r="E18519" i="1" s="1"/>
  <c r="E18518" i="1"/>
  <c r="D18518" i="1"/>
  <c r="D18517" i="1"/>
  <c r="E18517" i="1" s="1"/>
  <c r="D18516" i="1"/>
  <c r="E18516" i="1" s="1"/>
  <c r="E18515" i="1"/>
  <c r="D18515" i="1"/>
  <c r="D18514" i="1"/>
  <c r="E18514" i="1" s="1"/>
  <c r="D18513" i="1"/>
  <c r="E18513" i="1" s="1"/>
  <c r="D18512" i="1"/>
  <c r="E18512" i="1" s="1"/>
  <c r="D18511" i="1"/>
  <c r="E18511" i="1" s="1"/>
  <c r="D18510" i="1"/>
  <c r="E18510" i="1" s="1"/>
  <c r="D18509" i="1"/>
  <c r="E18509" i="1" s="1"/>
  <c r="E18508" i="1"/>
  <c r="D18508" i="1"/>
  <c r="D18507" i="1"/>
  <c r="E18507" i="1" s="1"/>
  <c r="E18506" i="1"/>
  <c r="D18506" i="1"/>
  <c r="D18505" i="1"/>
  <c r="E18505" i="1" s="1"/>
  <c r="D18504" i="1"/>
  <c r="E18504" i="1" s="1"/>
  <c r="E18503" i="1"/>
  <c r="D18503" i="1"/>
  <c r="D18502" i="1"/>
  <c r="E18502" i="1" s="1"/>
  <c r="D18501" i="1"/>
  <c r="E18501" i="1" s="1"/>
  <c r="D18500" i="1"/>
  <c r="E18500" i="1" s="1"/>
  <c r="D18499" i="1"/>
  <c r="E18499" i="1" s="1"/>
  <c r="D18498" i="1"/>
  <c r="E18498" i="1" s="1"/>
  <c r="D18497" i="1"/>
  <c r="E18497" i="1" s="1"/>
  <c r="D18496" i="1"/>
  <c r="E18496" i="1" s="1"/>
  <c r="D18495" i="1"/>
  <c r="E18495" i="1" s="1"/>
  <c r="E18494" i="1"/>
  <c r="D18494" i="1"/>
  <c r="D18493" i="1"/>
  <c r="E18493" i="1" s="1"/>
  <c r="D18492" i="1"/>
  <c r="E18492" i="1" s="1"/>
  <c r="E18491" i="1"/>
  <c r="D18491" i="1"/>
  <c r="D18490" i="1"/>
  <c r="E18490" i="1" s="1"/>
  <c r="D18489" i="1"/>
  <c r="E18489" i="1" s="1"/>
  <c r="D18488" i="1"/>
  <c r="E18488" i="1" s="1"/>
  <c r="D18487" i="1"/>
  <c r="E18487" i="1" s="1"/>
  <c r="D18486" i="1"/>
  <c r="E18486" i="1" s="1"/>
  <c r="D18485" i="1"/>
  <c r="E18485" i="1" s="1"/>
  <c r="E18484" i="1"/>
  <c r="D18484" i="1"/>
  <c r="D18483" i="1"/>
  <c r="E18483" i="1" s="1"/>
  <c r="D18482" i="1"/>
  <c r="E18482" i="1" s="1"/>
  <c r="D18481" i="1"/>
  <c r="E18481" i="1" s="1"/>
  <c r="D18480" i="1"/>
  <c r="E18480" i="1" s="1"/>
  <c r="E18479" i="1"/>
  <c r="D18479" i="1"/>
  <c r="D18478" i="1"/>
  <c r="E18478" i="1" s="1"/>
  <c r="D18477" i="1"/>
  <c r="E18477" i="1" s="1"/>
  <c r="D18476" i="1"/>
  <c r="E18476" i="1" s="1"/>
  <c r="D18475" i="1"/>
  <c r="E18475" i="1" s="1"/>
  <c r="D18474" i="1"/>
  <c r="E18474" i="1" s="1"/>
  <c r="D18473" i="1"/>
  <c r="E18473" i="1" s="1"/>
  <c r="D18472" i="1"/>
  <c r="E18472" i="1" s="1"/>
  <c r="D18471" i="1"/>
  <c r="E18471" i="1" s="1"/>
  <c r="E18470" i="1"/>
  <c r="D18470" i="1"/>
  <c r="D18469" i="1"/>
  <c r="E18469" i="1" s="1"/>
  <c r="D18468" i="1"/>
  <c r="E18468" i="1" s="1"/>
  <c r="E18467" i="1"/>
  <c r="D18467" i="1"/>
  <c r="D18466" i="1"/>
  <c r="E18466" i="1" s="1"/>
  <c r="D18465" i="1"/>
  <c r="E18465" i="1" s="1"/>
  <c r="D18464" i="1"/>
  <c r="E18464" i="1" s="1"/>
  <c r="D18463" i="1"/>
  <c r="E18463" i="1" s="1"/>
  <c r="E18462" i="1"/>
  <c r="D18462" i="1"/>
  <c r="E18461" i="1"/>
  <c r="D18461" i="1"/>
  <c r="D18460" i="1"/>
  <c r="E18460" i="1" s="1"/>
  <c r="D18459" i="1"/>
  <c r="E18459" i="1" s="1"/>
  <c r="D18458" i="1"/>
  <c r="E18458" i="1" s="1"/>
  <c r="D18457" i="1"/>
  <c r="E18457" i="1" s="1"/>
  <c r="D18456" i="1"/>
  <c r="E18456" i="1" s="1"/>
  <c r="E18455" i="1"/>
  <c r="D18455" i="1"/>
  <c r="D18454" i="1"/>
  <c r="E18454" i="1" s="1"/>
  <c r="D18453" i="1"/>
  <c r="E18453" i="1" s="1"/>
  <c r="D18452" i="1"/>
  <c r="E18452" i="1" s="1"/>
  <c r="D18451" i="1"/>
  <c r="E18451" i="1" s="1"/>
  <c r="E18450" i="1"/>
  <c r="D18450" i="1"/>
  <c r="E18449" i="1"/>
  <c r="D18449" i="1"/>
  <c r="E18448" i="1"/>
  <c r="D18448" i="1"/>
  <c r="E18447" i="1"/>
  <c r="D18447" i="1"/>
  <c r="D18446" i="1"/>
  <c r="E18446" i="1" s="1"/>
  <c r="D18445" i="1"/>
  <c r="E18445" i="1" s="1"/>
  <c r="D18444" i="1"/>
  <c r="E18444" i="1" s="1"/>
  <c r="E18443" i="1"/>
  <c r="D18443" i="1"/>
  <c r="D18442" i="1"/>
  <c r="E18442" i="1" s="1"/>
  <c r="D18441" i="1"/>
  <c r="E18441" i="1" s="1"/>
  <c r="D18440" i="1"/>
  <c r="E18440" i="1" s="1"/>
  <c r="D18439" i="1"/>
  <c r="E18439" i="1" s="1"/>
  <c r="D18438" i="1"/>
  <c r="E18438" i="1" s="1"/>
  <c r="D18437" i="1"/>
  <c r="E18437" i="1" s="1"/>
  <c r="D18436" i="1"/>
  <c r="E18436" i="1" s="1"/>
  <c r="E18435" i="1"/>
  <c r="D18435" i="1"/>
  <c r="E18434" i="1"/>
  <c r="D18434" i="1"/>
  <c r="D18433" i="1"/>
  <c r="E18433" i="1" s="1"/>
  <c r="D18432" i="1"/>
  <c r="E18432" i="1" s="1"/>
  <c r="E18431" i="1"/>
  <c r="D18431" i="1"/>
  <c r="D18430" i="1"/>
  <c r="E18430" i="1" s="1"/>
  <c r="D18429" i="1"/>
  <c r="E18429" i="1" s="1"/>
  <c r="D18428" i="1"/>
  <c r="E18428" i="1" s="1"/>
  <c r="D18427" i="1"/>
  <c r="E18427" i="1" s="1"/>
  <c r="E18426" i="1"/>
  <c r="D18426" i="1"/>
  <c r="D18425" i="1"/>
  <c r="E18425" i="1" s="1"/>
  <c r="E18424" i="1"/>
  <c r="D18424" i="1"/>
  <c r="D18423" i="1"/>
  <c r="E18423" i="1" s="1"/>
  <c r="D18422" i="1"/>
  <c r="E18422" i="1" s="1"/>
  <c r="D18421" i="1"/>
  <c r="E18421" i="1" s="1"/>
  <c r="D18420" i="1"/>
  <c r="E18420" i="1" s="1"/>
  <c r="E18419" i="1"/>
  <c r="D18419" i="1"/>
  <c r="D18418" i="1"/>
  <c r="E18418" i="1" s="1"/>
  <c r="D18417" i="1"/>
  <c r="E18417" i="1" s="1"/>
  <c r="D18416" i="1"/>
  <c r="E18416" i="1" s="1"/>
  <c r="D18415" i="1"/>
  <c r="E18415" i="1" s="1"/>
  <c r="E18414" i="1"/>
  <c r="D18414" i="1"/>
  <c r="D18413" i="1"/>
  <c r="E18413" i="1" s="1"/>
  <c r="D18412" i="1"/>
  <c r="E18412" i="1" s="1"/>
  <c r="E18411" i="1"/>
  <c r="D18411" i="1"/>
  <c r="D18410" i="1"/>
  <c r="E18410" i="1" s="1"/>
  <c r="D18409" i="1"/>
  <c r="E18409" i="1" s="1"/>
  <c r="D18408" i="1"/>
  <c r="E18408" i="1" s="1"/>
  <c r="D18407" i="1"/>
  <c r="E18407" i="1" s="1"/>
  <c r="D18406" i="1"/>
  <c r="E18406" i="1" s="1"/>
  <c r="D18405" i="1"/>
  <c r="E18405" i="1" s="1"/>
  <c r="D18404" i="1"/>
  <c r="E18404" i="1" s="1"/>
  <c r="D18403" i="1"/>
  <c r="E18403" i="1" s="1"/>
  <c r="E18402" i="1"/>
  <c r="D18402" i="1"/>
  <c r="E18401" i="1"/>
  <c r="D18401" i="1"/>
  <c r="E18400" i="1"/>
  <c r="D18400" i="1"/>
  <c r="E18399" i="1"/>
  <c r="D18399" i="1"/>
  <c r="D18398" i="1"/>
  <c r="E18398" i="1" s="1"/>
  <c r="D18397" i="1"/>
  <c r="E18397" i="1" s="1"/>
  <c r="D18396" i="1"/>
  <c r="E18396" i="1" s="1"/>
  <c r="E18395" i="1"/>
  <c r="D18395" i="1"/>
  <c r="D18394" i="1"/>
  <c r="E18394" i="1" s="1"/>
  <c r="D18393" i="1"/>
  <c r="E18393" i="1" s="1"/>
  <c r="D18392" i="1"/>
  <c r="E18392" i="1" s="1"/>
  <c r="D18391" i="1"/>
  <c r="E18391" i="1" s="1"/>
  <c r="D18390" i="1"/>
  <c r="E18390" i="1" s="1"/>
  <c r="D18389" i="1"/>
  <c r="E18389" i="1" s="1"/>
  <c r="D18388" i="1"/>
  <c r="E18388" i="1" s="1"/>
  <c r="E18387" i="1"/>
  <c r="D18387" i="1"/>
  <c r="E18386" i="1"/>
  <c r="D18386" i="1"/>
  <c r="D18385" i="1"/>
  <c r="E18385" i="1" s="1"/>
  <c r="D18384" i="1"/>
  <c r="E18384" i="1" s="1"/>
  <c r="E18383" i="1"/>
  <c r="D18383" i="1"/>
  <c r="D18382" i="1"/>
  <c r="E18382" i="1" s="1"/>
  <c r="D18381" i="1"/>
  <c r="E18381" i="1" s="1"/>
  <c r="D18380" i="1"/>
  <c r="E18380" i="1" s="1"/>
  <c r="D18379" i="1"/>
  <c r="E18379" i="1" s="1"/>
  <c r="E18378" i="1"/>
  <c r="D18378" i="1"/>
  <c r="D18377" i="1"/>
  <c r="E18377" i="1" s="1"/>
  <c r="E18376" i="1"/>
  <c r="D18376" i="1"/>
  <c r="D18375" i="1"/>
  <c r="E18375" i="1" s="1"/>
  <c r="D18374" i="1"/>
  <c r="E18374" i="1" s="1"/>
  <c r="D18373" i="1"/>
  <c r="E18373" i="1" s="1"/>
  <c r="D18372" i="1"/>
  <c r="E18372" i="1" s="1"/>
  <c r="E18371" i="1"/>
  <c r="D18371" i="1"/>
  <c r="D18370" i="1"/>
  <c r="E18370" i="1" s="1"/>
  <c r="D18369" i="1"/>
  <c r="E18369" i="1" s="1"/>
  <c r="D18368" i="1"/>
  <c r="E18368" i="1" s="1"/>
  <c r="D18367" i="1"/>
  <c r="E18367" i="1" s="1"/>
  <c r="E18366" i="1"/>
  <c r="D18366" i="1"/>
  <c r="D18365" i="1"/>
  <c r="E18365" i="1" s="1"/>
  <c r="D18364" i="1"/>
  <c r="E18364" i="1" s="1"/>
  <c r="E18363" i="1"/>
  <c r="D18363" i="1"/>
  <c r="D18362" i="1"/>
  <c r="E18362" i="1" s="1"/>
  <c r="D18361" i="1"/>
  <c r="E18361" i="1" s="1"/>
  <c r="D18360" i="1"/>
  <c r="E18360" i="1" s="1"/>
  <c r="D18359" i="1"/>
  <c r="E18359" i="1" s="1"/>
  <c r="D18358" i="1"/>
  <c r="E18358" i="1" s="1"/>
  <c r="D18357" i="1"/>
  <c r="E18357" i="1" s="1"/>
  <c r="D18356" i="1"/>
  <c r="E18356" i="1" s="1"/>
  <c r="D18355" i="1"/>
  <c r="E18355" i="1" s="1"/>
  <c r="D18354" i="1"/>
  <c r="E18354" i="1" s="1"/>
  <c r="D18353" i="1"/>
  <c r="E18353" i="1" s="1"/>
  <c r="D18352" i="1"/>
  <c r="E18352" i="1" s="1"/>
  <c r="E18351" i="1"/>
  <c r="D18351" i="1"/>
  <c r="E18350" i="1"/>
  <c r="D18350" i="1"/>
  <c r="D18349" i="1"/>
  <c r="E18349" i="1" s="1"/>
  <c r="D18348" i="1"/>
  <c r="E18348" i="1" s="1"/>
  <c r="E18347" i="1"/>
  <c r="D18347" i="1"/>
  <c r="D18346" i="1"/>
  <c r="E18346" i="1" s="1"/>
  <c r="D18345" i="1"/>
  <c r="E18345" i="1" s="1"/>
  <c r="D18344" i="1"/>
  <c r="E18344" i="1" s="1"/>
  <c r="D18343" i="1"/>
  <c r="E18343" i="1" s="1"/>
  <c r="D18342" i="1"/>
  <c r="E18342" i="1" s="1"/>
  <c r="D18341" i="1"/>
  <c r="E18341" i="1" s="1"/>
  <c r="E18340" i="1"/>
  <c r="D18340" i="1"/>
  <c r="E18339" i="1"/>
  <c r="D18339" i="1"/>
  <c r="E18338" i="1"/>
  <c r="D18338" i="1"/>
  <c r="D18337" i="1"/>
  <c r="E18337" i="1" s="1"/>
  <c r="D18336" i="1"/>
  <c r="E18336" i="1" s="1"/>
  <c r="D18335" i="1"/>
  <c r="E18335" i="1" s="1"/>
  <c r="D18334" i="1"/>
  <c r="E18334" i="1" s="1"/>
  <c r="D18333" i="1"/>
  <c r="E18333" i="1" s="1"/>
  <c r="E18332" i="1"/>
  <c r="D18332" i="1"/>
  <c r="D18331" i="1"/>
  <c r="E18331" i="1" s="1"/>
  <c r="E18330" i="1"/>
  <c r="D18330" i="1"/>
  <c r="D18329" i="1"/>
  <c r="E18329" i="1" s="1"/>
  <c r="D18328" i="1"/>
  <c r="E18328" i="1" s="1"/>
  <c r="D18327" i="1"/>
  <c r="E18327" i="1" s="1"/>
  <c r="E18326" i="1"/>
  <c r="D18326" i="1"/>
  <c r="D18325" i="1"/>
  <c r="E18325" i="1" s="1"/>
  <c r="D18324" i="1"/>
  <c r="E18324" i="1" s="1"/>
  <c r="E18323" i="1"/>
  <c r="D18323" i="1"/>
  <c r="E18322" i="1"/>
  <c r="D18322" i="1"/>
  <c r="D18321" i="1"/>
  <c r="E18321" i="1" s="1"/>
  <c r="E18320" i="1"/>
  <c r="D18320" i="1"/>
  <c r="D18319" i="1"/>
  <c r="E18319" i="1" s="1"/>
  <c r="E18318" i="1"/>
  <c r="D18318" i="1"/>
  <c r="D18317" i="1"/>
  <c r="E18317" i="1" s="1"/>
  <c r="E18316" i="1"/>
  <c r="D18316" i="1"/>
  <c r="D18315" i="1"/>
  <c r="E18315" i="1" s="1"/>
  <c r="D18314" i="1"/>
  <c r="E18314" i="1" s="1"/>
  <c r="D18313" i="1"/>
  <c r="E18313" i="1" s="1"/>
  <c r="D18312" i="1"/>
  <c r="E18312" i="1" s="1"/>
  <c r="E18311" i="1"/>
  <c r="D18311" i="1"/>
  <c r="E18310" i="1"/>
  <c r="D18310" i="1"/>
  <c r="D18309" i="1"/>
  <c r="E18309" i="1" s="1"/>
  <c r="D18308" i="1"/>
  <c r="E18308" i="1" s="1"/>
  <c r="D18307" i="1"/>
  <c r="E18307" i="1" s="1"/>
  <c r="D18306" i="1"/>
  <c r="E18306" i="1" s="1"/>
  <c r="D18305" i="1"/>
  <c r="E18305" i="1" s="1"/>
  <c r="E18304" i="1"/>
  <c r="D18304" i="1"/>
  <c r="D18303" i="1"/>
  <c r="E18303" i="1" s="1"/>
  <c r="E18302" i="1"/>
  <c r="D18302" i="1"/>
  <c r="D18301" i="1"/>
  <c r="E18301" i="1" s="1"/>
  <c r="D18300" i="1"/>
  <c r="E18300" i="1" s="1"/>
  <c r="D18299" i="1"/>
  <c r="E18299" i="1" s="1"/>
  <c r="D18298" i="1"/>
  <c r="E18298" i="1" s="1"/>
  <c r="D18297" i="1"/>
  <c r="E18297" i="1" s="1"/>
  <c r="D18296" i="1"/>
  <c r="E18296" i="1" s="1"/>
  <c r="D18295" i="1"/>
  <c r="E18295" i="1" s="1"/>
  <c r="E18294" i="1"/>
  <c r="D18294" i="1"/>
  <c r="E18293" i="1"/>
  <c r="D18293" i="1"/>
  <c r="D18292" i="1"/>
  <c r="E18292" i="1" s="1"/>
  <c r="D18291" i="1"/>
  <c r="E18291" i="1" s="1"/>
  <c r="E18290" i="1"/>
  <c r="D18290" i="1"/>
  <c r="D18289" i="1"/>
  <c r="E18289" i="1" s="1"/>
  <c r="D18288" i="1"/>
  <c r="E18288" i="1" s="1"/>
  <c r="E18287" i="1"/>
  <c r="D18287" i="1"/>
  <c r="D18286" i="1"/>
  <c r="E18286" i="1" s="1"/>
  <c r="D18285" i="1"/>
  <c r="E18285" i="1" s="1"/>
  <c r="E18284" i="1"/>
  <c r="D18284" i="1"/>
  <c r="D18283" i="1"/>
  <c r="E18283" i="1" s="1"/>
  <c r="E18282" i="1"/>
  <c r="D18282" i="1"/>
  <c r="E18281" i="1"/>
  <c r="D18281" i="1"/>
  <c r="E18280" i="1"/>
  <c r="D18280" i="1"/>
  <c r="E18279" i="1"/>
  <c r="D18279" i="1"/>
  <c r="D18278" i="1"/>
  <c r="E18278" i="1" s="1"/>
  <c r="D18277" i="1"/>
  <c r="E18277" i="1" s="1"/>
  <c r="D18276" i="1"/>
  <c r="E18276" i="1" s="1"/>
  <c r="E18275" i="1"/>
  <c r="D18275" i="1"/>
  <c r="D18274" i="1"/>
  <c r="E18274" i="1" s="1"/>
  <c r="E18273" i="1"/>
  <c r="D18273" i="1"/>
  <c r="E18272" i="1"/>
  <c r="D18272" i="1"/>
  <c r="E18271" i="1"/>
  <c r="D18271" i="1"/>
  <c r="D18270" i="1"/>
  <c r="E18270" i="1" s="1"/>
  <c r="D18269" i="1"/>
  <c r="E18269" i="1" s="1"/>
  <c r="D18268" i="1"/>
  <c r="E18268" i="1" s="1"/>
  <c r="D18267" i="1"/>
  <c r="E18267" i="1" s="1"/>
  <c r="E18266" i="1"/>
  <c r="D18266" i="1"/>
  <c r="E18265" i="1"/>
  <c r="D18265" i="1"/>
  <c r="D18264" i="1"/>
  <c r="E18264" i="1" s="1"/>
  <c r="E18263" i="1"/>
  <c r="D18263" i="1"/>
  <c r="D18262" i="1"/>
  <c r="E18262" i="1" s="1"/>
  <c r="E18261" i="1"/>
  <c r="D18261" i="1"/>
  <c r="E18260" i="1"/>
  <c r="D18260" i="1"/>
  <c r="E18259" i="1"/>
  <c r="D18259" i="1"/>
  <c r="D18258" i="1"/>
  <c r="E18258" i="1" s="1"/>
  <c r="D18257" i="1"/>
  <c r="E18257" i="1" s="1"/>
  <c r="D18256" i="1"/>
  <c r="E18256" i="1" s="1"/>
  <c r="D18255" i="1"/>
  <c r="E18255" i="1" s="1"/>
  <c r="E18254" i="1"/>
  <c r="D18254" i="1"/>
  <c r="E18253" i="1"/>
  <c r="D18253" i="1"/>
  <c r="D18252" i="1"/>
  <c r="E18252" i="1" s="1"/>
  <c r="E18251" i="1"/>
  <c r="D18251" i="1"/>
  <c r="D18250" i="1"/>
  <c r="E18250" i="1" s="1"/>
  <c r="E18249" i="1"/>
  <c r="D18249" i="1"/>
  <c r="E18248" i="1"/>
  <c r="D18248" i="1"/>
  <c r="E18247" i="1"/>
  <c r="D18247" i="1"/>
  <c r="D18246" i="1"/>
  <c r="E18246" i="1" s="1"/>
  <c r="D18245" i="1"/>
  <c r="E18245" i="1" s="1"/>
  <c r="D18244" i="1"/>
  <c r="E18244" i="1" s="1"/>
  <c r="D18243" i="1"/>
  <c r="E18243" i="1" s="1"/>
  <c r="E18242" i="1"/>
  <c r="D18242" i="1"/>
  <c r="E18241" i="1"/>
  <c r="D18241" i="1"/>
  <c r="D18240" i="1"/>
  <c r="E18240" i="1" s="1"/>
  <c r="E18239" i="1"/>
  <c r="D18239" i="1"/>
  <c r="E18238" i="1"/>
  <c r="D18238" i="1"/>
  <c r="E18237" i="1"/>
  <c r="D18237" i="1"/>
  <c r="E18236" i="1"/>
  <c r="D18236" i="1"/>
  <c r="E18235" i="1"/>
  <c r="D18235" i="1"/>
  <c r="D18234" i="1"/>
  <c r="E18234" i="1" s="1"/>
  <c r="D18233" i="1"/>
  <c r="E18233" i="1" s="1"/>
  <c r="D18232" i="1"/>
  <c r="E18232" i="1" s="1"/>
  <c r="D18231" i="1"/>
  <c r="E18231" i="1" s="1"/>
  <c r="E18230" i="1"/>
  <c r="D18230" i="1"/>
  <c r="E18229" i="1"/>
  <c r="D18229" i="1"/>
  <c r="D18228" i="1"/>
  <c r="E18228" i="1" s="1"/>
  <c r="E18227" i="1"/>
  <c r="D18227" i="1"/>
  <c r="E18226" i="1"/>
  <c r="D18226" i="1"/>
  <c r="E18225" i="1"/>
  <c r="D18225" i="1"/>
  <c r="E18224" i="1"/>
  <c r="D18224" i="1"/>
  <c r="E18223" i="1"/>
  <c r="D18223" i="1"/>
  <c r="D18222" i="1"/>
  <c r="E18222" i="1" s="1"/>
  <c r="D18221" i="1"/>
  <c r="E18221" i="1" s="1"/>
  <c r="D18220" i="1"/>
  <c r="E18220" i="1" s="1"/>
  <c r="D18219" i="1"/>
  <c r="E18219" i="1" s="1"/>
  <c r="E18218" i="1"/>
  <c r="D18218" i="1"/>
  <c r="E18217" i="1"/>
  <c r="D18217" i="1"/>
  <c r="D18216" i="1"/>
  <c r="E18216" i="1" s="1"/>
  <c r="E18215" i="1"/>
  <c r="D18215" i="1"/>
  <c r="E18214" i="1"/>
  <c r="D18214" i="1"/>
  <c r="E18213" i="1"/>
  <c r="D18213" i="1"/>
  <c r="E18212" i="1"/>
  <c r="D18212" i="1"/>
  <c r="E18211" i="1"/>
  <c r="D18211" i="1"/>
  <c r="D18210" i="1"/>
  <c r="E18210" i="1" s="1"/>
  <c r="D18209" i="1"/>
  <c r="E18209" i="1" s="1"/>
  <c r="D18208" i="1"/>
  <c r="E18208" i="1" s="1"/>
  <c r="D18207" i="1"/>
  <c r="E18207" i="1" s="1"/>
  <c r="E18206" i="1"/>
  <c r="D18206" i="1"/>
  <c r="E18205" i="1"/>
  <c r="D18205" i="1"/>
  <c r="D18204" i="1"/>
  <c r="E18204" i="1" s="1"/>
  <c r="E18203" i="1"/>
  <c r="D18203" i="1"/>
  <c r="D18202" i="1"/>
  <c r="E18202" i="1" s="1"/>
  <c r="E18201" i="1"/>
  <c r="D18201" i="1"/>
  <c r="E18200" i="1"/>
  <c r="D18200" i="1"/>
  <c r="E18199" i="1"/>
  <c r="D18199" i="1"/>
  <c r="D18198" i="1"/>
  <c r="E18198" i="1" s="1"/>
  <c r="D18197" i="1"/>
  <c r="E18197" i="1" s="1"/>
  <c r="D18196" i="1"/>
  <c r="E18196" i="1" s="1"/>
  <c r="D18195" i="1"/>
  <c r="E18195" i="1" s="1"/>
  <c r="E18194" i="1"/>
  <c r="D18194" i="1"/>
  <c r="E18193" i="1"/>
  <c r="D18193" i="1"/>
  <c r="D18192" i="1"/>
  <c r="E18192" i="1" s="1"/>
  <c r="E18191" i="1"/>
  <c r="D18191" i="1"/>
  <c r="D18190" i="1"/>
  <c r="E18190" i="1" s="1"/>
  <c r="E18189" i="1"/>
  <c r="D18189" i="1"/>
  <c r="E18188" i="1"/>
  <c r="D18188" i="1"/>
  <c r="E18187" i="1"/>
  <c r="D18187" i="1"/>
  <c r="D18186" i="1"/>
  <c r="E18186" i="1" s="1"/>
  <c r="D18185" i="1"/>
  <c r="E18185" i="1" s="1"/>
  <c r="D18184" i="1"/>
  <c r="E18184" i="1" s="1"/>
  <c r="D18183" i="1"/>
  <c r="E18183" i="1" s="1"/>
  <c r="E18182" i="1"/>
  <c r="D18182" i="1"/>
  <c r="E18181" i="1"/>
  <c r="D18181" i="1"/>
  <c r="D18180" i="1"/>
  <c r="E18180" i="1" s="1"/>
  <c r="E18179" i="1"/>
  <c r="D18179" i="1"/>
  <c r="D18178" i="1"/>
  <c r="E18178" i="1" s="1"/>
  <c r="E18177" i="1"/>
  <c r="D18177" i="1"/>
  <c r="E18176" i="1"/>
  <c r="D18176" i="1"/>
  <c r="E18175" i="1"/>
  <c r="D18175" i="1"/>
  <c r="D18174" i="1"/>
  <c r="E18174" i="1" s="1"/>
  <c r="D18173" i="1"/>
  <c r="E18173" i="1" s="1"/>
  <c r="D18172" i="1"/>
  <c r="E18172" i="1" s="1"/>
  <c r="D18171" i="1"/>
  <c r="E18171" i="1" s="1"/>
  <c r="E18170" i="1"/>
  <c r="D18170" i="1"/>
  <c r="E18169" i="1"/>
  <c r="D18169" i="1"/>
  <c r="D18168" i="1"/>
  <c r="E18168" i="1" s="1"/>
  <c r="E18167" i="1"/>
  <c r="D18167" i="1"/>
  <c r="E18166" i="1"/>
  <c r="D18166" i="1"/>
  <c r="E18165" i="1"/>
  <c r="D18165" i="1"/>
  <c r="E18164" i="1"/>
  <c r="D18164" i="1"/>
  <c r="E18163" i="1"/>
  <c r="D18163" i="1"/>
  <c r="D18162" i="1"/>
  <c r="E18162" i="1" s="1"/>
  <c r="D18161" i="1"/>
  <c r="E18161" i="1" s="1"/>
  <c r="D18160" i="1"/>
  <c r="E18160" i="1" s="1"/>
  <c r="D18159" i="1"/>
  <c r="E18159" i="1" s="1"/>
  <c r="E18158" i="1"/>
  <c r="D18158" i="1"/>
  <c r="E18157" i="1"/>
  <c r="D18157" i="1"/>
  <c r="D18156" i="1"/>
  <c r="E18156" i="1" s="1"/>
  <c r="E18155" i="1"/>
  <c r="D18155" i="1"/>
  <c r="D18154" i="1"/>
  <c r="E18154" i="1" s="1"/>
  <c r="E18153" i="1"/>
  <c r="D18153" i="1"/>
  <c r="E18152" i="1"/>
  <c r="D18152" i="1"/>
  <c r="E18151" i="1"/>
  <c r="D18151" i="1"/>
  <c r="D18150" i="1"/>
  <c r="E18150" i="1" s="1"/>
  <c r="D18149" i="1"/>
  <c r="E18149" i="1" s="1"/>
  <c r="D18148" i="1"/>
  <c r="E18148" i="1" s="1"/>
  <c r="D18147" i="1"/>
  <c r="E18147" i="1" s="1"/>
  <c r="E18146" i="1"/>
  <c r="D18146" i="1"/>
  <c r="E18145" i="1"/>
  <c r="D18145" i="1"/>
  <c r="D18144" i="1"/>
  <c r="E18144" i="1" s="1"/>
  <c r="E18143" i="1"/>
  <c r="D18143" i="1"/>
  <c r="D18142" i="1"/>
  <c r="E18142" i="1" s="1"/>
  <c r="E18141" i="1"/>
  <c r="D18141" i="1"/>
  <c r="E18140" i="1"/>
  <c r="D18140" i="1"/>
  <c r="E18139" i="1"/>
  <c r="D18139" i="1"/>
  <c r="D18138" i="1"/>
  <c r="E18138" i="1" s="1"/>
  <c r="D18137" i="1"/>
  <c r="E18137" i="1" s="1"/>
  <c r="D18136" i="1"/>
  <c r="E18136" i="1" s="1"/>
  <c r="D18135" i="1"/>
  <c r="E18135" i="1" s="1"/>
  <c r="E18134" i="1"/>
  <c r="D18134" i="1"/>
  <c r="E18133" i="1"/>
  <c r="D18133" i="1"/>
  <c r="D18132" i="1"/>
  <c r="E18132" i="1" s="1"/>
  <c r="E18131" i="1"/>
  <c r="D18131" i="1"/>
  <c r="E18130" i="1"/>
  <c r="D18130" i="1"/>
  <c r="E18129" i="1"/>
  <c r="D18129" i="1"/>
  <c r="E18128" i="1"/>
  <c r="D18128" i="1"/>
  <c r="E18127" i="1"/>
  <c r="D18127" i="1"/>
  <c r="D18126" i="1"/>
  <c r="E18126" i="1" s="1"/>
  <c r="D18125" i="1"/>
  <c r="E18125" i="1" s="1"/>
  <c r="D18124" i="1"/>
  <c r="E18124" i="1" s="1"/>
  <c r="D18123" i="1"/>
  <c r="E18123" i="1" s="1"/>
  <c r="E18122" i="1"/>
  <c r="D18122" i="1"/>
  <c r="E18121" i="1"/>
  <c r="D18121" i="1"/>
  <c r="D18120" i="1"/>
  <c r="E18120" i="1" s="1"/>
  <c r="E18119" i="1"/>
  <c r="D18119" i="1"/>
  <c r="D18118" i="1"/>
  <c r="E18118" i="1" s="1"/>
  <c r="E18117" i="1"/>
  <c r="D18117" i="1"/>
  <c r="E18116" i="1"/>
  <c r="D18116" i="1"/>
  <c r="E18115" i="1"/>
  <c r="D18115" i="1"/>
  <c r="D18114" i="1"/>
  <c r="E18114" i="1" s="1"/>
  <c r="D18113" i="1"/>
  <c r="E18113" i="1" s="1"/>
  <c r="D18112" i="1"/>
  <c r="E18112" i="1" s="1"/>
  <c r="D18111" i="1"/>
  <c r="E18111" i="1" s="1"/>
  <c r="E18110" i="1"/>
  <c r="D18110" i="1"/>
  <c r="E18109" i="1"/>
  <c r="D18109" i="1"/>
  <c r="D18108" i="1"/>
  <c r="E18108" i="1" s="1"/>
  <c r="E18107" i="1"/>
  <c r="D18107" i="1"/>
  <c r="D18106" i="1"/>
  <c r="E18106" i="1" s="1"/>
  <c r="E18105" i="1"/>
  <c r="D18105" i="1"/>
  <c r="E18104" i="1"/>
  <c r="D18104" i="1"/>
  <c r="E18103" i="1"/>
  <c r="D18103" i="1"/>
  <c r="D18102" i="1"/>
  <c r="E18102" i="1" s="1"/>
  <c r="D18101" i="1"/>
  <c r="E18101" i="1" s="1"/>
  <c r="D18100" i="1"/>
  <c r="E18100" i="1" s="1"/>
  <c r="D18099" i="1"/>
  <c r="E18099" i="1" s="1"/>
  <c r="E18098" i="1"/>
  <c r="D18098" i="1"/>
  <c r="E18097" i="1"/>
  <c r="D18097" i="1"/>
  <c r="D18096" i="1"/>
  <c r="E18096" i="1" s="1"/>
  <c r="E18095" i="1"/>
  <c r="D18095" i="1"/>
  <c r="D18094" i="1"/>
  <c r="E18094" i="1" s="1"/>
  <c r="E18093" i="1"/>
  <c r="D18093" i="1"/>
  <c r="E18092" i="1"/>
  <c r="D18092" i="1"/>
  <c r="E18091" i="1"/>
  <c r="D18091" i="1"/>
  <c r="D18090" i="1"/>
  <c r="E18090" i="1" s="1"/>
  <c r="D18089" i="1"/>
  <c r="E18089" i="1" s="1"/>
  <c r="D18088" i="1"/>
  <c r="E18088" i="1" s="1"/>
  <c r="D18087" i="1"/>
  <c r="E18087" i="1" s="1"/>
  <c r="E18086" i="1"/>
  <c r="D18086" i="1"/>
  <c r="E18085" i="1"/>
  <c r="D18085" i="1"/>
  <c r="D18084" i="1"/>
  <c r="E18084" i="1" s="1"/>
  <c r="E18083" i="1"/>
  <c r="D18083" i="1"/>
  <c r="E18082" i="1"/>
  <c r="D18082" i="1"/>
  <c r="E18081" i="1"/>
  <c r="D18081" i="1"/>
  <c r="E18080" i="1"/>
  <c r="D18080" i="1"/>
  <c r="E18079" i="1"/>
  <c r="D18079" i="1"/>
  <c r="D18078" i="1"/>
  <c r="E18078" i="1" s="1"/>
  <c r="D18077" i="1"/>
  <c r="E18077" i="1" s="1"/>
  <c r="D18076" i="1"/>
  <c r="E18076" i="1" s="1"/>
  <c r="D18075" i="1"/>
  <c r="E18075" i="1" s="1"/>
  <c r="E18074" i="1"/>
  <c r="D18074" i="1"/>
  <c r="E18073" i="1"/>
  <c r="D18073" i="1"/>
  <c r="D18072" i="1"/>
  <c r="E18072" i="1" s="1"/>
  <c r="E18071" i="1"/>
  <c r="D18071" i="1"/>
  <c r="D18070" i="1"/>
  <c r="E18070" i="1" s="1"/>
  <c r="E18069" i="1"/>
  <c r="D18069" i="1"/>
  <c r="E18068" i="1"/>
  <c r="D18068" i="1"/>
  <c r="E18067" i="1"/>
  <c r="D18067" i="1"/>
  <c r="D18066" i="1"/>
  <c r="E18066" i="1" s="1"/>
  <c r="D18065" i="1"/>
  <c r="E18065" i="1" s="1"/>
  <c r="D18064" i="1"/>
  <c r="E18064" i="1" s="1"/>
  <c r="D18063" i="1"/>
  <c r="E18063" i="1" s="1"/>
  <c r="E18062" i="1"/>
  <c r="D18062" i="1"/>
  <c r="E18061" i="1"/>
  <c r="D18061" i="1"/>
  <c r="D18060" i="1"/>
  <c r="E18060" i="1" s="1"/>
  <c r="E18059" i="1"/>
  <c r="D18059" i="1"/>
  <c r="D18058" i="1"/>
  <c r="E18058" i="1" s="1"/>
  <c r="E18057" i="1"/>
  <c r="D18057" i="1"/>
  <c r="E18056" i="1"/>
  <c r="D18056" i="1"/>
  <c r="E18055" i="1"/>
  <c r="D18055" i="1"/>
  <c r="D18054" i="1"/>
  <c r="E18054" i="1" s="1"/>
  <c r="D18053" i="1"/>
  <c r="E18053" i="1" s="1"/>
  <c r="D18052" i="1"/>
  <c r="E18052" i="1" s="1"/>
  <c r="D18051" i="1"/>
  <c r="E18051" i="1" s="1"/>
  <c r="E18050" i="1"/>
  <c r="D18050" i="1"/>
  <c r="E18049" i="1"/>
  <c r="D18049" i="1"/>
  <c r="D18048" i="1"/>
  <c r="E18048" i="1" s="1"/>
  <c r="E18047" i="1"/>
  <c r="D18047" i="1"/>
  <c r="E18046" i="1"/>
  <c r="D18046" i="1"/>
  <c r="E18045" i="1"/>
  <c r="D18045" i="1"/>
  <c r="E18044" i="1"/>
  <c r="D18044" i="1"/>
  <c r="E18043" i="1"/>
  <c r="D18043" i="1"/>
  <c r="D18042" i="1"/>
  <c r="E18042" i="1" s="1"/>
  <c r="D18041" i="1"/>
  <c r="E18041" i="1" s="1"/>
  <c r="D18040" i="1"/>
  <c r="E18040" i="1" s="1"/>
  <c r="D18039" i="1"/>
  <c r="E18039" i="1" s="1"/>
  <c r="E18038" i="1"/>
  <c r="D18038" i="1"/>
  <c r="E18037" i="1"/>
  <c r="D18037" i="1"/>
  <c r="D18036" i="1"/>
  <c r="E18036" i="1" s="1"/>
  <c r="E18035" i="1"/>
  <c r="D18035" i="1"/>
  <c r="E18034" i="1"/>
  <c r="D18034" i="1"/>
  <c r="E18033" i="1"/>
  <c r="D18033" i="1"/>
  <c r="E18032" i="1"/>
  <c r="D18032" i="1"/>
  <c r="E18031" i="1"/>
  <c r="D18031" i="1"/>
  <c r="D18030" i="1"/>
  <c r="E18030" i="1" s="1"/>
  <c r="D18029" i="1"/>
  <c r="E18029" i="1" s="1"/>
  <c r="D18028" i="1"/>
  <c r="E18028" i="1" s="1"/>
  <c r="D18027" i="1"/>
  <c r="E18027" i="1" s="1"/>
  <c r="E18026" i="1"/>
  <c r="D18026" i="1"/>
  <c r="E18025" i="1"/>
  <c r="D18025" i="1"/>
  <c r="D18024" i="1"/>
  <c r="E18024" i="1" s="1"/>
  <c r="E18023" i="1"/>
  <c r="D18023" i="1"/>
  <c r="D18022" i="1"/>
  <c r="E18022" i="1" s="1"/>
  <c r="E18021" i="1"/>
  <c r="D18021" i="1"/>
  <c r="E18020" i="1"/>
  <c r="D18020" i="1"/>
  <c r="E18019" i="1"/>
  <c r="D18019" i="1"/>
  <c r="D18018" i="1"/>
  <c r="E18018" i="1" s="1"/>
  <c r="D18017" i="1"/>
  <c r="E18017" i="1" s="1"/>
  <c r="D18016" i="1"/>
  <c r="E18016" i="1" s="1"/>
  <c r="D18015" i="1"/>
  <c r="E18015" i="1" s="1"/>
  <c r="E18014" i="1"/>
  <c r="D18014" i="1"/>
  <c r="E18013" i="1"/>
  <c r="D18013" i="1"/>
  <c r="D18012" i="1"/>
  <c r="E18012" i="1" s="1"/>
  <c r="E18011" i="1"/>
  <c r="D18011" i="1"/>
  <c r="E18010" i="1"/>
  <c r="D18010" i="1"/>
  <c r="E18009" i="1"/>
  <c r="D18009" i="1"/>
  <c r="E18008" i="1"/>
  <c r="D18008" i="1"/>
  <c r="E18007" i="1"/>
  <c r="D18007" i="1"/>
  <c r="D18006" i="1"/>
  <c r="E18006" i="1" s="1"/>
  <c r="D18005" i="1"/>
  <c r="E18005" i="1" s="1"/>
  <c r="D18004" i="1"/>
  <c r="E18004" i="1" s="1"/>
  <c r="D18003" i="1"/>
  <c r="E18003" i="1" s="1"/>
  <c r="E18002" i="1"/>
  <c r="D18002" i="1"/>
  <c r="E18001" i="1"/>
  <c r="D18001" i="1"/>
  <c r="D18000" i="1"/>
  <c r="E18000" i="1" s="1"/>
  <c r="E17999" i="1"/>
  <c r="D17999" i="1"/>
  <c r="E17998" i="1"/>
  <c r="D17998" i="1"/>
  <c r="E17997" i="1"/>
  <c r="D17997" i="1"/>
  <c r="E17996" i="1"/>
  <c r="D17996" i="1"/>
  <c r="E17995" i="1"/>
  <c r="D17995" i="1"/>
  <c r="D17994" i="1"/>
  <c r="E17994" i="1" s="1"/>
  <c r="D17993" i="1"/>
  <c r="E17993" i="1" s="1"/>
  <c r="D17992" i="1"/>
  <c r="E17992" i="1" s="1"/>
  <c r="D17991" i="1"/>
  <c r="E17991" i="1" s="1"/>
  <c r="E17990" i="1"/>
  <c r="D17990" i="1"/>
  <c r="E17989" i="1"/>
  <c r="D17989" i="1"/>
  <c r="D17988" i="1"/>
  <c r="E17988" i="1" s="1"/>
  <c r="E17987" i="1"/>
  <c r="D17987" i="1"/>
  <c r="D17986" i="1"/>
  <c r="E17986" i="1" s="1"/>
  <c r="E17985" i="1"/>
  <c r="D17985" i="1"/>
  <c r="E17984" i="1"/>
  <c r="D17984" i="1"/>
  <c r="E17983" i="1"/>
  <c r="D17983" i="1"/>
  <c r="D17982" i="1"/>
  <c r="E17982" i="1" s="1"/>
  <c r="D17981" i="1"/>
  <c r="E17981" i="1" s="1"/>
  <c r="D17980" i="1"/>
  <c r="E17980" i="1" s="1"/>
  <c r="D17979" i="1"/>
  <c r="E17979" i="1" s="1"/>
  <c r="E17978" i="1"/>
  <c r="D17978" i="1"/>
  <c r="E17977" i="1"/>
  <c r="D17977" i="1"/>
  <c r="D17976" i="1"/>
  <c r="E17976" i="1" s="1"/>
  <c r="E17975" i="1"/>
  <c r="D17975" i="1"/>
  <c r="D17974" i="1"/>
  <c r="E17974" i="1" s="1"/>
  <c r="E17973" i="1"/>
  <c r="D17973" i="1"/>
  <c r="E17972" i="1"/>
  <c r="D17972" i="1"/>
  <c r="E17971" i="1"/>
  <c r="D17971" i="1"/>
  <c r="D17970" i="1"/>
  <c r="E17970" i="1" s="1"/>
  <c r="D17969" i="1"/>
  <c r="E17969" i="1" s="1"/>
  <c r="D17968" i="1"/>
  <c r="E17968" i="1" s="1"/>
  <c r="D17967" i="1"/>
  <c r="E17967" i="1" s="1"/>
  <c r="E17966" i="1"/>
  <c r="D17966" i="1"/>
  <c r="E17965" i="1"/>
  <c r="D17965" i="1"/>
  <c r="D17964" i="1"/>
  <c r="E17964" i="1" s="1"/>
  <c r="E17963" i="1"/>
  <c r="D17963" i="1"/>
  <c r="D17962" i="1"/>
  <c r="E17962" i="1" s="1"/>
  <c r="E17961" i="1"/>
  <c r="D17961" i="1"/>
  <c r="E17960" i="1"/>
  <c r="D17960" i="1"/>
  <c r="E17959" i="1"/>
  <c r="D17959" i="1"/>
  <c r="D17958" i="1"/>
  <c r="E17958" i="1" s="1"/>
  <c r="D17957" i="1"/>
  <c r="E17957" i="1" s="1"/>
  <c r="D17956" i="1"/>
  <c r="E17956" i="1" s="1"/>
  <c r="D17955" i="1"/>
  <c r="E17955" i="1" s="1"/>
  <c r="E17954" i="1"/>
  <c r="D17954" i="1"/>
  <c r="E17953" i="1"/>
  <c r="D17953" i="1"/>
  <c r="D17952" i="1"/>
  <c r="E17952" i="1" s="1"/>
  <c r="E17951" i="1"/>
  <c r="D17951" i="1"/>
  <c r="E17950" i="1"/>
  <c r="D17950" i="1"/>
  <c r="E17949" i="1"/>
  <c r="D17949" i="1"/>
  <c r="E17948" i="1"/>
  <c r="D17948" i="1"/>
  <c r="E17947" i="1"/>
  <c r="D17947" i="1"/>
  <c r="D17946" i="1"/>
  <c r="E17946" i="1" s="1"/>
  <c r="D17945" i="1"/>
  <c r="E17945" i="1" s="1"/>
  <c r="D17944" i="1"/>
  <c r="E17944" i="1" s="1"/>
  <c r="D17943" i="1"/>
  <c r="E17943" i="1" s="1"/>
  <c r="E17942" i="1"/>
  <c r="D17942" i="1"/>
  <c r="E17941" i="1"/>
  <c r="D17941" i="1"/>
  <c r="D17940" i="1"/>
  <c r="E17940" i="1" s="1"/>
  <c r="E17939" i="1"/>
  <c r="D17939" i="1"/>
  <c r="E17938" i="1"/>
  <c r="D17938" i="1"/>
  <c r="E17937" i="1"/>
  <c r="D17937" i="1"/>
  <c r="E17936" i="1"/>
  <c r="D17936" i="1"/>
  <c r="E17935" i="1"/>
  <c r="D17935" i="1"/>
  <c r="D17934" i="1"/>
  <c r="E17934" i="1" s="1"/>
  <c r="D17933" i="1"/>
  <c r="E17933" i="1" s="1"/>
  <c r="D17932" i="1"/>
  <c r="E17932" i="1" s="1"/>
  <c r="D17931" i="1"/>
  <c r="E17931" i="1" s="1"/>
  <c r="E17930" i="1"/>
  <c r="D17930" i="1"/>
  <c r="E17929" i="1"/>
  <c r="D17929" i="1"/>
  <c r="D17928" i="1"/>
  <c r="E17928" i="1" s="1"/>
  <c r="E17927" i="1"/>
  <c r="D17927" i="1"/>
  <c r="E17926" i="1"/>
  <c r="D17926" i="1"/>
  <c r="E17925" i="1"/>
  <c r="D17925" i="1"/>
  <c r="E17924" i="1"/>
  <c r="D17924" i="1"/>
  <c r="E17923" i="1"/>
  <c r="D17923" i="1"/>
  <c r="D17922" i="1"/>
  <c r="E17922" i="1" s="1"/>
  <c r="D17921" i="1"/>
  <c r="E17921" i="1" s="1"/>
  <c r="D17920" i="1"/>
  <c r="E17920" i="1" s="1"/>
  <c r="D17919" i="1"/>
  <c r="E17919" i="1" s="1"/>
  <c r="E17918" i="1"/>
  <c r="D17918" i="1"/>
  <c r="E17917" i="1"/>
  <c r="D17917" i="1"/>
  <c r="D17916" i="1"/>
  <c r="E17916" i="1" s="1"/>
  <c r="E17915" i="1"/>
  <c r="D17915" i="1"/>
  <c r="D17914" i="1"/>
  <c r="E17914" i="1" s="1"/>
  <c r="E17913" i="1"/>
  <c r="D17913" i="1"/>
  <c r="E17912" i="1"/>
  <c r="D17912" i="1"/>
  <c r="E17911" i="1"/>
  <c r="D17911" i="1"/>
  <c r="D17910" i="1"/>
  <c r="E17910" i="1" s="1"/>
  <c r="D17909" i="1"/>
  <c r="E17909" i="1" s="1"/>
  <c r="D17908" i="1"/>
  <c r="E17908" i="1" s="1"/>
  <c r="D17907" i="1"/>
  <c r="E17907" i="1" s="1"/>
  <c r="E17906" i="1"/>
  <c r="D17906" i="1"/>
  <c r="D17905" i="1"/>
  <c r="E17905" i="1" s="1"/>
  <c r="D17904" i="1"/>
  <c r="E17904" i="1" s="1"/>
  <c r="D17903" i="1"/>
  <c r="E17903" i="1" s="1"/>
  <c r="D17902" i="1"/>
  <c r="E17902" i="1" s="1"/>
  <c r="E17901" i="1"/>
  <c r="D17901" i="1"/>
  <c r="E17900" i="1"/>
  <c r="D17900" i="1"/>
  <c r="E17899" i="1"/>
  <c r="D17899" i="1"/>
  <c r="D17898" i="1"/>
  <c r="E17898" i="1" s="1"/>
  <c r="D17897" i="1"/>
  <c r="E17897" i="1" s="1"/>
  <c r="D17896" i="1"/>
  <c r="E17896" i="1" s="1"/>
  <c r="D17895" i="1"/>
  <c r="E17895" i="1" s="1"/>
  <c r="E17894" i="1"/>
  <c r="D17894" i="1"/>
  <c r="E17893" i="1"/>
  <c r="D17893" i="1"/>
  <c r="D17892" i="1"/>
  <c r="E17892" i="1" s="1"/>
  <c r="D17891" i="1"/>
  <c r="E17891" i="1" s="1"/>
  <c r="D17890" i="1"/>
  <c r="E17890" i="1" s="1"/>
  <c r="E17889" i="1"/>
  <c r="D17889" i="1"/>
  <c r="E17888" i="1"/>
  <c r="D17888" i="1"/>
  <c r="E17887" i="1"/>
  <c r="D17887" i="1"/>
  <c r="D17886" i="1"/>
  <c r="E17886" i="1" s="1"/>
  <c r="D17885" i="1"/>
  <c r="E17885" i="1" s="1"/>
  <c r="D17884" i="1"/>
  <c r="E17884" i="1" s="1"/>
  <c r="D17883" i="1"/>
  <c r="E17883" i="1" s="1"/>
  <c r="E17882" i="1"/>
  <c r="D17882" i="1"/>
  <c r="D17881" i="1"/>
  <c r="E17881" i="1" s="1"/>
  <c r="D17880" i="1"/>
  <c r="E17880" i="1" s="1"/>
  <c r="E17879" i="1"/>
  <c r="D17879" i="1"/>
  <c r="E17878" i="1"/>
  <c r="D17878" i="1"/>
  <c r="E17877" i="1"/>
  <c r="D17877" i="1"/>
  <c r="E17876" i="1"/>
  <c r="D17876" i="1"/>
  <c r="E17875" i="1"/>
  <c r="D17875" i="1"/>
  <c r="D17874" i="1"/>
  <c r="E17874" i="1" s="1"/>
  <c r="D17873" i="1"/>
  <c r="E17873" i="1" s="1"/>
  <c r="D17872" i="1"/>
  <c r="E17872" i="1" s="1"/>
  <c r="D17871" i="1"/>
  <c r="E17871" i="1" s="1"/>
  <c r="E17870" i="1"/>
  <c r="D17870" i="1"/>
  <c r="D17869" i="1"/>
  <c r="E17869" i="1" s="1"/>
  <c r="D17868" i="1"/>
  <c r="E17868" i="1" s="1"/>
  <c r="E17867" i="1"/>
  <c r="D17867" i="1"/>
  <c r="D17866" i="1"/>
  <c r="E17866" i="1" s="1"/>
  <c r="E17865" i="1"/>
  <c r="D17865" i="1"/>
  <c r="E17864" i="1"/>
  <c r="D17864" i="1"/>
  <c r="E17863" i="1"/>
  <c r="D17863" i="1"/>
  <c r="D17862" i="1"/>
  <c r="E17862" i="1" s="1"/>
  <c r="D17861" i="1"/>
  <c r="E17861" i="1" s="1"/>
  <c r="D17860" i="1"/>
  <c r="E17860" i="1" s="1"/>
  <c r="D17859" i="1"/>
  <c r="E17859" i="1" s="1"/>
  <c r="E17858" i="1"/>
  <c r="D17858" i="1"/>
  <c r="E17857" i="1"/>
  <c r="D17857" i="1"/>
  <c r="D17856" i="1"/>
  <c r="E17856" i="1" s="1"/>
  <c r="D17855" i="1"/>
  <c r="E17855" i="1" s="1"/>
  <c r="D17854" i="1"/>
  <c r="E17854" i="1" s="1"/>
  <c r="E17853" i="1"/>
  <c r="D17853" i="1"/>
  <c r="E17852" i="1"/>
  <c r="D17852" i="1"/>
  <c r="E17851" i="1"/>
  <c r="D17851" i="1"/>
  <c r="D17850" i="1"/>
  <c r="E17850" i="1" s="1"/>
  <c r="D17849" i="1"/>
  <c r="E17849" i="1" s="1"/>
  <c r="D17848" i="1"/>
  <c r="E17848" i="1" s="1"/>
  <c r="D17847" i="1"/>
  <c r="E17847" i="1" s="1"/>
  <c r="E17846" i="1"/>
  <c r="D17846" i="1"/>
  <c r="D17845" i="1"/>
  <c r="E17845" i="1" s="1"/>
  <c r="D17844" i="1"/>
  <c r="E17844" i="1" s="1"/>
  <c r="E17843" i="1"/>
  <c r="D17843" i="1"/>
  <c r="E17842" i="1"/>
  <c r="D17842" i="1"/>
  <c r="E17841" i="1"/>
  <c r="D17841" i="1"/>
  <c r="E17840" i="1"/>
  <c r="D17840" i="1"/>
  <c r="E17839" i="1"/>
  <c r="D17839" i="1"/>
  <c r="D17838" i="1"/>
  <c r="E17838" i="1" s="1"/>
  <c r="D17837" i="1"/>
  <c r="E17837" i="1" s="1"/>
  <c r="D17836" i="1"/>
  <c r="E17836" i="1" s="1"/>
  <c r="D17835" i="1"/>
  <c r="E17835" i="1" s="1"/>
  <c r="D17834" i="1"/>
  <c r="E17834" i="1" s="1"/>
  <c r="D17833" i="1"/>
  <c r="E17833" i="1" s="1"/>
  <c r="D17832" i="1"/>
  <c r="E17832" i="1" s="1"/>
  <c r="E17831" i="1"/>
  <c r="D17831" i="1"/>
  <c r="D17830" i="1"/>
  <c r="E17830" i="1" s="1"/>
  <c r="E17829" i="1"/>
  <c r="D17829" i="1"/>
  <c r="E17828" i="1"/>
  <c r="D17828" i="1"/>
  <c r="E17827" i="1"/>
  <c r="D17827" i="1"/>
  <c r="D17826" i="1"/>
  <c r="E17826" i="1" s="1"/>
  <c r="D17825" i="1"/>
  <c r="E17825" i="1" s="1"/>
  <c r="D17824" i="1"/>
  <c r="E17824" i="1" s="1"/>
  <c r="D17823" i="1"/>
  <c r="E17823" i="1" s="1"/>
  <c r="D17822" i="1"/>
  <c r="E17822" i="1" s="1"/>
  <c r="D17821" i="1"/>
  <c r="E17821" i="1" s="1"/>
  <c r="D17820" i="1"/>
  <c r="E17820" i="1" s="1"/>
  <c r="D17819" i="1"/>
  <c r="E17819" i="1" s="1"/>
  <c r="D17818" i="1"/>
  <c r="E17818" i="1" s="1"/>
  <c r="E17817" i="1"/>
  <c r="D17817" i="1"/>
  <c r="E17816" i="1"/>
  <c r="D17816" i="1"/>
  <c r="E17815" i="1"/>
  <c r="D17815" i="1"/>
  <c r="D17814" i="1"/>
  <c r="E17814" i="1" s="1"/>
  <c r="D17813" i="1"/>
  <c r="E17813" i="1" s="1"/>
  <c r="D17812" i="1"/>
  <c r="E17812" i="1" s="1"/>
  <c r="D17811" i="1"/>
  <c r="E17811" i="1" s="1"/>
  <c r="D17810" i="1"/>
  <c r="E17810" i="1" s="1"/>
  <c r="E17809" i="1"/>
  <c r="D17809" i="1"/>
  <c r="D17808" i="1"/>
  <c r="E17808" i="1" s="1"/>
  <c r="D17807" i="1"/>
  <c r="E17807" i="1" s="1"/>
  <c r="D17806" i="1"/>
  <c r="E17806" i="1" s="1"/>
  <c r="E17805" i="1"/>
  <c r="D17805" i="1"/>
  <c r="E17804" i="1"/>
  <c r="D17804" i="1"/>
  <c r="E17803" i="1"/>
  <c r="D17803" i="1"/>
  <c r="D17802" i="1"/>
  <c r="E17802" i="1" s="1"/>
  <c r="D17801" i="1"/>
  <c r="E17801" i="1" s="1"/>
  <c r="D17800" i="1"/>
  <c r="E17800" i="1" s="1"/>
  <c r="D17799" i="1"/>
  <c r="E17799" i="1" s="1"/>
  <c r="E17798" i="1"/>
  <c r="D17798" i="1"/>
  <c r="D17797" i="1"/>
  <c r="E17797" i="1" s="1"/>
  <c r="D17796" i="1"/>
  <c r="E17796" i="1" s="1"/>
  <c r="D17795" i="1"/>
  <c r="E17795" i="1" s="1"/>
  <c r="E17794" i="1"/>
  <c r="D17794" i="1"/>
  <c r="E17793" i="1"/>
  <c r="D17793" i="1"/>
  <c r="E17792" i="1"/>
  <c r="D17792" i="1"/>
  <c r="E17791" i="1"/>
  <c r="D17791" i="1"/>
  <c r="D17790" i="1"/>
  <c r="E17790" i="1" s="1"/>
  <c r="D17789" i="1"/>
  <c r="E17789" i="1" s="1"/>
  <c r="D17788" i="1"/>
  <c r="E17788" i="1" s="1"/>
  <c r="D17787" i="1"/>
  <c r="E17787" i="1" s="1"/>
  <c r="E17786" i="1"/>
  <c r="D17786" i="1"/>
  <c r="D17785" i="1"/>
  <c r="E17785" i="1" s="1"/>
  <c r="D17784" i="1"/>
  <c r="E17784" i="1" s="1"/>
  <c r="E17783" i="1"/>
  <c r="D17783" i="1"/>
  <c r="D17782" i="1"/>
  <c r="E17782" i="1" s="1"/>
  <c r="E17781" i="1"/>
  <c r="D17781" i="1"/>
  <c r="E17780" i="1"/>
  <c r="D17780" i="1"/>
  <c r="E17779" i="1"/>
  <c r="D17779" i="1"/>
  <c r="D17778" i="1"/>
  <c r="E17778" i="1" s="1"/>
  <c r="D17777" i="1"/>
  <c r="E17777" i="1" s="1"/>
  <c r="D17776" i="1"/>
  <c r="E17776" i="1" s="1"/>
  <c r="D17775" i="1"/>
  <c r="E17775" i="1" s="1"/>
  <c r="E17774" i="1"/>
  <c r="D17774" i="1"/>
  <c r="E17773" i="1"/>
  <c r="D17773" i="1"/>
  <c r="D17772" i="1"/>
  <c r="E17772" i="1" s="1"/>
  <c r="E17771" i="1"/>
  <c r="D17771" i="1"/>
  <c r="D17770" i="1"/>
  <c r="E17770" i="1" s="1"/>
  <c r="E17769" i="1"/>
  <c r="D17769" i="1"/>
  <c r="E17768" i="1"/>
  <c r="D17768" i="1"/>
  <c r="E17767" i="1"/>
  <c r="D17767" i="1"/>
  <c r="D17766" i="1"/>
  <c r="E17766" i="1" s="1"/>
  <c r="D17765" i="1"/>
  <c r="E17765" i="1" s="1"/>
  <c r="D17764" i="1"/>
  <c r="E17764" i="1" s="1"/>
  <c r="D17763" i="1"/>
  <c r="E17763" i="1" s="1"/>
  <c r="D17762" i="1"/>
  <c r="E17762" i="1" s="1"/>
  <c r="E17761" i="1"/>
  <c r="D17761" i="1"/>
  <c r="D17760" i="1"/>
  <c r="E17760" i="1" s="1"/>
  <c r="E17759" i="1"/>
  <c r="D17759" i="1"/>
  <c r="E17758" i="1"/>
  <c r="D17758" i="1"/>
  <c r="E17757" i="1"/>
  <c r="D17757" i="1"/>
  <c r="E17756" i="1"/>
  <c r="D17756" i="1"/>
  <c r="D17755" i="1"/>
  <c r="E17755" i="1" s="1"/>
  <c r="D17754" i="1"/>
  <c r="E17754" i="1" s="1"/>
  <c r="D17753" i="1"/>
  <c r="E17753" i="1" s="1"/>
  <c r="D17752" i="1"/>
  <c r="E17752" i="1" s="1"/>
  <c r="D17751" i="1"/>
  <c r="E17751" i="1" s="1"/>
  <c r="D17750" i="1"/>
  <c r="E17750" i="1" s="1"/>
  <c r="D17749" i="1"/>
  <c r="E17749" i="1" s="1"/>
  <c r="D17748" i="1"/>
  <c r="E17748" i="1" s="1"/>
  <c r="D17747" i="1"/>
  <c r="E17747" i="1" s="1"/>
  <c r="E17746" i="1"/>
  <c r="D17746" i="1"/>
  <c r="E17745" i="1"/>
  <c r="D17745" i="1"/>
  <c r="E17744" i="1"/>
  <c r="D17744" i="1"/>
  <c r="D17743" i="1"/>
  <c r="E17743" i="1" s="1"/>
  <c r="D17742" i="1"/>
  <c r="E17742" i="1" s="1"/>
  <c r="D17741" i="1"/>
  <c r="E17741" i="1" s="1"/>
  <c r="D17740" i="1"/>
  <c r="E17740" i="1" s="1"/>
  <c r="D17739" i="1"/>
  <c r="E17739" i="1" s="1"/>
  <c r="D17738" i="1"/>
  <c r="E17738" i="1" s="1"/>
  <c r="E17737" i="1"/>
  <c r="D17737" i="1"/>
  <c r="D17736" i="1"/>
  <c r="E17736" i="1" s="1"/>
  <c r="D17735" i="1"/>
  <c r="E17735" i="1" s="1"/>
  <c r="D17734" i="1"/>
  <c r="E17734" i="1" s="1"/>
  <c r="E17733" i="1"/>
  <c r="D17733" i="1"/>
  <c r="E17732" i="1"/>
  <c r="D17732" i="1"/>
  <c r="D17731" i="1"/>
  <c r="E17731" i="1" s="1"/>
  <c r="D17730" i="1"/>
  <c r="E17730" i="1" s="1"/>
  <c r="D17729" i="1"/>
  <c r="E17729" i="1" s="1"/>
  <c r="D17728" i="1"/>
  <c r="E17728" i="1" s="1"/>
  <c r="D17727" i="1"/>
  <c r="E17727" i="1" s="1"/>
  <c r="E17726" i="1"/>
  <c r="D17726" i="1"/>
  <c r="E17725" i="1"/>
  <c r="D17725" i="1"/>
  <c r="D17724" i="1"/>
  <c r="E17724" i="1" s="1"/>
  <c r="E17723" i="1"/>
  <c r="D17723" i="1"/>
  <c r="D17722" i="1"/>
  <c r="E17722" i="1" s="1"/>
  <c r="E17721" i="1"/>
  <c r="D17721" i="1"/>
  <c r="E17720" i="1"/>
  <c r="D17720" i="1"/>
  <c r="E17719" i="1"/>
  <c r="D17719" i="1"/>
  <c r="D17718" i="1"/>
  <c r="E17718" i="1" s="1"/>
  <c r="D17717" i="1"/>
  <c r="E17717" i="1" s="1"/>
  <c r="D17716" i="1"/>
  <c r="E17716" i="1" s="1"/>
  <c r="D17715" i="1"/>
  <c r="E17715" i="1" s="1"/>
  <c r="E17714" i="1"/>
  <c r="D17714" i="1"/>
  <c r="E17713" i="1"/>
  <c r="D17713" i="1"/>
  <c r="E17712" i="1"/>
  <c r="D17712" i="1"/>
  <c r="E17711" i="1"/>
  <c r="D17711" i="1"/>
  <c r="D17710" i="1"/>
  <c r="E17710" i="1" s="1"/>
  <c r="E17709" i="1"/>
  <c r="D17709" i="1"/>
  <c r="E17708" i="1"/>
  <c r="D17708" i="1"/>
  <c r="D17707" i="1"/>
  <c r="E17707" i="1" s="1"/>
  <c r="D17706" i="1"/>
  <c r="E17706" i="1" s="1"/>
  <c r="D17705" i="1"/>
  <c r="E17705" i="1" s="1"/>
  <c r="D17704" i="1"/>
  <c r="E17704" i="1" s="1"/>
  <c r="D17703" i="1"/>
  <c r="E17703" i="1" s="1"/>
  <c r="D17702" i="1"/>
  <c r="E17702" i="1" s="1"/>
  <c r="D17701" i="1"/>
  <c r="E17701" i="1" s="1"/>
  <c r="E17700" i="1"/>
  <c r="D17700" i="1"/>
  <c r="E17699" i="1"/>
  <c r="D17699" i="1"/>
  <c r="E17698" i="1"/>
  <c r="D17698" i="1"/>
  <c r="E17697" i="1"/>
  <c r="D17697" i="1"/>
  <c r="E17696" i="1"/>
  <c r="D17696" i="1"/>
  <c r="E17695" i="1"/>
  <c r="D17695" i="1"/>
  <c r="D17694" i="1"/>
  <c r="E17694" i="1" s="1"/>
  <c r="D17693" i="1"/>
  <c r="E17693" i="1" s="1"/>
  <c r="D17692" i="1"/>
  <c r="E17692" i="1" s="1"/>
  <c r="D17691" i="1"/>
  <c r="E17691" i="1" s="1"/>
  <c r="D17690" i="1"/>
  <c r="E17690" i="1" s="1"/>
  <c r="E17689" i="1"/>
  <c r="D17689" i="1"/>
  <c r="D17688" i="1"/>
  <c r="E17688" i="1" s="1"/>
  <c r="D17687" i="1"/>
  <c r="E17687" i="1" s="1"/>
  <c r="E17686" i="1"/>
  <c r="D17686" i="1"/>
  <c r="E17685" i="1"/>
  <c r="D17685" i="1"/>
  <c r="E17684" i="1"/>
  <c r="D17684" i="1"/>
  <c r="E17683" i="1"/>
  <c r="D17683" i="1"/>
  <c r="D17682" i="1"/>
  <c r="E17682" i="1" s="1"/>
  <c r="D17681" i="1"/>
  <c r="E17681" i="1" s="1"/>
  <c r="D17680" i="1"/>
  <c r="E17680" i="1" s="1"/>
  <c r="D17679" i="1"/>
  <c r="E17679" i="1" s="1"/>
  <c r="D17678" i="1"/>
  <c r="E17678" i="1" s="1"/>
  <c r="D17677" i="1"/>
  <c r="E17677" i="1" s="1"/>
  <c r="D17676" i="1"/>
  <c r="E17676" i="1" s="1"/>
  <c r="E17675" i="1"/>
  <c r="D17675" i="1"/>
  <c r="D17674" i="1"/>
  <c r="E17674" i="1" s="1"/>
  <c r="E17673" i="1"/>
  <c r="D17673" i="1"/>
  <c r="E17672" i="1"/>
  <c r="D17672" i="1"/>
  <c r="E17671" i="1"/>
  <c r="D17671" i="1"/>
  <c r="D17670" i="1"/>
  <c r="E17670" i="1" s="1"/>
  <c r="D17669" i="1"/>
  <c r="E17669" i="1" s="1"/>
  <c r="D17668" i="1"/>
  <c r="E17668" i="1" s="1"/>
  <c r="D17667" i="1"/>
  <c r="E17667" i="1" s="1"/>
  <c r="D17666" i="1"/>
  <c r="E17666" i="1" s="1"/>
  <c r="E17665" i="1"/>
  <c r="D17665" i="1"/>
  <c r="D17664" i="1"/>
  <c r="E17664" i="1" s="1"/>
  <c r="D17663" i="1"/>
  <c r="E17663" i="1" s="1"/>
  <c r="D17662" i="1"/>
  <c r="E17662" i="1" s="1"/>
  <c r="E17661" i="1"/>
  <c r="D17661" i="1"/>
  <c r="E17660" i="1"/>
  <c r="D17660" i="1"/>
  <c r="D17659" i="1"/>
  <c r="E17659" i="1" s="1"/>
  <c r="D17658" i="1"/>
  <c r="E17658" i="1" s="1"/>
  <c r="D17657" i="1"/>
  <c r="E17657" i="1" s="1"/>
  <c r="D17656" i="1"/>
  <c r="E17656" i="1" s="1"/>
  <c r="D17655" i="1"/>
  <c r="E17655" i="1" s="1"/>
  <c r="E17654" i="1"/>
  <c r="D17654" i="1"/>
  <c r="E17653" i="1"/>
  <c r="D17653" i="1"/>
  <c r="D17652" i="1"/>
  <c r="E17652" i="1" s="1"/>
  <c r="E17651" i="1"/>
  <c r="D17651" i="1"/>
  <c r="D17650" i="1"/>
  <c r="E17650" i="1" s="1"/>
  <c r="E17649" i="1"/>
  <c r="D17649" i="1"/>
  <c r="E17648" i="1"/>
  <c r="D17648" i="1"/>
  <c r="E17647" i="1"/>
  <c r="D17647" i="1"/>
  <c r="D17646" i="1"/>
  <c r="E17646" i="1" s="1"/>
  <c r="D17645" i="1"/>
  <c r="E17645" i="1" s="1"/>
  <c r="D17644" i="1"/>
  <c r="E17644" i="1" s="1"/>
  <c r="D17643" i="1"/>
  <c r="E17643" i="1" s="1"/>
  <c r="E17642" i="1"/>
  <c r="D17642" i="1"/>
  <c r="E17641" i="1"/>
  <c r="D17641" i="1"/>
  <c r="E17640" i="1"/>
  <c r="D17640" i="1"/>
  <c r="E17639" i="1"/>
  <c r="D17639" i="1"/>
  <c r="D17638" i="1"/>
  <c r="E17638" i="1" s="1"/>
  <c r="E17637" i="1"/>
  <c r="D17637" i="1"/>
  <c r="E17636" i="1"/>
  <c r="D17636" i="1"/>
  <c r="D17635" i="1"/>
  <c r="E17635" i="1" s="1"/>
  <c r="D17634" i="1"/>
  <c r="E17634" i="1" s="1"/>
  <c r="D17633" i="1"/>
  <c r="E17633" i="1" s="1"/>
  <c r="D17632" i="1"/>
  <c r="E17632" i="1" s="1"/>
  <c r="D17631" i="1"/>
  <c r="E17631" i="1" s="1"/>
  <c r="D17630" i="1"/>
  <c r="E17630" i="1" s="1"/>
  <c r="D17629" i="1"/>
  <c r="E17629" i="1" s="1"/>
  <c r="E17628" i="1"/>
  <c r="D17628" i="1"/>
  <c r="E17627" i="1"/>
  <c r="D17627" i="1"/>
  <c r="E17626" i="1"/>
  <c r="D17626" i="1"/>
  <c r="E17625" i="1"/>
  <c r="D17625" i="1"/>
  <c r="E17624" i="1"/>
  <c r="D17624" i="1"/>
  <c r="E17623" i="1"/>
  <c r="D17623" i="1"/>
  <c r="D17622" i="1"/>
  <c r="E17622" i="1" s="1"/>
  <c r="D17621" i="1"/>
  <c r="E17621" i="1" s="1"/>
  <c r="D17620" i="1"/>
  <c r="E17620" i="1" s="1"/>
  <c r="D17619" i="1"/>
  <c r="E17619" i="1" s="1"/>
  <c r="D17618" i="1"/>
  <c r="E17618" i="1" s="1"/>
  <c r="E17617" i="1"/>
  <c r="D17617" i="1"/>
  <c r="D17616" i="1"/>
  <c r="E17616" i="1" s="1"/>
  <c r="D17615" i="1"/>
  <c r="E17615" i="1" s="1"/>
  <c r="E17614" i="1"/>
  <c r="D17614" i="1"/>
  <c r="E17613" i="1"/>
  <c r="D17613" i="1"/>
  <c r="E17612" i="1"/>
  <c r="D17612" i="1"/>
  <c r="E17611" i="1"/>
  <c r="D17611" i="1"/>
  <c r="D17610" i="1"/>
  <c r="E17610" i="1" s="1"/>
  <c r="D17609" i="1"/>
  <c r="E17609" i="1" s="1"/>
  <c r="D17608" i="1"/>
  <c r="E17608" i="1" s="1"/>
  <c r="D17607" i="1"/>
  <c r="E17607" i="1" s="1"/>
  <c r="D17606" i="1"/>
  <c r="E17606" i="1" s="1"/>
  <c r="D17605" i="1"/>
  <c r="E17605" i="1" s="1"/>
  <c r="D17604" i="1"/>
  <c r="E17604" i="1" s="1"/>
  <c r="E17603" i="1"/>
  <c r="D17603" i="1"/>
  <c r="D17602" i="1"/>
  <c r="E17602" i="1" s="1"/>
  <c r="E17601" i="1"/>
  <c r="D17601" i="1"/>
  <c r="E17600" i="1"/>
  <c r="D17600" i="1"/>
  <c r="E17599" i="1"/>
  <c r="D17599" i="1"/>
  <c r="D17598" i="1"/>
  <c r="E17598" i="1" s="1"/>
  <c r="D17597" i="1"/>
  <c r="E17597" i="1" s="1"/>
  <c r="E17596" i="1"/>
  <c r="D17596" i="1"/>
  <c r="D17595" i="1"/>
  <c r="E17595" i="1" s="1"/>
  <c r="E17594" i="1"/>
  <c r="D17594" i="1"/>
  <c r="D17593" i="1"/>
  <c r="E17593" i="1" s="1"/>
  <c r="D17592" i="1"/>
  <c r="E17592" i="1" s="1"/>
  <c r="D17591" i="1"/>
  <c r="E17591" i="1" s="1"/>
  <c r="E17590" i="1"/>
  <c r="D17590" i="1"/>
  <c r="E17589" i="1"/>
  <c r="D17589" i="1"/>
  <c r="D17588" i="1"/>
  <c r="E17588" i="1" s="1"/>
  <c r="E17587" i="1"/>
  <c r="D17587" i="1"/>
  <c r="D17586" i="1"/>
  <c r="E17586" i="1" s="1"/>
  <c r="D17585" i="1"/>
  <c r="E17585" i="1" s="1"/>
  <c r="E17584" i="1"/>
  <c r="D17584" i="1"/>
  <c r="E17583" i="1"/>
  <c r="D17583" i="1"/>
  <c r="D17582" i="1"/>
  <c r="E17582" i="1" s="1"/>
  <c r="E17581" i="1"/>
  <c r="D17581" i="1"/>
  <c r="D17580" i="1"/>
  <c r="E17580" i="1" s="1"/>
  <c r="D17579" i="1"/>
  <c r="E17579" i="1" s="1"/>
  <c r="D17578" i="1"/>
  <c r="E17578" i="1" s="1"/>
  <c r="E17577" i="1"/>
  <c r="D17577" i="1"/>
  <c r="D17576" i="1"/>
  <c r="E17576" i="1" s="1"/>
  <c r="D17575" i="1"/>
  <c r="E17575" i="1" s="1"/>
  <c r="D17574" i="1"/>
  <c r="E17574" i="1" s="1"/>
  <c r="D17573" i="1"/>
  <c r="E17573" i="1" s="1"/>
  <c r="E17572" i="1"/>
  <c r="D17572" i="1"/>
  <c r="E17571" i="1"/>
  <c r="D17571" i="1"/>
  <c r="E17570" i="1"/>
  <c r="D17570" i="1"/>
  <c r="D17569" i="1"/>
  <c r="E17569" i="1" s="1"/>
  <c r="E17568" i="1"/>
  <c r="D17568" i="1"/>
  <c r="D17567" i="1"/>
  <c r="E17567" i="1" s="1"/>
  <c r="D17566" i="1"/>
  <c r="E17566" i="1" s="1"/>
  <c r="D17565" i="1"/>
  <c r="E17565" i="1" s="1"/>
  <c r="E17564" i="1"/>
  <c r="D17564" i="1"/>
  <c r="D17563" i="1"/>
  <c r="E17563" i="1" s="1"/>
  <c r="D17562" i="1"/>
  <c r="E17562" i="1" s="1"/>
  <c r="D17561" i="1"/>
  <c r="E17561" i="1" s="1"/>
  <c r="E17560" i="1"/>
  <c r="D17560" i="1"/>
  <c r="E17559" i="1"/>
  <c r="D17559" i="1"/>
  <c r="E17558" i="1"/>
  <c r="D17558" i="1"/>
  <c r="E17557" i="1"/>
  <c r="D17557" i="1"/>
  <c r="D17556" i="1"/>
  <c r="E17556" i="1" s="1"/>
  <c r="E17555" i="1"/>
  <c r="D17555" i="1"/>
  <c r="D17554" i="1"/>
  <c r="E17554" i="1" s="1"/>
  <c r="D17553" i="1"/>
  <c r="E17553" i="1" s="1"/>
  <c r="D17552" i="1"/>
  <c r="E17552" i="1" s="1"/>
  <c r="E17551" i="1"/>
  <c r="D17551" i="1"/>
  <c r="D17550" i="1"/>
  <c r="E17550" i="1" s="1"/>
  <c r="D17549" i="1"/>
  <c r="E17549" i="1" s="1"/>
  <c r="D17548" i="1"/>
  <c r="E17548" i="1" s="1"/>
  <c r="E17547" i="1"/>
  <c r="D17547" i="1"/>
  <c r="E17546" i="1"/>
  <c r="D17546" i="1"/>
  <c r="E17545" i="1"/>
  <c r="D17545" i="1"/>
  <c r="E17544" i="1"/>
  <c r="D17544" i="1"/>
  <c r="D17543" i="1"/>
  <c r="E17543" i="1" s="1"/>
  <c r="E17542" i="1"/>
  <c r="D17542" i="1"/>
  <c r="D17541" i="1"/>
  <c r="E17541" i="1" s="1"/>
  <c r="D17540" i="1"/>
  <c r="E17540" i="1" s="1"/>
  <c r="D17539" i="1"/>
  <c r="E17539" i="1" s="1"/>
  <c r="D17538" i="1"/>
  <c r="E17538" i="1" s="1"/>
  <c r="D17537" i="1"/>
  <c r="E17537" i="1" s="1"/>
  <c r="D17536" i="1"/>
  <c r="E17536" i="1" s="1"/>
  <c r="D17535" i="1"/>
  <c r="E17535" i="1" s="1"/>
  <c r="E17534" i="1"/>
  <c r="D17534" i="1"/>
  <c r="E17533" i="1"/>
  <c r="D17533" i="1"/>
  <c r="E17532" i="1"/>
  <c r="D17532" i="1"/>
  <c r="E17531" i="1"/>
  <c r="D17531" i="1"/>
  <c r="D17530" i="1"/>
  <c r="E17530" i="1" s="1"/>
  <c r="E17529" i="1"/>
  <c r="D17529" i="1"/>
  <c r="D17528" i="1"/>
  <c r="E17528" i="1" s="1"/>
  <c r="D17527" i="1"/>
  <c r="E17527" i="1" s="1"/>
  <c r="D17526" i="1"/>
  <c r="E17526" i="1" s="1"/>
  <c r="D17525" i="1"/>
  <c r="E17525" i="1" s="1"/>
  <c r="E17524" i="1"/>
  <c r="D17524" i="1"/>
  <c r="D17523" i="1"/>
  <c r="E17523" i="1" s="1"/>
  <c r="D17522" i="1"/>
  <c r="E17522" i="1" s="1"/>
  <c r="E17521" i="1"/>
  <c r="D17521" i="1"/>
  <c r="E17520" i="1"/>
  <c r="D17520" i="1"/>
  <c r="E17519" i="1"/>
  <c r="D17519" i="1"/>
  <c r="E17518" i="1"/>
  <c r="D17518" i="1"/>
  <c r="D17517" i="1"/>
  <c r="E17517" i="1" s="1"/>
  <c r="E17516" i="1"/>
  <c r="D17516" i="1"/>
  <c r="D17515" i="1"/>
  <c r="E17515" i="1" s="1"/>
  <c r="D17514" i="1"/>
  <c r="E17514" i="1" s="1"/>
  <c r="D17513" i="1"/>
  <c r="E17513" i="1" s="1"/>
  <c r="D17512" i="1"/>
  <c r="E17512" i="1" s="1"/>
  <c r="E17511" i="1"/>
  <c r="D17511" i="1"/>
  <c r="D17510" i="1"/>
  <c r="E17510" i="1" s="1"/>
  <c r="D17509" i="1"/>
  <c r="E17509" i="1" s="1"/>
  <c r="E17508" i="1"/>
  <c r="D17508" i="1"/>
  <c r="E17507" i="1"/>
  <c r="D17507" i="1"/>
  <c r="E17506" i="1"/>
  <c r="D17506" i="1"/>
  <c r="E17505" i="1"/>
  <c r="D17505" i="1"/>
  <c r="D17504" i="1"/>
  <c r="E17504" i="1" s="1"/>
  <c r="E17503" i="1"/>
  <c r="D17503" i="1"/>
  <c r="D17502" i="1"/>
  <c r="E17502" i="1" s="1"/>
  <c r="D17501" i="1"/>
  <c r="E17501" i="1" s="1"/>
  <c r="D17500" i="1"/>
  <c r="E17500" i="1" s="1"/>
  <c r="D17499" i="1"/>
  <c r="E17499" i="1" s="1"/>
  <c r="E17498" i="1"/>
  <c r="D17498" i="1"/>
  <c r="D17497" i="1"/>
  <c r="E17497" i="1" s="1"/>
  <c r="D17496" i="1"/>
  <c r="E17496" i="1" s="1"/>
  <c r="E17495" i="1"/>
  <c r="D17495" i="1"/>
  <c r="E17494" i="1"/>
  <c r="D17494" i="1"/>
  <c r="E17493" i="1"/>
  <c r="D17493" i="1"/>
  <c r="E17492" i="1"/>
  <c r="D17492" i="1"/>
  <c r="D17491" i="1"/>
  <c r="E17491" i="1" s="1"/>
  <c r="D17490" i="1"/>
  <c r="E17490" i="1" s="1"/>
  <c r="D17489" i="1"/>
  <c r="E17489" i="1" s="1"/>
  <c r="D17488" i="1"/>
  <c r="E17488" i="1" s="1"/>
  <c r="D17487" i="1"/>
  <c r="E17487" i="1" s="1"/>
  <c r="D17486" i="1"/>
  <c r="E17486" i="1" s="1"/>
  <c r="E17485" i="1"/>
  <c r="D17485" i="1"/>
  <c r="D17484" i="1"/>
  <c r="E17484" i="1" s="1"/>
  <c r="D17483" i="1"/>
  <c r="E17483" i="1" s="1"/>
  <c r="E17482" i="1"/>
  <c r="D17482" i="1"/>
  <c r="E17481" i="1"/>
  <c r="D17481" i="1"/>
  <c r="E17480" i="1"/>
  <c r="D17480" i="1"/>
  <c r="E17479" i="1"/>
  <c r="D17479" i="1"/>
  <c r="D17478" i="1"/>
  <c r="E17478" i="1" s="1"/>
  <c r="D17477" i="1"/>
  <c r="E17477" i="1" s="1"/>
  <c r="E17476" i="1"/>
  <c r="D17476" i="1"/>
  <c r="D17475" i="1"/>
  <c r="E17475" i="1" s="1"/>
  <c r="D17474" i="1"/>
  <c r="E17474" i="1" s="1"/>
  <c r="D17473" i="1"/>
  <c r="E17473" i="1" s="1"/>
  <c r="E17472" i="1"/>
  <c r="D17472" i="1"/>
  <c r="D17471" i="1"/>
  <c r="E17471" i="1" s="1"/>
  <c r="D17470" i="1"/>
  <c r="E17470" i="1" s="1"/>
  <c r="E17469" i="1"/>
  <c r="D17469" i="1"/>
  <c r="E17468" i="1"/>
  <c r="D17468" i="1"/>
  <c r="E17467" i="1"/>
  <c r="D17467" i="1"/>
  <c r="D17466" i="1"/>
  <c r="E17466" i="1" s="1"/>
  <c r="D17465" i="1"/>
  <c r="E17465" i="1" s="1"/>
  <c r="D17464" i="1"/>
  <c r="E17464" i="1" s="1"/>
  <c r="E17463" i="1"/>
  <c r="D17463" i="1"/>
  <c r="D17462" i="1"/>
  <c r="E17462" i="1" s="1"/>
  <c r="D17461" i="1"/>
  <c r="E17461" i="1" s="1"/>
  <c r="D17460" i="1"/>
  <c r="E17460" i="1" s="1"/>
  <c r="E17459" i="1"/>
  <c r="D17459" i="1"/>
  <c r="D17458" i="1"/>
  <c r="E17458" i="1" s="1"/>
  <c r="D17457" i="1"/>
  <c r="E17457" i="1" s="1"/>
  <c r="E17456" i="1"/>
  <c r="D17456" i="1"/>
  <c r="E17455" i="1"/>
  <c r="D17455" i="1"/>
  <c r="D17454" i="1"/>
  <c r="E17454" i="1" s="1"/>
  <c r="D17453" i="1"/>
  <c r="E17453" i="1" s="1"/>
  <c r="E17452" i="1"/>
  <c r="D17452" i="1"/>
  <c r="D17451" i="1"/>
  <c r="E17451" i="1" s="1"/>
  <c r="E17450" i="1"/>
  <c r="D17450" i="1"/>
  <c r="D17449" i="1"/>
  <c r="E17449" i="1" s="1"/>
  <c r="D17448" i="1"/>
  <c r="E17448" i="1" s="1"/>
  <c r="D17447" i="1"/>
  <c r="E17447" i="1" s="1"/>
  <c r="E17446" i="1"/>
  <c r="D17446" i="1"/>
  <c r="D17445" i="1"/>
  <c r="E17445" i="1" s="1"/>
  <c r="D17444" i="1"/>
  <c r="E17444" i="1" s="1"/>
  <c r="E17443" i="1"/>
  <c r="D17443" i="1"/>
  <c r="D17442" i="1"/>
  <c r="E17442" i="1" s="1"/>
  <c r="D17441" i="1"/>
  <c r="E17441" i="1" s="1"/>
  <c r="E17440" i="1"/>
  <c r="D17440" i="1"/>
  <c r="E17439" i="1"/>
  <c r="D17439" i="1"/>
  <c r="D17438" i="1"/>
  <c r="E17438" i="1" s="1"/>
  <c r="E17437" i="1"/>
  <c r="D17437" i="1"/>
  <c r="D17436" i="1"/>
  <c r="E17436" i="1" s="1"/>
  <c r="D17435" i="1"/>
  <c r="E17435" i="1" s="1"/>
  <c r="D17434" i="1"/>
  <c r="E17434" i="1" s="1"/>
  <c r="E17433" i="1"/>
  <c r="D17433" i="1"/>
  <c r="D17432" i="1"/>
  <c r="E17432" i="1" s="1"/>
  <c r="D17431" i="1"/>
  <c r="E17431" i="1" s="1"/>
  <c r="D17430" i="1"/>
  <c r="E17430" i="1" s="1"/>
  <c r="D17429" i="1"/>
  <c r="E17429" i="1" s="1"/>
  <c r="E17428" i="1"/>
  <c r="D17428" i="1"/>
  <c r="E17427" i="1"/>
  <c r="D17427" i="1"/>
  <c r="E17426" i="1"/>
  <c r="D17426" i="1"/>
  <c r="D17425" i="1"/>
  <c r="E17425" i="1" s="1"/>
  <c r="E17424" i="1"/>
  <c r="D17424" i="1"/>
  <c r="D17423" i="1"/>
  <c r="E17423" i="1" s="1"/>
  <c r="D17422" i="1"/>
  <c r="E17422" i="1" s="1"/>
  <c r="D17421" i="1"/>
  <c r="E17421" i="1" s="1"/>
  <c r="E17420" i="1"/>
  <c r="D17420" i="1"/>
  <c r="D17419" i="1"/>
  <c r="E17419" i="1" s="1"/>
  <c r="D17418" i="1"/>
  <c r="E17418" i="1" s="1"/>
  <c r="D17417" i="1"/>
  <c r="E17417" i="1" s="1"/>
  <c r="E17416" i="1"/>
  <c r="D17416" i="1"/>
  <c r="E17415" i="1"/>
  <c r="D17415" i="1"/>
  <c r="E17414" i="1"/>
  <c r="D17414" i="1"/>
  <c r="E17413" i="1"/>
  <c r="D17413" i="1"/>
  <c r="D17412" i="1"/>
  <c r="E17412" i="1" s="1"/>
  <c r="E17411" i="1"/>
  <c r="D17411" i="1"/>
  <c r="D17410" i="1"/>
  <c r="E17410" i="1" s="1"/>
  <c r="D17409" i="1"/>
  <c r="E17409" i="1" s="1"/>
  <c r="D17408" i="1"/>
  <c r="E17408" i="1" s="1"/>
  <c r="E17407" i="1"/>
  <c r="D17407" i="1"/>
  <c r="D17406" i="1"/>
  <c r="E17406" i="1" s="1"/>
  <c r="D17405" i="1"/>
  <c r="E17405" i="1" s="1"/>
  <c r="D17404" i="1"/>
  <c r="E17404" i="1" s="1"/>
  <c r="E17403" i="1"/>
  <c r="D17403" i="1"/>
  <c r="E17402" i="1"/>
  <c r="D17402" i="1"/>
  <c r="E17401" i="1"/>
  <c r="D17401" i="1"/>
  <c r="E17400" i="1"/>
  <c r="D17400" i="1"/>
  <c r="D17399" i="1"/>
  <c r="E17399" i="1" s="1"/>
  <c r="E17398" i="1"/>
  <c r="D17398" i="1"/>
  <c r="D17397" i="1"/>
  <c r="E17397" i="1" s="1"/>
  <c r="D17396" i="1"/>
  <c r="E17396" i="1" s="1"/>
  <c r="D17395" i="1"/>
  <c r="E17395" i="1" s="1"/>
  <c r="D17394" i="1"/>
  <c r="E17394" i="1" s="1"/>
  <c r="D17393" i="1"/>
  <c r="E17393" i="1" s="1"/>
  <c r="D17392" i="1"/>
  <c r="E17392" i="1" s="1"/>
  <c r="D17391" i="1"/>
  <c r="E17391" i="1" s="1"/>
  <c r="E17390" i="1"/>
  <c r="D17390" i="1"/>
  <c r="E17389" i="1"/>
  <c r="D17389" i="1"/>
  <c r="E17388" i="1"/>
  <c r="D17388" i="1"/>
  <c r="E17387" i="1"/>
  <c r="D17387" i="1"/>
  <c r="D17386" i="1"/>
  <c r="E17386" i="1" s="1"/>
  <c r="E17385" i="1"/>
  <c r="D17385" i="1"/>
  <c r="D17384" i="1"/>
  <c r="E17384" i="1" s="1"/>
  <c r="D17383" i="1"/>
  <c r="E17383" i="1" s="1"/>
  <c r="D17382" i="1"/>
  <c r="E17382" i="1" s="1"/>
  <c r="D17381" i="1"/>
  <c r="E17381" i="1" s="1"/>
  <c r="E17380" i="1"/>
  <c r="D17380" i="1"/>
  <c r="D17379" i="1"/>
  <c r="E17379" i="1" s="1"/>
  <c r="D17378" i="1"/>
  <c r="E17378" i="1" s="1"/>
  <c r="E17377" i="1"/>
  <c r="D17377" i="1"/>
  <c r="E17376" i="1"/>
  <c r="D17376" i="1"/>
  <c r="E17375" i="1"/>
  <c r="D17375" i="1"/>
  <c r="E17374" i="1"/>
  <c r="D17374" i="1"/>
  <c r="D17373" i="1"/>
  <c r="E17373" i="1" s="1"/>
  <c r="E17372" i="1"/>
  <c r="D17372" i="1"/>
  <c r="D17371" i="1"/>
  <c r="E17371" i="1" s="1"/>
  <c r="D17370" i="1"/>
  <c r="E17370" i="1" s="1"/>
  <c r="D17369" i="1"/>
  <c r="E17369" i="1" s="1"/>
  <c r="E17368" i="1"/>
  <c r="D17368" i="1"/>
  <c r="E17367" i="1"/>
  <c r="D17367" i="1"/>
  <c r="D17366" i="1"/>
  <c r="E17366" i="1" s="1"/>
  <c r="D17365" i="1"/>
  <c r="E17365" i="1" s="1"/>
  <c r="E17364" i="1"/>
  <c r="D17364" i="1"/>
  <c r="E17363" i="1"/>
  <c r="D17363" i="1"/>
  <c r="E17362" i="1"/>
  <c r="D17362" i="1"/>
  <c r="E17361" i="1"/>
  <c r="D17361" i="1"/>
  <c r="D17360" i="1"/>
  <c r="E17360" i="1" s="1"/>
  <c r="E17359" i="1"/>
  <c r="D17359" i="1"/>
  <c r="D17358" i="1"/>
  <c r="E17358" i="1" s="1"/>
  <c r="D17357" i="1"/>
  <c r="E17357" i="1" s="1"/>
  <c r="D17356" i="1"/>
  <c r="E17356" i="1" s="1"/>
  <c r="E17355" i="1"/>
  <c r="D17355" i="1"/>
  <c r="E17354" i="1"/>
  <c r="D17354" i="1"/>
  <c r="D17353" i="1"/>
  <c r="E17353" i="1" s="1"/>
  <c r="D17352" i="1"/>
  <c r="E17352" i="1" s="1"/>
  <c r="E17351" i="1"/>
  <c r="D17351" i="1"/>
  <c r="E17350" i="1"/>
  <c r="D17350" i="1"/>
  <c r="E17349" i="1"/>
  <c r="D17349" i="1"/>
  <c r="E17348" i="1"/>
  <c r="D17348" i="1"/>
  <c r="D17347" i="1"/>
  <c r="E17347" i="1" s="1"/>
  <c r="D17346" i="1"/>
  <c r="E17346" i="1" s="1"/>
  <c r="D17345" i="1"/>
  <c r="E17345" i="1" s="1"/>
  <c r="D17344" i="1"/>
  <c r="E17344" i="1" s="1"/>
  <c r="D17343" i="1"/>
  <c r="E17343" i="1" s="1"/>
  <c r="E17342" i="1"/>
  <c r="D17342" i="1"/>
  <c r="E17341" i="1"/>
  <c r="D17341" i="1"/>
  <c r="D17340" i="1"/>
  <c r="E17340" i="1" s="1"/>
  <c r="D17339" i="1"/>
  <c r="E17339" i="1" s="1"/>
  <c r="E17338" i="1"/>
  <c r="D17338" i="1"/>
  <c r="E17337" i="1"/>
  <c r="D17337" i="1"/>
  <c r="E17336" i="1"/>
  <c r="D17336" i="1"/>
  <c r="E17335" i="1"/>
  <c r="D17335" i="1"/>
  <c r="D17334" i="1"/>
  <c r="E17334" i="1" s="1"/>
  <c r="D17333" i="1"/>
  <c r="E17333" i="1" s="1"/>
  <c r="E17332" i="1"/>
  <c r="D17332" i="1"/>
  <c r="D17331" i="1"/>
  <c r="E17331" i="1" s="1"/>
  <c r="D17330" i="1"/>
  <c r="E17330" i="1" s="1"/>
  <c r="D17329" i="1"/>
  <c r="E17329" i="1" s="1"/>
  <c r="E17328" i="1"/>
  <c r="D17328" i="1"/>
  <c r="D17327" i="1"/>
  <c r="E17327" i="1" s="1"/>
  <c r="D17326" i="1"/>
  <c r="E17326" i="1" s="1"/>
  <c r="E17325" i="1"/>
  <c r="D17325" i="1"/>
  <c r="E17324" i="1"/>
  <c r="D17324" i="1"/>
  <c r="E17323" i="1"/>
  <c r="D17323" i="1"/>
  <c r="D17322" i="1"/>
  <c r="E17322" i="1" s="1"/>
  <c r="D17321" i="1"/>
  <c r="E17321" i="1" s="1"/>
  <c r="D17320" i="1"/>
  <c r="E17320" i="1" s="1"/>
  <c r="E17319" i="1"/>
  <c r="D17319" i="1"/>
  <c r="D17318" i="1"/>
  <c r="E17318" i="1" s="1"/>
  <c r="D17317" i="1"/>
  <c r="E17317" i="1" s="1"/>
  <c r="E17316" i="1"/>
  <c r="D17316" i="1"/>
  <c r="E17315" i="1"/>
  <c r="D17315" i="1"/>
  <c r="D17314" i="1"/>
  <c r="E17314" i="1" s="1"/>
  <c r="D17313" i="1"/>
  <c r="E17313" i="1" s="1"/>
  <c r="E17312" i="1"/>
  <c r="D17312" i="1"/>
  <c r="E17311" i="1"/>
  <c r="D17311" i="1"/>
  <c r="E17310" i="1"/>
  <c r="D17310" i="1"/>
  <c r="E17309" i="1"/>
  <c r="D17309" i="1"/>
  <c r="D17308" i="1"/>
  <c r="E17308" i="1" s="1"/>
  <c r="E17307" i="1"/>
  <c r="D17307" i="1"/>
  <c r="D17306" i="1"/>
  <c r="E17306" i="1" s="1"/>
  <c r="D17305" i="1"/>
  <c r="E17305" i="1" s="1"/>
  <c r="D17304" i="1"/>
  <c r="E17304" i="1" s="1"/>
  <c r="E17303" i="1"/>
  <c r="D17303" i="1"/>
  <c r="D17302" i="1"/>
  <c r="E17302" i="1" s="1"/>
  <c r="D17301" i="1"/>
  <c r="E17301" i="1" s="1"/>
  <c r="E17300" i="1"/>
  <c r="D17300" i="1"/>
  <c r="E17299" i="1"/>
  <c r="D17299" i="1"/>
  <c r="E17298" i="1"/>
  <c r="D17298" i="1"/>
  <c r="E17297" i="1"/>
  <c r="D17297" i="1"/>
  <c r="D17296" i="1"/>
  <c r="E17296" i="1" s="1"/>
  <c r="E17295" i="1"/>
  <c r="D17295" i="1"/>
  <c r="D17294" i="1"/>
  <c r="E17294" i="1" s="1"/>
  <c r="D17293" i="1"/>
  <c r="E17293" i="1" s="1"/>
  <c r="E17292" i="1"/>
  <c r="D17292" i="1"/>
  <c r="E17291" i="1"/>
  <c r="D17291" i="1"/>
  <c r="D17290" i="1"/>
  <c r="E17290" i="1" s="1"/>
  <c r="D17289" i="1"/>
  <c r="E17289" i="1" s="1"/>
  <c r="E17288" i="1"/>
  <c r="D17288" i="1"/>
  <c r="E17287" i="1"/>
  <c r="D17287" i="1"/>
  <c r="E17286" i="1"/>
  <c r="D17286" i="1"/>
  <c r="E17285" i="1"/>
  <c r="D17285" i="1"/>
  <c r="D17284" i="1"/>
  <c r="E17284" i="1" s="1"/>
  <c r="E17283" i="1"/>
  <c r="D17283" i="1"/>
  <c r="D17282" i="1"/>
  <c r="E17282" i="1" s="1"/>
  <c r="D17281" i="1"/>
  <c r="E17281" i="1" s="1"/>
  <c r="D17280" i="1"/>
  <c r="E17280" i="1" s="1"/>
  <c r="E17279" i="1"/>
  <c r="D17279" i="1"/>
  <c r="D17278" i="1"/>
  <c r="E17278" i="1" s="1"/>
  <c r="D17277" i="1"/>
  <c r="E17277" i="1" s="1"/>
  <c r="E17276" i="1"/>
  <c r="D17276" i="1"/>
  <c r="E17275" i="1"/>
  <c r="D17275" i="1"/>
  <c r="E17274" i="1"/>
  <c r="D17274" i="1"/>
  <c r="E17273" i="1"/>
  <c r="D17273" i="1"/>
  <c r="D17272" i="1"/>
  <c r="E17272" i="1" s="1"/>
  <c r="E17271" i="1"/>
  <c r="D17271" i="1"/>
  <c r="D17270" i="1"/>
  <c r="E17270" i="1" s="1"/>
  <c r="D17269" i="1"/>
  <c r="E17269" i="1" s="1"/>
  <c r="E17268" i="1"/>
  <c r="D17268" i="1"/>
  <c r="E17267" i="1"/>
  <c r="D17267" i="1"/>
  <c r="D17266" i="1"/>
  <c r="E17266" i="1" s="1"/>
  <c r="D17265" i="1"/>
  <c r="E17265" i="1" s="1"/>
  <c r="E17264" i="1"/>
  <c r="D17264" i="1"/>
  <c r="E17263" i="1"/>
  <c r="D17263" i="1"/>
  <c r="E17262" i="1"/>
  <c r="D17262" i="1"/>
  <c r="E17261" i="1"/>
  <c r="D17261" i="1"/>
  <c r="D17260" i="1"/>
  <c r="E17260" i="1" s="1"/>
  <c r="E17259" i="1"/>
  <c r="D17259" i="1"/>
  <c r="D17258" i="1"/>
  <c r="E17258" i="1" s="1"/>
  <c r="D17257" i="1"/>
  <c r="E17257" i="1" s="1"/>
  <c r="D17256" i="1"/>
  <c r="E17256" i="1" s="1"/>
  <c r="E17255" i="1"/>
  <c r="D17255" i="1"/>
  <c r="D17254" i="1"/>
  <c r="E17254" i="1" s="1"/>
  <c r="D17253" i="1"/>
  <c r="E17253" i="1" s="1"/>
  <c r="E17252" i="1"/>
  <c r="D17252" i="1"/>
  <c r="E17251" i="1"/>
  <c r="D17251" i="1"/>
  <c r="E17250" i="1"/>
  <c r="D17250" i="1"/>
  <c r="E17249" i="1"/>
  <c r="D17249" i="1"/>
  <c r="D17248" i="1"/>
  <c r="E17248" i="1" s="1"/>
  <c r="E17247" i="1"/>
  <c r="D17247" i="1"/>
  <c r="D17246" i="1"/>
  <c r="E17246" i="1" s="1"/>
  <c r="D17245" i="1"/>
  <c r="E17245" i="1" s="1"/>
  <c r="E17244" i="1"/>
  <c r="D17244" i="1"/>
  <c r="E17243" i="1"/>
  <c r="D17243" i="1"/>
  <c r="D17242" i="1"/>
  <c r="E17242" i="1" s="1"/>
  <c r="D17241" i="1"/>
  <c r="E17241" i="1" s="1"/>
  <c r="E17240" i="1"/>
  <c r="D17240" i="1"/>
  <c r="E17239" i="1"/>
  <c r="D17239" i="1"/>
  <c r="E17238" i="1"/>
  <c r="D17238" i="1"/>
  <c r="E17237" i="1"/>
  <c r="D17237" i="1"/>
  <c r="D17236" i="1"/>
  <c r="E17236" i="1" s="1"/>
  <c r="E17235" i="1"/>
  <c r="D17235" i="1"/>
  <c r="D17234" i="1"/>
  <c r="E17234" i="1" s="1"/>
  <c r="D17233" i="1"/>
  <c r="E17233" i="1" s="1"/>
  <c r="D17232" i="1"/>
  <c r="E17232" i="1" s="1"/>
  <c r="E17231" i="1"/>
  <c r="D17231" i="1"/>
  <c r="D17230" i="1"/>
  <c r="E17230" i="1" s="1"/>
  <c r="D17229" i="1"/>
  <c r="E17229" i="1" s="1"/>
  <c r="E17228" i="1"/>
  <c r="D17228" i="1"/>
  <c r="E17227" i="1"/>
  <c r="D17227" i="1"/>
  <c r="E17226" i="1"/>
  <c r="D17226" i="1"/>
  <c r="E17225" i="1"/>
  <c r="D17225" i="1"/>
  <c r="D17224" i="1"/>
  <c r="E17224" i="1" s="1"/>
  <c r="E17223" i="1"/>
  <c r="D17223" i="1"/>
  <c r="D17222" i="1"/>
  <c r="E17222" i="1" s="1"/>
  <c r="D17221" i="1"/>
  <c r="E17221" i="1" s="1"/>
  <c r="D17220" i="1"/>
  <c r="E17220" i="1" s="1"/>
  <c r="E17219" i="1"/>
  <c r="D17219" i="1"/>
  <c r="D17218" i="1"/>
  <c r="E17218" i="1" s="1"/>
  <c r="D17217" i="1"/>
  <c r="E17217" i="1" s="1"/>
  <c r="E17216" i="1"/>
  <c r="D17216" i="1"/>
  <c r="E17215" i="1"/>
  <c r="D17215" i="1"/>
  <c r="E17214" i="1"/>
  <c r="D17214" i="1"/>
  <c r="E17213" i="1"/>
  <c r="D17213" i="1"/>
  <c r="D17212" i="1"/>
  <c r="E17212" i="1" s="1"/>
  <c r="D17211" i="1"/>
  <c r="E17211" i="1" s="1"/>
  <c r="D17210" i="1"/>
  <c r="E17210" i="1" s="1"/>
  <c r="D17209" i="1"/>
  <c r="E17209" i="1" s="1"/>
  <c r="D17208" i="1"/>
  <c r="E17208" i="1" s="1"/>
  <c r="D17207" i="1"/>
  <c r="E17207" i="1" s="1"/>
  <c r="D17206" i="1"/>
  <c r="E17206" i="1" s="1"/>
  <c r="D17205" i="1"/>
  <c r="E17205" i="1" s="1"/>
  <c r="E17204" i="1"/>
  <c r="D17204" i="1"/>
  <c r="E17203" i="1"/>
  <c r="D17203" i="1"/>
  <c r="E17202" i="1"/>
  <c r="D17202" i="1"/>
  <c r="E17201" i="1"/>
  <c r="D17201" i="1"/>
  <c r="D17200" i="1"/>
  <c r="E17200" i="1" s="1"/>
  <c r="E17199" i="1"/>
  <c r="D17199" i="1"/>
  <c r="D17198" i="1"/>
  <c r="E17198" i="1" s="1"/>
  <c r="D17197" i="1"/>
  <c r="E17197" i="1" s="1"/>
  <c r="D17196" i="1"/>
  <c r="E17196" i="1" s="1"/>
  <c r="E17195" i="1"/>
  <c r="D17195" i="1"/>
  <c r="D17194" i="1"/>
  <c r="E17194" i="1" s="1"/>
  <c r="D17193" i="1"/>
  <c r="E17193" i="1" s="1"/>
  <c r="E17192" i="1"/>
  <c r="D17192" i="1"/>
  <c r="E17191" i="1"/>
  <c r="D17191" i="1"/>
  <c r="E17190" i="1"/>
  <c r="D17190" i="1"/>
  <c r="E17189" i="1"/>
  <c r="D17189" i="1"/>
  <c r="D17188" i="1"/>
  <c r="E17188" i="1" s="1"/>
  <c r="D17187" i="1"/>
  <c r="E17187" i="1" s="1"/>
  <c r="D17186" i="1"/>
  <c r="E17186" i="1" s="1"/>
  <c r="D17185" i="1"/>
  <c r="E17185" i="1" s="1"/>
  <c r="D17184" i="1"/>
  <c r="E17184" i="1" s="1"/>
  <c r="E17183" i="1"/>
  <c r="D17183" i="1"/>
  <c r="D17182" i="1"/>
  <c r="E17182" i="1" s="1"/>
  <c r="D17181" i="1"/>
  <c r="E17181" i="1" s="1"/>
  <c r="E17180" i="1"/>
  <c r="D17180" i="1"/>
  <c r="E17179" i="1"/>
  <c r="D17179" i="1"/>
  <c r="E17178" i="1"/>
  <c r="D17178" i="1"/>
  <c r="E17177" i="1"/>
  <c r="D17177" i="1"/>
  <c r="D17176" i="1"/>
  <c r="E17176" i="1" s="1"/>
  <c r="D17175" i="1"/>
  <c r="E17175" i="1" s="1"/>
  <c r="D17174" i="1"/>
  <c r="E17174" i="1" s="1"/>
  <c r="D17173" i="1"/>
  <c r="E17173" i="1" s="1"/>
  <c r="D17172" i="1"/>
  <c r="E17172" i="1" s="1"/>
  <c r="E17171" i="1"/>
  <c r="D17171" i="1"/>
  <c r="D17170" i="1"/>
  <c r="E17170" i="1" s="1"/>
  <c r="D17169" i="1"/>
  <c r="E17169" i="1" s="1"/>
  <c r="E17168" i="1"/>
  <c r="D17168" i="1"/>
  <c r="E17167" i="1"/>
  <c r="D17167" i="1"/>
  <c r="E17166" i="1"/>
  <c r="D17166" i="1"/>
  <c r="E17165" i="1"/>
  <c r="D17165" i="1"/>
  <c r="D17164" i="1"/>
  <c r="E17164" i="1" s="1"/>
  <c r="D17163" i="1"/>
  <c r="E17163" i="1" s="1"/>
  <c r="D17162" i="1"/>
  <c r="E17162" i="1" s="1"/>
  <c r="D17161" i="1"/>
  <c r="E17161" i="1" s="1"/>
  <c r="D17160" i="1"/>
  <c r="E17160" i="1" s="1"/>
  <c r="D17159" i="1"/>
  <c r="E17159" i="1" s="1"/>
  <c r="D17158" i="1"/>
  <c r="E17158" i="1" s="1"/>
  <c r="D17157" i="1"/>
  <c r="E17157" i="1" s="1"/>
  <c r="E17156" i="1"/>
  <c r="D17156" i="1"/>
  <c r="D17155" i="1"/>
  <c r="E17155" i="1" s="1"/>
  <c r="E17154" i="1"/>
  <c r="D17154" i="1"/>
  <c r="E17153" i="1"/>
  <c r="D17153" i="1"/>
  <c r="D17152" i="1"/>
  <c r="E17152" i="1" s="1"/>
  <c r="D17151" i="1"/>
  <c r="E17151" i="1" s="1"/>
  <c r="D17150" i="1"/>
  <c r="E17150" i="1" s="1"/>
  <c r="D17149" i="1"/>
  <c r="E17149" i="1" s="1"/>
  <c r="E17148" i="1"/>
  <c r="D17148" i="1"/>
  <c r="D17147" i="1"/>
  <c r="E17147" i="1" s="1"/>
  <c r="D17146" i="1"/>
  <c r="E17146" i="1" s="1"/>
  <c r="D17145" i="1"/>
  <c r="E17145" i="1" s="1"/>
  <c r="D17144" i="1"/>
  <c r="E17144" i="1" s="1"/>
  <c r="D17143" i="1"/>
  <c r="E17143" i="1" s="1"/>
  <c r="E17142" i="1"/>
  <c r="D17142" i="1"/>
  <c r="E17141" i="1"/>
  <c r="D17141" i="1"/>
  <c r="D17140" i="1"/>
  <c r="E17140" i="1" s="1"/>
  <c r="E17139" i="1"/>
  <c r="D17139" i="1"/>
  <c r="D17138" i="1"/>
  <c r="E17138" i="1" s="1"/>
  <c r="E17137" i="1"/>
  <c r="D17137" i="1"/>
  <c r="E17136" i="1"/>
  <c r="D17136" i="1"/>
  <c r="D17135" i="1"/>
  <c r="E17135" i="1" s="1"/>
  <c r="D17134" i="1"/>
  <c r="E17134" i="1" s="1"/>
  <c r="D17133" i="1"/>
  <c r="E17133" i="1" s="1"/>
  <c r="D17132" i="1"/>
  <c r="E17132" i="1" s="1"/>
  <c r="D17131" i="1"/>
  <c r="E17131" i="1" s="1"/>
  <c r="E17130" i="1"/>
  <c r="D17130" i="1"/>
  <c r="E17129" i="1"/>
  <c r="D17129" i="1"/>
  <c r="D17128" i="1"/>
  <c r="E17128" i="1" s="1"/>
  <c r="D17127" i="1"/>
  <c r="E17127" i="1" s="1"/>
  <c r="D17126" i="1"/>
  <c r="E17126" i="1" s="1"/>
  <c r="E17125" i="1"/>
  <c r="D17125" i="1"/>
  <c r="D17124" i="1"/>
  <c r="E17124" i="1" s="1"/>
  <c r="E17123" i="1"/>
  <c r="D17123" i="1"/>
  <c r="D17122" i="1"/>
  <c r="E17122" i="1" s="1"/>
  <c r="D17121" i="1"/>
  <c r="E17121" i="1" s="1"/>
  <c r="D17120" i="1"/>
  <c r="E17120" i="1" s="1"/>
  <c r="E17119" i="1"/>
  <c r="D17119" i="1"/>
  <c r="E17118" i="1"/>
  <c r="D17118" i="1"/>
  <c r="E17117" i="1"/>
  <c r="D17117" i="1"/>
  <c r="D17116" i="1"/>
  <c r="E17116" i="1" s="1"/>
  <c r="E17115" i="1"/>
  <c r="D17115" i="1"/>
  <c r="D17114" i="1"/>
  <c r="E17114" i="1" s="1"/>
  <c r="E17113" i="1"/>
  <c r="D17113" i="1"/>
  <c r="D17112" i="1"/>
  <c r="E17112" i="1" s="1"/>
  <c r="E17111" i="1"/>
  <c r="D17111" i="1"/>
  <c r="D17110" i="1"/>
  <c r="E17110" i="1" s="1"/>
  <c r="D17109" i="1"/>
  <c r="E17109" i="1" s="1"/>
  <c r="E17108" i="1"/>
  <c r="D17108" i="1"/>
  <c r="E17107" i="1"/>
  <c r="D17107" i="1"/>
  <c r="E17106" i="1"/>
  <c r="D17106" i="1"/>
  <c r="E17105" i="1"/>
  <c r="D17105" i="1"/>
  <c r="D17104" i="1"/>
  <c r="E17104" i="1" s="1"/>
  <c r="E17103" i="1"/>
  <c r="D17103" i="1"/>
  <c r="D17102" i="1"/>
  <c r="E17102" i="1" s="1"/>
  <c r="D17101" i="1"/>
  <c r="E17101" i="1" s="1"/>
  <c r="D17100" i="1"/>
  <c r="E17100" i="1" s="1"/>
  <c r="E17099" i="1"/>
  <c r="D17099" i="1"/>
  <c r="D17098" i="1"/>
  <c r="E17098" i="1" s="1"/>
  <c r="D17097" i="1"/>
  <c r="E17097" i="1" s="1"/>
  <c r="E17096" i="1"/>
  <c r="D17096" i="1"/>
  <c r="D17095" i="1"/>
  <c r="E17095" i="1" s="1"/>
  <c r="E17094" i="1"/>
  <c r="D17094" i="1"/>
  <c r="E17093" i="1"/>
  <c r="D17093" i="1"/>
  <c r="D17092" i="1"/>
  <c r="E17092" i="1" s="1"/>
  <c r="D17091" i="1"/>
  <c r="E17091" i="1" s="1"/>
  <c r="D17090" i="1"/>
  <c r="E17090" i="1" s="1"/>
  <c r="D17089" i="1"/>
  <c r="E17089" i="1" s="1"/>
  <c r="D17088" i="1"/>
  <c r="E17088" i="1" s="1"/>
  <c r="D17087" i="1"/>
  <c r="E17087" i="1" s="1"/>
  <c r="D17086" i="1"/>
  <c r="E17086" i="1" s="1"/>
  <c r="D17085" i="1"/>
  <c r="E17085" i="1" s="1"/>
  <c r="E17084" i="1"/>
  <c r="D17084" i="1"/>
  <c r="D17083" i="1"/>
  <c r="E17083" i="1" s="1"/>
  <c r="E17082" i="1"/>
  <c r="D17082" i="1"/>
  <c r="E17081" i="1"/>
  <c r="D17081" i="1"/>
  <c r="D17080" i="1"/>
  <c r="E17080" i="1" s="1"/>
  <c r="D17079" i="1"/>
  <c r="E17079" i="1" s="1"/>
  <c r="D17078" i="1"/>
  <c r="E17078" i="1" s="1"/>
  <c r="D17077" i="1"/>
  <c r="E17077" i="1" s="1"/>
  <c r="E17076" i="1"/>
  <c r="D17076" i="1"/>
  <c r="D17075" i="1"/>
  <c r="E17075" i="1" s="1"/>
  <c r="D17074" i="1"/>
  <c r="E17074" i="1" s="1"/>
  <c r="D17073" i="1"/>
  <c r="E17073" i="1" s="1"/>
  <c r="D17072" i="1"/>
  <c r="E17072" i="1" s="1"/>
  <c r="D17071" i="1"/>
  <c r="E17071" i="1" s="1"/>
  <c r="E17070" i="1"/>
  <c r="D17070" i="1"/>
  <c r="E17069" i="1"/>
  <c r="D17069" i="1"/>
  <c r="D17068" i="1"/>
  <c r="E17068" i="1" s="1"/>
  <c r="D17067" i="1"/>
  <c r="E17067" i="1" s="1"/>
  <c r="D17066" i="1"/>
  <c r="E17066" i="1" s="1"/>
  <c r="E17065" i="1"/>
  <c r="D17065" i="1"/>
  <c r="E17064" i="1"/>
  <c r="D17064" i="1"/>
  <c r="D17063" i="1"/>
  <c r="E17063" i="1" s="1"/>
  <c r="D17062" i="1"/>
  <c r="E17062" i="1" s="1"/>
  <c r="D17061" i="1"/>
  <c r="E17061" i="1" s="1"/>
  <c r="D17060" i="1"/>
  <c r="E17060" i="1" s="1"/>
  <c r="D17059" i="1"/>
  <c r="E17059" i="1" s="1"/>
  <c r="E17058" i="1"/>
  <c r="D17058" i="1"/>
  <c r="E17057" i="1"/>
  <c r="D17057" i="1"/>
  <c r="D17056" i="1"/>
  <c r="E17056" i="1" s="1"/>
  <c r="D17055" i="1"/>
  <c r="E17055" i="1" s="1"/>
  <c r="D17054" i="1"/>
  <c r="E17054" i="1" s="1"/>
  <c r="E17053" i="1"/>
  <c r="D17053" i="1"/>
  <c r="D17052" i="1"/>
  <c r="E17052" i="1" s="1"/>
  <c r="E17051" i="1"/>
  <c r="D17051" i="1"/>
  <c r="D17050" i="1"/>
  <c r="E17050" i="1" s="1"/>
  <c r="D17049" i="1"/>
  <c r="E17049" i="1" s="1"/>
  <c r="D17048" i="1"/>
  <c r="E17048" i="1" s="1"/>
  <c r="E17047" i="1"/>
  <c r="D17047" i="1"/>
  <c r="E17046" i="1"/>
  <c r="D17046" i="1"/>
  <c r="E17045" i="1"/>
  <c r="D17045" i="1"/>
  <c r="D17044" i="1"/>
  <c r="E17044" i="1" s="1"/>
  <c r="E17043" i="1"/>
  <c r="D17043" i="1"/>
  <c r="D17042" i="1"/>
  <c r="E17042" i="1" s="1"/>
  <c r="E17041" i="1"/>
  <c r="D17041" i="1"/>
  <c r="D17040" i="1"/>
  <c r="E17040" i="1" s="1"/>
  <c r="E17039" i="1"/>
  <c r="D17039" i="1"/>
  <c r="D17038" i="1"/>
  <c r="E17038" i="1" s="1"/>
  <c r="D17037" i="1"/>
  <c r="E17037" i="1" s="1"/>
  <c r="E17036" i="1"/>
  <c r="D17036" i="1"/>
  <c r="E17035" i="1"/>
  <c r="D17035" i="1"/>
  <c r="E17034" i="1"/>
  <c r="D17034" i="1"/>
  <c r="E17033" i="1"/>
  <c r="D17033" i="1"/>
  <c r="D17032" i="1"/>
  <c r="E17032" i="1" s="1"/>
  <c r="E17031" i="1"/>
  <c r="D17031" i="1"/>
  <c r="D17030" i="1"/>
  <c r="E17030" i="1" s="1"/>
  <c r="D17029" i="1"/>
  <c r="E17029" i="1" s="1"/>
  <c r="D17028" i="1"/>
  <c r="E17028" i="1" s="1"/>
  <c r="E17027" i="1"/>
  <c r="D17027" i="1"/>
  <c r="D17026" i="1"/>
  <c r="E17026" i="1" s="1"/>
  <c r="D17025" i="1"/>
  <c r="E17025" i="1" s="1"/>
  <c r="E17024" i="1"/>
  <c r="D17024" i="1"/>
  <c r="D17023" i="1"/>
  <c r="E17023" i="1" s="1"/>
  <c r="E17022" i="1"/>
  <c r="D17022" i="1"/>
  <c r="E17021" i="1"/>
  <c r="D17021" i="1"/>
  <c r="D17020" i="1"/>
  <c r="E17020" i="1" s="1"/>
  <c r="D17019" i="1"/>
  <c r="E17019" i="1" s="1"/>
  <c r="D17018" i="1"/>
  <c r="E17018" i="1" s="1"/>
  <c r="D17017" i="1"/>
  <c r="E17017" i="1" s="1"/>
  <c r="D17016" i="1"/>
  <c r="E17016" i="1" s="1"/>
  <c r="D17015" i="1"/>
  <c r="E17015" i="1" s="1"/>
  <c r="D17014" i="1"/>
  <c r="E17014" i="1" s="1"/>
  <c r="D17013" i="1"/>
  <c r="E17013" i="1" s="1"/>
  <c r="E17012" i="1"/>
  <c r="D17012" i="1"/>
  <c r="D17011" i="1"/>
  <c r="E17011" i="1" s="1"/>
  <c r="E17010" i="1"/>
  <c r="D17010" i="1"/>
  <c r="E17009" i="1"/>
  <c r="D17009" i="1"/>
  <c r="D17008" i="1"/>
  <c r="E17008" i="1" s="1"/>
  <c r="D17007" i="1"/>
  <c r="E17007" i="1" s="1"/>
  <c r="D17006" i="1"/>
  <c r="E17006" i="1" s="1"/>
  <c r="D17005" i="1"/>
  <c r="E17005" i="1" s="1"/>
  <c r="E17004" i="1"/>
  <c r="D17004" i="1"/>
  <c r="D17003" i="1"/>
  <c r="E17003" i="1" s="1"/>
  <c r="D17002" i="1"/>
  <c r="E17002" i="1" s="1"/>
  <c r="D17001" i="1"/>
  <c r="E17001" i="1" s="1"/>
  <c r="D17000" i="1"/>
  <c r="E17000" i="1" s="1"/>
  <c r="D16999" i="1"/>
  <c r="E16999" i="1" s="1"/>
  <c r="E16998" i="1"/>
  <c r="D16998" i="1"/>
  <c r="E16997" i="1"/>
  <c r="D16997" i="1"/>
  <c r="D16996" i="1"/>
  <c r="E16996" i="1" s="1"/>
  <c r="D16995" i="1"/>
  <c r="E16995" i="1" s="1"/>
  <c r="D16994" i="1"/>
  <c r="E16994" i="1" s="1"/>
  <c r="E16993" i="1"/>
  <c r="D16993" i="1"/>
  <c r="E16992" i="1"/>
  <c r="D16992" i="1"/>
  <c r="D16991" i="1"/>
  <c r="E16991" i="1" s="1"/>
  <c r="D16990" i="1"/>
  <c r="E16990" i="1" s="1"/>
  <c r="D16989" i="1"/>
  <c r="E16989" i="1" s="1"/>
  <c r="D16988" i="1"/>
  <c r="E16988" i="1" s="1"/>
  <c r="D16987" i="1"/>
  <c r="E16987" i="1" s="1"/>
  <c r="E16986" i="1"/>
  <c r="D16986" i="1"/>
  <c r="E16985" i="1"/>
  <c r="D16985" i="1"/>
  <c r="D16984" i="1"/>
  <c r="E16984" i="1" s="1"/>
  <c r="D16983" i="1"/>
  <c r="E16983" i="1" s="1"/>
  <c r="D16982" i="1"/>
  <c r="E16982" i="1" s="1"/>
  <c r="E16981" i="1"/>
  <c r="D16981" i="1"/>
  <c r="D16980" i="1"/>
  <c r="E16980" i="1" s="1"/>
  <c r="E16979" i="1"/>
  <c r="D16979" i="1"/>
  <c r="D16978" i="1"/>
  <c r="E16978" i="1" s="1"/>
  <c r="D16977" i="1"/>
  <c r="E16977" i="1" s="1"/>
  <c r="D16976" i="1"/>
  <c r="E16976" i="1" s="1"/>
  <c r="E16975" i="1"/>
  <c r="D16975" i="1"/>
  <c r="E16974" i="1"/>
  <c r="D16974" i="1"/>
  <c r="E16973" i="1"/>
  <c r="D16973" i="1"/>
  <c r="D16972" i="1"/>
  <c r="E16972" i="1" s="1"/>
  <c r="E16971" i="1"/>
  <c r="D16971" i="1"/>
  <c r="D16970" i="1"/>
  <c r="E16970" i="1" s="1"/>
  <c r="E16969" i="1"/>
  <c r="D16969" i="1"/>
  <c r="D16968" i="1"/>
  <c r="E16968" i="1" s="1"/>
  <c r="E16967" i="1"/>
  <c r="D16967" i="1"/>
  <c r="D16966" i="1"/>
  <c r="E16966" i="1" s="1"/>
  <c r="D16965" i="1"/>
  <c r="E16965" i="1" s="1"/>
  <c r="E16964" i="1"/>
  <c r="D16964" i="1"/>
  <c r="E16963" i="1"/>
  <c r="D16963" i="1"/>
  <c r="E16962" i="1"/>
  <c r="D16962" i="1"/>
  <c r="E16961" i="1"/>
  <c r="D16961" i="1"/>
  <c r="D16960" i="1"/>
  <c r="E16960" i="1" s="1"/>
  <c r="E16959" i="1"/>
  <c r="D16959" i="1"/>
  <c r="D16958" i="1"/>
  <c r="E16958" i="1" s="1"/>
  <c r="D16957" i="1"/>
  <c r="E16957" i="1" s="1"/>
  <c r="D16956" i="1"/>
  <c r="E16956" i="1" s="1"/>
  <c r="E16955" i="1"/>
  <c r="D16955" i="1"/>
  <c r="D16954" i="1"/>
  <c r="E16954" i="1" s="1"/>
  <c r="D16953" i="1"/>
  <c r="E16953" i="1" s="1"/>
  <c r="E16952" i="1"/>
  <c r="D16952" i="1"/>
  <c r="D16951" i="1"/>
  <c r="E16951" i="1" s="1"/>
  <c r="E16950" i="1"/>
  <c r="D16950" i="1"/>
  <c r="E16949" i="1"/>
  <c r="D16949" i="1"/>
  <c r="D16948" i="1"/>
  <c r="E16948" i="1" s="1"/>
  <c r="D16947" i="1"/>
  <c r="E16947" i="1" s="1"/>
  <c r="D16946" i="1"/>
  <c r="E16946" i="1" s="1"/>
  <c r="D16945" i="1"/>
  <c r="E16945" i="1" s="1"/>
  <c r="D16944" i="1"/>
  <c r="E16944" i="1" s="1"/>
  <c r="D16943" i="1"/>
  <c r="E16943" i="1" s="1"/>
  <c r="D16942" i="1"/>
  <c r="E16942" i="1" s="1"/>
  <c r="D16941" i="1"/>
  <c r="E16941" i="1" s="1"/>
  <c r="E16940" i="1"/>
  <c r="D16940" i="1"/>
  <c r="D16939" i="1"/>
  <c r="E16939" i="1" s="1"/>
  <c r="E16938" i="1"/>
  <c r="D16938" i="1"/>
  <c r="E16937" i="1"/>
  <c r="D16937" i="1"/>
  <c r="D16936" i="1"/>
  <c r="E16936" i="1" s="1"/>
  <c r="D16935" i="1"/>
  <c r="E16935" i="1" s="1"/>
  <c r="D16934" i="1"/>
  <c r="E16934" i="1" s="1"/>
  <c r="D16933" i="1"/>
  <c r="E16933" i="1" s="1"/>
  <c r="D16932" i="1"/>
  <c r="E16932" i="1" s="1"/>
  <c r="D16931" i="1"/>
  <c r="E16931" i="1" s="1"/>
  <c r="D16930" i="1"/>
  <c r="E16930" i="1" s="1"/>
  <c r="D16929" i="1"/>
  <c r="E16929" i="1" s="1"/>
  <c r="D16928" i="1"/>
  <c r="E16928" i="1" s="1"/>
  <c r="D16927" i="1"/>
  <c r="E16927" i="1" s="1"/>
  <c r="E16926" i="1"/>
  <c r="D16926" i="1"/>
  <c r="E16925" i="1"/>
  <c r="D16925" i="1"/>
  <c r="D16924" i="1"/>
  <c r="E16924" i="1" s="1"/>
  <c r="D16923" i="1"/>
  <c r="E16923" i="1" s="1"/>
  <c r="D16922" i="1"/>
  <c r="E16922" i="1" s="1"/>
  <c r="E16921" i="1"/>
  <c r="D16921" i="1"/>
  <c r="E16920" i="1"/>
  <c r="D16920" i="1"/>
  <c r="D16919" i="1"/>
  <c r="E16919" i="1" s="1"/>
  <c r="D16918" i="1"/>
  <c r="E16918" i="1" s="1"/>
  <c r="D16917" i="1"/>
  <c r="E16917" i="1" s="1"/>
  <c r="D16916" i="1"/>
  <c r="E16916" i="1" s="1"/>
  <c r="D16915" i="1"/>
  <c r="E16915" i="1" s="1"/>
  <c r="E16914" i="1"/>
  <c r="D16914" i="1"/>
  <c r="E16913" i="1"/>
  <c r="D16913" i="1"/>
  <c r="D16912" i="1"/>
  <c r="E16912" i="1" s="1"/>
  <c r="D16911" i="1"/>
  <c r="E16911" i="1" s="1"/>
  <c r="D16910" i="1"/>
  <c r="E16910" i="1" s="1"/>
  <c r="E16909" i="1"/>
  <c r="D16909" i="1"/>
  <c r="D16908" i="1"/>
  <c r="E16908" i="1" s="1"/>
  <c r="E16907" i="1"/>
  <c r="D16907" i="1"/>
  <c r="D16906" i="1"/>
  <c r="E16906" i="1" s="1"/>
  <c r="D16905" i="1"/>
  <c r="E16905" i="1" s="1"/>
  <c r="D16904" i="1"/>
  <c r="E16904" i="1" s="1"/>
  <c r="D16903" i="1"/>
  <c r="E16903" i="1" s="1"/>
  <c r="E16902" i="1"/>
  <c r="D16902" i="1"/>
  <c r="E16901" i="1"/>
  <c r="D16901" i="1"/>
  <c r="D16900" i="1"/>
  <c r="E16900" i="1" s="1"/>
  <c r="E16899" i="1"/>
  <c r="D16899" i="1"/>
  <c r="D16898" i="1"/>
  <c r="E16898" i="1" s="1"/>
  <c r="E16897" i="1"/>
  <c r="D16897" i="1"/>
  <c r="D16896" i="1"/>
  <c r="E16896" i="1" s="1"/>
  <c r="E16895" i="1"/>
  <c r="D16895" i="1"/>
  <c r="D16894" i="1"/>
  <c r="E16894" i="1" s="1"/>
  <c r="D16893" i="1"/>
  <c r="E16893" i="1" s="1"/>
  <c r="E16892" i="1"/>
  <c r="D16892" i="1"/>
  <c r="E16891" i="1"/>
  <c r="D16891" i="1"/>
  <c r="E16890" i="1"/>
  <c r="D16890" i="1"/>
  <c r="E16889" i="1"/>
  <c r="D16889" i="1"/>
  <c r="D16888" i="1"/>
  <c r="E16888" i="1" s="1"/>
  <c r="E16887" i="1"/>
  <c r="D16887" i="1"/>
  <c r="D16886" i="1"/>
  <c r="E16886" i="1" s="1"/>
  <c r="D16885" i="1"/>
  <c r="E16885" i="1" s="1"/>
  <c r="D16884" i="1"/>
  <c r="E16884" i="1" s="1"/>
  <c r="E16883" i="1"/>
  <c r="D16883" i="1"/>
  <c r="D16882" i="1"/>
  <c r="E16882" i="1" s="1"/>
  <c r="D16881" i="1"/>
  <c r="E16881" i="1" s="1"/>
  <c r="E16880" i="1"/>
  <c r="D16880" i="1"/>
  <c r="D16879" i="1"/>
  <c r="E16879" i="1" s="1"/>
  <c r="E16878" i="1"/>
  <c r="D16878" i="1"/>
  <c r="E16877" i="1"/>
  <c r="D16877" i="1"/>
  <c r="D16876" i="1"/>
  <c r="E16876" i="1" s="1"/>
  <c r="D16875" i="1"/>
  <c r="E16875" i="1" s="1"/>
  <c r="D16874" i="1"/>
  <c r="E16874" i="1" s="1"/>
  <c r="D16873" i="1"/>
  <c r="E16873" i="1" s="1"/>
  <c r="D16872" i="1"/>
  <c r="E16872" i="1" s="1"/>
  <c r="D16871" i="1"/>
  <c r="E16871" i="1" s="1"/>
  <c r="D16870" i="1"/>
  <c r="E16870" i="1" s="1"/>
  <c r="D16869" i="1"/>
  <c r="E16869" i="1" s="1"/>
  <c r="E16868" i="1"/>
  <c r="D16868" i="1"/>
  <c r="D16867" i="1"/>
  <c r="E16867" i="1" s="1"/>
  <c r="E16866" i="1"/>
  <c r="D16866" i="1"/>
  <c r="E16865" i="1"/>
  <c r="D16865" i="1"/>
  <c r="D16864" i="1"/>
  <c r="E16864" i="1" s="1"/>
  <c r="D16863" i="1"/>
  <c r="E16863" i="1" s="1"/>
  <c r="D16862" i="1"/>
  <c r="E16862" i="1" s="1"/>
  <c r="D16861" i="1"/>
  <c r="E16861" i="1" s="1"/>
  <c r="D16860" i="1"/>
  <c r="E16860" i="1" s="1"/>
  <c r="D16859" i="1"/>
  <c r="E16859" i="1" s="1"/>
  <c r="D16858" i="1"/>
  <c r="E16858" i="1" s="1"/>
  <c r="D16857" i="1"/>
  <c r="E16857" i="1" s="1"/>
  <c r="D16856" i="1"/>
  <c r="E16856" i="1" s="1"/>
  <c r="D16855" i="1"/>
  <c r="E16855" i="1" s="1"/>
  <c r="E16854" i="1"/>
  <c r="D16854" i="1"/>
  <c r="E16853" i="1"/>
  <c r="D16853" i="1"/>
  <c r="D16852" i="1"/>
  <c r="E16852" i="1" s="1"/>
  <c r="D16851" i="1"/>
  <c r="E16851" i="1" s="1"/>
  <c r="D16850" i="1"/>
  <c r="E16850" i="1" s="1"/>
  <c r="E16849" i="1"/>
  <c r="D16849" i="1"/>
  <c r="E16848" i="1"/>
  <c r="D16848" i="1"/>
  <c r="D16847" i="1"/>
  <c r="E16847" i="1" s="1"/>
  <c r="D16846" i="1"/>
  <c r="E16846" i="1" s="1"/>
  <c r="D16845" i="1"/>
  <c r="E16845" i="1" s="1"/>
  <c r="D16844" i="1"/>
  <c r="E16844" i="1" s="1"/>
  <c r="D16843" i="1"/>
  <c r="E16843" i="1" s="1"/>
  <c r="D16842" i="1"/>
  <c r="E16842" i="1" s="1"/>
  <c r="E16841" i="1"/>
  <c r="D16841" i="1"/>
  <c r="D16840" i="1"/>
  <c r="E16840" i="1" s="1"/>
  <c r="D16839" i="1"/>
  <c r="E16839" i="1" s="1"/>
  <c r="D16838" i="1"/>
  <c r="E16838" i="1" s="1"/>
  <c r="E16837" i="1"/>
  <c r="D16837" i="1"/>
  <c r="D16836" i="1"/>
  <c r="E16836" i="1" s="1"/>
  <c r="E16835" i="1"/>
  <c r="D16835" i="1"/>
  <c r="D16834" i="1"/>
  <c r="E16834" i="1" s="1"/>
  <c r="D16833" i="1"/>
  <c r="E16833" i="1" s="1"/>
  <c r="D16832" i="1"/>
  <c r="E16832" i="1" s="1"/>
  <c r="D16831" i="1"/>
  <c r="E16831" i="1" s="1"/>
  <c r="D16830" i="1"/>
  <c r="E16830" i="1" s="1"/>
  <c r="E16829" i="1"/>
  <c r="D16829" i="1"/>
  <c r="D16828" i="1"/>
  <c r="E16828" i="1" s="1"/>
  <c r="E16827" i="1"/>
  <c r="D16827" i="1"/>
  <c r="D16826" i="1"/>
  <c r="E16826" i="1" s="1"/>
  <c r="E16825" i="1"/>
  <c r="D16825" i="1"/>
  <c r="D16824" i="1"/>
  <c r="E16824" i="1" s="1"/>
  <c r="E16823" i="1"/>
  <c r="D16823" i="1"/>
  <c r="D16822" i="1"/>
  <c r="E16822" i="1" s="1"/>
  <c r="D16821" i="1"/>
  <c r="E16821" i="1" s="1"/>
  <c r="E16820" i="1"/>
  <c r="D16820" i="1"/>
  <c r="E16819" i="1"/>
  <c r="D16819" i="1"/>
  <c r="D16818" i="1"/>
  <c r="E16818" i="1" s="1"/>
  <c r="E16817" i="1"/>
  <c r="D16817" i="1"/>
  <c r="D16816" i="1"/>
  <c r="E16816" i="1" s="1"/>
  <c r="E16815" i="1"/>
  <c r="D16815" i="1"/>
  <c r="D16814" i="1"/>
  <c r="E16814" i="1" s="1"/>
  <c r="D16813" i="1"/>
  <c r="E16813" i="1" s="1"/>
  <c r="D16812" i="1"/>
  <c r="E16812" i="1" s="1"/>
  <c r="E16811" i="1"/>
  <c r="D16811" i="1"/>
  <c r="D16810" i="1"/>
  <c r="E16810" i="1" s="1"/>
  <c r="D16809" i="1"/>
  <c r="E16809" i="1" s="1"/>
  <c r="E16808" i="1"/>
  <c r="D16808" i="1"/>
  <c r="D16807" i="1"/>
  <c r="E16807" i="1" s="1"/>
  <c r="E16806" i="1"/>
  <c r="D16806" i="1"/>
  <c r="E16805" i="1"/>
  <c r="D16805" i="1"/>
  <c r="D16804" i="1"/>
  <c r="E16804" i="1" s="1"/>
  <c r="D16803" i="1"/>
  <c r="E16803" i="1" s="1"/>
  <c r="D16802" i="1"/>
  <c r="E16802" i="1" s="1"/>
  <c r="D16801" i="1"/>
  <c r="E16801" i="1" s="1"/>
  <c r="D16800" i="1"/>
  <c r="E16800" i="1" s="1"/>
  <c r="D16799" i="1"/>
  <c r="E16799" i="1" s="1"/>
  <c r="D16798" i="1"/>
  <c r="E16798" i="1" s="1"/>
  <c r="D16797" i="1"/>
  <c r="E16797" i="1" s="1"/>
  <c r="E16796" i="1"/>
  <c r="D16796" i="1"/>
  <c r="D16795" i="1"/>
  <c r="E16795" i="1" s="1"/>
  <c r="E16794" i="1"/>
  <c r="D16794" i="1"/>
  <c r="E16793" i="1"/>
  <c r="D16793" i="1"/>
  <c r="D16792" i="1"/>
  <c r="E16792" i="1" s="1"/>
  <c r="D16791" i="1"/>
  <c r="E16791" i="1" s="1"/>
  <c r="D16790" i="1"/>
  <c r="E16790" i="1" s="1"/>
  <c r="D16789" i="1"/>
  <c r="E16789" i="1" s="1"/>
  <c r="D16788" i="1"/>
  <c r="E16788" i="1" s="1"/>
  <c r="D16787" i="1"/>
  <c r="E16787" i="1" s="1"/>
  <c r="D16786" i="1"/>
  <c r="E16786" i="1" s="1"/>
  <c r="D16785" i="1"/>
  <c r="E16785" i="1" s="1"/>
  <c r="D16784" i="1"/>
  <c r="E16784" i="1" s="1"/>
  <c r="D16783" i="1"/>
  <c r="E16783" i="1" s="1"/>
  <c r="E16782" i="1"/>
  <c r="D16782" i="1"/>
  <c r="E16781" i="1"/>
  <c r="D16781" i="1"/>
  <c r="D16780" i="1"/>
  <c r="E16780" i="1" s="1"/>
  <c r="D16779" i="1"/>
  <c r="E16779" i="1" s="1"/>
  <c r="D16778" i="1"/>
  <c r="E16778" i="1" s="1"/>
  <c r="E16777" i="1"/>
  <c r="D16777" i="1"/>
  <c r="E16776" i="1"/>
  <c r="D16776" i="1"/>
  <c r="D16775" i="1"/>
  <c r="E16775" i="1" s="1"/>
  <c r="D16774" i="1"/>
  <c r="E16774" i="1" s="1"/>
  <c r="D16773" i="1"/>
  <c r="E16773" i="1" s="1"/>
  <c r="D16772" i="1"/>
  <c r="E16772" i="1" s="1"/>
  <c r="D16771" i="1"/>
  <c r="E16771" i="1" s="1"/>
  <c r="D16770" i="1"/>
  <c r="E16770" i="1" s="1"/>
  <c r="E16769" i="1"/>
  <c r="D16769" i="1"/>
  <c r="D16768" i="1"/>
  <c r="E16768" i="1" s="1"/>
  <c r="D16767" i="1"/>
  <c r="E16767" i="1" s="1"/>
  <c r="D16766" i="1"/>
  <c r="E16766" i="1" s="1"/>
  <c r="E16765" i="1"/>
  <c r="D16765" i="1"/>
  <c r="D16764" i="1"/>
  <c r="E16764" i="1" s="1"/>
  <c r="E16763" i="1"/>
  <c r="D16763" i="1"/>
  <c r="D16762" i="1"/>
  <c r="E16762" i="1" s="1"/>
  <c r="D16761" i="1"/>
  <c r="E16761" i="1" s="1"/>
  <c r="D16760" i="1"/>
  <c r="E16760" i="1" s="1"/>
  <c r="D16759" i="1"/>
  <c r="E16759" i="1" s="1"/>
  <c r="D16758" i="1"/>
  <c r="E16758" i="1" s="1"/>
  <c r="E16757" i="1"/>
  <c r="D16757" i="1"/>
  <c r="D16756" i="1"/>
  <c r="E16756" i="1" s="1"/>
  <c r="E16755" i="1"/>
  <c r="D16755" i="1"/>
  <c r="D16754" i="1"/>
  <c r="E16754" i="1" s="1"/>
  <c r="E16753" i="1"/>
  <c r="D16753" i="1"/>
  <c r="D16752" i="1"/>
  <c r="E16752" i="1" s="1"/>
  <c r="E16751" i="1"/>
  <c r="D16751" i="1"/>
  <c r="D16750" i="1"/>
  <c r="E16750" i="1" s="1"/>
  <c r="D16749" i="1"/>
  <c r="E16749" i="1" s="1"/>
  <c r="E16748" i="1"/>
  <c r="D16748" i="1"/>
  <c r="E16747" i="1"/>
  <c r="D16747" i="1"/>
  <c r="D16746" i="1"/>
  <c r="E16746" i="1" s="1"/>
  <c r="E16745" i="1"/>
  <c r="D16745" i="1"/>
  <c r="D16744" i="1"/>
  <c r="E16744" i="1" s="1"/>
  <c r="E16743" i="1"/>
  <c r="D16743" i="1"/>
  <c r="D16742" i="1"/>
  <c r="E16742" i="1" s="1"/>
  <c r="D16741" i="1"/>
  <c r="E16741" i="1" s="1"/>
  <c r="D16740" i="1"/>
  <c r="E16740" i="1" s="1"/>
  <c r="E16739" i="1"/>
  <c r="D16739" i="1"/>
  <c r="D16738" i="1"/>
  <c r="E16738" i="1" s="1"/>
  <c r="D16737" i="1"/>
  <c r="E16737" i="1" s="1"/>
  <c r="E16736" i="1"/>
  <c r="D16736" i="1"/>
  <c r="D16735" i="1"/>
  <c r="E16735" i="1" s="1"/>
  <c r="E16734" i="1"/>
  <c r="D16734" i="1"/>
  <c r="E16733" i="1"/>
  <c r="D16733" i="1"/>
  <c r="D16732" i="1"/>
  <c r="E16732" i="1" s="1"/>
  <c r="D16731" i="1"/>
  <c r="E16731" i="1" s="1"/>
  <c r="D16730" i="1"/>
  <c r="E16730" i="1" s="1"/>
  <c r="D16729" i="1"/>
  <c r="E16729" i="1" s="1"/>
  <c r="D16728" i="1"/>
  <c r="E16728" i="1" s="1"/>
  <c r="D16727" i="1"/>
  <c r="E16727" i="1" s="1"/>
  <c r="D16726" i="1"/>
  <c r="E16726" i="1" s="1"/>
  <c r="D16725" i="1"/>
  <c r="E16725" i="1" s="1"/>
  <c r="E16724" i="1"/>
  <c r="D16724" i="1"/>
  <c r="D16723" i="1"/>
  <c r="E16723" i="1" s="1"/>
  <c r="E16722" i="1"/>
  <c r="D16722" i="1"/>
  <c r="E16721" i="1"/>
  <c r="D16721" i="1"/>
  <c r="D16720" i="1"/>
  <c r="E16720" i="1" s="1"/>
  <c r="D16719" i="1"/>
  <c r="E16719" i="1" s="1"/>
  <c r="D16718" i="1"/>
  <c r="E16718" i="1" s="1"/>
  <c r="D16717" i="1"/>
  <c r="E16717" i="1" s="1"/>
  <c r="D16716" i="1"/>
  <c r="E16716" i="1" s="1"/>
  <c r="D16715" i="1"/>
  <c r="E16715" i="1" s="1"/>
  <c r="D16714" i="1"/>
  <c r="E16714" i="1" s="1"/>
  <c r="D16713" i="1"/>
  <c r="E16713" i="1" s="1"/>
  <c r="D16712" i="1"/>
  <c r="E16712" i="1" s="1"/>
  <c r="D16711" i="1"/>
  <c r="E16711" i="1" s="1"/>
  <c r="E16710" i="1"/>
  <c r="D16710" i="1"/>
  <c r="E16709" i="1"/>
  <c r="D16709" i="1"/>
  <c r="D16708" i="1"/>
  <c r="E16708" i="1" s="1"/>
  <c r="D16707" i="1"/>
  <c r="E16707" i="1" s="1"/>
  <c r="D16706" i="1"/>
  <c r="E16706" i="1" s="1"/>
  <c r="E16705" i="1"/>
  <c r="D16705" i="1"/>
  <c r="E16704" i="1"/>
  <c r="D16704" i="1"/>
  <c r="D16703" i="1"/>
  <c r="E16703" i="1" s="1"/>
  <c r="D16702" i="1"/>
  <c r="E16702" i="1" s="1"/>
  <c r="D16701" i="1"/>
  <c r="E16701" i="1" s="1"/>
  <c r="D16700" i="1"/>
  <c r="E16700" i="1" s="1"/>
  <c r="D16699" i="1"/>
  <c r="E16699" i="1" s="1"/>
  <c r="D16698" i="1"/>
  <c r="E16698" i="1" s="1"/>
  <c r="E16697" i="1"/>
  <c r="D16697" i="1"/>
  <c r="D16696" i="1"/>
  <c r="E16696" i="1" s="1"/>
  <c r="D16695" i="1"/>
  <c r="E16695" i="1" s="1"/>
  <c r="D16694" i="1"/>
  <c r="E16694" i="1" s="1"/>
  <c r="E16693" i="1"/>
  <c r="D16693" i="1"/>
  <c r="D16692" i="1"/>
  <c r="E16692" i="1" s="1"/>
  <c r="E16691" i="1"/>
  <c r="D16691" i="1"/>
  <c r="D16690" i="1"/>
  <c r="E16690" i="1" s="1"/>
  <c r="D16689" i="1"/>
  <c r="E16689" i="1" s="1"/>
  <c r="D16688" i="1"/>
  <c r="E16688" i="1" s="1"/>
  <c r="D16687" i="1"/>
  <c r="E16687" i="1" s="1"/>
  <c r="D16686" i="1"/>
  <c r="E16686" i="1" s="1"/>
  <c r="E16685" i="1"/>
  <c r="D16685" i="1"/>
  <c r="D16684" i="1"/>
  <c r="E16684" i="1" s="1"/>
  <c r="E16683" i="1"/>
  <c r="D16683" i="1"/>
  <c r="D16682" i="1"/>
  <c r="E16682" i="1" s="1"/>
  <c r="E16681" i="1"/>
  <c r="D16681" i="1"/>
  <c r="D16680" i="1"/>
  <c r="E16680" i="1" s="1"/>
  <c r="E16679" i="1"/>
  <c r="D16679" i="1"/>
  <c r="D16678" i="1"/>
  <c r="E16678" i="1" s="1"/>
  <c r="D16677" i="1"/>
  <c r="E16677" i="1" s="1"/>
  <c r="D16676" i="1"/>
  <c r="E16676" i="1" s="1"/>
  <c r="E16675" i="1"/>
  <c r="D16675" i="1"/>
  <c r="D16674" i="1"/>
  <c r="E16674" i="1" s="1"/>
  <c r="E16673" i="1"/>
  <c r="D16673" i="1"/>
  <c r="D16672" i="1"/>
  <c r="E16672" i="1" s="1"/>
  <c r="D16671" i="1"/>
  <c r="E16671" i="1" s="1"/>
  <c r="D16670" i="1"/>
  <c r="E16670" i="1" s="1"/>
  <c r="E16669" i="1"/>
  <c r="D16669" i="1"/>
  <c r="D16668" i="1"/>
  <c r="E16668" i="1" s="1"/>
  <c r="D16667" i="1"/>
  <c r="E16667" i="1" s="1"/>
  <c r="D16666" i="1"/>
  <c r="E16666" i="1" s="1"/>
  <c r="D16665" i="1"/>
  <c r="E16665" i="1" s="1"/>
  <c r="D16664" i="1"/>
  <c r="E16664" i="1" s="1"/>
  <c r="E16663" i="1"/>
  <c r="D16663" i="1"/>
  <c r="E16662" i="1"/>
  <c r="D16662" i="1"/>
  <c r="E16661" i="1"/>
  <c r="D16661" i="1"/>
  <c r="D16660" i="1"/>
  <c r="E16660" i="1" s="1"/>
  <c r="E16659" i="1"/>
  <c r="D16659" i="1"/>
  <c r="D16658" i="1"/>
  <c r="E16658" i="1" s="1"/>
  <c r="D16657" i="1"/>
  <c r="E16657" i="1" s="1"/>
  <c r="D16656" i="1"/>
  <c r="E16656" i="1" s="1"/>
  <c r="D16655" i="1"/>
  <c r="E16655" i="1" s="1"/>
  <c r="E16654" i="1"/>
  <c r="D16654" i="1"/>
  <c r="D16653" i="1"/>
  <c r="E16653" i="1" s="1"/>
  <c r="D16652" i="1"/>
  <c r="E16652" i="1" s="1"/>
  <c r="D16651" i="1"/>
  <c r="E16651" i="1" s="1"/>
  <c r="D16650" i="1"/>
  <c r="E16650" i="1" s="1"/>
  <c r="E16649" i="1"/>
  <c r="D16649" i="1"/>
  <c r="D16648" i="1"/>
  <c r="E16648" i="1" s="1"/>
  <c r="D16647" i="1"/>
  <c r="E16647" i="1" s="1"/>
  <c r="D16646" i="1"/>
  <c r="E16646" i="1" s="1"/>
  <c r="E16645" i="1"/>
  <c r="D16645" i="1"/>
  <c r="E16644" i="1"/>
  <c r="D16644" i="1"/>
  <c r="E16643" i="1"/>
  <c r="D16643" i="1"/>
  <c r="E16642" i="1"/>
  <c r="D16642" i="1"/>
  <c r="D16641" i="1"/>
  <c r="E16641" i="1" s="1"/>
  <c r="E16640" i="1"/>
  <c r="D16640" i="1"/>
  <c r="D16639" i="1"/>
  <c r="E16639" i="1" s="1"/>
  <c r="E16638" i="1"/>
  <c r="D16638" i="1"/>
  <c r="E16637" i="1"/>
  <c r="D16637" i="1"/>
  <c r="D16636" i="1"/>
  <c r="E16636" i="1" s="1"/>
  <c r="D16635" i="1"/>
  <c r="E16635" i="1" s="1"/>
  <c r="D16634" i="1"/>
  <c r="E16634" i="1" s="1"/>
  <c r="D16633" i="1"/>
  <c r="E16633" i="1" s="1"/>
  <c r="D16632" i="1"/>
  <c r="E16632" i="1" s="1"/>
  <c r="D16631" i="1"/>
  <c r="E16631" i="1" s="1"/>
  <c r="D16630" i="1"/>
  <c r="E16630" i="1" s="1"/>
  <c r="D16629" i="1"/>
  <c r="E16629" i="1" s="1"/>
  <c r="D16628" i="1"/>
  <c r="E16628" i="1" s="1"/>
  <c r="E16627" i="1"/>
  <c r="D16627" i="1"/>
  <c r="D16626" i="1"/>
  <c r="E16626" i="1" s="1"/>
  <c r="E16625" i="1"/>
  <c r="D16625" i="1"/>
  <c r="D16624" i="1"/>
  <c r="E16624" i="1" s="1"/>
  <c r="D16623" i="1"/>
  <c r="E16623" i="1" s="1"/>
  <c r="D16622" i="1"/>
  <c r="E16622" i="1" s="1"/>
  <c r="E16621" i="1"/>
  <c r="D16621" i="1"/>
  <c r="D16620" i="1"/>
  <c r="E16620" i="1" s="1"/>
  <c r="D16619" i="1"/>
  <c r="E16619" i="1" s="1"/>
  <c r="D16618" i="1"/>
  <c r="E16618" i="1" s="1"/>
  <c r="D16617" i="1"/>
  <c r="E16617" i="1" s="1"/>
  <c r="D16616" i="1"/>
  <c r="E16616" i="1" s="1"/>
  <c r="D16615" i="1"/>
  <c r="E16615" i="1" s="1"/>
  <c r="E16614" i="1"/>
  <c r="D16614" i="1"/>
  <c r="E16613" i="1"/>
  <c r="D16613" i="1"/>
  <c r="D16612" i="1"/>
  <c r="E16612" i="1" s="1"/>
  <c r="D16611" i="1"/>
  <c r="E16611" i="1" s="1"/>
  <c r="D16610" i="1"/>
  <c r="E16610" i="1" s="1"/>
  <c r="E16609" i="1"/>
  <c r="D16609" i="1"/>
  <c r="E16608" i="1"/>
  <c r="D16608" i="1"/>
  <c r="D16607" i="1"/>
  <c r="E16607" i="1" s="1"/>
  <c r="D16606" i="1"/>
  <c r="E16606" i="1" s="1"/>
  <c r="D16605" i="1"/>
  <c r="E16605" i="1" s="1"/>
  <c r="D16604" i="1"/>
  <c r="E16604" i="1" s="1"/>
  <c r="D16603" i="1"/>
  <c r="E16603" i="1" s="1"/>
  <c r="D16602" i="1"/>
  <c r="E16602" i="1" s="1"/>
  <c r="E16601" i="1"/>
  <c r="D16601" i="1"/>
  <c r="D16600" i="1"/>
  <c r="E16600" i="1" s="1"/>
  <c r="D16599" i="1"/>
  <c r="E16599" i="1" s="1"/>
  <c r="D16598" i="1"/>
  <c r="E16598" i="1" s="1"/>
  <c r="D16597" i="1"/>
  <c r="E16597" i="1" s="1"/>
  <c r="E16596" i="1"/>
  <c r="D16596" i="1"/>
  <c r="E16595" i="1"/>
  <c r="D16595" i="1"/>
  <c r="D16594" i="1"/>
  <c r="E16594" i="1" s="1"/>
  <c r="D16593" i="1"/>
  <c r="E16593" i="1" s="1"/>
  <c r="D16592" i="1"/>
  <c r="E16592" i="1" s="1"/>
  <c r="D16591" i="1"/>
  <c r="E16591" i="1" s="1"/>
  <c r="D16590" i="1"/>
  <c r="E16590" i="1" s="1"/>
  <c r="E16589" i="1"/>
  <c r="D16589" i="1"/>
  <c r="D16588" i="1"/>
  <c r="E16588" i="1" s="1"/>
  <c r="D16587" i="1"/>
  <c r="E16587" i="1" s="1"/>
  <c r="D16586" i="1"/>
  <c r="E16586" i="1" s="1"/>
  <c r="E16585" i="1"/>
  <c r="D16585" i="1"/>
  <c r="D16584" i="1"/>
  <c r="E16584" i="1" s="1"/>
  <c r="E16583" i="1"/>
  <c r="D16583" i="1"/>
  <c r="E16582" i="1"/>
  <c r="D16582" i="1"/>
  <c r="D16581" i="1"/>
  <c r="E16581" i="1" s="1"/>
  <c r="D16580" i="1"/>
  <c r="E16580" i="1" s="1"/>
  <c r="D16579" i="1"/>
  <c r="E16579" i="1" s="1"/>
  <c r="D16578" i="1"/>
  <c r="E16578" i="1" s="1"/>
  <c r="E16577" i="1"/>
  <c r="D16577" i="1"/>
  <c r="D16576" i="1"/>
  <c r="E16576" i="1" s="1"/>
  <c r="E16575" i="1"/>
  <c r="D16575" i="1"/>
  <c r="D16574" i="1"/>
  <c r="E16574" i="1" s="1"/>
  <c r="E16573" i="1"/>
  <c r="D16573" i="1"/>
  <c r="E16572" i="1"/>
  <c r="D16572" i="1"/>
  <c r="D16571" i="1"/>
  <c r="E16571" i="1" s="1"/>
  <c r="E16570" i="1"/>
  <c r="D16570" i="1"/>
  <c r="E16569" i="1"/>
  <c r="D16569" i="1"/>
  <c r="D16568" i="1"/>
  <c r="E16568" i="1" s="1"/>
  <c r="D16567" i="1"/>
  <c r="E16567" i="1" s="1"/>
  <c r="D16566" i="1"/>
  <c r="E16566" i="1" s="1"/>
  <c r="E16565" i="1"/>
  <c r="D16565" i="1"/>
  <c r="D16564" i="1"/>
  <c r="E16564" i="1" s="1"/>
  <c r="E16563" i="1"/>
  <c r="D16563" i="1"/>
  <c r="D16562" i="1"/>
  <c r="E16562" i="1" s="1"/>
  <c r="E16561" i="1"/>
  <c r="D16561" i="1"/>
  <c r="E16560" i="1"/>
  <c r="D16560" i="1"/>
  <c r="E16559" i="1"/>
  <c r="D16559" i="1"/>
  <c r="D16558" i="1"/>
  <c r="E16558" i="1" s="1"/>
  <c r="E16557" i="1"/>
  <c r="D16557" i="1"/>
  <c r="E16556" i="1"/>
  <c r="D16556" i="1"/>
  <c r="D16555" i="1"/>
  <c r="E16555" i="1" s="1"/>
  <c r="E16554" i="1"/>
  <c r="D16554" i="1"/>
  <c r="D16553" i="1"/>
  <c r="E16553" i="1" s="1"/>
  <c r="D16552" i="1"/>
  <c r="E16552" i="1" s="1"/>
  <c r="E16551" i="1"/>
  <c r="D16551" i="1"/>
  <c r="D16550" i="1"/>
  <c r="E16550" i="1" s="1"/>
  <c r="D16549" i="1"/>
  <c r="E16549" i="1" s="1"/>
  <c r="E16548" i="1"/>
  <c r="D16548" i="1"/>
  <c r="E16547" i="1"/>
  <c r="D16547" i="1"/>
  <c r="E16546" i="1"/>
  <c r="D16546" i="1"/>
  <c r="D16545" i="1"/>
  <c r="E16545" i="1" s="1"/>
  <c r="E16544" i="1"/>
  <c r="D16544" i="1"/>
  <c r="E16543" i="1"/>
  <c r="D16543" i="1"/>
  <c r="D16542" i="1"/>
  <c r="E16542" i="1" s="1"/>
  <c r="D16541" i="1"/>
  <c r="E16541" i="1" s="1"/>
  <c r="D16540" i="1"/>
  <c r="E16540" i="1" s="1"/>
  <c r="E16539" i="1"/>
  <c r="D16539" i="1"/>
  <c r="D16538" i="1"/>
  <c r="E16538" i="1" s="1"/>
  <c r="D16537" i="1"/>
  <c r="E16537" i="1" s="1"/>
  <c r="D16536" i="1"/>
  <c r="E16536" i="1" s="1"/>
  <c r="E16535" i="1"/>
  <c r="D16535" i="1"/>
  <c r="E16534" i="1"/>
  <c r="D16534" i="1"/>
  <c r="E16533" i="1"/>
  <c r="D16533" i="1"/>
  <c r="D16532" i="1"/>
  <c r="E16532" i="1" s="1"/>
  <c r="E16531" i="1"/>
  <c r="D16531" i="1"/>
  <c r="E16530" i="1"/>
  <c r="D16530" i="1"/>
  <c r="D16529" i="1"/>
  <c r="E16529" i="1" s="1"/>
  <c r="D16528" i="1"/>
  <c r="E16528" i="1" s="1"/>
  <c r="E16527" i="1"/>
  <c r="D16527" i="1"/>
  <c r="D16526" i="1"/>
  <c r="E16526" i="1" s="1"/>
  <c r="D16525" i="1"/>
  <c r="E16525" i="1" s="1"/>
  <c r="D16524" i="1"/>
  <c r="E16524" i="1" s="1"/>
  <c r="D16523" i="1"/>
  <c r="E16523" i="1" s="1"/>
  <c r="E16522" i="1"/>
  <c r="D16522" i="1"/>
  <c r="E16521" i="1"/>
  <c r="D16521" i="1"/>
  <c r="E16520" i="1"/>
  <c r="D16520" i="1"/>
  <c r="D16519" i="1"/>
  <c r="E16519" i="1" s="1"/>
  <c r="E16518" i="1"/>
  <c r="D16518" i="1"/>
  <c r="E16517" i="1"/>
  <c r="D16517" i="1"/>
  <c r="D16516" i="1"/>
  <c r="E16516" i="1" s="1"/>
  <c r="D16515" i="1"/>
  <c r="E16515" i="1" s="1"/>
  <c r="D16514" i="1"/>
  <c r="E16514" i="1" s="1"/>
  <c r="D16513" i="1"/>
  <c r="E16513" i="1" s="1"/>
  <c r="D16512" i="1"/>
  <c r="E16512" i="1" s="1"/>
  <c r="D16511" i="1"/>
  <c r="E16511" i="1" s="1"/>
  <c r="D16510" i="1"/>
  <c r="E16510" i="1" s="1"/>
  <c r="E16509" i="1"/>
  <c r="D16509" i="1"/>
  <c r="E16508" i="1"/>
  <c r="D16508" i="1"/>
  <c r="E16507" i="1"/>
  <c r="D16507" i="1"/>
  <c r="D16506" i="1"/>
  <c r="E16506" i="1" s="1"/>
  <c r="E16505" i="1"/>
  <c r="D16505" i="1"/>
  <c r="D16504" i="1"/>
  <c r="E16504" i="1" s="1"/>
  <c r="E16503" i="1"/>
  <c r="D16503" i="1"/>
  <c r="D16502" i="1"/>
  <c r="E16502" i="1" s="1"/>
  <c r="D16501" i="1"/>
  <c r="E16501" i="1" s="1"/>
  <c r="D16500" i="1"/>
  <c r="E16500" i="1" s="1"/>
  <c r="D16499" i="1"/>
  <c r="E16499" i="1" s="1"/>
  <c r="D16498" i="1"/>
  <c r="E16498" i="1" s="1"/>
  <c r="D16497" i="1"/>
  <c r="E16497" i="1" s="1"/>
  <c r="E16496" i="1"/>
  <c r="D16496" i="1"/>
  <c r="E16495" i="1"/>
  <c r="D16495" i="1"/>
  <c r="E16494" i="1"/>
  <c r="D16494" i="1"/>
  <c r="D16493" i="1"/>
  <c r="E16493" i="1" s="1"/>
  <c r="D16492" i="1"/>
  <c r="E16492" i="1" s="1"/>
  <c r="D16491" i="1"/>
  <c r="E16491" i="1" s="1"/>
  <c r="D16490" i="1"/>
  <c r="E16490" i="1" s="1"/>
  <c r="D16489" i="1"/>
  <c r="E16489" i="1" s="1"/>
  <c r="D16488" i="1"/>
  <c r="E16488" i="1" s="1"/>
  <c r="D16487" i="1"/>
  <c r="E16487" i="1" s="1"/>
  <c r="D16486" i="1"/>
  <c r="E16486" i="1" s="1"/>
  <c r="D16485" i="1"/>
  <c r="E16485" i="1" s="1"/>
  <c r="D16484" i="1"/>
  <c r="E16484" i="1" s="1"/>
  <c r="E16483" i="1"/>
  <c r="D16483" i="1"/>
  <c r="E16482" i="1"/>
  <c r="D16482" i="1"/>
  <c r="E16481" i="1"/>
  <c r="D16481" i="1"/>
  <c r="D16480" i="1"/>
  <c r="E16480" i="1" s="1"/>
  <c r="D16479" i="1"/>
  <c r="E16479" i="1" s="1"/>
  <c r="D16478" i="1"/>
  <c r="E16478" i="1" s="1"/>
  <c r="E16477" i="1"/>
  <c r="D16477" i="1"/>
  <c r="D16476" i="1"/>
  <c r="E16476" i="1" s="1"/>
  <c r="E16475" i="1"/>
  <c r="D16475" i="1"/>
  <c r="D16474" i="1"/>
  <c r="E16474" i="1" s="1"/>
  <c r="D16473" i="1"/>
  <c r="E16473" i="1" s="1"/>
  <c r="D16472" i="1"/>
  <c r="E16472" i="1" s="1"/>
  <c r="D16471" i="1"/>
  <c r="E16471" i="1" s="1"/>
  <c r="E16470" i="1"/>
  <c r="D16470" i="1"/>
  <c r="E16469" i="1"/>
  <c r="D16469" i="1"/>
  <c r="D16468" i="1"/>
  <c r="E16468" i="1" s="1"/>
  <c r="D16467" i="1"/>
  <c r="E16467" i="1" s="1"/>
  <c r="D16466" i="1"/>
  <c r="E16466" i="1" s="1"/>
  <c r="E16465" i="1"/>
  <c r="D16465" i="1"/>
  <c r="E16464" i="1"/>
  <c r="D16464" i="1"/>
  <c r="D16463" i="1"/>
  <c r="E16463" i="1" s="1"/>
  <c r="D16462" i="1"/>
  <c r="E16462" i="1" s="1"/>
  <c r="D16461" i="1"/>
  <c r="E16461" i="1" s="1"/>
  <c r="D16460" i="1"/>
  <c r="E16460" i="1" s="1"/>
  <c r="D16459" i="1"/>
  <c r="E16459" i="1" s="1"/>
  <c r="D16458" i="1"/>
  <c r="E16458" i="1" s="1"/>
  <c r="E16457" i="1"/>
  <c r="D16457" i="1"/>
  <c r="D16456" i="1"/>
  <c r="E16456" i="1" s="1"/>
  <c r="D16455" i="1"/>
  <c r="E16455" i="1" s="1"/>
  <c r="D16454" i="1"/>
  <c r="E16454" i="1" s="1"/>
  <c r="D16453" i="1"/>
  <c r="E16453" i="1" s="1"/>
  <c r="E16452" i="1"/>
  <c r="D16452" i="1"/>
  <c r="D16451" i="1"/>
  <c r="E16451" i="1" s="1"/>
  <c r="D16450" i="1"/>
  <c r="E16450" i="1" s="1"/>
  <c r="D16449" i="1"/>
  <c r="E16449" i="1" s="1"/>
  <c r="D16448" i="1"/>
  <c r="E16448" i="1" s="1"/>
  <c r="D16447" i="1"/>
  <c r="E16447" i="1" s="1"/>
  <c r="D16446" i="1"/>
  <c r="E16446" i="1" s="1"/>
  <c r="D16445" i="1"/>
  <c r="E16445" i="1" s="1"/>
  <c r="D16444" i="1"/>
  <c r="E16444" i="1" s="1"/>
  <c r="D16443" i="1"/>
  <c r="E16443" i="1" s="1"/>
  <c r="D16442" i="1"/>
  <c r="E16442" i="1" s="1"/>
  <c r="E16441" i="1"/>
  <c r="D16441" i="1"/>
  <c r="D16440" i="1"/>
  <c r="E16440" i="1" s="1"/>
  <c r="E16439" i="1"/>
  <c r="D16439" i="1"/>
  <c r="E16438" i="1"/>
  <c r="D16438" i="1"/>
  <c r="D16437" i="1"/>
  <c r="E16437" i="1" s="1"/>
  <c r="E16436" i="1"/>
  <c r="D16436" i="1"/>
  <c r="E16435" i="1"/>
  <c r="D16435" i="1"/>
  <c r="D16434" i="1"/>
  <c r="E16434" i="1" s="1"/>
  <c r="D16433" i="1"/>
  <c r="E16433" i="1" s="1"/>
  <c r="D16432" i="1"/>
  <c r="E16432" i="1" s="1"/>
  <c r="E16431" i="1"/>
  <c r="D16431" i="1"/>
  <c r="D16430" i="1"/>
  <c r="E16430" i="1" s="1"/>
  <c r="E16429" i="1"/>
  <c r="D16429" i="1"/>
  <c r="E16428" i="1"/>
  <c r="D16428" i="1"/>
  <c r="D16427" i="1"/>
  <c r="E16427" i="1" s="1"/>
  <c r="E16426" i="1"/>
  <c r="D16426" i="1"/>
  <c r="D16425" i="1"/>
  <c r="E16425" i="1" s="1"/>
  <c r="D16424" i="1"/>
  <c r="E16424" i="1" s="1"/>
  <c r="D16423" i="1"/>
  <c r="E16423" i="1" s="1"/>
  <c r="D16422" i="1"/>
  <c r="E16422" i="1" s="1"/>
  <c r="D16421" i="1"/>
  <c r="E16421" i="1" s="1"/>
  <c r="D16420" i="1"/>
  <c r="E16420" i="1" s="1"/>
  <c r="E16419" i="1"/>
  <c r="D16419" i="1"/>
  <c r="D16418" i="1"/>
  <c r="E16418" i="1" s="1"/>
  <c r="E16417" i="1"/>
  <c r="D16417" i="1"/>
  <c r="E16416" i="1"/>
  <c r="D16416" i="1"/>
  <c r="E16415" i="1"/>
  <c r="D16415" i="1"/>
  <c r="D16414" i="1"/>
  <c r="E16414" i="1" s="1"/>
  <c r="E16413" i="1"/>
  <c r="D16413" i="1"/>
  <c r="D16412" i="1"/>
  <c r="E16412" i="1" s="1"/>
  <c r="D16411" i="1"/>
  <c r="E16411" i="1" s="1"/>
  <c r="D16410" i="1"/>
  <c r="E16410" i="1" s="1"/>
  <c r="E16409" i="1"/>
  <c r="D16409" i="1"/>
  <c r="D16408" i="1"/>
  <c r="E16408" i="1" s="1"/>
  <c r="E16407" i="1"/>
  <c r="D16407" i="1"/>
  <c r="D16406" i="1"/>
  <c r="E16406" i="1" s="1"/>
  <c r="D16405" i="1"/>
  <c r="E16405" i="1" s="1"/>
  <c r="E16404" i="1"/>
  <c r="D16404" i="1"/>
  <c r="E16403" i="1"/>
  <c r="D16403" i="1"/>
  <c r="E16402" i="1"/>
  <c r="D16402" i="1"/>
  <c r="D16401" i="1"/>
  <c r="E16401" i="1" s="1"/>
  <c r="E16400" i="1"/>
  <c r="D16400" i="1"/>
  <c r="D16399" i="1"/>
  <c r="E16399" i="1" s="1"/>
  <c r="D16398" i="1"/>
  <c r="E16398" i="1" s="1"/>
  <c r="D16397" i="1"/>
  <c r="E16397" i="1" s="1"/>
  <c r="D16396" i="1"/>
  <c r="E16396" i="1" s="1"/>
  <c r="E16395" i="1"/>
  <c r="D16395" i="1"/>
  <c r="D16394" i="1"/>
  <c r="E16394" i="1" s="1"/>
  <c r="D16393" i="1"/>
  <c r="E16393" i="1" s="1"/>
  <c r="D16392" i="1"/>
  <c r="E16392" i="1" s="1"/>
  <c r="E16391" i="1"/>
  <c r="D16391" i="1"/>
  <c r="E16390" i="1"/>
  <c r="D16390" i="1"/>
  <c r="E16389" i="1"/>
  <c r="D16389" i="1"/>
  <c r="D16388" i="1"/>
  <c r="E16388" i="1" s="1"/>
  <c r="E16387" i="1"/>
  <c r="D16387" i="1"/>
  <c r="E16386" i="1"/>
  <c r="D16386" i="1"/>
  <c r="D16385" i="1"/>
  <c r="E16385" i="1" s="1"/>
  <c r="D16384" i="1"/>
  <c r="E16384" i="1" s="1"/>
  <c r="D16383" i="1"/>
  <c r="E16383" i="1" s="1"/>
  <c r="D16382" i="1"/>
  <c r="E16382" i="1" s="1"/>
  <c r="D16381" i="1"/>
  <c r="E16381" i="1" s="1"/>
  <c r="D16380" i="1"/>
  <c r="E16380" i="1" s="1"/>
  <c r="D16379" i="1"/>
  <c r="E16379" i="1" s="1"/>
  <c r="E16378" i="1"/>
  <c r="D16378" i="1"/>
  <c r="E16377" i="1"/>
  <c r="D16377" i="1"/>
  <c r="E16376" i="1"/>
  <c r="D16376" i="1"/>
  <c r="D16375" i="1"/>
  <c r="E16375" i="1" s="1"/>
  <c r="E16374" i="1"/>
  <c r="D16374" i="1"/>
  <c r="E16373" i="1"/>
  <c r="D16373" i="1"/>
  <c r="D16372" i="1"/>
  <c r="E16372" i="1" s="1"/>
  <c r="D16371" i="1"/>
  <c r="E16371" i="1" s="1"/>
  <c r="D16370" i="1"/>
  <c r="E16370" i="1" s="1"/>
  <c r="E16369" i="1"/>
  <c r="D16369" i="1"/>
  <c r="D16368" i="1"/>
  <c r="E16368" i="1" s="1"/>
  <c r="D16367" i="1"/>
  <c r="E16367" i="1" s="1"/>
  <c r="D16366" i="1"/>
  <c r="E16366" i="1" s="1"/>
  <c r="E16365" i="1"/>
  <c r="D16365" i="1"/>
  <c r="D16364" i="1"/>
  <c r="E16364" i="1" s="1"/>
  <c r="E16363" i="1"/>
  <c r="D16363" i="1"/>
  <c r="D16362" i="1"/>
  <c r="E16362" i="1" s="1"/>
  <c r="E16361" i="1"/>
  <c r="D16361" i="1"/>
  <c r="D16360" i="1"/>
  <c r="E16360" i="1" s="1"/>
  <c r="E16359" i="1"/>
  <c r="D16359" i="1"/>
  <c r="D16358" i="1"/>
  <c r="E16358" i="1" s="1"/>
  <c r="D16357" i="1"/>
  <c r="E16357" i="1" s="1"/>
  <c r="D16356" i="1"/>
  <c r="E16356" i="1" s="1"/>
  <c r="D16355" i="1"/>
  <c r="E16355" i="1" s="1"/>
  <c r="D16354" i="1"/>
  <c r="E16354" i="1" s="1"/>
  <c r="D16353" i="1"/>
  <c r="E16353" i="1" s="1"/>
  <c r="E16352" i="1"/>
  <c r="D16352" i="1"/>
  <c r="E16351" i="1"/>
  <c r="D16351" i="1"/>
  <c r="E16350" i="1"/>
  <c r="D16350" i="1"/>
  <c r="D16349" i="1"/>
  <c r="E16349" i="1" s="1"/>
  <c r="D16348" i="1"/>
  <c r="E16348" i="1" s="1"/>
  <c r="D16347" i="1"/>
  <c r="E16347" i="1" s="1"/>
  <c r="D16346" i="1"/>
  <c r="E16346" i="1" s="1"/>
  <c r="D16345" i="1"/>
  <c r="E16345" i="1" s="1"/>
  <c r="E16344" i="1"/>
  <c r="D16344" i="1"/>
  <c r="E16343" i="1"/>
  <c r="D16343" i="1"/>
  <c r="D16342" i="1"/>
  <c r="E16342" i="1" s="1"/>
  <c r="D16341" i="1"/>
  <c r="E16341" i="1" s="1"/>
  <c r="D16340" i="1"/>
  <c r="E16340" i="1" s="1"/>
  <c r="E16339" i="1"/>
  <c r="D16339" i="1"/>
  <c r="E16338" i="1"/>
  <c r="D16338" i="1"/>
  <c r="E16337" i="1"/>
  <c r="D16337" i="1"/>
  <c r="D16336" i="1"/>
  <c r="E16336" i="1" s="1"/>
  <c r="D16335" i="1"/>
  <c r="E16335" i="1" s="1"/>
  <c r="D16334" i="1"/>
  <c r="E16334" i="1" s="1"/>
  <c r="D16333" i="1"/>
  <c r="E16333" i="1" s="1"/>
  <c r="D16332" i="1"/>
  <c r="E16332" i="1" s="1"/>
  <c r="D16331" i="1"/>
  <c r="E16331" i="1" s="1"/>
  <c r="E16330" i="1"/>
  <c r="D16330" i="1"/>
  <c r="D16329" i="1"/>
  <c r="E16329" i="1" s="1"/>
  <c r="D16328" i="1"/>
  <c r="E16328" i="1" s="1"/>
  <c r="D16327" i="1"/>
  <c r="E16327" i="1" s="1"/>
  <c r="E16326" i="1"/>
  <c r="D16326" i="1"/>
  <c r="D16325" i="1"/>
  <c r="E16325" i="1" s="1"/>
  <c r="D16324" i="1"/>
  <c r="E16324" i="1" s="1"/>
  <c r="E16323" i="1"/>
  <c r="D16323" i="1"/>
  <c r="D16322" i="1"/>
  <c r="E16322" i="1" s="1"/>
  <c r="E16321" i="1"/>
  <c r="D16321" i="1"/>
  <c r="E16320" i="1"/>
  <c r="D16320" i="1"/>
  <c r="D16319" i="1"/>
  <c r="E16319" i="1" s="1"/>
  <c r="E16318" i="1"/>
  <c r="D16318" i="1"/>
  <c r="D16317" i="1"/>
  <c r="E16317" i="1" s="1"/>
  <c r="D16316" i="1"/>
  <c r="E16316" i="1" s="1"/>
  <c r="D16315" i="1"/>
  <c r="E16315" i="1" s="1"/>
  <c r="D16314" i="1"/>
  <c r="E16314" i="1" s="1"/>
  <c r="D16313" i="1"/>
  <c r="E16313" i="1" s="1"/>
  <c r="D16312" i="1"/>
  <c r="E16312" i="1" s="1"/>
  <c r="D16311" i="1"/>
  <c r="E16311" i="1" s="1"/>
  <c r="D16310" i="1"/>
  <c r="E16310" i="1" s="1"/>
  <c r="D16309" i="1"/>
  <c r="E16309" i="1" s="1"/>
  <c r="E16308" i="1"/>
  <c r="D16308" i="1"/>
  <c r="E16307" i="1"/>
  <c r="D16307" i="1"/>
  <c r="D16306" i="1"/>
  <c r="E16306" i="1" s="1"/>
  <c r="D16305" i="1"/>
  <c r="E16305" i="1" s="1"/>
  <c r="E16304" i="1"/>
  <c r="D16304" i="1"/>
  <c r="D16303" i="1"/>
  <c r="E16303" i="1" s="1"/>
  <c r="D16302" i="1"/>
  <c r="E16302" i="1" s="1"/>
  <c r="D16301" i="1"/>
  <c r="E16301" i="1" s="1"/>
  <c r="D16300" i="1"/>
  <c r="E16300" i="1" s="1"/>
  <c r="D16299" i="1"/>
  <c r="E16299" i="1" s="1"/>
  <c r="D16298" i="1"/>
  <c r="E16298" i="1" s="1"/>
  <c r="E16297" i="1"/>
  <c r="D16297" i="1"/>
  <c r="D16296" i="1"/>
  <c r="E16296" i="1" s="1"/>
  <c r="E16295" i="1"/>
  <c r="D16295" i="1"/>
  <c r="E16294" i="1"/>
  <c r="D16294" i="1"/>
  <c r="D16293" i="1"/>
  <c r="E16293" i="1" s="1"/>
  <c r="E16292" i="1"/>
  <c r="D16292" i="1"/>
  <c r="E16291" i="1"/>
  <c r="D16291" i="1"/>
  <c r="D16290" i="1"/>
  <c r="E16290" i="1" s="1"/>
  <c r="D16289" i="1"/>
  <c r="E16289" i="1" s="1"/>
  <c r="D16288" i="1"/>
  <c r="E16288" i="1" s="1"/>
  <c r="E16287" i="1"/>
  <c r="D16287" i="1"/>
  <c r="D16286" i="1"/>
  <c r="E16286" i="1" s="1"/>
  <c r="E16285" i="1"/>
  <c r="D16285" i="1"/>
  <c r="E16284" i="1"/>
  <c r="D16284" i="1"/>
  <c r="D16283" i="1"/>
  <c r="E16283" i="1" s="1"/>
  <c r="E16282" i="1"/>
  <c r="D16282" i="1"/>
  <c r="D16281" i="1"/>
  <c r="E16281" i="1" s="1"/>
  <c r="D16280" i="1"/>
  <c r="E16280" i="1" s="1"/>
  <c r="D16279" i="1"/>
  <c r="E16279" i="1" s="1"/>
  <c r="D16278" i="1"/>
  <c r="E16278" i="1" s="1"/>
  <c r="D16277" i="1"/>
  <c r="E16277" i="1" s="1"/>
  <c r="D16276" i="1"/>
  <c r="E16276" i="1" s="1"/>
  <c r="E16275" i="1"/>
  <c r="D16275" i="1"/>
  <c r="D16274" i="1"/>
  <c r="E16274" i="1" s="1"/>
  <c r="D16273" i="1"/>
  <c r="E16273" i="1" s="1"/>
  <c r="E16272" i="1"/>
  <c r="D16272" i="1"/>
  <c r="E16271" i="1"/>
  <c r="D16271" i="1"/>
  <c r="D16270" i="1"/>
  <c r="E16270" i="1" s="1"/>
  <c r="E16269" i="1"/>
  <c r="D16269" i="1"/>
  <c r="D16268" i="1"/>
  <c r="E16268" i="1" s="1"/>
  <c r="D16267" i="1"/>
  <c r="E16267" i="1" s="1"/>
  <c r="D16266" i="1"/>
  <c r="E16266" i="1" s="1"/>
  <c r="E16265" i="1"/>
  <c r="D16265" i="1"/>
  <c r="D16264" i="1"/>
  <c r="E16264" i="1" s="1"/>
  <c r="E16263" i="1"/>
  <c r="D16263" i="1"/>
  <c r="D16262" i="1"/>
  <c r="E16262" i="1" s="1"/>
  <c r="D16261" i="1"/>
  <c r="E16261" i="1" s="1"/>
  <c r="E16260" i="1"/>
  <c r="D16260" i="1"/>
  <c r="E16259" i="1"/>
  <c r="D16259" i="1"/>
  <c r="E16258" i="1"/>
  <c r="D16258" i="1"/>
  <c r="D16257" i="1"/>
  <c r="E16257" i="1" s="1"/>
  <c r="E16256" i="1"/>
  <c r="D16256" i="1"/>
  <c r="D16255" i="1"/>
  <c r="E16255" i="1" s="1"/>
  <c r="D16254" i="1"/>
  <c r="E16254" i="1" s="1"/>
  <c r="D16253" i="1"/>
  <c r="E16253" i="1" s="1"/>
  <c r="D16252" i="1"/>
  <c r="E16252" i="1" s="1"/>
  <c r="E16251" i="1"/>
  <c r="D16251" i="1"/>
  <c r="D16250" i="1"/>
  <c r="E16250" i="1" s="1"/>
  <c r="D16249" i="1"/>
  <c r="E16249" i="1" s="1"/>
  <c r="D16248" i="1"/>
  <c r="E16248" i="1" s="1"/>
  <c r="D16247" i="1"/>
  <c r="E16247" i="1" s="1"/>
  <c r="E16246" i="1"/>
  <c r="D16246" i="1"/>
  <c r="E16245" i="1"/>
  <c r="D16245" i="1"/>
  <c r="D16244" i="1"/>
  <c r="E16244" i="1" s="1"/>
  <c r="E16243" i="1"/>
  <c r="D16243" i="1"/>
  <c r="E16242" i="1"/>
  <c r="D16242" i="1"/>
  <c r="D16241" i="1"/>
  <c r="E16241" i="1" s="1"/>
  <c r="D16240" i="1"/>
  <c r="E16240" i="1" s="1"/>
  <c r="D16239" i="1"/>
  <c r="E16239" i="1" s="1"/>
  <c r="D16238" i="1"/>
  <c r="E16238" i="1" s="1"/>
  <c r="D16237" i="1"/>
  <c r="E16237" i="1" s="1"/>
  <c r="D16236" i="1"/>
  <c r="E16236" i="1" s="1"/>
  <c r="D16235" i="1"/>
  <c r="E16235" i="1" s="1"/>
  <c r="D16234" i="1"/>
  <c r="E16234" i="1" s="1"/>
  <c r="E16233" i="1"/>
  <c r="D16233" i="1"/>
  <c r="E16232" i="1"/>
  <c r="D16232" i="1"/>
  <c r="D16231" i="1"/>
  <c r="E16231" i="1" s="1"/>
  <c r="E16230" i="1"/>
  <c r="D16230" i="1"/>
  <c r="E16229" i="1"/>
  <c r="D16229" i="1"/>
  <c r="D16228" i="1"/>
  <c r="E16228" i="1" s="1"/>
  <c r="D16227" i="1"/>
  <c r="E16227" i="1" s="1"/>
  <c r="D16226" i="1"/>
  <c r="E16226" i="1" s="1"/>
  <c r="D16225" i="1"/>
  <c r="E16225" i="1" s="1"/>
  <c r="D16224" i="1"/>
  <c r="E16224" i="1" s="1"/>
  <c r="D16223" i="1"/>
  <c r="E16223" i="1" s="1"/>
  <c r="D16222" i="1"/>
  <c r="E16222" i="1" s="1"/>
  <c r="D16221" i="1"/>
  <c r="E16221" i="1" s="1"/>
  <c r="D16220" i="1"/>
  <c r="E16220" i="1" s="1"/>
  <c r="E16219" i="1"/>
  <c r="D16219" i="1"/>
  <c r="D16218" i="1"/>
  <c r="E16218" i="1" s="1"/>
  <c r="E16217" i="1"/>
  <c r="D16217" i="1"/>
  <c r="D16216" i="1"/>
  <c r="E16216" i="1" s="1"/>
  <c r="E16215" i="1"/>
  <c r="D16215" i="1"/>
  <c r="D16214" i="1"/>
  <c r="E16214" i="1" s="1"/>
  <c r="E16213" i="1"/>
  <c r="D16213" i="1"/>
  <c r="E16212" i="1"/>
  <c r="D16212" i="1"/>
  <c r="D16211" i="1"/>
  <c r="E16211" i="1" s="1"/>
  <c r="D16210" i="1"/>
  <c r="E16210" i="1" s="1"/>
  <c r="D16209" i="1"/>
  <c r="E16209" i="1" s="1"/>
  <c r="D16208" i="1"/>
  <c r="E16208" i="1" s="1"/>
  <c r="D16207" i="1"/>
  <c r="E16207" i="1" s="1"/>
  <c r="E16206" i="1"/>
  <c r="D16206" i="1"/>
  <c r="D16205" i="1"/>
  <c r="E16205" i="1" s="1"/>
  <c r="D16204" i="1"/>
  <c r="E16204" i="1" s="1"/>
  <c r="D16203" i="1"/>
  <c r="E16203" i="1" s="1"/>
  <c r="D16202" i="1"/>
  <c r="E16202" i="1" s="1"/>
  <c r="D16201" i="1"/>
  <c r="E16201" i="1" s="1"/>
  <c r="D16200" i="1"/>
  <c r="E16200" i="1" s="1"/>
  <c r="D16199" i="1"/>
  <c r="E16199" i="1" s="1"/>
  <c r="D16198" i="1"/>
  <c r="E16198" i="1" s="1"/>
  <c r="D16197" i="1"/>
  <c r="E16197" i="1" s="1"/>
  <c r="D16196" i="1"/>
  <c r="E16196" i="1" s="1"/>
  <c r="D16195" i="1"/>
  <c r="E16195" i="1" s="1"/>
  <c r="D16194" i="1"/>
  <c r="E16194" i="1" s="1"/>
  <c r="E16193" i="1"/>
  <c r="D16193" i="1"/>
  <c r="D16192" i="1"/>
  <c r="E16192" i="1" s="1"/>
  <c r="D16191" i="1"/>
  <c r="E16191" i="1" s="1"/>
  <c r="D16190" i="1"/>
  <c r="E16190" i="1" s="1"/>
  <c r="D16189" i="1"/>
  <c r="E16189" i="1" s="1"/>
  <c r="D16188" i="1"/>
  <c r="E16188" i="1" s="1"/>
  <c r="D16187" i="1"/>
  <c r="E16187" i="1" s="1"/>
  <c r="D16186" i="1"/>
  <c r="E16186" i="1" s="1"/>
  <c r="D16185" i="1"/>
  <c r="E16185" i="1" s="1"/>
  <c r="D16184" i="1"/>
  <c r="E16184" i="1" s="1"/>
  <c r="D16183" i="1"/>
  <c r="E16183" i="1" s="1"/>
  <c r="D16182" i="1"/>
  <c r="E16182" i="1" s="1"/>
  <c r="E16181" i="1"/>
  <c r="D16181" i="1"/>
  <c r="D16180" i="1"/>
  <c r="E16180" i="1" s="1"/>
  <c r="E16179" i="1"/>
  <c r="D16179" i="1"/>
  <c r="D16178" i="1"/>
  <c r="E16178" i="1" s="1"/>
  <c r="E16177" i="1"/>
  <c r="D16177" i="1"/>
  <c r="D16176" i="1"/>
  <c r="E16176" i="1" s="1"/>
  <c r="D16175" i="1"/>
  <c r="E16175" i="1" s="1"/>
  <c r="D16174" i="1"/>
  <c r="E16174" i="1" s="1"/>
  <c r="D16173" i="1"/>
  <c r="E16173" i="1" s="1"/>
  <c r="D16172" i="1"/>
  <c r="E16172" i="1" s="1"/>
  <c r="D16171" i="1"/>
  <c r="E16171" i="1" s="1"/>
  <c r="D16170" i="1"/>
  <c r="E16170" i="1" s="1"/>
  <c r="D16169" i="1"/>
  <c r="E16169" i="1" s="1"/>
  <c r="D16168" i="1"/>
  <c r="E16168" i="1" s="1"/>
  <c r="E16167" i="1"/>
  <c r="D16167" i="1"/>
  <c r="D16166" i="1"/>
  <c r="E16166" i="1" s="1"/>
  <c r="D16165" i="1"/>
  <c r="E16165" i="1" s="1"/>
  <c r="E16164" i="1"/>
  <c r="D16164" i="1"/>
  <c r="D16163" i="1"/>
  <c r="E16163" i="1" s="1"/>
  <c r="D16162" i="1"/>
  <c r="E16162" i="1" s="1"/>
  <c r="D16161" i="1"/>
  <c r="E16161" i="1" s="1"/>
  <c r="D16160" i="1"/>
  <c r="E16160" i="1" s="1"/>
  <c r="D16159" i="1"/>
  <c r="E16159" i="1" s="1"/>
  <c r="D16158" i="1"/>
  <c r="E16158" i="1" s="1"/>
  <c r="D16157" i="1"/>
  <c r="E16157" i="1" s="1"/>
  <c r="D16156" i="1"/>
  <c r="E16156" i="1" s="1"/>
  <c r="D16155" i="1"/>
  <c r="E16155" i="1" s="1"/>
  <c r="D16154" i="1"/>
  <c r="E16154" i="1" s="1"/>
  <c r="E16153" i="1"/>
  <c r="D16153" i="1"/>
  <c r="D16152" i="1"/>
  <c r="E16152" i="1" s="1"/>
  <c r="E16151" i="1"/>
  <c r="D16151" i="1"/>
  <c r="D16150" i="1"/>
  <c r="E16150" i="1" s="1"/>
  <c r="D16149" i="1"/>
  <c r="E16149" i="1" s="1"/>
  <c r="D16148" i="1"/>
  <c r="E16148" i="1" s="1"/>
  <c r="D16147" i="1"/>
  <c r="E16147" i="1" s="1"/>
  <c r="D16146" i="1"/>
  <c r="E16146" i="1" s="1"/>
  <c r="D16145" i="1"/>
  <c r="E16145" i="1" s="1"/>
  <c r="D16144" i="1"/>
  <c r="E16144" i="1" s="1"/>
  <c r="D16143" i="1"/>
  <c r="E16143" i="1" s="1"/>
  <c r="D16142" i="1"/>
  <c r="E16142" i="1" s="1"/>
  <c r="D16141" i="1"/>
  <c r="E16141" i="1" s="1"/>
  <c r="E16140" i="1"/>
  <c r="D16140" i="1"/>
  <c r="D16139" i="1"/>
  <c r="E16139" i="1" s="1"/>
  <c r="E16138" i="1"/>
  <c r="D16138" i="1"/>
  <c r="D16137" i="1"/>
  <c r="E16137" i="1" s="1"/>
  <c r="D16136" i="1"/>
  <c r="E16136" i="1" s="1"/>
  <c r="E16135" i="1"/>
  <c r="D16135" i="1"/>
  <c r="D16134" i="1"/>
  <c r="E16134" i="1" s="1"/>
  <c r="D16133" i="1"/>
  <c r="E16133" i="1" s="1"/>
  <c r="D16132" i="1"/>
  <c r="E16132" i="1" s="1"/>
  <c r="D16131" i="1"/>
  <c r="E16131" i="1" s="1"/>
  <c r="D16130" i="1"/>
  <c r="E16130" i="1" s="1"/>
  <c r="D16129" i="1"/>
  <c r="E16129" i="1" s="1"/>
  <c r="E16128" i="1"/>
  <c r="D16128" i="1"/>
  <c r="E16127" i="1"/>
  <c r="D16127" i="1"/>
  <c r="D16126" i="1"/>
  <c r="E16126" i="1" s="1"/>
  <c r="D16125" i="1"/>
  <c r="E16125" i="1" s="1"/>
  <c r="E16124" i="1"/>
  <c r="D16124" i="1"/>
  <c r="D16123" i="1"/>
  <c r="E16123" i="1" s="1"/>
  <c r="D16122" i="1"/>
  <c r="E16122" i="1" s="1"/>
  <c r="E16121" i="1"/>
  <c r="D16121" i="1"/>
  <c r="E16120" i="1"/>
  <c r="D16120" i="1"/>
  <c r="E16119" i="1"/>
  <c r="D16119" i="1"/>
  <c r="D16118" i="1"/>
  <c r="E16118" i="1" s="1"/>
  <c r="E16117" i="1"/>
  <c r="D16117" i="1"/>
  <c r="E16116" i="1"/>
  <c r="D16116" i="1"/>
  <c r="E16115" i="1"/>
  <c r="D16115" i="1"/>
  <c r="D16114" i="1"/>
  <c r="E16114" i="1" s="1"/>
  <c r="E16113" i="1"/>
  <c r="D16113" i="1"/>
  <c r="D16112" i="1"/>
  <c r="E16112" i="1" s="1"/>
  <c r="D16111" i="1"/>
  <c r="E16111" i="1" s="1"/>
  <c r="D16110" i="1"/>
  <c r="E16110" i="1" s="1"/>
  <c r="E16109" i="1"/>
  <c r="D16109" i="1"/>
  <c r="D16108" i="1"/>
  <c r="E16108" i="1" s="1"/>
  <c r="D16107" i="1"/>
  <c r="E16107" i="1" s="1"/>
  <c r="D16106" i="1"/>
  <c r="E16106" i="1" s="1"/>
  <c r="E16105" i="1"/>
  <c r="D16105" i="1"/>
  <c r="D16104" i="1"/>
  <c r="E16104" i="1" s="1"/>
  <c r="D16103" i="1"/>
  <c r="E16103" i="1" s="1"/>
  <c r="E16102" i="1"/>
  <c r="D16102" i="1"/>
  <c r="D16101" i="1"/>
  <c r="E16101" i="1" s="1"/>
  <c r="D16100" i="1"/>
  <c r="E16100" i="1" s="1"/>
  <c r="E16099" i="1"/>
  <c r="D16099" i="1"/>
  <c r="D16098" i="1"/>
  <c r="E16098" i="1" s="1"/>
  <c r="D16097" i="1"/>
  <c r="E16097" i="1" s="1"/>
  <c r="E16096" i="1"/>
  <c r="D16096" i="1"/>
  <c r="E16095" i="1"/>
  <c r="D16095" i="1"/>
  <c r="D16094" i="1"/>
  <c r="E16094" i="1" s="1"/>
  <c r="D16093" i="1"/>
  <c r="E16093" i="1" s="1"/>
  <c r="E16092" i="1"/>
  <c r="D16092" i="1"/>
  <c r="E16091" i="1"/>
  <c r="D16091" i="1"/>
  <c r="E16090" i="1"/>
  <c r="D16090" i="1"/>
  <c r="D16089" i="1"/>
  <c r="E16089" i="1" s="1"/>
  <c r="E16088" i="1"/>
  <c r="D16088" i="1"/>
  <c r="E16087" i="1"/>
  <c r="D16087" i="1"/>
  <c r="D16086" i="1"/>
  <c r="E16086" i="1" s="1"/>
  <c r="E16085" i="1"/>
  <c r="D16085" i="1"/>
  <c r="D16084" i="1"/>
  <c r="E16084" i="1" s="1"/>
  <c r="D16083" i="1"/>
  <c r="E16083" i="1" s="1"/>
  <c r="D16082" i="1"/>
  <c r="E16082" i="1" s="1"/>
  <c r="E16081" i="1"/>
  <c r="D16081" i="1"/>
  <c r="E16080" i="1"/>
  <c r="D16080" i="1"/>
  <c r="D16079" i="1"/>
  <c r="E16079" i="1" s="1"/>
  <c r="E16078" i="1"/>
  <c r="D16078" i="1"/>
  <c r="E16077" i="1"/>
  <c r="D16077" i="1"/>
  <c r="D16076" i="1"/>
  <c r="E16076" i="1" s="1"/>
  <c r="D16075" i="1"/>
  <c r="E16075" i="1" s="1"/>
  <c r="E16074" i="1"/>
  <c r="D16074" i="1"/>
  <c r="D16073" i="1"/>
  <c r="E16073" i="1" s="1"/>
  <c r="D16072" i="1"/>
  <c r="E16072" i="1" s="1"/>
  <c r="E16071" i="1"/>
  <c r="D16071" i="1"/>
  <c r="D16070" i="1"/>
  <c r="E16070" i="1" s="1"/>
  <c r="D16069" i="1"/>
  <c r="E16069" i="1" s="1"/>
  <c r="D16068" i="1"/>
  <c r="E16068" i="1" s="1"/>
  <c r="D16067" i="1"/>
  <c r="E16067" i="1" s="1"/>
  <c r="D16066" i="1"/>
  <c r="E16066" i="1" s="1"/>
  <c r="E16065" i="1"/>
  <c r="D16065" i="1"/>
  <c r="D16064" i="1"/>
  <c r="E16064" i="1" s="1"/>
  <c r="E16063" i="1"/>
  <c r="D16063" i="1"/>
  <c r="E16062" i="1"/>
  <c r="D16062" i="1"/>
  <c r="D16061" i="1"/>
  <c r="E16061" i="1" s="1"/>
  <c r="E16060" i="1"/>
  <c r="D16060" i="1"/>
  <c r="E16059" i="1"/>
  <c r="D16059" i="1"/>
  <c r="D16058" i="1"/>
  <c r="E16058" i="1" s="1"/>
  <c r="E16057" i="1"/>
  <c r="D16057" i="1"/>
  <c r="E16056" i="1"/>
  <c r="D16056" i="1"/>
  <c r="D16055" i="1"/>
  <c r="E16055" i="1" s="1"/>
  <c r="D16054" i="1"/>
  <c r="E16054" i="1" s="1"/>
  <c r="E16053" i="1"/>
  <c r="D16053" i="1"/>
  <c r="E16052" i="1"/>
  <c r="D16052" i="1"/>
  <c r="D16051" i="1"/>
  <c r="E16051" i="1" s="1"/>
  <c r="D16050" i="1"/>
  <c r="E16050" i="1" s="1"/>
  <c r="E16049" i="1"/>
  <c r="D16049" i="1"/>
  <c r="E16048" i="1"/>
  <c r="D16048" i="1"/>
  <c r="D16047" i="1"/>
  <c r="E16047" i="1" s="1"/>
  <c r="D16046" i="1"/>
  <c r="E16046" i="1" s="1"/>
  <c r="D16045" i="1"/>
  <c r="E16045" i="1" s="1"/>
  <c r="D16044" i="1"/>
  <c r="E16044" i="1" s="1"/>
  <c r="D16043" i="1"/>
  <c r="E16043" i="1" s="1"/>
  <c r="D16042" i="1"/>
  <c r="E16042" i="1" s="1"/>
  <c r="E16041" i="1"/>
  <c r="D16041" i="1"/>
  <c r="E16040" i="1"/>
  <c r="D16040" i="1"/>
  <c r="D16039" i="1"/>
  <c r="E16039" i="1" s="1"/>
  <c r="E16038" i="1"/>
  <c r="D16038" i="1"/>
  <c r="D16037" i="1"/>
  <c r="E16037" i="1" s="1"/>
  <c r="D16036" i="1"/>
  <c r="E16036" i="1" s="1"/>
  <c r="D16035" i="1"/>
  <c r="E16035" i="1" s="1"/>
  <c r="E16034" i="1"/>
  <c r="D16034" i="1"/>
  <c r="D16033" i="1"/>
  <c r="E16033" i="1" s="1"/>
  <c r="D16032" i="1"/>
  <c r="E16032" i="1" s="1"/>
  <c r="D16031" i="1"/>
  <c r="E16031" i="1" s="1"/>
  <c r="E16030" i="1"/>
  <c r="D16030" i="1"/>
  <c r="E16029" i="1"/>
  <c r="D16029" i="1"/>
  <c r="E16028" i="1"/>
  <c r="D16028" i="1"/>
  <c r="D16027" i="1"/>
  <c r="E16027" i="1" s="1"/>
  <c r="E16026" i="1"/>
  <c r="D16026" i="1"/>
  <c r="D16025" i="1"/>
  <c r="E16025" i="1" s="1"/>
  <c r="D16024" i="1"/>
  <c r="E16024" i="1" s="1"/>
  <c r="D16023" i="1"/>
  <c r="E16023" i="1" s="1"/>
  <c r="D16022" i="1"/>
  <c r="E16022" i="1" s="1"/>
  <c r="D16021" i="1"/>
  <c r="E16021" i="1" s="1"/>
  <c r="D16020" i="1"/>
  <c r="E16020" i="1" s="1"/>
  <c r="D16019" i="1"/>
  <c r="E16019" i="1" s="1"/>
  <c r="E16018" i="1"/>
  <c r="D16018" i="1"/>
  <c r="E16017" i="1"/>
  <c r="D16017" i="1"/>
  <c r="E16016" i="1"/>
  <c r="D16016" i="1"/>
  <c r="D16015" i="1"/>
  <c r="E16015" i="1" s="1"/>
  <c r="E16014" i="1"/>
  <c r="D16014" i="1"/>
  <c r="E16013" i="1"/>
  <c r="D16013" i="1"/>
  <c r="D16012" i="1"/>
  <c r="E16012" i="1" s="1"/>
  <c r="E16011" i="1"/>
  <c r="D16011" i="1"/>
  <c r="D16010" i="1"/>
  <c r="E16010" i="1" s="1"/>
  <c r="D16009" i="1"/>
  <c r="E16009" i="1" s="1"/>
  <c r="D16008" i="1"/>
  <c r="E16008" i="1" s="1"/>
  <c r="D16007" i="1"/>
  <c r="E16007" i="1" s="1"/>
  <c r="D16006" i="1"/>
  <c r="E16006" i="1" s="1"/>
  <c r="E16005" i="1"/>
  <c r="D16005" i="1"/>
  <c r="E16004" i="1"/>
  <c r="D16004" i="1"/>
  <c r="D16003" i="1"/>
  <c r="E16003" i="1" s="1"/>
  <c r="E16002" i="1"/>
  <c r="D16002" i="1"/>
  <c r="D16001" i="1"/>
  <c r="E16001" i="1" s="1"/>
  <c r="D16000" i="1"/>
  <c r="E16000" i="1" s="1"/>
  <c r="E15999" i="1"/>
  <c r="D15999" i="1"/>
  <c r="E15998" i="1"/>
  <c r="D15998" i="1"/>
  <c r="D15997" i="1"/>
  <c r="E15997" i="1" s="1"/>
  <c r="D15996" i="1"/>
  <c r="E15996" i="1" s="1"/>
  <c r="D15995" i="1"/>
  <c r="E15995" i="1" s="1"/>
  <c r="D15994" i="1"/>
  <c r="E15994" i="1" s="1"/>
  <c r="D15993" i="1"/>
  <c r="E15993" i="1" s="1"/>
  <c r="E15992" i="1"/>
  <c r="D15992" i="1"/>
  <c r="D15991" i="1"/>
  <c r="E15991" i="1" s="1"/>
  <c r="E15990" i="1"/>
  <c r="D15990" i="1"/>
  <c r="D15989" i="1"/>
  <c r="E15989" i="1" s="1"/>
  <c r="D15988" i="1"/>
  <c r="E15988" i="1" s="1"/>
  <c r="E15987" i="1"/>
  <c r="D15987" i="1"/>
  <c r="D15986" i="1"/>
  <c r="E15986" i="1" s="1"/>
  <c r="D15985" i="1"/>
  <c r="E15985" i="1" s="1"/>
  <c r="D15984" i="1"/>
  <c r="E15984" i="1" s="1"/>
  <c r="D15983" i="1"/>
  <c r="E15983" i="1" s="1"/>
  <c r="E15982" i="1"/>
  <c r="D15982" i="1"/>
  <c r="D15981" i="1"/>
  <c r="E15981" i="1" s="1"/>
  <c r="E15980" i="1"/>
  <c r="D15980" i="1"/>
  <c r="D15979" i="1"/>
  <c r="E15979" i="1" s="1"/>
  <c r="E15978" i="1"/>
  <c r="D15978" i="1"/>
  <c r="E15977" i="1"/>
  <c r="D15977" i="1"/>
  <c r="D15976" i="1"/>
  <c r="E15976" i="1" s="1"/>
  <c r="E15975" i="1"/>
  <c r="D15975" i="1"/>
  <c r="D15974" i="1"/>
  <c r="E15974" i="1" s="1"/>
  <c r="D15973" i="1"/>
  <c r="E15973" i="1" s="1"/>
  <c r="D15972" i="1"/>
  <c r="E15972" i="1" s="1"/>
  <c r="D15971" i="1"/>
  <c r="E15971" i="1" s="1"/>
  <c r="D15970" i="1"/>
  <c r="E15970" i="1" s="1"/>
  <c r="D15969" i="1"/>
  <c r="E15969" i="1" s="1"/>
  <c r="E15968" i="1"/>
  <c r="D15968" i="1"/>
  <c r="D15967" i="1"/>
  <c r="E15967" i="1" s="1"/>
  <c r="E15966" i="1"/>
  <c r="D15966" i="1"/>
  <c r="E15965" i="1"/>
  <c r="D15965" i="1"/>
  <c r="D15964" i="1"/>
  <c r="E15964" i="1" s="1"/>
  <c r="D15963" i="1"/>
  <c r="E15963" i="1" s="1"/>
  <c r="E15962" i="1"/>
  <c r="D15962" i="1"/>
  <c r="D15961" i="1"/>
  <c r="E15961" i="1" s="1"/>
  <c r="D15960" i="1"/>
  <c r="E15960" i="1" s="1"/>
  <c r="D15959" i="1"/>
  <c r="E15959" i="1" s="1"/>
  <c r="D15958" i="1"/>
  <c r="E15958" i="1" s="1"/>
  <c r="D15957" i="1"/>
  <c r="E15957" i="1" s="1"/>
  <c r="E15956" i="1"/>
  <c r="D15956" i="1"/>
  <c r="D15955" i="1"/>
  <c r="E15955" i="1" s="1"/>
  <c r="E15954" i="1"/>
  <c r="D15954" i="1"/>
  <c r="D15953" i="1"/>
  <c r="E15953" i="1" s="1"/>
  <c r="D15952" i="1"/>
  <c r="E15952" i="1" s="1"/>
  <c r="D15951" i="1"/>
  <c r="E15951" i="1" s="1"/>
  <c r="E15950" i="1"/>
  <c r="D15950" i="1"/>
  <c r="D15949" i="1"/>
  <c r="E15949" i="1" s="1"/>
  <c r="D15948" i="1"/>
  <c r="E15948" i="1" s="1"/>
  <c r="D15947" i="1"/>
  <c r="E15947" i="1" s="1"/>
  <c r="E15946" i="1"/>
  <c r="D15946" i="1"/>
  <c r="D15945" i="1"/>
  <c r="E15945" i="1" s="1"/>
  <c r="E15944" i="1"/>
  <c r="D15944" i="1"/>
  <c r="D15943" i="1"/>
  <c r="E15943" i="1" s="1"/>
  <c r="E15942" i="1"/>
  <c r="D15942" i="1"/>
  <c r="D15941" i="1"/>
  <c r="E15941" i="1" s="1"/>
  <c r="D15940" i="1"/>
  <c r="E15940" i="1" s="1"/>
  <c r="D15939" i="1"/>
  <c r="E15939" i="1" s="1"/>
  <c r="D15938" i="1"/>
  <c r="E15938" i="1" s="1"/>
  <c r="D15937" i="1"/>
  <c r="E15937" i="1" s="1"/>
  <c r="D15936" i="1"/>
  <c r="E15936" i="1" s="1"/>
  <c r="D15935" i="1"/>
  <c r="E15935" i="1" s="1"/>
  <c r="E15934" i="1"/>
  <c r="D15934" i="1"/>
  <c r="E15933" i="1"/>
  <c r="D15933" i="1"/>
  <c r="E15932" i="1"/>
  <c r="D15932" i="1"/>
  <c r="D15931" i="1"/>
  <c r="E15931" i="1" s="1"/>
  <c r="E15930" i="1"/>
  <c r="D15930" i="1"/>
  <c r="D15929" i="1"/>
  <c r="E15929" i="1" s="1"/>
  <c r="D15928" i="1"/>
  <c r="E15928" i="1" s="1"/>
  <c r="D15927" i="1"/>
  <c r="E15927" i="1" s="1"/>
  <c r="D15926" i="1"/>
  <c r="E15926" i="1" s="1"/>
  <c r="D15925" i="1"/>
  <c r="E15925" i="1" s="1"/>
  <c r="D15924" i="1"/>
  <c r="E15924" i="1" s="1"/>
  <c r="D15923" i="1"/>
  <c r="E15923" i="1" s="1"/>
  <c r="D15922" i="1"/>
  <c r="E15922" i="1" s="1"/>
  <c r="D15921" i="1"/>
  <c r="E15921" i="1" s="1"/>
  <c r="E15920" i="1"/>
  <c r="D15920" i="1"/>
  <c r="D15919" i="1"/>
  <c r="E15919" i="1" s="1"/>
  <c r="E15918" i="1"/>
  <c r="D15918" i="1"/>
  <c r="D15917" i="1"/>
  <c r="E15917" i="1" s="1"/>
  <c r="D15916" i="1"/>
  <c r="E15916" i="1" s="1"/>
  <c r="D15915" i="1"/>
  <c r="E15915" i="1" s="1"/>
  <c r="D15914" i="1"/>
  <c r="E15914" i="1" s="1"/>
  <c r="D15913" i="1"/>
  <c r="E15913" i="1" s="1"/>
  <c r="D15912" i="1"/>
  <c r="E15912" i="1" s="1"/>
  <c r="D15911" i="1"/>
  <c r="E15911" i="1" s="1"/>
  <c r="D15910" i="1"/>
  <c r="E15910" i="1" s="1"/>
  <c r="E15909" i="1"/>
  <c r="D15909" i="1"/>
  <c r="E15908" i="1"/>
  <c r="D15908" i="1"/>
  <c r="D15907" i="1"/>
  <c r="E15907" i="1" s="1"/>
  <c r="E15906" i="1"/>
  <c r="D15906" i="1"/>
  <c r="E15905" i="1"/>
  <c r="D15905" i="1"/>
  <c r="D15904" i="1"/>
  <c r="E15904" i="1" s="1"/>
  <c r="E15903" i="1"/>
  <c r="D15903" i="1"/>
  <c r="D15902" i="1"/>
  <c r="E15902" i="1" s="1"/>
  <c r="D15901" i="1"/>
  <c r="E15901" i="1" s="1"/>
  <c r="D15900" i="1"/>
  <c r="E15900" i="1" s="1"/>
  <c r="D15899" i="1"/>
  <c r="E15899" i="1" s="1"/>
  <c r="D15898" i="1"/>
  <c r="E15898" i="1" s="1"/>
  <c r="E15897" i="1"/>
  <c r="D15897" i="1"/>
  <c r="E15896" i="1"/>
  <c r="D15896" i="1"/>
  <c r="D15895" i="1"/>
  <c r="E15895" i="1" s="1"/>
  <c r="E15894" i="1"/>
  <c r="D15894" i="1"/>
  <c r="E15893" i="1"/>
  <c r="D15893" i="1"/>
  <c r="D15892" i="1"/>
  <c r="E15892" i="1" s="1"/>
  <c r="D15891" i="1"/>
  <c r="E15891" i="1" s="1"/>
  <c r="E15890" i="1"/>
  <c r="D15890" i="1"/>
  <c r="D15889" i="1"/>
  <c r="E15889" i="1" s="1"/>
  <c r="D15888" i="1"/>
  <c r="E15888" i="1" s="1"/>
  <c r="D15887" i="1"/>
  <c r="E15887" i="1" s="1"/>
  <c r="D15886" i="1"/>
  <c r="E15886" i="1" s="1"/>
  <c r="D15885" i="1"/>
  <c r="E15885" i="1" s="1"/>
  <c r="E15884" i="1"/>
  <c r="D15884" i="1"/>
  <c r="D15883" i="1"/>
  <c r="E15883" i="1" s="1"/>
  <c r="E15882" i="1"/>
  <c r="D15882" i="1"/>
  <c r="E15881" i="1"/>
  <c r="D15881" i="1"/>
  <c r="D15880" i="1"/>
  <c r="E15880" i="1" s="1"/>
  <c r="E15879" i="1"/>
  <c r="D15879" i="1"/>
  <c r="E15878" i="1"/>
  <c r="D15878" i="1"/>
  <c r="D15877" i="1"/>
  <c r="E15877" i="1" s="1"/>
  <c r="D15876" i="1"/>
  <c r="E15876" i="1" s="1"/>
  <c r="D15875" i="1"/>
  <c r="E15875" i="1" s="1"/>
  <c r="E15874" i="1"/>
  <c r="D15874" i="1"/>
  <c r="D15873" i="1"/>
  <c r="E15873" i="1" s="1"/>
  <c r="E15872" i="1"/>
  <c r="D15872" i="1"/>
  <c r="D15871" i="1"/>
  <c r="E15871" i="1" s="1"/>
  <c r="E15870" i="1"/>
  <c r="D15870" i="1"/>
  <c r="E15869" i="1"/>
  <c r="D15869" i="1"/>
  <c r="D15868" i="1"/>
  <c r="E15868" i="1" s="1"/>
  <c r="E15867" i="1"/>
  <c r="D15867" i="1"/>
  <c r="E15866" i="1"/>
  <c r="D15866" i="1"/>
  <c r="D15865" i="1"/>
  <c r="E15865" i="1" s="1"/>
  <c r="D15864" i="1"/>
  <c r="E15864" i="1" s="1"/>
  <c r="D15863" i="1"/>
  <c r="E15863" i="1" s="1"/>
  <c r="E15862" i="1"/>
  <c r="D15862" i="1"/>
  <c r="E15861" i="1"/>
  <c r="D15861" i="1"/>
  <c r="E15860" i="1"/>
  <c r="D15860" i="1"/>
  <c r="D15859" i="1"/>
  <c r="E15859" i="1" s="1"/>
  <c r="E15858" i="1"/>
  <c r="D15858" i="1"/>
  <c r="D15857" i="1"/>
  <c r="E15857" i="1" s="1"/>
  <c r="D15856" i="1"/>
  <c r="E15856" i="1" s="1"/>
  <c r="D15855" i="1"/>
  <c r="E15855" i="1" s="1"/>
  <c r="E15854" i="1"/>
  <c r="D15854" i="1"/>
  <c r="D15853" i="1"/>
  <c r="E15853" i="1" s="1"/>
  <c r="D15852" i="1"/>
  <c r="E15852" i="1" s="1"/>
  <c r="D15851" i="1"/>
  <c r="E15851" i="1" s="1"/>
  <c r="E15850" i="1"/>
  <c r="D15850" i="1"/>
  <c r="D15849" i="1"/>
  <c r="E15849" i="1" s="1"/>
  <c r="D15848" i="1"/>
  <c r="E15848" i="1" s="1"/>
  <c r="D15847" i="1"/>
  <c r="E15847" i="1" s="1"/>
  <c r="E15846" i="1"/>
  <c r="D15846" i="1"/>
  <c r="D15845" i="1"/>
  <c r="E15845" i="1" s="1"/>
  <c r="D15844" i="1"/>
  <c r="E15844" i="1" s="1"/>
  <c r="D15843" i="1"/>
  <c r="E15843" i="1" s="1"/>
  <c r="D15842" i="1"/>
  <c r="E15842" i="1" s="1"/>
  <c r="D15841" i="1"/>
  <c r="E15841" i="1" s="1"/>
  <c r="D15840" i="1"/>
  <c r="E15840" i="1" s="1"/>
  <c r="D15839" i="1"/>
  <c r="E15839" i="1" s="1"/>
  <c r="E15838" i="1"/>
  <c r="D15838" i="1"/>
  <c r="D15837" i="1"/>
  <c r="E15837" i="1" s="1"/>
  <c r="D15836" i="1"/>
  <c r="E15836" i="1" s="1"/>
  <c r="D15835" i="1"/>
  <c r="E15835" i="1" s="1"/>
  <c r="E15834" i="1"/>
  <c r="D15834" i="1"/>
  <c r="D15833" i="1"/>
  <c r="E15833" i="1" s="1"/>
  <c r="D15832" i="1"/>
  <c r="E15832" i="1" s="1"/>
  <c r="E15831" i="1"/>
  <c r="D15831" i="1"/>
  <c r="D15830" i="1"/>
  <c r="E15830" i="1" s="1"/>
  <c r="D15829" i="1"/>
  <c r="E15829" i="1" s="1"/>
  <c r="D15828" i="1"/>
  <c r="E15828" i="1" s="1"/>
  <c r="D15827" i="1"/>
  <c r="E15827" i="1" s="1"/>
  <c r="D15826" i="1"/>
  <c r="E15826" i="1" s="1"/>
  <c r="E15825" i="1"/>
  <c r="D15825" i="1"/>
  <c r="D15824" i="1"/>
  <c r="E15824" i="1" s="1"/>
  <c r="D15823" i="1"/>
  <c r="E15823" i="1" s="1"/>
  <c r="E15822" i="1"/>
  <c r="D15822" i="1"/>
  <c r="D15821" i="1"/>
  <c r="E15821" i="1" s="1"/>
  <c r="D15820" i="1"/>
  <c r="E15820" i="1" s="1"/>
  <c r="D15819" i="1"/>
  <c r="E15819" i="1" s="1"/>
  <c r="D15818" i="1"/>
  <c r="E15818" i="1" s="1"/>
  <c r="D15817" i="1"/>
  <c r="E15817" i="1" s="1"/>
  <c r="D15816" i="1"/>
  <c r="E15816" i="1" s="1"/>
  <c r="D15815" i="1"/>
  <c r="E15815" i="1" s="1"/>
  <c r="E15814" i="1"/>
  <c r="D15814" i="1"/>
  <c r="D15813" i="1"/>
  <c r="E15813" i="1" s="1"/>
  <c r="D15812" i="1"/>
  <c r="E15812" i="1" s="1"/>
  <c r="D15811" i="1"/>
  <c r="E15811" i="1" s="1"/>
  <c r="E15810" i="1"/>
  <c r="D15810" i="1"/>
  <c r="E15809" i="1"/>
  <c r="D15809" i="1"/>
  <c r="D15808" i="1"/>
  <c r="E15808" i="1" s="1"/>
  <c r="E15807" i="1"/>
  <c r="D15807" i="1"/>
  <c r="E15806" i="1"/>
  <c r="D15806" i="1"/>
  <c r="D15805" i="1"/>
  <c r="E15805" i="1" s="1"/>
  <c r="D15804" i="1"/>
  <c r="E15804" i="1" s="1"/>
  <c r="D15803" i="1"/>
  <c r="E15803" i="1" s="1"/>
  <c r="D15802" i="1"/>
  <c r="E15802" i="1" s="1"/>
  <c r="D15801" i="1"/>
  <c r="E15801" i="1" s="1"/>
  <c r="E15800" i="1"/>
  <c r="D15800" i="1"/>
  <c r="D15799" i="1"/>
  <c r="E15799" i="1" s="1"/>
  <c r="E15798" i="1"/>
  <c r="D15798" i="1"/>
  <c r="D15797" i="1"/>
  <c r="E15797" i="1" s="1"/>
  <c r="D15796" i="1"/>
  <c r="E15796" i="1" s="1"/>
  <c r="D15795" i="1"/>
  <c r="E15795" i="1" s="1"/>
  <c r="D15794" i="1"/>
  <c r="E15794" i="1" s="1"/>
  <c r="E15793" i="1"/>
  <c r="D15793" i="1"/>
  <c r="D15792" i="1"/>
  <c r="E15792" i="1" s="1"/>
  <c r="D15791" i="1"/>
  <c r="E15791" i="1" s="1"/>
  <c r="D15790" i="1"/>
  <c r="E15790" i="1" s="1"/>
  <c r="D15789" i="1"/>
  <c r="E15789" i="1" s="1"/>
  <c r="D15788" i="1"/>
  <c r="E15788" i="1" s="1"/>
  <c r="D15787" i="1"/>
  <c r="E15787" i="1" s="1"/>
  <c r="E15786" i="1"/>
  <c r="D15786" i="1"/>
  <c r="D15785" i="1"/>
  <c r="E15785" i="1" s="1"/>
  <c r="D15784" i="1"/>
  <c r="E15784" i="1" s="1"/>
  <c r="D15783" i="1"/>
  <c r="E15783" i="1" s="1"/>
  <c r="E15782" i="1"/>
  <c r="D15782" i="1"/>
  <c r="D15781" i="1"/>
  <c r="E15781" i="1" s="1"/>
  <c r="D15780" i="1"/>
  <c r="E15780" i="1" s="1"/>
  <c r="D15779" i="1"/>
  <c r="E15779" i="1" s="1"/>
  <c r="E15778" i="1"/>
  <c r="D15778" i="1"/>
  <c r="E15777" i="1"/>
  <c r="D15777" i="1"/>
  <c r="D15776" i="1"/>
  <c r="E15776" i="1" s="1"/>
  <c r="D15775" i="1"/>
  <c r="E15775" i="1" s="1"/>
  <c r="E15774" i="1"/>
  <c r="D15774" i="1"/>
  <c r="E15773" i="1"/>
  <c r="D15773" i="1"/>
  <c r="D15772" i="1"/>
  <c r="E15772" i="1" s="1"/>
  <c r="E15771" i="1"/>
  <c r="D15771" i="1"/>
  <c r="D15770" i="1"/>
  <c r="E15770" i="1" s="1"/>
  <c r="D15769" i="1"/>
  <c r="E15769" i="1" s="1"/>
  <c r="D15768" i="1"/>
  <c r="E15768" i="1" s="1"/>
  <c r="D15767" i="1"/>
  <c r="E15767" i="1" s="1"/>
  <c r="D15766" i="1"/>
  <c r="E15766" i="1" s="1"/>
  <c r="D15765" i="1"/>
  <c r="E15765" i="1" s="1"/>
  <c r="E15764" i="1"/>
  <c r="D15764" i="1"/>
  <c r="D15763" i="1"/>
  <c r="E15763" i="1" s="1"/>
  <c r="E15762" i="1"/>
  <c r="D15762" i="1"/>
  <c r="E15761" i="1"/>
  <c r="D15761" i="1"/>
  <c r="D15760" i="1"/>
  <c r="E15760" i="1" s="1"/>
  <c r="D15759" i="1"/>
  <c r="E15759" i="1" s="1"/>
  <c r="D15758" i="1"/>
  <c r="E15758" i="1" s="1"/>
  <c r="E15757" i="1"/>
  <c r="D15757" i="1"/>
  <c r="D15756" i="1"/>
  <c r="E15756" i="1" s="1"/>
  <c r="D15755" i="1"/>
  <c r="E15755" i="1" s="1"/>
  <c r="D15754" i="1"/>
  <c r="E15754" i="1" s="1"/>
  <c r="E15753" i="1"/>
  <c r="D15753" i="1"/>
  <c r="D15752" i="1"/>
  <c r="E15752" i="1" s="1"/>
  <c r="D15751" i="1"/>
  <c r="E15751" i="1" s="1"/>
  <c r="E15750" i="1"/>
  <c r="D15750" i="1"/>
  <c r="D15749" i="1"/>
  <c r="E15749" i="1" s="1"/>
  <c r="D15748" i="1"/>
  <c r="E15748" i="1" s="1"/>
  <c r="D15747" i="1"/>
  <c r="E15747" i="1" s="1"/>
  <c r="D15746" i="1"/>
  <c r="E15746" i="1" s="1"/>
  <c r="D15745" i="1"/>
  <c r="E15745" i="1" s="1"/>
  <c r="D15744" i="1"/>
  <c r="E15744" i="1" s="1"/>
  <c r="D15743" i="1"/>
  <c r="E15743" i="1" s="1"/>
  <c r="E15742" i="1"/>
  <c r="D15742" i="1"/>
  <c r="D15741" i="1"/>
  <c r="E15741" i="1" s="1"/>
  <c r="D15740" i="1"/>
  <c r="E15740" i="1" s="1"/>
  <c r="D15739" i="1"/>
  <c r="E15739" i="1" s="1"/>
  <c r="E15738" i="1"/>
  <c r="D15738" i="1"/>
  <c r="E15737" i="1"/>
  <c r="D15737" i="1"/>
  <c r="D15736" i="1"/>
  <c r="E15736" i="1" s="1"/>
  <c r="E15735" i="1"/>
  <c r="D15735" i="1"/>
  <c r="E15734" i="1"/>
  <c r="D15734" i="1"/>
  <c r="D15733" i="1"/>
  <c r="E15733" i="1" s="1"/>
  <c r="D15732" i="1"/>
  <c r="E15732" i="1" s="1"/>
  <c r="D15731" i="1"/>
  <c r="E15731" i="1" s="1"/>
  <c r="D15730" i="1"/>
  <c r="E15730" i="1" s="1"/>
  <c r="D15729" i="1"/>
  <c r="E15729" i="1" s="1"/>
  <c r="E15728" i="1"/>
  <c r="D15728" i="1"/>
  <c r="D15727" i="1"/>
  <c r="E15727" i="1" s="1"/>
  <c r="E15726" i="1"/>
  <c r="D15726" i="1"/>
  <c r="D15725" i="1"/>
  <c r="E15725" i="1" s="1"/>
  <c r="D15724" i="1"/>
  <c r="E15724" i="1" s="1"/>
  <c r="D15723" i="1"/>
  <c r="E15723" i="1" s="1"/>
  <c r="D15722" i="1"/>
  <c r="E15722" i="1" s="1"/>
  <c r="E15721" i="1"/>
  <c r="D15721" i="1"/>
  <c r="E15720" i="1"/>
  <c r="D15720" i="1"/>
  <c r="D15719" i="1"/>
  <c r="E15719" i="1" s="1"/>
  <c r="E15718" i="1"/>
  <c r="D15718" i="1"/>
  <c r="E15717" i="1"/>
  <c r="D15717" i="1"/>
  <c r="E15716" i="1"/>
  <c r="D15716" i="1"/>
  <c r="D15715" i="1"/>
  <c r="E15715" i="1" s="1"/>
  <c r="E15714" i="1"/>
  <c r="D15714" i="1"/>
  <c r="D15713" i="1"/>
  <c r="E15713" i="1" s="1"/>
  <c r="D15712" i="1"/>
  <c r="E15712" i="1" s="1"/>
  <c r="D15711" i="1"/>
  <c r="E15711" i="1" s="1"/>
  <c r="D15710" i="1"/>
  <c r="E15710" i="1" s="1"/>
  <c r="E15709" i="1"/>
  <c r="D15709" i="1"/>
  <c r="D15708" i="1"/>
  <c r="E15708" i="1" s="1"/>
  <c r="D15707" i="1"/>
  <c r="E15707" i="1" s="1"/>
  <c r="E15706" i="1"/>
  <c r="D15706" i="1"/>
  <c r="D15705" i="1"/>
  <c r="E15705" i="1" s="1"/>
  <c r="D15704" i="1"/>
  <c r="E15704" i="1" s="1"/>
  <c r="D15703" i="1"/>
  <c r="E15703" i="1" s="1"/>
  <c r="E15702" i="1"/>
  <c r="D15702" i="1"/>
  <c r="D15701" i="1"/>
  <c r="E15701" i="1" s="1"/>
  <c r="D15700" i="1"/>
  <c r="E15700" i="1" s="1"/>
  <c r="D15699" i="1"/>
  <c r="E15699" i="1" s="1"/>
  <c r="D15698" i="1"/>
  <c r="E15698" i="1" s="1"/>
  <c r="E15697" i="1"/>
  <c r="D15697" i="1"/>
  <c r="D15696" i="1"/>
  <c r="E15696" i="1" s="1"/>
  <c r="D15695" i="1"/>
  <c r="E15695" i="1" s="1"/>
  <c r="D15694" i="1"/>
  <c r="E15694" i="1" s="1"/>
  <c r="D15693" i="1"/>
  <c r="E15693" i="1" s="1"/>
  <c r="D15692" i="1"/>
  <c r="E15692" i="1" s="1"/>
  <c r="D15691" i="1"/>
  <c r="E15691" i="1" s="1"/>
  <c r="D15690" i="1"/>
  <c r="E15690" i="1" s="1"/>
  <c r="D15689" i="1"/>
  <c r="E15689" i="1" s="1"/>
  <c r="D15688" i="1"/>
  <c r="E15688" i="1" s="1"/>
  <c r="D15687" i="1"/>
  <c r="E15687" i="1" s="1"/>
  <c r="D15686" i="1"/>
  <c r="E15686" i="1" s="1"/>
  <c r="E15685" i="1"/>
  <c r="D15685" i="1"/>
  <c r="D15684" i="1"/>
  <c r="E15684" i="1" s="1"/>
  <c r="D15683" i="1"/>
  <c r="E15683" i="1" s="1"/>
  <c r="D15682" i="1"/>
  <c r="E15682" i="1" s="1"/>
  <c r="D15681" i="1"/>
  <c r="E15681" i="1" s="1"/>
  <c r="E15680" i="1"/>
  <c r="D15680" i="1"/>
  <c r="D15679" i="1"/>
  <c r="E15679" i="1" s="1"/>
  <c r="D15678" i="1"/>
  <c r="E15678" i="1" s="1"/>
  <c r="E15677" i="1"/>
  <c r="D15677" i="1"/>
  <c r="D15676" i="1"/>
  <c r="E15676" i="1" s="1"/>
  <c r="D15675" i="1"/>
  <c r="E15675" i="1" s="1"/>
  <c r="D15674" i="1"/>
  <c r="E15674" i="1" s="1"/>
  <c r="E15673" i="1"/>
  <c r="D15673" i="1"/>
  <c r="D15672" i="1"/>
  <c r="E15672" i="1" s="1"/>
  <c r="D15671" i="1"/>
  <c r="E15671" i="1" s="1"/>
  <c r="D15670" i="1"/>
  <c r="E15670" i="1" s="1"/>
  <c r="D15669" i="1"/>
  <c r="E15669" i="1" s="1"/>
  <c r="E15668" i="1"/>
  <c r="D15668" i="1"/>
  <c r="D15667" i="1"/>
  <c r="E15667" i="1" s="1"/>
  <c r="E15666" i="1"/>
  <c r="D15666" i="1"/>
  <c r="E15665" i="1"/>
  <c r="D15665" i="1"/>
  <c r="D15664" i="1"/>
  <c r="E15664" i="1" s="1"/>
  <c r="E15663" i="1"/>
  <c r="D15663" i="1"/>
  <c r="E15662" i="1"/>
  <c r="D15662" i="1"/>
  <c r="E15661" i="1"/>
  <c r="D15661" i="1"/>
  <c r="D15660" i="1"/>
  <c r="E15660" i="1" s="1"/>
  <c r="D15659" i="1"/>
  <c r="E15659" i="1" s="1"/>
  <c r="D15658" i="1"/>
  <c r="E15658" i="1" s="1"/>
  <c r="D15657" i="1"/>
  <c r="E15657" i="1" s="1"/>
  <c r="E15656" i="1"/>
  <c r="D15656" i="1"/>
  <c r="D15655" i="1"/>
  <c r="E15655" i="1" s="1"/>
  <c r="E15654" i="1"/>
  <c r="D15654" i="1"/>
  <c r="D15653" i="1"/>
  <c r="E15653" i="1" s="1"/>
  <c r="D15652" i="1"/>
  <c r="E15652" i="1" s="1"/>
  <c r="E15651" i="1"/>
  <c r="D15651" i="1"/>
  <c r="D15650" i="1"/>
  <c r="E15650" i="1" s="1"/>
  <c r="D15649" i="1"/>
  <c r="E15649" i="1" s="1"/>
  <c r="D15648" i="1"/>
  <c r="E15648" i="1" s="1"/>
  <c r="D15647" i="1"/>
  <c r="E15647" i="1" s="1"/>
  <c r="D15646" i="1"/>
  <c r="E15646" i="1" s="1"/>
  <c r="D15645" i="1"/>
  <c r="E15645" i="1" s="1"/>
  <c r="E15644" i="1"/>
  <c r="D15644" i="1"/>
  <c r="D15643" i="1"/>
  <c r="E15643" i="1" s="1"/>
  <c r="E15642" i="1"/>
  <c r="D15642" i="1"/>
  <c r="D15641" i="1"/>
  <c r="E15641" i="1" s="1"/>
  <c r="D15640" i="1"/>
  <c r="E15640" i="1" s="1"/>
  <c r="D15639" i="1"/>
  <c r="E15639" i="1" s="1"/>
  <c r="D15638" i="1"/>
  <c r="E15638" i="1" s="1"/>
  <c r="D15637" i="1"/>
  <c r="E15637" i="1" s="1"/>
  <c r="E15636" i="1"/>
  <c r="D15636" i="1"/>
  <c r="D15635" i="1"/>
  <c r="E15635" i="1" s="1"/>
  <c r="D15634" i="1"/>
  <c r="E15634" i="1" s="1"/>
  <c r="D15633" i="1"/>
  <c r="E15633" i="1" s="1"/>
  <c r="E15632" i="1"/>
  <c r="D15632" i="1"/>
  <c r="D15631" i="1"/>
  <c r="E15631" i="1" s="1"/>
  <c r="E15630" i="1"/>
  <c r="D15630" i="1"/>
  <c r="D15629" i="1"/>
  <c r="E15629" i="1" s="1"/>
  <c r="D15628" i="1"/>
  <c r="E15628" i="1" s="1"/>
  <c r="D15627" i="1"/>
  <c r="E15627" i="1" s="1"/>
  <c r="D15626" i="1"/>
  <c r="E15626" i="1" s="1"/>
  <c r="E15625" i="1"/>
  <c r="D15625" i="1"/>
  <c r="E15624" i="1"/>
  <c r="D15624" i="1"/>
  <c r="D15623" i="1"/>
  <c r="E15623" i="1" s="1"/>
  <c r="E15622" i="1"/>
  <c r="D15622" i="1"/>
  <c r="E15621" i="1"/>
  <c r="D15621" i="1"/>
  <c r="E15620" i="1"/>
  <c r="D15620" i="1"/>
  <c r="D15619" i="1"/>
  <c r="E15619" i="1" s="1"/>
  <c r="E15618" i="1"/>
  <c r="D15618" i="1"/>
  <c r="D15617" i="1"/>
  <c r="E15617" i="1" s="1"/>
  <c r="D15616" i="1"/>
  <c r="E15616" i="1" s="1"/>
  <c r="D15615" i="1"/>
  <c r="E15615" i="1" s="1"/>
  <c r="E15614" i="1"/>
  <c r="D15614" i="1"/>
  <c r="E15613" i="1"/>
  <c r="D15613" i="1"/>
  <c r="D15612" i="1"/>
  <c r="E15612" i="1" s="1"/>
  <c r="D15611" i="1"/>
  <c r="E15611" i="1" s="1"/>
  <c r="E15610" i="1"/>
  <c r="D15610" i="1"/>
  <c r="D15609" i="1"/>
  <c r="E15609" i="1" s="1"/>
  <c r="D15608" i="1"/>
  <c r="E15608" i="1" s="1"/>
  <c r="D15607" i="1"/>
  <c r="E15607" i="1" s="1"/>
  <c r="E15606" i="1"/>
  <c r="D15606" i="1"/>
  <c r="D15605" i="1"/>
  <c r="E15605" i="1" s="1"/>
  <c r="D15604" i="1"/>
  <c r="E15604" i="1" s="1"/>
  <c r="D15603" i="1"/>
  <c r="E15603" i="1" s="1"/>
  <c r="D15602" i="1"/>
  <c r="E15602" i="1" s="1"/>
  <c r="E15601" i="1"/>
  <c r="D15601" i="1"/>
  <c r="D15600" i="1"/>
  <c r="E15600" i="1" s="1"/>
  <c r="D15599" i="1"/>
  <c r="E15599" i="1" s="1"/>
  <c r="D15598" i="1"/>
  <c r="E15598" i="1" s="1"/>
  <c r="D15597" i="1"/>
  <c r="E15597" i="1" s="1"/>
  <c r="D15596" i="1"/>
  <c r="E15596" i="1" s="1"/>
  <c r="D15595" i="1"/>
  <c r="E15595" i="1" s="1"/>
  <c r="D15594" i="1"/>
  <c r="E15594" i="1" s="1"/>
  <c r="D15593" i="1"/>
  <c r="E15593" i="1" s="1"/>
  <c r="D15592" i="1"/>
  <c r="E15592" i="1" s="1"/>
  <c r="D15591" i="1"/>
  <c r="E15591" i="1" s="1"/>
  <c r="D15590" i="1"/>
  <c r="E15590" i="1" s="1"/>
  <c r="E15589" i="1"/>
  <c r="D15589" i="1"/>
  <c r="D15588" i="1"/>
  <c r="E15588" i="1" s="1"/>
  <c r="D15587" i="1"/>
  <c r="E15587" i="1" s="1"/>
  <c r="D15586" i="1"/>
  <c r="E15586" i="1" s="1"/>
  <c r="D15585" i="1"/>
  <c r="E15585" i="1" s="1"/>
  <c r="E15584" i="1"/>
  <c r="D15584" i="1"/>
  <c r="D15583" i="1"/>
  <c r="E15583" i="1" s="1"/>
  <c r="D15582" i="1"/>
  <c r="E15582" i="1" s="1"/>
  <c r="E15581" i="1"/>
  <c r="D15581" i="1"/>
  <c r="D15580" i="1"/>
  <c r="E15580" i="1" s="1"/>
  <c r="D15579" i="1"/>
  <c r="E15579" i="1" s="1"/>
  <c r="D15578" i="1"/>
  <c r="E15578" i="1" s="1"/>
  <c r="E15577" i="1"/>
  <c r="D15577" i="1"/>
  <c r="D15576" i="1"/>
  <c r="E15576" i="1" s="1"/>
  <c r="D15575" i="1"/>
  <c r="E15575" i="1" s="1"/>
  <c r="E15574" i="1"/>
  <c r="D15574" i="1"/>
  <c r="D15573" i="1"/>
  <c r="E15573" i="1" s="1"/>
  <c r="D15572" i="1"/>
  <c r="E15572" i="1" s="1"/>
  <c r="D15571" i="1"/>
  <c r="E15571" i="1" s="1"/>
  <c r="D15570" i="1"/>
  <c r="E15570" i="1" s="1"/>
  <c r="D15569" i="1"/>
  <c r="E15569" i="1" s="1"/>
  <c r="D15568" i="1"/>
  <c r="E15568" i="1" s="1"/>
  <c r="D15567" i="1"/>
  <c r="E15567" i="1" s="1"/>
  <c r="D15566" i="1"/>
  <c r="E15566" i="1" s="1"/>
  <c r="D15565" i="1"/>
  <c r="E15565" i="1" s="1"/>
  <c r="E15564" i="1"/>
  <c r="D15564" i="1"/>
  <c r="D15563" i="1"/>
  <c r="E15563" i="1" s="1"/>
  <c r="D15562" i="1"/>
  <c r="E15562" i="1" s="1"/>
  <c r="E15561" i="1"/>
  <c r="D15561" i="1"/>
  <c r="D15560" i="1"/>
  <c r="E15560" i="1" s="1"/>
  <c r="D15559" i="1"/>
  <c r="E15559" i="1" s="1"/>
  <c r="D15558" i="1"/>
  <c r="E15558" i="1" s="1"/>
  <c r="D15557" i="1"/>
  <c r="E15557" i="1" s="1"/>
  <c r="D15556" i="1"/>
  <c r="E15556" i="1" s="1"/>
  <c r="D15555" i="1"/>
  <c r="E15555" i="1" s="1"/>
  <c r="D15554" i="1"/>
  <c r="E15554" i="1" s="1"/>
  <c r="D15553" i="1"/>
  <c r="E15553" i="1" s="1"/>
  <c r="D15552" i="1"/>
  <c r="E15552" i="1" s="1"/>
  <c r="E15551" i="1"/>
  <c r="D15551" i="1"/>
  <c r="D15550" i="1"/>
  <c r="E15550" i="1" s="1"/>
  <c r="D15549" i="1"/>
  <c r="E15549" i="1" s="1"/>
  <c r="E15548" i="1"/>
  <c r="D15548" i="1"/>
  <c r="D15547" i="1"/>
  <c r="E15547" i="1" s="1"/>
  <c r="E15546" i="1"/>
  <c r="D15546" i="1"/>
  <c r="D15545" i="1"/>
  <c r="E15545" i="1" s="1"/>
  <c r="D15544" i="1"/>
  <c r="E15544" i="1" s="1"/>
  <c r="E15543" i="1"/>
  <c r="D15543" i="1"/>
  <c r="D15542" i="1"/>
  <c r="E15542" i="1" s="1"/>
  <c r="D15541" i="1"/>
  <c r="E15541" i="1" s="1"/>
  <c r="D15540" i="1"/>
  <c r="E15540" i="1" s="1"/>
  <c r="D15539" i="1"/>
  <c r="E15539" i="1" s="1"/>
  <c r="E15538" i="1"/>
  <c r="D15538" i="1"/>
  <c r="D15537" i="1"/>
  <c r="E15537" i="1" s="1"/>
  <c r="D15536" i="1"/>
  <c r="E15536" i="1" s="1"/>
  <c r="D15535" i="1"/>
  <c r="E15535" i="1" s="1"/>
  <c r="E15534" i="1"/>
  <c r="D15534" i="1"/>
  <c r="E15533" i="1"/>
  <c r="D15533" i="1"/>
  <c r="D15532" i="1"/>
  <c r="E15532" i="1" s="1"/>
  <c r="E15531" i="1"/>
  <c r="D15531" i="1"/>
  <c r="E15530" i="1"/>
  <c r="D15530" i="1"/>
  <c r="D15529" i="1"/>
  <c r="E15529" i="1" s="1"/>
  <c r="D15528" i="1"/>
  <c r="E15528" i="1" s="1"/>
  <c r="D15527" i="1"/>
  <c r="E15527" i="1" s="1"/>
  <c r="D15526" i="1"/>
  <c r="E15526" i="1" s="1"/>
  <c r="E15525" i="1"/>
  <c r="D15525" i="1"/>
  <c r="D15524" i="1"/>
  <c r="E15524" i="1" s="1"/>
  <c r="D15523" i="1"/>
  <c r="E15523" i="1" s="1"/>
  <c r="D15522" i="1"/>
  <c r="E15522" i="1" s="1"/>
  <c r="E15521" i="1"/>
  <c r="D15521" i="1"/>
  <c r="D15520" i="1"/>
  <c r="E15520" i="1" s="1"/>
  <c r="D15519" i="1"/>
  <c r="E15519" i="1" s="1"/>
  <c r="E15518" i="1"/>
  <c r="D15518" i="1"/>
  <c r="E15517" i="1"/>
  <c r="D15517" i="1"/>
  <c r="D15516" i="1"/>
  <c r="E15516" i="1" s="1"/>
  <c r="D15515" i="1"/>
  <c r="E15515" i="1" s="1"/>
  <c r="D15514" i="1"/>
  <c r="E15514" i="1" s="1"/>
  <c r="D15513" i="1"/>
  <c r="E15513" i="1" s="1"/>
  <c r="E15512" i="1"/>
  <c r="D15512" i="1"/>
  <c r="D15511" i="1"/>
  <c r="E15511" i="1" s="1"/>
  <c r="E15510" i="1"/>
  <c r="D15510" i="1"/>
  <c r="D15509" i="1"/>
  <c r="E15509" i="1" s="1"/>
  <c r="D15508" i="1"/>
  <c r="E15508" i="1" s="1"/>
  <c r="D15507" i="1"/>
  <c r="E15507" i="1" s="1"/>
  <c r="D15506" i="1"/>
  <c r="E15506" i="1" s="1"/>
  <c r="E15505" i="1"/>
  <c r="D15505" i="1"/>
  <c r="E15504" i="1"/>
  <c r="D15504" i="1"/>
  <c r="D15503" i="1"/>
  <c r="E15503" i="1" s="1"/>
  <c r="D15502" i="1"/>
  <c r="E15502" i="1" s="1"/>
  <c r="D15501" i="1"/>
  <c r="E15501" i="1" s="1"/>
  <c r="D15500" i="1"/>
  <c r="E15500" i="1" s="1"/>
  <c r="D15499" i="1"/>
  <c r="E15499" i="1" s="1"/>
  <c r="E15498" i="1"/>
  <c r="D15498" i="1"/>
  <c r="E15497" i="1"/>
  <c r="D15497" i="1"/>
  <c r="D15496" i="1"/>
  <c r="E15496" i="1" s="1"/>
  <c r="E15495" i="1"/>
  <c r="D15495" i="1"/>
  <c r="D15494" i="1"/>
  <c r="E15494" i="1" s="1"/>
  <c r="D15493" i="1"/>
  <c r="E15493" i="1" s="1"/>
  <c r="E15492" i="1"/>
  <c r="D15492" i="1"/>
  <c r="E15491" i="1"/>
  <c r="D15491" i="1"/>
  <c r="D15490" i="1"/>
  <c r="E15490" i="1" s="1"/>
  <c r="D15489" i="1"/>
  <c r="E15489" i="1" s="1"/>
  <c r="D15488" i="1"/>
  <c r="E15488" i="1" s="1"/>
  <c r="D15487" i="1"/>
  <c r="E15487" i="1" s="1"/>
  <c r="E15486" i="1"/>
  <c r="D15486" i="1"/>
  <c r="D15485" i="1"/>
  <c r="E15485" i="1" s="1"/>
  <c r="D15484" i="1"/>
  <c r="E15484" i="1" s="1"/>
  <c r="D15483" i="1"/>
  <c r="E15483" i="1" s="1"/>
  <c r="E15482" i="1"/>
  <c r="D15482" i="1"/>
  <c r="E15481" i="1"/>
  <c r="D15481" i="1"/>
  <c r="D15480" i="1"/>
  <c r="E15480" i="1" s="1"/>
  <c r="D15479" i="1"/>
  <c r="E15479" i="1" s="1"/>
  <c r="D15478" i="1"/>
  <c r="E15478" i="1" s="1"/>
  <c r="E15477" i="1"/>
  <c r="D15477" i="1"/>
  <c r="E15476" i="1"/>
  <c r="D15476" i="1"/>
  <c r="E15475" i="1"/>
  <c r="D15475" i="1"/>
  <c r="D15474" i="1"/>
  <c r="E15474" i="1" s="1"/>
  <c r="E15473" i="1"/>
  <c r="D15473" i="1"/>
  <c r="D15472" i="1"/>
  <c r="E15472" i="1" s="1"/>
  <c r="D15471" i="1"/>
  <c r="E15471" i="1" s="1"/>
  <c r="E15470" i="1"/>
  <c r="D15470" i="1"/>
  <c r="D15469" i="1"/>
  <c r="E15469" i="1" s="1"/>
  <c r="D15468" i="1"/>
  <c r="E15468" i="1" s="1"/>
  <c r="E15467" i="1"/>
  <c r="D15467" i="1"/>
  <c r="E15466" i="1"/>
  <c r="D15466" i="1"/>
  <c r="D15465" i="1"/>
  <c r="E15465" i="1" s="1"/>
  <c r="D15464" i="1"/>
  <c r="E15464" i="1" s="1"/>
  <c r="D15463" i="1"/>
  <c r="E15463" i="1" s="1"/>
  <c r="D15462" i="1"/>
  <c r="E15462" i="1" s="1"/>
  <c r="E15461" i="1"/>
  <c r="D15461" i="1"/>
  <c r="D15460" i="1"/>
  <c r="E15460" i="1" s="1"/>
  <c r="E15459" i="1"/>
  <c r="D15459" i="1"/>
  <c r="D15458" i="1"/>
  <c r="E15458" i="1" s="1"/>
  <c r="E15457" i="1"/>
  <c r="D15457" i="1"/>
  <c r="E15456" i="1"/>
  <c r="D15456" i="1"/>
  <c r="D15455" i="1"/>
  <c r="E15455" i="1" s="1"/>
  <c r="D15454" i="1"/>
  <c r="E15454" i="1" s="1"/>
  <c r="D15453" i="1"/>
  <c r="E15453" i="1" s="1"/>
  <c r="E15452" i="1"/>
  <c r="D15452" i="1"/>
  <c r="E15451" i="1"/>
  <c r="D15451" i="1"/>
  <c r="E15450" i="1"/>
  <c r="D15450" i="1"/>
  <c r="D15449" i="1"/>
  <c r="E15449" i="1" s="1"/>
  <c r="D15448" i="1"/>
  <c r="E15448" i="1" s="1"/>
  <c r="D15447" i="1"/>
  <c r="E15447" i="1" s="1"/>
  <c r="D15446" i="1"/>
  <c r="E15446" i="1" s="1"/>
  <c r="E15445" i="1"/>
  <c r="D15445" i="1"/>
  <c r="D15444" i="1"/>
  <c r="E15444" i="1" s="1"/>
  <c r="D15443" i="1"/>
  <c r="E15443" i="1" s="1"/>
  <c r="E15442" i="1"/>
  <c r="D15442" i="1"/>
  <c r="E15441" i="1"/>
  <c r="D15441" i="1"/>
  <c r="D15440" i="1"/>
  <c r="E15440" i="1" s="1"/>
  <c r="D15439" i="1"/>
  <c r="E15439" i="1" s="1"/>
  <c r="D15438" i="1"/>
  <c r="E15438" i="1" s="1"/>
  <c r="D15437" i="1"/>
  <c r="E15437" i="1" s="1"/>
  <c r="D15436" i="1"/>
  <c r="E15436" i="1" s="1"/>
  <c r="E15435" i="1"/>
  <c r="D15435" i="1"/>
  <c r="E15434" i="1"/>
  <c r="D15434" i="1"/>
  <c r="D15433" i="1"/>
  <c r="E15433" i="1" s="1"/>
  <c r="E15432" i="1"/>
  <c r="D15432" i="1"/>
  <c r="E15431" i="1"/>
  <c r="D15431" i="1"/>
  <c r="D15430" i="1"/>
  <c r="E15430" i="1" s="1"/>
  <c r="D15429" i="1"/>
  <c r="E15429" i="1" s="1"/>
  <c r="D15428" i="1"/>
  <c r="E15428" i="1" s="1"/>
  <c r="E15427" i="1"/>
  <c r="D15427" i="1"/>
  <c r="E15426" i="1"/>
  <c r="D15426" i="1"/>
  <c r="E15425" i="1"/>
  <c r="D15425" i="1"/>
  <c r="D15424" i="1"/>
  <c r="E15424" i="1" s="1"/>
  <c r="E15423" i="1"/>
  <c r="D15423" i="1"/>
  <c r="D15422" i="1"/>
  <c r="E15422" i="1" s="1"/>
  <c r="D15421" i="1"/>
  <c r="E15421" i="1" s="1"/>
  <c r="E15420" i="1"/>
  <c r="D15420" i="1"/>
  <c r="D15419" i="1"/>
  <c r="E15419" i="1" s="1"/>
  <c r="D15418" i="1"/>
  <c r="E15418" i="1" s="1"/>
  <c r="E15417" i="1"/>
  <c r="D15417" i="1"/>
  <c r="E15416" i="1"/>
  <c r="D15416" i="1"/>
  <c r="D15415" i="1"/>
  <c r="E15415" i="1" s="1"/>
  <c r="D15414" i="1"/>
  <c r="E15414" i="1" s="1"/>
  <c r="D15413" i="1"/>
  <c r="E15413" i="1" s="1"/>
  <c r="D15412" i="1"/>
  <c r="E15412" i="1" s="1"/>
  <c r="D15411" i="1"/>
  <c r="E15411" i="1" s="1"/>
  <c r="E15410" i="1"/>
  <c r="D15410" i="1"/>
  <c r="E15409" i="1"/>
  <c r="D15409" i="1"/>
  <c r="D15408" i="1"/>
  <c r="E15408" i="1" s="1"/>
  <c r="E15407" i="1"/>
  <c r="D15407" i="1"/>
  <c r="E15406" i="1"/>
  <c r="D15406" i="1"/>
  <c r="D15405" i="1"/>
  <c r="E15405" i="1" s="1"/>
  <c r="D15404" i="1"/>
  <c r="E15404" i="1" s="1"/>
  <c r="D15403" i="1"/>
  <c r="E15403" i="1" s="1"/>
  <c r="E15402" i="1"/>
  <c r="D15402" i="1"/>
  <c r="E15401" i="1"/>
  <c r="D15401" i="1"/>
  <c r="D15400" i="1"/>
  <c r="E15400" i="1" s="1"/>
  <c r="D15399" i="1"/>
  <c r="E15399" i="1" s="1"/>
  <c r="E15398" i="1"/>
  <c r="D15398" i="1"/>
  <c r="D15397" i="1"/>
  <c r="E15397" i="1" s="1"/>
  <c r="D15396" i="1"/>
  <c r="E15396" i="1" s="1"/>
  <c r="E15395" i="1"/>
  <c r="D15395" i="1"/>
  <c r="D15394" i="1"/>
  <c r="E15394" i="1" s="1"/>
  <c r="D15393" i="1"/>
  <c r="E15393" i="1" s="1"/>
  <c r="E15392" i="1"/>
  <c r="D15392" i="1"/>
  <c r="E15391" i="1"/>
  <c r="D15391" i="1"/>
  <c r="D15390" i="1"/>
  <c r="E15390" i="1" s="1"/>
  <c r="D15389" i="1"/>
  <c r="E15389" i="1" s="1"/>
  <c r="D15388" i="1"/>
  <c r="E15388" i="1" s="1"/>
  <c r="E15387" i="1"/>
  <c r="D15387" i="1"/>
  <c r="D15386" i="1"/>
  <c r="E15386" i="1" s="1"/>
  <c r="E15385" i="1"/>
  <c r="D15385" i="1"/>
  <c r="E15384" i="1"/>
  <c r="D15384" i="1"/>
  <c r="D15383" i="1"/>
  <c r="E15383" i="1" s="1"/>
  <c r="E15382" i="1"/>
  <c r="D15382" i="1"/>
  <c r="E15381" i="1"/>
  <c r="D15381" i="1"/>
  <c r="D15380" i="1"/>
  <c r="E15380" i="1" s="1"/>
  <c r="D15379" i="1"/>
  <c r="E15379" i="1" s="1"/>
  <c r="D15378" i="1"/>
  <c r="E15378" i="1" s="1"/>
  <c r="E15377" i="1"/>
  <c r="D15377" i="1"/>
  <c r="D15376" i="1"/>
  <c r="E15376" i="1" s="1"/>
  <c r="D15375" i="1"/>
  <c r="E15375" i="1" s="1"/>
  <c r="D15374" i="1"/>
  <c r="E15374" i="1" s="1"/>
  <c r="E15373" i="1"/>
  <c r="D15373" i="1"/>
  <c r="D15372" i="1"/>
  <c r="E15372" i="1" s="1"/>
  <c r="D15371" i="1"/>
  <c r="E15371" i="1" s="1"/>
  <c r="E15370" i="1"/>
  <c r="D15370" i="1"/>
  <c r="D15369" i="1"/>
  <c r="E15369" i="1" s="1"/>
  <c r="D15368" i="1"/>
  <c r="E15368" i="1" s="1"/>
  <c r="E15367" i="1"/>
  <c r="D15367" i="1"/>
  <c r="E15366" i="1"/>
  <c r="D15366" i="1"/>
  <c r="D15365" i="1"/>
  <c r="E15365" i="1" s="1"/>
  <c r="D15364" i="1"/>
  <c r="E15364" i="1" s="1"/>
  <c r="E15363" i="1"/>
  <c r="D15363" i="1"/>
  <c r="E15362" i="1"/>
  <c r="D15362" i="1"/>
  <c r="D15361" i="1"/>
  <c r="E15361" i="1" s="1"/>
  <c r="E15360" i="1"/>
  <c r="D15360" i="1"/>
  <c r="E15359" i="1"/>
  <c r="D15359" i="1"/>
  <c r="D15358" i="1"/>
  <c r="E15358" i="1" s="1"/>
  <c r="E15357" i="1"/>
  <c r="D15357" i="1"/>
  <c r="E15356" i="1"/>
  <c r="D15356" i="1"/>
  <c r="D15355" i="1"/>
  <c r="E15355" i="1" s="1"/>
  <c r="D15354" i="1"/>
  <c r="E15354" i="1" s="1"/>
  <c r="D15353" i="1"/>
  <c r="E15353" i="1" s="1"/>
  <c r="D15352" i="1"/>
  <c r="E15352" i="1" s="1"/>
  <c r="D15351" i="1"/>
  <c r="E15351" i="1" s="1"/>
  <c r="D15350" i="1"/>
  <c r="E15350" i="1" s="1"/>
  <c r="D15349" i="1"/>
  <c r="E15349" i="1" s="1"/>
  <c r="E15348" i="1"/>
  <c r="D15348" i="1"/>
  <c r="D15347" i="1"/>
  <c r="E15347" i="1" s="1"/>
  <c r="D15346" i="1"/>
  <c r="E15346" i="1" s="1"/>
  <c r="E15345" i="1"/>
  <c r="D15345" i="1"/>
  <c r="D15344" i="1"/>
  <c r="E15344" i="1" s="1"/>
  <c r="D15343" i="1"/>
  <c r="E15343" i="1" s="1"/>
  <c r="E15342" i="1"/>
  <c r="D15342" i="1"/>
  <c r="E15341" i="1"/>
  <c r="D15341" i="1"/>
  <c r="D15340" i="1"/>
  <c r="E15340" i="1" s="1"/>
  <c r="E15339" i="1"/>
  <c r="D15339" i="1"/>
  <c r="E15338" i="1"/>
  <c r="D15338" i="1"/>
  <c r="E15337" i="1"/>
  <c r="D15337" i="1"/>
  <c r="D15336" i="1"/>
  <c r="E15336" i="1" s="1"/>
  <c r="E15335" i="1"/>
  <c r="D15335" i="1"/>
  <c r="E15334" i="1"/>
  <c r="D15334" i="1"/>
  <c r="D15333" i="1"/>
  <c r="E15333" i="1" s="1"/>
  <c r="E15332" i="1"/>
  <c r="D15332" i="1"/>
  <c r="E15331" i="1"/>
  <c r="D15331" i="1"/>
  <c r="D15330" i="1"/>
  <c r="E15330" i="1" s="1"/>
  <c r="D15329" i="1"/>
  <c r="E15329" i="1" s="1"/>
  <c r="D15328" i="1"/>
  <c r="E15328" i="1" s="1"/>
  <c r="D15327" i="1"/>
  <c r="E15327" i="1" s="1"/>
  <c r="D15326" i="1"/>
  <c r="E15326" i="1" s="1"/>
  <c r="D15325" i="1"/>
  <c r="E15325" i="1" s="1"/>
  <c r="D15324" i="1"/>
  <c r="E15324" i="1" s="1"/>
  <c r="E15323" i="1"/>
  <c r="D15323" i="1"/>
  <c r="D15322" i="1"/>
  <c r="E15322" i="1" s="1"/>
  <c r="D15321" i="1"/>
  <c r="E15321" i="1" s="1"/>
  <c r="E15320" i="1"/>
  <c r="D15320" i="1"/>
  <c r="D15319" i="1"/>
  <c r="E15319" i="1" s="1"/>
  <c r="D15318" i="1"/>
  <c r="E15318" i="1" s="1"/>
  <c r="E15317" i="1"/>
  <c r="D15317" i="1"/>
  <c r="D15316" i="1"/>
  <c r="E15316" i="1" s="1"/>
  <c r="D15315" i="1"/>
  <c r="E15315" i="1" s="1"/>
  <c r="E15314" i="1"/>
  <c r="D15314" i="1"/>
  <c r="E15313" i="1"/>
  <c r="D15313" i="1"/>
  <c r="E15312" i="1"/>
  <c r="D15312" i="1"/>
  <c r="D15311" i="1"/>
  <c r="E15311" i="1" s="1"/>
  <c r="E15310" i="1"/>
  <c r="D15310" i="1"/>
  <c r="E15309" i="1"/>
  <c r="D15309" i="1"/>
  <c r="D15308" i="1"/>
  <c r="E15308" i="1" s="1"/>
  <c r="E15307" i="1"/>
  <c r="D15307" i="1"/>
  <c r="E15306" i="1"/>
  <c r="D15306" i="1"/>
  <c r="D15305" i="1"/>
  <c r="E15305" i="1" s="1"/>
  <c r="D15304" i="1"/>
  <c r="E15304" i="1" s="1"/>
  <c r="E15303" i="1"/>
  <c r="D15303" i="1"/>
  <c r="D15302" i="1"/>
  <c r="E15302" i="1" s="1"/>
  <c r="D15301" i="1"/>
  <c r="E15301" i="1" s="1"/>
  <c r="D15300" i="1"/>
  <c r="E15300" i="1" s="1"/>
  <c r="D15299" i="1"/>
  <c r="E15299" i="1" s="1"/>
  <c r="E15298" i="1"/>
  <c r="D15298" i="1"/>
  <c r="D15297" i="1"/>
  <c r="E15297" i="1" s="1"/>
  <c r="D15296" i="1"/>
  <c r="E15296" i="1" s="1"/>
  <c r="E15295" i="1"/>
  <c r="D15295" i="1"/>
  <c r="D15294" i="1"/>
  <c r="E15294" i="1" s="1"/>
  <c r="D15293" i="1"/>
  <c r="E15293" i="1" s="1"/>
  <c r="D15292" i="1"/>
  <c r="E15292" i="1" s="1"/>
  <c r="D15291" i="1"/>
  <c r="E15291" i="1" s="1"/>
  <c r="D15290" i="1"/>
  <c r="E15290" i="1" s="1"/>
  <c r="E15289" i="1"/>
  <c r="D15289" i="1"/>
  <c r="E15288" i="1"/>
  <c r="D15288" i="1"/>
  <c r="E15287" i="1"/>
  <c r="D15287" i="1"/>
  <c r="D15286" i="1"/>
  <c r="E15286" i="1" s="1"/>
  <c r="E15285" i="1"/>
  <c r="D15285" i="1"/>
  <c r="E15284" i="1"/>
  <c r="D15284" i="1"/>
  <c r="D15283" i="1"/>
  <c r="E15283" i="1" s="1"/>
  <c r="E15282" i="1"/>
  <c r="D15282" i="1"/>
  <c r="E15281" i="1"/>
  <c r="D15281" i="1"/>
  <c r="D15280" i="1"/>
  <c r="E15280" i="1" s="1"/>
  <c r="E15279" i="1"/>
  <c r="D15279" i="1"/>
  <c r="E15278" i="1"/>
  <c r="D15278" i="1"/>
  <c r="D15277" i="1"/>
  <c r="E15277" i="1" s="1"/>
  <c r="D15276" i="1"/>
  <c r="E15276" i="1" s="1"/>
  <c r="D15275" i="1"/>
  <c r="E15275" i="1" s="1"/>
  <c r="D15274" i="1"/>
  <c r="E15274" i="1" s="1"/>
  <c r="E15273" i="1"/>
  <c r="D15273" i="1"/>
  <c r="D15272" i="1"/>
  <c r="E15272" i="1" s="1"/>
  <c r="D15271" i="1"/>
  <c r="E15271" i="1" s="1"/>
  <c r="E15270" i="1"/>
  <c r="D15270" i="1"/>
  <c r="D15269" i="1"/>
  <c r="E15269" i="1" s="1"/>
  <c r="D15268" i="1"/>
  <c r="E15268" i="1" s="1"/>
  <c r="D15267" i="1"/>
  <c r="E15267" i="1" s="1"/>
  <c r="D15266" i="1"/>
  <c r="E15266" i="1" s="1"/>
  <c r="D15265" i="1"/>
  <c r="E15265" i="1" s="1"/>
  <c r="E15264" i="1"/>
  <c r="D15264" i="1"/>
  <c r="E15263" i="1"/>
  <c r="D15263" i="1"/>
  <c r="E15262" i="1"/>
  <c r="D15262" i="1"/>
  <c r="D15261" i="1"/>
  <c r="E15261" i="1" s="1"/>
  <c r="E15260" i="1"/>
  <c r="D15260" i="1"/>
  <c r="E15259" i="1"/>
  <c r="D15259" i="1"/>
  <c r="D15258" i="1"/>
  <c r="E15258" i="1" s="1"/>
  <c r="E15257" i="1"/>
  <c r="D15257" i="1"/>
  <c r="E15256" i="1"/>
  <c r="D15256" i="1"/>
  <c r="D15255" i="1"/>
  <c r="E15255" i="1" s="1"/>
  <c r="D15254" i="1"/>
  <c r="E15254" i="1" s="1"/>
  <c r="D15253" i="1"/>
  <c r="E15253" i="1" s="1"/>
  <c r="E15252" i="1"/>
  <c r="D15252" i="1"/>
  <c r="E15251" i="1"/>
  <c r="D15251" i="1"/>
  <c r="E15250" i="1"/>
  <c r="D15250" i="1"/>
  <c r="D15249" i="1"/>
  <c r="E15249" i="1" s="1"/>
  <c r="E15248" i="1"/>
  <c r="D15248" i="1"/>
  <c r="E15247" i="1"/>
  <c r="D15247" i="1"/>
  <c r="D15246" i="1"/>
  <c r="E15246" i="1" s="1"/>
  <c r="E15245" i="1"/>
  <c r="D15245" i="1"/>
  <c r="E15244" i="1"/>
  <c r="D15244" i="1"/>
  <c r="D15243" i="1"/>
  <c r="E15243" i="1" s="1"/>
  <c r="D15242" i="1"/>
  <c r="E15242" i="1" s="1"/>
  <c r="D15241" i="1"/>
  <c r="E15241" i="1" s="1"/>
  <c r="E15240" i="1"/>
  <c r="D15240" i="1"/>
  <c r="E15239" i="1"/>
  <c r="D15239" i="1"/>
  <c r="E15238" i="1"/>
  <c r="D15238" i="1"/>
  <c r="D15237" i="1"/>
  <c r="E15237" i="1" s="1"/>
  <c r="E15236" i="1"/>
  <c r="D15236" i="1"/>
  <c r="E15235" i="1"/>
  <c r="D15235" i="1"/>
  <c r="D15234" i="1"/>
  <c r="E15234" i="1" s="1"/>
  <c r="E15233" i="1"/>
  <c r="D15233" i="1"/>
  <c r="E15232" i="1"/>
  <c r="D15232" i="1"/>
  <c r="D15231" i="1"/>
  <c r="E15231" i="1" s="1"/>
  <c r="D15230" i="1"/>
  <c r="E15230" i="1" s="1"/>
  <c r="D15229" i="1"/>
  <c r="E15229" i="1" s="1"/>
  <c r="E15228" i="1"/>
  <c r="D15228" i="1"/>
  <c r="E15227" i="1"/>
  <c r="D15227" i="1"/>
  <c r="E15226" i="1"/>
  <c r="D15226" i="1"/>
  <c r="D15225" i="1"/>
  <c r="E15225" i="1" s="1"/>
  <c r="E15224" i="1"/>
  <c r="D15224" i="1"/>
  <c r="E15223" i="1"/>
  <c r="D15223" i="1"/>
  <c r="D15222" i="1"/>
  <c r="E15222" i="1" s="1"/>
  <c r="E15221" i="1"/>
  <c r="D15221" i="1"/>
  <c r="E15220" i="1"/>
  <c r="D15220" i="1"/>
  <c r="D15219" i="1"/>
  <c r="E15219" i="1" s="1"/>
  <c r="D15218" i="1"/>
  <c r="E15218" i="1" s="1"/>
  <c r="D15217" i="1"/>
  <c r="E15217" i="1" s="1"/>
  <c r="E15216" i="1"/>
  <c r="D15216" i="1"/>
  <c r="E15215" i="1"/>
  <c r="D15215" i="1"/>
  <c r="E15214" i="1"/>
  <c r="D15214" i="1"/>
  <c r="D15213" i="1"/>
  <c r="E15213" i="1" s="1"/>
  <c r="E15212" i="1"/>
  <c r="D15212" i="1"/>
  <c r="E15211" i="1"/>
  <c r="D15211" i="1"/>
  <c r="D15210" i="1"/>
  <c r="E15210" i="1" s="1"/>
  <c r="E15209" i="1"/>
  <c r="D15209" i="1"/>
  <c r="E15208" i="1"/>
  <c r="D15208" i="1"/>
  <c r="D15207" i="1"/>
  <c r="E15207" i="1" s="1"/>
  <c r="D15206" i="1"/>
  <c r="E15206" i="1" s="1"/>
  <c r="D15205" i="1"/>
  <c r="E15205" i="1" s="1"/>
  <c r="E15204" i="1"/>
  <c r="D15204" i="1"/>
  <c r="E15203" i="1"/>
  <c r="D15203" i="1"/>
  <c r="E15202" i="1"/>
  <c r="D15202" i="1"/>
  <c r="D15201" i="1"/>
  <c r="E15201" i="1" s="1"/>
  <c r="E15200" i="1"/>
  <c r="D15200" i="1"/>
  <c r="E15199" i="1"/>
  <c r="D15199" i="1"/>
  <c r="D15198" i="1"/>
  <c r="E15198" i="1" s="1"/>
  <c r="E15197" i="1"/>
  <c r="D15197" i="1"/>
  <c r="E15196" i="1"/>
  <c r="D15196" i="1"/>
  <c r="D15195" i="1"/>
  <c r="E15195" i="1" s="1"/>
  <c r="D15194" i="1"/>
  <c r="E15194" i="1" s="1"/>
  <c r="D15193" i="1"/>
  <c r="E15193" i="1" s="1"/>
  <c r="E15192" i="1"/>
  <c r="D15192" i="1"/>
  <c r="E15191" i="1"/>
  <c r="D15191" i="1"/>
  <c r="E15190" i="1"/>
  <c r="D15190" i="1"/>
  <c r="D15189" i="1"/>
  <c r="E15189" i="1" s="1"/>
  <c r="E15188" i="1"/>
  <c r="D15188" i="1"/>
  <c r="E15187" i="1"/>
  <c r="D15187" i="1"/>
  <c r="D15186" i="1"/>
  <c r="E15186" i="1" s="1"/>
  <c r="E15185" i="1"/>
  <c r="D15185" i="1"/>
  <c r="E15184" i="1"/>
  <c r="D15184" i="1"/>
  <c r="D15183" i="1"/>
  <c r="E15183" i="1" s="1"/>
  <c r="D15182" i="1"/>
  <c r="E15182" i="1" s="1"/>
  <c r="D15181" i="1"/>
  <c r="E15181" i="1" s="1"/>
  <c r="E15180" i="1"/>
  <c r="D15180" i="1"/>
  <c r="E15179" i="1"/>
  <c r="D15179" i="1"/>
  <c r="E15178" i="1"/>
  <c r="D15178" i="1"/>
  <c r="D15177" i="1"/>
  <c r="E15177" i="1" s="1"/>
  <c r="E15176" i="1"/>
  <c r="D15176" i="1"/>
  <c r="E15175" i="1"/>
  <c r="D15175" i="1"/>
  <c r="D15174" i="1"/>
  <c r="E15174" i="1" s="1"/>
  <c r="E15173" i="1"/>
  <c r="D15173" i="1"/>
  <c r="E15172" i="1"/>
  <c r="D15172" i="1"/>
  <c r="D15171" i="1"/>
  <c r="E15171" i="1" s="1"/>
  <c r="D15170" i="1"/>
  <c r="E15170" i="1" s="1"/>
  <c r="D15169" i="1"/>
  <c r="E15169" i="1" s="1"/>
  <c r="E15168" i="1"/>
  <c r="D15168" i="1"/>
  <c r="E15167" i="1"/>
  <c r="D15167" i="1"/>
  <c r="E15166" i="1"/>
  <c r="D15166" i="1"/>
  <c r="D15165" i="1"/>
  <c r="E15165" i="1" s="1"/>
  <c r="E15164" i="1"/>
  <c r="D15164" i="1"/>
  <c r="E15163" i="1"/>
  <c r="D15163" i="1"/>
  <c r="D15162" i="1"/>
  <c r="E15162" i="1" s="1"/>
  <c r="E15161" i="1"/>
  <c r="D15161" i="1"/>
  <c r="E15160" i="1"/>
  <c r="D15160" i="1"/>
  <c r="D15159" i="1"/>
  <c r="E15159" i="1" s="1"/>
  <c r="D15158" i="1"/>
  <c r="E15158" i="1" s="1"/>
  <c r="D15157" i="1"/>
  <c r="E15157" i="1" s="1"/>
  <c r="E15156" i="1"/>
  <c r="D15156" i="1"/>
  <c r="E15155" i="1"/>
  <c r="D15155" i="1"/>
  <c r="E15154" i="1"/>
  <c r="D15154" i="1"/>
  <c r="D15153" i="1"/>
  <c r="E15153" i="1" s="1"/>
  <c r="E15152" i="1"/>
  <c r="D15152" i="1"/>
  <c r="E15151" i="1"/>
  <c r="D15151" i="1"/>
  <c r="D15150" i="1"/>
  <c r="E15150" i="1" s="1"/>
  <c r="E15149" i="1"/>
  <c r="D15149" i="1"/>
  <c r="E15148" i="1"/>
  <c r="D15148" i="1"/>
  <c r="D15147" i="1"/>
  <c r="E15147" i="1" s="1"/>
  <c r="D15146" i="1"/>
  <c r="E15146" i="1" s="1"/>
  <c r="D15145" i="1"/>
  <c r="E15145" i="1" s="1"/>
  <c r="E15144" i="1"/>
  <c r="D15144" i="1"/>
  <c r="E15143" i="1"/>
  <c r="D15143" i="1"/>
  <c r="E15142" i="1"/>
  <c r="D15142" i="1"/>
  <c r="D15141" i="1"/>
  <c r="E15141" i="1" s="1"/>
  <c r="E15140" i="1"/>
  <c r="D15140" i="1"/>
  <c r="E15139" i="1"/>
  <c r="D15139" i="1"/>
  <c r="D15138" i="1"/>
  <c r="E15138" i="1" s="1"/>
  <c r="E15137" i="1"/>
  <c r="D15137" i="1"/>
  <c r="E15136" i="1"/>
  <c r="D15136" i="1"/>
  <c r="D15135" i="1"/>
  <c r="E15135" i="1" s="1"/>
  <c r="D15134" i="1"/>
  <c r="E15134" i="1" s="1"/>
  <c r="D15133" i="1"/>
  <c r="E15133" i="1" s="1"/>
  <c r="E15132" i="1"/>
  <c r="D15132" i="1"/>
  <c r="E15131" i="1"/>
  <c r="D15131" i="1"/>
  <c r="E15130" i="1"/>
  <c r="D15130" i="1"/>
  <c r="D15129" i="1"/>
  <c r="E15129" i="1" s="1"/>
  <c r="E15128" i="1"/>
  <c r="D15128" i="1"/>
  <c r="E15127" i="1"/>
  <c r="D15127" i="1"/>
  <c r="D15126" i="1"/>
  <c r="E15126" i="1" s="1"/>
  <c r="E15125" i="1"/>
  <c r="D15125" i="1"/>
  <c r="E15124" i="1"/>
  <c r="D15124" i="1"/>
  <c r="D15123" i="1"/>
  <c r="E15123" i="1" s="1"/>
  <c r="D15122" i="1"/>
  <c r="E15122" i="1" s="1"/>
  <c r="D15121" i="1"/>
  <c r="E15121" i="1" s="1"/>
  <c r="E15120" i="1"/>
  <c r="D15120" i="1"/>
  <c r="E15119" i="1"/>
  <c r="D15119" i="1"/>
  <c r="E15118" i="1"/>
  <c r="D15118" i="1"/>
  <c r="D15117" i="1"/>
  <c r="E15117" i="1" s="1"/>
  <c r="E15116" i="1"/>
  <c r="D15116" i="1"/>
  <c r="E15115" i="1"/>
  <c r="D15115" i="1"/>
  <c r="D15114" i="1"/>
  <c r="E15114" i="1" s="1"/>
  <c r="E15113" i="1"/>
  <c r="D15113" i="1"/>
  <c r="E15112" i="1"/>
  <c r="D15112" i="1"/>
  <c r="D15111" i="1"/>
  <c r="E15111" i="1" s="1"/>
  <c r="D15110" i="1"/>
  <c r="E15110" i="1" s="1"/>
  <c r="D15109" i="1"/>
  <c r="E15109" i="1" s="1"/>
  <c r="E15108" i="1"/>
  <c r="D15108" i="1"/>
  <c r="E15107" i="1"/>
  <c r="D15107" i="1"/>
  <c r="E15106" i="1"/>
  <c r="D15106" i="1"/>
  <c r="D15105" i="1"/>
  <c r="E15105" i="1" s="1"/>
  <c r="E15104" i="1"/>
  <c r="D15104" i="1"/>
  <c r="E15103" i="1"/>
  <c r="D15103" i="1"/>
  <c r="D15102" i="1"/>
  <c r="E15102" i="1" s="1"/>
  <c r="E15101" i="1"/>
  <c r="D15101" i="1"/>
  <c r="E15100" i="1"/>
  <c r="D15100" i="1"/>
  <c r="D15099" i="1"/>
  <c r="E15099" i="1" s="1"/>
  <c r="D15098" i="1"/>
  <c r="E15098" i="1" s="1"/>
  <c r="D15097" i="1"/>
  <c r="E15097" i="1" s="1"/>
  <c r="E15096" i="1"/>
  <c r="D15096" i="1"/>
  <c r="E15095" i="1"/>
  <c r="D15095" i="1"/>
  <c r="E15094" i="1"/>
  <c r="D15094" i="1"/>
  <c r="D15093" i="1"/>
  <c r="E15093" i="1" s="1"/>
  <c r="E15092" i="1"/>
  <c r="D15092" i="1"/>
  <c r="E15091" i="1"/>
  <c r="D15091" i="1"/>
  <c r="D15090" i="1"/>
  <c r="E15090" i="1" s="1"/>
  <c r="E15089" i="1"/>
  <c r="D15089" i="1"/>
  <c r="E15088" i="1"/>
  <c r="D15088" i="1"/>
  <c r="D15087" i="1"/>
  <c r="E15087" i="1" s="1"/>
  <c r="D15086" i="1"/>
  <c r="E15086" i="1" s="1"/>
  <c r="D15085" i="1"/>
  <c r="E15085" i="1" s="1"/>
  <c r="E15084" i="1"/>
  <c r="D15084" i="1"/>
  <c r="E15083" i="1"/>
  <c r="D15083" i="1"/>
  <c r="E15082" i="1"/>
  <c r="D15082" i="1"/>
  <c r="D15081" i="1"/>
  <c r="E15081" i="1" s="1"/>
  <c r="E15080" i="1"/>
  <c r="D15080" i="1"/>
  <c r="E15079" i="1"/>
  <c r="D15079" i="1"/>
  <c r="D15078" i="1"/>
  <c r="E15078" i="1" s="1"/>
  <c r="E15077" i="1"/>
  <c r="D15077" i="1"/>
  <c r="E15076" i="1"/>
  <c r="D15076" i="1"/>
  <c r="D15075" i="1"/>
  <c r="E15075" i="1" s="1"/>
  <c r="D15074" i="1"/>
  <c r="E15074" i="1" s="1"/>
  <c r="D15073" i="1"/>
  <c r="E15073" i="1" s="1"/>
  <c r="E15072" i="1"/>
  <c r="D15072" i="1"/>
  <c r="E15071" i="1"/>
  <c r="D15071" i="1"/>
  <c r="E15070" i="1"/>
  <c r="D15070" i="1"/>
  <c r="D15069" i="1"/>
  <c r="E15069" i="1" s="1"/>
  <c r="E15068" i="1"/>
  <c r="D15068" i="1"/>
  <c r="E15067" i="1"/>
  <c r="D15067" i="1"/>
  <c r="D15066" i="1"/>
  <c r="E15066" i="1" s="1"/>
  <c r="E15065" i="1"/>
  <c r="D15065" i="1"/>
  <c r="E15064" i="1"/>
  <c r="D15064" i="1"/>
  <c r="D15063" i="1"/>
  <c r="E15063" i="1" s="1"/>
  <c r="D15062" i="1"/>
  <c r="E15062" i="1" s="1"/>
  <c r="D15061" i="1"/>
  <c r="E15061" i="1" s="1"/>
  <c r="E15060" i="1"/>
  <c r="D15060" i="1"/>
  <c r="E15059" i="1"/>
  <c r="D15059" i="1"/>
  <c r="E15058" i="1"/>
  <c r="D15058" i="1"/>
  <c r="D15057" i="1"/>
  <c r="E15057" i="1" s="1"/>
  <c r="E15056" i="1"/>
  <c r="D15056" i="1"/>
  <c r="E15055" i="1"/>
  <c r="D15055" i="1"/>
  <c r="D15054" i="1"/>
  <c r="E15054" i="1" s="1"/>
  <c r="E15053" i="1"/>
  <c r="D15053" i="1"/>
  <c r="E15052" i="1"/>
  <c r="D15052" i="1"/>
  <c r="D15051" i="1"/>
  <c r="E15051" i="1" s="1"/>
  <c r="D15050" i="1"/>
  <c r="E15050" i="1" s="1"/>
  <c r="D15049" i="1"/>
  <c r="E15049" i="1" s="1"/>
  <c r="E15048" i="1"/>
  <c r="D15048" i="1"/>
  <c r="E15047" i="1"/>
  <c r="D15047" i="1"/>
  <c r="E15046" i="1"/>
  <c r="D15046" i="1"/>
  <c r="D15045" i="1"/>
  <c r="E15045" i="1" s="1"/>
  <c r="E15044" i="1"/>
  <c r="D15044" i="1"/>
  <c r="E15043" i="1"/>
  <c r="D15043" i="1"/>
  <c r="D15042" i="1"/>
  <c r="E15042" i="1" s="1"/>
  <c r="E15041" i="1"/>
  <c r="D15041" i="1"/>
  <c r="E15040" i="1"/>
  <c r="D15040" i="1"/>
  <c r="D15039" i="1"/>
  <c r="E15039" i="1" s="1"/>
  <c r="D15038" i="1"/>
  <c r="E15038" i="1" s="1"/>
  <c r="D15037" i="1"/>
  <c r="E15037" i="1" s="1"/>
  <c r="E15036" i="1"/>
  <c r="D15036" i="1"/>
  <c r="E15035" i="1"/>
  <c r="D15035" i="1"/>
  <c r="E15034" i="1"/>
  <c r="D15034" i="1"/>
  <c r="D15033" i="1"/>
  <c r="E15033" i="1" s="1"/>
  <c r="E15032" i="1"/>
  <c r="D15032" i="1"/>
  <c r="E15031" i="1"/>
  <c r="D15031" i="1"/>
  <c r="D15030" i="1"/>
  <c r="E15030" i="1" s="1"/>
  <c r="E15029" i="1"/>
  <c r="D15029" i="1"/>
  <c r="E15028" i="1"/>
  <c r="D15028" i="1"/>
  <c r="D15027" i="1"/>
  <c r="E15027" i="1" s="1"/>
  <c r="D15026" i="1"/>
  <c r="E15026" i="1" s="1"/>
  <c r="D15025" i="1"/>
  <c r="E15025" i="1" s="1"/>
  <c r="E15024" i="1"/>
  <c r="D15024" i="1"/>
  <c r="E15023" i="1"/>
  <c r="D15023" i="1"/>
  <c r="E15022" i="1"/>
  <c r="D15022" i="1"/>
  <c r="D15021" i="1"/>
  <c r="E15021" i="1" s="1"/>
  <c r="E15020" i="1"/>
  <c r="D15020" i="1"/>
  <c r="E15019" i="1"/>
  <c r="D15019" i="1"/>
  <c r="D15018" i="1"/>
  <c r="E15018" i="1" s="1"/>
  <c r="E15017" i="1"/>
  <c r="D15017" i="1"/>
  <c r="E15016" i="1"/>
  <c r="D15016" i="1"/>
  <c r="D15015" i="1"/>
  <c r="E15015" i="1" s="1"/>
  <c r="D15014" i="1"/>
  <c r="E15014" i="1" s="1"/>
  <c r="D15013" i="1"/>
  <c r="E15013" i="1" s="1"/>
  <c r="E15012" i="1"/>
  <c r="D15012" i="1"/>
  <c r="E15011" i="1"/>
  <c r="D15011" i="1"/>
  <c r="E15010" i="1"/>
  <c r="D15010" i="1"/>
  <c r="D15009" i="1"/>
  <c r="E15009" i="1" s="1"/>
  <c r="E15008" i="1"/>
  <c r="D15008" i="1"/>
  <c r="E15007" i="1"/>
  <c r="D15007" i="1"/>
  <c r="D15006" i="1"/>
  <c r="E15006" i="1" s="1"/>
  <c r="E15005" i="1"/>
  <c r="D15005" i="1"/>
  <c r="E15004" i="1"/>
  <c r="D15004" i="1"/>
  <c r="D15003" i="1"/>
  <c r="E15003" i="1" s="1"/>
  <c r="D15002" i="1"/>
  <c r="E15002" i="1" s="1"/>
  <c r="D15001" i="1"/>
  <c r="E15001" i="1" s="1"/>
  <c r="E15000" i="1"/>
  <c r="D15000" i="1"/>
  <c r="E14999" i="1"/>
  <c r="D14999" i="1"/>
  <c r="E14998" i="1"/>
  <c r="D14998" i="1"/>
  <c r="D14997" i="1"/>
  <c r="E14997" i="1" s="1"/>
  <c r="E14996" i="1"/>
  <c r="D14996" i="1"/>
  <c r="E14995" i="1"/>
  <c r="D14995" i="1"/>
  <c r="D14994" i="1"/>
  <c r="E14994" i="1" s="1"/>
  <c r="E14993" i="1"/>
  <c r="D14993" i="1"/>
  <c r="E14992" i="1"/>
  <c r="D14992" i="1"/>
  <c r="D14991" i="1"/>
  <c r="E14991" i="1" s="1"/>
  <c r="D14990" i="1"/>
  <c r="E14990" i="1" s="1"/>
  <c r="D14989" i="1"/>
  <c r="E14989" i="1" s="1"/>
  <c r="E14988" i="1"/>
  <c r="D14988" i="1"/>
  <c r="E14987" i="1"/>
  <c r="D14987" i="1"/>
  <c r="E14986" i="1"/>
  <c r="D14986" i="1"/>
  <c r="D14985" i="1"/>
  <c r="E14985" i="1" s="1"/>
  <c r="E14984" i="1"/>
  <c r="D14984" i="1"/>
  <c r="E14983" i="1"/>
  <c r="D14983" i="1"/>
  <c r="D14982" i="1"/>
  <c r="E14982" i="1" s="1"/>
  <c r="E14981" i="1"/>
  <c r="D14981" i="1"/>
  <c r="E14980" i="1"/>
  <c r="D14980" i="1"/>
  <c r="D14979" i="1"/>
  <c r="E14979" i="1" s="1"/>
  <c r="D14978" i="1"/>
  <c r="E14978" i="1" s="1"/>
  <c r="D14977" i="1"/>
  <c r="E14977" i="1" s="1"/>
  <c r="E14976" i="1"/>
  <c r="D14976" i="1"/>
  <c r="E14975" i="1"/>
  <c r="D14975" i="1"/>
  <c r="E14974" i="1"/>
  <c r="D14974" i="1"/>
  <c r="D14973" i="1"/>
  <c r="E14973" i="1" s="1"/>
  <c r="E14972" i="1"/>
  <c r="D14972" i="1"/>
  <c r="E14971" i="1"/>
  <c r="D14971" i="1"/>
  <c r="D14970" i="1"/>
  <c r="E14970" i="1" s="1"/>
  <c r="E14969" i="1"/>
  <c r="D14969" i="1"/>
  <c r="E14968" i="1"/>
  <c r="D14968" i="1"/>
  <c r="D14967" i="1"/>
  <c r="E14967" i="1" s="1"/>
  <c r="D14966" i="1"/>
  <c r="E14966" i="1" s="1"/>
  <c r="D14965" i="1"/>
  <c r="E14965" i="1" s="1"/>
  <c r="E14964" i="1"/>
  <c r="D14964" i="1"/>
  <c r="E14963" i="1"/>
  <c r="D14963" i="1"/>
  <c r="E14962" i="1"/>
  <c r="D14962" i="1"/>
  <c r="D14961" i="1"/>
  <c r="E14961" i="1" s="1"/>
  <c r="E14960" i="1"/>
  <c r="D14960" i="1"/>
  <c r="E14959" i="1"/>
  <c r="D14959" i="1"/>
  <c r="D14958" i="1"/>
  <c r="E14958" i="1" s="1"/>
  <c r="E14957" i="1"/>
  <c r="D14957" i="1"/>
  <c r="E14956" i="1"/>
  <c r="D14956" i="1"/>
  <c r="D14955" i="1"/>
  <c r="E14955" i="1" s="1"/>
  <c r="D14954" i="1"/>
  <c r="E14954" i="1" s="1"/>
  <c r="D14953" i="1"/>
  <c r="E14953" i="1" s="1"/>
  <c r="E14952" i="1"/>
  <c r="D14952" i="1"/>
  <c r="E14951" i="1"/>
  <c r="D14951" i="1"/>
  <c r="E14950" i="1"/>
  <c r="D14950" i="1"/>
  <c r="D14949" i="1"/>
  <c r="E14949" i="1" s="1"/>
  <c r="E14948" i="1"/>
  <c r="D14948" i="1"/>
  <c r="E14947" i="1"/>
  <c r="D14947" i="1"/>
  <c r="D14946" i="1"/>
  <c r="E14946" i="1" s="1"/>
  <c r="E14945" i="1"/>
  <c r="D14945" i="1"/>
  <c r="E14944" i="1"/>
  <c r="D14944" i="1"/>
  <c r="D14943" i="1"/>
  <c r="E14943" i="1" s="1"/>
  <c r="D14942" i="1"/>
  <c r="E14942" i="1" s="1"/>
  <c r="D14941" i="1"/>
  <c r="E14941" i="1" s="1"/>
  <c r="E14940" i="1"/>
  <c r="D14940" i="1"/>
  <c r="E14939" i="1"/>
  <c r="D14939" i="1"/>
  <c r="E14938" i="1"/>
  <c r="D14938" i="1"/>
  <c r="D14937" i="1"/>
  <c r="E14937" i="1" s="1"/>
  <c r="E14936" i="1"/>
  <c r="D14936" i="1"/>
  <c r="E14935" i="1"/>
  <c r="D14935" i="1"/>
  <c r="D14934" i="1"/>
  <c r="E14934" i="1" s="1"/>
  <c r="E14933" i="1"/>
  <c r="D14933" i="1"/>
  <c r="E14932" i="1"/>
  <c r="D14932" i="1"/>
  <c r="D14931" i="1"/>
  <c r="E14931" i="1" s="1"/>
  <c r="D14930" i="1"/>
  <c r="E14930" i="1" s="1"/>
  <c r="D14929" i="1"/>
  <c r="E14929" i="1" s="1"/>
  <c r="E14928" i="1"/>
  <c r="D14928" i="1"/>
  <c r="E14927" i="1"/>
  <c r="D14927" i="1"/>
  <c r="E14926" i="1"/>
  <c r="D14926" i="1"/>
  <c r="D14925" i="1"/>
  <c r="E14925" i="1" s="1"/>
  <c r="E14924" i="1"/>
  <c r="D14924" i="1"/>
  <c r="E14923" i="1"/>
  <c r="D14923" i="1"/>
  <c r="D14922" i="1"/>
  <c r="E14922" i="1" s="1"/>
  <c r="E14921" i="1"/>
  <c r="D14921" i="1"/>
  <c r="E14920" i="1"/>
  <c r="D14920" i="1"/>
  <c r="D14919" i="1"/>
  <c r="E14919" i="1" s="1"/>
  <c r="D14918" i="1"/>
  <c r="E14918" i="1" s="1"/>
  <c r="D14917" i="1"/>
  <c r="E14917" i="1" s="1"/>
  <c r="E14916" i="1"/>
  <c r="D14916" i="1"/>
  <c r="E14915" i="1"/>
  <c r="D14915" i="1"/>
  <c r="E14914" i="1"/>
  <c r="D14914" i="1"/>
  <c r="D14913" i="1"/>
  <c r="E14913" i="1" s="1"/>
  <c r="E14912" i="1"/>
  <c r="D14912" i="1"/>
  <c r="E14911" i="1"/>
  <c r="D14911" i="1"/>
  <c r="D14910" i="1"/>
  <c r="E14910" i="1" s="1"/>
  <c r="E14909" i="1"/>
  <c r="D14909" i="1"/>
  <c r="E14908" i="1"/>
  <c r="D14908" i="1"/>
  <c r="D14907" i="1"/>
  <c r="E14907" i="1" s="1"/>
  <c r="D14906" i="1"/>
  <c r="E14906" i="1" s="1"/>
  <c r="D14905" i="1"/>
  <c r="E14905" i="1" s="1"/>
  <c r="E14904" i="1"/>
  <c r="D14904" i="1"/>
  <c r="E14903" i="1"/>
  <c r="D14903" i="1"/>
  <c r="E14902" i="1"/>
  <c r="D14902" i="1"/>
  <c r="D14901" i="1"/>
  <c r="E14901" i="1" s="1"/>
  <c r="E14900" i="1"/>
  <c r="D14900" i="1"/>
  <c r="E14899" i="1"/>
  <c r="D14899" i="1"/>
  <c r="D14898" i="1"/>
  <c r="E14898" i="1" s="1"/>
  <c r="E14897" i="1"/>
  <c r="D14897" i="1"/>
  <c r="E14896" i="1"/>
  <c r="D14896" i="1"/>
  <c r="D14895" i="1"/>
  <c r="E14895" i="1" s="1"/>
  <c r="D14894" i="1"/>
  <c r="E14894" i="1" s="1"/>
  <c r="D14893" i="1"/>
  <c r="E14893" i="1" s="1"/>
  <c r="E14892" i="1"/>
  <c r="D14892" i="1"/>
  <c r="E14891" i="1"/>
  <c r="D14891" i="1"/>
  <c r="E14890" i="1"/>
  <c r="D14890" i="1"/>
  <c r="D14889" i="1"/>
  <c r="E14889" i="1" s="1"/>
  <c r="E14888" i="1"/>
  <c r="D14888" i="1"/>
  <c r="E14887" i="1"/>
  <c r="D14887" i="1"/>
  <c r="D14886" i="1"/>
  <c r="E14886" i="1" s="1"/>
  <c r="E14885" i="1"/>
  <c r="D14885" i="1"/>
  <c r="E14884" i="1"/>
  <c r="D14884" i="1"/>
  <c r="D14883" i="1"/>
  <c r="E14883" i="1" s="1"/>
  <c r="D14882" i="1"/>
  <c r="E14882" i="1" s="1"/>
  <c r="D14881" i="1"/>
  <c r="E14881" i="1" s="1"/>
  <c r="E14880" i="1"/>
  <c r="D14880" i="1"/>
  <c r="E14879" i="1"/>
  <c r="D14879" i="1"/>
  <c r="E14878" i="1"/>
  <c r="D14878" i="1"/>
  <c r="D14877" i="1"/>
  <c r="E14877" i="1" s="1"/>
  <c r="E14876" i="1"/>
  <c r="D14876" i="1"/>
  <c r="E14875" i="1"/>
  <c r="D14875" i="1"/>
  <c r="D14874" i="1"/>
  <c r="E14874" i="1" s="1"/>
  <c r="E14873" i="1"/>
  <c r="D14873" i="1"/>
  <c r="E14872" i="1"/>
  <c r="D14872" i="1"/>
  <c r="D14871" i="1"/>
  <c r="E14871" i="1" s="1"/>
  <c r="D14870" i="1"/>
  <c r="E14870" i="1" s="1"/>
  <c r="D14869" i="1"/>
  <c r="E14869" i="1" s="1"/>
  <c r="E14868" i="1"/>
  <c r="D14868" i="1"/>
  <c r="E14867" i="1"/>
  <c r="D14867" i="1"/>
  <c r="E14866" i="1"/>
  <c r="D14866" i="1"/>
  <c r="D14865" i="1"/>
  <c r="E14865" i="1" s="1"/>
  <c r="E14864" i="1"/>
  <c r="D14864" i="1"/>
  <c r="E14863" i="1"/>
  <c r="D14863" i="1"/>
  <c r="D14862" i="1"/>
  <c r="E14862" i="1" s="1"/>
  <c r="E14861" i="1"/>
  <c r="D14861" i="1"/>
  <c r="E14860" i="1"/>
  <c r="D14860" i="1"/>
  <c r="D14859" i="1"/>
  <c r="E14859" i="1" s="1"/>
  <c r="D14858" i="1"/>
  <c r="E14858" i="1" s="1"/>
  <c r="D14857" i="1"/>
  <c r="E14857" i="1" s="1"/>
  <c r="E14856" i="1"/>
  <c r="D14856" i="1"/>
  <c r="E14855" i="1"/>
  <c r="D14855" i="1"/>
  <c r="E14854" i="1"/>
  <c r="D14854" i="1"/>
  <c r="D14853" i="1"/>
  <c r="E14853" i="1" s="1"/>
  <c r="E14852" i="1"/>
  <c r="D14852" i="1"/>
  <c r="E14851" i="1"/>
  <c r="D14851" i="1"/>
  <c r="D14850" i="1"/>
  <c r="E14850" i="1" s="1"/>
  <c r="E14849" i="1"/>
  <c r="D14849" i="1"/>
  <c r="E14848" i="1"/>
  <c r="D14848" i="1"/>
  <c r="D14847" i="1"/>
  <c r="E14847" i="1" s="1"/>
  <c r="D14846" i="1"/>
  <c r="E14846" i="1" s="1"/>
  <c r="D14845" i="1"/>
  <c r="E14845" i="1" s="1"/>
  <c r="E14844" i="1"/>
  <c r="D14844" i="1"/>
  <c r="E14843" i="1"/>
  <c r="D14843" i="1"/>
  <c r="E14842" i="1"/>
  <c r="D14842" i="1"/>
  <c r="D14841" i="1"/>
  <c r="E14841" i="1" s="1"/>
  <c r="E14840" i="1"/>
  <c r="D14840" i="1"/>
  <c r="E14839" i="1"/>
  <c r="D14839" i="1"/>
  <c r="D14838" i="1"/>
  <c r="E14838" i="1" s="1"/>
  <c r="E14837" i="1"/>
  <c r="D14837" i="1"/>
  <c r="E14836" i="1"/>
  <c r="D14836" i="1"/>
  <c r="D14835" i="1"/>
  <c r="E14835" i="1" s="1"/>
  <c r="D14834" i="1"/>
  <c r="E14834" i="1" s="1"/>
  <c r="D14833" i="1"/>
  <c r="E14833" i="1" s="1"/>
  <c r="E14832" i="1"/>
  <c r="D14832" i="1"/>
  <c r="E14831" i="1"/>
  <c r="D14831" i="1"/>
  <c r="E14830" i="1"/>
  <c r="D14830" i="1"/>
  <c r="D14829" i="1"/>
  <c r="E14829" i="1" s="1"/>
  <c r="E14828" i="1"/>
  <c r="D14828" i="1"/>
  <c r="E14827" i="1"/>
  <c r="D14827" i="1"/>
  <c r="D14826" i="1"/>
  <c r="E14826" i="1" s="1"/>
  <c r="E14825" i="1"/>
  <c r="D14825" i="1"/>
  <c r="E14824" i="1"/>
  <c r="D14824" i="1"/>
  <c r="D14823" i="1"/>
  <c r="E14823" i="1" s="1"/>
  <c r="D14822" i="1"/>
  <c r="E14822" i="1" s="1"/>
  <c r="D14821" i="1"/>
  <c r="E14821" i="1" s="1"/>
  <c r="E14820" i="1"/>
  <c r="D14820" i="1"/>
  <c r="E14819" i="1"/>
  <c r="D14819" i="1"/>
  <c r="E14818" i="1"/>
  <c r="D14818" i="1"/>
  <c r="D14817" i="1"/>
  <c r="E14817" i="1" s="1"/>
  <c r="E14816" i="1"/>
  <c r="D14816" i="1"/>
  <c r="E14815" i="1"/>
  <c r="D14815" i="1"/>
  <c r="D14814" i="1"/>
  <c r="E14814" i="1" s="1"/>
  <c r="E14813" i="1"/>
  <c r="D14813" i="1"/>
  <c r="E14812" i="1"/>
  <c r="D14812" i="1"/>
  <c r="D14811" i="1"/>
  <c r="E14811" i="1" s="1"/>
  <c r="D14810" i="1"/>
  <c r="E14810" i="1" s="1"/>
  <c r="D14809" i="1"/>
  <c r="E14809" i="1" s="1"/>
  <c r="E14808" i="1"/>
  <c r="D14808" i="1"/>
  <c r="E14807" i="1"/>
  <c r="D14807" i="1"/>
  <c r="E14806" i="1"/>
  <c r="D14806" i="1"/>
  <c r="D14805" i="1"/>
  <c r="E14805" i="1" s="1"/>
  <c r="E14804" i="1"/>
  <c r="D14804" i="1"/>
  <c r="E14803" i="1"/>
  <c r="D14803" i="1"/>
  <c r="D14802" i="1"/>
  <c r="E14802" i="1" s="1"/>
  <c r="E14801" i="1"/>
  <c r="D14801" i="1"/>
  <c r="E14800" i="1"/>
  <c r="D14800" i="1"/>
  <c r="D14799" i="1"/>
  <c r="E14799" i="1" s="1"/>
  <c r="D14798" i="1"/>
  <c r="E14798" i="1" s="1"/>
  <c r="D14797" i="1"/>
  <c r="E14797" i="1" s="1"/>
  <c r="E14796" i="1"/>
  <c r="D14796" i="1"/>
  <c r="E14795" i="1"/>
  <c r="D14795" i="1"/>
  <c r="E14794" i="1"/>
  <c r="D14794" i="1"/>
  <c r="D14793" i="1"/>
  <c r="E14793" i="1" s="1"/>
  <c r="E14792" i="1"/>
  <c r="D14792" i="1"/>
  <c r="E14791" i="1"/>
  <c r="D14791" i="1"/>
  <c r="D14790" i="1"/>
  <c r="E14790" i="1" s="1"/>
  <c r="E14789" i="1"/>
  <c r="D14789" i="1"/>
  <c r="E14788" i="1"/>
  <c r="D14788" i="1"/>
  <c r="D14787" i="1"/>
  <c r="E14787" i="1" s="1"/>
  <c r="D14786" i="1"/>
  <c r="E14786" i="1" s="1"/>
  <c r="D14785" i="1"/>
  <c r="E14785" i="1" s="1"/>
  <c r="E14784" i="1"/>
  <c r="D14784" i="1"/>
  <c r="E14783" i="1"/>
  <c r="D14783" i="1"/>
  <c r="E14782" i="1"/>
  <c r="D14782" i="1"/>
  <c r="D14781" i="1"/>
  <c r="E14781" i="1" s="1"/>
  <c r="E14780" i="1"/>
  <c r="D14780" i="1"/>
  <c r="E14779" i="1"/>
  <c r="D14779" i="1"/>
  <c r="D14778" i="1"/>
  <c r="E14778" i="1" s="1"/>
  <c r="E14777" i="1"/>
  <c r="D14777" i="1"/>
  <c r="E14776" i="1"/>
  <c r="D14776" i="1"/>
  <c r="D14775" i="1"/>
  <c r="E14775" i="1" s="1"/>
  <c r="D14774" i="1"/>
  <c r="E14774" i="1" s="1"/>
  <c r="D14773" i="1"/>
  <c r="E14773" i="1" s="1"/>
  <c r="E14772" i="1"/>
  <c r="D14772" i="1"/>
  <c r="E14771" i="1"/>
  <c r="D14771" i="1"/>
  <c r="E14770" i="1"/>
  <c r="D14770" i="1"/>
  <c r="D14769" i="1"/>
  <c r="E14769" i="1" s="1"/>
  <c r="E14768" i="1"/>
  <c r="D14768" i="1"/>
  <c r="E14767" i="1"/>
  <c r="D14767" i="1"/>
  <c r="D14766" i="1"/>
  <c r="E14766" i="1" s="1"/>
  <c r="E14765" i="1"/>
  <c r="D14765" i="1"/>
  <c r="E14764" i="1"/>
  <c r="D14764" i="1"/>
  <c r="D14763" i="1"/>
  <c r="E14763" i="1" s="1"/>
  <c r="D14762" i="1"/>
  <c r="E14762" i="1" s="1"/>
  <c r="D14761" i="1"/>
  <c r="E14761" i="1" s="1"/>
  <c r="E14760" i="1"/>
  <c r="D14760" i="1"/>
  <c r="E14759" i="1"/>
  <c r="D14759" i="1"/>
  <c r="E14758" i="1"/>
  <c r="D14758" i="1"/>
  <c r="D14757" i="1"/>
  <c r="E14757" i="1" s="1"/>
  <c r="E14756" i="1"/>
  <c r="D14756" i="1"/>
  <c r="E14755" i="1"/>
  <c r="D14755" i="1"/>
  <c r="D14754" i="1"/>
  <c r="E14754" i="1" s="1"/>
  <c r="E14753" i="1"/>
  <c r="D14753" i="1"/>
  <c r="E14752" i="1"/>
  <c r="D14752" i="1"/>
  <c r="D14751" i="1"/>
  <c r="E14751" i="1" s="1"/>
  <c r="D14750" i="1"/>
  <c r="E14750" i="1" s="1"/>
  <c r="D14749" i="1"/>
  <c r="E14749" i="1" s="1"/>
  <c r="E14748" i="1"/>
  <c r="D14748" i="1"/>
  <c r="E14747" i="1"/>
  <c r="D14747" i="1"/>
  <c r="E14746" i="1"/>
  <c r="D14746" i="1"/>
  <c r="D14745" i="1"/>
  <c r="E14745" i="1" s="1"/>
  <c r="E14744" i="1"/>
  <c r="D14744" i="1"/>
  <c r="E14743" i="1"/>
  <c r="D14743" i="1"/>
  <c r="D14742" i="1"/>
  <c r="E14742" i="1" s="1"/>
  <c r="E14741" i="1"/>
  <c r="D14741" i="1"/>
  <c r="E14740" i="1"/>
  <c r="D14740" i="1"/>
  <c r="D14739" i="1"/>
  <c r="E14739" i="1" s="1"/>
  <c r="D14738" i="1"/>
  <c r="E14738" i="1" s="1"/>
  <c r="D14737" i="1"/>
  <c r="E14737" i="1" s="1"/>
  <c r="E14736" i="1"/>
  <c r="D14736" i="1"/>
  <c r="E14735" i="1"/>
  <c r="D14735" i="1"/>
  <c r="E14734" i="1"/>
  <c r="D14734" i="1"/>
  <c r="D14733" i="1"/>
  <c r="E14733" i="1" s="1"/>
  <c r="E14732" i="1"/>
  <c r="D14732" i="1"/>
  <c r="E14731" i="1"/>
  <c r="D14731" i="1"/>
  <c r="D14730" i="1"/>
  <c r="E14730" i="1" s="1"/>
  <c r="E14729" i="1"/>
  <c r="D14729" i="1"/>
  <c r="E14728" i="1"/>
  <c r="D14728" i="1"/>
  <c r="D14727" i="1"/>
  <c r="E14727" i="1" s="1"/>
  <c r="D14726" i="1"/>
  <c r="E14726" i="1" s="1"/>
  <c r="D14725" i="1"/>
  <c r="E14725" i="1" s="1"/>
  <c r="E14724" i="1"/>
  <c r="D14724" i="1"/>
  <c r="E14723" i="1"/>
  <c r="D14723" i="1"/>
  <c r="E14722" i="1"/>
  <c r="D14722" i="1"/>
  <c r="D14721" i="1"/>
  <c r="E14721" i="1" s="1"/>
  <c r="E14720" i="1"/>
  <c r="D14720" i="1"/>
  <c r="E14719" i="1"/>
  <c r="D14719" i="1"/>
  <c r="D14718" i="1"/>
  <c r="E14718" i="1" s="1"/>
  <c r="E14717" i="1"/>
  <c r="D14717" i="1"/>
  <c r="E14716" i="1"/>
  <c r="D14716" i="1"/>
  <c r="D14715" i="1"/>
  <c r="E14715" i="1" s="1"/>
  <c r="D14714" i="1"/>
  <c r="E14714" i="1" s="1"/>
  <c r="D14713" i="1"/>
  <c r="E14713" i="1" s="1"/>
  <c r="E14712" i="1"/>
  <c r="D14712" i="1"/>
  <c r="E14711" i="1"/>
  <c r="D14711" i="1"/>
  <c r="E14710" i="1"/>
  <c r="D14710" i="1"/>
  <c r="D14709" i="1"/>
  <c r="E14709" i="1" s="1"/>
  <c r="E14708" i="1"/>
  <c r="D14708" i="1"/>
  <c r="E14707" i="1"/>
  <c r="D14707" i="1"/>
  <c r="D14706" i="1"/>
  <c r="E14706" i="1" s="1"/>
  <c r="E14705" i="1"/>
  <c r="D14705" i="1"/>
  <c r="E14704" i="1"/>
  <c r="D14704" i="1"/>
  <c r="D14703" i="1"/>
  <c r="E14703" i="1" s="1"/>
  <c r="D14702" i="1"/>
  <c r="E14702" i="1" s="1"/>
  <c r="D14701" i="1"/>
  <c r="E14701" i="1" s="1"/>
  <c r="E14700" i="1"/>
  <c r="D14700" i="1"/>
  <c r="E14699" i="1"/>
  <c r="D14699" i="1"/>
  <c r="E14698" i="1"/>
  <c r="D14698" i="1"/>
  <c r="D14697" i="1"/>
  <c r="E14697" i="1" s="1"/>
  <c r="E14696" i="1"/>
  <c r="D14696" i="1"/>
  <c r="E14695" i="1"/>
  <c r="D14695" i="1"/>
  <c r="D14694" i="1"/>
  <c r="E14694" i="1" s="1"/>
  <c r="E14693" i="1"/>
  <c r="D14693" i="1"/>
  <c r="E14692" i="1"/>
  <c r="D14692" i="1"/>
  <c r="D14691" i="1"/>
  <c r="E14691" i="1" s="1"/>
  <c r="D14690" i="1"/>
  <c r="E14690" i="1" s="1"/>
  <c r="D14689" i="1"/>
  <c r="E14689" i="1" s="1"/>
  <c r="E14688" i="1"/>
  <c r="D14688" i="1"/>
  <c r="E14687" i="1"/>
  <c r="D14687" i="1"/>
  <c r="E14686" i="1"/>
  <c r="D14686" i="1"/>
  <c r="D14685" i="1"/>
  <c r="E14685" i="1" s="1"/>
  <c r="E14684" i="1"/>
  <c r="D14684" i="1"/>
  <c r="E14683" i="1"/>
  <c r="D14683" i="1"/>
  <c r="D14682" i="1"/>
  <c r="E14682" i="1" s="1"/>
  <c r="E14681" i="1"/>
  <c r="D14681" i="1"/>
  <c r="E14680" i="1"/>
  <c r="D14680" i="1"/>
  <c r="D14679" i="1"/>
  <c r="E14679" i="1" s="1"/>
  <c r="D14678" i="1"/>
  <c r="E14678" i="1" s="1"/>
  <c r="D14677" i="1"/>
  <c r="E14677" i="1" s="1"/>
  <c r="E14676" i="1"/>
  <c r="D14676" i="1"/>
  <c r="E14675" i="1"/>
  <c r="D14675" i="1"/>
  <c r="E14674" i="1"/>
  <c r="D14674" i="1"/>
  <c r="D14673" i="1"/>
  <c r="E14673" i="1" s="1"/>
  <c r="E14672" i="1"/>
  <c r="D14672" i="1"/>
  <c r="E14671" i="1"/>
  <c r="D14671" i="1"/>
  <c r="D14670" i="1"/>
  <c r="E14670" i="1" s="1"/>
  <c r="E14669" i="1"/>
  <c r="D14669" i="1"/>
  <c r="E14668" i="1"/>
  <c r="D14668" i="1"/>
  <c r="D14667" i="1"/>
  <c r="E14667" i="1" s="1"/>
  <c r="D14666" i="1"/>
  <c r="E14666" i="1" s="1"/>
  <c r="D14665" i="1"/>
  <c r="E14665" i="1" s="1"/>
  <c r="E14664" i="1"/>
  <c r="D14664" i="1"/>
  <c r="E14663" i="1"/>
  <c r="D14663" i="1"/>
  <c r="E14662" i="1"/>
  <c r="D14662" i="1"/>
  <c r="D14661" i="1"/>
  <c r="E14661" i="1" s="1"/>
  <c r="E14660" i="1"/>
  <c r="D14660" i="1"/>
  <c r="E14659" i="1"/>
  <c r="D14659" i="1"/>
  <c r="D14658" i="1"/>
  <c r="E14658" i="1" s="1"/>
  <c r="E14657" i="1"/>
  <c r="D14657" i="1"/>
  <c r="E14656" i="1"/>
  <c r="D14656" i="1"/>
  <c r="D14655" i="1"/>
  <c r="E14655" i="1" s="1"/>
  <c r="D14654" i="1"/>
  <c r="E14654" i="1" s="1"/>
  <c r="D14653" i="1"/>
  <c r="E14653" i="1" s="1"/>
  <c r="E14652" i="1"/>
  <c r="D14652" i="1"/>
  <c r="E14651" i="1"/>
  <c r="D14651" i="1"/>
  <c r="E14650" i="1"/>
  <c r="D14650" i="1"/>
  <c r="D14649" i="1"/>
  <c r="E14649" i="1" s="1"/>
  <c r="E14648" i="1"/>
  <c r="D14648" i="1"/>
  <c r="E14647" i="1"/>
  <c r="D14647" i="1"/>
  <c r="D14646" i="1"/>
  <c r="E14646" i="1" s="1"/>
  <c r="E14645" i="1"/>
  <c r="D14645" i="1"/>
  <c r="E14644" i="1"/>
  <c r="D14644" i="1"/>
  <c r="D14643" i="1"/>
  <c r="E14643" i="1" s="1"/>
  <c r="D14642" i="1"/>
  <c r="E14642" i="1" s="1"/>
  <c r="D14641" i="1"/>
  <c r="E14641" i="1" s="1"/>
  <c r="E14640" i="1"/>
  <c r="D14640" i="1"/>
  <c r="E14639" i="1"/>
  <c r="D14639" i="1"/>
  <c r="E14638" i="1"/>
  <c r="D14638" i="1"/>
  <c r="D14637" i="1"/>
  <c r="E14637" i="1" s="1"/>
  <c r="E14636" i="1"/>
  <c r="D14636" i="1"/>
  <c r="E14635" i="1"/>
  <c r="D14635" i="1"/>
  <c r="D14634" i="1"/>
  <c r="E14634" i="1" s="1"/>
  <c r="E14633" i="1"/>
  <c r="D14633" i="1"/>
  <c r="E14632" i="1"/>
  <c r="D14632" i="1"/>
  <c r="D14631" i="1"/>
  <c r="E14631" i="1" s="1"/>
  <c r="D14630" i="1"/>
  <c r="E14630" i="1" s="1"/>
  <c r="D14629" i="1"/>
  <c r="E14629" i="1" s="1"/>
  <c r="E14628" i="1"/>
  <c r="D14628" i="1"/>
  <c r="E14627" i="1"/>
  <c r="D14627" i="1"/>
  <c r="E14626" i="1"/>
  <c r="D14626" i="1"/>
  <c r="D14625" i="1"/>
  <c r="E14625" i="1" s="1"/>
  <c r="E14624" i="1"/>
  <c r="D14624" i="1"/>
  <c r="E14623" i="1"/>
  <c r="D14623" i="1"/>
  <c r="D14622" i="1"/>
  <c r="E14622" i="1" s="1"/>
  <c r="E14621" i="1"/>
  <c r="D14621" i="1"/>
  <c r="E14620" i="1"/>
  <c r="D14620" i="1"/>
  <c r="D14619" i="1"/>
  <c r="E14619" i="1" s="1"/>
  <c r="D14618" i="1"/>
  <c r="E14618" i="1" s="1"/>
  <c r="D14617" i="1"/>
  <c r="E14617" i="1" s="1"/>
  <c r="E14616" i="1"/>
  <c r="D14616" i="1"/>
  <c r="E14615" i="1"/>
  <c r="D14615" i="1"/>
  <c r="E14614" i="1"/>
  <c r="D14614" i="1"/>
  <c r="D14613" i="1"/>
  <c r="E14613" i="1" s="1"/>
  <c r="E14612" i="1"/>
  <c r="D14612" i="1"/>
  <c r="E14611" i="1"/>
  <c r="D14611" i="1"/>
  <c r="D14610" i="1"/>
  <c r="E14610" i="1" s="1"/>
  <c r="E14609" i="1"/>
  <c r="D14609" i="1"/>
  <c r="E14608" i="1"/>
  <c r="D14608" i="1"/>
  <c r="D14607" i="1"/>
  <c r="E14607" i="1" s="1"/>
  <c r="D14606" i="1"/>
  <c r="E14606" i="1" s="1"/>
  <c r="D14605" i="1"/>
  <c r="E14605" i="1" s="1"/>
  <c r="E14604" i="1"/>
  <c r="D14604" i="1"/>
  <c r="E14603" i="1"/>
  <c r="D14603" i="1"/>
  <c r="E14602" i="1"/>
  <c r="D14602" i="1"/>
  <c r="D14601" i="1"/>
  <c r="E14601" i="1" s="1"/>
  <c r="E14600" i="1"/>
  <c r="D14600" i="1"/>
  <c r="E14599" i="1"/>
  <c r="D14599" i="1"/>
  <c r="D14598" i="1"/>
  <c r="E14598" i="1" s="1"/>
  <c r="E14597" i="1"/>
  <c r="D14597" i="1"/>
  <c r="E14596" i="1"/>
  <c r="D14596" i="1"/>
  <c r="D14595" i="1"/>
  <c r="E14595" i="1" s="1"/>
  <c r="D14594" i="1"/>
  <c r="E14594" i="1" s="1"/>
  <c r="D14593" i="1"/>
  <c r="E14593" i="1" s="1"/>
  <c r="E14592" i="1"/>
  <c r="D14592" i="1"/>
  <c r="E14591" i="1"/>
  <c r="D14591" i="1"/>
  <c r="E14590" i="1"/>
  <c r="D14590" i="1"/>
  <c r="D14589" i="1"/>
  <c r="E14589" i="1" s="1"/>
  <c r="E14588" i="1"/>
  <c r="D14588" i="1"/>
  <c r="E14587" i="1"/>
  <c r="D14587" i="1"/>
  <c r="D14586" i="1"/>
  <c r="E14586" i="1" s="1"/>
  <c r="E14585" i="1"/>
  <c r="D14585" i="1"/>
  <c r="E14584" i="1"/>
  <c r="D14584" i="1"/>
  <c r="D14583" i="1"/>
  <c r="E14583" i="1" s="1"/>
  <c r="D14582" i="1"/>
  <c r="E14582" i="1" s="1"/>
  <c r="D14581" i="1"/>
  <c r="E14581" i="1" s="1"/>
  <c r="E14580" i="1"/>
  <c r="D14580" i="1"/>
  <c r="E14579" i="1"/>
  <c r="D14579" i="1"/>
  <c r="E14578" i="1"/>
  <c r="D14578" i="1"/>
  <c r="D14577" i="1"/>
  <c r="E14577" i="1" s="1"/>
  <c r="E14576" i="1"/>
  <c r="D14576" i="1"/>
  <c r="E14575" i="1"/>
  <c r="D14575" i="1"/>
  <c r="D14574" i="1"/>
  <c r="E14574" i="1" s="1"/>
  <c r="E14573" i="1"/>
  <c r="D14573" i="1"/>
  <c r="E14572" i="1"/>
  <c r="D14572" i="1"/>
  <c r="D14571" i="1"/>
  <c r="E14571" i="1" s="1"/>
  <c r="D14570" i="1"/>
  <c r="E14570" i="1" s="1"/>
  <c r="D14569" i="1"/>
  <c r="E14569" i="1" s="1"/>
  <c r="E14568" i="1"/>
  <c r="D14568" i="1"/>
  <c r="E14567" i="1"/>
  <c r="D14567" i="1"/>
  <c r="E14566" i="1"/>
  <c r="D14566" i="1"/>
  <c r="D14565" i="1"/>
  <c r="E14565" i="1" s="1"/>
  <c r="E14564" i="1"/>
  <c r="D14564" i="1"/>
  <c r="E14563" i="1"/>
  <c r="D14563" i="1"/>
  <c r="D14562" i="1"/>
  <c r="E14562" i="1" s="1"/>
  <c r="E14561" i="1"/>
  <c r="D14561" i="1"/>
  <c r="E14560" i="1"/>
  <c r="D14560" i="1"/>
  <c r="D14559" i="1"/>
  <c r="E14559" i="1" s="1"/>
  <c r="D14558" i="1"/>
  <c r="E14558" i="1" s="1"/>
  <c r="D14557" i="1"/>
  <c r="E14557" i="1" s="1"/>
  <c r="E14556" i="1"/>
  <c r="D14556" i="1"/>
  <c r="E14555" i="1"/>
  <c r="D14555" i="1"/>
  <c r="E14554" i="1"/>
  <c r="D14554" i="1"/>
  <c r="D14553" i="1"/>
  <c r="E14553" i="1" s="1"/>
  <c r="E14552" i="1"/>
  <c r="D14552" i="1"/>
  <c r="E14551" i="1"/>
  <c r="D14551" i="1"/>
  <c r="D14550" i="1"/>
  <c r="E14550" i="1" s="1"/>
  <c r="E14549" i="1"/>
  <c r="D14549" i="1"/>
  <c r="E14548" i="1"/>
  <c r="D14548" i="1"/>
  <c r="D14547" i="1"/>
  <c r="E14547" i="1" s="1"/>
  <c r="D14546" i="1"/>
  <c r="E14546" i="1" s="1"/>
  <c r="D14545" i="1"/>
  <c r="E14545" i="1" s="1"/>
  <c r="E14544" i="1"/>
  <c r="D14544" i="1"/>
  <c r="E14543" i="1"/>
  <c r="D14543" i="1"/>
  <c r="E14542" i="1"/>
  <c r="D14542" i="1"/>
  <c r="D14541" i="1"/>
  <c r="E14541" i="1" s="1"/>
  <c r="E14540" i="1"/>
  <c r="D14540" i="1"/>
  <c r="E14539" i="1"/>
  <c r="D14539" i="1"/>
  <c r="D14538" i="1"/>
  <c r="E14538" i="1" s="1"/>
  <c r="E14537" i="1"/>
  <c r="D14537" i="1"/>
  <c r="E14536" i="1"/>
  <c r="D14536" i="1"/>
  <c r="D14535" i="1"/>
  <c r="E14535" i="1" s="1"/>
  <c r="D14534" i="1"/>
  <c r="E14534" i="1" s="1"/>
  <c r="D14533" i="1"/>
  <c r="E14533" i="1" s="1"/>
  <c r="E14532" i="1"/>
  <c r="D14532" i="1"/>
  <c r="E14531" i="1"/>
  <c r="D14531" i="1"/>
  <c r="E14530" i="1"/>
  <c r="D14530" i="1"/>
  <c r="D14529" i="1"/>
  <c r="E14529" i="1" s="1"/>
  <c r="E14528" i="1"/>
  <c r="D14528" i="1"/>
  <c r="E14527" i="1"/>
  <c r="D14527" i="1"/>
  <c r="D14526" i="1"/>
  <c r="E14526" i="1" s="1"/>
  <c r="E14525" i="1"/>
  <c r="D14525" i="1"/>
  <c r="E14524" i="1"/>
  <c r="D14524" i="1"/>
  <c r="D14523" i="1"/>
  <c r="E14523" i="1" s="1"/>
  <c r="D14522" i="1"/>
  <c r="E14522" i="1" s="1"/>
  <c r="D14521" i="1"/>
  <c r="E14521" i="1" s="1"/>
  <c r="E14520" i="1"/>
  <c r="D14520" i="1"/>
  <c r="E14519" i="1"/>
  <c r="D14519" i="1"/>
  <c r="E14518" i="1"/>
  <c r="D14518" i="1"/>
  <c r="D14517" i="1"/>
  <c r="E14517" i="1" s="1"/>
  <c r="E14516" i="1"/>
  <c r="D14516" i="1"/>
  <c r="E14515" i="1"/>
  <c r="D14515" i="1"/>
  <c r="D14514" i="1"/>
  <c r="E14514" i="1" s="1"/>
  <c r="D14513" i="1"/>
  <c r="E14513" i="1" s="1"/>
  <c r="E14512" i="1"/>
  <c r="D14512" i="1"/>
  <c r="D14511" i="1"/>
  <c r="E14511" i="1" s="1"/>
  <c r="D14510" i="1"/>
  <c r="E14510" i="1" s="1"/>
  <c r="D14509" i="1"/>
  <c r="E14509" i="1" s="1"/>
  <c r="E14508" i="1"/>
  <c r="D14508" i="1"/>
  <c r="E14507" i="1"/>
  <c r="D14507" i="1"/>
  <c r="E14506" i="1"/>
  <c r="D14506" i="1"/>
  <c r="D14505" i="1"/>
  <c r="E14505" i="1" s="1"/>
  <c r="E14504" i="1"/>
  <c r="D14504" i="1"/>
  <c r="E14503" i="1"/>
  <c r="D14503" i="1"/>
  <c r="D14502" i="1"/>
  <c r="E14502" i="1" s="1"/>
  <c r="D14501" i="1"/>
  <c r="E14501" i="1" s="1"/>
  <c r="E14500" i="1"/>
  <c r="D14500" i="1"/>
  <c r="D14499" i="1"/>
  <c r="E14499" i="1" s="1"/>
  <c r="D14498" i="1"/>
  <c r="E14498" i="1" s="1"/>
  <c r="D14497" i="1"/>
  <c r="E14497" i="1" s="1"/>
  <c r="E14496" i="1"/>
  <c r="D14496" i="1"/>
  <c r="E14495" i="1"/>
  <c r="D14495" i="1"/>
  <c r="E14494" i="1"/>
  <c r="D14494" i="1"/>
  <c r="D14493" i="1"/>
  <c r="E14493" i="1" s="1"/>
  <c r="E14492" i="1"/>
  <c r="D14492" i="1"/>
  <c r="E14491" i="1"/>
  <c r="D14491" i="1"/>
  <c r="D14490" i="1"/>
  <c r="E14490" i="1" s="1"/>
  <c r="E14489" i="1"/>
  <c r="D14489" i="1"/>
  <c r="E14488" i="1"/>
  <c r="D14488" i="1"/>
  <c r="D14487" i="1"/>
  <c r="E14487" i="1" s="1"/>
  <c r="D14486" i="1"/>
  <c r="E14486" i="1" s="1"/>
  <c r="D14485" i="1"/>
  <c r="E14485" i="1" s="1"/>
  <c r="E14484" i="1"/>
  <c r="D14484" i="1"/>
  <c r="E14483" i="1"/>
  <c r="D14483" i="1"/>
  <c r="E14482" i="1"/>
  <c r="D14482" i="1"/>
  <c r="D14481" i="1"/>
  <c r="E14481" i="1" s="1"/>
  <c r="E14480" i="1"/>
  <c r="D14480" i="1"/>
  <c r="E14479" i="1"/>
  <c r="D14479" i="1"/>
  <c r="D14478" i="1"/>
  <c r="E14478" i="1" s="1"/>
  <c r="E14477" i="1"/>
  <c r="D14477" i="1"/>
  <c r="E14476" i="1"/>
  <c r="D14476" i="1"/>
  <c r="D14475" i="1"/>
  <c r="E14475" i="1" s="1"/>
  <c r="D14474" i="1"/>
  <c r="E14474" i="1" s="1"/>
  <c r="D14473" i="1"/>
  <c r="E14473" i="1" s="1"/>
  <c r="E14472" i="1"/>
  <c r="D14472" i="1"/>
  <c r="E14471" i="1"/>
  <c r="D14471" i="1"/>
  <c r="E14470" i="1"/>
  <c r="D14470" i="1"/>
  <c r="D14469" i="1"/>
  <c r="E14469" i="1" s="1"/>
  <c r="E14468" i="1"/>
  <c r="D14468" i="1"/>
  <c r="E14467" i="1"/>
  <c r="D14467" i="1"/>
  <c r="D14466" i="1"/>
  <c r="E14466" i="1" s="1"/>
  <c r="D14465" i="1"/>
  <c r="E14465" i="1" s="1"/>
  <c r="E14464" i="1"/>
  <c r="D14464" i="1"/>
  <c r="D14463" i="1"/>
  <c r="E14463" i="1" s="1"/>
  <c r="D14462" i="1"/>
  <c r="E14462" i="1" s="1"/>
  <c r="D14461" i="1"/>
  <c r="E14461" i="1" s="1"/>
  <c r="E14460" i="1"/>
  <c r="D14460" i="1"/>
  <c r="E14459" i="1"/>
  <c r="D14459" i="1"/>
  <c r="E14458" i="1"/>
  <c r="D14458" i="1"/>
  <c r="D14457" i="1"/>
  <c r="E14457" i="1" s="1"/>
  <c r="E14456" i="1"/>
  <c r="D14456" i="1"/>
  <c r="E14455" i="1"/>
  <c r="D14455" i="1"/>
  <c r="D14454" i="1"/>
  <c r="E14454" i="1" s="1"/>
  <c r="E14453" i="1"/>
  <c r="D14453" i="1"/>
  <c r="E14452" i="1"/>
  <c r="D14452" i="1"/>
  <c r="D14451" i="1"/>
  <c r="E14451" i="1" s="1"/>
  <c r="D14450" i="1"/>
  <c r="E14450" i="1" s="1"/>
  <c r="D14449" i="1"/>
  <c r="E14449" i="1" s="1"/>
  <c r="E14448" i="1"/>
  <c r="D14448" i="1"/>
  <c r="E14447" i="1"/>
  <c r="D14447" i="1"/>
  <c r="E14446" i="1"/>
  <c r="D14446" i="1"/>
  <c r="D14445" i="1"/>
  <c r="E14445" i="1" s="1"/>
  <c r="E14444" i="1"/>
  <c r="D14444" i="1"/>
  <c r="E14443" i="1"/>
  <c r="D14443" i="1"/>
  <c r="D14442" i="1"/>
  <c r="E14442" i="1" s="1"/>
  <c r="D14441" i="1"/>
  <c r="E14441" i="1" s="1"/>
  <c r="E14440" i="1"/>
  <c r="D14440" i="1"/>
  <c r="D14439" i="1"/>
  <c r="E14439" i="1" s="1"/>
  <c r="D14438" i="1"/>
  <c r="E14438" i="1" s="1"/>
  <c r="D14437" i="1"/>
  <c r="E14437" i="1" s="1"/>
  <c r="E14436" i="1"/>
  <c r="D14436" i="1"/>
  <c r="E14435" i="1"/>
  <c r="D14435" i="1"/>
  <c r="E14434" i="1"/>
  <c r="D14434" i="1"/>
  <c r="D14433" i="1"/>
  <c r="E14433" i="1" s="1"/>
  <c r="E14432" i="1"/>
  <c r="D14432" i="1"/>
  <c r="E14431" i="1"/>
  <c r="D14431" i="1"/>
  <c r="D14430" i="1"/>
  <c r="E14430" i="1" s="1"/>
  <c r="E14429" i="1"/>
  <c r="D14429" i="1"/>
  <c r="E14428" i="1"/>
  <c r="D14428" i="1"/>
  <c r="D14427" i="1"/>
  <c r="E14427" i="1" s="1"/>
  <c r="D14426" i="1"/>
  <c r="E14426" i="1" s="1"/>
  <c r="D14425" i="1"/>
  <c r="E14425" i="1" s="1"/>
  <c r="E14424" i="1"/>
  <c r="D14424" i="1"/>
  <c r="E14423" i="1"/>
  <c r="D14423" i="1"/>
  <c r="E14422" i="1"/>
  <c r="D14422" i="1"/>
  <c r="D14421" i="1"/>
  <c r="E14421" i="1" s="1"/>
  <c r="E14420" i="1"/>
  <c r="D14420" i="1"/>
  <c r="E14419" i="1"/>
  <c r="D14419" i="1"/>
  <c r="D14418" i="1"/>
  <c r="E14418" i="1" s="1"/>
  <c r="D14417" i="1"/>
  <c r="E14417" i="1" s="1"/>
  <c r="E14416" i="1"/>
  <c r="D14416" i="1"/>
  <c r="D14415" i="1"/>
  <c r="E14415" i="1" s="1"/>
  <c r="D14414" i="1"/>
  <c r="E14414" i="1" s="1"/>
  <c r="D14413" i="1"/>
  <c r="E14413" i="1" s="1"/>
  <c r="E14412" i="1"/>
  <c r="D14412" i="1"/>
  <c r="E14411" i="1"/>
  <c r="D14411" i="1"/>
  <c r="E14410" i="1"/>
  <c r="D14410" i="1"/>
  <c r="D14409" i="1"/>
  <c r="E14409" i="1" s="1"/>
  <c r="E14408" i="1"/>
  <c r="D14408" i="1"/>
  <c r="E14407" i="1"/>
  <c r="D14407" i="1"/>
  <c r="D14406" i="1"/>
  <c r="E14406" i="1" s="1"/>
  <c r="D14405" i="1"/>
  <c r="E14405" i="1" s="1"/>
  <c r="E14404" i="1"/>
  <c r="D14404" i="1"/>
  <c r="D14403" i="1"/>
  <c r="E14403" i="1" s="1"/>
  <c r="D14402" i="1"/>
  <c r="E14402" i="1" s="1"/>
  <c r="D14401" i="1"/>
  <c r="E14401" i="1" s="1"/>
  <c r="E14400" i="1"/>
  <c r="D14400" i="1"/>
  <c r="E14399" i="1"/>
  <c r="D14399" i="1"/>
  <c r="E14398" i="1"/>
  <c r="D14398" i="1"/>
  <c r="D14397" i="1"/>
  <c r="E14397" i="1" s="1"/>
  <c r="E14396" i="1"/>
  <c r="D14396" i="1"/>
  <c r="E14395" i="1"/>
  <c r="D14395" i="1"/>
  <c r="D14394" i="1"/>
  <c r="E14394" i="1" s="1"/>
  <c r="D14393" i="1"/>
  <c r="E14393" i="1" s="1"/>
  <c r="E14392" i="1"/>
  <c r="D14392" i="1"/>
  <c r="D14391" i="1"/>
  <c r="E14391" i="1" s="1"/>
  <c r="D14390" i="1"/>
  <c r="E14390" i="1" s="1"/>
  <c r="D14389" i="1"/>
  <c r="E14389" i="1" s="1"/>
  <c r="E14388" i="1"/>
  <c r="D14388" i="1"/>
  <c r="E14387" i="1"/>
  <c r="D14387" i="1"/>
  <c r="E14386" i="1"/>
  <c r="D14386" i="1"/>
  <c r="D14385" i="1"/>
  <c r="E14385" i="1" s="1"/>
  <c r="E14384" i="1"/>
  <c r="D14384" i="1"/>
  <c r="E14383" i="1"/>
  <c r="D14383" i="1"/>
  <c r="D14382" i="1"/>
  <c r="E14382" i="1" s="1"/>
  <c r="E14381" i="1"/>
  <c r="D14381" i="1"/>
  <c r="E14380" i="1"/>
  <c r="D14380" i="1"/>
  <c r="D14379" i="1"/>
  <c r="E14379" i="1" s="1"/>
  <c r="D14378" i="1"/>
  <c r="E14378" i="1" s="1"/>
  <c r="D14377" i="1"/>
  <c r="E14377" i="1" s="1"/>
  <c r="E14376" i="1"/>
  <c r="D14376" i="1"/>
  <c r="E14375" i="1"/>
  <c r="D14375" i="1"/>
  <c r="E14374" i="1"/>
  <c r="D14374" i="1"/>
  <c r="D14373" i="1"/>
  <c r="E14373" i="1" s="1"/>
  <c r="E14372" i="1"/>
  <c r="D14372" i="1"/>
  <c r="E14371" i="1"/>
  <c r="D14371" i="1"/>
  <c r="D14370" i="1"/>
  <c r="E14370" i="1" s="1"/>
  <c r="D14369" i="1"/>
  <c r="E14369" i="1" s="1"/>
  <c r="E14368" i="1"/>
  <c r="D14368" i="1"/>
  <c r="D14367" i="1"/>
  <c r="E14367" i="1" s="1"/>
  <c r="D14366" i="1"/>
  <c r="E14366" i="1" s="1"/>
  <c r="D14365" i="1"/>
  <c r="E14365" i="1" s="1"/>
  <c r="E14364" i="1"/>
  <c r="D14364" i="1"/>
  <c r="E14363" i="1"/>
  <c r="D14363" i="1"/>
  <c r="E14362" i="1"/>
  <c r="D14362" i="1"/>
  <c r="D14361" i="1"/>
  <c r="E14361" i="1" s="1"/>
  <c r="E14360" i="1"/>
  <c r="D14360" i="1"/>
  <c r="E14359" i="1"/>
  <c r="D14359" i="1"/>
  <c r="D14358" i="1"/>
  <c r="E14358" i="1" s="1"/>
  <c r="D14357" i="1"/>
  <c r="E14357" i="1" s="1"/>
  <c r="E14356" i="1"/>
  <c r="D14356" i="1"/>
  <c r="D14355" i="1"/>
  <c r="E14355" i="1" s="1"/>
  <c r="D14354" i="1"/>
  <c r="E14354" i="1" s="1"/>
  <c r="D14353" i="1"/>
  <c r="E14353" i="1" s="1"/>
  <c r="E14352" i="1"/>
  <c r="D14352" i="1"/>
  <c r="E14351" i="1"/>
  <c r="D14351" i="1"/>
  <c r="E14350" i="1"/>
  <c r="D14350" i="1"/>
  <c r="D14349" i="1"/>
  <c r="E14349" i="1" s="1"/>
  <c r="E14348" i="1"/>
  <c r="D14348" i="1"/>
  <c r="E14347" i="1"/>
  <c r="D14347" i="1"/>
  <c r="D14346" i="1"/>
  <c r="E14346" i="1" s="1"/>
  <c r="E14345" i="1"/>
  <c r="D14345" i="1"/>
  <c r="E14344" i="1"/>
  <c r="D14344" i="1"/>
  <c r="D14343" i="1"/>
  <c r="E14343" i="1" s="1"/>
  <c r="D14342" i="1"/>
  <c r="E14342" i="1" s="1"/>
  <c r="D14341" i="1"/>
  <c r="E14341" i="1" s="1"/>
  <c r="E14340" i="1"/>
  <c r="D14340" i="1"/>
  <c r="E14339" i="1"/>
  <c r="D14339" i="1"/>
  <c r="E14338" i="1"/>
  <c r="D14338" i="1"/>
  <c r="D14337" i="1"/>
  <c r="E14337" i="1" s="1"/>
  <c r="E14336" i="1"/>
  <c r="D14336" i="1"/>
  <c r="E14335" i="1"/>
  <c r="D14335" i="1"/>
  <c r="D14334" i="1"/>
  <c r="E14334" i="1" s="1"/>
  <c r="D14333" i="1"/>
  <c r="E14333" i="1" s="1"/>
  <c r="E14332" i="1"/>
  <c r="D14332" i="1"/>
  <c r="D14331" i="1"/>
  <c r="E14331" i="1" s="1"/>
  <c r="D14330" i="1"/>
  <c r="E14330" i="1" s="1"/>
  <c r="D14329" i="1"/>
  <c r="E14329" i="1" s="1"/>
  <c r="E14328" i="1"/>
  <c r="D14328" i="1"/>
  <c r="E14327" i="1"/>
  <c r="D14327" i="1"/>
  <c r="E14326" i="1"/>
  <c r="D14326" i="1"/>
  <c r="D14325" i="1"/>
  <c r="E14325" i="1" s="1"/>
  <c r="E14324" i="1"/>
  <c r="D14324" i="1"/>
  <c r="E14323" i="1"/>
  <c r="D14323" i="1"/>
  <c r="D14322" i="1"/>
  <c r="E14322" i="1" s="1"/>
  <c r="D14321" i="1"/>
  <c r="E14321" i="1" s="1"/>
  <c r="E14320" i="1"/>
  <c r="D14320" i="1"/>
  <c r="D14319" i="1"/>
  <c r="E14319" i="1" s="1"/>
  <c r="D14318" i="1"/>
  <c r="E14318" i="1" s="1"/>
  <c r="D14317" i="1"/>
  <c r="E14317" i="1" s="1"/>
  <c r="E14316" i="1"/>
  <c r="D14316" i="1"/>
  <c r="E14315" i="1"/>
  <c r="D14315" i="1"/>
  <c r="E14314" i="1"/>
  <c r="D14314" i="1"/>
  <c r="D14313" i="1"/>
  <c r="E14313" i="1" s="1"/>
  <c r="E14312" i="1"/>
  <c r="D14312" i="1"/>
  <c r="E14311" i="1"/>
  <c r="D14311" i="1"/>
  <c r="D14310" i="1"/>
  <c r="E14310" i="1" s="1"/>
  <c r="E14309" i="1"/>
  <c r="D14309" i="1"/>
  <c r="E14308" i="1"/>
  <c r="D14308" i="1"/>
  <c r="D14307" i="1"/>
  <c r="E14307" i="1" s="1"/>
  <c r="D14306" i="1"/>
  <c r="E14306" i="1" s="1"/>
  <c r="D14305" i="1"/>
  <c r="E14305" i="1" s="1"/>
  <c r="E14304" i="1"/>
  <c r="D14304" i="1"/>
  <c r="E14303" i="1"/>
  <c r="D14303" i="1"/>
  <c r="E14302" i="1"/>
  <c r="D14302" i="1"/>
  <c r="D14301" i="1"/>
  <c r="E14301" i="1" s="1"/>
  <c r="E14300" i="1"/>
  <c r="D14300" i="1"/>
  <c r="E14299" i="1"/>
  <c r="D14299" i="1"/>
  <c r="D14298" i="1"/>
  <c r="E14298" i="1" s="1"/>
  <c r="E14297" i="1"/>
  <c r="D14297" i="1"/>
  <c r="E14296" i="1"/>
  <c r="D14296" i="1"/>
  <c r="D14295" i="1"/>
  <c r="E14295" i="1" s="1"/>
  <c r="D14294" i="1"/>
  <c r="E14294" i="1" s="1"/>
  <c r="D14293" i="1"/>
  <c r="E14293" i="1" s="1"/>
  <c r="E14292" i="1"/>
  <c r="D14292" i="1"/>
  <c r="E14291" i="1"/>
  <c r="D14291" i="1"/>
  <c r="E14290" i="1"/>
  <c r="D14290" i="1"/>
  <c r="D14289" i="1"/>
  <c r="E14289" i="1" s="1"/>
  <c r="E14288" i="1"/>
  <c r="D14288" i="1"/>
  <c r="E14287" i="1"/>
  <c r="D14287" i="1"/>
  <c r="D14286" i="1"/>
  <c r="E14286" i="1" s="1"/>
  <c r="D14285" i="1"/>
  <c r="E14285" i="1" s="1"/>
  <c r="E14284" i="1"/>
  <c r="D14284" i="1"/>
  <c r="D14283" i="1"/>
  <c r="E14283" i="1" s="1"/>
  <c r="D14282" i="1"/>
  <c r="E14282" i="1" s="1"/>
  <c r="D14281" i="1"/>
  <c r="E14281" i="1" s="1"/>
  <c r="E14280" i="1"/>
  <c r="D14280" i="1"/>
  <c r="E14279" i="1"/>
  <c r="D14279" i="1"/>
  <c r="E14278" i="1"/>
  <c r="D14278" i="1"/>
  <c r="D14277" i="1"/>
  <c r="E14277" i="1" s="1"/>
  <c r="E14276" i="1"/>
  <c r="D14276" i="1"/>
  <c r="E14275" i="1"/>
  <c r="D14275" i="1"/>
  <c r="D14274" i="1"/>
  <c r="E14274" i="1" s="1"/>
  <c r="E14273" i="1"/>
  <c r="D14273" i="1"/>
  <c r="E14272" i="1"/>
  <c r="D14272" i="1"/>
  <c r="D14271" i="1"/>
  <c r="E14271" i="1" s="1"/>
  <c r="D14270" i="1"/>
  <c r="E14270" i="1" s="1"/>
  <c r="D14269" i="1"/>
  <c r="E14269" i="1" s="1"/>
  <c r="E14268" i="1"/>
  <c r="D14268" i="1"/>
  <c r="E14267" i="1"/>
  <c r="D14267" i="1"/>
  <c r="E14266" i="1"/>
  <c r="D14266" i="1"/>
  <c r="D14265" i="1"/>
  <c r="E14265" i="1" s="1"/>
  <c r="E14264" i="1"/>
  <c r="D14264" i="1"/>
  <c r="E14263" i="1"/>
  <c r="D14263" i="1"/>
  <c r="D14262" i="1"/>
  <c r="E14262" i="1" s="1"/>
  <c r="D14261" i="1"/>
  <c r="E14261" i="1" s="1"/>
  <c r="E14260" i="1"/>
  <c r="D14260" i="1"/>
  <c r="D14259" i="1"/>
  <c r="E14259" i="1" s="1"/>
  <c r="D14258" i="1"/>
  <c r="E14258" i="1" s="1"/>
  <c r="D14257" i="1"/>
  <c r="E14257" i="1" s="1"/>
  <c r="E14256" i="1"/>
  <c r="D14256" i="1"/>
  <c r="E14255" i="1"/>
  <c r="D14255" i="1"/>
  <c r="E14254" i="1"/>
  <c r="D14254" i="1"/>
  <c r="D14253" i="1"/>
  <c r="E14253" i="1" s="1"/>
  <c r="E14252" i="1"/>
  <c r="D14252" i="1"/>
  <c r="E14251" i="1"/>
  <c r="D14251" i="1"/>
  <c r="D14250" i="1"/>
  <c r="E14250" i="1" s="1"/>
  <c r="D14249" i="1"/>
  <c r="E14249" i="1" s="1"/>
  <c r="E14248" i="1"/>
  <c r="D14248" i="1"/>
  <c r="D14247" i="1"/>
  <c r="E14247" i="1" s="1"/>
  <c r="D14246" i="1"/>
  <c r="E14246" i="1" s="1"/>
  <c r="D14245" i="1"/>
  <c r="E14245" i="1" s="1"/>
  <c r="E14244" i="1"/>
  <c r="D14244" i="1"/>
  <c r="E14243" i="1"/>
  <c r="D14243" i="1"/>
  <c r="E14242" i="1"/>
  <c r="D14242" i="1"/>
  <c r="D14241" i="1"/>
  <c r="E14241" i="1" s="1"/>
  <c r="E14240" i="1"/>
  <c r="D14240" i="1"/>
  <c r="E14239" i="1"/>
  <c r="D14239" i="1"/>
  <c r="D14238" i="1"/>
  <c r="E14238" i="1" s="1"/>
  <c r="D14237" i="1"/>
  <c r="E14237" i="1" s="1"/>
  <c r="E14236" i="1"/>
  <c r="D14236" i="1"/>
  <c r="D14235" i="1"/>
  <c r="E14235" i="1" s="1"/>
  <c r="D14234" i="1"/>
  <c r="E14234" i="1" s="1"/>
  <c r="D14233" i="1"/>
  <c r="E14233" i="1" s="1"/>
  <c r="E14232" i="1"/>
  <c r="D14232" i="1"/>
  <c r="E14231" i="1"/>
  <c r="D14231" i="1"/>
  <c r="E14230" i="1"/>
  <c r="D14230" i="1"/>
  <c r="D14229" i="1"/>
  <c r="E14229" i="1" s="1"/>
  <c r="E14228" i="1"/>
  <c r="D14228" i="1"/>
  <c r="E14227" i="1"/>
  <c r="D14227" i="1"/>
  <c r="D14226" i="1"/>
  <c r="E14226" i="1" s="1"/>
  <c r="D14225" i="1"/>
  <c r="E14225" i="1" s="1"/>
  <c r="E14224" i="1"/>
  <c r="D14224" i="1"/>
  <c r="D14223" i="1"/>
  <c r="E14223" i="1" s="1"/>
  <c r="D14222" i="1"/>
  <c r="E14222" i="1" s="1"/>
  <c r="D14221" i="1"/>
  <c r="E14221" i="1" s="1"/>
  <c r="E14220" i="1"/>
  <c r="D14220" i="1"/>
  <c r="E14219" i="1"/>
  <c r="D14219" i="1"/>
  <c r="E14218" i="1"/>
  <c r="D14218" i="1"/>
  <c r="D14217" i="1"/>
  <c r="E14217" i="1" s="1"/>
  <c r="E14216" i="1"/>
  <c r="D14216" i="1"/>
  <c r="E14215" i="1"/>
  <c r="D14215" i="1"/>
  <c r="D14214" i="1"/>
  <c r="E14214" i="1" s="1"/>
  <c r="D14213" i="1"/>
  <c r="E14213" i="1" s="1"/>
  <c r="E14212" i="1"/>
  <c r="D14212" i="1"/>
  <c r="D14211" i="1"/>
  <c r="E14211" i="1" s="1"/>
  <c r="D14210" i="1"/>
  <c r="E14210" i="1" s="1"/>
  <c r="D14209" i="1"/>
  <c r="E14209" i="1" s="1"/>
  <c r="E14208" i="1"/>
  <c r="D14208" i="1"/>
  <c r="E14207" i="1"/>
  <c r="D14207" i="1"/>
  <c r="E14206" i="1"/>
  <c r="D14206" i="1"/>
  <c r="D14205" i="1"/>
  <c r="E14205" i="1" s="1"/>
  <c r="E14204" i="1"/>
  <c r="D14204" i="1"/>
  <c r="E14203" i="1"/>
  <c r="D14203" i="1"/>
  <c r="D14202" i="1"/>
  <c r="E14202" i="1" s="1"/>
  <c r="E14201" i="1"/>
  <c r="D14201" i="1"/>
  <c r="D14200" i="1"/>
  <c r="E14200" i="1" s="1"/>
  <c r="D14199" i="1"/>
  <c r="E14199" i="1" s="1"/>
  <c r="D14198" i="1"/>
  <c r="E14198" i="1" s="1"/>
  <c r="D14197" i="1"/>
  <c r="E14197" i="1" s="1"/>
  <c r="E14196" i="1"/>
  <c r="D14196" i="1"/>
  <c r="E14195" i="1"/>
  <c r="D14195" i="1"/>
  <c r="E14194" i="1"/>
  <c r="D14194" i="1"/>
  <c r="D14193" i="1"/>
  <c r="E14193" i="1" s="1"/>
  <c r="E14192" i="1"/>
  <c r="D14192" i="1"/>
  <c r="E14191" i="1"/>
  <c r="D14191" i="1"/>
  <c r="D14190" i="1"/>
  <c r="E14190" i="1" s="1"/>
  <c r="E14189" i="1"/>
  <c r="D14189" i="1"/>
  <c r="E14188" i="1"/>
  <c r="D14188" i="1"/>
  <c r="D14187" i="1"/>
  <c r="E14187" i="1" s="1"/>
  <c r="D14186" i="1"/>
  <c r="E14186" i="1" s="1"/>
  <c r="D14185" i="1"/>
  <c r="E14185" i="1" s="1"/>
  <c r="E14184" i="1"/>
  <c r="D14184" i="1"/>
  <c r="E14183" i="1"/>
  <c r="D14183" i="1"/>
  <c r="E14182" i="1"/>
  <c r="D14182" i="1"/>
  <c r="D14181" i="1"/>
  <c r="E14181" i="1" s="1"/>
  <c r="E14180" i="1"/>
  <c r="D14180" i="1"/>
  <c r="E14179" i="1"/>
  <c r="D14179" i="1"/>
  <c r="D14178" i="1"/>
  <c r="E14178" i="1" s="1"/>
  <c r="E14177" i="1"/>
  <c r="D14177" i="1"/>
  <c r="E14176" i="1"/>
  <c r="D14176" i="1"/>
  <c r="D14175" i="1"/>
  <c r="E14175" i="1" s="1"/>
  <c r="D14174" i="1"/>
  <c r="E14174" i="1" s="1"/>
  <c r="D14173" i="1"/>
  <c r="E14173" i="1" s="1"/>
  <c r="E14172" i="1"/>
  <c r="D14172" i="1"/>
  <c r="E14171" i="1"/>
  <c r="D14171" i="1"/>
  <c r="E14170" i="1"/>
  <c r="D14170" i="1"/>
  <c r="D14169" i="1"/>
  <c r="E14169" i="1" s="1"/>
  <c r="D14168" i="1"/>
  <c r="E14168" i="1" s="1"/>
  <c r="E14167" i="1"/>
  <c r="D14167" i="1"/>
  <c r="D14166" i="1"/>
  <c r="E14166" i="1" s="1"/>
  <c r="E14165" i="1"/>
  <c r="D14165" i="1"/>
  <c r="D14164" i="1"/>
  <c r="E14164" i="1" s="1"/>
  <c r="D14163" i="1"/>
  <c r="E14163" i="1" s="1"/>
  <c r="D14162" i="1"/>
  <c r="E14162" i="1" s="1"/>
  <c r="D14161" i="1"/>
  <c r="E14161" i="1" s="1"/>
  <c r="E14160" i="1"/>
  <c r="D14160" i="1"/>
  <c r="E14159" i="1"/>
  <c r="D14159" i="1"/>
  <c r="E14158" i="1"/>
  <c r="D14158" i="1"/>
  <c r="D14157" i="1"/>
  <c r="E14157" i="1" s="1"/>
  <c r="E14156" i="1"/>
  <c r="D14156" i="1"/>
  <c r="E14155" i="1"/>
  <c r="D14155" i="1"/>
  <c r="D14154" i="1"/>
  <c r="E14154" i="1" s="1"/>
  <c r="D14153" i="1"/>
  <c r="E14153" i="1" s="1"/>
  <c r="E14152" i="1"/>
  <c r="D14152" i="1"/>
  <c r="D14151" i="1"/>
  <c r="E14151" i="1" s="1"/>
  <c r="D14150" i="1"/>
  <c r="E14150" i="1" s="1"/>
  <c r="D14149" i="1"/>
  <c r="E14149" i="1" s="1"/>
  <c r="E14148" i="1"/>
  <c r="D14148" i="1"/>
  <c r="E14147" i="1"/>
  <c r="D14147" i="1"/>
  <c r="E14146" i="1"/>
  <c r="D14146" i="1"/>
  <c r="D14145" i="1"/>
  <c r="E14145" i="1" s="1"/>
  <c r="D14144" i="1"/>
  <c r="E14144" i="1" s="1"/>
  <c r="E14143" i="1"/>
  <c r="D14143" i="1"/>
  <c r="D14142" i="1"/>
  <c r="E14142" i="1" s="1"/>
  <c r="E14141" i="1"/>
  <c r="D14141" i="1"/>
  <c r="E14140" i="1"/>
  <c r="D14140" i="1"/>
  <c r="D14139" i="1"/>
  <c r="E14139" i="1" s="1"/>
  <c r="D14138" i="1"/>
  <c r="E14138" i="1" s="1"/>
  <c r="D14137" i="1"/>
  <c r="E14137" i="1" s="1"/>
  <c r="E14136" i="1"/>
  <c r="D14136" i="1"/>
  <c r="E14135" i="1"/>
  <c r="D14135" i="1"/>
  <c r="E14134" i="1"/>
  <c r="D14134" i="1"/>
  <c r="D14133" i="1"/>
  <c r="E14133" i="1" s="1"/>
  <c r="D14132" i="1"/>
  <c r="E14132" i="1" s="1"/>
  <c r="E14131" i="1"/>
  <c r="D14131" i="1"/>
  <c r="D14130" i="1"/>
  <c r="E14130" i="1" s="1"/>
  <c r="D14129" i="1"/>
  <c r="E14129" i="1" s="1"/>
  <c r="D14128" i="1"/>
  <c r="E14128" i="1" s="1"/>
  <c r="D14127" i="1"/>
  <c r="E14127" i="1" s="1"/>
  <c r="D14126" i="1"/>
  <c r="E14126" i="1" s="1"/>
  <c r="D14125" i="1"/>
  <c r="E14125" i="1" s="1"/>
  <c r="E14124" i="1"/>
  <c r="D14124" i="1"/>
  <c r="E14123" i="1"/>
  <c r="D14123" i="1"/>
  <c r="E14122" i="1"/>
  <c r="D14122" i="1"/>
  <c r="D14121" i="1"/>
  <c r="E14121" i="1" s="1"/>
  <c r="D14120" i="1"/>
  <c r="E14120" i="1" s="1"/>
  <c r="E14119" i="1"/>
  <c r="D14119" i="1"/>
  <c r="D14118" i="1"/>
  <c r="E14118" i="1" s="1"/>
  <c r="D14117" i="1"/>
  <c r="E14117" i="1" s="1"/>
  <c r="D14116" i="1"/>
  <c r="E14116" i="1" s="1"/>
  <c r="D14115" i="1"/>
  <c r="E14115" i="1" s="1"/>
  <c r="D14114" i="1"/>
  <c r="E14114" i="1" s="1"/>
  <c r="E14113" i="1"/>
  <c r="D14113" i="1"/>
  <c r="E14112" i="1"/>
  <c r="D14112" i="1"/>
  <c r="E14111" i="1"/>
  <c r="D14111" i="1"/>
  <c r="E14110" i="1"/>
  <c r="D14110" i="1"/>
  <c r="D14109" i="1"/>
  <c r="E14109" i="1" s="1"/>
  <c r="D14108" i="1"/>
  <c r="E14108" i="1" s="1"/>
  <c r="E14107" i="1"/>
  <c r="D14107" i="1"/>
  <c r="D14106" i="1"/>
  <c r="E14106" i="1" s="1"/>
  <c r="D14105" i="1"/>
  <c r="E14105" i="1" s="1"/>
  <c r="D14104" i="1"/>
  <c r="E14104" i="1" s="1"/>
  <c r="D14103" i="1"/>
  <c r="E14103" i="1" s="1"/>
  <c r="D14102" i="1"/>
  <c r="E14102" i="1" s="1"/>
  <c r="D14101" i="1"/>
  <c r="E14101" i="1" s="1"/>
  <c r="D14100" i="1"/>
  <c r="E14100" i="1" s="1"/>
  <c r="E14099" i="1"/>
  <c r="D14099" i="1"/>
  <c r="E14098" i="1"/>
  <c r="D14098" i="1"/>
  <c r="D14097" i="1"/>
  <c r="E14097" i="1" s="1"/>
  <c r="E14096" i="1"/>
  <c r="D14096" i="1"/>
  <c r="E14095" i="1"/>
  <c r="D14095" i="1"/>
  <c r="D14094" i="1"/>
  <c r="E14094" i="1" s="1"/>
  <c r="D14093" i="1"/>
  <c r="E14093" i="1" s="1"/>
  <c r="D14092" i="1"/>
  <c r="E14092" i="1" s="1"/>
  <c r="D14091" i="1"/>
  <c r="E14091" i="1" s="1"/>
  <c r="D14090" i="1"/>
  <c r="E14090" i="1" s="1"/>
  <c r="D14089" i="1"/>
  <c r="E14089" i="1" s="1"/>
  <c r="D14088" i="1"/>
  <c r="E14088" i="1" s="1"/>
  <c r="E14087" i="1"/>
  <c r="D14087" i="1"/>
  <c r="E14086" i="1"/>
  <c r="D14086" i="1"/>
  <c r="D14085" i="1"/>
  <c r="E14085" i="1" s="1"/>
  <c r="D14084" i="1"/>
  <c r="E14084" i="1" s="1"/>
  <c r="E14083" i="1"/>
  <c r="D14083" i="1"/>
  <c r="D14082" i="1"/>
  <c r="E14082" i="1" s="1"/>
  <c r="E14081" i="1"/>
  <c r="D14081" i="1"/>
  <c r="E14080" i="1"/>
  <c r="D14080" i="1"/>
  <c r="D14079" i="1"/>
  <c r="E14079" i="1" s="1"/>
  <c r="D14078" i="1"/>
  <c r="E14078" i="1" s="1"/>
  <c r="D14077" i="1"/>
  <c r="E14077" i="1" s="1"/>
  <c r="D14076" i="1"/>
  <c r="E14076" i="1" s="1"/>
  <c r="E14075" i="1"/>
  <c r="D14075" i="1"/>
  <c r="E14074" i="1"/>
  <c r="D14074" i="1"/>
  <c r="D14073" i="1"/>
  <c r="E14073" i="1" s="1"/>
  <c r="E14072" i="1"/>
  <c r="D14072" i="1"/>
  <c r="E14071" i="1"/>
  <c r="D14071" i="1"/>
  <c r="D14070" i="1"/>
  <c r="E14070" i="1" s="1"/>
  <c r="E14069" i="1"/>
  <c r="D14069" i="1"/>
  <c r="E14068" i="1"/>
  <c r="D14068" i="1"/>
  <c r="D14067" i="1"/>
  <c r="E14067" i="1" s="1"/>
  <c r="D14066" i="1"/>
  <c r="E14066" i="1" s="1"/>
  <c r="E14065" i="1"/>
  <c r="D14065" i="1"/>
  <c r="D14064" i="1"/>
  <c r="E14064" i="1" s="1"/>
  <c r="E14063" i="1"/>
  <c r="D14063" i="1"/>
  <c r="E14062" i="1"/>
  <c r="D14062" i="1"/>
  <c r="D14061" i="1"/>
  <c r="E14061" i="1" s="1"/>
  <c r="E14060" i="1"/>
  <c r="D14060" i="1"/>
  <c r="E14059" i="1"/>
  <c r="D14059" i="1"/>
  <c r="D14058" i="1"/>
  <c r="E14058" i="1" s="1"/>
  <c r="D14057" i="1"/>
  <c r="E14057" i="1" s="1"/>
  <c r="E14056" i="1"/>
  <c r="D14056" i="1"/>
  <c r="D14055" i="1"/>
  <c r="E14055" i="1" s="1"/>
  <c r="D14054" i="1"/>
  <c r="E14054" i="1" s="1"/>
  <c r="E14053" i="1"/>
  <c r="D14053" i="1"/>
  <c r="E14052" i="1"/>
  <c r="D14052" i="1"/>
  <c r="E14051" i="1"/>
  <c r="D14051" i="1"/>
  <c r="E14050" i="1"/>
  <c r="D14050" i="1"/>
  <c r="D14049" i="1"/>
  <c r="E14049" i="1" s="1"/>
  <c r="D14048" i="1"/>
  <c r="E14048" i="1" s="1"/>
  <c r="E14047" i="1"/>
  <c r="D14047" i="1"/>
  <c r="D14046" i="1"/>
  <c r="E14046" i="1" s="1"/>
  <c r="D14045" i="1"/>
  <c r="E14045" i="1" s="1"/>
  <c r="D14044" i="1"/>
  <c r="E14044" i="1" s="1"/>
  <c r="D14043" i="1"/>
  <c r="E14043" i="1" s="1"/>
  <c r="D14042" i="1"/>
  <c r="E14042" i="1" s="1"/>
  <c r="E14041" i="1"/>
  <c r="D14041" i="1"/>
  <c r="E14040" i="1"/>
  <c r="D14040" i="1"/>
  <c r="E14039" i="1"/>
  <c r="D14039" i="1"/>
  <c r="E14038" i="1"/>
  <c r="D14038" i="1"/>
  <c r="D14037" i="1"/>
  <c r="E14037" i="1" s="1"/>
  <c r="D14036" i="1"/>
  <c r="E14036" i="1" s="1"/>
  <c r="E14035" i="1"/>
  <c r="D14035" i="1"/>
  <c r="D14034" i="1"/>
  <c r="E14034" i="1" s="1"/>
  <c r="D14033" i="1"/>
  <c r="E14033" i="1" s="1"/>
  <c r="D14032" i="1"/>
  <c r="E14032" i="1" s="1"/>
  <c r="D14031" i="1"/>
  <c r="E14031" i="1" s="1"/>
  <c r="D14030" i="1"/>
  <c r="E14030" i="1" s="1"/>
  <c r="D14029" i="1"/>
  <c r="E14029" i="1" s="1"/>
  <c r="D14028" i="1"/>
  <c r="E14028" i="1" s="1"/>
  <c r="E14027" i="1"/>
  <c r="D14027" i="1"/>
  <c r="E14026" i="1"/>
  <c r="D14026" i="1"/>
  <c r="D14025" i="1"/>
  <c r="E14025" i="1" s="1"/>
  <c r="D14024" i="1"/>
  <c r="E14024" i="1" s="1"/>
  <c r="D14023" i="1"/>
  <c r="E14023" i="1" s="1"/>
  <c r="D14022" i="1"/>
  <c r="E14022" i="1" s="1"/>
  <c r="D14021" i="1"/>
  <c r="E14021" i="1" s="1"/>
  <c r="D14020" i="1"/>
  <c r="E14020" i="1" s="1"/>
  <c r="D14019" i="1"/>
  <c r="E14019" i="1" s="1"/>
  <c r="D14018" i="1"/>
  <c r="E14018" i="1" s="1"/>
  <c r="D14017" i="1"/>
  <c r="E14017" i="1" s="1"/>
  <c r="D14016" i="1"/>
  <c r="E14016" i="1" s="1"/>
  <c r="D14015" i="1"/>
  <c r="E14015" i="1" s="1"/>
  <c r="D14014" i="1"/>
  <c r="E14014" i="1" s="1"/>
  <c r="D14013" i="1"/>
  <c r="E14013" i="1" s="1"/>
  <c r="D14012" i="1"/>
  <c r="E14012" i="1" s="1"/>
  <c r="D14011" i="1"/>
  <c r="E14011" i="1" s="1"/>
  <c r="D14010" i="1"/>
  <c r="E14010" i="1" s="1"/>
  <c r="E14009" i="1"/>
  <c r="D14009" i="1"/>
  <c r="E14008" i="1"/>
  <c r="D14008" i="1"/>
  <c r="D14007" i="1"/>
  <c r="E14007" i="1" s="1"/>
  <c r="D14006" i="1"/>
  <c r="E14006" i="1" s="1"/>
  <c r="D14005" i="1"/>
  <c r="E14005" i="1" s="1"/>
  <c r="E14004" i="1"/>
  <c r="D14004" i="1"/>
  <c r="D14003" i="1"/>
  <c r="E14003" i="1" s="1"/>
  <c r="D14002" i="1"/>
  <c r="E14002" i="1" s="1"/>
  <c r="D14001" i="1"/>
  <c r="E14001" i="1" s="1"/>
  <c r="E14000" i="1"/>
  <c r="D14000" i="1"/>
  <c r="D13999" i="1"/>
  <c r="E13999" i="1" s="1"/>
  <c r="D13998" i="1"/>
  <c r="E13998" i="1" s="1"/>
  <c r="E13997" i="1"/>
  <c r="D13997" i="1"/>
  <c r="E13996" i="1"/>
  <c r="D13996" i="1"/>
  <c r="D13995" i="1"/>
  <c r="E13995" i="1" s="1"/>
  <c r="D13994" i="1"/>
  <c r="E13994" i="1" s="1"/>
  <c r="E13993" i="1"/>
  <c r="D13993" i="1"/>
  <c r="D13992" i="1"/>
  <c r="E13992" i="1" s="1"/>
  <c r="D13991" i="1"/>
  <c r="E13991" i="1" s="1"/>
  <c r="E13990" i="1"/>
  <c r="D13990" i="1"/>
  <c r="D13989" i="1"/>
  <c r="E13989" i="1" s="1"/>
  <c r="E13988" i="1"/>
  <c r="D13988" i="1"/>
  <c r="E13987" i="1"/>
  <c r="D13987" i="1"/>
  <c r="D13986" i="1"/>
  <c r="E13986" i="1" s="1"/>
  <c r="D13985" i="1"/>
  <c r="E13985" i="1" s="1"/>
  <c r="E13984" i="1"/>
  <c r="D13984" i="1"/>
  <c r="D13983" i="1"/>
  <c r="E13983" i="1" s="1"/>
  <c r="D13982" i="1"/>
  <c r="E13982" i="1" s="1"/>
  <c r="E13981" i="1"/>
  <c r="D13981" i="1"/>
  <c r="E13980" i="1"/>
  <c r="D13980" i="1"/>
  <c r="E13979" i="1"/>
  <c r="D13979" i="1"/>
  <c r="D13978" i="1"/>
  <c r="E13978" i="1" s="1"/>
  <c r="D13977" i="1"/>
  <c r="E13977" i="1" s="1"/>
  <c r="D13976" i="1"/>
  <c r="E13976" i="1" s="1"/>
  <c r="D13975" i="1"/>
  <c r="E13975" i="1" s="1"/>
  <c r="D13974" i="1"/>
  <c r="E13974" i="1" s="1"/>
  <c r="D13973" i="1"/>
  <c r="E13973" i="1" s="1"/>
  <c r="D13972" i="1"/>
  <c r="E13972" i="1" s="1"/>
  <c r="D13971" i="1"/>
  <c r="E13971" i="1" s="1"/>
  <c r="D13970" i="1"/>
  <c r="E13970" i="1" s="1"/>
  <c r="E13969" i="1"/>
  <c r="D13969" i="1"/>
  <c r="E13968" i="1"/>
  <c r="D13968" i="1"/>
  <c r="E13967" i="1"/>
  <c r="D13967" i="1"/>
  <c r="E13966" i="1"/>
  <c r="D13966" i="1"/>
  <c r="D13965" i="1"/>
  <c r="E13965" i="1" s="1"/>
  <c r="D13964" i="1"/>
  <c r="E13964" i="1" s="1"/>
  <c r="E13963" i="1"/>
  <c r="D13963" i="1"/>
  <c r="D13962" i="1"/>
  <c r="E13962" i="1" s="1"/>
  <c r="E13961" i="1"/>
  <c r="D13961" i="1"/>
  <c r="D13960" i="1"/>
  <c r="E13960" i="1" s="1"/>
  <c r="D13959" i="1"/>
  <c r="E13959" i="1" s="1"/>
  <c r="D13958" i="1"/>
  <c r="E13958" i="1" s="1"/>
  <c r="D13957" i="1"/>
  <c r="E13957" i="1" s="1"/>
  <c r="D13956" i="1"/>
  <c r="E13956" i="1" s="1"/>
  <c r="E13955" i="1"/>
  <c r="D13955" i="1"/>
  <c r="E13954" i="1"/>
  <c r="D13954" i="1"/>
  <c r="D13953" i="1"/>
  <c r="E13953" i="1" s="1"/>
  <c r="D13952" i="1"/>
  <c r="E13952" i="1" s="1"/>
  <c r="D13951" i="1"/>
  <c r="E13951" i="1" s="1"/>
  <c r="D13950" i="1"/>
  <c r="E13950" i="1" s="1"/>
  <c r="D13949" i="1"/>
  <c r="E13949" i="1" s="1"/>
  <c r="D13948" i="1"/>
  <c r="E13948" i="1" s="1"/>
  <c r="D13947" i="1"/>
  <c r="E13947" i="1" s="1"/>
  <c r="D13946" i="1"/>
  <c r="E13946" i="1" s="1"/>
  <c r="D13945" i="1"/>
  <c r="E13945" i="1" s="1"/>
  <c r="D13944" i="1"/>
  <c r="E13944" i="1" s="1"/>
  <c r="D13943" i="1"/>
  <c r="E13943" i="1" s="1"/>
  <c r="D13942" i="1"/>
  <c r="E13942" i="1" s="1"/>
  <c r="D13941" i="1"/>
  <c r="E13941" i="1" s="1"/>
  <c r="D13940" i="1"/>
  <c r="E13940" i="1" s="1"/>
  <c r="D13939" i="1"/>
  <c r="E13939" i="1" s="1"/>
  <c r="D13938" i="1"/>
  <c r="E13938" i="1" s="1"/>
  <c r="E13937" i="1"/>
  <c r="D13937" i="1"/>
  <c r="E13936" i="1"/>
  <c r="D13936" i="1"/>
  <c r="D13935" i="1"/>
  <c r="E13935" i="1" s="1"/>
  <c r="D13934" i="1"/>
  <c r="E13934" i="1" s="1"/>
  <c r="D13933" i="1"/>
  <c r="E13933" i="1" s="1"/>
  <c r="E13932" i="1"/>
  <c r="D13932" i="1"/>
  <c r="D13931" i="1"/>
  <c r="E13931" i="1" s="1"/>
  <c r="D13930" i="1"/>
  <c r="E13930" i="1" s="1"/>
  <c r="D13929" i="1"/>
  <c r="E13929" i="1" s="1"/>
  <c r="D13928" i="1"/>
  <c r="E13928" i="1" s="1"/>
  <c r="E13927" i="1"/>
  <c r="D13927" i="1"/>
  <c r="D13926" i="1"/>
  <c r="E13926" i="1" s="1"/>
  <c r="D13925" i="1"/>
  <c r="E13925" i="1" s="1"/>
  <c r="D13924" i="1"/>
  <c r="E13924" i="1" s="1"/>
  <c r="D13923" i="1"/>
  <c r="E13923" i="1" s="1"/>
  <c r="D13922" i="1"/>
  <c r="E13922" i="1" s="1"/>
  <c r="D13921" i="1"/>
  <c r="E13921" i="1" s="1"/>
  <c r="E13920" i="1"/>
  <c r="D13920" i="1"/>
  <c r="D13919" i="1"/>
  <c r="E13919" i="1" s="1"/>
  <c r="D13918" i="1"/>
  <c r="E13918" i="1" s="1"/>
  <c r="E13917" i="1"/>
  <c r="D13917" i="1"/>
  <c r="E13916" i="1"/>
  <c r="D13916" i="1"/>
  <c r="E13915" i="1"/>
  <c r="D13915" i="1"/>
  <c r="D13914" i="1"/>
  <c r="E13914" i="1" s="1"/>
  <c r="E13913" i="1"/>
  <c r="D13913" i="1"/>
  <c r="E13912" i="1"/>
  <c r="D13912" i="1"/>
  <c r="D13911" i="1"/>
  <c r="E13911" i="1" s="1"/>
  <c r="D13910" i="1"/>
  <c r="E13910" i="1" s="1"/>
  <c r="E13909" i="1"/>
  <c r="D13909" i="1"/>
  <c r="E13908" i="1"/>
  <c r="D13908" i="1"/>
  <c r="D13907" i="1"/>
  <c r="E13907" i="1" s="1"/>
  <c r="D13906" i="1"/>
  <c r="E13906" i="1" s="1"/>
  <c r="E13905" i="1"/>
  <c r="D13905" i="1"/>
  <c r="D13904" i="1"/>
  <c r="E13904" i="1" s="1"/>
  <c r="D13903" i="1"/>
  <c r="E13903" i="1" s="1"/>
  <c r="D13902" i="1"/>
  <c r="E13902" i="1" s="1"/>
  <c r="E13901" i="1"/>
  <c r="D13901" i="1"/>
  <c r="D13900" i="1"/>
  <c r="E13900" i="1" s="1"/>
  <c r="D13899" i="1"/>
  <c r="E13899" i="1" s="1"/>
  <c r="D13898" i="1"/>
  <c r="E13898" i="1" s="1"/>
  <c r="D13897" i="1"/>
  <c r="E13897" i="1" s="1"/>
  <c r="D13896" i="1"/>
  <c r="E13896" i="1" s="1"/>
  <c r="D13895" i="1"/>
  <c r="E13895" i="1" s="1"/>
  <c r="D13894" i="1"/>
  <c r="E13894" i="1" s="1"/>
  <c r="E13893" i="1"/>
  <c r="D13893" i="1"/>
  <c r="D13892" i="1"/>
  <c r="E13892" i="1" s="1"/>
  <c r="D13891" i="1"/>
  <c r="E13891" i="1" s="1"/>
  <c r="D13890" i="1"/>
  <c r="E13890" i="1" s="1"/>
  <c r="D13889" i="1"/>
  <c r="E13889" i="1" s="1"/>
  <c r="D13888" i="1"/>
  <c r="E13888" i="1" s="1"/>
  <c r="D13887" i="1"/>
  <c r="E13887" i="1" s="1"/>
  <c r="D13886" i="1"/>
  <c r="E13886" i="1" s="1"/>
  <c r="E13885" i="1"/>
  <c r="D13885" i="1"/>
  <c r="E13884" i="1"/>
  <c r="D13884" i="1"/>
  <c r="E13883" i="1"/>
  <c r="D13883" i="1"/>
  <c r="E13882" i="1"/>
  <c r="D13882" i="1"/>
  <c r="E13881" i="1"/>
  <c r="D13881" i="1"/>
  <c r="D13880" i="1"/>
  <c r="E13880" i="1" s="1"/>
  <c r="D13879" i="1"/>
  <c r="E13879" i="1" s="1"/>
  <c r="D13878" i="1"/>
  <c r="E13878" i="1" s="1"/>
  <c r="D13877" i="1"/>
  <c r="E13877" i="1" s="1"/>
  <c r="E13876" i="1"/>
  <c r="D13876" i="1"/>
  <c r="D13875" i="1"/>
  <c r="E13875" i="1" s="1"/>
  <c r="D13874" i="1"/>
  <c r="E13874" i="1" s="1"/>
  <c r="E13873" i="1"/>
  <c r="D13873" i="1"/>
  <c r="D13872" i="1"/>
  <c r="E13872" i="1" s="1"/>
  <c r="D13871" i="1"/>
  <c r="E13871" i="1" s="1"/>
  <c r="D13870" i="1"/>
  <c r="E13870" i="1" s="1"/>
  <c r="D13869" i="1"/>
  <c r="E13869" i="1" s="1"/>
  <c r="D13868" i="1"/>
  <c r="E13868" i="1" s="1"/>
  <c r="D13867" i="1"/>
  <c r="E13867" i="1" s="1"/>
  <c r="D13866" i="1"/>
  <c r="E13866" i="1" s="1"/>
  <c r="D13865" i="1"/>
  <c r="E13865" i="1" s="1"/>
  <c r="E13864" i="1"/>
  <c r="D13864" i="1"/>
  <c r="D13863" i="1"/>
  <c r="E13863" i="1" s="1"/>
  <c r="D13862" i="1"/>
  <c r="E13862" i="1" s="1"/>
  <c r="D13861" i="1"/>
  <c r="E13861" i="1" s="1"/>
  <c r="D13860" i="1"/>
  <c r="E13860" i="1" s="1"/>
  <c r="D13859" i="1"/>
  <c r="E13859" i="1" s="1"/>
  <c r="E13858" i="1"/>
  <c r="D13858" i="1"/>
  <c r="E13857" i="1"/>
  <c r="D13857" i="1"/>
  <c r="E13856" i="1"/>
  <c r="D13856" i="1"/>
  <c r="E13855" i="1"/>
  <c r="D13855" i="1"/>
  <c r="D13854" i="1"/>
  <c r="E13854" i="1" s="1"/>
  <c r="D13853" i="1"/>
  <c r="E13853" i="1" s="1"/>
  <c r="E13852" i="1"/>
  <c r="D13852" i="1"/>
  <c r="D13851" i="1"/>
  <c r="E13851" i="1" s="1"/>
  <c r="D13850" i="1"/>
  <c r="E13850" i="1" s="1"/>
  <c r="D13849" i="1"/>
  <c r="E13849" i="1" s="1"/>
  <c r="E13848" i="1"/>
  <c r="D13848" i="1"/>
  <c r="E13847" i="1"/>
  <c r="D13847" i="1"/>
  <c r="E13846" i="1"/>
  <c r="D13846" i="1"/>
  <c r="D13845" i="1"/>
  <c r="E13845" i="1" s="1"/>
  <c r="D13844" i="1"/>
  <c r="E13844" i="1" s="1"/>
  <c r="D13843" i="1"/>
  <c r="E13843" i="1" s="1"/>
  <c r="D13842" i="1"/>
  <c r="E13842" i="1" s="1"/>
  <c r="E13841" i="1"/>
  <c r="D13841" i="1"/>
  <c r="E13840" i="1"/>
  <c r="D13840" i="1"/>
  <c r="D13839" i="1"/>
  <c r="E13839" i="1" s="1"/>
  <c r="D13838" i="1"/>
  <c r="E13838" i="1" s="1"/>
  <c r="D13837" i="1"/>
  <c r="E13837" i="1" s="1"/>
  <c r="E13836" i="1"/>
  <c r="D13836" i="1"/>
  <c r="D13835" i="1"/>
  <c r="E13835" i="1" s="1"/>
  <c r="D13834" i="1"/>
  <c r="E13834" i="1" s="1"/>
  <c r="D13833" i="1"/>
  <c r="E13833" i="1" s="1"/>
  <c r="D13832" i="1"/>
  <c r="E13832" i="1" s="1"/>
  <c r="E13831" i="1"/>
  <c r="D13831" i="1"/>
  <c r="D13830" i="1"/>
  <c r="E13830" i="1" s="1"/>
  <c r="D13829" i="1"/>
  <c r="E13829" i="1" s="1"/>
  <c r="E13828" i="1"/>
  <c r="D13828" i="1"/>
  <c r="D13827" i="1"/>
  <c r="E13827" i="1" s="1"/>
  <c r="D13826" i="1"/>
  <c r="E13826" i="1" s="1"/>
  <c r="D13825" i="1"/>
  <c r="E13825" i="1" s="1"/>
  <c r="D13824" i="1"/>
  <c r="E13824" i="1" s="1"/>
  <c r="E13823" i="1"/>
  <c r="D13823" i="1"/>
  <c r="D13822" i="1"/>
  <c r="E13822" i="1" s="1"/>
  <c r="D13821" i="1"/>
  <c r="E13821" i="1" s="1"/>
  <c r="D13820" i="1"/>
  <c r="E13820" i="1" s="1"/>
  <c r="D13819" i="1"/>
  <c r="E13819" i="1" s="1"/>
  <c r="D13818" i="1"/>
  <c r="E13818" i="1" s="1"/>
  <c r="D13817" i="1"/>
  <c r="E13817" i="1" s="1"/>
  <c r="D13816" i="1"/>
  <c r="E13816" i="1" s="1"/>
  <c r="E13815" i="1"/>
  <c r="D13815" i="1"/>
  <c r="D13814" i="1"/>
  <c r="E13814" i="1" s="1"/>
  <c r="E13813" i="1"/>
  <c r="D13813" i="1"/>
  <c r="D13812" i="1"/>
  <c r="E13812" i="1" s="1"/>
  <c r="D13811" i="1"/>
  <c r="E13811" i="1" s="1"/>
  <c r="E13810" i="1"/>
  <c r="D13810" i="1"/>
  <c r="D13809" i="1"/>
  <c r="E13809" i="1" s="1"/>
  <c r="D13808" i="1"/>
  <c r="E13808" i="1" s="1"/>
  <c r="D13807" i="1"/>
  <c r="E13807" i="1" s="1"/>
  <c r="D13806" i="1"/>
  <c r="E13806" i="1" s="1"/>
  <c r="D13805" i="1"/>
  <c r="E13805" i="1" s="1"/>
  <c r="D13804" i="1"/>
  <c r="E13804" i="1" s="1"/>
  <c r="D13803" i="1"/>
  <c r="E13803" i="1" s="1"/>
  <c r="D13802" i="1"/>
  <c r="E13802" i="1" s="1"/>
  <c r="E13801" i="1"/>
  <c r="D13801" i="1"/>
  <c r="E13800" i="1"/>
  <c r="D13800" i="1"/>
  <c r="D13799" i="1"/>
  <c r="E13799" i="1" s="1"/>
  <c r="D13798" i="1"/>
  <c r="E13798" i="1" s="1"/>
  <c r="E13797" i="1"/>
  <c r="D13797" i="1"/>
  <c r="D13796" i="1"/>
  <c r="E13796" i="1" s="1"/>
  <c r="D13795" i="1"/>
  <c r="E13795" i="1" s="1"/>
  <c r="D13794" i="1"/>
  <c r="E13794" i="1" s="1"/>
  <c r="E13793" i="1"/>
  <c r="D13793" i="1"/>
  <c r="D13792" i="1"/>
  <c r="E13792" i="1" s="1"/>
  <c r="D13791" i="1"/>
  <c r="E13791" i="1" s="1"/>
  <c r="D13790" i="1"/>
  <c r="E13790" i="1" s="1"/>
  <c r="D13789" i="1"/>
  <c r="E13789" i="1" s="1"/>
  <c r="E13788" i="1"/>
  <c r="D13788" i="1"/>
  <c r="E13787" i="1"/>
  <c r="D13787" i="1"/>
  <c r="D13786" i="1"/>
  <c r="E13786" i="1" s="1"/>
  <c r="D13785" i="1"/>
  <c r="E13785" i="1" s="1"/>
  <c r="E13784" i="1"/>
  <c r="D13784" i="1"/>
  <c r="D13783" i="1"/>
  <c r="E13783" i="1" s="1"/>
  <c r="D13782" i="1"/>
  <c r="E13782" i="1" s="1"/>
  <c r="E13781" i="1"/>
  <c r="D13781" i="1"/>
  <c r="E13780" i="1"/>
  <c r="D13780" i="1"/>
  <c r="D13779" i="1"/>
  <c r="E13779" i="1" s="1"/>
  <c r="D13778" i="1"/>
  <c r="E13778" i="1" s="1"/>
  <c r="E13777" i="1"/>
  <c r="D13777" i="1"/>
  <c r="D13776" i="1"/>
  <c r="E13776" i="1" s="1"/>
  <c r="E13775" i="1"/>
  <c r="D13775" i="1"/>
  <c r="E13774" i="1"/>
  <c r="D13774" i="1"/>
  <c r="D13773" i="1"/>
  <c r="E13773" i="1" s="1"/>
  <c r="D13772" i="1"/>
  <c r="E13772" i="1" s="1"/>
  <c r="E13771" i="1"/>
  <c r="D13771" i="1"/>
  <c r="D13770" i="1"/>
  <c r="E13770" i="1" s="1"/>
  <c r="E13769" i="1"/>
  <c r="D13769" i="1"/>
  <c r="E13768" i="1"/>
  <c r="D13768" i="1"/>
  <c r="E13767" i="1"/>
  <c r="D13767" i="1"/>
  <c r="D13766" i="1"/>
  <c r="E13766" i="1" s="1"/>
  <c r="E13765" i="1"/>
  <c r="D13765" i="1"/>
  <c r="E13764" i="1"/>
  <c r="D13764" i="1"/>
  <c r="D13763" i="1"/>
  <c r="E13763" i="1" s="1"/>
  <c r="E13762" i="1"/>
  <c r="D13762" i="1"/>
  <c r="E13761" i="1"/>
  <c r="D13761" i="1"/>
  <c r="D13760" i="1"/>
  <c r="E13760" i="1" s="1"/>
  <c r="D13759" i="1"/>
  <c r="E13759" i="1" s="1"/>
  <c r="D13758" i="1"/>
  <c r="E13758" i="1" s="1"/>
  <c r="D13757" i="1"/>
  <c r="E13757" i="1" s="1"/>
  <c r="E13756" i="1"/>
  <c r="D13756" i="1"/>
  <c r="E13755" i="1"/>
  <c r="D13755" i="1"/>
  <c r="D13754" i="1"/>
  <c r="E13754" i="1" s="1"/>
  <c r="D13753" i="1"/>
  <c r="E13753" i="1" s="1"/>
  <c r="E13752" i="1"/>
  <c r="D13752" i="1"/>
  <c r="E13751" i="1"/>
  <c r="D13751" i="1"/>
  <c r="D13750" i="1"/>
  <c r="E13750" i="1" s="1"/>
  <c r="E13749" i="1"/>
  <c r="D13749" i="1"/>
  <c r="E13748" i="1"/>
  <c r="D13748" i="1"/>
  <c r="D13747" i="1"/>
  <c r="E13747" i="1" s="1"/>
  <c r="D13746" i="1"/>
  <c r="E13746" i="1" s="1"/>
  <c r="D13745" i="1"/>
  <c r="E13745" i="1" s="1"/>
  <c r="D13744" i="1"/>
  <c r="E13744" i="1" s="1"/>
  <c r="E13743" i="1"/>
  <c r="D13743" i="1"/>
  <c r="D13742" i="1"/>
  <c r="E13742" i="1" s="1"/>
  <c r="D13741" i="1"/>
  <c r="E13741" i="1" s="1"/>
  <c r="D13740" i="1"/>
  <c r="E13740" i="1" s="1"/>
  <c r="E13739" i="1"/>
  <c r="D13739" i="1"/>
  <c r="E13738" i="1"/>
  <c r="D13738" i="1"/>
  <c r="D13737" i="1"/>
  <c r="E13737" i="1" s="1"/>
  <c r="E13736" i="1"/>
  <c r="D13736" i="1"/>
  <c r="E13735" i="1"/>
  <c r="D13735" i="1"/>
  <c r="D13734" i="1"/>
  <c r="E13734" i="1" s="1"/>
  <c r="E13733" i="1"/>
  <c r="D13733" i="1"/>
  <c r="D13732" i="1"/>
  <c r="E13732" i="1" s="1"/>
  <c r="D13731" i="1"/>
  <c r="E13731" i="1" s="1"/>
  <c r="E13730" i="1"/>
  <c r="D13730" i="1"/>
  <c r="E13729" i="1"/>
  <c r="D13729" i="1"/>
  <c r="E13728" i="1"/>
  <c r="D13728" i="1"/>
  <c r="D13727" i="1"/>
  <c r="E13727" i="1" s="1"/>
  <c r="D13726" i="1"/>
  <c r="E13726" i="1" s="1"/>
  <c r="D13725" i="1"/>
  <c r="E13725" i="1" s="1"/>
  <c r="E13724" i="1"/>
  <c r="D13724" i="1"/>
  <c r="D13723" i="1"/>
  <c r="E13723" i="1" s="1"/>
  <c r="D13722" i="1"/>
  <c r="E13722" i="1" s="1"/>
  <c r="D13721" i="1"/>
  <c r="E13721" i="1" s="1"/>
  <c r="D13720" i="1"/>
  <c r="E13720" i="1" s="1"/>
  <c r="E13719" i="1"/>
  <c r="D13719" i="1"/>
  <c r="D13718" i="1"/>
  <c r="E13718" i="1" s="1"/>
  <c r="D13717" i="1"/>
  <c r="E13717" i="1" s="1"/>
  <c r="D13716" i="1"/>
  <c r="E13716" i="1" s="1"/>
  <c r="D13715" i="1"/>
  <c r="E13715" i="1" s="1"/>
  <c r="E13714" i="1"/>
  <c r="D13714" i="1"/>
  <c r="E13713" i="1"/>
  <c r="D13713" i="1"/>
  <c r="D13712" i="1"/>
  <c r="E13712" i="1" s="1"/>
  <c r="E13711" i="1"/>
  <c r="D13711" i="1"/>
  <c r="D13710" i="1"/>
  <c r="E13710" i="1" s="1"/>
  <c r="D13709" i="1"/>
  <c r="E13709" i="1" s="1"/>
  <c r="E13708" i="1"/>
  <c r="D13708" i="1"/>
  <c r="D13707" i="1"/>
  <c r="E13707" i="1" s="1"/>
  <c r="D13706" i="1"/>
  <c r="E13706" i="1" s="1"/>
  <c r="E13705" i="1"/>
  <c r="D13705" i="1"/>
  <c r="E13704" i="1"/>
  <c r="D13704" i="1"/>
  <c r="E13703" i="1"/>
  <c r="D13703" i="1"/>
  <c r="D13702" i="1"/>
  <c r="E13702" i="1" s="1"/>
  <c r="D13701" i="1"/>
  <c r="E13701" i="1" s="1"/>
  <c r="D13700" i="1"/>
  <c r="E13700" i="1" s="1"/>
  <c r="E13699" i="1"/>
  <c r="D13699" i="1"/>
  <c r="D13698" i="1"/>
  <c r="E13698" i="1" s="1"/>
  <c r="E13697" i="1"/>
  <c r="D13697" i="1"/>
  <c r="D13696" i="1"/>
  <c r="E13696" i="1" s="1"/>
  <c r="D13695" i="1"/>
  <c r="E13695" i="1" s="1"/>
  <c r="E13694" i="1"/>
  <c r="D13694" i="1"/>
  <c r="D13693" i="1"/>
  <c r="E13693" i="1" s="1"/>
  <c r="D13692" i="1"/>
  <c r="E13692" i="1" s="1"/>
  <c r="D13691" i="1"/>
  <c r="E13691" i="1" s="1"/>
  <c r="D13690" i="1"/>
  <c r="E13690" i="1" s="1"/>
  <c r="E13689" i="1"/>
  <c r="D13689" i="1"/>
  <c r="E13688" i="1"/>
  <c r="D13688" i="1"/>
  <c r="D13687" i="1"/>
  <c r="E13687" i="1" s="1"/>
  <c r="D13686" i="1"/>
  <c r="E13686" i="1" s="1"/>
  <c r="D13685" i="1"/>
  <c r="E13685" i="1" s="1"/>
  <c r="D13684" i="1"/>
  <c r="E13684" i="1" s="1"/>
  <c r="E13683" i="1"/>
  <c r="D13683" i="1"/>
  <c r="D13682" i="1"/>
  <c r="E13682" i="1" s="1"/>
  <c r="D13681" i="1"/>
  <c r="E13681" i="1" s="1"/>
  <c r="E13680" i="1"/>
  <c r="D13680" i="1"/>
  <c r="E13679" i="1"/>
  <c r="D13679" i="1"/>
  <c r="E13678" i="1"/>
  <c r="D13678" i="1"/>
  <c r="D13677" i="1"/>
  <c r="E13677" i="1" s="1"/>
  <c r="D13676" i="1"/>
  <c r="E13676" i="1" s="1"/>
  <c r="D13675" i="1"/>
  <c r="E13675" i="1" s="1"/>
  <c r="D13674" i="1"/>
  <c r="E13674" i="1" s="1"/>
  <c r="E13673" i="1"/>
  <c r="D13673" i="1"/>
  <c r="E13672" i="1"/>
  <c r="D13672" i="1"/>
  <c r="D13671" i="1"/>
  <c r="E13671" i="1" s="1"/>
  <c r="D13670" i="1"/>
  <c r="E13670" i="1" s="1"/>
  <c r="E13669" i="1"/>
  <c r="D13669" i="1"/>
  <c r="D13668" i="1"/>
  <c r="E13668" i="1" s="1"/>
  <c r="D13667" i="1"/>
  <c r="E13667" i="1" s="1"/>
  <c r="D13666" i="1"/>
  <c r="E13666" i="1" s="1"/>
  <c r="D13665" i="1"/>
  <c r="E13665" i="1" s="1"/>
  <c r="E13664" i="1"/>
  <c r="D13664" i="1"/>
  <c r="E13663" i="1"/>
  <c r="D13663" i="1"/>
  <c r="D13662" i="1"/>
  <c r="E13662" i="1" s="1"/>
  <c r="E13661" i="1"/>
  <c r="D13661" i="1"/>
  <c r="D13660" i="1"/>
  <c r="E13660" i="1" s="1"/>
  <c r="D13659" i="1"/>
  <c r="E13659" i="1" s="1"/>
  <c r="E13658" i="1"/>
  <c r="D13658" i="1"/>
  <c r="D13657" i="1"/>
  <c r="E13657" i="1" s="1"/>
  <c r="D13656" i="1"/>
  <c r="E13656" i="1" s="1"/>
  <c r="E13655" i="1"/>
  <c r="D13655" i="1"/>
  <c r="E13654" i="1"/>
  <c r="D13654" i="1"/>
  <c r="E13653" i="1"/>
  <c r="D13653" i="1"/>
  <c r="D13652" i="1"/>
  <c r="E13652" i="1" s="1"/>
  <c r="D13651" i="1"/>
  <c r="E13651" i="1" s="1"/>
  <c r="D13650" i="1"/>
  <c r="E13650" i="1" s="1"/>
  <c r="D13649" i="1"/>
  <c r="E13649" i="1" s="1"/>
  <c r="E13648" i="1"/>
  <c r="D13648" i="1"/>
  <c r="E13647" i="1"/>
  <c r="D13647" i="1"/>
  <c r="D13646" i="1"/>
  <c r="E13646" i="1" s="1"/>
  <c r="D13645" i="1"/>
  <c r="E13645" i="1" s="1"/>
  <c r="E13644" i="1"/>
  <c r="D13644" i="1"/>
  <c r="D13643" i="1"/>
  <c r="E13643" i="1" s="1"/>
  <c r="D13642" i="1"/>
  <c r="E13642" i="1" s="1"/>
  <c r="D13641" i="1"/>
  <c r="E13641" i="1" s="1"/>
  <c r="D13640" i="1"/>
  <c r="E13640" i="1" s="1"/>
  <c r="E13639" i="1"/>
  <c r="D13639" i="1"/>
  <c r="D13638" i="1"/>
  <c r="E13638" i="1" s="1"/>
  <c r="D13637" i="1"/>
  <c r="E13637" i="1" s="1"/>
  <c r="E13636" i="1"/>
  <c r="D13636" i="1"/>
  <c r="D13635" i="1"/>
  <c r="E13635" i="1" s="1"/>
  <c r="D13634" i="1"/>
  <c r="E13634" i="1" s="1"/>
  <c r="E13633" i="1"/>
  <c r="D13633" i="1"/>
  <c r="D13632" i="1"/>
  <c r="E13632" i="1" s="1"/>
  <c r="D13631" i="1"/>
  <c r="E13631" i="1" s="1"/>
  <c r="E13630" i="1"/>
  <c r="D13630" i="1"/>
  <c r="E13629" i="1"/>
  <c r="D13629" i="1"/>
  <c r="E13628" i="1"/>
  <c r="D13628" i="1"/>
  <c r="D13627" i="1"/>
  <c r="E13627" i="1" s="1"/>
  <c r="D13626" i="1"/>
  <c r="E13626" i="1" s="1"/>
  <c r="E13625" i="1"/>
  <c r="D13625" i="1"/>
  <c r="D13624" i="1"/>
  <c r="E13624" i="1" s="1"/>
  <c r="E13623" i="1"/>
  <c r="D13623" i="1"/>
  <c r="E13622" i="1"/>
  <c r="D13622" i="1"/>
  <c r="D13621" i="1"/>
  <c r="E13621" i="1" s="1"/>
  <c r="D13620" i="1"/>
  <c r="E13620" i="1" s="1"/>
  <c r="E13619" i="1"/>
  <c r="D13619" i="1"/>
  <c r="D13618" i="1"/>
  <c r="E13618" i="1" s="1"/>
  <c r="D13617" i="1"/>
  <c r="E13617" i="1" s="1"/>
  <c r="D13616" i="1"/>
  <c r="E13616" i="1" s="1"/>
  <c r="D13615" i="1"/>
  <c r="E13615" i="1" s="1"/>
  <c r="D13614" i="1"/>
  <c r="E13614" i="1" s="1"/>
  <c r="D13613" i="1"/>
  <c r="E13613" i="1" s="1"/>
  <c r="D13612" i="1"/>
  <c r="E13612" i="1" s="1"/>
  <c r="E13611" i="1"/>
  <c r="D13611" i="1"/>
  <c r="D13610" i="1"/>
  <c r="E13610" i="1" s="1"/>
  <c r="D13609" i="1"/>
  <c r="E13609" i="1" s="1"/>
  <c r="E13608" i="1"/>
  <c r="D13608" i="1"/>
  <c r="D13607" i="1"/>
  <c r="E13607" i="1" s="1"/>
  <c r="D13606" i="1"/>
  <c r="E13606" i="1" s="1"/>
  <c r="E13605" i="1"/>
  <c r="D13605" i="1"/>
  <c r="E13604" i="1"/>
  <c r="D13604" i="1"/>
  <c r="E13603" i="1"/>
  <c r="D13603" i="1"/>
  <c r="D13602" i="1"/>
  <c r="E13602" i="1" s="1"/>
  <c r="E13601" i="1"/>
  <c r="D13601" i="1"/>
  <c r="E13600" i="1"/>
  <c r="D13600" i="1"/>
  <c r="D13599" i="1"/>
  <c r="E13599" i="1" s="1"/>
  <c r="E13598" i="1"/>
  <c r="D13598" i="1"/>
  <c r="E13597" i="1"/>
  <c r="D13597" i="1"/>
  <c r="D13596" i="1"/>
  <c r="E13596" i="1" s="1"/>
  <c r="D13595" i="1"/>
  <c r="E13595" i="1" s="1"/>
  <c r="E13594" i="1"/>
  <c r="D13594" i="1"/>
  <c r="D13593" i="1"/>
  <c r="E13593" i="1" s="1"/>
  <c r="D13592" i="1"/>
  <c r="E13592" i="1" s="1"/>
  <c r="D13591" i="1"/>
  <c r="E13591" i="1" s="1"/>
  <c r="D13590" i="1"/>
  <c r="E13590" i="1" s="1"/>
  <c r="D13589" i="1"/>
  <c r="E13589" i="1" s="1"/>
  <c r="D13588" i="1"/>
  <c r="E13588" i="1" s="1"/>
  <c r="D13587" i="1"/>
  <c r="E13587" i="1" s="1"/>
  <c r="E13586" i="1"/>
  <c r="D13586" i="1"/>
  <c r="D13585" i="1"/>
  <c r="E13585" i="1" s="1"/>
  <c r="D13584" i="1"/>
  <c r="E13584" i="1" s="1"/>
  <c r="E13583" i="1"/>
  <c r="D13583" i="1"/>
  <c r="D13582" i="1"/>
  <c r="E13582" i="1" s="1"/>
  <c r="D13581" i="1"/>
  <c r="E13581" i="1" s="1"/>
  <c r="E13580" i="1"/>
  <c r="D13580" i="1"/>
  <c r="E13579" i="1"/>
  <c r="D13579" i="1"/>
  <c r="D13578" i="1"/>
  <c r="E13578" i="1" s="1"/>
  <c r="D13577" i="1"/>
  <c r="E13577" i="1" s="1"/>
  <c r="E13576" i="1"/>
  <c r="D13576" i="1"/>
  <c r="E13575" i="1"/>
  <c r="D13575" i="1"/>
  <c r="D13574" i="1"/>
  <c r="E13574" i="1" s="1"/>
  <c r="E13573" i="1"/>
  <c r="D13573" i="1"/>
  <c r="E13572" i="1"/>
  <c r="D13572" i="1"/>
  <c r="D13571" i="1"/>
  <c r="E13571" i="1" s="1"/>
  <c r="D13570" i="1"/>
  <c r="E13570" i="1" s="1"/>
  <c r="E13569" i="1"/>
  <c r="D13569" i="1"/>
  <c r="D13568" i="1"/>
  <c r="E13568" i="1" s="1"/>
  <c r="D13567" i="1"/>
  <c r="E13567" i="1" s="1"/>
  <c r="D13566" i="1"/>
  <c r="E13566" i="1" s="1"/>
  <c r="E13565" i="1"/>
  <c r="D13565" i="1"/>
  <c r="D13564" i="1"/>
  <c r="E13564" i="1" s="1"/>
  <c r="D13563" i="1"/>
  <c r="E13563" i="1" s="1"/>
  <c r="D13562" i="1"/>
  <c r="E13562" i="1" s="1"/>
  <c r="E13561" i="1"/>
  <c r="D13561" i="1"/>
  <c r="D13560" i="1"/>
  <c r="E13560" i="1" s="1"/>
  <c r="D13559" i="1"/>
  <c r="E13559" i="1" s="1"/>
  <c r="E13558" i="1"/>
  <c r="D13558" i="1"/>
  <c r="D13557" i="1"/>
  <c r="E13557" i="1" s="1"/>
  <c r="D13556" i="1"/>
  <c r="E13556" i="1" s="1"/>
  <c r="E13555" i="1"/>
  <c r="D13555" i="1"/>
  <c r="D13554" i="1"/>
  <c r="E13554" i="1" s="1"/>
  <c r="D13553" i="1"/>
  <c r="E13553" i="1" s="1"/>
  <c r="D13552" i="1"/>
  <c r="E13552" i="1" s="1"/>
  <c r="E13551" i="1"/>
  <c r="D13551" i="1"/>
  <c r="E13550" i="1"/>
  <c r="D13550" i="1"/>
  <c r="D13549" i="1"/>
  <c r="E13549" i="1" s="1"/>
  <c r="E13548" i="1"/>
  <c r="D13548" i="1"/>
  <c r="E13547" i="1"/>
  <c r="D13547" i="1"/>
  <c r="D13546" i="1"/>
  <c r="E13546" i="1" s="1"/>
  <c r="D13545" i="1"/>
  <c r="E13545" i="1" s="1"/>
  <c r="E13544" i="1"/>
  <c r="D13544" i="1"/>
  <c r="D13543" i="1"/>
  <c r="E13543" i="1" s="1"/>
  <c r="D13542" i="1"/>
  <c r="E13542" i="1" s="1"/>
  <c r="E13541" i="1"/>
  <c r="D13541" i="1"/>
  <c r="E13540" i="1"/>
  <c r="D13540" i="1"/>
  <c r="D13539" i="1"/>
  <c r="E13539" i="1" s="1"/>
  <c r="D13538" i="1"/>
  <c r="E13538" i="1" s="1"/>
  <c r="D13537" i="1"/>
  <c r="E13537" i="1" s="1"/>
  <c r="E13536" i="1"/>
  <c r="D13536" i="1"/>
  <c r="D13535" i="1"/>
  <c r="E13535" i="1" s="1"/>
  <c r="D13534" i="1"/>
  <c r="E13534" i="1" s="1"/>
  <c r="E13533" i="1"/>
  <c r="D13533" i="1"/>
  <c r="D13532" i="1"/>
  <c r="E13532" i="1" s="1"/>
  <c r="D13531" i="1"/>
  <c r="E13531" i="1" s="1"/>
  <c r="E13530" i="1"/>
  <c r="D13530" i="1"/>
  <c r="E13529" i="1"/>
  <c r="D13529" i="1"/>
  <c r="E13528" i="1"/>
  <c r="D13528" i="1"/>
  <c r="D13527" i="1"/>
  <c r="E13527" i="1" s="1"/>
  <c r="D13526" i="1"/>
  <c r="E13526" i="1" s="1"/>
  <c r="D13525" i="1"/>
  <c r="E13525" i="1" s="1"/>
  <c r="E13524" i="1"/>
  <c r="D13524" i="1"/>
  <c r="D13523" i="1"/>
  <c r="E13523" i="1" s="1"/>
  <c r="D13522" i="1"/>
  <c r="E13522" i="1" s="1"/>
  <c r="E13521" i="1"/>
  <c r="D13521" i="1"/>
  <c r="D13520" i="1"/>
  <c r="E13520" i="1" s="1"/>
  <c r="D13519" i="1"/>
  <c r="E13519" i="1" s="1"/>
  <c r="E13518" i="1"/>
  <c r="D13518" i="1"/>
  <c r="E13517" i="1"/>
  <c r="D13517" i="1"/>
  <c r="E13516" i="1"/>
  <c r="D13516" i="1"/>
  <c r="D13515" i="1"/>
  <c r="E13515" i="1" s="1"/>
  <c r="D13514" i="1"/>
  <c r="E13514" i="1" s="1"/>
  <c r="D13513" i="1"/>
  <c r="E13513" i="1" s="1"/>
  <c r="E13512" i="1"/>
  <c r="D13512" i="1"/>
  <c r="D13511" i="1"/>
  <c r="E13511" i="1" s="1"/>
  <c r="D13510" i="1"/>
  <c r="E13510" i="1" s="1"/>
  <c r="E13509" i="1"/>
  <c r="D13509" i="1"/>
  <c r="D13508" i="1"/>
  <c r="E13508" i="1" s="1"/>
  <c r="D13507" i="1"/>
  <c r="E13507" i="1" s="1"/>
  <c r="E13506" i="1"/>
  <c r="D13506" i="1"/>
  <c r="E13505" i="1"/>
  <c r="D13505" i="1"/>
  <c r="E13504" i="1"/>
  <c r="D13504" i="1"/>
  <c r="D13503" i="1"/>
  <c r="E13503" i="1" s="1"/>
  <c r="D13502" i="1"/>
  <c r="E13502" i="1" s="1"/>
  <c r="D13501" i="1"/>
  <c r="E13501" i="1" s="1"/>
  <c r="E13500" i="1"/>
  <c r="D13500" i="1"/>
  <c r="D13499" i="1"/>
  <c r="E13499" i="1" s="1"/>
  <c r="D13498" i="1"/>
  <c r="E13498" i="1" s="1"/>
  <c r="E13497" i="1"/>
  <c r="D13497" i="1"/>
  <c r="D13496" i="1"/>
  <c r="E13496" i="1" s="1"/>
  <c r="D13495" i="1"/>
  <c r="E13495" i="1" s="1"/>
  <c r="E13494" i="1"/>
  <c r="D13494" i="1"/>
  <c r="E13493" i="1"/>
  <c r="D13493" i="1"/>
  <c r="E13492" i="1"/>
  <c r="D13492" i="1"/>
  <c r="D13491" i="1"/>
  <c r="E13491" i="1" s="1"/>
  <c r="D13490" i="1"/>
  <c r="E13490" i="1" s="1"/>
  <c r="D13489" i="1"/>
  <c r="E13489" i="1" s="1"/>
  <c r="E13488" i="1"/>
  <c r="D13488" i="1"/>
  <c r="D13487" i="1"/>
  <c r="E13487" i="1" s="1"/>
  <c r="D13486" i="1"/>
  <c r="E13486" i="1" s="1"/>
  <c r="E13485" i="1"/>
  <c r="D13485" i="1"/>
  <c r="D13484" i="1"/>
  <c r="E13484" i="1" s="1"/>
  <c r="D13483" i="1"/>
  <c r="E13483" i="1" s="1"/>
  <c r="E13482" i="1"/>
  <c r="D13482" i="1"/>
  <c r="E13481" i="1"/>
  <c r="D13481" i="1"/>
  <c r="E13480" i="1"/>
  <c r="D13480" i="1"/>
  <c r="D13479" i="1"/>
  <c r="E13479" i="1" s="1"/>
  <c r="D13478" i="1"/>
  <c r="E13478" i="1" s="1"/>
  <c r="D13477" i="1"/>
  <c r="E13477" i="1" s="1"/>
  <c r="E13476" i="1"/>
  <c r="D13476" i="1"/>
  <c r="D13475" i="1"/>
  <c r="E13475" i="1" s="1"/>
  <c r="D13474" i="1"/>
  <c r="E13474" i="1" s="1"/>
  <c r="E13473" i="1"/>
  <c r="D13473" i="1"/>
  <c r="D13472" i="1"/>
  <c r="E13472" i="1" s="1"/>
  <c r="D13471" i="1"/>
  <c r="E13471" i="1" s="1"/>
  <c r="E13470" i="1"/>
  <c r="D13470" i="1"/>
  <c r="E13469" i="1"/>
  <c r="D13469" i="1"/>
  <c r="E13468" i="1"/>
  <c r="D13468" i="1"/>
  <c r="D13467" i="1"/>
  <c r="E13467" i="1" s="1"/>
  <c r="D13466" i="1"/>
  <c r="E13466" i="1" s="1"/>
  <c r="D13465" i="1"/>
  <c r="E13465" i="1" s="1"/>
  <c r="E13464" i="1"/>
  <c r="D13464" i="1"/>
  <c r="D13463" i="1"/>
  <c r="E13463" i="1" s="1"/>
  <c r="D13462" i="1"/>
  <c r="E13462" i="1" s="1"/>
  <c r="E13461" i="1"/>
  <c r="D13461" i="1"/>
  <c r="D13460" i="1"/>
  <c r="E13460" i="1" s="1"/>
  <c r="D13459" i="1"/>
  <c r="E13459" i="1" s="1"/>
  <c r="E13458" i="1"/>
  <c r="D13458" i="1"/>
  <c r="E13457" i="1"/>
  <c r="D13457" i="1"/>
  <c r="E13456" i="1"/>
  <c r="D13456" i="1"/>
  <c r="D13455" i="1"/>
  <c r="E13455" i="1" s="1"/>
  <c r="D13454" i="1"/>
  <c r="E13454" i="1" s="1"/>
  <c r="D13453" i="1"/>
  <c r="E13453" i="1" s="1"/>
  <c r="E13452" i="1"/>
  <c r="D13452" i="1"/>
  <c r="D13451" i="1"/>
  <c r="E13451" i="1" s="1"/>
  <c r="D13450" i="1"/>
  <c r="E13450" i="1" s="1"/>
  <c r="E13449" i="1"/>
  <c r="D13449" i="1"/>
  <c r="D13448" i="1"/>
  <c r="E13448" i="1" s="1"/>
  <c r="D13447" i="1"/>
  <c r="E13447" i="1" s="1"/>
  <c r="E13446" i="1"/>
  <c r="D13446" i="1"/>
  <c r="E13445" i="1"/>
  <c r="D13445" i="1"/>
  <c r="E13444" i="1"/>
  <c r="D13444" i="1"/>
  <c r="D13443" i="1"/>
  <c r="E13443" i="1" s="1"/>
  <c r="D13442" i="1"/>
  <c r="E13442" i="1" s="1"/>
  <c r="D13441" i="1"/>
  <c r="E13441" i="1" s="1"/>
  <c r="E13440" i="1"/>
  <c r="D13440" i="1"/>
  <c r="D13439" i="1"/>
  <c r="E13439" i="1" s="1"/>
  <c r="D13438" i="1"/>
  <c r="E13438" i="1" s="1"/>
  <c r="E13437" i="1"/>
  <c r="D13437" i="1"/>
  <c r="D13436" i="1"/>
  <c r="E13436" i="1" s="1"/>
  <c r="D13435" i="1"/>
  <c r="E13435" i="1" s="1"/>
  <c r="E13434" i="1"/>
  <c r="D13434" i="1"/>
  <c r="D13433" i="1"/>
  <c r="E13433" i="1" s="1"/>
  <c r="E13432" i="1"/>
  <c r="D13432" i="1"/>
  <c r="E13431" i="1"/>
  <c r="D13431" i="1"/>
  <c r="D13430" i="1"/>
  <c r="E13430" i="1" s="1"/>
  <c r="D13429" i="1"/>
  <c r="E13429" i="1" s="1"/>
  <c r="E13428" i="1"/>
  <c r="D13428" i="1"/>
  <c r="D13427" i="1"/>
  <c r="E13427" i="1" s="1"/>
  <c r="D13426" i="1"/>
  <c r="E13426" i="1" s="1"/>
  <c r="E13425" i="1"/>
  <c r="D13425" i="1"/>
  <c r="D13424" i="1"/>
  <c r="E13424" i="1" s="1"/>
  <c r="D13423" i="1"/>
  <c r="E13423" i="1" s="1"/>
  <c r="E13422" i="1"/>
  <c r="D13422" i="1"/>
  <c r="D13421" i="1"/>
  <c r="E13421" i="1" s="1"/>
  <c r="E13420" i="1"/>
  <c r="D13420" i="1"/>
  <c r="E13419" i="1"/>
  <c r="D13419" i="1"/>
  <c r="D13418" i="1"/>
  <c r="E13418" i="1" s="1"/>
  <c r="D13417" i="1"/>
  <c r="E13417" i="1" s="1"/>
  <c r="E13416" i="1"/>
  <c r="D13416" i="1"/>
  <c r="D13415" i="1"/>
  <c r="E13415" i="1" s="1"/>
  <c r="D13414" i="1"/>
  <c r="E13414" i="1" s="1"/>
  <c r="E13413" i="1"/>
  <c r="D13413" i="1"/>
  <c r="D13412" i="1"/>
  <c r="E13412" i="1" s="1"/>
  <c r="D13411" i="1"/>
  <c r="E13411" i="1" s="1"/>
  <c r="E13410" i="1"/>
  <c r="D13410" i="1"/>
  <c r="D13409" i="1"/>
  <c r="E13409" i="1" s="1"/>
  <c r="E13408" i="1"/>
  <c r="D13408" i="1"/>
  <c r="D13407" i="1"/>
  <c r="E13407" i="1" s="1"/>
  <c r="D13406" i="1"/>
  <c r="E13406" i="1" s="1"/>
  <c r="D13405" i="1"/>
  <c r="E13405" i="1" s="1"/>
  <c r="E13404" i="1"/>
  <c r="D13404" i="1"/>
  <c r="D13403" i="1"/>
  <c r="E13403" i="1" s="1"/>
  <c r="D13402" i="1"/>
  <c r="E13402" i="1" s="1"/>
  <c r="E13401" i="1"/>
  <c r="D13401" i="1"/>
  <c r="D13400" i="1"/>
  <c r="E13400" i="1" s="1"/>
  <c r="D13399" i="1"/>
  <c r="E13399" i="1" s="1"/>
  <c r="E13398" i="1"/>
  <c r="D13398" i="1"/>
  <c r="E13397" i="1"/>
  <c r="D13397" i="1"/>
  <c r="E13396" i="1"/>
  <c r="D13396" i="1"/>
  <c r="D13395" i="1"/>
  <c r="E13395" i="1" s="1"/>
  <c r="D13394" i="1"/>
  <c r="E13394" i="1" s="1"/>
  <c r="D13393" i="1"/>
  <c r="E13393" i="1" s="1"/>
  <c r="E13392" i="1"/>
  <c r="D13392" i="1"/>
  <c r="D13391" i="1"/>
  <c r="E13391" i="1" s="1"/>
  <c r="D13390" i="1"/>
  <c r="E13390" i="1" s="1"/>
  <c r="E13389" i="1"/>
  <c r="D13389" i="1"/>
  <c r="D13388" i="1"/>
  <c r="E13388" i="1" s="1"/>
  <c r="D13387" i="1"/>
  <c r="E13387" i="1" s="1"/>
  <c r="E13386" i="1"/>
  <c r="D13386" i="1"/>
  <c r="D13385" i="1"/>
  <c r="E13385" i="1" s="1"/>
  <c r="E13384" i="1"/>
  <c r="D13384" i="1"/>
  <c r="E13383" i="1"/>
  <c r="D13383" i="1"/>
  <c r="D13382" i="1"/>
  <c r="E13382" i="1" s="1"/>
  <c r="D13381" i="1"/>
  <c r="E13381" i="1" s="1"/>
  <c r="E13380" i="1"/>
  <c r="D13380" i="1"/>
  <c r="D13379" i="1"/>
  <c r="E13379" i="1" s="1"/>
  <c r="D13378" i="1"/>
  <c r="E13378" i="1" s="1"/>
  <c r="E13377" i="1"/>
  <c r="D13377" i="1"/>
  <c r="D13376" i="1"/>
  <c r="E13376" i="1" s="1"/>
  <c r="D13375" i="1"/>
  <c r="E13375" i="1" s="1"/>
  <c r="E13374" i="1"/>
  <c r="D13374" i="1"/>
  <c r="D13373" i="1"/>
  <c r="E13373" i="1" s="1"/>
  <c r="E13372" i="1"/>
  <c r="D13372" i="1"/>
  <c r="E13371" i="1"/>
  <c r="D13371" i="1"/>
  <c r="D13370" i="1"/>
  <c r="E13370" i="1" s="1"/>
  <c r="D13369" i="1"/>
  <c r="E13369" i="1" s="1"/>
  <c r="E13368" i="1"/>
  <c r="D13368" i="1"/>
  <c r="D13367" i="1"/>
  <c r="E13367" i="1" s="1"/>
  <c r="D13366" i="1"/>
  <c r="E13366" i="1" s="1"/>
  <c r="E13365" i="1"/>
  <c r="D13365" i="1"/>
  <c r="D13364" i="1"/>
  <c r="E13364" i="1" s="1"/>
  <c r="D13363" i="1"/>
  <c r="E13363" i="1" s="1"/>
  <c r="E13362" i="1"/>
  <c r="D13362" i="1"/>
  <c r="D13361" i="1"/>
  <c r="E13361" i="1" s="1"/>
  <c r="E13360" i="1"/>
  <c r="D13360" i="1"/>
  <c r="D13359" i="1"/>
  <c r="E13359" i="1" s="1"/>
  <c r="D13358" i="1"/>
  <c r="E13358" i="1" s="1"/>
  <c r="D13357" i="1"/>
  <c r="E13357" i="1" s="1"/>
  <c r="E13356" i="1"/>
  <c r="D13356" i="1"/>
  <c r="D13355" i="1"/>
  <c r="E13355" i="1" s="1"/>
  <c r="D13354" i="1"/>
  <c r="E13354" i="1" s="1"/>
  <c r="E13353" i="1"/>
  <c r="D13353" i="1"/>
  <c r="D13352" i="1"/>
  <c r="E13352" i="1" s="1"/>
  <c r="D13351" i="1"/>
  <c r="E13351" i="1" s="1"/>
  <c r="E13350" i="1"/>
  <c r="D13350" i="1"/>
  <c r="E13349" i="1"/>
  <c r="D13349" i="1"/>
  <c r="D13348" i="1"/>
  <c r="E13348" i="1" s="1"/>
  <c r="D13347" i="1"/>
  <c r="E13347" i="1" s="1"/>
  <c r="D13346" i="1"/>
  <c r="E13346" i="1" s="1"/>
  <c r="D13345" i="1"/>
  <c r="E13345" i="1" s="1"/>
  <c r="E13344" i="1"/>
  <c r="D13344" i="1"/>
  <c r="D13343" i="1"/>
  <c r="E13343" i="1" s="1"/>
  <c r="D13342" i="1"/>
  <c r="E13342" i="1" s="1"/>
  <c r="E13341" i="1"/>
  <c r="D13341" i="1"/>
  <c r="D13340" i="1"/>
  <c r="E13340" i="1" s="1"/>
  <c r="D13339" i="1"/>
  <c r="E13339" i="1" s="1"/>
  <c r="E13338" i="1"/>
  <c r="D13338" i="1"/>
  <c r="D13337" i="1"/>
  <c r="E13337" i="1" s="1"/>
  <c r="E13336" i="1"/>
  <c r="D13336" i="1"/>
  <c r="E13335" i="1"/>
  <c r="D13335" i="1"/>
  <c r="D13334" i="1"/>
  <c r="E13334" i="1" s="1"/>
  <c r="D13333" i="1"/>
  <c r="E13333" i="1" s="1"/>
  <c r="E13332" i="1"/>
  <c r="D13332" i="1"/>
  <c r="D13331" i="1"/>
  <c r="E13331" i="1" s="1"/>
  <c r="D13330" i="1"/>
  <c r="E13330" i="1" s="1"/>
  <c r="E13329" i="1"/>
  <c r="D13329" i="1"/>
  <c r="D13328" i="1"/>
  <c r="E13328" i="1" s="1"/>
  <c r="D13327" i="1"/>
  <c r="E13327" i="1" s="1"/>
  <c r="E13326" i="1"/>
  <c r="D13326" i="1"/>
  <c r="D13325" i="1"/>
  <c r="E13325" i="1" s="1"/>
  <c r="E13324" i="1"/>
  <c r="D13324" i="1"/>
  <c r="E13323" i="1"/>
  <c r="D13323" i="1"/>
  <c r="D13322" i="1"/>
  <c r="E13322" i="1" s="1"/>
  <c r="D13321" i="1"/>
  <c r="E13321" i="1" s="1"/>
  <c r="E13320" i="1"/>
  <c r="D13320" i="1"/>
  <c r="D13319" i="1"/>
  <c r="E13319" i="1" s="1"/>
  <c r="D13318" i="1"/>
  <c r="E13318" i="1" s="1"/>
  <c r="E13317" i="1"/>
  <c r="D13317" i="1"/>
  <c r="D13316" i="1"/>
  <c r="E13316" i="1" s="1"/>
  <c r="D13315" i="1"/>
  <c r="E13315" i="1" s="1"/>
  <c r="E13314" i="1"/>
  <c r="D13314" i="1"/>
  <c r="D13313" i="1"/>
  <c r="E13313" i="1" s="1"/>
  <c r="E13312" i="1"/>
  <c r="D13312" i="1"/>
  <c r="D13311" i="1"/>
  <c r="E13311" i="1" s="1"/>
  <c r="D13310" i="1"/>
  <c r="E13310" i="1" s="1"/>
  <c r="D13309" i="1"/>
  <c r="E13309" i="1" s="1"/>
  <c r="E13308" i="1"/>
  <c r="D13308" i="1"/>
  <c r="D13307" i="1"/>
  <c r="E13307" i="1" s="1"/>
  <c r="D13306" i="1"/>
  <c r="E13306" i="1" s="1"/>
  <c r="E13305" i="1"/>
  <c r="D13305" i="1"/>
  <c r="D13304" i="1"/>
  <c r="E13304" i="1" s="1"/>
  <c r="D13303" i="1"/>
  <c r="E13303" i="1" s="1"/>
  <c r="E13302" i="1"/>
  <c r="D13302" i="1"/>
  <c r="E13301" i="1"/>
  <c r="D13301" i="1"/>
  <c r="D13300" i="1"/>
  <c r="E13300" i="1" s="1"/>
  <c r="E13299" i="1"/>
  <c r="D13299" i="1"/>
  <c r="D13298" i="1"/>
  <c r="E13298" i="1" s="1"/>
  <c r="D13297" i="1"/>
  <c r="E13297" i="1" s="1"/>
  <c r="E13296" i="1"/>
  <c r="D13296" i="1"/>
  <c r="D13295" i="1"/>
  <c r="E13295" i="1" s="1"/>
  <c r="D13294" i="1"/>
  <c r="E13294" i="1" s="1"/>
  <c r="E13293" i="1"/>
  <c r="D13293" i="1"/>
  <c r="D13292" i="1"/>
  <c r="E13292" i="1" s="1"/>
  <c r="D13291" i="1"/>
  <c r="E13291" i="1" s="1"/>
  <c r="E13290" i="1"/>
  <c r="D13290" i="1"/>
  <c r="D13289" i="1"/>
  <c r="E13289" i="1" s="1"/>
  <c r="E13288" i="1"/>
  <c r="D13288" i="1"/>
  <c r="E13287" i="1"/>
  <c r="D13287" i="1"/>
  <c r="D13286" i="1"/>
  <c r="E13286" i="1" s="1"/>
  <c r="D13285" i="1"/>
  <c r="E13285" i="1" s="1"/>
  <c r="E13284" i="1"/>
  <c r="D13284" i="1"/>
  <c r="D13283" i="1"/>
  <c r="E13283" i="1" s="1"/>
  <c r="D13282" i="1"/>
  <c r="E13282" i="1" s="1"/>
  <c r="E13281" i="1"/>
  <c r="D13281" i="1"/>
  <c r="D13280" i="1"/>
  <c r="E13280" i="1" s="1"/>
  <c r="D13279" i="1"/>
  <c r="E13279" i="1" s="1"/>
  <c r="D13278" i="1"/>
  <c r="E13278" i="1" s="1"/>
  <c r="D13277" i="1"/>
  <c r="E13277" i="1" s="1"/>
  <c r="E13276" i="1"/>
  <c r="D13276" i="1"/>
  <c r="E13275" i="1"/>
  <c r="D13275" i="1"/>
  <c r="D13274" i="1"/>
  <c r="E13274" i="1" s="1"/>
  <c r="D13273" i="1"/>
  <c r="E13273" i="1" s="1"/>
  <c r="E13272" i="1"/>
  <c r="D13272" i="1"/>
  <c r="D13271" i="1"/>
  <c r="E13271" i="1" s="1"/>
  <c r="D13270" i="1"/>
  <c r="E13270" i="1" s="1"/>
  <c r="E13269" i="1"/>
  <c r="D13269" i="1"/>
  <c r="D13268" i="1"/>
  <c r="E13268" i="1" s="1"/>
  <c r="D13267" i="1"/>
  <c r="E13267" i="1" s="1"/>
  <c r="D13266" i="1"/>
  <c r="E13266" i="1" s="1"/>
  <c r="D13265" i="1"/>
  <c r="E13265" i="1" s="1"/>
  <c r="E13264" i="1"/>
  <c r="D13264" i="1"/>
  <c r="D13263" i="1"/>
  <c r="E13263" i="1" s="1"/>
  <c r="D13262" i="1"/>
  <c r="E13262" i="1" s="1"/>
  <c r="D13261" i="1"/>
  <c r="E13261" i="1" s="1"/>
  <c r="E13260" i="1"/>
  <c r="D13260" i="1"/>
  <c r="D13259" i="1"/>
  <c r="E13259" i="1" s="1"/>
  <c r="D13258" i="1"/>
  <c r="E13258" i="1" s="1"/>
  <c r="E13257" i="1"/>
  <c r="D13257" i="1"/>
  <c r="D13256" i="1"/>
  <c r="E13256" i="1" s="1"/>
  <c r="D13255" i="1"/>
  <c r="E13255" i="1" s="1"/>
  <c r="E13254" i="1"/>
  <c r="D13254" i="1"/>
  <c r="E13253" i="1"/>
  <c r="D13253" i="1"/>
  <c r="D13252" i="1"/>
  <c r="E13252" i="1" s="1"/>
  <c r="D13251" i="1"/>
  <c r="E13251" i="1" s="1"/>
  <c r="D13250" i="1"/>
  <c r="E13250" i="1" s="1"/>
  <c r="D13249" i="1"/>
  <c r="E13249" i="1" s="1"/>
  <c r="E13248" i="1"/>
  <c r="D13248" i="1"/>
  <c r="D13247" i="1"/>
  <c r="E13247" i="1" s="1"/>
  <c r="D13246" i="1"/>
  <c r="E13246" i="1" s="1"/>
  <c r="E13245" i="1"/>
  <c r="D13245" i="1"/>
  <c r="D13244" i="1"/>
  <c r="E13244" i="1" s="1"/>
  <c r="D13243" i="1"/>
  <c r="E13243" i="1" s="1"/>
  <c r="E13242" i="1"/>
  <c r="D13242" i="1"/>
  <c r="D13241" i="1"/>
  <c r="E13241" i="1" s="1"/>
  <c r="E13240" i="1"/>
  <c r="D13240" i="1"/>
  <c r="E13239" i="1"/>
  <c r="D13239" i="1"/>
  <c r="D13238" i="1"/>
  <c r="E13238" i="1" s="1"/>
  <c r="D13237" i="1"/>
  <c r="E13237" i="1" s="1"/>
  <c r="E13236" i="1"/>
  <c r="D13236" i="1"/>
  <c r="D13235" i="1"/>
  <c r="E13235" i="1" s="1"/>
  <c r="D13234" i="1"/>
  <c r="E13234" i="1" s="1"/>
  <c r="E13233" i="1"/>
  <c r="D13233" i="1"/>
  <c r="D13232" i="1"/>
  <c r="E13232" i="1" s="1"/>
  <c r="D13231" i="1"/>
  <c r="E13231" i="1" s="1"/>
  <c r="D13230" i="1"/>
  <c r="E13230" i="1" s="1"/>
  <c r="E13229" i="1"/>
  <c r="D13229" i="1"/>
  <c r="E13228" i="1"/>
  <c r="D13228" i="1"/>
  <c r="E13227" i="1"/>
  <c r="D13227" i="1"/>
  <c r="D13226" i="1"/>
  <c r="E13226" i="1" s="1"/>
  <c r="D13225" i="1"/>
  <c r="E13225" i="1" s="1"/>
  <c r="E13224" i="1"/>
  <c r="D13224" i="1"/>
  <c r="D13223" i="1"/>
  <c r="E13223" i="1" s="1"/>
  <c r="D13222" i="1"/>
  <c r="E13222" i="1" s="1"/>
  <c r="E13221" i="1"/>
  <c r="D13221" i="1"/>
  <c r="D13220" i="1"/>
  <c r="E13220" i="1" s="1"/>
  <c r="D13219" i="1"/>
  <c r="E13219" i="1" s="1"/>
  <c r="D13218" i="1"/>
  <c r="E13218" i="1" s="1"/>
  <c r="D13217" i="1"/>
  <c r="E13217" i="1" s="1"/>
  <c r="E13216" i="1"/>
  <c r="D13216" i="1"/>
  <c r="D13215" i="1"/>
  <c r="E13215" i="1" s="1"/>
  <c r="D13214" i="1"/>
  <c r="E13214" i="1" s="1"/>
  <c r="D13213" i="1"/>
  <c r="E13213" i="1" s="1"/>
  <c r="E13212" i="1"/>
  <c r="D13212" i="1"/>
  <c r="D13211" i="1"/>
  <c r="E13211" i="1" s="1"/>
  <c r="D13210" i="1"/>
  <c r="E13210" i="1" s="1"/>
  <c r="E13209" i="1"/>
  <c r="D13209" i="1"/>
  <c r="D13208" i="1"/>
  <c r="E13208" i="1" s="1"/>
  <c r="D13207" i="1"/>
  <c r="E13207" i="1" s="1"/>
  <c r="E13206" i="1"/>
  <c r="D13206" i="1"/>
  <c r="E13205" i="1"/>
  <c r="D13205" i="1"/>
  <c r="D13204" i="1"/>
  <c r="E13204" i="1" s="1"/>
  <c r="D13203" i="1"/>
  <c r="E13203" i="1" s="1"/>
  <c r="D13202" i="1"/>
  <c r="E13202" i="1" s="1"/>
  <c r="D13201" i="1"/>
  <c r="E13201" i="1" s="1"/>
  <c r="E13200" i="1"/>
  <c r="D13200" i="1"/>
  <c r="D13199" i="1"/>
  <c r="E13199" i="1" s="1"/>
  <c r="D13198" i="1"/>
  <c r="E13198" i="1" s="1"/>
  <c r="E13197" i="1"/>
  <c r="D13197" i="1"/>
  <c r="D13196" i="1"/>
  <c r="E13196" i="1" s="1"/>
  <c r="D13195" i="1"/>
  <c r="E13195" i="1" s="1"/>
  <c r="E13194" i="1"/>
  <c r="D13194" i="1"/>
  <c r="D13193" i="1"/>
  <c r="E13193" i="1" s="1"/>
  <c r="E13192" i="1"/>
  <c r="D13192" i="1"/>
  <c r="E13191" i="1"/>
  <c r="D13191" i="1"/>
  <c r="D13190" i="1"/>
  <c r="E13190" i="1" s="1"/>
  <c r="D13189" i="1"/>
  <c r="E13189" i="1" s="1"/>
  <c r="D13188" i="1"/>
  <c r="E13188" i="1" s="1"/>
  <c r="D13187" i="1"/>
  <c r="E13187" i="1" s="1"/>
  <c r="D13186" i="1"/>
  <c r="E13186" i="1" s="1"/>
  <c r="E13185" i="1"/>
  <c r="D13185" i="1"/>
  <c r="D13184" i="1"/>
  <c r="E13184" i="1" s="1"/>
  <c r="D13183" i="1"/>
  <c r="E13183" i="1" s="1"/>
  <c r="D13182" i="1"/>
  <c r="E13182" i="1" s="1"/>
  <c r="E13181" i="1"/>
  <c r="D13181" i="1"/>
  <c r="E13180" i="1"/>
  <c r="D13180" i="1"/>
  <c r="E13179" i="1"/>
  <c r="D13179" i="1"/>
  <c r="D13178" i="1"/>
  <c r="E13178" i="1" s="1"/>
  <c r="D13177" i="1"/>
  <c r="E13177" i="1" s="1"/>
  <c r="E13176" i="1"/>
  <c r="D13176" i="1"/>
  <c r="D13175" i="1"/>
  <c r="E13175" i="1" s="1"/>
  <c r="D13174" i="1"/>
  <c r="E13174" i="1" s="1"/>
  <c r="E13173" i="1"/>
  <c r="D13173" i="1"/>
  <c r="D13172" i="1"/>
  <c r="E13172" i="1" s="1"/>
  <c r="D13171" i="1"/>
  <c r="E13171" i="1" s="1"/>
  <c r="D13170" i="1"/>
  <c r="E13170" i="1" s="1"/>
  <c r="E13169" i="1"/>
  <c r="D13169" i="1"/>
  <c r="E13168" i="1"/>
  <c r="D13168" i="1"/>
  <c r="D13167" i="1"/>
  <c r="E13167" i="1" s="1"/>
  <c r="D13166" i="1"/>
  <c r="E13166" i="1" s="1"/>
  <c r="D13165" i="1"/>
  <c r="E13165" i="1" s="1"/>
  <c r="E13164" i="1"/>
  <c r="D13164" i="1"/>
  <c r="D13163" i="1"/>
  <c r="E13163" i="1" s="1"/>
  <c r="D13162" i="1"/>
  <c r="E13162" i="1" s="1"/>
  <c r="E13161" i="1"/>
  <c r="D13161" i="1"/>
  <c r="D13160" i="1"/>
  <c r="E13160" i="1" s="1"/>
  <c r="D13159" i="1"/>
  <c r="E13159" i="1" s="1"/>
  <c r="E13158" i="1"/>
  <c r="D13158" i="1"/>
  <c r="E13157" i="1"/>
  <c r="D13157" i="1"/>
  <c r="D13156" i="1"/>
  <c r="E13156" i="1" s="1"/>
  <c r="D13155" i="1"/>
  <c r="E13155" i="1" s="1"/>
  <c r="D13154" i="1"/>
  <c r="E13154" i="1" s="1"/>
  <c r="D13153" i="1"/>
  <c r="E13153" i="1" s="1"/>
  <c r="E13152" i="1"/>
  <c r="D13152" i="1"/>
  <c r="D13151" i="1"/>
  <c r="E13151" i="1" s="1"/>
  <c r="D13150" i="1"/>
  <c r="E13150" i="1" s="1"/>
  <c r="E13149" i="1"/>
  <c r="D13149" i="1"/>
  <c r="D13148" i="1"/>
  <c r="E13148" i="1" s="1"/>
  <c r="D13147" i="1"/>
  <c r="E13147" i="1" s="1"/>
  <c r="E13146" i="1"/>
  <c r="D13146" i="1"/>
  <c r="E13145" i="1"/>
  <c r="D13145" i="1"/>
  <c r="E13144" i="1"/>
  <c r="D13144" i="1"/>
  <c r="E13143" i="1"/>
  <c r="D13143" i="1"/>
  <c r="D13142" i="1"/>
  <c r="E13142" i="1" s="1"/>
  <c r="D13141" i="1"/>
  <c r="E13141" i="1" s="1"/>
  <c r="D13140" i="1"/>
  <c r="E13140" i="1" s="1"/>
  <c r="D13139" i="1"/>
  <c r="E13139" i="1" s="1"/>
  <c r="D13138" i="1"/>
  <c r="E13138" i="1" s="1"/>
  <c r="E13137" i="1"/>
  <c r="D13137" i="1"/>
  <c r="D13136" i="1"/>
  <c r="E13136" i="1" s="1"/>
  <c r="D13135" i="1"/>
  <c r="E13135" i="1" s="1"/>
  <c r="D13134" i="1"/>
  <c r="E13134" i="1" s="1"/>
  <c r="E13133" i="1"/>
  <c r="D13133" i="1"/>
  <c r="E13132" i="1"/>
  <c r="D13132" i="1"/>
  <c r="E13131" i="1"/>
  <c r="D13131" i="1"/>
  <c r="D13130" i="1"/>
  <c r="E13130" i="1" s="1"/>
  <c r="D13129" i="1"/>
  <c r="E13129" i="1" s="1"/>
  <c r="E13128" i="1"/>
  <c r="D13128" i="1"/>
  <c r="D13127" i="1"/>
  <c r="E13127" i="1" s="1"/>
  <c r="D13126" i="1"/>
  <c r="E13126" i="1" s="1"/>
  <c r="E13125" i="1"/>
  <c r="D13125" i="1"/>
  <c r="D13124" i="1"/>
  <c r="E13124" i="1" s="1"/>
  <c r="D13123" i="1"/>
  <c r="E13123" i="1" s="1"/>
  <c r="D13122" i="1"/>
  <c r="E13122" i="1" s="1"/>
  <c r="E13121" i="1"/>
  <c r="D13121" i="1"/>
  <c r="E13120" i="1"/>
  <c r="D13120" i="1"/>
  <c r="D13119" i="1"/>
  <c r="E13119" i="1" s="1"/>
  <c r="D13118" i="1"/>
  <c r="E13118" i="1" s="1"/>
  <c r="D13117" i="1"/>
  <c r="E13117" i="1" s="1"/>
  <c r="E13116" i="1"/>
  <c r="D13116" i="1"/>
  <c r="D13115" i="1"/>
  <c r="E13115" i="1" s="1"/>
  <c r="D13114" i="1"/>
  <c r="E13114" i="1" s="1"/>
  <c r="E13113" i="1"/>
  <c r="D13113" i="1"/>
  <c r="D13112" i="1"/>
  <c r="E13112" i="1" s="1"/>
  <c r="D13111" i="1"/>
  <c r="E13111" i="1" s="1"/>
  <c r="E13110" i="1"/>
  <c r="D13110" i="1"/>
  <c r="E13109" i="1"/>
  <c r="D13109" i="1"/>
  <c r="D13108" i="1"/>
  <c r="E13108" i="1" s="1"/>
  <c r="D13107" i="1"/>
  <c r="E13107" i="1" s="1"/>
  <c r="D13106" i="1"/>
  <c r="E13106" i="1" s="1"/>
  <c r="D13105" i="1"/>
  <c r="E13105" i="1" s="1"/>
  <c r="E13104" i="1"/>
  <c r="D13104" i="1"/>
  <c r="D13103" i="1"/>
  <c r="E13103" i="1" s="1"/>
  <c r="D13102" i="1"/>
  <c r="E13102" i="1" s="1"/>
  <c r="E13101" i="1"/>
  <c r="D13101" i="1"/>
  <c r="D13100" i="1"/>
  <c r="E13100" i="1" s="1"/>
  <c r="D13099" i="1"/>
  <c r="E13099" i="1" s="1"/>
  <c r="E13098" i="1"/>
  <c r="D13098" i="1"/>
  <c r="E13097" i="1"/>
  <c r="D13097" i="1"/>
  <c r="E13096" i="1"/>
  <c r="D13096" i="1"/>
  <c r="E13095" i="1"/>
  <c r="D13095" i="1"/>
  <c r="D13094" i="1"/>
  <c r="E13094" i="1" s="1"/>
  <c r="D13093" i="1"/>
  <c r="E13093" i="1" s="1"/>
  <c r="D13092" i="1"/>
  <c r="E13092" i="1" s="1"/>
  <c r="D13091" i="1"/>
  <c r="E13091" i="1" s="1"/>
  <c r="D13090" i="1"/>
  <c r="E13090" i="1" s="1"/>
  <c r="E13089" i="1"/>
  <c r="D13089" i="1"/>
  <c r="E13088" i="1"/>
  <c r="D13088" i="1"/>
  <c r="D13087" i="1"/>
  <c r="E13087" i="1" s="1"/>
  <c r="E13086" i="1"/>
  <c r="D13086" i="1"/>
  <c r="E13085" i="1"/>
  <c r="D13085" i="1"/>
  <c r="E13084" i="1"/>
  <c r="D13084" i="1"/>
  <c r="E13083" i="1"/>
  <c r="D13083" i="1"/>
  <c r="D13082" i="1"/>
  <c r="E13082" i="1" s="1"/>
  <c r="D13081" i="1"/>
  <c r="E13081" i="1" s="1"/>
  <c r="E13080" i="1"/>
  <c r="D13080" i="1"/>
  <c r="D13079" i="1"/>
  <c r="E13079" i="1" s="1"/>
  <c r="D13078" i="1"/>
  <c r="E13078" i="1" s="1"/>
  <c r="E13077" i="1"/>
  <c r="D13077" i="1"/>
  <c r="D13076" i="1"/>
  <c r="E13076" i="1" s="1"/>
  <c r="E13075" i="1"/>
  <c r="D13075" i="1"/>
  <c r="E13074" i="1"/>
  <c r="D13074" i="1"/>
  <c r="D13073" i="1"/>
  <c r="E13073" i="1" s="1"/>
  <c r="E13072" i="1"/>
  <c r="D13072" i="1"/>
  <c r="E13071" i="1"/>
  <c r="D13071" i="1"/>
  <c r="D13070" i="1"/>
  <c r="E13070" i="1" s="1"/>
  <c r="D13069" i="1"/>
  <c r="E13069" i="1" s="1"/>
  <c r="E13068" i="1"/>
  <c r="D13068" i="1"/>
  <c r="D13067" i="1"/>
  <c r="E13067" i="1" s="1"/>
  <c r="D13066" i="1"/>
  <c r="E13066" i="1" s="1"/>
  <c r="E13065" i="1"/>
  <c r="D13065" i="1"/>
  <c r="E13064" i="1"/>
  <c r="D13064" i="1"/>
  <c r="D13063" i="1"/>
  <c r="E13063" i="1" s="1"/>
  <c r="D13062" i="1"/>
  <c r="E13062" i="1" s="1"/>
  <c r="E13061" i="1"/>
  <c r="D13061" i="1"/>
  <c r="E13060" i="1"/>
  <c r="D13060" i="1"/>
  <c r="D13059" i="1"/>
  <c r="E13059" i="1" s="1"/>
  <c r="D13058" i="1"/>
  <c r="E13058" i="1" s="1"/>
  <c r="D13057" i="1"/>
  <c r="E13057" i="1" s="1"/>
  <c r="E13056" i="1"/>
  <c r="D13056" i="1"/>
  <c r="D13055" i="1"/>
  <c r="E13055" i="1" s="1"/>
  <c r="D13054" i="1"/>
  <c r="E13054" i="1" s="1"/>
  <c r="E13053" i="1"/>
  <c r="D13053" i="1"/>
  <c r="E13052" i="1"/>
  <c r="D13052" i="1"/>
  <c r="E13051" i="1"/>
  <c r="D13051" i="1"/>
  <c r="E13050" i="1"/>
  <c r="D13050" i="1"/>
  <c r="D13049" i="1"/>
  <c r="E13049" i="1" s="1"/>
  <c r="D13048" i="1"/>
  <c r="E13048" i="1" s="1"/>
  <c r="E13047" i="1"/>
  <c r="D13047" i="1"/>
  <c r="D13046" i="1"/>
  <c r="E13046" i="1" s="1"/>
  <c r="D13045" i="1"/>
  <c r="E13045" i="1" s="1"/>
  <c r="D13044" i="1"/>
  <c r="E13044" i="1" s="1"/>
  <c r="D13043" i="1"/>
  <c r="E13043" i="1" s="1"/>
  <c r="D13042" i="1"/>
  <c r="E13042" i="1" s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D13035" i="1"/>
  <c r="E13035" i="1" s="1"/>
  <c r="D13034" i="1"/>
  <c r="E13034" i="1" s="1"/>
  <c r="D13033" i="1"/>
  <c r="E13033" i="1" s="1"/>
  <c r="E13032" i="1"/>
  <c r="D13032" i="1"/>
  <c r="D13031" i="1"/>
  <c r="E13031" i="1" s="1"/>
  <c r="D13030" i="1"/>
  <c r="E13030" i="1" s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D13022" i="1"/>
  <c r="E13022" i="1" s="1"/>
  <c r="D13021" i="1"/>
  <c r="E13021" i="1" s="1"/>
  <c r="D13020" i="1"/>
  <c r="E13020" i="1" s="1"/>
  <c r="D13019" i="1"/>
  <c r="E13019" i="1" s="1"/>
  <c r="D13018" i="1"/>
  <c r="E13018" i="1" s="1"/>
  <c r="E13017" i="1"/>
  <c r="D13017" i="1"/>
  <c r="E13016" i="1"/>
  <c r="D13016" i="1"/>
  <c r="D13015" i="1"/>
  <c r="E13015" i="1" s="1"/>
  <c r="E13014" i="1"/>
  <c r="D13014" i="1"/>
  <c r="E13013" i="1"/>
  <c r="D13013" i="1"/>
  <c r="E13012" i="1"/>
  <c r="D13012" i="1"/>
  <c r="E13011" i="1"/>
  <c r="D13011" i="1"/>
  <c r="D13010" i="1"/>
  <c r="E13010" i="1" s="1"/>
  <c r="D13009" i="1"/>
  <c r="E13009" i="1" s="1"/>
  <c r="E13008" i="1"/>
  <c r="D13008" i="1"/>
  <c r="D13007" i="1"/>
  <c r="E13007" i="1" s="1"/>
  <c r="D13006" i="1"/>
  <c r="E13006" i="1" s="1"/>
  <c r="D13005" i="1"/>
  <c r="E13005" i="1" s="1"/>
  <c r="D13004" i="1"/>
  <c r="E13004" i="1" s="1"/>
  <c r="E13003" i="1"/>
  <c r="D13003" i="1"/>
  <c r="E13002" i="1"/>
  <c r="D13002" i="1"/>
  <c r="D13001" i="1"/>
  <c r="E13001" i="1" s="1"/>
  <c r="E13000" i="1"/>
  <c r="D13000" i="1"/>
  <c r="E12999" i="1"/>
  <c r="D12999" i="1"/>
  <c r="D12998" i="1"/>
  <c r="E12998" i="1" s="1"/>
  <c r="D12997" i="1"/>
  <c r="E12997" i="1" s="1"/>
  <c r="E12996" i="1"/>
  <c r="D12996" i="1"/>
  <c r="D12995" i="1"/>
  <c r="E12995" i="1" s="1"/>
  <c r="D12994" i="1"/>
  <c r="E12994" i="1" s="1"/>
  <c r="E12993" i="1"/>
  <c r="D12993" i="1"/>
  <c r="E12992" i="1"/>
  <c r="D12992" i="1"/>
  <c r="D12991" i="1"/>
  <c r="E12991" i="1" s="1"/>
  <c r="D12990" i="1"/>
  <c r="E12990" i="1" s="1"/>
  <c r="E12989" i="1"/>
  <c r="D12989" i="1"/>
  <c r="E12988" i="1"/>
  <c r="D12988" i="1"/>
  <c r="D12987" i="1"/>
  <c r="E12987" i="1" s="1"/>
  <c r="D12986" i="1"/>
  <c r="E12986" i="1" s="1"/>
  <c r="D12985" i="1"/>
  <c r="E12985" i="1" s="1"/>
  <c r="E12984" i="1"/>
  <c r="D12984" i="1"/>
  <c r="D12983" i="1"/>
  <c r="E12983" i="1" s="1"/>
  <c r="D12982" i="1"/>
  <c r="E12982" i="1" s="1"/>
  <c r="E12981" i="1"/>
  <c r="D12981" i="1"/>
  <c r="E12980" i="1"/>
  <c r="D12980" i="1"/>
  <c r="E12979" i="1"/>
  <c r="D12979" i="1"/>
  <c r="E12978" i="1"/>
  <c r="D12978" i="1"/>
  <c r="D12977" i="1"/>
  <c r="E12977" i="1" s="1"/>
  <c r="D12976" i="1"/>
  <c r="E12976" i="1" s="1"/>
  <c r="E12975" i="1"/>
  <c r="D12975" i="1"/>
  <c r="D12974" i="1"/>
  <c r="E12974" i="1" s="1"/>
  <c r="D12973" i="1"/>
  <c r="E12973" i="1" s="1"/>
  <c r="D12972" i="1"/>
  <c r="E12972" i="1" s="1"/>
  <c r="D12971" i="1"/>
  <c r="E12971" i="1" s="1"/>
  <c r="D12970" i="1"/>
  <c r="E12970" i="1" s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D12963" i="1"/>
  <c r="E12963" i="1" s="1"/>
  <c r="D12962" i="1"/>
  <c r="E12962" i="1" s="1"/>
  <c r="D12961" i="1"/>
  <c r="E12961" i="1" s="1"/>
  <c r="E12960" i="1"/>
  <c r="D12960" i="1"/>
  <c r="D12959" i="1"/>
  <c r="E12959" i="1" s="1"/>
  <c r="D12958" i="1"/>
  <c r="E12958" i="1" s="1"/>
  <c r="D12957" i="1"/>
  <c r="E12957" i="1" s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D12950" i="1"/>
  <c r="E12950" i="1" s="1"/>
  <c r="D12949" i="1"/>
  <c r="E12949" i="1" s="1"/>
  <c r="D12948" i="1"/>
  <c r="E12948" i="1" s="1"/>
  <c r="D12947" i="1"/>
  <c r="E12947" i="1" s="1"/>
  <c r="D12946" i="1"/>
  <c r="E12946" i="1" s="1"/>
  <c r="E12945" i="1"/>
  <c r="D12945" i="1"/>
  <c r="E12944" i="1"/>
  <c r="D12944" i="1"/>
  <c r="D12943" i="1"/>
  <c r="E12943" i="1" s="1"/>
  <c r="E12942" i="1"/>
  <c r="D12942" i="1"/>
  <c r="E12941" i="1"/>
  <c r="D12941" i="1"/>
  <c r="E12940" i="1"/>
  <c r="D12940" i="1"/>
  <c r="E12939" i="1"/>
  <c r="D12939" i="1"/>
  <c r="D12938" i="1"/>
  <c r="E12938" i="1" s="1"/>
  <c r="D12937" i="1"/>
  <c r="E12937" i="1" s="1"/>
  <c r="E12936" i="1"/>
  <c r="D12936" i="1"/>
  <c r="D12935" i="1"/>
  <c r="E12935" i="1" s="1"/>
  <c r="D12934" i="1"/>
  <c r="E12934" i="1" s="1"/>
  <c r="D12933" i="1"/>
  <c r="E12933" i="1" s="1"/>
  <c r="D12932" i="1"/>
  <c r="E12932" i="1" s="1"/>
  <c r="E12931" i="1"/>
  <c r="D12931" i="1"/>
  <c r="E12930" i="1"/>
  <c r="D12930" i="1"/>
  <c r="D12929" i="1"/>
  <c r="E12929" i="1" s="1"/>
  <c r="E12928" i="1"/>
  <c r="D12928" i="1"/>
  <c r="E12927" i="1"/>
  <c r="D12927" i="1"/>
  <c r="D12926" i="1"/>
  <c r="E12926" i="1" s="1"/>
  <c r="D12925" i="1"/>
  <c r="E12925" i="1" s="1"/>
  <c r="E12924" i="1"/>
  <c r="D12924" i="1"/>
  <c r="D12923" i="1"/>
  <c r="E12923" i="1" s="1"/>
  <c r="D12922" i="1"/>
  <c r="E12922" i="1" s="1"/>
  <c r="E12921" i="1"/>
  <c r="D12921" i="1"/>
  <c r="E12920" i="1"/>
  <c r="D12920" i="1"/>
  <c r="D12919" i="1"/>
  <c r="E12919" i="1" s="1"/>
  <c r="D12918" i="1"/>
  <c r="E12918" i="1" s="1"/>
  <c r="E12917" i="1"/>
  <c r="D12917" i="1"/>
  <c r="E12916" i="1"/>
  <c r="D12916" i="1"/>
  <c r="D12915" i="1"/>
  <c r="E12915" i="1" s="1"/>
  <c r="D12914" i="1"/>
  <c r="E12914" i="1" s="1"/>
  <c r="D12913" i="1"/>
  <c r="E12913" i="1" s="1"/>
  <c r="E12912" i="1"/>
  <c r="D12912" i="1"/>
  <c r="D12911" i="1"/>
  <c r="E12911" i="1" s="1"/>
  <c r="D12910" i="1"/>
  <c r="E12910" i="1" s="1"/>
  <c r="E12909" i="1"/>
  <c r="D12909" i="1"/>
  <c r="E12908" i="1"/>
  <c r="D12908" i="1"/>
  <c r="E12907" i="1"/>
  <c r="D12907" i="1"/>
  <c r="E12906" i="1"/>
  <c r="D12906" i="1"/>
  <c r="D12905" i="1"/>
  <c r="E12905" i="1" s="1"/>
  <c r="D12904" i="1"/>
  <c r="E12904" i="1" s="1"/>
  <c r="E12903" i="1"/>
  <c r="D12903" i="1"/>
  <c r="D12902" i="1"/>
  <c r="E12902" i="1" s="1"/>
  <c r="D12901" i="1"/>
  <c r="E12901" i="1" s="1"/>
  <c r="D12900" i="1"/>
  <c r="E12900" i="1" s="1"/>
  <c r="D12899" i="1"/>
  <c r="E12899" i="1" s="1"/>
  <c r="D12898" i="1"/>
  <c r="E12898" i="1" s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D12891" i="1"/>
  <c r="E12891" i="1" s="1"/>
  <c r="D12890" i="1"/>
  <c r="E12890" i="1" s="1"/>
  <c r="D12889" i="1"/>
  <c r="E12889" i="1" s="1"/>
  <c r="E12888" i="1"/>
  <c r="D12888" i="1"/>
  <c r="D12887" i="1"/>
  <c r="E12887" i="1" s="1"/>
  <c r="D12886" i="1"/>
  <c r="E12886" i="1" s="1"/>
  <c r="D12885" i="1"/>
  <c r="E12885" i="1" s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D12878" i="1"/>
  <c r="E12878" i="1" s="1"/>
  <c r="D12877" i="1"/>
  <c r="E12877" i="1" s="1"/>
  <c r="D12876" i="1"/>
  <c r="E12876" i="1" s="1"/>
  <c r="D12875" i="1"/>
  <c r="E12875" i="1" s="1"/>
  <c r="D12874" i="1"/>
  <c r="E12874" i="1" s="1"/>
  <c r="E12873" i="1"/>
  <c r="D12873" i="1"/>
  <c r="E12872" i="1"/>
  <c r="D12872" i="1"/>
  <c r="D12871" i="1"/>
  <c r="E12871" i="1" s="1"/>
  <c r="E12870" i="1"/>
  <c r="D12870" i="1"/>
  <c r="E12869" i="1"/>
  <c r="D12869" i="1"/>
  <c r="E12868" i="1"/>
  <c r="D12868" i="1"/>
  <c r="E12867" i="1"/>
  <c r="D12867" i="1"/>
  <c r="D12866" i="1"/>
  <c r="E12866" i="1" s="1"/>
  <c r="D12865" i="1"/>
  <c r="E12865" i="1" s="1"/>
  <c r="E12864" i="1"/>
  <c r="D12864" i="1"/>
  <c r="D12863" i="1"/>
  <c r="E12863" i="1" s="1"/>
  <c r="D12862" i="1"/>
  <c r="E12862" i="1" s="1"/>
  <c r="D12861" i="1"/>
  <c r="E12861" i="1" s="1"/>
  <c r="D12860" i="1"/>
  <c r="E12860" i="1" s="1"/>
  <c r="E12859" i="1"/>
  <c r="D12859" i="1"/>
  <c r="E12858" i="1"/>
  <c r="D12858" i="1"/>
  <c r="D12857" i="1"/>
  <c r="E12857" i="1" s="1"/>
  <c r="E12856" i="1"/>
  <c r="D12856" i="1"/>
  <c r="E12855" i="1"/>
  <c r="D12855" i="1"/>
  <c r="D12854" i="1"/>
  <c r="E12854" i="1" s="1"/>
  <c r="D12853" i="1"/>
  <c r="E12853" i="1" s="1"/>
  <c r="E12852" i="1"/>
  <c r="D12852" i="1"/>
  <c r="D12851" i="1"/>
  <c r="E12851" i="1" s="1"/>
  <c r="D12850" i="1"/>
  <c r="E12850" i="1" s="1"/>
  <c r="E12849" i="1"/>
  <c r="D12849" i="1"/>
  <c r="E12848" i="1"/>
  <c r="D12848" i="1"/>
  <c r="D12847" i="1"/>
  <c r="E12847" i="1" s="1"/>
  <c r="D12846" i="1"/>
  <c r="E12846" i="1" s="1"/>
  <c r="E12845" i="1"/>
  <c r="D12845" i="1"/>
  <c r="E12844" i="1"/>
  <c r="D12844" i="1"/>
  <c r="D12843" i="1"/>
  <c r="E12843" i="1" s="1"/>
  <c r="D12842" i="1"/>
  <c r="E12842" i="1" s="1"/>
  <c r="D12841" i="1"/>
  <c r="E12841" i="1" s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D12834" i="1"/>
  <c r="E12834" i="1" s="1"/>
  <c r="D12833" i="1"/>
  <c r="E12833" i="1" s="1"/>
  <c r="E12832" i="1"/>
  <c r="D12832" i="1"/>
  <c r="E12831" i="1"/>
  <c r="D12831" i="1"/>
  <c r="D12830" i="1"/>
  <c r="E12830" i="1" s="1"/>
  <c r="D12829" i="1"/>
  <c r="E12829" i="1" s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D12821" i="1"/>
  <c r="E12821" i="1" s="1"/>
  <c r="D12820" i="1"/>
  <c r="E12820" i="1" s="1"/>
  <c r="E12819" i="1"/>
  <c r="D12819" i="1"/>
  <c r="D12818" i="1"/>
  <c r="E12818" i="1" s="1"/>
  <c r="D12817" i="1"/>
  <c r="E12817" i="1" s="1"/>
  <c r="D12816" i="1"/>
  <c r="E12816" i="1" s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D12808" i="1"/>
  <c r="E12808" i="1" s="1"/>
  <c r="D12807" i="1"/>
  <c r="E12807" i="1" s="1"/>
  <c r="D12806" i="1"/>
  <c r="E12806" i="1" s="1"/>
  <c r="D12805" i="1"/>
  <c r="E12805" i="1" s="1"/>
  <c r="E12804" i="1"/>
  <c r="D12804" i="1"/>
  <c r="D12803" i="1"/>
  <c r="E12803" i="1" s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D12795" i="1"/>
  <c r="E12795" i="1" s="1"/>
  <c r="D12794" i="1"/>
  <c r="E12794" i="1" s="1"/>
  <c r="D12793" i="1"/>
  <c r="E12793" i="1" s="1"/>
  <c r="E12792" i="1"/>
  <c r="D12792" i="1"/>
  <c r="E12791" i="1"/>
  <c r="D12791" i="1"/>
  <c r="D12790" i="1"/>
  <c r="E12790" i="1" s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D12782" i="1"/>
  <c r="E12782" i="1" s="1"/>
  <c r="D12781" i="1"/>
  <c r="E12781" i="1" s="1"/>
  <c r="D12780" i="1"/>
  <c r="E12780" i="1" s="1"/>
  <c r="E12779" i="1"/>
  <c r="D12779" i="1"/>
  <c r="E12778" i="1"/>
  <c r="D12778" i="1"/>
  <c r="D12777" i="1"/>
  <c r="E12777" i="1" s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D12770" i="1"/>
  <c r="E12770" i="1" s="1"/>
  <c r="D12769" i="1"/>
  <c r="E12769" i="1" s="1"/>
  <c r="D12768" i="1"/>
  <c r="E12768" i="1" s="1"/>
  <c r="D12767" i="1"/>
  <c r="E12767" i="1" s="1"/>
  <c r="E12766" i="1"/>
  <c r="D12766" i="1"/>
  <c r="E12765" i="1"/>
  <c r="D12765" i="1"/>
  <c r="D12764" i="1"/>
  <c r="E12764" i="1" s="1"/>
  <c r="E12763" i="1"/>
  <c r="D12763" i="1"/>
  <c r="E12762" i="1"/>
  <c r="D12762" i="1"/>
  <c r="E12761" i="1"/>
  <c r="D12761" i="1"/>
  <c r="E12760" i="1"/>
  <c r="D12760" i="1"/>
  <c r="E12759" i="1"/>
  <c r="D12759" i="1"/>
  <c r="D12758" i="1"/>
  <c r="E12758" i="1" s="1"/>
  <c r="D12757" i="1"/>
  <c r="E12757" i="1" s="1"/>
  <c r="E12756" i="1"/>
  <c r="D12756" i="1"/>
  <c r="D12755" i="1"/>
  <c r="E12755" i="1" s="1"/>
  <c r="D12754" i="1"/>
  <c r="E12754" i="1" s="1"/>
  <c r="E12753" i="1"/>
  <c r="D12753" i="1"/>
  <c r="E12752" i="1"/>
  <c r="D12752" i="1"/>
  <c r="D12751" i="1"/>
  <c r="E12751" i="1" s="1"/>
  <c r="E12750" i="1"/>
  <c r="D12750" i="1"/>
  <c r="E12749" i="1"/>
  <c r="D12749" i="1"/>
  <c r="E12748" i="1"/>
  <c r="D12748" i="1"/>
  <c r="E12747" i="1"/>
  <c r="D12747" i="1"/>
  <c r="D12746" i="1"/>
  <c r="E12746" i="1" s="1"/>
  <c r="D12745" i="1"/>
  <c r="E12745" i="1" s="1"/>
  <c r="E12744" i="1"/>
  <c r="D12744" i="1"/>
  <c r="E12743" i="1"/>
  <c r="D12743" i="1"/>
  <c r="D12742" i="1"/>
  <c r="E12742" i="1" s="1"/>
  <c r="D12741" i="1"/>
  <c r="E12741" i="1" s="1"/>
  <c r="E12740" i="1"/>
  <c r="D12740" i="1"/>
  <c r="E12739" i="1"/>
  <c r="D12739" i="1"/>
  <c r="D12738" i="1"/>
  <c r="E12738" i="1" s="1"/>
  <c r="E12737" i="1"/>
  <c r="D12737" i="1"/>
  <c r="E12736" i="1"/>
  <c r="D12736" i="1"/>
  <c r="E12735" i="1"/>
  <c r="D12735" i="1"/>
  <c r="D12734" i="1"/>
  <c r="E12734" i="1" s="1"/>
  <c r="D12733" i="1"/>
  <c r="E12733" i="1" s="1"/>
  <c r="E12732" i="1"/>
  <c r="D12732" i="1"/>
  <c r="E12731" i="1"/>
  <c r="D12731" i="1"/>
  <c r="E12730" i="1"/>
  <c r="D12730" i="1"/>
  <c r="D12729" i="1"/>
  <c r="E12729" i="1" s="1"/>
  <c r="D12728" i="1"/>
  <c r="E12728" i="1" s="1"/>
  <c r="E12727" i="1"/>
  <c r="D12727" i="1"/>
  <c r="E12726" i="1"/>
  <c r="D12726" i="1"/>
  <c r="D12725" i="1"/>
  <c r="E12725" i="1" s="1"/>
  <c r="E12724" i="1"/>
  <c r="D12724" i="1"/>
  <c r="E12723" i="1"/>
  <c r="D12723" i="1"/>
  <c r="D12722" i="1"/>
  <c r="E12722" i="1" s="1"/>
  <c r="E12721" i="1"/>
  <c r="D12721" i="1"/>
  <c r="D12720" i="1"/>
  <c r="E12720" i="1" s="1"/>
  <c r="D12719" i="1"/>
  <c r="E12719" i="1" s="1"/>
  <c r="D12718" i="1"/>
  <c r="E12718" i="1" s="1"/>
  <c r="E12717" i="1"/>
  <c r="D12717" i="1"/>
  <c r="E12716" i="1"/>
  <c r="D12716" i="1"/>
  <c r="D12715" i="1"/>
  <c r="E12715" i="1" s="1"/>
  <c r="D12714" i="1"/>
  <c r="E12714" i="1" s="1"/>
  <c r="E12713" i="1"/>
  <c r="D12713" i="1"/>
  <c r="D12712" i="1"/>
  <c r="E12712" i="1" s="1"/>
  <c r="D12711" i="1"/>
  <c r="E12711" i="1" s="1"/>
  <c r="D12710" i="1"/>
  <c r="E12710" i="1" s="1"/>
  <c r="E12709" i="1"/>
  <c r="D12709" i="1"/>
  <c r="D12708" i="1"/>
  <c r="E12708" i="1" s="1"/>
  <c r="D12707" i="1"/>
  <c r="E12707" i="1" s="1"/>
  <c r="D12706" i="1"/>
  <c r="E12706" i="1" s="1"/>
  <c r="E12705" i="1"/>
  <c r="D12705" i="1"/>
  <c r="E12704" i="1"/>
  <c r="D12704" i="1"/>
  <c r="D12703" i="1"/>
  <c r="E12703" i="1" s="1"/>
  <c r="D12702" i="1"/>
  <c r="E12702" i="1" s="1"/>
  <c r="E12701" i="1"/>
  <c r="D12701" i="1"/>
  <c r="D12700" i="1"/>
  <c r="E12700" i="1" s="1"/>
  <c r="D12699" i="1"/>
  <c r="E12699" i="1" s="1"/>
  <c r="D12698" i="1"/>
  <c r="E12698" i="1" s="1"/>
  <c r="E12697" i="1"/>
  <c r="D12697" i="1"/>
  <c r="D12696" i="1"/>
  <c r="E12696" i="1" s="1"/>
  <c r="D12695" i="1"/>
  <c r="E12695" i="1" s="1"/>
  <c r="D12694" i="1"/>
  <c r="E12694" i="1" s="1"/>
  <c r="E12693" i="1"/>
  <c r="D12693" i="1"/>
  <c r="E12692" i="1"/>
  <c r="D12692" i="1"/>
  <c r="D12691" i="1"/>
  <c r="E12691" i="1" s="1"/>
  <c r="D12690" i="1"/>
  <c r="E12690" i="1" s="1"/>
  <c r="E12689" i="1"/>
  <c r="D12689" i="1"/>
  <c r="D12688" i="1"/>
  <c r="E12688" i="1" s="1"/>
  <c r="D12687" i="1"/>
  <c r="E12687" i="1" s="1"/>
  <c r="D12686" i="1"/>
  <c r="E12686" i="1" s="1"/>
  <c r="E12685" i="1"/>
  <c r="D12685" i="1"/>
  <c r="D12684" i="1"/>
  <c r="E12684" i="1" s="1"/>
  <c r="D12683" i="1"/>
  <c r="E12683" i="1" s="1"/>
  <c r="D12682" i="1"/>
  <c r="E12682" i="1" s="1"/>
  <c r="E12681" i="1"/>
  <c r="D12681" i="1"/>
  <c r="E12680" i="1"/>
  <c r="D12680" i="1"/>
  <c r="D12679" i="1"/>
  <c r="E12679" i="1" s="1"/>
  <c r="D12678" i="1"/>
  <c r="E12678" i="1" s="1"/>
  <c r="E12677" i="1"/>
  <c r="D12677" i="1"/>
  <c r="D12676" i="1"/>
  <c r="E12676" i="1" s="1"/>
  <c r="D12675" i="1"/>
  <c r="E12675" i="1" s="1"/>
  <c r="D12674" i="1"/>
  <c r="E12674" i="1" s="1"/>
  <c r="E12673" i="1"/>
  <c r="D12673" i="1"/>
  <c r="D12672" i="1"/>
  <c r="E12672" i="1" s="1"/>
  <c r="D12671" i="1"/>
  <c r="E12671" i="1" s="1"/>
  <c r="D12670" i="1"/>
  <c r="E12670" i="1" s="1"/>
  <c r="E12669" i="1"/>
  <c r="D12669" i="1"/>
  <c r="E12668" i="1"/>
  <c r="D12668" i="1"/>
  <c r="D12667" i="1"/>
  <c r="E12667" i="1" s="1"/>
  <c r="D12666" i="1"/>
  <c r="E12666" i="1" s="1"/>
  <c r="E12665" i="1"/>
  <c r="D12665" i="1"/>
  <c r="D12664" i="1"/>
  <c r="E12664" i="1" s="1"/>
  <c r="D12663" i="1"/>
  <c r="E12663" i="1" s="1"/>
  <c r="D12662" i="1"/>
  <c r="E12662" i="1" s="1"/>
  <c r="E12661" i="1"/>
  <c r="D12661" i="1"/>
  <c r="D12660" i="1"/>
  <c r="E12660" i="1" s="1"/>
  <c r="D12659" i="1"/>
  <c r="E12659" i="1" s="1"/>
  <c r="D12658" i="1"/>
  <c r="E12658" i="1" s="1"/>
  <c r="E12657" i="1"/>
  <c r="D12657" i="1"/>
  <c r="E12656" i="1"/>
  <c r="D12656" i="1"/>
  <c r="D12655" i="1"/>
  <c r="E12655" i="1" s="1"/>
  <c r="D12654" i="1"/>
  <c r="E12654" i="1" s="1"/>
  <c r="E12653" i="1"/>
  <c r="D12653" i="1"/>
  <c r="D12652" i="1"/>
  <c r="E12652" i="1" s="1"/>
  <c r="D12651" i="1"/>
  <c r="E12651" i="1" s="1"/>
  <c r="D12650" i="1"/>
  <c r="E12650" i="1" s="1"/>
  <c r="E12649" i="1"/>
  <c r="D12649" i="1"/>
  <c r="D12648" i="1"/>
  <c r="E12648" i="1" s="1"/>
  <c r="D12647" i="1"/>
  <c r="E12647" i="1" s="1"/>
  <c r="D12646" i="1"/>
  <c r="E12646" i="1" s="1"/>
  <c r="E12645" i="1"/>
  <c r="D12645" i="1"/>
  <c r="E12644" i="1"/>
  <c r="D12644" i="1"/>
  <c r="D12643" i="1"/>
  <c r="E12643" i="1" s="1"/>
  <c r="D12642" i="1"/>
  <c r="E12642" i="1" s="1"/>
  <c r="E12641" i="1"/>
  <c r="D12641" i="1"/>
  <c r="D12640" i="1"/>
  <c r="E12640" i="1" s="1"/>
  <c r="D12639" i="1"/>
  <c r="E12639" i="1" s="1"/>
  <c r="D12638" i="1"/>
  <c r="E12638" i="1" s="1"/>
  <c r="E12637" i="1"/>
  <c r="D12637" i="1"/>
  <c r="D12636" i="1"/>
  <c r="E12636" i="1" s="1"/>
  <c r="D12635" i="1"/>
  <c r="E12635" i="1" s="1"/>
  <c r="D12634" i="1"/>
  <c r="E12634" i="1" s="1"/>
  <c r="E12633" i="1"/>
  <c r="D12633" i="1"/>
  <c r="E12632" i="1"/>
  <c r="D12632" i="1"/>
  <c r="D12631" i="1"/>
  <c r="E12631" i="1" s="1"/>
  <c r="D12630" i="1"/>
  <c r="E12630" i="1" s="1"/>
  <c r="E12629" i="1"/>
  <c r="D12629" i="1"/>
  <c r="D12628" i="1"/>
  <c r="E12628" i="1" s="1"/>
  <c r="D12627" i="1"/>
  <c r="E12627" i="1" s="1"/>
  <c r="D12626" i="1"/>
  <c r="E12626" i="1" s="1"/>
  <c r="E12625" i="1"/>
  <c r="D12625" i="1"/>
  <c r="D12624" i="1"/>
  <c r="E12624" i="1" s="1"/>
  <c r="D12623" i="1"/>
  <c r="E12623" i="1" s="1"/>
  <c r="D12622" i="1"/>
  <c r="E12622" i="1" s="1"/>
  <c r="E12621" i="1"/>
  <c r="D12621" i="1"/>
  <c r="E12620" i="1"/>
  <c r="D12620" i="1"/>
  <c r="D12619" i="1"/>
  <c r="E12619" i="1" s="1"/>
  <c r="D12618" i="1"/>
  <c r="E12618" i="1" s="1"/>
  <c r="E12617" i="1"/>
  <c r="D12617" i="1"/>
  <c r="D12616" i="1"/>
  <c r="E12616" i="1" s="1"/>
  <c r="D12615" i="1"/>
  <c r="E12615" i="1" s="1"/>
  <c r="D12614" i="1"/>
  <c r="E12614" i="1" s="1"/>
  <c r="E12613" i="1"/>
  <c r="D12613" i="1"/>
  <c r="D12612" i="1"/>
  <c r="E12612" i="1" s="1"/>
  <c r="D12611" i="1"/>
  <c r="E12611" i="1" s="1"/>
  <c r="D12610" i="1"/>
  <c r="E12610" i="1" s="1"/>
  <c r="E12609" i="1"/>
  <c r="D12609" i="1"/>
  <c r="E12608" i="1"/>
  <c r="D12608" i="1"/>
  <c r="D12607" i="1"/>
  <c r="E12607" i="1" s="1"/>
  <c r="D12606" i="1"/>
  <c r="E12606" i="1" s="1"/>
  <c r="E12605" i="1"/>
  <c r="D12605" i="1"/>
  <c r="D12604" i="1"/>
  <c r="E12604" i="1" s="1"/>
  <c r="D12603" i="1"/>
  <c r="E12603" i="1" s="1"/>
  <c r="D12602" i="1"/>
  <c r="E12602" i="1" s="1"/>
  <c r="E12601" i="1"/>
  <c r="D12601" i="1"/>
  <c r="D12600" i="1"/>
  <c r="E12600" i="1" s="1"/>
  <c r="D12599" i="1"/>
  <c r="E12599" i="1" s="1"/>
  <c r="D12598" i="1"/>
  <c r="E12598" i="1" s="1"/>
  <c r="E12597" i="1"/>
  <c r="D12597" i="1"/>
  <c r="E12596" i="1"/>
  <c r="D12596" i="1"/>
  <c r="D12595" i="1"/>
  <c r="E12595" i="1" s="1"/>
  <c r="D12594" i="1"/>
  <c r="E12594" i="1" s="1"/>
  <c r="E12593" i="1"/>
  <c r="D12593" i="1"/>
  <c r="D12592" i="1"/>
  <c r="E12592" i="1" s="1"/>
  <c r="D12591" i="1"/>
  <c r="E12591" i="1" s="1"/>
  <c r="D12590" i="1"/>
  <c r="E12590" i="1" s="1"/>
  <c r="E12589" i="1"/>
  <c r="D12589" i="1"/>
  <c r="D12588" i="1"/>
  <c r="E12588" i="1" s="1"/>
  <c r="D12587" i="1"/>
  <c r="E12587" i="1" s="1"/>
  <c r="D12586" i="1"/>
  <c r="E12586" i="1" s="1"/>
  <c r="E12585" i="1"/>
  <c r="D12585" i="1"/>
  <c r="E12584" i="1"/>
  <c r="D12584" i="1"/>
  <c r="D12583" i="1"/>
  <c r="E12583" i="1" s="1"/>
  <c r="D12582" i="1"/>
  <c r="E12582" i="1" s="1"/>
  <c r="E12581" i="1"/>
  <c r="D12581" i="1"/>
  <c r="D12580" i="1"/>
  <c r="E12580" i="1" s="1"/>
  <c r="D12579" i="1"/>
  <c r="E12579" i="1" s="1"/>
  <c r="D12578" i="1"/>
  <c r="E12578" i="1" s="1"/>
  <c r="E12577" i="1"/>
  <c r="D12577" i="1"/>
  <c r="D12576" i="1"/>
  <c r="E12576" i="1" s="1"/>
  <c r="D12575" i="1"/>
  <c r="E12575" i="1" s="1"/>
  <c r="D12574" i="1"/>
  <c r="E12574" i="1" s="1"/>
  <c r="E12573" i="1"/>
  <c r="D12573" i="1"/>
  <c r="E12572" i="1"/>
  <c r="D12572" i="1"/>
  <c r="D12571" i="1"/>
  <c r="E12571" i="1" s="1"/>
  <c r="D12570" i="1"/>
  <c r="E12570" i="1" s="1"/>
  <c r="E12569" i="1"/>
  <c r="D12569" i="1"/>
  <c r="D12568" i="1"/>
  <c r="E12568" i="1" s="1"/>
  <c r="D12567" i="1"/>
  <c r="E12567" i="1" s="1"/>
  <c r="D12566" i="1"/>
  <c r="E12566" i="1" s="1"/>
  <c r="E12565" i="1"/>
  <c r="D12565" i="1"/>
  <c r="D12564" i="1"/>
  <c r="E12564" i="1" s="1"/>
  <c r="D12563" i="1"/>
  <c r="E12563" i="1" s="1"/>
  <c r="D12562" i="1"/>
  <c r="E12562" i="1" s="1"/>
  <c r="E12561" i="1"/>
  <c r="D12561" i="1"/>
  <c r="E12560" i="1"/>
  <c r="D12560" i="1"/>
  <c r="D12559" i="1"/>
  <c r="E12559" i="1" s="1"/>
  <c r="D12558" i="1"/>
  <c r="E12558" i="1" s="1"/>
  <c r="E12557" i="1"/>
  <c r="D12557" i="1"/>
  <c r="D12556" i="1"/>
  <c r="E12556" i="1" s="1"/>
  <c r="D12555" i="1"/>
  <c r="E12555" i="1" s="1"/>
  <c r="D12554" i="1"/>
  <c r="E12554" i="1" s="1"/>
  <c r="E12553" i="1"/>
  <c r="D12553" i="1"/>
  <c r="D12552" i="1"/>
  <c r="E12552" i="1" s="1"/>
  <c r="D12551" i="1"/>
  <c r="E12551" i="1" s="1"/>
  <c r="D12550" i="1"/>
  <c r="E12550" i="1" s="1"/>
  <c r="E12549" i="1"/>
  <c r="D12549" i="1"/>
  <c r="E12548" i="1"/>
  <c r="D12548" i="1"/>
  <c r="D12547" i="1"/>
  <c r="E12547" i="1" s="1"/>
  <c r="D12546" i="1"/>
  <c r="E12546" i="1" s="1"/>
  <c r="E12545" i="1"/>
  <c r="D12545" i="1"/>
  <c r="D12544" i="1"/>
  <c r="E12544" i="1" s="1"/>
  <c r="D12543" i="1"/>
  <c r="E12543" i="1" s="1"/>
  <c r="D12542" i="1"/>
  <c r="E12542" i="1" s="1"/>
  <c r="E12541" i="1"/>
  <c r="D12541" i="1"/>
  <c r="D12540" i="1"/>
  <c r="E12540" i="1" s="1"/>
  <c r="D12539" i="1"/>
  <c r="E12539" i="1" s="1"/>
  <c r="D12538" i="1"/>
  <c r="E12538" i="1" s="1"/>
  <c r="E12537" i="1"/>
  <c r="D12537" i="1"/>
  <c r="E12536" i="1"/>
  <c r="D12536" i="1"/>
  <c r="D12535" i="1"/>
  <c r="E12535" i="1" s="1"/>
  <c r="D12534" i="1"/>
  <c r="E12534" i="1" s="1"/>
  <c r="E12533" i="1"/>
  <c r="D12533" i="1"/>
  <c r="D12532" i="1"/>
  <c r="E12532" i="1" s="1"/>
  <c r="D12531" i="1"/>
  <c r="E12531" i="1" s="1"/>
  <c r="D12530" i="1"/>
  <c r="E12530" i="1" s="1"/>
  <c r="E12529" i="1"/>
  <c r="D12529" i="1"/>
  <c r="D12528" i="1"/>
  <c r="E12528" i="1" s="1"/>
  <c r="D12527" i="1"/>
  <c r="E12527" i="1" s="1"/>
  <c r="D12526" i="1"/>
  <c r="E12526" i="1" s="1"/>
  <c r="E12525" i="1"/>
  <c r="D12525" i="1"/>
  <c r="E12524" i="1"/>
  <c r="D12524" i="1"/>
  <c r="D12523" i="1"/>
  <c r="E12523" i="1" s="1"/>
  <c r="D12522" i="1"/>
  <c r="E12522" i="1" s="1"/>
  <c r="E12521" i="1"/>
  <c r="D12521" i="1"/>
  <c r="D12520" i="1"/>
  <c r="E12520" i="1" s="1"/>
  <c r="D12519" i="1"/>
  <c r="E12519" i="1" s="1"/>
  <c r="D12518" i="1"/>
  <c r="E12518" i="1" s="1"/>
  <c r="E12517" i="1"/>
  <c r="D12517" i="1"/>
  <c r="D12516" i="1"/>
  <c r="E12516" i="1" s="1"/>
  <c r="D12515" i="1"/>
  <c r="E12515" i="1" s="1"/>
  <c r="D12514" i="1"/>
  <c r="E12514" i="1" s="1"/>
  <c r="E12513" i="1"/>
  <c r="D12513" i="1"/>
  <c r="E12512" i="1"/>
  <c r="D12512" i="1"/>
  <c r="D12511" i="1"/>
  <c r="E12511" i="1" s="1"/>
  <c r="D12510" i="1"/>
  <c r="E12510" i="1" s="1"/>
  <c r="E12509" i="1"/>
  <c r="D12509" i="1"/>
  <c r="D12508" i="1"/>
  <c r="E12508" i="1" s="1"/>
  <c r="D12507" i="1"/>
  <c r="E12507" i="1" s="1"/>
  <c r="D12506" i="1"/>
  <c r="E12506" i="1" s="1"/>
  <c r="E12505" i="1"/>
  <c r="D12505" i="1"/>
  <c r="D12504" i="1"/>
  <c r="E12504" i="1" s="1"/>
  <c r="D12503" i="1"/>
  <c r="E12503" i="1" s="1"/>
  <c r="D12502" i="1"/>
  <c r="E12502" i="1" s="1"/>
  <c r="E12501" i="1"/>
  <c r="D12501" i="1"/>
  <c r="E12500" i="1"/>
  <c r="D12500" i="1"/>
  <c r="D12499" i="1"/>
  <c r="E12499" i="1" s="1"/>
  <c r="D12498" i="1"/>
  <c r="E12498" i="1" s="1"/>
  <c r="E12497" i="1"/>
  <c r="D12497" i="1"/>
  <c r="D12496" i="1"/>
  <c r="E12496" i="1" s="1"/>
  <c r="D12495" i="1"/>
  <c r="E12495" i="1" s="1"/>
  <c r="D12494" i="1"/>
  <c r="E12494" i="1" s="1"/>
  <c r="E12493" i="1"/>
  <c r="D12493" i="1"/>
  <c r="D12492" i="1"/>
  <c r="E12492" i="1" s="1"/>
  <c r="D12491" i="1"/>
  <c r="E12491" i="1" s="1"/>
  <c r="D12490" i="1"/>
  <c r="E12490" i="1" s="1"/>
  <c r="E12489" i="1"/>
  <c r="D12489" i="1"/>
  <c r="E12488" i="1"/>
  <c r="D12488" i="1"/>
  <c r="D12487" i="1"/>
  <c r="E12487" i="1" s="1"/>
  <c r="D12486" i="1"/>
  <c r="E12486" i="1" s="1"/>
  <c r="E12485" i="1"/>
  <c r="D12485" i="1"/>
  <c r="D12484" i="1"/>
  <c r="E12484" i="1" s="1"/>
  <c r="D12483" i="1"/>
  <c r="E12483" i="1" s="1"/>
  <c r="D12482" i="1"/>
  <c r="E12482" i="1" s="1"/>
  <c r="E12481" i="1"/>
  <c r="D12481" i="1"/>
  <c r="D12480" i="1"/>
  <c r="E12480" i="1" s="1"/>
  <c r="D12479" i="1"/>
  <c r="E12479" i="1" s="1"/>
  <c r="D12478" i="1"/>
  <c r="E12478" i="1" s="1"/>
  <c r="E12477" i="1"/>
  <c r="D12477" i="1"/>
  <c r="E12476" i="1"/>
  <c r="D12476" i="1"/>
  <c r="D12475" i="1"/>
  <c r="E12475" i="1" s="1"/>
  <c r="D12474" i="1"/>
  <c r="E12474" i="1" s="1"/>
  <c r="E12473" i="1"/>
  <c r="D12473" i="1"/>
  <c r="D12472" i="1"/>
  <c r="E12472" i="1" s="1"/>
  <c r="D12471" i="1"/>
  <c r="E12471" i="1" s="1"/>
  <c r="D12470" i="1"/>
  <c r="E12470" i="1" s="1"/>
  <c r="E12469" i="1"/>
  <c r="D12469" i="1"/>
  <c r="D12468" i="1"/>
  <c r="E12468" i="1" s="1"/>
  <c r="D12467" i="1"/>
  <c r="E12467" i="1" s="1"/>
  <c r="D12466" i="1"/>
  <c r="E12466" i="1" s="1"/>
  <c r="E12465" i="1"/>
  <c r="D12465" i="1"/>
  <c r="E12464" i="1"/>
  <c r="D12464" i="1"/>
  <c r="D12463" i="1"/>
  <c r="E12463" i="1" s="1"/>
  <c r="D12462" i="1"/>
  <c r="E12462" i="1" s="1"/>
  <c r="E12461" i="1"/>
  <c r="D12461" i="1"/>
  <c r="D12460" i="1"/>
  <c r="E12460" i="1" s="1"/>
  <c r="D12459" i="1"/>
  <c r="E12459" i="1" s="1"/>
  <c r="D12458" i="1"/>
  <c r="E12458" i="1" s="1"/>
  <c r="E12457" i="1"/>
  <c r="D12457" i="1"/>
  <c r="D12456" i="1"/>
  <c r="E12456" i="1" s="1"/>
  <c r="D12455" i="1"/>
  <c r="E12455" i="1" s="1"/>
  <c r="D12454" i="1"/>
  <c r="E12454" i="1" s="1"/>
  <c r="E12453" i="1"/>
  <c r="D12453" i="1"/>
  <c r="E12452" i="1"/>
  <c r="D12452" i="1"/>
  <c r="D12451" i="1"/>
  <c r="E12451" i="1" s="1"/>
  <c r="D12450" i="1"/>
  <c r="E12450" i="1" s="1"/>
  <c r="E12449" i="1"/>
  <c r="D12449" i="1"/>
  <c r="D12448" i="1"/>
  <c r="E12448" i="1" s="1"/>
  <c r="D12447" i="1"/>
  <c r="E12447" i="1" s="1"/>
  <c r="D12446" i="1"/>
  <c r="E12446" i="1" s="1"/>
  <c r="E12445" i="1"/>
  <c r="D12445" i="1"/>
  <c r="D12444" i="1"/>
  <c r="E12444" i="1" s="1"/>
  <c r="D12443" i="1"/>
  <c r="E12443" i="1" s="1"/>
  <c r="D12442" i="1"/>
  <c r="E12442" i="1" s="1"/>
  <c r="E12441" i="1"/>
  <c r="D12441" i="1"/>
  <c r="E12440" i="1"/>
  <c r="D12440" i="1"/>
  <c r="D12439" i="1"/>
  <c r="E12439" i="1" s="1"/>
  <c r="D12438" i="1"/>
  <c r="E12438" i="1" s="1"/>
  <c r="E12437" i="1"/>
  <c r="D12437" i="1"/>
  <c r="D12436" i="1"/>
  <c r="E12436" i="1" s="1"/>
  <c r="D12435" i="1"/>
  <c r="E12435" i="1" s="1"/>
  <c r="D12434" i="1"/>
  <c r="E12434" i="1" s="1"/>
  <c r="E12433" i="1"/>
  <c r="D12433" i="1"/>
  <c r="D12432" i="1"/>
  <c r="E12432" i="1" s="1"/>
  <c r="D12431" i="1"/>
  <c r="E12431" i="1" s="1"/>
  <c r="D12430" i="1"/>
  <c r="E12430" i="1" s="1"/>
  <c r="E12429" i="1"/>
  <c r="D12429" i="1"/>
  <c r="E12428" i="1"/>
  <c r="D12428" i="1"/>
  <c r="D12427" i="1"/>
  <c r="E12427" i="1" s="1"/>
  <c r="D12426" i="1"/>
  <c r="E12426" i="1" s="1"/>
  <c r="E12425" i="1"/>
  <c r="D12425" i="1"/>
  <c r="D12424" i="1"/>
  <c r="E12424" i="1" s="1"/>
  <c r="D12423" i="1"/>
  <c r="E12423" i="1" s="1"/>
  <c r="D12422" i="1"/>
  <c r="E12422" i="1" s="1"/>
  <c r="E12421" i="1"/>
  <c r="D12421" i="1"/>
  <c r="D12420" i="1"/>
  <c r="E12420" i="1" s="1"/>
  <c r="D12419" i="1"/>
  <c r="E12419" i="1" s="1"/>
  <c r="D12418" i="1"/>
  <c r="E12418" i="1" s="1"/>
  <c r="E12417" i="1"/>
  <c r="D12417" i="1"/>
  <c r="E12416" i="1"/>
  <c r="D12416" i="1"/>
  <c r="D12415" i="1"/>
  <c r="E12415" i="1" s="1"/>
  <c r="D12414" i="1"/>
  <c r="E12414" i="1" s="1"/>
  <c r="E12413" i="1"/>
  <c r="D12413" i="1"/>
  <c r="D12412" i="1"/>
  <c r="E12412" i="1" s="1"/>
  <c r="D12411" i="1"/>
  <c r="E12411" i="1" s="1"/>
  <c r="D12410" i="1"/>
  <c r="E12410" i="1" s="1"/>
  <c r="E12409" i="1"/>
  <c r="D12409" i="1"/>
  <c r="D12408" i="1"/>
  <c r="E12408" i="1" s="1"/>
  <c r="D12407" i="1"/>
  <c r="E12407" i="1" s="1"/>
  <c r="D12406" i="1"/>
  <c r="E12406" i="1" s="1"/>
  <c r="E12405" i="1"/>
  <c r="D12405" i="1"/>
  <c r="E12404" i="1"/>
  <c r="D12404" i="1"/>
  <c r="D12403" i="1"/>
  <c r="E12403" i="1" s="1"/>
  <c r="D12402" i="1"/>
  <c r="E12402" i="1" s="1"/>
  <c r="E12401" i="1"/>
  <c r="D12401" i="1"/>
  <c r="D12400" i="1"/>
  <c r="E12400" i="1" s="1"/>
  <c r="D12399" i="1"/>
  <c r="E12399" i="1" s="1"/>
  <c r="D12398" i="1"/>
  <c r="E12398" i="1" s="1"/>
  <c r="E12397" i="1"/>
  <c r="D12397" i="1"/>
  <c r="D12396" i="1"/>
  <c r="E12396" i="1" s="1"/>
  <c r="D12395" i="1"/>
  <c r="E12395" i="1" s="1"/>
  <c r="D12394" i="1"/>
  <c r="E12394" i="1" s="1"/>
  <c r="E12393" i="1"/>
  <c r="D12393" i="1"/>
  <c r="E12392" i="1"/>
  <c r="D12392" i="1"/>
  <c r="D12391" i="1"/>
  <c r="E12391" i="1" s="1"/>
  <c r="D12390" i="1"/>
  <c r="E12390" i="1" s="1"/>
  <c r="E12389" i="1"/>
  <c r="D12389" i="1"/>
  <c r="D12388" i="1"/>
  <c r="E12388" i="1" s="1"/>
  <c r="D12387" i="1"/>
  <c r="E12387" i="1" s="1"/>
  <c r="D12386" i="1"/>
  <c r="E12386" i="1" s="1"/>
  <c r="E12385" i="1"/>
  <c r="D12385" i="1"/>
  <c r="D12384" i="1"/>
  <c r="E12384" i="1" s="1"/>
  <c r="D12383" i="1"/>
  <c r="E12383" i="1" s="1"/>
  <c r="D12382" i="1"/>
  <c r="E12382" i="1" s="1"/>
  <c r="E12381" i="1"/>
  <c r="D12381" i="1"/>
  <c r="E12380" i="1"/>
  <c r="D12380" i="1"/>
  <c r="D12379" i="1"/>
  <c r="E12379" i="1" s="1"/>
  <c r="D12378" i="1"/>
  <c r="E12378" i="1" s="1"/>
  <c r="E12377" i="1"/>
  <c r="D12377" i="1"/>
  <c r="D12376" i="1"/>
  <c r="E12376" i="1" s="1"/>
  <c r="D12375" i="1"/>
  <c r="E12375" i="1" s="1"/>
  <c r="D12374" i="1"/>
  <c r="E12374" i="1" s="1"/>
  <c r="E12373" i="1"/>
  <c r="D12373" i="1"/>
  <c r="D12372" i="1"/>
  <c r="E12372" i="1" s="1"/>
  <c r="D12371" i="1"/>
  <c r="E12371" i="1" s="1"/>
  <c r="D12370" i="1"/>
  <c r="E12370" i="1" s="1"/>
  <c r="E12369" i="1"/>
  <c r="D12369" i="1"/>
  <c r="E12368" i="1"/>
  <c r="D12368" i="1"/>
  <c r="D12367" i="1"/>
  <c r="E12367" i="1" s="1"/>
  <c r="D12366" i="1"/>
  <c r="E12366" i="1" s="1"/>
  <c r="E12365" i="1"/>
  <c r="D12365" i="1"/>
  <c r="D12364" i="1"/>
  <c r="E12364" i="1" s="1"/>
  <c r="D12363" i="1"/>
  <c r="E12363" i="1" s="1"/>
  <c r="D12362" i="1"/>
  <c r="E12362" i="1" s="1"/>
  <c r="E12361" i="1"/>
  <c r="D12361" i="1"/>
  <c r="D12360" i="1"/>
  <c r="E12360" i="1" s="1"/>
  <c r="D12359" i="1"/>
  <c r="E12359" i="1" s="1"/>
  <c r="D12358" i="1"/>
  <c r="E12358" i="1" s="1"/>
  <c r="E12357" i="1"/>
  <c r="D12357" i="1"/>
  <c r="E12356" i="1"/>
  <c r="D12356" i="1"/>
  <c r="D12355" i="1"/>
  <c r="E12355" i="1" s="1"/>
  <c r="D12354" i="1"/>
  <c r="E12354" i="1" s="1"/>
  <c r="E12353" i="1"/>
  <c r="D12353" i="1"/>
  <c r="D12352" i="1"/>
  <c r="E12352" i="1" s="1"/>
  <c r="D12351" i="1"/>
  <c r="E12351" i="1" s="1"/>
  <c r="D12350" i="1"/>
  <c r="E12350" i="1" s="1"/>
  <c r="E12349" i="1"/>
  <c r="D12349" i="1"/>
  <c r="D12348" i="1"/>
  <c r="E12348" i="1" s="1"/>
  <c r="D12347" i="1"/>
  <c r="E12347" i="1" s="1"/>
  <c r="D12346" i="1"/>
  <c r="E12346" i="1" s="1"/>
  <c r="E12345" i="1"/>
  <c r="D12345" i="1"/>
  <c r="E12344" i="1"/>
  <c r="D12344" i="1"/>
  <c r="D12343" i="1"/>
  <c r="E12343" i="1" s="1"/>
  <c r="D12342" i="1"/>
  <c r="E12342" i="1" s="1"/>
  <c r="E12341" i="1"/>
  <c r="D12341" i="1"/>
  <c r="D12340" i="1"/>
  <c r="E12340" i="1" s="1"/>
  <c r="D12339" i="1"/>
  <c r="E12339" i="1" s="1"/>
  <c r="D12338" i="1"/>
  <c r="E12338" i="1" s="1"/>
  <c r="E12337" i="1"/>
  <c r="D12337" i="1"/>
  <c r="D12336" i="1"/>
  <c r="E12336" i="1" s="1"/>
  <c r="D12335" i="1"/>
  <c r="E12335" i="1" s="1"/>
  <c r="D12334" i="1"/>
  <c r="E12334" i="1" s="1"/>
  <c r="E12333" i="1"/>
  <c r="D12333" i="1"/>
  <c r="E12332" i="1"/>
  <c r="D12332" i="1"/>
  <c r="D12331" i="1"/>
  <c r="E12331" i="1" s="1"/>
  <c r="D12330" i="1"/>
  <c r="E12330" i="1" s="1"/>
  <c r="E12329" i="1"/>
  <c r="D12329" i="1"/>
  <c r="D12328" i="1"/>
  <c r="E12328" i="1" s="1"/>
  <c r="D12327" i="1"/>
  <c r="E12327" i="1" s="1"/>
  <c r="D12326" i="1"/>
  <c r="E12326" i="1" s="1"/>
  <c r="E12325" i="1"/>
  <c r="D12325" i="1"/>
  <c r="D12324" i="1"/>
  <c r="E12324" i="1" s="1"/>
  <c r="D12323" i="1"/>
  <c r="E12323" i="1" s="1"/>
  <c r="D12322" i="1"/>
  <c r="E12322" i="1" s="1"/>
  <c r="E12321" i="1"/>
  <c r="D12321" i="1"/>
  <c r="E12320" i="1"/>
  <c r="D12320" i="1"/>
  <c r="D12319" i="1"/>
  <c r="E12319" i="1" s="1"/>
  <c r="D12318" i="1"/>
  <c r="E12318" i="1" s="1"/>
  <c r="E12317" i="1"/>
  <c r="D12317" i="1"/>
  <c r="D12316" i="1"/>
  <c r="E12316" i="1" s="1"/>
  <c r="D12315" i="1"/>
  <c r="E12315" i="1" s="1"/>
  <c r="D12314" i="1"/>
  <c r="E12314" i="1" s="1"/>
  <c r="E12313" i="1"/>
  <c r="D12313" i="1"/>
  <c r="D12312" i="1"/>
  <c r="E12312" i="1" s="1"/>
  <c r="D12311" i="1"/>
  <c r="E12311" i="1" s="1"/>
  <c r="D12310" i="1"/>
  <c r="E12310" i="1" s="1"/>
  <c r="E12309" i="1"/>
  <c r="D12309" i="1"/>
  <c r="E12308" i="1"/>
  <c r="D12308" i="1"/>
  <c r="D12307" i="1"/>
  <c r="E12307" i="1" s="1"/>
  <c r="D12306" i="1"/>
  <c r="E12306" i="1" s="1"/>
  <c r="E12305" i="1"/>
  <c r="D12305" i="1"/>
  <c r="D12304" i="1"/>
  <c r="E12304" i="1" s="1"/>
  <c r="D12303" i="1"/>
  <c r="E12303" i="1" s="1"/>
  <c r="D12302" i="1"/>
  <c r="E12302" i="1" s="1"/>
  <c r="E12301" i="1"/>
  <c r="D12301" i="1"/>
  <c r="D12300" i="1"/>
  <c r="E12300" i="1" s="1"/>
  <c r="D12299" i="1"/>
  <c r="E12299" i="1" s="1"/>
  <c r="D12298" i="1"/>
  <c r="E12298" i="1" s="1"/>
  <c r="E12297" i="1"/>
  <c r="D12297" i="1"/>
  <c r="E12296" i="1"/>
  <c r="D12296" i="1"/>
  <c r="D12295" i="1"/>
  <c r="E12295" i="1" s="1"/>
  <c r="D12294" i="1"/>
  <c r="E12294" i="1" s="1"/>
  <c r="E12293" i="1"/>
  <c r="D12293" i="1"/>
  <c r="D12292" i="1"/>
  <c r="E12292" i="1" s="1"/>
  <c r="D12291" i="1"/>
  <c r="E12291" i="1" s="1"/>
  <c r="D12290" i="1"/>
  <c r="E12290" i="1" s="1"/>
  <c r="E12289" i="1"/>
  <c r="D12289" i="1"/>
  <c r="D12288" i="1"/>
  <c r="E12288" i="1" s="1"/>
  <c r="D12287" i="1"/>
  <c r="E12287" i="1" s="1"/>
  <c r="D12286" i="1"/>
  <c r="E12286" i="1" s="1"/>
  <c r="E12285" i="1"/>
  <c r="D12285" i="1"/>
  <c r="E12284" i="1"/>
  <c r="D12284" i="1"/>
  <c r="D12283" i="1"/>
  <c r="E12283" i="1" s="1"/>
  <c r="D12282" i="1"/>
  <c r="E12282" i="1" s="1"/>
  <c r="E12281" i="1"/>
  <c r="D12281" i="1"/>
  <c r="D12280" i="1"/>
  <c r="E12280" i="1" s="1"/>
  <c r="D12279" i="1"/>
  <c r="E12279" i="1" s="1"/>
  <c r="D12278" i="1"/>
  <c r="E12278" i="1" s="1"/>
  <c r="E12277" i="1"/>
  <c r="D12277" i="1"/>
  <c r="D12276" i="1"/>
  <c r="E12276" i="1" s="1"/>
  <c r="D12275" i="1"/>
  <c r="E12275" i="1" s="1"/>
  <c r="D12274" i="1"/>
  <c r="E12274" i="1" s="1"/>
  <c r="E12273" i="1"/>
  <c r="D12273" i="1"/>
  <c r="E12272" i="1"/>
  <c r="D12272" i="1"/>
  <c r="D12271" i="1"/>
  <c r="E12271" i="1" s="1"/>
  <c r="D12270" i="1"/>
  <c r="E12270" i="1" s="1"/>
  <c r="E12269" i="1"/>
  <c r="D12269" i="1"/>
  <c r="D12268" i="1"/>
  <c r="E12268" i="1" s="1"/>
  <c r="D12267" i="1"/>
  <c r="E12267" i="1" s="1"/>
  <c r="D12266" i="1"/>
  <c r="E12266" i="1" s="1"/>
  <c r="E12265" i="1"/>
  <c r="D12265" i="1"/>
  <c r="D12264" i="1"/>
  <c r="E12264" i="1" s="1"/>
  <c r="D12263" i="1"/>
  <c r="E12263" i="1" s="1"/>
  <c r="D12262" i="1"/>
  <c r="E12262" i="1" s="1"/>
  <c r="E12261" i="1"/>
  <c r="D12261" i="1"/>
  <c r="E12260" i="1"/>
  <c r="D12260" i="1"/>
  <c r="D12259" i="1"/>
  <c r="E12259" i="1" s="1"/>
  <c r="D12258" i="1"/>
  <c r="E12258" i="1" s="1"/>
  <c r="E12257" i="1"/>
  <c r="D12257" i="1"/>
  <c r="D12256" i="1"/>
  <c r="E12256" i="1" s="1"/>
  <c r="D12255" i="1"/>
  <c r="E12255" i="1" s="1"/>
  <c r="D12254" i="1"/>
  <c r="E12254" i="1" s="1"/>
  <c r="E12253" i="1"/>
  <c r="D12253" i="1"/>
  <c r="D12252" i="1"/>
  <c r="E12252" i="1" s="1"/>
  <c r="D12251" i="1"/>
  <c r="E12251" i="1" s="1"/>
  <c r="D12250" i="1"/>
  <c r="E12250" i="1" s="1"/>
  <c r="E12249" i="1"/>
  <c r="D12249" i="1"/>
  <c r="E12248" i="1"/>
  <c r="D12248" i="1"/>
  <c r="D12247" i="1"/>
  <c r="E12247" i="1" s="1"/>
  <c r="D12246" i="1"/>
  <c r="E12246" i="1" s="1"/>
  <c r="E12245" i="1"/>
  <c r="D12245" i="1"/>
  <c r="D12244" i="1"/>
  <c r="E12244" i="1" s="1"/>
  <c r="D12243" i="1"/>
  <c r="E12243" i="1" s="1"/>
  <c r="D12242" i="1"/>
  <c r="E12242" i="1" s="1"/>
  <c r="E12241" i="1"/>
  <c r="D12241" i="1"/>
  <c r="D12240" i="1"/>
  <c r="E12240" i="1" s="1"/>
  <c r="D12239" i="1"/>
  <c r="E12239" i="1" s="1"/>
  <c r="D12238" i="1"/>
  <c r="E12238" i="1" s="1"/>
  <c r="E12237" i="1"/>
  <c r="D12237" i="1"/>
  <c r="E12236" i="1"/>
  <c r="D12236" i="1"/>
  <c r="D12235" i="1"/>
  <c r="E12235" i="1" s="1"/>
  <c r="D12234" i="1"/>
  <c r="E12234" i="1" s="1"/>
  <c r="E12233" i="1"/>
  <c r="D12233" i="1"/>
  <c r="D12232" i="1"/>
  <c r="E12232" i="1" s="1"/>
  <c r="D12231" i="1"/>
  <c r="E12231" i="1" s="1"/>
  <c r="D12230" i="1"/>
  <c r="E12230" i="1" s="1"/>
  <c r="E12229" i="1"/>
  <c r="D12229" i="1"/>
  <c r="D12228" i="1"/>
  <c r="E12228" i="1" s="1"/>
  <c r="D12227" i="1"/>
  <c r="E12227" i="1" s="1"/>
  <c r="D12226" i="1"/>
  <c r="E12226" i="1" s="1"/>
  <c r="E12225" i="1"/>
  <c r="D12225" i="1"/>
  <c r="E12224" i="1"/>
  <c r="D12224" i="1"/>
  <c r="D12223" i="1"/>
  <c r="E12223" i="1" s="1"/>
  <c r="D12222" i="1"/>
  <c r="E12222" i="1" s="1"/>
  <c r="E12221" i="1"/>
  <c r="D12221" i="1"/>
  <c r="D12220" i="1"/>
  <c r="E12220" i="1" s="1"/>
  <c r="D12219" i="1"/>
  <c r="E12219" i="1" s="1"/>
  <c r="D12218" i="1"/>
  <c r="E12218" i="1" s="1"/>
  <c r="E12217" i="1"/>
  <c r="D12217" i="1"/>
  <c r="D12216" i="1"/>
  <c r="E12216" i="1" s="1"/>
  <c r="D12215" i="1"/>
  <c r="E12215" i="1" s="1"/>
  <c r="D12214" i="1"/>
  <c r="E12214" i="1" s="1"/>
  <c r="E12213" i="1"/>
  <c r="D12213" i="1"/>
  <c r="E12212" i="1"/>
  <c r="D12212" i="1"/>
  <c r="D12211" i="1"/>
  <c r="E12211" i="1" s="1"/>
  <c r="D12210" i="1"/>
  <c r="E12210" i="1" s="1"/>
  <c r="E12209" i="1"/>
  <c r="D12209" i="1"/>
  <c r="D12208" i="1"/>
  <c r="E12208" i="1" s="1"/>
  <c r="D12207" i="1"/>
  <c r="E12207" i="1" s="1"/>
  <c r="D12206" i="1"/>
  <c r="E12206" i="1" s="1"/>
  <c r="E12205" i="1"/>
  <c r="D12205" i="1"/>
  <c r="D12204" i="1"/>
  <c r="E12204" i="1" s="1"/>
  <c r="D12203" i="1"/>
  <c r="E12203" i="1" s="1"/>
  <c r="D12202" i="1"/>
  <c r="E12202" i="1" s="1"/>
  <c r="E12201" i="1"/>
  <c r="D12201" i="1"/>
  <c r="E12200" i="1"/>
  <c r="D12200" i="1"/>
  <c r="D12199" i="1"/>
  <c r="E12199" i="1" s="1"/>
  <c r="D12198" i="1"/>
  <c r="E12198" i="1" s="1"/>
  <c r="E12197" i="1"/>
  <c r="D12197" i="1"/>
  <c r="D12196" i="1"/>
  <c r="E12196" i="1" s="1"/>
  <c r="D12195" i="1"/>
  <c r="E12195" i="1" s="1"/>
  <c r="D12194" i="1"/>
  <c r="E12194" i="1" s="1"/>
  <c r="E12193" i="1"/>
  <c r="D12193" i="1"/>
  <c r="D12192" i="1"/>
  <c r="E12192" i="1" s="1"/>
  <c r="D12191" i="1"/>
  <c r="E12191" i="1" s="1"/>
  <c r="D12190" i="1"/>
  <c r="E12190" i="1" s="1"/>
  <c r="E12189" i="1"/>
  <c r="D12189" i="1"/>
  <c r="E12188" i="1"/>
  <c r="D12188" i="1"/>
  <c r="D12187" i="1"/>
  <c r="E12187" i="1" s="1"/>
  <c r="D12186" i="1"/>
  <c r="E12186" i="1" s="1"/>
  <c r="E12185" i="1"/>
  <c r="D12185" i="1"/>
  <c r="D12184" i="1"/>
  <c r="E12184" i="1" s="1"/>
  <c r="D12183" i="1"/>
  <c r="E12183" i="1" s="1"/>
  <c r="D12182" i="1"/>
  <c r="E12182" i="1" s="1"/>
  <c r="E12181" i="1"/>
  <c r="D12181" i="1"/>
  <c r="D12180" i="1"/>
  <c r="E12180" i="1" s="1"/>
  <c r="D12179" i="1"/>
  <c r="E12179" i="1" s="1"/>
  <c r="D12178" i="1"/>
  <c r="E12178" i="1" s="1"/>
  <c r="E12177" i="1"/>
  <c r="D12177" i="1"/>
  <c r="E12176" i="1"/>
  <c r="D12176" i="1"/>
  <c r="D12175" i="1"/>
  <c r="E12175" i="1" s="1"/>
  <c r="D12174" i="1"/>
  <c r="E12174" i="1" s="1"/>
  <c r="E12173" i="1"/>
  <c r="D12173" i="1"/>
  <c r="D12172" i="1"/>
  <c r="E12172" i="1" s="1"/>
  <c r="D12171" i="1"/>
  <c r="E12171" i="1" s="1"/>
  <c r="D12170" i="1"/>
  <c r="E12170" i="1" s="1"/>
  <c r="E12169" i="1"/>
  <c r="D12169" i="1"/>
  <c r="D12168" i="1"/>
  <c r="E12168" i="1" s="1"/>
  <c r="D12167" i="1"/>
  <c r="E12167" i="1" s="1"/>
  <c r="D12166" i="1"/>
  <c r="E12166" i="1" s="1"/>
  <c r="E12165" i="1"/>
  <c r="D12165" i="1"/>
  <c r="E12164" i="1"/>
  <c r="D12164" i="1"/>
  <c r="D12163" i="1"/>
  <c r="E12163" i="1" s="1"/>
  <c r="D12162" i="1"/>
  <c r="E12162" i="1" s="1"/>
  <c r="E12161" i="1"/>
  <c r="D12161" i="1"/>
  <c r="D12160" i="1"/>
  <c r="E12160" i="1" s="1"/>
  <c r="D12159" i="1"/>
  <c r="E12159" i="1" s="1"/>
  <c r="D12158" i="1"/>
  <c r="E12158" i="1" s="1"/>
  <c r="E12157" i="1"/>
  <c r="D12157" i="1"/>
  <c r="D12156" i="1"/>
  <c r="E12156" i="1" s="1"/>
  <c r="D12155" i="1"/>
  <c r="E12155" i="1" s="1"/>
  <c r="D12154" i="1"/>
  <c r="E12154" i="1" s="1"/>
  <c r="E12153" i="1"/>
  <c r="D12153" i="1"/>
  <c r="E12152" i="1"/>
  <c r="D12152" i="1"/>
  <c r="D12151" i="1"/>
  <c r="E12151" i="1" s="1"/>
  <c r="D12150" i="1"/>
  <c r="E12150" i="1" s="1"/>
  <c r="E12149" i="1"/>
  <c r="D12149" i="1"/>
  <c r="D12148" i="1"/>
  <c r="E12148" i="1" s="1"/>
  <c r="D12147" i="1"/>
  <c r="E12147" i="1" s="1"/>
  <c r="D12146" i="1"/>
  <c r="E12146" i="1" s="1"/>
  <c r="E12145" i="1"/>
  <c r="D12145" i="1"/>
  <c r="D12144" i="1"/>
  <c r="E12144" i="1" s="1"/>
  <c r="D12143" i="1"/>
  <c r="E12143" i="1" s="1"/>
  <c r="D12142" i="1"/>
  <c r="E12142" i="1" s="1"/>
  <c r="E12141" i="1"/>
  <c r="D12141" i="1"/>
  <c r="E12140" i="1"/>
  <c r="D12140" i="1"/>
  <c r="D12139" i="1"/>
  <c r="E12139" i="1" s="1"/>
  <c r="D12138" i="1"/>
  <c r="E12138" i="1" s="1"/>
  <c r="E12137" i="1"/>
  <c r="D12137" i="1"/>
  <c r="D12136" i="1"/>
  <c r="E12136" i="1" s="1"/>
  <c r="D12135" i="1"/>
  <c r="E12135" i="1" s="1"/>
  <c r="D12134" i="1"/>
  <c r="E12134" i="1" s="1"/>
  <c r="E12133" i="1"/>
  <c r="D12133" i="1"/>
  <c r="D12132" i="1"/>
  <c r="E12132" i="1" s="1"/>
  <c r="D12131" i="1"/>
  <c r="E12131" i="1" s="1"/>
  <c r="D12130" i="1"/>
  <c r="E12130" i="1" s="1"/>
  <c r="E12129" i="1"/>
  <c r="D12129" i="1"/>
  <c r="E12128" i="1"/>
  <c r="D12128" i="1"/>
  <c r="D12127" i="1"/>
  <c r="E12127" i="1" s="1"/>
  <c r="D12126" i="1"/>
  <c r="E12126" i="1" s="1"/>
  <c r="E12125" i="1"/>
  <c r="D12125" i="1"/>
  <c r="D12124" i="1"/>
  <c r="E12124" i="1" s="1"/>
  <c r="D12123" i="1"/>
  <c r="E12123" i="1" s="1"/>
  <c r="D12122" i="1"/>
  <c r="E12122" i="1" s="1"/>
  <c r="E12121" i="1"/>
  <c r="D12121" i="1"/>
  <c r="D12120" i="1"/>
  <c r="E12120" i="1" s="1"/>
  <c r="D12119" i="1"/>
  <c r="E12119" i="1" s="1"/>
  <c r="D12118" i="1"/>
  <c r="E12118" i="1" s="1"/>
  <c r="E12117" i="1"/>
  <c r="D12117" i="1"/>
  <c r="E12116" i="1"/>
  <c r="D12116" i="1"/>
  <c r="D12115" i="1"/>
  <c r="E12115" i="1" s="1"/>
  <c r="D12114" i="1"/>
  <c r="E12114" i="1" s="1"/>
  <c r="E12113" i="1"/>
  <c r="D12113" i="1"/>
  <c r="D12112" i="1"/>
  <c r="E12112" i="1" s="1"/>
  <c r="D12111" i="1"/>
  <c r="E12111" i="1" s="1"/>
  <c r="D12110" i="1"/>
  <c r="E12110" i="1" s="1"/>
  <c r="E12109" i="1"/>
  <c r="D12109" i="1"/>
  <c r="D12108" i="1"/>
  <c r="E12108" i="1" s="1"/>
  <c r="D12107" i="1"/>
  <c r="E12107" i="1" s="1"/>
  <c r="D12106" i="1"/>
  <c r="E12106" i="1" s="1"/>
  <c r="E12105" i="1"/>
  <c r="D12105" i="1"/>
  <c r="E12104" i="1"/>
  <c r="D12104" i="1"/>
  <c r="D12103" i="1"/>
  <c r="E12103" i="1" s="1"/>
  <c r="D12102" i="1"/>
  <c r="E12102" i="1" s="1"/>
  <c r="E12101" i="1"/>
  <c r="D12101" i="1"/>
  <c r="D12100" i="1"/>
  <c r="E12100" i="1" s="1"/>
  <c r="D12099" i="1"/>
  <c r="E12099" i="1" s="1"/>
  <c r="D12098" i="1"/>
  <c r="E12098" i="1" s="1"/>
  <c r="E12097" i="1"/>
  <c r="D12097" i="1"/>
  <c r="D12096" i="1"/>
  <c r="E12096" i="1" s="1"/>
  <c r="D12095" i="1"/>
  <c r="E12095" i="1" s="1"/>
  <c r="D12094" i="1"/>
  <c r="E12094" i="1" s="1"/>
  <c r="E12093" i="1"/>
  <c r="D12093" i="1"/>
  <c r="E12092" i="1"/>
  <c r="D12092" i="1"/>
  <c r="D12091" i="1"/>
  <c r="E12091" i="1" s="1"/>
  <c r="D12090" i="1"/>
  <c r="E12090" i="1" s="1"/>
  <c r="E12089" i="1"/>
  <c r="D12089" i="1"/>
  <c r="D12088" i="1"/>
  <c r="E12088" i="1" s="1"/>
  <c r="D12087" i="1"/>
  <c r="E12087" i="1" s="1"/>
  <c r="D12086" i="1"/>
  <c r="E12086" i="1" s="1"/>
  <c r="E12085" i="1"/>
  <c r="D12085" i="1"/>
  <c r="D12084" i="1"/>
  <c r="E12084" i="1" s="1"/>
  <c r="D12083" i="1"/>
  <c r="E12083" i="1" s="1"/>
  <c r="D12082" i="1"/>
  <c r="E12082" i="1" s="1"/>
  <c r="E12081" i="1"/>
  <c r="D12081" i="1"/>
  <c r="E12080" i="1"/>
  <c r="D12080" i="1"/>
  <c r="D12079" i="1"/>
  <c r="E12079" i="1" s="1"/>
  <c r="D12078" i="1"/>
  <c r="E12078" i="1" s="1"/>
  <c r="E12077" i="1"/>
  <c r="D12077" i="1"/>
  <c r="D12076" i="1"/>
  <c r="E12076" i="1" s="1"/>
  <c r="D12075" i="1"/>
  <c r="E12075" i="1" s="1"/>
  <c r="D12074" i="1"/>
  <c r="E12074" i="1" s="1"/>
  <c r="E12073" i="1"/>
  <c r="D12073" i="1"/>
  <c r="D12072" i="1"/>
  <c r="E12072" i="1" s="1"/>
  <c r="D12071" i="1"/>
  <c r="E12071" i="1" s="1"/>
  <c r="D12070" i="1"/>
  <c r="E12070" i="1" s="1"/>
  <c r="E12069" i="1"/>
  <c r="D12069" i="1"/>
  <c r="E12068" i="1"/>
  <c r="D12068" i="1"/>
  <c r="D12067" i="1"/>
  <c r="E12067" i="1" s="1"/>
  <c r="D12066" i="1"/>
  <c r="E12066" i="1" s="1"/>
  <c r="E12065" i="1"/>
  <c r="D12065" i="1"/>
  <c r="D12064" i="1"/>
  <c r="E12064" i="1" s="1"/>
  <c r="D12063" i="1"/>
  <c r="E12063" i="1" s="1"/>
  <c r="D12062" i="1"/>
  <c r="E12062" i="1" s="1"/>
  <c r="E12061" i="1"/>
  <c r="D12061" i="1"/>
  <c r="D12060" i="1"/>
  <c r="E12060" i="1" s="1"/>
  <c r="D12059" i="1"/>
  <c r="E12059" i="1" s="1"/>
  <c r="D12058" i="1"/>
  <c r="E12058" i="1" s="1"/>
  <c r="E12057" i="1"/>
  <c r="D12057" i="1"/>
  <c r="E12056" i="1"/>
  <c r="D12056" i="1"/>
  <c r="D12055" i="1"/>
  <c r="E12055" i="1" s="1"/>
  <c r="D12054" i="1"/>
  <c r="E12054" i="1" s="1"/>
  <c r="E12053" i="1"/>
  <c r="D12053" i="1"/>
  <c r="D12052" i="1"/>
  <c r="E12052" i="1" s="1"/>
  <c r="D12051" i="1"/>
  <c r="E12051" i="1" s="1"/>
  <c r="D12050" i="1"/>
  <c r="E12050" i="1" s="1"/>
  <c r="E12049" i="1"/>
  <c r="D12049" i="1"/>
  <c r="D12048" i="1"/>
  <c r="E12048" i="1" s="1"/>
  <c r="D12047" i="1"/>
  <c r="E12047" i="1" s="1"/>
  <c r="D12046" i="1"/>
  <c r="E12046" i="1" s="1"/>
  <c r="E12045" i="1"/>
  <c r="D12045" i="1"/>
  <c r="E12044" i="1"/>
  <c r="D12044" i="1"/>
  <c r="D12043" i="1"/>
  <c r="E12043" i="1" s="1"/>
  <c r="D12042" i="1"/>
  <c r="E12042" i="1" s="1"/>
  <c r="E12041" i="1"/>
  <c r="D12041" i="1"/>
  <c r="D12040" i="1"/>
  <c r="E12040" i="1" s="1"/>
  <c r="D12039" i="1"/>
  <c r="E12039" i="1" s="1"/>
  <c r="D12038" i="1"/>
  <c r="E12038" i="1" s="1"/>
  <c r="E12037" i="1"/>
  <c r="D12037" i="1"/>
  <c r="D12036" i="1"/>
  <c r="E12036" i="1" s="1"/>
  <c r="D12035" i="1"/>
  <c r="E12035" i="1" s="1"/>
  <c r="D12034" i="1"/>
  <c r="E12034" i="1" s="1"/>
  <c r="E12033" i="1"/>
  <c r="D12033" i="1"/>
  <c r="E12032" i="1"/>
  <c r="D12032" i="1"/>
  <c r="D12031" i="1"/>
  <c r="E12031" i="1" s="1"/>
  <c r="D12030" i="1"/>
  <c r="E12030" i="1" s="1"/>
  <c r="E12029" i="1"/>
  <c r="D12029" i="1"/>
  <c r="D12028" i="1"/>
  <c r="E12028" i="1" s="1"/>
  <c r="D12027" i="1"/>
  <c r="E12027" i="1" s="1"/>
  <c r="D12026" i="1"/>
  <c r="E12026" i="1" s="1"/>
  <c r="E12025" i="1"/>
  <c r="D12025" i="1"/>
  <c r="D12024" i="1"/>
  <c r="E12024" i="1" s="1"/>
  <c r="D12023" i="1"/>
  <c r="E12023" i="1" s="1"/>
  <c r="D12022" i="1"/>
  <c r="E12022" i="1" s="1"/>
  <c r="E12021" i="1"/>
  <c r="D12021" i="1"/>
  <c r="E12020" i="1"/>
  <c r="D12020" i="1"/>
  <c r="D12019" i="1"/>
  <c r="E12019" i="1" s="1"/>
  <c r="D12018" i="1"/>
  <c r="E12018" i="1" s="1"/>
  <c r="E12017" i="1"/>
  <c r="D12017" i="1"/>
  <c r="D12016" i="1"/>
  <c r="E12016" i="1" s="1"/>
  <c r="D12015" i="1"/>
  <c r="E12015" i="1" s="1"/>
  <c r="D12014" i="1"/>
  <c r="E12014" i="1" s="1"/>
  <c r="E12013" i="1"/>
  <c r="D12013" i="1"/>
  <c r="D12012" i="1"/>
  <c r="E12012" i="1" s="1"/>
  <c r="D12011" i="1"/>
  <c r="E12011" i="1" s="1"/>
  <c r="D12010" i="1"/>
  <c r="E12010" i="1" s="1"/>
  <c r="E12009" i="1"/>
  <c r="D12009" i="1"/>
  <c r="E12008" i="1"/>
  <c r="D12008" i="1"/>
  <c r="D12007" i="1"/>
  <c r="E12007" i="1" s="1"/>
  <c r="D12006" i="1"/>
  <c r="E12006" i="1" s="1"/>
  <c r="E12005" i="1"/>
  <c r="D12005" i="1"/>
  <c r="D12004" i="1"/>
  <c r="E12004" i="1" s="1"/>
  <c r="D12003" i="1"/>
  <c r="E12003" i="1" s="1"/>
  <c r="D12002" i="1"/>
  <c r="E12002" i="1" s="1"/>
  <c r="E12001" i="1"/>
  <c r="D12001" i="1"/>
  <c r="D12000" i="1"/>
  <c r="E12000" i="1" s="1"/>
  <c r="D11999" i="1"/>
  <c r="E11999" i="1" s="1"/>
  <c r="D11998" i="1"/>
  <c r="E11998" i="1" s="1"/>
  <c r="E11997" i="1"/>
  <c r="D11997" i="1"/>
  <c r="E11996" i="1"/>
  <c r="D11996" i="1"/>
  <c r="D11995" i="1"/>
  <c r="E11995" i="1" s="1"/>
  <c r="D11994" i="1"/>
  <c r="E11994" i="1" s="1"/>
  <c r="E11993" i="1"/>
  <c r="D11993" i="1"/>
  <c r="D11992" i="1"/>
  <c r="E11992" i="1" s="1"/>
  <c r="D11991" i="1"/>
  <c r="E11991" i="1" s="1"/>
  <c r="D11990" i="1"/>
  <c r="E11990" i="1" s="1"/>
  <c r="E11989" i="1"/>
  <c r="D11989" i="1"/>
  <c r="D11988" i="1"/>
  <c r="E11988" i="1" s="1"/>
  <c r="D11987" i="1"/>
  <c r="E11987" i="1" s="1"/>
  <c r="D11986" i="1"/>
  <c r="E11986" i="1" s="1"/>
  <c r="E11985" i="1"/>
  <c r="D11985" i="1"/>
  <c r="E11984" i="1"/>
  <c r="D11984" i="1"/>
  <c r="D11983" i="1"/>
  <c r="E11983" i="1" s="1"/>
  <c r="D11982" i="1"/>
  <c r="E11982" i="1" s="1"/>
  <c r="E11981" i="1"/>
  <c r="D11981" i="1"/>
  <c r="D11980" i="1"/>
  <c r="E11980" i="1" s="1"/>
  <c r="D11979" i="1"/>
  <c r="E11979" i="1" s="1"/>
  <c r="D11978" i="1"/>
  <c r="E11978" i="1" s="1"/>
  <c r="E11977" i="1"/>
  <c r="D11977" i="1"/>
  <c r="D11976" i="1"/>
  <c r="E11976" i="1" s="1"/>
  <c r="D11975" i="1"/>
  <c r="E11975" i="1" s="1"/>
  <c r="D11974" i="1"/>
  <c r="E11974" i="1" s="1"/>
  <c r="E11973" i="1"/>
  <c r="D11973" i="1"/>
  <c r="E11972" i="1"/>
  <c r="D11972" i="1"/>
  <c r="D11971" i="1"/>
  <c r="E11971" i="1" s="1"/>
  <c r="D11970" i="1"/>
  <c r="E11970" i="1" s="1"/>
  <c r="E11969" i="1"/>
  <c r="D11969" i="1"/>
  <c r="D11968" i="1"/>
  <c r="E11968" i="1" s="1"/>
  <c r="D11967" i="1"/>
  <c r="E11967" i="1" s="1"/>
  <c r="D11966" i="1"/>
  <c r="E11966" i="1" s="1"/>
  <c r="E11965" i="1"/>
  <c r="D11965" i="1"/>
  <c r="D11964" i="1"/>
  <c r="E11964" i="1" s="1"/>
  <c r="D11963" i="1"/>
  <c r="E11963" i="1" s="1"/>
  <c r="D11962" i="1"/>
  <c r="E11962" i="1" s="1"/>
  <c r="E11961" i="1"/>
  <c r="D11961" i="1"/>
  <c r="E11960" i="1"/>
  <c r="D11960" i="1"/>
  <c r="D11959" i="1"/>
  <c r="E11959" i="1" s="1"/>
  <c r="D11958" i="1"/>
  <c r="E11958" i="1" s="1"/>
  <c r="E11957" i="1"/>
  <c r="D11957" i="1"/>
  <c r="D11956" i="1"/>
  <c r="E11956" i="1" s="1"/>
  <c r="D11955" i="1"/>
  <c r="E11955" i="1" s="1"/>
  <c r="D11954" i="1"/>
  <c r="E11954" i="1" s="1"/>
  <c r="E11953" i="1"/>
  <c r="D11953" i="1"/>
  <c r="D11952" i="1"/>
  <c r="E11952" i="1" s="1"/>
  <c r="D11951" i="1"/>
  <c r="E11951" i="1" s="1"/>
  <c r="D11950" i="1"/>
  <c r="E11950" i="1" s="1"/>
  <c r="E11949" i="1"/>
  <c r="D11949" i="1"/>
  <c r="E11948" i="1"/>
  <c r="D11948" i="1"/>
  <c r="D11947" i="1"/>
  <c r="E11947" i="1" s="1"/>
  <c r="D11946" i="1"/>
  <c r="E11946" i="1" s="1"/>
  <c r="E11945" i="1"/>
  <c r="D11945" i="1"/>
  <c r="D11944" i="1"/>
  <c r="E11944" i="1" s="1"/>
  <c r="D11943" i="1"/>
  <c r="E11943" i="1" s="1"/>
  <c r="D11942" i="1"/>
  <c r="E11942" i="1" s="1"/>
  <c r="E11941" i="1"/>
  <c r="D11941" i="1"/>
  <c r="D11940" i="1"/>
  <c r="E11940" i="1" s="1"/>
  <c r="D11939" i="1"/>
  <c r="E11939" i="1" s="1"/>
  <c r="D11938" i="1"/>
  <c r="E11938" i="1" s="1"/>
  <c r="E11937" i="1"/>
  <c r="D11937" i="1"/>
  <c r="E11936" i="1"/>
  <c r="D11936" i="1"/>
  <c r="D11935" i="1"/>
  <c r="E11935" i="1" s="1"/>
  <c r="D11934" i="1"/>
  <c r="E11934" i="1" s="1"/>
  <c r="E11933" i="1"/>
  <c r="D11933" i="1"/>
  <c r="D11932" i="1"/>
  <c r="E11932" i="1" s="1"/>
  <c r="D11931" i="1"/>
  <c r="E11931" i="1" s="1"/>
  <c r="D11930" i="1"/>
  <c r="E11930" i="1" s="1"/>
  <c r="E11929" i="1"/>
  <c r="D11929" i="1"/>
  <c r="D11928" i="1"/>
  <c r="E11928" i="1" s="1"/>
  <c r="D11927" i="1"/>
  <c r="E11927" i="1" s="1"/>
  <c r="D11926" i="1"/>
  <c r="E11926" i="1" s="1"/>
  <c r="E11925" i="1"/>
  <c r="D11925" i="1"/>
  <c r="E11924" i="1"/>
  <c r="D11924" i="1"/>
  <c r="D11923" i="1"/>
  <c r="E11923" i="1" s="1"/>
  <c r="D11922" i="1"/>
  <c r="E11922" i="1" s="1"/>
  <c r="E11921" i="1"/>
  <c r="D11921" i="1"/>
  <c r="D11920" i="1"/>
  <c r="E11920" i="1" s="1"/>
  <c r="D11919" i="1"/>
  <c r="E11919" i="1" s="1"/>
  <c r="D11918" i="1"/>
  <c r="E11918" i="1" s="1"/>
  <c r="E11917" i="1"/>
  <c r="D11917" i="1"/>
  <c r="D11916" i="1"/>
  <c r="E11916" i="1" s="1"/>
  <c r="D11915" i="1"/>
  <c r="E11915" i="1" s="1"/>
  <c r="D11914" i="1"/>
  <c r="E11914" i="1" s="1"/>
  <c r="E11913" i="1"/>
  <c r="D11913" i="1"/>
  <c r="E11912" i="1"/>
  <c r="D11912" i="1"/>
  <c r="D11911" i="1"/>
  <c r="E11911" i="1" s="1"/>
  <c r="D11910" i="1"/>
  <c r="E11910" i="1" s="1"/>
  <c r="E11909" i="1"/>
  <c r="D11909" i="1"/>
  <c r="D11908" i="1"/>
  <c r="E11908" i="1" s="1"/>
  <c r="D11907" i="1"/>
  <c r="E11907" i="1" s="1"/>
  <c r="D11906" i="1"/>
  <c r="E11906" i="1" s="1"/>
  <c r="E11905" i="1"/>
  <c r="D11905" i="1"/>
  <c r="D11904" i="1"/>
  <c r="E11904" i="1" s="1"/>
  <c r="D11903" i="1"/>
  <c r="E11903" i="1" s="1"/>
  <c r="D11902" i="1"/>
  <c r="E11902" i="1" s="1"/>
  <c r="E11901" i="1"/>
  <c r="D11901" i="1"/>
  <c r="E11900" i="1"/>
  <c r="D11900" i="1"/>
  <c r="D11899" i="1"/>
  <c r="E11899" i="1" s="1"/>
  <c r="D11898" i="1"/>
  <c r="E11898" i="1" s="1"/>
  <c r="E11897" i="1"/>
  <c r="D11897" i="1"/>
  <c r="D11896" i="1"/>
  <c r="E11896" i="1" s="1"/>
  <c r="D11895" i="1"/>
  <c r="E11895" i="1" s="1"/>
  <c r="D11894" i="1"/>
  <c r="E11894" i="1" s="1"/>
  <c r="E11893" i="1"/>
  <c r="D11893" i="1"/>
  <c r="D11892" i="1"/>
  <c r="E11892" i="1" s="1"/>
  <c r="D11891" i="1"/>
  <c r="E11891" i="1" s="1"/>
  <c r="D11890" i="1"/>
  <c r="E11890" i="1" s="1"/>
  <c r="E11889" i="1"/>
  <c r="D11889" i="1"/>
  <c r="E11888" i="1"/>
  <c r="D11888" i="1"/>
  <c r="D11887" i="1"/>
  <c r="E11887" i="1" s="1"/>
  <c r="D11886" i="1"/>
  <c r="E11886" i="1" s="1"/>
  <c r="E11885" i="1"/>
  <c r="D11885" i="1"/>
  <c r="D11884" i="1"/>
  <c r="E11884" i="1" s="1"/>
  <c r="D11883" i="1"/>
  <c r="E11883" i="1" s="1"/>
  <c r="D11882" i="1"/>
  <c r="E11882" i="1" s="1"/>
  <c r="E11881" i="1"/>
  <c r="D11881" i="1"/>
  <c r="D11880" i="1"/>
  <c r="E11880" i="1" s="1"/>
  <c r="D11879" i="1"/>
  <c r="E11879" i="1" s="1"/>
  <c r="D11878" i="1"/>
  <c r="E11878" i="1" s="1"/>
  <c r="E11877" i="1"/>
  <c r="D11877" i="1"/>
  <c r="E11876" i="1"/>
  <c r="D11876" i="1"/>
  <c r="D11875" i="1"/>
  <c r="E11875" i="1" s="1"/>
  <c r="D11874" i="1"/>
  <c r="E11874" i="1" s="1"/>
  <c r="E11873" i="1"/>
  <c r="D11873" i="1"/>
  <c r="D11872" i="1"/>
  <c r="E11872" i="1" s="1"/>
  <c r="D11871" i="1"/>
  <c r="E11871" i="1" s="1"/>
  <c r="D11870" i="1"/>
  <c r="E11870" i="1" s="1"/>
  <c r="E11869" i="1"/>
  <c r="D11869" i="1"/>
  <c r="D11868" i="1"/>
  <c r="E11868" i="1" s="1"/>
  <c r="D11867" i="1"/>
  <c r="E11867" i="1" s="1"/>
  <c r="D11866" i="1"/>
  <c r="E11866" i="1" s="1"/>
  <c r="E11865" i="1"/>
  <c r="D11865" i="1"/>
  <c r="E11864" i="1"/>
  <c r="D11864" i="1"/>
  <c r="D11863" i="1"/>
  <c r="E11863" i="1" s="1"/>
  <c r="D11862" i="1"/>
  <c r="E11862" i="1" s="1"/>
  <c r="E11861" i="1"/>
  <c r="D11861" i="1"/>
  <c r="D11860" i="1"/>
  <c r="E11860" i="1" s="1"/>
  <c r="D11859" i="1"/>
  <c r="E11859" i="1" s="1"/>
  <c r="D11858" i="1"/>
  <c r="E11858" i="1" s="1"/>
  <c r="E11857" i="1"/>
  <c r="D11857" i="1"/>
  <c r="D11856" i="1"/>
  <c r="E11856" i="1" s="1"/>
  <c r="D11855" i="1"/>
  <c r="E11855" i="1" s="1"/>
  <c r="D11854" i="1"/>
  <c r="E11854" i="1" s="1"/>
  <c r="E11853" i="1"/>
  <c r="D11853" i="1"/>
  <c r="E11852" i="1"/>
  <c r="D11852" i="1"/>
  <c r="D11851" i="1"/>
  <c r="E11851" i="1" s="1"/>
  <c r="D11850" i="1"/>
  <c r="E11850" i="1" s="1"/>
  <c r="E11849" i="1"/>
  <c r="D11849" i="1"/>
  <c r="D11848" i="1"/>
  <c r="E11848" i="1" s="1"/>
  <c r="D11847" i="1"/>
  <c r="E11847" i="1" s="1"/>
  <c r="D11846" i="1"/>
  <c r="E11846" i="1" s="1"/>
  <c r="E11845" i="1"/>
  <c r="D11845" i="1"/>
  <c r="D11844" i="1"/>
  <c r="E11844" i="1" s="1"/>
  <c r="D11843" i="1"/>
  <c r="E11843" i="1" s="1"/>
  <c r="D11842" i="1"/>
  <c r="E11842" i="1" s="1"/>
  <c r="E11841" i="1"/>
  <c r="D11841" i="1"/>
  <c r="E11840" i="1"/>
  <c r="D11840" i="1"/>
  <c r="D11839" i="1"/>
  <c r="E11839" i="1" s="1"/>
  <c r="D11838" i="1"/>
  <c r="E11838" i="1" s="1"/>
  <c r="E11837" i="1"/>
  <c r="D11837" i="1"/>
  <c r="D11836" i="1"/>
  <c r="E11836" i="1" s="1"/>
  <c r="D11835" i="1"/>
  <c r="E11835" i="1" s="1"/>
  <c r="D11834" i="1"/>
  <c r="E11834" i="1" s="1"/>
  <c r="E11833" i="1"/>
  <c r="D11833" i="1"/>
  <c r="D11832" i="1"/>
  <c r="E11832" i="1" s="1"/>
  <c r="D11831" i="1"/>
  <c r="E11831" i="1" s="1"/>
  <c r="D11830" i="1"/>
  <c r="E11830" i="1" s="1"/>
  <c r="E11829" i="1"/>
  <c r="D11829" i="1"/>
  <c r="E11828" i="1"/>
  <c r="D11828" i="1"/>
  <c r="D11827" i="1"/>
  <c r="E11827" i="1" s="1"/>
  <c r="D11826" i="1"/>
  <c r="E11826" i="1" s="1"/>
  <c r="E11825" i="1"/>
  <c r="D11825" i="1"/>
  <c r="D11824" i="1"/>
  <c r="E11824" i="1" s="1"/>
  <c r="D11823" i="1"/>
  <c r="E11823" i="1" s="1"/>
  <c r="D11822" i="1"/>
  <c r="E11822" i="1" s="1"/>
  <c r="E11821" i="1"/>
  <c r="D11821" i="1"/>
  <c r="D11820" i="1"/>
  <c r="E11820" i="1" s="1"/>
  <c r="D11819" i="1"/>
  <c r="E11819" i="1" s="1"/>
  <c r="D11818" i="1"/>
  <c r="E11818" i="1" s="1"/>
  <c r="E11817" i="1"/>
  <c r="D11817" i="1"/>
  <c r="E11816" i="1"/>
  <c r="D11816" i="1"/>
  <c r="D11815" i="1"/>
  <c r="E11815" i="1" s="1"/>
  <c r="D11814" i="1"/>
  <c r="E11814" i="1" s="1"/>
  <c r="E11813" i="1"/>
  <c r="D11813" i="1"/>
  <c r="D11812" i="1"/>
  <c r="E11812" i="1" s="1"/>
  <c r="D11811" i="1"/>
  <c r="E11811" i="1" s="1"/>
  <c r="D11810" i="1"/>
  <c r="E11810" i="1" s="1"/>
  <c r="E11809" i="1"/>
  <c r="D11809" i="1"/>
  <c r="D11808" i="1"/>
  <c r="E11808" i="1" s="1"/>
  <c r="D11807" i="1"/>
  <c r="E11807" i="1" s="1"/>
  <c r="D11806" i="1"/>
  <c r="E11806" i="1" s="1"/>
  <c r="E11805" i="1"/>
  <c r="D11805" i="1"/>
  <c r="E11804" i="1"/>
  <c r="D11804" i="1"/>
  <c r="D11803" i="1"/>
  <c r="E11803" i="1" s="1"/>
  <c r="D11802" i="1"/>
  <c r="E11802" i="1" s="1"/>
  <c r="E11801" i="1"/>
  <c r="D11801" i="1"/>
  <c r="D11800" i="1"/>
  <c r="E11800" i="1" s="1"/>
  <c r="D11799" i="1"/>
  <c r="E11799" i="1" s="1"/>
  <c r="D11798" i="1"/>
  <c r="E11798" i="1" s="1"/>
  <c r="E11797" i="1"/>
  <c r="D11797" i="1"/>
  <c r="D11796" i="1"/>
  <c r="E11796" i="1" s="1"/>
  <c r="D11795" i="1"/>
  <c r="E11795" i="1" s="1"/>
  <c r="D11794" i="1"/>
  <c r="E11794" i="1" s="1"/>
  <c r="E11793" i="1"/>
  <c r="D11793" i="1"/>
  <c r="E11792" i="1"/>
  <c r="D11792" i="1"/>
  <c r="D11791" i="1"/>
  <c r="E11791" i="1" s="1"/>
  <c r="D11790" i="1"/>
  <c r="E11790" i="1" s="1"/>
  <c r="E11789" i="1"/>
  <c r="D11789" i="1"/>
  <c r="D11788" i="1"/>
  <c r="E11788" i="1" s="1"/>
  <c r="D11787" i="1"/>
  <c r="E11787" i="1" s="1"/>
  <c r="D11786" i="1"/>
  <c r="E11786" i="1" s="1"/>
  <c r="E11785" i="1"/>
  <c r="D11785" i="1"/>
  <c r="D11784" i="1"/>
  <c r="E11784" i="1" s="1"/>
  <c r="D11783" i="1"/>
  <c r="E11783" i="1" s="1"/>
  <c r="D11782" i="1"/>
  <c r="E11782" i="1" s="1"/>
  <c r="E11781" i="1"/>
  <c r="D11781" i="1"/>
  <c r="E11780" i="1"/>
  <c r="D11780" i="1"/>
  <c r="D11779" i="1"/>
  <c r="E11779" i="1" s="1"/>
  <c r="D11778" i="1"/>
  <c r="E11778" i="1" s="1"/>
  <c r="E11777" i="1"/>
  <c r="D11777" i="1"/>
  <c r="D11776" i="1"/>
  <c r="E11776" i="1" s="1"/>
  <c r="D11775" i="1"/>
  <c r="E11775" i="1" s="1"/>
  <c r="D11774" i="1"/>
  <c r="E11774" i="1" s="1"/>
  <c r="E11773" i="1"/>
  <c r="D11773" i="1"/>
  <c r="D11772" i="1"/>
  <c r="E11772" i="1" s="1"/>
  <c r="D11771" i="1"/>
  <c r="E11771" i="1" s="1"/>
  <c r="D11770" i="1"/>
  <c r="E11770" i="1" s="1"/>
  <c r="E11769" i="1"/>
  <c r="D11769" i="1"/>
  <c r="E11768" i="1"/>
  <c r="D11768" i="1"/>
  <c r="D11767" i="1"/>
  <c r="E11767" i="1" s="1"/>
  <c r="D11766" i="1"/>
  <c r="E11766" i="1" s="1"/>
  <c r="E11765" i="1"/>
  <c r="D11765" i="1"/>
  <c r="D11764" i="1"/>
  <c r="E11764" i="1" s="1"/>
  <c r="D11763" i="1"/>
  <c r="E11763" i="1" s="1"/>
  <c r="D11762" i="1"/>
  <c r="E11762" i="1" s="1"/>
  <c r="D11761" i="1"/>
  <c r="E11761" i="1" s="1"/>
  <c r="D11760" i="1"/>
  <c r="E11760" i="1" s="1"/>
  <c r="D11759" i="1"/>
  <c r="E11759" i="1" s="1"/>
  <c r="D11758" i="1"/>
  <c r="E11758" i="1" s="1"/>
  <c r="E11757" i="1"/>
  <c r="D11757" i="1"/>
  <c r="E11756" i="1"/>
  <c r="D11756" i="1"/>
  <c r="D11755" i="1"/>
  <c r="E11755" i="1" s="1"/>
  <c r="D11754" i="1"/>
  <c r="E11754" i="1" s="1"/>
  <c r="E11753" i="1"/>
  <c r="D11753" i="1"/>
  <c r="D11752" i="1"/>
  <c r="E11752" i="1" s="1"/>
  <c r="D11751" i="1"/>
  <c r="E11751" i="1" s="1"/>
  <c r="D11750" i="1"/>
  <c r="E11750" i="1" s="1"/>
  <c r="D11749" i="1"/>
  <c r="E11749" i="1" s="1"/>
  <c r="D11748" i="1"/>
  <c r="E11748" i="1" s="1"/>
  <c r="D11747" i="1"/>
  <c r="E11747" i="1" s="1"/>
  <c r="D11746" i="1"/>
  <c r="E11746" i="1" s="1"/>
  <c r="E11745" i="1"/>
  <c r="D11745" i="1"/>
  <c r="E11744" i="1"/>
  <c r="D11744" i="1"/>
  <c r="D11743" i="1"/>
  <c r="E11743" i="1" s="1"/>
  <c r="D11742" i="1"/>
  <c r="E11742" i="1" s="1"/>
  <c r="E11741" i="1"/>
  <c r="D11741" i="1"/>
  <c r="D11740" i="1"/>
  <c r="E11740" i="1" s="1"/>
  <c r="D11739" i="1"/>
  <c r="E11739" i="1" s="1"/>
  <c r="D11738" i="1"/>
  <c r="E11738" i="1" s="1"/>
  <c r="D11737" i="1"/>
  <c r="E11737" i="1" s="1"/>
  <c r="D11736" i="1"/>
  <c r="E11736" i="1" s="1"/>
  <c r="D11735" i="1"/>
  <c r="E11735" i="1" s="1"/>
  <c r="D11734" i="1"/>
  <c r="E11734" i="1" s="1"/>
  <c r="E11733" i="1"/>
  <c r="D11733" i="1"/>
  <c r="E11732" i="1"/>
  <c r="D11732" i="1"/>
  <c r="D11731" i="1"/>
  <c r="E11731" i="1" s="1"/>
  <c r="D11730" i="1"/>
  <c r="E11730" i="1" s="1"/>
  <c r="E11729" i="1"/>
  <c r="D11729" i="1"/>
  <c r="D11728" i="1"/>
  <c r="E11728" i="1" s="1"/>
  <c r="D11727" i="1"/>
  <c r="E11727" i="1" s="1"/>
  <c r="D11726" i="1"/>
  <c r="E11726" i="1" s="1"/>
  <c r="D11725" i="1"/>
  <c r="E11725" i="1" s="1"/>
  <c r="D11724" i="1"/>
  <c r="E11724" i="1" s="1"/>
  <c r="D11723" i="1"/>
  <c r="E11723" i="1" s="1"/>
  <c r="D11722" i="1"/>
  <c r="E11722" i="1" s="1"/>
  <c r="E11721" i="1"/>
  <c r="D11721" i="1"/>
  <c r="E11720" i="1"/>
  <c r="D11720" i="1"/>
  <c r="D11719" i="1"/>
  <c r="E11719" i="1" s="1"/>
  <c r="D11718" i="1"/>
  <c r="E11718" i="1" s="1"/>
  <c r="E11717" i="1"/>
  <c r="D11717" i="1"/>
  <c r="D11716" i="1"/>
  <c r="E11716" i="1" s="1"/>
  <c r="D11715" i="1"/>
  <c r="E11715" i="1" s="1"/>
  <c r="D11714" i="1"/>
  <c r="E11714" i="1" s="1"/>
  <c r="D11713" i="1"/>
  <c r="E11713" i="1" s="1"/>
  <c r="D11712" i="1"/>
  <c r="E11712" i="1" s="1"/>
  <c r="D11711" i="1"/>
  <c r="E11711" i="1" s="1"/>
  <c r="D11710" i="1"/>
  <c r="E11710" i="1" s="1"/>
  <c r="E11709" i="1"/>
  <c r="D11709" i="1"/>
  <c r="E11708" i="1"/>
  <c r="D11708" i="1"/>
  <c r="D11707" i="1"/>
  <c r="E11707" i="1" s="1"/>
  <c r="D11706" i="1"/>
  <c r="E11706" i="1" s="1"/>
  <c r="E11705" i="1"/>
  <c r="D11705" i="1"/>
  <c r="D11704" i="1"/>
  <c r="E11704" i="1" s="1"/>
  <c r="D11703" i="1"/>
  <c r="E11703" i="1" s="1"/>
  <c r="D11702" i="1"/>
  <c r="E11702" i="1" s="1"/>
  <c r="D11701" i="1"/>
  <c r="E11701" i="1" s="1"/>
  <c r="D11700" i="1"/>
  <c r="E11700" i="1" s="1"/>
  <c r="D11699" i="1"/>
  <c r="E11699" i="1" s="1"/>
  <c r="D11698" i="1"/>
  <c r="E11698" i="1" s="1"/>
  <c r="E11697" i="1"/>
  <c r="D11697" i="1"/>
  <c r="E11696" i="1"/>
  <c r="D11696" i="1"/>
  <c r="D11695" i="1"/>
  <c r="E11695" i="1" s="1"/>
  <c r="D11694" i="1"/>
  <c r="E11694" i="1" s="1"/>
  <c r="E11693" i="1"/>
  <c r="D11693" i="1"/>
  <c r="D11692" i="1"/>
  <c r="E11692" i="1" s="1"/>
  <c r="D11691" i="1"/>
  <c r="E11691" i="1" s="1"/>
  <c r="D11690" i="1"/>
  <c r="E11690" i="1" s="1"/>
  <c r="D11689" i="1"/>
  <c r="E11689" i="1" s="1"/>
  <c r="D11688" i="1"/>
  <c r="E11688" i="1" s="1"/>
  <c r="D11687" i="1"/>
  <c r="E11687" i="1" s="1"/>
  <c r="D11686" i="1"/>
  <c r="E11686" i="1" s="1"/>
  <c r="E11685" i="1"/>
  <c r="D11685" i="1"/>
  <c r="E11684" i="1"/>
  <c r="D11684" i="1"/>
  <c r="D11683" i="1"/>
  <c r="E11683" i="1" s="1"/>
  <c r="D11682" i="1"/>
  <c r="E11682" i="1" s="1"/>
  <c r="E11681" i="1"/>
  <c r="D11681" i="1"/>
  <c r="D11680" i="1"/>
  <c r="E11680" i="1" s="1"/>
  <c r="D11679" i="1"/>
  <c r="E11679" i="1" s="1"/>
  <c r="D11678" i="1"/>
  <c r="E11678" i="1" s="1"/>
  <c r="D11677" i="1"/>
  <c r="E11677" i="1" s="1"/>
  <c r="D11676" i="1"/>
  <c r="E11676" i="1" s="1"/>
  <c r="D11675" i="1"/>
  <c r="E11675" i="1" s="1"/>
  <c r="D11674" i="1"/>
  <c r="E11674" i="1" s="1"/>
  <c r="E11673" i="1"/>
  <c r="D11673" i="1"/>
  <c r="E11672" i="1"/>
  <c r="D11672" i="1"/>
  <c r="D11671" i="1"/>
  <c r="E11671" i="1" s="1"/>
  <c r="D11670" i="1"/>
  <c r="E11670" i="1" s="1"/>
  <c r="E11669" i="1"/>
  <c r="D11669" i="1"/>
  <c r="D11668" i="1"/>
  <c r="E11668" i="1" s="1"/>
  <c r="D11667" i="1"/>
  <c r="E11667" i="1" s="1"/>
  <c r="D11666" i="1"/>
  <c r="E11666" i="1" s="1"/>
  <c r="D11665" i="1"/>
  <c r="E11665" i="1" s="1"/>
  <c r="D11664" i="1"/>
  <c r="E11664" i="1" s="1"/>
  <c r="D11663" i="1"/>
  <c r="E11663" i="1" s="1"/>
  <c r="D11662" i="1"/>
  <c r="E11662" i="1" s="1"/>
  <c r="E11661" i="1"/>
  <c r="D11661" i="1"/>
  <c r="E11660" i="1"/>
  <c r="D11660" i="1"/>
  <c r="D11659" i="1"/>
  <c r="E11659" i="1" s="1"/>
  <c r="D11658" i="1"/>
  <c r="E11658" i="1" s="1"/>
  <c r="E11657" i="1"/>
  <c r="D11657" i="1"/>
  <c r="D11656" i="1"/>
  <c r="E11656" i="1" s="1"/>
  <c r="D11655" i="1"/>
  <c r="E11655" i="1" s="1"/>
  <c r="D11654" i="1"/>
  <c r="E11654" i="1" s="1"/>
  <c r="D11653" i="1"/>
  <c r="E11653" i="1" s="1"/>
  <c r="D11652" i="1"/>
  <c r="E11652" i="1" s="1"/>
  <c r="D11651" i="1"/>
  <c r="E11651" i="1" s="1"/>
  <c r="D11650" i="1"/>
  <c r="E11650" i="1" s="1"/>
  <c r="E11649" i="1"/>
  <c r="D11649" i="1"/>
  <c r="E11648" i="1"/>
  <c r="D11648" i="1"/>
  <c r="D11647" i="1"/>
  <c r="E11647" i="1" s="1"/>
  <c r="D11646" i="1"/>
  <c r="E11646" i="1" s="1"/>
  <c r="E11645" i="1"/>
  <c r="D11645" i="1"/>
  <c r="D11644" i="1"/>
  <c r="E11644" i="1" s="1"/>
  <c r="D11643" i="1"/>
  <c r="E11643" i="1" s="1"/>
  <c r="D11642" i="1"/>
  <c r="E11642" i="1" s="1"/>
  <c r="D11641" i="1"/>
  <c r="E11641" i="1" s="1"/>
  <c r="D11640" i="1"/>
  <c r="E11640" i="1" s="1"/>
  <c r="D11639" i="1"/>
  <c r="E11639" i="1" s="1"/>
  <c r="D11638" i="1"/>
  <c r="E11638" i="1" s="1"/>
  <c r="E11637" i="1"/>
  <c r="D11637" i="1"/>
  <c r="E11636" i="1"/>
  <c r="D11636" i="1"/>
  <c r="D11635" i="1"/>
  <c r="E11635" i="1" s="1"/>
  <c r="D11634" i="1"/>
  <c r="E11634" i="1" s="1"/>
  <c r="E11633" i="1"/>
  <c r="D11633" i="1"/>
  <c r="D11632" i="1"/>
  <c r="E11632" i="1" s="1"/>
  <c r="D11631" i="1"/>
  <c r="E11631" i="1" s="1"/>
  <c r="D11630" i="1"/>
  <c r="E11630" i="1" s="1"/>
  <c r="D11629" i="1"/>
  <c r="E11629" i="1" s="1"/>
  <c r="D11628" i="1"/>
  <c r="E11628" i="1" s="1"/>
  <c r="D11627" i="1"/>
  <c r="E11627" i="1" s="1"/>
  <c r="D11626" i="1"/>
  <c r="E11626" i="1" s="1"/>
  <c r="E11625" i="1"/>
  <c r="D11625" i="1"/>
  <c r="E11624" i="1"/>
  <c r="D11624" i="1"/>
  <c r="D11623" i="1"/>
  <c r="E11623" i="1" s="1"/>
  <c r="D11622" i="1"/>
  <c r="E11622" i="1" s="1"/>
  <c r="E11621" i="1"/>
  <c r="D11621" i="1"/>
  <c r="D11620" i="1"/>
  <c r="E11620" i="1" s="1"/>
  <c r="D11619" i="1"/>
  <c r="E11619" i="1" s="1"/>
  <c r="D11618" i="1"/>
  <c r="E11618" i="1" s="1"/>
  <c r="D11617" i="1"/>
  <c r="E11617" i="1" s="1"/>
  <c r="D11616" i="1"/>
  <c r="E11616" i="1" s="1"/>
  <c r="D11615" i="1"/>
  <c r="E11615" i="1" s="1"/>
  <c r="D11614" i="1"/>
  <c r="E11614" i="1" s="1"/>
  <c r="E11613" i="1"/>
  <c r="D11613" i="1"/>
  <c r="E11612" i="1"/>
  <c r="D11612" i="1"/>
  <c r="D11611" i="1"/>
  <c r="E11611" i="1" s="1"/>
  <c r="D11610" i="1"/>
  <c r="E11610" i="1" s="1"/>
  <c r="E11609" i="1"/>
  <c r="D11609" i="1"/>
  <c r="D11608" i="1"/>
  <c r="E11608" i="1" s="1"/>
  <c r="D11607" i="1"/>
  <c r="E11607" i="1" s="1"/>
  <c r="D11606" i="1"/>
  <c r="E11606" i="1" s="1"/>
  <c r="D11605" i="1"/>
  <c r="E11605" i="1" s="1"/>
  <c r="D11604" i="1"/>
  <c r="E11604" i="1" s="1"/>
  <c r="D11603" i="1"/>
  <c r="E11603" i="1" s="1"/>
  <c r="D11602" i="1"/>
  <c r="E11602" i="1" s="1"/>
  <c r="E11601" i="1"/>
  <c r="D11601" i="1"/>
  <c r="E11600" i="1"/>
  <c r="D11600" i="1"/>
  <c r="D11599" i="1"/>
  <c r="E11599" i="1" s="1"/>
  <c r="D11598" i="1"/>
  <c r="E11598" i="1" s="1"/>
  <c r="E11597" i="1"/>
  <c r="D11597" i="1"/>
  <c r="D11596" i="1"/>
  <c r="E11596" i="1" s="1"/>
  <c r="D11595" i="1"/>
  <c r="E11595" i="1" s="1"/>
  <c r="D11594" i="1"/>
  <c r="E11594" i="1" s="1"/>
  <c r="D11593" i="1"/>
  <c r="E11593" i="1" s="1"/>
  <c r="D11592" i="1"/>
  <c r="E11592" i="1" s="1"/>
  <c r="D11591" i="1"/>
  <c r="E11591" i="1" s="1"/>
  <c r="D11590" i="1"/>
  <c r="E11590" i="1" s="1"/>
  <c r="E11589" i="1"/>
  <c r="D11589" i="1"/>
  <c r="E11588" i="1"/>
  <c r="D11588" i="1"/>
  <c r="D11587" i="1"/>
  <c r="E11587" i="1" s="1"/>
  <c r="D11586" i="1"/>
  <c r="E11586" i="1" s="1"/>
  <c r="E11585" i="1"/>
  <c r="D11585" i="1"/>
  <c r="D11584" i="1"/>
  <c r="E11584" i="1" s="1"/>
  <c r="D11583" i="1"/>
  <c r="E11583" i="1" s="1"/>
  <c r="D11582" i="1"/>
  <c r="E11582" i="1" s="1"/>
  <c r="D11581" i="1"/>
  <c r="E11581" i="1" s="1"/>
  <c r="D11580" i="1"/>
  <c r="E11580" i="1" s="1"/>
  <c r="D11579" i="1"/>
  <c r="E11579" i="1" s="1"/>
  <c r="D11578" i="1"/>
  <c r="E11578" i="1" s="1"/>
  <c r="D11577" i="1"/>
  <c r="E11577" i="1" s="1"/>
  <c r="E11576" i="1"/>
  <c r="D11576" i="1"/>
  <c r="D11575" i="1"/>
  <c r="E11575" i="1" s="1"/>
  <c r="D11574" i="1"/>
  <c r="E11574" i="1" s="1"/>
  <c r="E11573" i="1"/>
  <c r="D11573" i="1"/>
  <c r="D11572" i="1"/>
  <c r="E11572" i="1" s="1"/>
  <c r="D11571" i="1"/>
  <c r="E11571" i="1" s="1"/>
  <c r="D11570" i="1"/>
  <c r="E11570" i="1" s="1"/>
  <c r="D11569" i="1"/>
  <c r="E11569" i="1" s="1"/>
  <c r="D11568" i="1"/>
  <c r="E11568" i="1" s="1"/>
  <c r="D11567" i="1"/>
  <c r="E11567" i="1" s="1"/>
  <c r="D11566" i="1"/>
  <c r="E11566" i="1" s="1"/>
  <c r="E11565" i="1"/>
  <c r="D11565" i="1"/>
  <c r="E11564" i="1"/>
  <c r="D11564" i="1"/>
  <c r="D11563" i="1"/>
  <c r="E11563" i="1" s="1"/>
  <c r="D11562" i="1"/>
  <c r="E11562" i="1" s="1"/>
  <c r="E11561" i="1"/>
  <c r="D11561" i="1"/>
  <c r="D11560" i="1"/>
  <c r="E11560" i="1" s="1"/>
  <c r="D11559" i="1"/>
  <c r="E11559" i="1" s="1"/>
  <c r="D11558" i="1"/>
  <c r="E11558" i="1" s="1"/>
  <c r="D11557" i="1"/>
  <c r="E11557" i="1" s="1"/>
  <c r="D11556" i="1"/>
  <c r="E11556" i="1" s="1"/>
  <c r="D11555" i="1"/>
  <c r="E11555" i="1" s="1"/>
  <c r="D11554" i="1"/>
  <c r="E11554" i="1" s="1"/>
  <c r="E11553" i="1"/>
  <c r="D11553" i="1"/>
  <c r="E11552" i="1"/>
  <c r="D11552" i="1"/>
  <c r="D11551" i="1"/>
  <c r="E11551" i="1" s="1"/>
  <c r="D11550" i="1"/>
  <c r="E11550" i="1" s="1"/>
  <c r="E11549" i="1"/>
  <c r="D11549" i="1"/>
  <c r="D11548" i="1"/>
  <c r="E11548" i="1" s="1"/>
  <c r="D11547" i="1"/>
  <c r="E11547" i="1" s="1"/>
  <c r="D11546" i="1"/>
  <c r="E11546" i="1" s="1"/>
  <c r="D11545" i="1"/>
  <c r="E11545" i="1" s="1"/>
  <c r="D11544" i="1"/>
  <c r="E11544" i="1" s="1"/>
  <c r="D11543" i="1"/>
  <c r="E11543" i="1" s="1"/>
  <c r="D11542" i="1"/>
  <c r="E11542" i="1" s="1"/>
  <c r="D11541" i="1"/>
  <c r="E11541" i="1" s="1"/>
  <c r="E11540" i="1"/>
  <c r="D11540" i="1"/>
  <c r="D11539" i="1"/>
  <c r="E11539" i="1" s="1"/>
  <c r="D11538" i="1"/>
  <c r="E11538" i="1" s="1"/>
  <c r="E11537" i="1"/>
  <c r="D11537" i="1"/>
  <c r="D11536" i="1"/>
  <c r="E11536" i="1" s="1"/>
  <c r="D11535" i="1"/>
  <c r="E11535" i="1" s="1"/>
  <c r="D11534" i="1"/>
  <c r="E11534" i="1" s="1"/>
  <c r="D11533" i="1"/>
  <c r="E11533" i="1" s="1"/>
  <c r="D11532" i="1"/>
  <c r="E11532" i="1" s="1"/>
  <c r="D11531" i="1"/>
  <c r="E11531" i="1" s="1"/>
  <c r="D11530" i="1"/>
  <c r="E11530" i="1" s="1"/>
  <c r="E11529" i="1"/>
  <c r="D11529" i="1"/>
  <c r="E11528" i="1"/>
  <c r="D11528" i="1"/>
  <c r="D11527" i="1"/>
  <c r="E11527" i="1" s="1"/>
  <c r="D11526" i="1"/>
  <c r="E11526" i="1" s="1"/>
  <c r="E11525" i="1"/>
  <c r="D11525" i="1"/>
  <c r="D11524" i="1"/>
  <c r="E11524" i="1" s="1"/>
  <c r="D11523" i="1"/>
  <c r="E11523" i="1" s="1"/>
  <c r="D11522" i="1"/>
  <c r="E11522" i="1" s="1"/>
  <c r="D11521" i="1"/>
  <c r="E11521" i="1" s="1"/>
  <c r="D11520" i="1"/>
  <c r="E11520" i="1" s="1"/>
  <c r="D11519" i="1"/>
  <c r="E11519" i="1" s="1"/>
  <c r="D11518" i="1"/>
  <c r="E11518" i="1" s="1"/>
  <c r="E11517" i="1"/>
  <c r="D11517" i="1"/>
  <c r="E11516" i="1"/>
  <c r="D11516" i="1"/>
  <c r="D11515" i="1"/>
  <c r="E11515" i="1" s="1"/>
  <c r="D11514" i="1"/>
  <c r="E11514" i="1" s="1"/>
  <c r="E11513" i="1"/>
  <c r="D11513" i="1"/>
  <c r="D11512" i="1"/>
  <c r="E11512" i="1" s="1"/>
  <c r="D11511" i="1"/>
  <c r="E11511" i="1" s="1"/>
  <c r="D11510" i="1"/>
  <c r="E11510" i="1" s="1"/>
  <c r="D11509" i="1"/>
  <c r="E11509" i="1" s="1"/>
  <c r="D11508" i="1"/>
  <c r="E11508" i="1" s="1"/>
  <c r="D11507" i="1"/>
  <c r="E11507" i="1" s="1"/>
  <c r="D11506" i="1"/>
  <c r="E11506" i="1" s="1"/>
  <c r="D11505" i="1"/>
  <c r="E11505" i="1" s="1"/>
  <c r="E11504" i="1"/>
  <c r="D11504" i="1"/>
  <c r="D11503" i="1"/>
  <c r="E11503" i="1" s="1"/>
  <c r="D11502" i="1"/>
  <c r="E11502" i="1" s="1"/>
  <c r="E11501" i="1"/>
  <c r="D11501" i="1"/>
  <c r="D11500" i="1"/>
  <c r="E11500" i="1" s="1"/>
  <c r="D11499" i="1"/>
  <c r="E11499" i="1" s="1"/>
  <c r="D11498" i="1"/>
  <c r="E11498" i="1" s="1"/>
  <c r="D11497" i="1"/>
  <c r="E11497" i="1" s="1"/>
  <c r="D11496" i="1"/>
  <c r="E11496" i="1" s="1"/>
  <c r="D11495" i="1"/>
  <c r="E11495" i="1" s="1"/>
  <c r="D11494" i="1"/>
  <c r="E11494" i="1" s="1"/>
  <c r="E11493" i="1"/>
  <c r="D11493" i="1"/>
  <c r="E11492" i="1"/>
  <c r="D11492" i="1"/>
  <c r="D11491" i="1"/>
  <c r="E11491" i="1" s="1"/>
  <c r="D11490" i="1"/>
  <c r="E11490" i="1" s="1"/>
  <c r="E11489" i="1"/>
  <c r="D11489" i="1"/>
  <c r="D11488" i="1"/>
  <c r="E11488" i="1" s="1"/>
  <c r="D11487" i="1"/>
  <c r="E11487" i="1" s="1"/>
  <c r="D11486" i="1"/>
  <c r="E11486" i="1" s="1"/>
  <c r="D11485" i="1"/>
  <c r="E11485" i="1" s="1"/>
  <c r="D11484" i="1"/>
  <c r="E11484" i="1" s="1"/>
  <c r="D11483" i="1"/>
  <c r="E11483" i="1" s="1"/>
  <c r="D11482" i="1"/>
  <c r="E11482" i="1" s="1"/>
  <c r="E11481" i="1"/>
  <c r="D11481" i="1"/>
  <c r="E11480" i="1"/>
  <c r="D11480" i="1"/>
  <c r="D11479" i="1"/>
  <c r="E11479" i="1" s="1"/>
  <c r="D11478" i="1"/>
  <c r="E11478" i="1" s="1"/>
  <c r="E11477" i="1"/>
  <c r="D11477" i="1"/>
  <c r="D11476" i="1"/>
  <c r="E11476" i="1" s="1"/>
  <c r="D11475" i="1"/>
  <c r="E11475" i="1" s="1"/>
  <c r="D11474" i="1"/>
  <c r="E11474" i="1" s="1"/>
  <c r="D11473" i="1"/>
  <c r="E11473" i="1" s="1"/>
  <c r="D11472" i="1"/>
  <c r="E11472" i="1" s="1"/>
  <c r="D11471" i="1"/>
  <c r="E11471" i="1" s="1"/>
  <c r="D11470" i="1"/>
  <c r="E11470" i="1" s="1"/>
  <c r="D11469" i="1"/>
  <c r="E11469" i="1" s="1"/>
  <c r="E11468" i="1"/>
  <c r="D11468" i="1"/>
  <c r="D11467" i="1"/>
  <c r="E11467" i="1" s="1"/>
  <c r="D11466" i="1"/>
  <c r="E11466" i="1" s="1"/>
  <c r="E11465" i="1"/>
  <c r="D11465" i="1"/>
  <c r="D11464" i="1"/>
  <c r="E11464" i="1" s="1"/>
  <c r="D11463" i="1"/>
  <c r="E11463" i="1" s="1"/>
  <c r="D11462" i="1"/>
  <c r="E11462" i="1" s="1"/>
  <c r="D11461" i="1"/>
  <c r="E11461" i="1" s="1"/>
  <c r="D11460" i="1"/>
  <c r="E11460" i="1" s="1"/>
  <c r="D11459" i="1"/>
  <c r="E11459" i="1" s="1"/>
  <c r="D11458" i="1"/>
  <c r="E11458" i="1" s="1"/>
  <c r="E11457" i="1"/>
  <c r="D11457" i="1"/>
  <c r="E11456" i="1"/>
  <c r="D11456" i="1"/>
  <c r="D11455" i="1"/>
  <c r="E11455" i="1" s="1"/>
  <c r="D11454" i="1"/>
  <c r="E11454" i="1" s="1"/>
  <c r="E11453" i="1"/>
  <c r="D11453" i="1"/>
  <c r="D11452" i="1"/>
  <c r="E11452" i="1" s="1"/>
  <c r="D11451" i="1"/>
  <c r="E11451" i="1" s="1"/>
  <c r="D11450" i="1"/>
  <c r="E11450" i="1" s="1"/>
  <c r="D11449" i="1"/>
  <c r="E11449" i="1" s="1"/>
  <c r="D11448" i="1"/>
  <c r="E11448" i="1" s="1"/>
  <c r="D11447" i="1"/>
  <c r="E11447" i="1" s="1"/>
  <c r="D11446" i="1"/>
  <c r="E11446" i="1" s="1"/>
  <c r="E11445" i="1"/>
  <c r="D11445" i="1"/>
  <c r="E11444" i="1"/>
  <c r="D11444" i="1"/>
  <c r="D11443" i="1"/>
  <c r="E11443" i="1" s="1"/>
  <c r="D11442" i="1"/>
  <c r="E11442" i="1" s="1"/>
  <c r="E11441" i="1"/>
  <c r="D11441" i="1"/>
  <c r="D11440" i="1"/>
  <c r="E11440" i="1" s="1"/>
  <c r="D11439" i="1"/>
  <c r="E11439" i="1" s="1"/>
  <c r="D11438" i="1"/>
  <c r="E11438" i="1" s="1"/>
  <c r="D11437" i="1"/>
  <c r="E11437" i="1" s="1"/>
  <c r="D11436" i="1"/>
  <c r="E11436" i="1" s="1"/>
  <c r="D11435" i="1"/>
  <c r="E11435" i="1" s="1"/>
  <c r="D11434" i="1"/>
  <c r="E11434" i="1" s="1"/>
  <c r="D11433" i="1"/>
  <c r="E11433" i="1" s="1"/>
  <c r="E11432" i="1"/>
  <c r="D11432" i="1"/>
  <c r="D11431" i="1"/>
  <c r="E11431" i="1" s="1"/>
  <c r="D11430" i="1"/>
  <c r="E11430" i="1" s="1"/>
  <c r="E11429" i="1"/>
  <c r="D11429" i="1"/>
  <c r="D11428" i="1"/>
  <c r="E11428" i="1" s="1"/>
  <c r="D11427" i="1"/>
  <c r="E11427" i="1" s="1"/>
  <c r="D11426" i="1"/>
  <c r="E11426" i="1" s="1"/>
  <c r="D11425" i="1"/>
  <c r="E11425" i="1" s="1"/>
  <c r="D11424" i="1"/>
  <c r="E11424" i="1" s="1"/>
  <c r="D11423" i="1"/>
  <c r="E11423" i="1" s="1"/>
  <c r="D11422" i="1"/>
  <c r="E11422" i="1" s="1"/>
  <c r="E11421" i="1"/>
  <c r="D11421" i="1"/>
  <c r="E11420" i="1"/>
  <c r="D11420" i="1"/>
  <c r="D11419" i="1"/>
  <c r="E11419" i="1" s="1"/>
  <c r="D11418" i="1"/>
  <c r="E11418" i="1" s="1"/>
  <c r="E11417" i="1"/>
  <c r="D11417" i="1"/>
  <c r="D11416" i="1"/>
  <c r="E11416" i="1" s="1"/>
  <c r="D11415" i="1"/>
  <c r="E11415" i="1" s="1"/>
  <c r="D11414" i="1"/>
  <c r="E11414" i="1" s="1"/>
  <c r="D11413" i="1"/>
  <c r="E11413" i="1" s="1"/>
  <c r="D11412" i="1"/>
  <c r="E11412" i="1" s="1"/>
  <c r="D11411" i="1"/>
  <c r="E11411" i="1" s="1"/>
  <c r="D11410" i="1"/>
  <c r="E11410" i="1" s="1"/>
  <c r="E11409" i="1"/>
  <c r="D11409" i="1"/>
  <c r="E11408" i="1"/>
  <c r="D11408" i="1"/>
  <c r="D11407" i="1"/>
  <c r="E11407" i="1" s="1"/>
  <c r="D11406" i="1"/>
  <c r="E11406" i="1" s="1"/>
  <c r="E11405" i="1"/>
  <c r="D11405" i="1"/>
  <c r="D11404" i="1"/>
  <c r="E11404" i="1" s="1"/>
  <c r="D11403" i="1"/>
  <c r="E11403" i="1" s="1"/>
  <c r="D11402" i="1"/>
  <c r="E11402" i="1" s="1"/>
  <c r="D11401" i="1"/>
  <c r="E11401" i="1" s="1"/>
  <c r="D11400" i="1"/>
  <c r="E11400" i="1" s="1"/>
  <c r="D11399" i="1"/>
  <c r="E11399" i="1" s="1"/>
  <c r="D11398" i="1"/>
  <c r="E11398" i="1" s="1"/>
  <c r="D11397" i="1"/>
  <c r="E11397" i="1" s="1"/>
  <c r="E11396" i="1"/>
  <c r="D11396" i="1"/>
  <c r="D11395" i="1"/>
  <c r="E11395" i="1" s="1"/>
  <c r="D11394" i="1"/>
  <c r="E11394" i="1" s="1"/>
  <c r="E11393" i="1"/>
  <c r="D11393" i="1"/>
  <c r="D11392" i="1"/>
  <c r="E11392" i="1" s="1"/>
  <c r="D11391" i="1"/>
  <c r="E11391" i="1" s="1"/>
  <c r="D11390" i="1"/>
  <c r="E11390" i="1" s="1"/>
  <c r="D11389" i="1"/>
  <c r="E11389" i="1" s="1"/>
  <c r="D11388" i="1"/>
  <c r="E11388" i="1" s="1"/>
  <c r="D11387" i="1"/>
  <c r="E11387" i="1" s="1"/>
  <c r="D11386" i="1"/>
  <c r="E11386" i="1" s="1"/>
  <c r="E11385" i="1"/>
  <c r="D11385" i="1"/>
  <c r="E11384" i="1"/>
  <c r="D11384" i="1"/>
  <c r="D11383" i="1"/>
  <c r="E11383" i="1" s="1"/>
  <c r="D11382" i="1"/>
  <c r="E11382" i="1" s="1"/>
  <c r="E11381" i="1"/>
  <c r="D11381" i="1"/>
  <c r="D11380" i="1"/>
  <c r="E11380" i="1" s="1"/>
  <c r="D11379" i="1"/>
  <c r="E11379" i="1" s="1"/>
  <c r="D11378" i="1"/>
  <c r="E11378" i="1" s="1"/>
  <c r="D11377" i="1"/>
  <c r="E11377" i="1" s="1"/>
  <c r="D11376" i="1"/>
  <c r="E11376" i="1" s="1"/>
  <c r="D11375" i="1"/>
  <c r="E11375" i="1" s="1"/>
  <c r="D11374" i="1"/>
  <c r="E11374" i="1" s="1"/>
  <c r="E11373" i="1"/>
  <c r="D11373" i="1"/>
  <c r="E11372" i="1"/>
  <c r="D11372" i="1"/>
  <c r="D11371" i="1"/>
  <c r="E11371" i="1" s="1"/>
  <c r="D11370" i="1"/>
  <c r="E11370" i="1" s="1"/>
  <c r="E11369" i="1"/>
  <c r="D11369" i="1"/>
  <c r="D11368" i="1"/>
  <c r="E11368" i="1" s="1"/>
  <c r="D11367" i="1"/>
  <c r="E11367" i="1" s="1"/>
  <c r="D11366" i="1"/>
  <c r="E11366" i="1" s="1"/>
  <c r="D11365" i="1"/>
  <c r="E11365" i="1" s="1"/>
  <c r="D11364" i="1"/>
  <c r="E11364" i="1" s="1"/>
  <c r="D11363" i="1"/>
  <c r="E11363" i="1" s="1"/>
  <c r="D11362" i="1"/>
  <c r="E11362" i="1" s="1"/>
  <c r="D11361" i="1"/>
  <c r="E11361" i="1" s="1"/>
  <c r="E11360" i="1"/>
  <c r="D11360" i="1"/>
  <c r="D11359" i="1"/>
  <c r="E11359" i="1" s="1"/>
  <c r="D11358" i="1"/>
  <c r="E11358" i="1" s="1"/>
  <c r="E11357" i="1"/>
  <c r="D11357" i="1"/>
  <c r="D11356" i="1"/>
  <c r="E11356" i="1" s="1"/>
  <c r="D11355" i="1"/>
  <c r="E11355" i="1" s="1"/>
  <c r="D11354" i="1"/>
  <c r="E11354" i="1" s="1"/>
  <c r="D11353" i="1"/>
  <c r="E11353" i="1" s="1"/>
  <c r="D11352" i="1"/>
  <c r="E11352" i="1" s="1"/>
  <c r="D11351" i="1"/>
  <c r="E11351" i="1" s="1"/>
  <c r="D11350" i="1"/>
  <c r="E11350" i="1" s="1"/>
  <c r="E11349" i="1"/>
  <c r="D11349" i="1"/>
  <c r="E11348" i="1"/>
  <c r="D11348" i="1"/>
  <c r="D11347" i="1"/>
  <c r="E11347" i="1" s="1"/>
  <c r="D11346" i="1"/>
  <c r="E11346" i="1" s="1"/>
  <c r="E11345" i="1"/>
  <c r="D11345" i="1"/>
  <c r="D11344" i="1"/>
  <c r="E11344" i="1" s="1"/>
  <c r="D11343" i="1"/>
  <c r="E11343" i="1" s="1"/>
  <c r="D11342" i="1"/>
  <c r="E11342" i="1" s="1"/>
  <c r="D11341" i="1"/>
  <c r="E11341" i="1" s="1"/>
  <c r="D11340" i="1"/>
  <c r="E11340" i="1" s="1"/>
  <c r="D11339" i="1"/>
  <c r="E11339" i="1" s="1"/>
  <c r="D11338" i="1"/>
  <c r="E11338" i="1" s="1"/>
  <c r="E11337" i="1"/>
  <c r="D11337" i="1"/>
  <c r="E11336" i="1"/>
  <c r="D11336" i="1"/>
  <c r="D11335" i="1"/>
  <c r="E11335" i="1" s="1"/>
  <c r="D11334" i="1"/>
  <c r="E11334" i="1" s="1"/>
  <c r="E11333" i="1"/>
  <c r="D11333" i="1"/>
  <c r="D11332" i="1"/>
  <c r="E11332" i="1" s="1"/>
  <c r="D11331" i="1"/>
  <c r="E11331" i="1" s="1"/>
  <c r="D11330" i="1"/>
  <c r="E11330" i="1" s="1"/>
  <c r="D11329" i="1"/>
  <c r="E11329" i="1" s="1"/>
  <c r="D11328" i="1"/>
  <c r="E11328" i="1" s="1"/>
  <c r="D11327" i="1"/>
  <c r="E11327" i="1" s="1"/>
  <c r="D11326" i="1"/>
  <c r="E11326" i="1" s="1"/>
  <c r="D11325" i="1"/>
  <c r="E11325" i="1" s="1"/>
  <c r="E11324" i="1"/>
  <c r="D11324" i="1"/>
  <c r="D11323" i="1"/>
  <c r="E11323" i="1" s="1"/>
  <c r="D11322" i="1"/>
  <c r="E11322" i="1" s="1"/>
  <c r="D11321" i="1"/>
  <c r="E11321" i="1" s="1"/>
  <c r="D11320" i="1"/>
  <c r="E11320" i="1" s="1"/>
  <c r="D11319" i="1"/>
  <c r="E11319" i="1" s="1"/>
  <c r="D11318" i="1"/>
  <c r="E11318" i="1" s="1"/>
  <c r="D11317" i="1"/>
  <c r="E11317" i="1" s="1"/>
  <c r="D11316" i="1"/>
  <c r="E11316" i="1" s="1"/>
  <c r="D11315" i="1"/>
  <c r="E11315" i="1" s="1"/>
  <c r="D11314" i="1"/>
  <c r="E11314" i="1" s="1"/>
  <c r="E11313" i="1"/>
  <c r="D11313" i="1"/>
  <c r="E11312" i="1"/>
  <c r="D11312" i="1"/>
  <c r="D11311" i="1"/>
  <c r="E11311" i="1" s="1"/>
  <c r="D11310" i="1"/>
  <c r="E11310" i="1" s="1"/>
  <c r="E11309" i="1"/>
  <c r="D11309" i="1"/>
  <c r="D11308" i="1"/>
  <c r="E11308" i="1" s="1"/>
  <c r="D11307" i="1"/>
  <c r="E11307" i="1" s="1"/>
  <c r="D11306" i="1"/>
  <c r="E11306" i="1" s="1"/>
  <c r="D11305" i="1"/>
  <c r="E11305" i="1" s="1"/>
  <c r="D11304" i="1"/>
  <c r="E11304" i="1" s="1"/>
  <c r="D11303" i="1"/>
  <c r="E11303" i="1" s="1"/>
  <c r="D11302" i="1"/>
  <c r="E11302" i="1" s="1"/>
  <c r="E11301" i="1"/>
  <c r="D11301" i="1"/>
  <c r="E11300" i="1"/>
  <c r="D11300" i="1"/>
  <c r="D11299" i="1"/>
  <c r="E11299" i="1" s="1"/>
  <c r="D11298" i="1"/>
  <c r="E11298" i="1" s="1"/>
  <c r="E11297" i="1"/>
  <c r="D11297" i="1"/>
  <c r="D11296" i="1"/>
  <c r="E11296" i="1" s="1"/>
  <c r="D11295" i="1"/>
  <c r="E11295" i="1" s="1"/>
  <c r="D11294" i="1"/>
  <c r="E11294" i="1" s="1"/>
  <c r="D11293" i="1"/>
  <c r="E11293" i="1" s="1"/>
  <c r="D11292" i="1"/>
  <c r="E11292" i="1" s="1"/>
  <c r="D11291" i="1"/>
  <c r="E11291" i="1" s="1"/>
  <c r="D11290" i="1"/>
  <c r="E11290" i="1" s="1"/>
  <c r="D11289" i="1"/>
  <c r="E11289" i="1" s="1"/>
  <c r="E11288" i="1"/>
  <c r="D11288" i="1"/>
  <c r="D11287" i="1"/>
  <c r="E11287" i="1" s="1"/>
  <c r="D11286" i="1"/>
  <c r="E11286" i="1" s="1"/>
  <c r="D11285" i="1"/>
  <c r="E11285" i="1" s="1"/>
  <c r="D11284" i="1"/>
  <c r="E11284" i="1" s="1"/>
  <c r="D11283" i="1"/>
  <c r="E11283" i="1" s="1"/>
  <c r="D11282" i="1"/>
  <c r="E11282" i="1" s="1"/>
  <c r="D11281" i="1"/>
  <c r="E11281" i="1" s="1"/>
  <c r="D11280" i="1"/>
  <c r="E11280" i="1" s="1"/>
  <c r="D11279" i="1"/>
  <c r="E11279" i="1" s="1"/>
  <c r="D11278" i="1"/>
  <c r="E11278" i="1" s="1"/>
  <c r="E11277" i="1"/>
  <c r="D11277" i="1"/>
  <c r="E11276" i="1"/>
  <c r="D11276" i="1"/>
  <c r="D11275" i="1"/>
  <c r="E11275" i="1" s="1"/>
  <c r="D11274" i="1"/>
  <c r="E11274" i="1" s="1"/>
  <c r="E11273" i="1"/>
  <c r="D11273" i="1"/>
  <c r="D11272" i="1"/>
  <c r="E11272" i="1" s="1"/>
  <c r="D11271" i="1"/>
  <c r="E11271" i="1" s="1"/>
  <c r="D11270" i="1"/>
  <c r="E11270" i="1" s="1"/>
  <c r="D11269" i="1"/>
  <c r="E11269" i="1" s="1"/>
  <c r="D11268" i="1"/>
  <c r="E11268" i="1" s="1"/>
  <c r="D11267" i="1"/>
  <c r="E11267" i="1" s="1"/>
  <c r="D11266" i="1"/>
  <c r="E11266" i="1" s="1"/>
  <c r="E11265" i="1"/>
  <c r="D11265" i="1"/>
  <c r="E11264" i="1"/>
  <c r="D11264" i="1"/>
  <c r="D11263" i="1"/>
  <c r="E11263" i="1" s="1"/>
  <c r="D11262" i="1"/>
  <c r="E11262" i="1" s="1"/>
  <c r="E11261" i="1"/>
  <c r="D11261" i="1"/>
  <c r="D11260" i="1"/>
  <c r="E11260" i="1" s="1"/>
  <c r="D11259" i="1"/>
  <c r="E11259" i="1" s="1"/>
  <c r="D11258" i="1"/>
  <c r="E11258" i="1" s="1"/>
  <c r="D11257" i="1"/>
  <c r="E11257" i="1" s="1"/>
  <c r="D11256" i="1"/>
  <c r="E11256" i="1" s="1"/>
  <c r="D11255" i="1"/>
  <c r="E11255" i="1" s="1"/>
  <c r="D11254" i="1"/>
  <c r="E11254" i="1" s="1"/>
  <c r="D11253" i="1"/>
  <c r="E11253" i="1" s="1"/>
  <c r="E11252" i="1"/>
  <c r="D11252" i="1"/>
  <c r="D11251" i="1"/>
  <c r="E11251" i="1" s="1"/>
  <c r="D11250" i="1"/>
  <c r="E11250" i="1" s="1"/>
  <c r="D11249" i="1"/>
  <c r="E11249" i="1" s="1"/>
  <c r="D11248" i="1"/>
  <c r="E11248" i="1" s="1"/>
  <c r="D11247" i="1"/>
  <c r="E11247" i="1" s="1"/>
  <c r="D11246" i="1"/>
  <c r="E11246" i="1" s="1"/>
  <c r="D11245" i="1"/>
  <c r="E11245" i="1" s="1"/>
  <c r="D11244" i="1"/>
  <c r="E11244" i="1" s="1"/>
  <c r="D11243" i="1"/>
  <c r="E11243" i="1" s="1"/>
  <c r="D11242" i="1"/>
  <c r="E11242" i="1" s="1"/>
  <c r="E11241" i="1"/>
  <c r="D11241" i="1"/>
  <c r="E11240" i="1"/>
  <c r="D11240" i="1"/>
  <c r="D11239" i="1"/>
  <c r="E11239" i="1" s="1"/>
  <c r="D11238" i="1"/>
  <c r="E11238" i="1" s="1"/>
  <c r="E11237" i="1"/>
  <c r="D11237" i="1"/>
  <c r="D11236" i="1"/>
  <c r="E11236" i="1" s="1"/>
  <c r="D11235" i="1"/>
  <c r="E11235" i="1" s="1"/>
  <c r="D11234" i="1"/>
  <c r="E11234" i="1" s="1"/>
  <c r="D11233" i="1"/>
  <c r="E11233" i="1" s="1"/>
  <c r="D11232" i="1"/>
  <c r="E11232" i="1" s="1"/>
  <c r="D11231" i="1"/>
  <c r="E11231" i="1" s="1"/>
  <c r="D11230" i="1"/>
  <c r="E11230" i="1" s="1"/>
  <c r="E11229" i="1"/>
  <c r="D11229" i="1"/>
  <c r="E11228" i="1"/>
  <c r="D11228" i="1"/>
  <c r="D11227" i="1"/>
  <c r="E11227" i="1" s="1"/>
  <c r="D11226" i="1"/>
  <c r="E11226" i="1" s="1"/>
  <c r="E11225" i="1"/>
  <c r="D11225" i="1"/>
  <c r="D11224" i="1"/>
  <c r="E11224" i="1" s="1"/>
  <c r="D11223" i="1"/>
  <c r="E11223" i="1" s="1"/>
  <c r="D11222" i="1"/>
  <c r="E11222" i="1" s="1"/>
  <c r="D11221" i="1"/>
  <c r="E11221" i="1" s="1"/>
  <c r="D11220" i="1"/>
  <c r="E11220" i="1" s="1"/>
  <c r="D11219" i="1"/>
  <c r="E11219" i="1" s="1"/>
  <c r="D11218" i="1"/>
  <c r="E11218" i="1" s="1"/>
  <c r="D11217" i="1"/>
  <c r="E11217" i="1" s="1"/>
  <c r="E11216" i="1"/>
  <c r="D11216" i="1"/>
  <c r="D11215" i="1"/>
  <c r="E11215" i="1" s="1"/>
  <c r="D11214" i="1"/>
  <c r="E11214" i="1" s="1"/>
  <c r="D11213" i="1"/>
  <c r="E11213" i="1" s="1"/>
  <c r="D11212" i="1"/>
  <c r="E11212" i="1" s="1"/>
  <c r="D11211" i="1"/>
  <c r="E11211" i="1" s="1"/>
  <c r="D11210" i="1"/>
  <c r="E11210" i="1" s="1"/>
  <c r="D11209" i="1"/>
  <c r="E11209" i="1" s="1"/>
  <c r="D11208" i="1"/>
  <c r="E11208" i="1" s="1"/>
  <c r="D11207" i="1"/>
  <c r="E11207" i="1" s="1"/>
  <c r="D11206" i="1"/>
  <c r="E11206" i="1" s="1"/>
  <c r="E11205" i="1"/>
  <c r="D11205" i="1"/>
  <c r="E11204" i="1"/>
  <c r="D11204" i="1"/>
  <c r="D11203" i="1"/>
  <c r="E11203" i="1" s="1"/>
  <c r="D11202" i="1"/>
  <c r="E11202" i="1" s="1"/>
  <c r="E11201" i="1"/>
  <c r="D11201" i="1"/>
  <c r="D11200" i="1"/>
  <c r="E11200" i="1" s="1"/>
  <c r="D11199" i="1"/>
  <c r="E11199" i="1" s="1"/>
  <c r="D11198" i="1"/>
  <c r="E11198" i="1" s="1"/>
  <c r="D11197" i="1"/>
  <c r="E11197" i="1" s="1"/>
  <c r="D11196" i="1"/>
  <c r="E11196" i="1" s="1"/>
  <c r="D11195" i="1"/>
  <c r="E11195" i="1" s="1"/>
  <c r="D11194" i="1"/>
  <c r="E11194" i="1" s="1"/>
  <c r="E11193" i="1"/>
  <c r="D11193" i="1"/>
  <c r="E11192" i="1"/>
  <c r="D11192" i="1"/>
  <c r="D11191" i="1"/>
  <c r="E11191" i="1" s="1"/>
  <c r="D11190" i="1"/>
  <c r="E11190" i="1" s="1"/>
  <c r="E11189" i="1"/>
  <c r="D11189" i="1"/>
  <c r="D11188" i="1"/>
  <c r="E11188" i="1" s="1"/>
  <c r="D11187" i="1"/>
  <c r="E11187" i="1" s="1"/>
  <c r="D11186" i="1"/>
  <c r="E11186" i="1" s="1"/>
  <c r="D11185" i="1"/>
  <c r="E11185" i="1" s="1"/>
  <c r="D11184" i="1"/>
  <c r="E11184" i="1" s="1"/>
  <c r="D11183" i="1"/>
  <c r="E11183" i="1" s="1"/>
  <c r="D11182" i="1"/>
  <c r="E11182" i="1" s="1"/>
  <c r="D11181" i="1"/>
  <c r="E11181" i="1" s="1"/>
  <c r="E11180" i="1"/>
  <c r="D11180" i="1"/>
  <c r="D11179" i="1"/>
  <c r="E11179" i="1" s="1"/>
  <c r="D11178" i="1"/>
  <c r="E11178" i="1" s="1"/>
  <c r="D11177" i="1"/>
  <c r="E11177" i="1" s="1"/>
  <c r="D11176" i="1"/>
  <c r="E11176" i="1" s="1"/>
  <c r="D11175" i="1"/>
  <c r="E11175" i="1" s="1"/>
  <c r="D11174" i="1"/>
  <c r="E11174" i="1" s="1"/>
  <c r="D11173" i="1"/>
  <c r="E11173" i="1" s="1"/>
  <c r="D11172" i="1"/>
  <c r="E11172" i="1" s="1"/>
  <c r="D11171" i="1"/>
  <c r="E11171" i="1" s="1"/>
  <c r="D11170" i="1"/>
  <c r="E11170" i="1" s="1"/>
  <c r="E11169" i="1"/>
  <c r="D11169" i="1"/>
  <c r="E11168" i="1"/>
  <c r="D11168" i="1"/>
  <c r="D11167" i="1"/>
  <c r="E11167" i="1" s="1"/>
  <c r="D11166" i="1"/>
  <c r="E11166" i="1" s="1"/>
  <c r="E11165" i="1"/>
  <c r="D11165" i="1"/>
  <c r="D11164" i="1"/>
  <c r="E11164" i="1" s="1"/>
  <c r="D11163" i="1"/>
  <c r="E11163" i="1" s="1"/>
  <c r="D11162" i="1"/>
  <c r="E11162" i="1" s="1"/>
  <c r="D11161" i="1"/>
  <c r="E11161" i="1" s="1"/>
  <c r="D11160" i="1"/>
  <c r="E11160" i="1" s="1"/>
  <c r="D11159" i="1"/>
  <c r="E11159" i="1" s="1"/>
  <c r="D11158" i="1"/>
  <c r="E11158" i="1" s="1"/>
  <c r="E11157" i="1"/>
  <c r="D11157" i="1"/>
  <c r="E11156" i="1"/>
  <c r="D11156" i="1"/>
  <c r="D11155" i="1"/>
  <c r="E11155" i="1" s="1"/>
  <c r="D11154" i="1"/>
  <c r="E11154" i="1" s="1"/>
  <c r="E11153" i="1"/>
  <c r="D11153" i="1"/>
  <c r="D11152" i="1"/>
  <c r="E11152" i="1" s="1"/>
  <c r="D11151" i="1"/>
  <c r="E11151" i="1" s="1"/>
  <c r="D11150" i="1"/>
  <c r="E11150" i="1" s="1"/>
  <c r="D11149" i="1"/>
  <c r="E11149" i="1" s="1"/>
  <c r="D11148" i="1"/>
  <c r="E11148" i="1" s="1"/>
  <c r="D11147" i="1"/>
  <c r="E11147" i="1" s="1"/>
  <c r="D11146" i="1"/>
  <c r="E11146" i="1" s="1"/>
  <c r="D11145" i="1"/>
  <c r="E11145" i="1" s="1"/>
  <c r="E11144" i="1"/>
  <c r="D11144" i="1"/>
  <c r="D11143" i="1"/>
  <c r="E11143" i="1" s="1"/>
  <c r="D11142" i="1"/>
  <c r="E11142" i="1" s="1"/>
  <c r="D11141" i="1"/>
  <c r="E11141" i="1" s="1"/>
  <c r="D11140" i="1"/>
  <c r="E11140" i="1" s="1"/>
  <c r="D11139" i="1"/>
  <c r="E11139" i="1" s="1"/>
  <c r="D11138" i="1"/>
  <c r="E11138" i="1" s="1"/>
  <c r="D11137" i="1"/>
  <c r="E11137" i="1" s="1"/>
  <c r="D11136" i="1"/>
  <c r="E11136" i="1" s="1"/>
  <c r="D11135" i="1"/>
  <c r="E11135" i="1" s="1"/>
  <c r="D11134" i="1"/>
  <c r="E11134" i="1" s="1"/>
  <c r="E11133" i="1"/>
  <c r="D11133" i="1"/>
  <c r="E11132" i="1"/>
  <c r="D11132" i="1"/>
  <c r="D11131" i="1"/>
  <c r="E11131" i="1" s="1"/>
  <c r="D11130" i="1"/>
  <c r="E11130" i="1" s="1"/>
  <c r="E11129" i="1"/>
  <c r="D11129" i="1"/>
  <c r="D11128" i="1"/>
  <c r="E11128" i="1" s="1"/>
  <c r="D11127" i="1"/>
  <c r="E11127" i="1" s="1"/>
  <c r="D11126" i="1"/>
  <c r="E11126" i="1" s="1"/>
  <c r="D11125" i="1"/>
  <c r="E11125" i="1" s="1"/>
  <c r="D11124" i="1"/>
  <c r="E11124" i="1" s="1"/>
  <c r="D11123" i="1"/>
  <c r="E11123" i="1" s="1"/>
  <c r="D11122" i="1"/>
  <c r="E11122" i="1" s="1"/>
  <c r="E11121" i="1"/>
  <c r="D11121" i="1"/>
  <c r="E11120" i="1"/>
  <c r="D11120" i="1"/>
  <c r="D11119" i="1"/>
  <c r="E11119" i="1" s="1"/>
  <c r="D11118" i="1"/>
  <c r="E11118" i="1" s="1"/>
  <c r="E11117" i="1"/>
  <c r="D11117" i="1"/>
  <c r="D11116" i="1"/>
  <c r="E11116" i="1" s="1"/>
  <c r="D11115" i="1"/>
  <c r="E11115" i="1" s="1"/>
  <c r="D11114" i="1"/>
  <c r="E11114" i="1" s="1"/>
  <c r="D11113" i="1"/>
  <c r="E11113" i="1" s="1"/>
  <c r="D11112" i="1"/>
  <c r="E11112" i="1" s="1"/>
  <c r="D11111" i="1"/>
  <c r="E11111" i="1" s="1"/>
  <c r="D11110" i="1"/>
  <c r="E11110" i="1" s="1"/>
  <c r="D11109" i="1"/>
  <c r="E11109" i="1" s="1"/>
  <c r="E11108" i="1"/>
  <c r="D11108" i="1"/>
  <c r="D11107" i="1"/>
  <c r="E11107" i="1" s="1"/>
  <c r="D11106" i="1"/>
  <c r="E11106" i="1" s="1"/>
  <c r="D11105" i="1"/>
  <c r="E11105" i="1" s="1"/>
  <c r="D11104" i="1"/>
  <c r="E11104" i="1" s="1"/>
  <c r="D11103" i="1"/>
  <c r="E11103" i="1" s="1"/>
  <c r="D11102" i="1"/>
  <c r="E11102" i="1" s="1"/>
  <c r="D11101" i="1"/>
  <c r="E11101" i="1" s="1"/>
  <c r="D11100" i="1"/>
  <c r="E11100" i="1" s="1"/>
  <c r="D11099" i="1"/>
  <c r="E11099" i="1" s="1"/>
  <c r="D11098" i="1"/>
  <c r="E11098" i="1" s="1"/>
  <c r="D11097" i="1"/>
  <c r="E11097" i="1" s="1"/>
  <c r="D11096" i="1"/>
  <c r="E11096" i="1" s="1"/>
  <c r="D11095" i="1"/>
  <c r="E11095" i="1" s="1"/>
  <c r="D11094" i="1"/>
  <c r="E11094" i="1" s="1"/>
  <c r="E11093" i="1"/>
  <c r="D11093" i="1"/>
  <c r="D11092" i="1"/>
  <c r="E11092" i="1" s="1"/>
  <c r="E11091" i="1"/>
  <c r="D11091" i="1"/>
  <c r="D11090" i="1"/>
  <c r="E11090" i="1" s="1"/>
  <c r="E11089" i="1"/>
  <c r="D11089" i="1"/>
  <c r="D11088" i="1"/>
  <c r="E11088" i="1" s="1"/>
  <c r="E11087" i="1"/>
  <c r="D11087" i="1"/>
  <c r="D11086" i="1"/>
  <c r="E11086" i="1" s="1"/>
  <c r="D11085" i="1"/>
  <c r="E11085" i="1" s="1"/>
  <c r="E11084" i="1"/>
  <c r="D11084" i="1"/>
  <c r="D11083" i="1"/>
  <c r="E11083" i="1" s="1"/>
  <c r="D11082" i="1"/>
  <c r="E11082" i="1" s="1"/>
  <c r="D11081" i="1"/>
  <c r="E11081" i="1" s="1"/>
  <c r="D11080" i="1"/>
  <c r="E11080" i="1" s="1"/>
  <c r="D11079" i="1"/>
  <c r="E11079" i="1" s="1"/>
  <c r="D11078" i="1"/>
  <c r="E11078" i="1" s="1"/>
  <c r="E11077" i="1"/>
  <c r="D11077" i="1"/>
  <c r="D11076" i="1"/>
  <c r="E11076" i="1" s="1"/>
  <c r="E11075" i="1"/>
  <c r="D11075" i="1"/>
  <c r="D11074" i="1"/>
  <c r="E11074" i="1" s="1"/>
  <c r="D11073" i="1"/>
  <c r="E11073" i="1" s="1"/>
  <c r="E11072" i="1"/>
  <c r="D11072" i="1"/>
  <c r="D11071" i="1"/>
  <c r="E11071" i="1" s="1"/>
  <c r="D11070" i="1"/>
  <c r="E11070" i="1" s="1"/>
  <c r="D11069" i="1"/>
  <c r="E11069" i="1" s="1"/>
  <c r="D11068" i="1"/>
  <c r="E11068" i="1" s="1"/>
  <c r="D11067" i="1"/>
  <c r="E11067" i="1" s="1"/>
  <c r="D11066" i="1"/>
  <c r="E11066" i="1" s="1"/>
  <c r="E11065" i="1"/>
  <c r="D11065" i="1"/>
  <c r="D11064" i="1"/>
  <c r="E11064" i="1" s="1"/>
  <c r="D11063" i="1"/>
  <c r="E11063" i="1" s="1"/>
  <c r="E11062" i="1"/>
  <c r="D11062" i="1"/>
  <c r="E11061" i="1"/>
  <c r="D11061" i="1"/>
  <c r="D11060" i="1"/>
  <c r="E11060" i="1" s="1"/>
  <c r="D11059" i="1"/>
  <c r="E11059" i="1" s="1"/>
  <c r="D11058" i="1"/>
  <c r="E11058" i="1" s="1"/>
  <c r="E11057" i="1"/>
  <c r="D11057" i="1"/>
  <c r="D11056" i="1"/>
  <c r="E11056" i="1" s="1"/>
  <c r="E11055" i="1"/>
  <c r="D11055" i="1"/>
  <c r="D11054" i="1"/>
  <c r="E11054" i="1" s="1"/>
  <c r="E11053" i="1"/>
  <c r="D11053" i="1"/>
  <c r="D11052" i="1"/>
  <c r="E11052" i="1" s="1"/>
  <c r="E11051" i="1"/>
  <c r="D11051" i="1"/>
  <c r="E11050" i="1"/>
  <c r="D11050" i="1"/>
  <c r="D11049" i="1"/>
  <c r="E11049" i="1" s="1"/>
  <c r="E11048" i="1"/>
  <c r="D11048" i="1"/>
  <c r="D11047" i="1"/>
  <c r="E11047" i="1" s="1"/>
  <c r="D11046" i="1"/>
  <c r="E11046" i="1" s="1"/>
  <c r="E11045" i="1"/>
  <c r="D11045" i="1"/>
  <c r="D11044" i="1"/>
  <c r="E11044" i="1" s="1"/>
  <c r="E11043" i="1"/>
  <c r="D11043" i="1"/>
  <c r="D11042" i="1"/>
  <c r="E11042" i="1" s="1"/>
  <c r="E11041" i="1"/>
  <c r="D11041" i="1"/>
  <c r="E11040" i="1"/>
  <c r="D11040" i="1"/>
  <c r="D11039" i="1"/>
  <c r="E11039" i="1" s="1"/>
  <c r="E11038" i="1"/>
  <c r="D11038" i="1"/>
  <c r="E11037" i="1"/>
  <c r="D11037" i="1"/>
  <c r="E11036" i="1"/>
  <c r="D11036" i="1"/>
  <c r="D11035" i="1"/>
  <c r="E11035" i="1" s="1"/>
  <c r="D11034" i="1"/>
  <c r="E11034" i="1" s="1"/>
  <c r="E11033" i="1"/>
  <c r="D11033" i="1"/>
  <c r="D11032" i="1"/>
  <c r="E11032" i="1" s="1"/>
  <c r="E11031" i="1"/>
  <c r="D11031" i="1"/>
  <c r="D11030" i="1"/>
  <c r="E11030" i="1" s="1"/>
  <c r="D11029" i="1"/>
  <c r="E11029" i="1" s="1"/>
  <c r="D11028" i="1"/>
  <c r="E11028" i="1" s="1"/>
  <c r="E11027" i="1"/>
  <c r="D11027" i="1"/>
  <c r="E11026" i="1"/>
  <c r="D11026" i="1"/>
  <c r="D11025" i="1"/>
  <c r="E11025" i="1" s="1"/>
  <c r="E11024" i="1"/>
  <c r="D11024" i="1"/>
  <c r="D11023" i="1"/>
  <c r="E11023" i="1" s="1"/>
  <c r="D11022" i="1"/>
  <c r="E11022" i="1" s="1"/>
  <c r="E11021" i="1"/>
  <c r="D11021" i="1"/>
  <c r="D11020" i="1"/>
  <c r="E11020" i="1" s="1"/>
  <c r="D11019" i="1"/>
  <c r="E11019" i="1" s="1"/>
  <c r="D11018" i="1"/>
  <c r="E11018" i="1" s="1"/>
  <c r="D11017" i="1"/>
  <c r="E11017" i="1" s="1"/>
  <c r="E11016" i="1"/>
  <c r="D11016" i="1"/>
  <c r="D11015" i="1"/>
  <c r="E11015" i="1" s="1"/>
  <c r="D11014" i="1"/>
  <c r="E11014" i="1" s="1"/>
  <c r="E11013" i="1"/>
  <c r="D11013" i="1"/>
  <c r="E11012" i="1"/>
  <c r="D11012" i="1"/>
  <c r="D11011" i="1"/>
  <c r="E11011" i="1" s="1"/>
  <c r="D11010" i="1"/>
  <c r="E11010" i="1" s="1"/>
  <c r="E11009" i="1"/>
  <c r="D11009" i="1"/>
  <c r="D11008" i="1"/>
  <c r="E11008" i="1" s="1"/>
  <c r="D11007" i="1"/>
  <c r="E11007" i="1" s="1"/>
  <c r="D11006" i="1"/>
  <c r="E11006" i="1" s="1"/>
  <c r="D11005" i="1"/>
  <c r="E11005" i="1" s="1"/>
  <c r="E11004" i="1"/>
  <c r="D11004" i="1"/>
  <c r="D11003" i="1"/>
  <c r="E11003" i="1" s="1"/>
  <c r="E11002" i="1"/>
  <c r="D11002" i="1"/>
  <c r="D11001" i="1"/>
  <c r="E11001" i="1" s="1"/>
  <c r="D11000" i="1"/>
  <c r="E11000" i="1" s="1"/>
  <c r="D10999" i="1"/>
  <c r="E10999" i="1" s="1"/>
  <c r="D10998" i="1"/>
  <c r="E10998" i="1" s="1"/>
  <c r="E10997" i="1"/>
  <c r="D10997" i="1"/>
  <c r="D10996" i="1"/>
  <c r="E10996" i="1" s="1"/>
  <c r="E10995" i="1"/>
  <c r="D10995" i="1"/>
  <c r="D10994" i="1"/>
  <c r="E10994" i="1" s="1"/>
  <c r="E10993" i="1"/>
  <c r="D10993" i="1"/>
  <c r="E10992" i="1"/>
  <c r="D10992" i="1"/>
  <c r="D10991" i="1"/>
  <c r="E10991" i="1" s="1"/>
  <c r="E10990" i="1"/>
  <c r="D10990" i="1"/>
  <c r="D10989" i="1"/>
  <c r="E10989" i="1" s="1"/>
  <c r="E10988" i="1"/>
  <c r="D10988" i="1"/>
  <c r="D10987" i="1"/>
  <c r="E10987" i="1" s="1"/>
  <c r="D10986" i="1"/>
  <c r="E10986" i="1" s="1"/>
  <c r="D10985" i="1"/>
  <c r="E10985" i="1" s="1"/>
  <c r="D10984" i="1"/>
  <c r="E10984" i="1" s="1"/>
  <c r="D10983" i="1"/>
  <c r="E10983" i="1" s="1"/>
  <c r="D10982" i="1"/>
  <c r="E10982" i="1" s="1"/>
  <c r="D10981" i="1"/>
  <c r="E10981" i="1" s="1"/>
  <c r="E10980" i="1"/>
  <c r="D10980" i="1"/>
  <c r="E10979" i="1"/>
  <c r="D10979" i="1"/>
  <c r="E10978" i="1"/>
  <c r="D10978" i="1"/>
  <c r="D10977" i="1"/>
  <c r="E10977" i="1" s="1"/>
  <c r="E10976" i="1"/>
  <c r="D10976" i="1"/>
  <c r="D10975" i="1"/>
  <c r="E10975" i="1" s="1"/>
  <c r="D10974" i="1"/>
  <c r="E10974" i="1" s="1"/>
  <c r="E10973" i="1"/>
  <c r="D10973" i="1"/>
  <c r="D10972" i="1"/>
  <c r="E10972" i="1" s="1"/>
  <c r="E10971" i="1"/>
  <c r="D10971" i="1"/>
  <c r="D10970" i="1"/>
  <c r="E10970" i="1" s="1"/>
  <c r="E10969" i="1"/>
  <c r="D10969" i="1"/>
  <c r="E10968" i="1"/>
  <c r="D10968" i="1"/>
  <c r="D10967" i="1"/>
  <c r="E10967" i="1" s="1"/>
  <c r="E10966" i="1"/>
  <c r="D10966" i="1"/>
  <c r="E10965" i="1"/>
  <c r="D10965" i="1"/>
  <c r="E10964" i="1"/>
  <c r="D10964" i="1"/>
  <c r="D10963" i="1"/>
  <c r="E10963" i="1" s="1"/>
  <c r="D10962" i="1"/>
  <c r="E10962" i="1" s="1"/>
  <c r="E10961" i="1"/>
  <c r="D10961" i="1"/>
  <c r="D10960" i="1"/>
  <c r="E10960" i="1" s="1"/>
  <c r="E10959" i="1"/>
  <c r="D10959" i="1"/>
  <c r="D10958" i="1"/>
  <c r="E10958" i="1" s="1"/>
  <c r="D10957" i="1"/>
  <c r="E10957" i="1" s="1"/>
  <c r="D10956" i="1"/>
  <c r="E10956" i="1" s="1"/>
  <c r="E10955" i="1"/>
  <c r="D10955" i="1"/>
  <c r="E10954" i="1"/>
  <c r="D10954" i="1"/>
  <c r="D10953" i="1"/>
  <c r="E10953" i="1" s="1"/>
  <c r="E10952" i="1"/>
  <c r="D10952" i="1"/>
  <c r="D10951" i="1"/>
  <c r="E10951" i="1" s="1"/>
  <c r="D10950" i="1"/>
  <c r="E10950" i="1" s="1"/>
  <c r="E10949" i="1"/>
  <c r="D10949" i="1"/>
  <c r="D10948" i="1"/>
  <c r="E10948" i="1" s="1"/>
  <c r="E10947" i="1"/>
  <c r="D10947" i="1"/>
  <c r="D10946" i="1"/>
  <c r="E10946" i="1" s="1"/>
  <c r="E10945" i="1"/>
  <c r="D10945" i="1"/>
  <c r="D10944" i="1"/>
  <c r="E10944" i="1" s="1"/>
  <c r="E10943" i="1"/>
  <c r="D10943" i="1"/>
  <c r="E10942" i="1"/>
  <c r="D10942" i="1"/>
  <c r="D10941" i="1"/>
  <c r="E10941" i="1" s="1"/>
  <c r="D10940" i="1"/>
  <c r="E10940" i="1" s="1"/>
  <c r="D10939" i="1"/>
  <c r="E10939" i="1" s="1"/>
  <c r="D10938" i="1"/>
  <c r="E10938" i="1" s="1"/>
  <c r="D10937" i="1"/>
  <c r="E10937" i="1" s="1"/>
  <c r="D10936" i="1"/>
  <c r="E10936" i="1" s="1"/>
  <c r="D10935" i="1"/>
  <c r="E10935" i="1" s="1"/>
  <c r="D10934" i="1"/>
  <c r="E10934" i="1" s="1"/>
  <c r="E10933" i="1"/>
  <c r="D10933" i="1"/>
  <c r="D10932" i="1"/>
  <c r="E10932" i="1" s="1"/>
  <c r="E10931" i="1"/>
  <c r="D10931" i="1"/>
  <c r="D10930" i="1"/>
  <c r="E10930" i="1" s="1"/>
  <c r="D10929" i="1"/>
  <c r="E10929" i="1" s="1"/>
  <c r="E10928" i="1"/>
  <c r="D10928" i="1"/>
  <c r="D10927" i="1"/>
  <c r="E10927" i="1" s="1"/>
  <c r="D10926" i="1"/>
  <c r="E10926" i="1" s="1"/>
  <c r="D10925" i="1"/>
  <c r="E10925" i="1" s="1"/>
  <c r="E10924" i="1"/>
  <c r="D10924" i="1"/>
  <c r="E10923" i="1"/>
  <c r="D10923" i="1"/>
  <c r="D10922" i="1"/>
  <c r="E10922" i="1" s="1"/>
  <c r="D10921" i="1"/>
  <c r="E10921" i="1" s="1"/>
  <c r="D10920" i="1"/>
  <c r="E10920" i="1" s="1"/>
  <c r="E10919" i="1"/>
  <c r="D10919" i="1"/>
  <c r="E10918" i="1"/>
  <c r="D10918" i="1"/>
  <c r="D10917" i="1"/>
  <c r="E10917" i="1" s="1"/>
  <c r="E10916" i="1"/>
  <c r="D10916" i="1"/>
  <c r="D10915" i="1"/>
  <c r="E10915" i="1" s="1"/>
  <c r="D10914" i="1"/>
  <c r="E10914" i="1" s="1"/>
  <c r="D10913" i="1"/>
  <c r="E10913" i="1" s="1"/>
  <c r="D10912" i="1"/>
  <c r="E10912" i="1" s="1"/>
  <c r="E10911" i="1"/>
  <c r="D10911" i="1"/>
  <c r="D10910" i="1"/>
  <c r="E10910" i="1" s="1"/>
  <c r="E10909" i="1"/>
  <c r="D10909" i="1"/>
  <c r="E10908" i="1"/>
  <c r="D10908" i="1"/>
  <c r="D10907" i="1"/>
  <c r="E10907" i="1" s="1"/>
  <c r="E10906" i="1"/>
  <c r="D10906" i="1"/>
  <c r="D10905" i="1"/>
  <c r="E10905" i="1" s="1"/>
  <c r="E10904" i="1"/>
  <c r="D10904" i="1"/>
  <c r="D10903" i="1"/>
  <c r="E10903" i="1" s="1"/>
  <c r="D10902" i="1"/>
  <c r="E10902" i="1" s="1"/>
  <c r="D10901" i="1"/>
  <c r="E10901" i="1" s="1"/>
  <c r="E10900" i="1"/>
  <c r="D10900" i="1"/>
  <c r="E10899" i="1"/>
  <c r="D10899" i="1"/>
  <c r="D10898" i="1"/>
  <c r="E10898" i="1" s="1"/>
  <c r="E10897" i="1"/>
  <c r="D10897" i="1"/>
  <c r="D10896" i="1"/>
  <c r="E10896" i="1" s="1"/>
  <c r="D10895" i="1"/>
  <c r="E10895" i="1" s="1"/>
  <c r="D10894" i="1"/>
  <c r="E10894" i="1" s="1"/>
  <c r="D10893" i="1"/>
  <c r="E10893" i="1" s="1"/>
  <c r="E10892" i="1"/>
  <c r="D10892" i="1"/>
  <c r="D10891" i="1"/>
  <c r="E10891" i="1" s="1"/>
  <c r="D10890" i="1"/>
  <c r="E10890" i="1" s="1"/>
  <c r="D10889" i="1"/>
  <c r="E10889" i="1" s="1"/>
  <c r="E10888" i="1"/>
  <c r="D10888" i="1"/>
  <c r="E10887" i="1"/>
  <c r="D10887" i="1"/>
  <c r="D10886" i="1"/>
  <c r="E10886" i="1" s="1"/>
  <c r="E10885" i="1"/>
  <c r="D10885" i="1"/>
  <c r="D10884" i="1"/>
  <c r="E10884" i="1" s="1"/>
  <c r="E10883" i="1"/>
  <c r="D10883" i="1"/>
  <c r="E10882" i="1"/>
  <c r="D10882" i="1"/>
  <c r="E10881" i="1"/>
  <c r="D10881" i="1"/>
  <c r="D10880" i="1"/>
  <c r="E10880" i="1" s="1"/>
  <c r="D10879" i="1"/>
  <c r="E10879" i="1" s="1"/>
  <c r="D10878" i="1"/>
  <c r="E10878" i="1" s="1"/>
  <c r="D10877" i="1"/>
  <c r="E10877" i="1" s="1"/>
  <c r="E10876" i="1"/>
  <c r="D10876" i="1"/>
  <c r="D10875" i="1"/>
  <c r="E10875" i="1" s="1"/>
  <c r="D10874" i="1"/>
  <c r="E10874" i="1" s="1"/>
  <c r="E10873" i="1"/>
  <c r="D10873" i="1"/>
  <c r="D10872" i="1"/>
  <c r="E10872" i="1" s="1"/>
  <c r="D10871" i="1"/>
  <c r="E10871" i="1" s="1"/>
  <c r="E10870" i="1"/>
  <c r="D10870" i="1"/>
  <c r="D10869" i="1"/>
  <c r="E10869" i="1" s="1"/>
  <c r="D10868" i="1"/>
  <c r="E10868" i="1" s="1"/>
  <c r="D10867" i="1"/>
  <c r="E10867" i="1" s="1"/>
  <c r="D10866" i="1"/>
  <c r="E10866" i="1" s="1"/>
  <c r="D10865" i="1"/>
  <c r="E10865" i="1" s="1"/>
  <c r="E10864" i="1"/>
  <c r="D10864" i="1"/>
  <c r="E10863" i="1"/>
  <c r="D10863" i="1"/>
  <c r="D10862" i="1"/>
  <c r="E10862" i="1" s="1"/>
  <c r="D10861" i="1"/>
  <c r="E10861" i="1" s="1"/>
  <c r="D10860" i="1"/>
  <c r="E10860" i="1" s="1"/>
  <c r="E10859" i="1"/>
  <c r="D10859" i="1"/>
  <c r="E10858" i="1"/>
  <c r="D10858" i="1"/>
  <c r="D10857" i="1"/>
  <c r="E10857" i="1" s="1"/>
  <c r="E10856" i="1"/>
  <c r="D10856" i="1"/>
  <c r="D10855" i="1"/>
  <c r="E10855" i="1" s="1"/>
  <c r="D10854" i="1"/>
  <c r="E10854" i="1" s="1"/>
  <c r="E10853" i="1"/>
  <c r="D10853" i="1"/>
  <c r="D10852" i="1"/>
  <c r="E10852" i="1" s="1"/>
  <c r="E10851" i="1"/>
  <c r="D10851" i="1"/>
  <c r="D10850" i="1"/>
  <c r="E10850" i="1" s="1"/>
  <c r="E10849" i="1"/>
  <c r="D10849" i="1"/>
  <c r="D10848" i="1"/>
  <c r="E10848" i="1" s="1"/>
  <c r="E10847" i="1"/>
  <c r="D10847" i="1"/>
  <c r="E10846" i="1"/>
  <c r="D10846" i="1"/>
  <c r="D10845" i="1"/>
  <c r="E10845" i="1" s="1"/>
  <c r="D10844" i="1"/>
  <c r="E10844" i="1" s="1"/>
  <c r="D10843" i="1"/>
  <c r="E10843" i="1" s="1"/>
  <c r="D10842" i="1"/>
  <c r="E10842" i="1" s="1"/>
  <c r="D10841" i="1"/>
  <c r="E10841" i="1" s="1"/>
  <c r="D10840" i="1"/>
  <c r="E10840" i="1" s="1"/>
  <c r="D10839" i="1"/>
  <c r="E10839" i="1" s="1"/>
  <c r="D10838" i="1"/>
  <c r="E10838" i="1" s="1"/>
  <c r="E10837" i="1"/>
  <c r="D10837" i="1"/>
  <c r="D10836" i="1"/>
  <c r="E10836" i="1" s="1"/>
  <c r="E10835" i="1"/>
  <c r="D10835" i="1"/>
  <c r="D10834" i="1"/>
  <c r="E10834" i="1" s="1"/>
  <c r="D10833" i="1"/>
  <c r="E10833" i="1" s="1"/>
  <c r="E10832" i="1"/>
  <c r="D10832" i="1"/>
  <c r="D10831" i="1"/>
  <c r="E10831" i="1" s="1"/>
  <c r="D10830" i="1"/>
  <c r="E10830" i="1" s="1"/>
  <c r="D10829" i="1"/>
  <c r="E10829" i="1" s="1"/>
  <c r="E10828" i="1"/>
  <c r="D10828" i="1"/>
  <c r="E10827" i="1"/>
  <c r="D10827" i="1"/>
  <c r="E10826" i="1"/>
  <c r="D10826" i="1"/>
  <c r="D10825" i="1"/>
  <c r="E10825" i="1" s="1"/>
  <c r="E10824" i="1"/>
  <c r="D10824" i="1"/>
  <c r="D10823" i="1"/>
  <c r="E10823" i="1" s="1"/>
  <c r="E10822" i="1"/>
  <c r="D10822" i="1"/>
  <c r="D10821" i="1"/>
  <c r="E10821" i="1" s="1"/>
  <c r="D10820" i="1"/>
  <c r="E10820" i="1" s="1"/>
  <c r="D10819" i="1"/>
  <c r="E10819" i="1" s="1"/>
  <c r="D10818" i="1"/>
  <c r="E10818" i="1" s="1"/>
  <c r="E10817" i="1"/>
  <c r="D10817" i="1"/>
  <c r="D10816" i="1"/>
  <c r="E10816" i="1" s="1"/>
  <c r="E10815" i="1"/>
  <c r="D10815" i="1"/>
  <c r="E10814" i="1"/>
  <c r="D10814" i="1"/>
  <c r="E10813" i="1"/>
  <c r="D10813" i="1"/>
  <c r="D10812" i="1"/>
  <c r="E10812" i="1" s="1"/>
  <c r="E10811" i="1"/>
  <c r="D10811" i="1"/>
  <c r="D10810" i="1"/>
  <c r="E10810" i="1" s="1"/>
  <c r="E10809" i="1"/>
  <c r="D10809" i="1"/>
  <c r="D10808" i="1"/>
  <c r="E10808" i="1" s="1"/>
  <c r="D10807" i="1"/>
  <c r="E10807" i="1" s="1"/>
  <c r="D10806" i="1"/>
  <c r="E10806" i="1" s="1"/>
  <c r="E10805" i="1"/>
  <c r="D10805" i="1"/>
  <c r="E10804" i="1"/>
  <c r="D10804" i="1"/>
  <c r="D10803" i="1"/>
  <c r="E10803" i="1" s="1"/>
  <c r="E10802" i="1"/>
  <c r="D10802" i="1"/>
  <c r="E10801" i="1"/>
  <c r="D10801" i="1"/>
  <c r="E10800" i="1"/>
  <c r="D10800" i="1"/>
  <c r="D10799" i="1"/>
  <c r="E10799" i="1" s="1"/>
  <c r="E10798" i="1"/>
  <c r="D10798" i="1"/>
  <c r="D10797" i="1"/>
  <c r="E10797" i="1" s="1"/>
  <c r="E10796" i="1"/>
  <c r="D10796" i="1"/>
  <c r="D10795" i="1"/>
  <c r="E10795" i="1" s="1"/>
  <c r="D10794" i="1"/>
  <c r="E10794" i="1" s="1"/>
  <c r="D10793" i="1"/>
  <c r="E10793" i="1" s="1"/>
  <c r="E10792" i="1"/>
  <c r="D10792" i="1"/>
  <c r="E10791" i="1"/>
  <c r="D10791" i="1"/>
  <c r="D10790" i="1"/>
  <c r="E10790" i="1" s="1"/>
  <c r="E10789" i="1"/>
  <c r="D10789" i="1"/>
  <c r="E10788" i="1"/>
  <c r="D10788" i="1"/>
  <c r="E10787" i="1"/>
  <c r="D10787" i="1"/>
  <c r="D10786" i="1"/>
  <c r="E10786" i="1" s="1"/>
  <c r="E10785" i="1"/>
  <c r="D10785" i="1"/>
  <c r="D10784" i="1"/>
  <c r="E10784" i="1" s="1"/>
  <c r="D10783" i="1"/>
  <c r="E10783" i="1" s="1"/>
  <c r="D10782" i="1"/>
  <c r="E10782" i="1" s="1"/>
  <c r="D10781" i="1"/>
  <c r="E10781" i="1" s="1"/>
  <c r="D10780" i="1"/>
  <c r="E10780" i="1" s="1"/>
  <c r="E10779" i="1"/>
  <c r="D10779" i="1"/>
  <c r="E10778" i="1"/>
  <c r="D10778" i="1"/>
  <c r="D10777" i="1"/>
  <c r="E10777" i="1" s="1"/>
  <c r="E10776" i="1"/>
  <c r="D10776" i="1"/>
  <c r="E10775" i="1"/>
  <c r="D10775" i="1"/>
  <c r="E10774" i="1"/>
  <c r="D10774" i="1"/>
  <c r="D10773" i="1"/>
  <c r="E10773" i="1" s="1"/>
  <c r="E10772" i="1"/>
  <c r="D10772" i="1"/>
  <c r="D10771" i="1"/>
  <c r="E10771" i="1" s="1"/>
  <c r="D10770" i="1"/>
  <c r="E10770" i="1" s="1"/>
  <c r="E10769" i="1"/>
  <c r="D10769" i="1"/>
  <c r="D10768" i="1"/>
  <c r="E10768" i="1" s="1"/>
  <c r="D10767" i="1"/>
  <c r="E10767" i="1" s="1"/>
  <c r="E10766" i="1"/>
  <c r="D10766" i="1"/>
  <c r="E10765" i="1"/>
  <c r="D10765" i="1"/>
  <c r="D10764" i="1"/>
  <c r="E10764" i="1" s="1"/>
  <c r="E10763" i="1"/>
  <c r="D10763" i="1"/>
  <c r="E10762" i="1"/>
  <c r="D10762" i="1"/>
  <c r="E10761" i="1"/>
  <c r="D10761" i="1"/>
  <c r="D10760" i="1"/>
  <c r="E10760" i="1" s="1"/>
  <c r="D10759" i="1"/>
  <c r="E10759" i="1" s="1"/>
  <c r="D10758" i="1"/>
  <c r="E10758" i="1" s="1"/>
  <c r="D10757" i="1"/>
  <c r="E10757" i="1" s="1"/>
  <c r="E10756" i="1"/>
  <c r="D10756" i="1"/>
  <c r="D10755" i="1"/>
  <c r="E10755" i="1" s="1"/>
  <c r="D10754" i="1"/>
  <c r="E10754" i="1" s="1"/>
  <c r="E10753" i="1"/>
  <c r="D10753" i="1"/>
  <c r="E10752" i="1"/>
  <c r="D10752" i="1"/>
  <c r="D10751" i="1"/>
  <c r="E10751" i="1" s="1"/>
  <c r="E10750" i="1"/>
  <c r="D10750" i="1"/>
  <c r="E10749" i="1"/>
  <c r="D10749" i="1"/>
  <c r="E10748" i="1"/>
  <c r="D10748" i="1"/>
  <c r="D10747" i="1"/>
  <c r="E10747" i="1" s="1"/>
  <c r="D10746" i="1"/>
  <c r="E10746" i="1" s="1"/>
  <c r="E10745" i="1"/>
  <c r="D10745" i="1"/>
  <c r="D10744" i="1"/>
  <c r="E10744" i="1" s="1"/>
  <c r="E10743" i="1"/>
  <c r="D10743" i="1"/>
  <c r="D10742" i="1"/>
  <c r="E10742" i="1" s="1"/>
  <c r="D10741" i="1"/>
  <c r="E10741" i="1" s="1"/>
  <c r="E10740" i="1"/>
  <c r="D10740" i="1"/>
  <c r="E10739" i="1"/>
  <c r="D10739" i="1"/>
  <c r="D10738" i="1"/>
  <c r="E10738" i="1" s="1"/>
  <c r="E10737" i="1"/>
  <c r="D10737" i="1"/>
  <c r="E10736" i="1"/>
  <c r="D10736" i="1"/>
  <c r="D10735" i="1"/>
  <c r="E10735" i="1" s="1"/>
  <c r="D10734" i="1"/>
  <c r="E10734" i="1" s="1"/>
  <c r="D10733" i="1"/>
  <c r="E10733" i="1" s="1"/>
  <c r="E10732" i="1"/>
  <c r="D10732" i="1"/>
  <c r="D10731" i="1"/>
  <c r="E10731" i="1" s="1"/>
  <c r="E10730" i="1"/>
  <c r="D10730" i="1"/>
  <c r="D10729" i="1"/>
  <c r="E10729" i="1" s="1"/>
  <c r="D10728" i="1"/>
  <c r="E10728" i="1" s="1"/>
  <c r="E10727" i="1"/>
  <c r="D10727" i="1"/>
  <c r="E10726" i="1"/>
  <c r="D10726" i="1"/>
  <c r="D10725" i="1"/>
  <c r="E10725" i="1" s="1"/>
  <c r="E10724" i="1"/>
  <c r="D10724" i="1"/>
  <c r="D10723" i="1"/>
  <c r="E10723" i="1" s="1"/>
  <c r="D10722" i="1"/>
  <c r="E10722" i="1" s="1"/>
  <c r="E10721" i="1"/>
  <c r="D10721" i="1"/>
  <c r="D10720" i="1"/>
  <c r="E10720" i="1" s="1"/>
  <c r="E10719" i="1"/>
  <c r="D10719" i="1"/>
  <c r="D10718" i="1"/>
  <c r="E10718" i="1" s="1"/>
  <c r="E10717" i="1"/>
  <c r="D10717" i="1"/>
  <c r="D10716" i="1"/>
  <c r="E10716" i="1" s="1"/>
  <c r="D10715" i="1"/>
  <c r="E10715" i="1" s="1"/>
  <c r="E10714" i="1"/>
  <c r="D10714" i="1"/>
  <c r="E10713" i="1"/>
  <c r="D10713" i="1"/>
  <c r="D10712" i="1"/>
  <c r="E10712" i="1" s="1"/>
  <c r="D10711" i="1"/>
  <c r="E10711" i="1" s="1"/>
  <c r="D10710" i="1"/>
  <c r="E10710" i="1" s="1"/>
  <c r="E10709" i="1"/>
  <c r="D10709" i="1"/>
  <c r="E10708" i="1"/>
  <c r="D10708" i="1"/>
  <c r="D10707" i="1"/>
  <c r="E10707" i="1" s="1"/>
  <c r="E10706" i="1"/>
  <c r="D10706" i="1"/>
  <c r="D10705" i="1"/>
  <c r="E10705" i="1" s="1"/>
  <c r="E10704" i="1"/>
  <c r="D10704" i="1"/>
  <c r="D10703" i="1"/>
  <c r="E10703" i="1" s="1"/>
  <c r="D10702" i="1"/>
  <c r="E10702" i="1" s="1"/>
  <c r="E10701" i="1"/>
  <c r="D10701" i="1"/>
  <c r="E10700" i="1"/>
  <c r="D10700" i="1"/>
  <c r="D10699" i="1"/>
  <c r="E10699" i="1" s="1"/>
  <c r="D10698" i="1"/>
  <c r="E10698" i="1" s="1"/>
  <c r="E10697" i="1"/>
  <c r="D10697" i="1"/>
  <c r="E10696" i="1"/>
  <c r="D10696" i="1"/>
  <c r="E10695" i="1"/>
  <c r="D10695" i="1"/>
  <c r="D10694" i="1"/>
  <c r="E10694" i="1" s="1"/>
  <c r="E10693" i="1"/>
  <c r="D10693" i="1"/>
  <c r="D10692" i="1"/>
  <c r="E10692" i="1" s="1"/>
  <c r="E10691" i="1"/>
  <c r="D10691" i="1"/>
  <c r="D10690" i="1"/>
  <c r="E10690" i="1" s="1"/>
  <c r="D10689" i="1"/>
  <c r="E10689" i="1" s="1"/>
  <c r="E10688" i="1"/>
  <c r="D10688" i="1"/>
  <c r="D10687" i="1"/>
  <c r="E10687" i="1" s="1"/>
  <c r="D10686" i="1"/>
  <c r="E10686" i="1" s="1"/>
  <c r="D10685" i="1"/>
  <c r="E10685" i="1" s="1"/>
  <c r="E10684" i="1"/>
  <c r="D10684" i="1"/>
  <c r="E10683" i="1"/>
  <c r="D10683" i="1"/>
  <c r="E10682" i="1"/>
  <c r="D10682" i="1"/>
  <c r="D10681" i="1"/>
  <c r="E10681" i="1" s="1"/>
  <c r="E10680" i="1"/>
  <c r="D10680" i="1"/>
  <c r="D10679" i="1"/>
  <c r="E10679" i="1" s="1"/>
  <c r="E10678" i="1"/>
  <c r="D10678" i="1"/>
  <c r="D10677" i="1"/>
  <c r="E10677" i="1" s="1"/>
  <c r="D10676" i="1"/>
  <c r="E10676" i="1" s="1"/>
  <c r="E10675" i="1"/>
  <c r="D10675" i="1"/>
  <c r="E10674" i="1"/>
  <c r="D10674" i="1"/>
  <c r="D10673" i="1"/>
  <c r="E10673" i="1" s="1"/>
  <c r="E10672" i="1"/>
  <c r="D10672" i="1"/>
  <c r="E10671" i="1"/>
  <c r="D10671" i="1"/>
  <c r="E10670" i="1"/>
  <c r="D10670" i="1"/>
  <c r="D10669" i="1"/>
  <c r="E10669" i="1" s="1"/>
  <c r="E10668" i="1"/>
  <c r="D10668" i="1"/>
  <c r="D10667" i="1"/>
  <c r="E10667" i="1" s="1"/>
  <c r="E10666" i="1"/>
  <c r="D10666" i="1"/>
  <c r="D10665" i="1"/>
  <c r="E10665" i="1" s="1"/>
  <c r="D10664" i="1"/>
  <c r="E10664" i="1" s="1"/>
  <c r="E10663" i="1"/>
  <c r="D10663" i="1"/>
  <c r="E10662" i="1"/>
  <c r="D10662" i="1"/>
  <c r="D10661" i="1"/>
  <c r="E10661" i="1" s="1"/>
  <c r="E10660" i="1"/>
  <c r="D10660" i="1"/>
  <c r="E10659" i="1"/>
  <c r="D10659" i="1"/>
  <c r="E10658" i="1"/>
  <c r="D10658" i="1"/>
  <c r="D10657" i="1"/>
  <c r="E10657" i="1" s="1"/>
  <c r="E10656" i="1"/>
  <c r="D10656" i="1"/>
  <c r="D10655" i="1"/>
  <c r="E10655" i="1" s="1"/>
  <c r="E10654" i="1"/>
  <c r="D10654" i="1"/>
  <c r="D10653" i="1"/>
  <c r="E10653" i="1" s="1"/>
  <c r="D10652" i="1"/>
  <c r="E10652" i="1" s="1"/>
  <c r="E10651" i="1"/>
  <c r="D10651" i="1"/>
  <c r="E10650" i="1"/>
  <c r="D10650" i="1"/>
  <c r="D10649" i="1"/>
  <c r="E10649" i="1" s="1"/>
  <c r="E10648" i="1"/>
  <c r="D10648" i="1"/>
  <c r="E10647" i="1"/>
  <c r="D10647" i="1"/>
  <c r="E10646" i="1"/>
  <c r="D10646" i="1"/>
  <c r="D10645" i="1"/>
  <c r="E10645" i="1" s="1"/>
  <c r="E10644" i="1"/>
  <c r="D10644" i="1"/>
  <c r="D10643" i="1"/>
  <c r="E10643" i="1" s="1"/>
  <c r="E10642" i="1"/>
  <c r="D10642" i="1"/>
  <c r="D10641" i="1"/>
  <c r="E10641" i="1" s="1"/>
  <c r="D10640" i="1"/>
  <c r="E10640" i="1" s="1"/>
  <c r="E10639" i="1"/>
  <c r="D10639" i="1"/>
  <c r="E10638" i="1"/>
  <c r="D10638" i="1"/>
  <c r="D10637" i="1"/>
  <c r="E10637" i="1" s="1"/>
  <c r="E10636" i="1"/>
  <c r="D10636" i="1"/>
  <c r="E10635" i="1"/>
  <c r="D10635" i="1"/>
  <c r="E10634" i="1"/>
  <c r="D10634" i="1"/>
  <c r="D10633" i="1"/>
  <c r="E10633" i="1" s="1"/>
  <c r="E10632" i="1"/>
  <c r="D10632" i="1"/>
  <c r="D10631" i="1"/>
  <c r="E10631" i="1" s="1"/>
  <c r="E10630" i="1"/>
  <c r="D10630" i="1"/>
  <c r="D10629" i="1"/>
  <c r="E10629" i="1" s="1"/>
  <c r="D10628" i="1"/>
  <c r="E10628" i="1" s="1"/>
  <c r="E10627" i="1"/>
  <c r="D10627" i="1"/>
  <c r="E10626" i="1"/>
  <c r="D10626" i="1"/>
  <c r="D10625" i="1"/>
  <c r="E10625" i="1" s="1"/>
  <c r="E10624" i="1"/>
  <c r="D10624" i="1"/>
  <c r="E10623" i="1"/>
  <c r="D10623" i="1"/>
  <c r="E10622" i="1"/>
  <c r="D10622" i="1"/>
  <c r="D10621" i="1"/>
  <c r="E10621" i="1" s="1"/>
  <c r="E10620" i="1"/>
  <c r="D10620" i="1"/>
  <c r="D10619" i="1"/>
  <c r="E10619" i="1" s="1"/>
  <c r="E10618" i="1"/>
  <c r="D10618" i="1"/>
  <c r="D10617" i="1"/>
  <c r="E10617" i="1" s="1"/>
  <c r="D10616" i="1"/>
  <c r="E10616" i="1" s="1"/>
  <c r="E10615" i="1"/>
  <c r="D10615" i="1"/>
  <c r="E10614" i="1"/>
  <c r="D10614" i="1"/>
  <c r="D10613" i="1"/>
  <c r="E10613" i="1" s="1"/>
  <c r="E10612" i="1"/>
  <c r="D10612" i="1"/>
  <c r="E10611" i="1"/>
  <c r="D10611" i="1"/>
  <c r="E10610" i="1"/>
  <c r="D10610" i="1"/>
  <c r="D10609" i="1"/>
  <c r="E10609" i="1" s="1"/>
  <c r="E10608" i="1"/>
  <c r="D10608" i="1"/>
  <c r="D10607" i="1"/>
  <c r="E10607" i="1" s="1"/>
  <c r="E10606" i="1"/>
  <c r="D10606" i="1"/>
  <c r="D10605" i="1"/>
  <c r="E10605" i="1" s="1"/>
  <c r="D10604" i="1"/>
  <c r="E10604" i="1" s="1"/>
  <c r="E10603" i="1"/>
  <c r="D10603" i="1"/>
  <c r="E10602" i="1"/>
  <c r="D10602" i="1"/>
  <c r="D10601" i="1"/>
  <c r="E10601" i="1" s="1"/>
  <c r="E10600" i="1"/>
  <c r="D10600" i="1"/>
  <c r="E10599" i="1"/>
  <c r="D10599" i="1"/>
  <c r="E10598" i="1"/>
  <c r="D10598" i="1"/>
  <c r="D10597" i="1"/>
  <c r="E10597" i="1" s="1"/>
  <c r="E10596" i="1"/>
  <c r="D10596" i="1"/>
  <c r="D10595" i="1"/>
  <c r="E10595" i="1" s="1"/>
  <c r="E10594" i="1"/>
  <c r="D10594" i="1"/>
  <c r="D10593" i="1"/>
  <c r="E10593" i="1" s="1"/>
  <c r="D10592" i="1"/>
  <c r="E10592" i="1" s="1"/>
  <c r="E10591" i="1"/>
  <c r="D10591" i="1"/>
  <c r="E10590" i="1"/>
  <c r="D10590" i="1"/>
  <c r="D10589" i="1"/>
  <c r="E10589" i="1" s="1"/>
  <c r="E10588" i="1"/>
  <c r="D10588" i="1"/>
  <c r="E10587" i="1"/>
  <c r="D10587" i="1"/>
  <c r="E10586" i="1"/>
  <c r="D10586" i="1"/>
  <c r="D10585" i="1"/>
  <c r="E10585" i="1" s="1"/>
  <c r="E10584" i="1"/>
  <c r="D10584" i="1"/>
  <c r="D10583" i="1"/>
  <c r="E10583" i="1" s="1"/>
  <c r="E10582" i="1"/>
  <c r="D10582" i="1"/>
  <c r="D10581" i="1"/>
  <c r="E10581" i="1" s="1"/>
  <c r="D10580" i="1"/>
  <c r="E10580" i="1" s="1"/>
  <c r="E10579" i="1"/>
  <c r="D10579" i="1"/>
  <c r="E10578" i="1"/>
  <c r="D10578" i="1"/>
  <c r="D10577" i="1"/>
  <c r="E10577" i="1" s="1"/>
  <c r="E10576" i="1"/>
  <c r="D10576" i="1"/>
  <c r="E10575" i="1"/>
  <c r="D10575" i="1"/>
  <c r="E10574" i="1"/>
  <c r="D10574" i="1"/>
  <c r="D10573" i="1"/>
  <c r="E10573" i="1" s="1"/>
  <c r="E10572" i="1"/>
  <c r="D10572" i="1"/>
  <c r="D10571" i="1"/>
  <c r="E10571" i="1" s="1"/>
  <c r="E10570" i="1"/>
  <c r="D10570" i="1"/>
  <c r="D10569" i="1"/>
  <c r="E10569" i="1" s="1"/>
  <c r="D10568" i="1"/>
  <c r="E10568" i="1" s="1"/>
  <c r="E10567" i="1"/>
  <c r="D10567" i="1"/>
  <c r="E10566" i="1"/>
  <c r="D10566" i="1"/>
  <c r="D10565" i="1"/>
  <c r="E10565" i="1" s="1"/>
  <c r="E10564" i="1"/>
  <c r="D10564" i="1"/>
  <c r="E10563" i="1"/>
  <c r="D10563" i="1"/>
  <c r="E10562" i="1"/>
  <c r="D10562" i="1"/>
  <c r="D10561" i="1"/>
  <c r="E10561" i="1" s="1"/>
  <c r="E10560" i="1"/>
  <c r="D10560" i="1"/>
  <c r="D10559" i="1"/>
  <c r="E10559" i="1" s="1"/>
  <c r="E10558" i="1"/>
  <c r="D10558" i="1"/>
  <c r="D10557" i="1"/>
  <c r="E10557" i="1" s="1"/>
  <c r="D10556" i="1"/>
  <c r="E10556" i="1" s="1"/>
  <c r="E10555" i="1"/>
  <c r="D10555" i="1"/>
  <c r="E10554" i="1"/>
  <c r="D10554" i="1"/>
  <c r="D10553" i="1"/>
  <c r="E10553" i="1" s="1"/>
  <c r="E10552" i="1"/>
  <c r="D10552" i="1"/>
  <c r="E10551" i="1"/>
  <c r="D10551" i="1"/>
  <c r="E10550" i="1"/>
  <c r="D10550" i="1"/>
  <c r="D10549" i="1"/>
  <c r="E10549" i="1" s="1"/>
  <c r="E10548" i="1"/>
  <c r="D10548" i="1"/>
  <c r="D10547" i="1"/>
  <c r="E10547" i="1" s="1"/>
  <c r="E10546" i="1"/>
  <c r="D10546" i="1"/>
  <c r="D10545" i="1"/>
  <c r="E10545" i="1" s="1"/>
  <c r="D10544" i="1"/>
  <c r="E10544" i="1" s="1"/>
  <c r="E10543" i="1"/>
  <c r="D10543" i="1"/>
  <c r="E10542" i="1"/>
  <c r="D10542" i="1"/>
  <c r="D10541" i="1"/>
  <c r="E10541" i="1" s="1"/>
  <c r="E10540" i="1"/>
  <c r="D10540" i="1"/>
  <c r="E10539" i="1"/>
  <c r="D10539" i="1"/>
  <c r="E10538" i="1"/>
  <c r="D10538" i="1"/>
  <c r="D10537" i="1"/>
  <c r="E10537" i="1" s="1"/>
  <c r="E10536" i="1"/>
  <c r="D10536" i="1"/>
  <c r="D10535" i="1"/>
  <c r="E10535" i="1" s="1"/>
  <c r="E10534" i="1"/>
  <c r="D10534" i="1"/>
  <c r="D10533" i="1"/>
  <c r="E10533" i="1" s="1"/>
  <c r="D10532" i="1"/>
  <c r="E10532" i="1" s="1"/>
  <c r="E10531" i="1"/>
  <c r="D10531" i="1"/>
  <c r="E10530" i="1"/>
  <c r="D10530" i="1"/>
  <c r="D10529" i="1"/>
  <c r="E10529" i="1" s="1"/>
  <c r="E10528" i="1"/>
  <c r="D10528" i="1"/>
  <c r="E10527" i="1"/>
  <c r="D10527" i="1"/>
  <c r="E10526" i="1"/>
  <c r="D10526" i="1"/>
  <c r="D10525" i="1"/>
  <c r="E10525" i="1" s="1"/>
  <c r="E10524" i="1"/>
  <c r="D10524" i="1"/>
  <c r="D10523" i="1"/>
  <c r="E10523" i="1" s="1"/>
  <c r="E10522" i="1"/>
  <c r="D10522" i="1"/>
  <c r="D10521" i="1"/>
  <c r="E10521" i="1" s="1"/>
  <c r="D10520" i="1"/>
  <c r="E10520" i="1" s="1"/>
  <c r="E10519" i="1"/>
  <c r="D10519" i="1"/>
  <c r="E10518" i="1"/>
  <c r="D10518" i="1"/>
  <c r="D10517" i="1"/>
  <c r="E10517" i="1" s="1"/>
  <c r="E10516" i="1"/>
  <c r="D10516" i="1"/>
  <c r="E10515" i="1"/>
  <c r="D10515" i="1"/>
  <c r="E10514" i="1"/>
  <c r="D10514" i="1"/>
  <c r="D10513" i="1"/>
  <c r="E10513" i="1" s="1"/>
  <c r="E10512" i="1"/>
  <c r="D10512" i="1"/>
  <c r="D10511" i="1"/>
  <c r="E10511" i="1" s="1"/>
  <c r="E10510" i="1"/>
  <c r="D10510" i="1"/>
  <c r="D10509" i="1"/>
  <c r="E10509" i="1" s="1"/>
  <c r="D10508" i="1"/>
  <c r="E10508" i="1" s="1"/>
  <c r="E10507" i="1"/>
  <c r="D10507" i="1"/>
  <c r="E10506" i="1"/>
  <c r="D10506" i="1"/>
  <c r="D10505" i="1"/>
  <c r="E10505" i="1" s="1"/>
  <c r="E10504" i="1"/>
  <c r="D10504" i="1"/>
  <c r="E10503" i="1"/>
  <c r="D10503" i="1"/>
  <c r="E10502" i="1"/>
  <c r="D10502" i="1"/>
  <c r="D10501" i="1"/>
  <c r="E10501" i="1" s="1"/>
  <c r="E10500" i="1"/>
  <c r="D10500" i="1"/>
  <c r="D10499" i="1"/>
  <c r="E10499" i="1" s="1"/>
  <c r="E10498" i="1"/>
  <c r="D10498" i="1"/>
  <c r="D10497" i="1"/>
  <c r="E10497" i="1" s="1"/>
  <c r="D10496" i="1"/>
  <c r="E10496" i="1" s="1"/>
  <c r="E10495" i="1"/>
  <c r="D10495" i="1"/>
  <c r="E10494" i="1"/>
  <c r="D10494" i="1"/>
  <c r="D10493" i="1"/>
  <c r="E10493" i="1" s="1"/>
  <c r="E10492" i="1"/>
  <c r="D10492" i="1"/>
  <c r="E10491" i="1"/>
  <c r="D10491" i="1"/>
  <c r="E10490" i="1"/>
  <c r="D10490" i="1"/>
  <c r="D10489" i="1"/>
  <c r="E10489" i="1" s="1"/>
  <c r="E10488" i="1"/>
  <c r="D10488" i="1"/>
  <c r="D10487" i="1"/>
  <c r="E10487" i="1" s="1"/>
  <c r="E10486" i="1"/>
  <c r="D10486" i="1"/>
  <c r="D10485" i="1"/>
  <c r="E10485" i="1" s="1"/>
  <c r="D10484" i="1"/>
  <c r="E10484" i="1" s="1"/>
  <c r="E10483" i="1"/>
  <c r="D10483" i="1"/>
  <c r="E10482" i="1"/>
  <c r="D10482" i="1"/>
  <c r="D10481" i="1"/>
  <c r="E10481" i="1" s="1"/>
  <c r="E10480" i="1"/>
  <c r="D10480" i="1"/>
  <c r="E10479" i="1"/>
  <c r="D10479" i="1"/>
  <c r="E10478" i="1"/>
  <c r="D10478" i="1"/>
  <c r="D10477" i="1"/>
  <c r="E10477" i="1" s="1"/>
  <c r="E10476" i="1"/>
  <c r="D10476" i="1"/>
  <c r="D10475" i="1"/>
  <c r="E10475" i="1" s="1"/>
  <c r="E10474" i="1"/>
  <c r="D10474" i="1"/>
  <c r="D10473" i="1"/>
  <c r="E10473" i="1" s="1"/>
  <c r="D10472" i="1"/>
  <c r="E10472" i="1" s="1"/>
  <c r="E10471" i="1"/>
  <c r="D10471" i="1"/>
  <c r="E10470" i="1"/>
  <c r="D10470" i="1"/>
  <c r="D10469" i="1"/>
  <c r="E10469" i="1" s="1"/>
  <c r="E10468" i="1"/>
  <c r="D10468" i="1"/>
  <c r="E10467" i="1"/>
  <c r="D10467" i="1"/>
  <c r="E10466" i="1"/>
  <c r="D10466" i="1"/>
  <c r="D10465" i="1"/>
  <c r="E10465" i="1" s="1"/>
  <c r="E10464" i="1"/>
  <c r="D10464" i="1"/>
  <c r="D10463" i="1"/>
  <c r="E10463" i="1" s="1"/>
  <c r="E10462" i="1"/>
  <c r="D10462" i="1"/>
  <c r="D10461" i="1"/>
  <c r="E10461" i="1" s="1"/>
  <c r="D10460" i="1"/>
  <c r="E10460" i="1" s="1"/>
  <c r="E10459" i="1"/>
  <c r="D10459" i="1"/>
  <c r="E10458" i="1"/>
  <c r="D10458" i="1"/>
  <c r="D10457" i="1"/>
  <c r="E10457" i="1" s="1"/>
  <c r="E10456" i="1"/>
  <c r="D10456" i="1"/>
  <c r="E10455" i="1"/>
  <c r="D10455" i="1"/>
  <c r="E10454" i="1"/>
  <c r="D10454" i="1"/>
  <c r="D10453" i="1"/>
  <c r="E10453" i="1" s="1"/>
  <c r="E10452" i="1"/>
  <c r="D10452" i="1"/>
  <c r="D10451" i="1"/>
  <c r="E10451" i="1" s="1"/>
  <c r="E10450" i="1"/>
  <c r="D10450" i="1"/>
  <c r="D10449" i="1"/>
  <c r="E10449" i="1" s="1"/>
  <c r="D10448" i="1"/>
  <c r="E10448" i="1" s="1"/>
  <c r="E10447" i="1"/>
  <c r="D10447" i="1"/>
  <c r="E10446" i="1"/>
  <c r="D10446" i="1"/>
  <c r="D10445" i="1"/>
  <c r="E10445" i="1" s="1"/>
  <c r="E10444" i="1"/>
  <c r="D10444" i="1"/>
  <c r="E10443" i="1"/>
  <c r="D10443" i="1"/>
  <c r="E10442" i="1"/>
  <c r="D10442" i="1"/>
  <c r="D10441" i="1"/>
  <c r="E10441" i="1" s="1"/>
  <c r="E10440" i="1"/>
  <c r="D10440" i="1"/>
  <c r="D10439" i="1"/>
  <c r="E10439" i="1" s="1"/>
  <c r="E10438" i="1"/>
  <c r="D10438" i="1"/>
  <c r="D10437" i="1"/>
  <c r="E10437" i="1" s="1"/>
  <c r="D10436" i="1"/>
  <c r="E10436" i="1" s="1"/>
  <c r="E10435" i="1"/>
  <c r="D10435" i="1"/>
  <c r="E10434" i="1"/>
  <c r="D10434" i="1"/>
  <c r="D10433" i="1"/>
  <c r="E10433" i="1" s="1"/>
  <c r="E10432" i="1"/>
  <c r="D10432" i="1"/>
  <c r="E10431" i="1"/>
  <c r="D10431" i="1"/>
  <c r="E10430" i="1"/>
  <c r="D10430" i="1"/>
  <c r="D10429" i="1"/>
  <c r="E10429" i="1" s="1"/>
  <c r="E10428" i="1"/>
  <c r="D10428" i="1"/>
  <c r="D10427" i="1"/>
  <c r="E10427" i="1" s="1"/>
  <c r="E10426" i="1"/>
  <c r="D10426" i="1"/>
  <c r="D10425" i="1"/>
  <c r="E10425" i="1" s="1"/>
  <c r="D10424" i="1"/>
  <c r="E10424" i="1" s="1"/>
  <c r="E10423" i="1"/>
  <c r="D10423" i="1"/>
  <c r="E10422" i="1"/>
  <c r="D10422" i="1"/>
  <c r="D10421" i="1"/>
  <c r="E10421" i="1" s="1"/>
  <c r="E10420" i="1"/>
  <c r="D10420" i="1"/>
  <c r="E10419" i="1"/>
  <c r="D10419" i="1"/>
  <c r="E10418" i="1"/>
  <c r="D10418" i="1"/>
  <c r="D10417" i="1"/>
  <c r="E10417" i="1" s="1"/>
  <c r="E10416" i="1"/>
  <c r="D10416" i="1"/>
  <c r="D10415" i="1"/>
  <c r="E10415" i="1" s="1"/>
  <c r="E10414" i="1"/>
  <c r="D10414" i="1"/>
  <c r="D10413" i="1"/>
  <c r="E10413" i="1" s="1"/>
  <c r="D10412" i="1"/>
  <c r="E10412" i="1" s="1"/>
  <c r="E10411" i="1"/>
  <c r="D10411" i="1"/>
  <c r="E10410" i="1"/>
  <c r="D10410" i="1"/>
  <c r="D10409" i="1"/>
  <c r="E10409" i="1" s="1"/>
  <c r="E10408" i="1"/>
  <c r="D10408" i="1"/>
  <c r="E10407" i="1"/>
  <c r="D10407" i="1"/>
  <c r="E10406" i="1"/>
  <c r="D10406" i="1"/>
  <c r="D10405" i="1"/>
  <c r="E10405" i="1" s="1"/>
  <c r="E10404" i="1"/>
  <c r="D10404" i="1"/>
  <c r="D10403" i="1"/>
  <c r="E10403" i="1" s="1"/>
  <c r="E10402" i="1"/>
  <c r="D10402" i="1"/>
  <c r="D10401" i="1"/>
  <c r="E10401" i="1" s="1"/>
  <c r="D10400" i="1"/>
  <c r="E10400" i="1" s="1"/>
  <c r="E10399" i="1"/>
  <c r="D10399" i="1"/>
  <c r="E10398" i="1"/>
  <c r="D10398" i="1"/>
  <c r="D10397" i="1"/>
  <c r="E10397" i="1" s="1"/>
  <c r="E10396" i="1"/>
  <c r="D10396" i="1"/>
  <c r="E10395" i="1"/>
  <c r="D10395" i="1"/>
  <c r="E10394" i="1"/>
  <c r="D10394" i="1"/>
  <c r="D10393" i="1"/>
  <c r="E10393" i="1" s="1"/>
  <c r="E10392" i="1"/>
  <c r="D10392" i="1"/>
  <c r="D10391" i="1"/>
  <c r="E10391" i="1" s="1"/>
  <c r="E10390" i="1"/>
  <c r="D10390" i="1"/>
  <c r="D10389" i="1"/>
  <c r="E10389" i="1" s="1"/>
  <c r="D10388" i="1"/>
  <c r="E10388" i="1" s="1"/>
  <c r="E10387" i="1"/>
  <c r="D10387" i="1"/>
  <c r="E10386" i="1"/>
  <c r="D10386" i="1"/>
  <c r="D10385" i="1"/>
  <c r="E10385" i="1" s="1"/>
  <c r="E10384" i="1"/>
  <c r="D10384" i="1"/>
  <c r="E10383" i="1"/>
  <c r="D10383" i="1"/>
  <c r="E10382" i="1"/>
  <c r="D10382" i="1"/>
  <c r="D10381" i="1"/>
  <c r="E10381" i="1" s="1"/>
  <c r="E10380" i="1"/>
  <c r="D10380" i="1"/>
  <c r="D10379" i="1"/>
  <c r="E10379" i="1" s="1"/>
  <c r="E10378" i="1"/>
  <c r="D10378" i="1"/>
  <c r="D10377" i="1"/>
  <c r="E10377" i="1" s="1"/>
  <c r="D10376" i="1"/>
  <c r="E10376" i="1" s="1"/>
  <c r="E10375" i="1"/>
  <c r="D10375" i="1"/>
  <c r="E10374" i="1"/>
  <c r="D10374" i="1"/>
  <c r="D10373" i="1"/>
  <c r="E10373" i="1" s="1"/>
  <c r="E10372" i="1"/>
  <c r="D10372" i="1"/>
  <c r="E10371" i="1"/>
  <c r="D10371" i="1"/>
  <c r="E10370" i="1"/>
  <c r="D10370" i="1"/>
  <c r="D10369" i="1"/>
  <c r="E10369" i="1" s="1"/>
  <c r="E10368" i="1"/>
  <c r="D10368" i="1"/>
  <c r="D10367" i="1"/>
  <c r="E10367" i="1" s="1"/>
  <c r="E10366" i="1"/>
  <c r="D10366" i="1"/>
  <c r="D10365" i="1"/>
  <c r="E10365" i="1" s="1"/>
  <c r="D10364" i="1"/>
  <c r="E10364" i="1" s="1"/>
  <c r="E10363" i="1"/>
  <c r="D10363" i="1"/>
  <c r="E10362" i="1"/>
  <c r="D10362" i="1"/>
  <c r="D10361" i="1"/>
  <c r="E10361" i="1" s="1"/>
  <c r="E10360" i="1"/>
  <c r="D10360" i="1"/>
  <c r="E10359" i="1"/>
  <c r="D10359" i="1"/>
  <c r="E10358" i="1"/>
  <c r="D10358" i="1"/>
  <c r="D10357" i="1"/>
  <c r="E10357" i="1" s="1"/>
  <c r="E10356" i="1"/>
  <c r="D10356" i="1"/>
  <c r="D10355" i="1"/>
  <c r="E10355" i="1" s="1"/>
  <c r="E10354" i="1"/>
  <c r="D10354" i="1"/>
  <c r="D10353" i="1"/>
  <c r="E10353" i="1" s="1"/>
  <c r="D10352" i="1"/>
  <c r="E10352" i="1" s="1"/>
  <c r="E10351" i="1"/>
  <c r="D10351" i="1"/>
  <c r="E10350" i="1"/>
  <c r="D10350" i="1"/>
  <c r="D10349" i="1"/>
  <c r="E10349" i="1" s="1"/>
  <c r="E10348" i="1"/>
  <c r="D10348" i="1"/>
  <c r="E10347" i="1"/>
  <c r="D10347" i="1"/>
  <c r="E10346" i="1"/>
  <c r="D10346" i="1"/>
  <c r="D10345" i="1"/>
  <c r="E10345" i="1" s="1"/>
  <c r="E10344" i="1"/>
  <c r="D10344" i="1"/>
  <c r="D10343" i="1"/>
  <c r="E10343" i="1" s="1"/>
  <c r="E10342" i="1"/>
  <c r="D10342" i="1"/>
  <c r="D10341" i="1"/>
  <c r="E10341" i="1" s="1"/>
  <c r="D10340" i="1"/>
  <c r="E10340" i="1" s="1"/>
  <c r="E10339" i="1"/>
  <c r="D10339" i="1"/>
  <c r="E10338" i="1"/>
  <c r="D10338" i="1"/>
  <c r="D10337" i="1"/>
  <c r="E10337" i="1" s="1"/>
  <c r="E10336" i="1"/>
  <c r="D10336" i="1"/>
  <c r="E10335" i="1"/>
  <c r="D10335" i="1"/>
  <c r="E10334" i="1"/>
  <c r="D10334" i="1"/>
  <c r="D10333" i="1"/>
  <c r="E10333" i="1" s="1"/>
  <c r="E10332" i="1"/>
  <c r="D10332" i="1"/>
  <c r="D10331" i="1"/>
  <c r="E10331" i="1" s="1"/>
  <c r="E10330" i="1"/>
  <c r="D10330" i="1"/>
  <c r="D10329" i="1"/>
  <c r="E10329" i="1" s="1"/>
  <c r="D10328" i="1"/>
  <c r="E10328" i="1" s="1"/>
  <c r="E10327" i="1"/>
  <c r="D10327" i="1"/>
  <c r="E10326" i="1"/>
  <c r="D10326" i="1"/>
  <c r="D10325" i="1"/>
  <c r="E10325" i="1" s="1"/>
  <c r="E10324" i="1"/>
  <c r="D10324" i="1"/>
  <c r="E10323" i="1"/>
  <c r="D10323" i="1"/>
  <c r="E10322" i="1"/>
  <c r="D10322" i="1"/>
  <c r="D10321" i="1"/>
  <c r="E10321" i="1" s="1"/>
  <c r="E10320" i="1"/>
  <c r="D10320" i="1"/>
  <c r="D10319" i="1"/>
  <c r="E10319" i="1" s="1"/>
  <c r="E10318" i="1"/>
  <c r="D10318" i="1"/>
  <c r="D10317" i="1"/>
  <c r="E10317" i="1" s="1"/>
  <c r="D10316" i="1"/>
  <c r="E10316" i="1" s="1"/>
  <c r="E10315" i="1"/>
  <c r="D10315" i="1"/>
  <c r="E10314" i="1"/>
  <c r="D10314" i="1"/>
  <c r="D10313" i="1"/>
  <c r="E10313" i="1" s="1"/>
  <c r="E10312" i="1"/>
  <c r="D10312" i="1"/>
  <c r="E10311" i="1"/>
  <c r="D10311" i="1"/>
  <c r="E10310" i="1"/>
  <c r="D10310" i="1"/>
  <c r="D10309" i="1"/>
  <c r="E10309" i="1" s="1"/>
  <c r="E10308" i="1"/>
  <c r="D10308" i="1"/>
  <c r="D10307" i="1"/>
  <c r="E10307" i="1" s="1"/>
  <c r="E10306" i="1"/>
  <c r="D10306" i="1"/>
  <c r="D10305" i="1"/>
  <c r="E10305" i="1" s="1"/>
  <c r="D10304" i="1"/>
  <c r="E10304" i="1" s="1"/>
  <c r="E10303" i="1"/>
  <c r="D10303" i="1"/>
  <c r="E10302" i="1"/>
  <c r="D10302" i="1"/>
  <c r="D10301" i="1"/>
  <c r="E10301" i="1" s="1"/>
  <c r="E10300" i="1"/>
  <c r="D10300" i="1"/>
  <c r="E10299" i="1"/>
  <c r="D10299" i="1"/>
  <c r="E10298" i="1"/>
  <c r="D10298" i="1"/>
  <c r="D10297" i="1"/>
  <c r="E10297" i="1" s="1"/>
  <c r="E10296" i="1"/>
  <c r="D10296" i="1"/>
  <c r="D10295" i="1"/>
  <c r="E10295" i="1" s="1"/>
  <c r="E10294" i="1"/>
  <c r="D10294" i="1"/>
  <c r="D10293" i="1"/>
  <c r="E10293" i="1" s="1"/>
  <c r="D10292" i="1"/>
  <c r="E10292" i="1" s="1"/>
  <c r="E10291" i="1"/>
  <c r="D10291" i="1"/>
  <c r="E10290" i="1"/>
  <c r="D10290" i="1"/>
  <c r="D10289" i="1"/>
  <c r="E10289" i="1" s="1"/>
  <c r="E10288" i="1"/>
  <c r="D10288" i="1"/>
  <c r="E10287" i="1"/>
  <c r="D10287" i="1"/>
  <c r="E10286" i="1"/>
  <c r="D10286" i="1"/>
  <c r="D10285" i="1"/>
  <c r="E10285" i="1" s="1"/>
  <c r="E10284" i="1"/>
  <c r="D10284" i="1"/>
  <c r="D10283" i="1"/>
  <c r="E10283" i="1" s="1"/>
  <c r="E10282" i="1"/>
  <c r="D10282" i="1"/>
  <c r="D10281" i="1"/>
  <c r="E10281" i="1" s="1"/>
  <c r="D10280" i="1"/>
  <c r="E10280" i="1" s="1"/>
  <c r="E10279" i="1"/>
  <c r="D10279" i="1"/>
  <c r="E10278" i="1"/>
  <c r="D10278" i="1"/>
  <c r="D10277" i="1"/>
  <c r="E10277" i="1" s="1"/>
  <c r="E10276" i="1"/>
  <c r="D10276" i="1"/>
  <c r="E10275" i="1"/>
  <c r="D10275" i="1"/>
  <c r="E10274" i="1"/>
  <c r="D10274" i="1"/>
  <c r="D10273" i="1"/>
  <c r="E10273" i="1" s="1"/>
  <c r="E10272" i="1"/>
  <c r="D10272" i="1"/>
  <c r="D10271" i="1"/>
  <c r="E10271" i="1" s="1"/>
  <c r="E10270" i="1"/>
  <c r="D10270" i="1"/>
  <c r="D10269" i="1"/>
  <c r="E10269" i="1" s="1"/>
  <c r="D10268" i="1"/>
  <c r="E10268" i="1" s="1"/>
  <c r="E10267" i="1"/>
  <c r="D10267" i="1"/>
  <c r="E10266" i="1"/>
  <c r="D10266" i="1"/>
  <c r="D10265" i="1"/>
  <c r="E10265" i="1" s="1"/>
  <c r="E10264" i="1"/>
  <c r="D10264" i="1"/>
  <c r="E10263" i="1"/>
  <c r="D10263" i="1"/>
  <c r="E10262" i="1"/>
  <c r="D10262" i="1"/>
  <c r="D10261" i="1"/>
  <c r="E10261" i="1" s="1"/>
  <c r="E10260" i="1"/>
  <c r="D10260" i="1"/>
  <c r="D10259" i="1"/>
  <c r="E10259" i="1" s="1"/>
  <c r="E10258" i="1"/>
  <c r="D10258" i="1"/>
  <c r="D10257" i="1"/>
  <c r="E10257" i="1" s="1"/>
  <c r="D10256" i="1"/>
  <c r="E10256" i="1" s="1"/>
  <c r="E10255" i="1"/>
  <c r="D10255" i="1"/>
  <c r="E10254" i="1"/>
  <c r="D10254" i="1"/>
  <c r="D10253" i="1"/>
  <c r="E10253" i="1" s="1"/>
  <c r="E10252" i="1"/>
  <c r="D10252" i="1"/>
  <c r="E10251" i="1"/>
  <c r="D10251" i="1"/>
  <c r="E10250" i="1"/>
  <c r="D10250" i="1"/>
  <c r="D10249" i="1"/>
  <c r="E10249" i="1" s="1"/>
  <c r="E10248" i="1"/>
  <c r="D10248" i="1"/>
  <c r="D10247" i="1"/>
  <c r="E10247" i="1" s="1"/>
  <c r="E10246" i="1"/>
  <c r="D10246" i="1"/>
  <c r="D10245" i="1"/>
  <c r="E10245" i="1" s="1"/>
  <c r="D10244" i="1"/>
  <c r="E10244" i="1" s="1"/>
  <c r="E10243" i="1"/>
  <c r="D10243" i="1"/>
  <c r="E10242" i="1"/>
  <c r="D10242" i="1"/>
  <c r="D10241" i="1"/>
  <c r="E10241" i="1" s="1"/>
  <c r="E10240" i="1"/>
  <c r="D10240" i="1"/>
  <c r="E10239" i="1"/>
  <c r="D10239" i="1"/>
  <c r="E10238" i="1"/>
  <c r="D10238" i="1"/>
  <c r="D10237" i="1"/>
  <c r="E10237" i="1" s="1"/>
  <c r="E10236" i="1"/>
  <c r="D10236" i="1"/>
  <c r="D10235" i="1"/>
  <c r="E10235" i="1" s="1"/>
  <c r="E10234" i="1"/>
  <c r="D10234" i="1"/>
  <c r="D10233" i="1"/>
  <c r="E10233" i="1" s="1"/>
  <c r="D10232" i="1"/>
  <c r="E10232" i="1" s="1"/>
  <c r="E10231" i="1"/>
  <c r="D10231" i="1"/>
  <c r="E10230" i="1"/>
  <c r="D10230" i="1"/>
  <c r="D10229" i="1"/>
  <c r="E10229" i="1" s="1"/>
  <c r="E10228" i="1"/>
  <c r="D10228" i="1"/>
  <c r="E10227" i="1"/>
  <c r="D10227" i="1"/>
  <c r="E10226" i="1"/>
  <c r="D10226" i="1"/>
  <c r="D10225" i="1"/>
  <c r="E10225" i="1" s="1"/>
  <c r="E10224" i="1"/>
  <c r="D10224" i="1"/>
  <c r="D10223" i="1"/>
  <c r="E10223" i="1" s="1"/>
  <c r="E10222" i="1"/>
  <c r="D10222" i="1"/>
  <c r="D10221" i="1"/>
  <c r="E10221" i="1" s="1"/>
  <c r="D10220" i="1"/>
  <c r="E10220" i="1" s="1"/>
  <c r="E10219" i="1"/>
  <c r="D10219" i="1"/>
  <c r="E10218" i="1"/>
  <c r="D10218" i="1"/>
  <c r="D10217" i="1"/>
  <c r="E10217" i="1" s="1"/>
  <c r="E10216" i="1"/>
  <c r="D10216" i="1"/>
  <c r="E10215" i="1"/>
  <c r="D10215" i="1"/>
  <c r="E10214" i="1"/>
  <c r="D10214" i="1"/>
  <c r="D10213" i="1"/>
  <c r="E10213" i="1" s="1"/>
  <c r="E10212" i="1"/>
  <c r="D10212" i="1"/>
  <c r="D10211" i="1"/>
  <c r="E10211" i="1" s="1"/>
  <c r="E10210" i="1"/>
  <c r="D10210" i="1"/>
  <c r="D10209" i="1"/>
  <c r="E10209" i="1" s="1"/>
  <c r="D10208" i="1"/>
  <c r="E10208" i="1" s="1"/>
  <c r="E10207" i="1"/>
  <c r="D10207" i="1"/>
  <c r="E10206" i="1"/>
  <c r="D10206" i="1"/>
  <c r="D10205" i="1"/>
  <c r="E10205" i="1" s="1"/>
  <c r="E10204" i="1"/>
  <c r="D10204" i="1"/>
  <c r="E10203" i="1"/>
  <c r="D10203" i="1"/>
  <c r="E10202" i="1"/>
  <c r="D10202" i="1"/>
  <c r="D10201" i="1"/>
  <c r="E10201" i="1" s="1"/>
  <c r="E10200" i="1"/>
  <c r="D10200" i="1"/>
  <c r="D10199" i="1"/>
  <c r="E10199" i="1" s="1"/>
  <c r="E10198" i="1"/>
  <c r="D10198" i="1"/>
  <c r="D10197" i="1"/>
  <c r="E10197" i="1" s="1"/>
  <c r="D10196" i="1"/>
  <c r="E10196" i="1" s="1"/>
  <c r="E10195" i="1"/>
  <c r="D10195" i="1"/>
  <c r="E10194" i="1"/>
  <c r="D10194" i="1"/>
  <c r="D10193" i="1"/>
  <c r="E10193" i="1" s="1"/>
  <c r="E10192" i="1"/>
  <c r="D10192" i="1"/>
  <c r="E10191" i="1"/>
  <c r="D10191" i="1"/>
  <c r="E10190" i="1"/>
  <c r="D10190" i="1"/>
  <c r="D10189" i="1"/>
  <c r="E10189" i="1" s="1"/>
  <c r="E10188" i="1"/>
  <c r="D10188" i="1"/>
  <c r="D10187" i="1"/>
  <c r="E10187" i="1" s="1"/>
  <c r="E10186" i="1"/>
  <c r="D10186" i="1"/>
  <c r="D10185" i="1"/>
  <c r="E10185" i="1" s="1"/>
  <c r="D10184" i="1"/>
  <c r="E10184" i="1" s="1"/>
  <c r="E10183" i="1"/>
  <c r="D10183" i="1"/>
  <c r="E10182" i="1"/>
  <c r="D10182" i="1"/>
  <c r="D10181" i="1"/>
  <c r="E10181" i="1" s="1"/>
  <c r="E10180" i="1"/>
  <c r="D10180" i="1"/>
  <c r="E10179" i="1"/>
  <c r="D10179" i="1"/>
  <c r="E10178" i="1"/>
  <c r="D10178" i="1"/>
  <c r="D10177" i="1"/>
  <c r="E10177" i="1" s="1"/>
  <c r="E10176" i="1"/>
  <c r="D10176" i="1"/>
  <c r="D10175" i="1"/>
  <c r="E10175" i="1" s="1"/>
  <c r="E10174" i="1"/>
  <c r="D10174" i="1"/>
  <c r="D10173" i="1"/>
  <c r="E10173" i="1" s="1"/>
  <c r="D10172" i="1"/>
  <c r="E10172" i="1" s="1"/>
  <c r="E10171" i="1"/>
  <c r="D10171" i="1"/>
  <c r="E10170" i="1"/>
  <c r="D10170" i="1"/>
  <c r="D10169" i="1"/>
  <c r="E10169" i="1" s="1"/>
  <c r="E10168" i="1"/>
  <c r="D10168" i="1"/>
  <c r="E10167" i="1"/>
  <c r="D10167" i="1"/>
  <c r="E10166" i="1"/>
  <c r="D10166" i="1"/>
  <c r="D10165" i="1"/>
  <c r="E10165" i="1" s="1"/>
  <c r="E10164" i="1"/>
  <c r="D10164" i="1"/>
  <c r="D10163" i="1"/>
  <c r="E10163" i="1" s="1"/>
  <c r="E10162" i="1"/>
  <c r="D10162" i="1"/>
  <c r="D10161" i="1"/>
  <c r="E10161" i="1" s="1"/>
  <c r="D10160" i="1"/>
  <c r="E10160" i="1" s="1"/>
  <c r="E10159" i="1"/>
  <c r="D10159" i="1"/>
  <c r="E10158" i="1"/>
  <c r="D10158" i="1"/>
  <c r="D10157" i="1"/>
  <c r="E10157" i="1" s="1"/>
  <c r="E10156" i="1"/>
  <c r="D10156" i="1"/>
  <c r="E10155" i="1"/>
  <c r="D10155" i="1"/>
  <c r="E10154" i="1"/>
  <c r="D10154" i="1"/>
  <c r="D10153" i="1"/>
  <c r="E10153" i="1" s="1"/>
  <c r="E10152" i="1"/>
  <c r="D10152" i="1"/>
  <c r="D10151" i="1"/>
  <c r="E10151" i="1" s="1"/>
  <c r="E10150" i="1"/>
  <c r="D10150" i="1"/>
  <c r="D10149" i="1"/>
  <c r="E10149" i="1" s="1"/>
  <c r="D10148" i="1"/>
  <c r="E10148" i="1" s="1"/>
  <c r="E10147" i="1"/>
  <c r="D10147" i="1"/>
  <c r="E10146" i="1"/>
  <c r="D10146" i="1"/>
  <c r="D10145" i="1"/>
  <c r="E10145" i="1" s="1"/>
  <c r="E10144" i="1"/>
  <c r="D10144" i="1"/>
  <c r="E10143" i="1"/>
  <c r="D10143" i="1"/>
  <c r="E10142" i="1"/>
  <c r="D10142" i="1"/>
  <c r="D10141" i="1"/>
  <c r="E10141" i="1" s="1"/>
  <c r="E10140" i="1"/>
  <c r="D10140" i="1"/>
  <c r="D10139" i="1"/>
  <c r="E10139" i="1" s="1"/>
  <c r="E10138" i="1"/>
  <c r="D10138" i="1"/>
  <c r="D10137" i="1"/>
  <c r="E10137" i="1" s="1"/>
  <c r="D10136" i="1"/>
  <c r="E10136" i="1" s="1"/>
  <c r="E10135" i="1"/>
  <c r="D10135" i="1"/>
  <c r="E10134" i="1"/>
  <c r="D10134" i="1"/>
  <c r="D10133" i="1"/>
  <c r="E10133" i="1" s="1"/>
  <c r="E10132" i="1"/>
  <c r="D10132" i="1"/>
  <c r="E10131" i="1"/>
  <c r="D10131" i="1"/>
  <c r="E10130" i="1"/>
  <c r="D10130" i="1"/>
  <c r="D10129" i="1"/>
  <c r="E10129" i="1" s="1"/>
  <c r="E10128" i="1"/>
  <c r="D10128" i="1"/>
  <c r="D10127" i="1"/>
  <c r="E10127" i="1" s="1"/>
  <c r="E10126" i="1"/>
  <c r="D10126" i="1"/>
  <c r="D10125" i="1"/>
  <c r="E10125" i="1" s="1"/>
  <c r="D10124" i="1"/>
  <c r="E10124" i="1" s="1"/>
  <c r="E10123" i="1"/>
  <c r="D10123" i="1"/>
  <c r="E10122" i="1"/>
  <c r="D10122" i="1"/>
  <c r="D10121" i="1"/>
  <c r="E10121" i="1" s="1"/>
  <c r="E10120" i="1"/>
  <c r="D10120" i="1"/>
  <c r="E10119" i="1"/>
  <c r="D10119" i="1"/>
  <c r="E10118" i="1"/>
  <c r="D10118" i="1"/>
  <c r="D10117" i="1"/>
  <c r="E10117" i="1" s="1"/>
  <c r="E10116" i="1"/>
  <c r="D10116" i="1"/>
  <c r="D10115" i="1"/>
  <c r="E10115" i="1" s="1"/>
  <c r="E10114" i="1"/>
  <c r="D10114" i="1"/>
  <c r="D10113" i="1"/>
  <c r="E10113" i="1" s="1"/>
  <c r="D10112" i="1"/>
  <c r="E10112" i="1" s="1"/>
  <c r="E10111" i="1"/>
  <c r="D10111" i="1"/>
  <c r="E10110" i="1"/>
  <c r="D10110" i="1"/>
  <c r="D10109" i="1"/>
  <c r="E10109" i="1" s="1"/>
  <c r="E10108" i="1"/>
  <c r="D10108" i="1"/>
  <c r="E10107" i="1"/>
  <c r="D10107" i="1"/>
  <c r="E10106" i="1"/>
  <c r="D10106" i="1"/>
  <c r="D10105" i="1"/>
  <c r="E10105" i="1" s="1"/>
  <c r="E10104" i="1"/>
  <c r="D10104" i="1"/>
  <c r="D10103" i="1"/>
  <c r="E10103" i="1" s="1"/>
  <c r="E10102" i="1"/>
  <c r="D10102" i="1"/>
  <c r="D10101" i="1"/>
  <c r="E10101" i="1" s="1"/>
  <c r="D10100" i="1"/>
  <c r="E10100" i="1" s="1"/>
  <c r="E10099" i="1"/>
  <c r="D10099" i="1"/>
  <c r="E10098" i="1"/>
  <c r="D10098" i="1"/>
  <c r="D10097" i="1"/>
  <c r="E10097" i="1" s="1"/>
  <c r="E10096" i="1"/>
  <c r="D10096" i="1"/>
  <c r="E10095" i="1"/>
  <c r="D10095" i="1"/>
  <c r="E10094" i="1"/>
  <c r="D10094" i="1"/>
  <c r="D10093" i="1"/>
  <c r="E10093" i="1" s="1"/>
  <c r="E10092" i="1"/>
  <c r="D10092" i="1"/>
  <c r="D10091" i="1"/>
  <c r="E10091" i="1" s="1"/>
  <c r="E10090" i="1"/>
  <c r="D10090" i="1"/>
  <c r="D10089" i="1"/>
  <c r="E10089" i="1" s="1"/>
  <c r="D10088" i="1"/>
  <c r="E10088" i="1" s="1"/>
  <c r="E10087" i="1"/>
  <c r="D10087" i="1"/>
  <c r="E10086" i="1"/>
  <c r="D10086" i="1"/>
  <c r="D10085" i="1"/>
  <c r="E10085" i="1" s="1"/>
  <c r="E10084" i="1"/>
  <c r="D10084" i="1"/>
  <c r="E10083" i="1"/>
  <c r="D10083" i="1"/>
  <c r="E10082" i="1"/>
  <c r="D10082" i="1"/>
  <c r="D10081" i="1"/>
  <c r="E10081" i="1" s="1"/>
  <c r="E10080" i="1"/>
  <c r="D10080" i="1"/>
  <c r="D10079" i="1"/>
  <c r="E10079" i="1" s="1"/>
  <c r="E10078" i="1"/>
  <c r="D10078" i="1"/>
  <c r="D10077" i="1"/>
  <c r="E10077" i="1" s="1"/>
  <c r="D10076" i="1"/>
  <c r="E10076" i="1" s="1"/>
  <c r="E10075" i="1"/>
  <c r="D10075" i="1"/>
  <c r="E10074" i="1"/>
  <c r="D10074" i="1"/>
  <c r="D10073" i="1"/>
  <c r="E10073" i="1" s="1"/>
  <c r="E10072" i="1"/>
  <c r="D10072" i="1"/>
  <c r="E10071" i="1"/>
  <c r="D10071" i="1"/>
  <c r="E10070" i="1"/>
  <c r="D10070" i="1"/>
  <c r="D10069" i="1"/>
  <c r="E10069" i="1" s="1"/>
  <c r="E10068" i="1"/>
  <c r="D10068" i="1"/>
  <c r="D10067" i="1"/>
  <c r="E10067" i="1" s="1"/>
  <c r="E10066" i="1"/>
  <c r="D10066" i="1"/>
  <c r="D10065" i="1"/>
  <c r="E10065" i="1" s="1"/>
  <c r="D10064" i="1"/>
  <c r="E10064" i="1" s="1"/>
  <c r="E10063" i="1"/>
  <c r="D10063" i="1"/>
  <c r="E10062" i="1"/>
  <c r="D10062" i="1"/>
  <c r="D10061" i="1"/>
  <c r="E10061" i="1" s="1"/>
  <c r="E10060" i="1"/>
  <c r="D10060" i="1"/>
  <c r="E10059" i="1"/>
  <c r="D10059" i="1"/>
  <c r="E10058" i="1"/>
  <c r="D10058" i="1"/>
  <c r="D10057" i="1"/>
  <c r="E10057" i="1" s="1"/>
  <c r="D10056" i="1"/>
  <c r="E10056" i="1" s="1"/>
  <c r="D10055" i="1"/>
  <c r="E10055" i="1" s="1"/>
  <c r="E10054" i="1"/>
  <c r="D10054" i="1"/>
  <c r="D10053" i="1"/>
  <c r="E10053" i="1" s="1"/>
  <c r="D10052" i="1"/>
  <c r="E10052" i="1" s="1"/>
  <c r="E10051" i="1"/>
  <c r="D10051" i="1"/>
  <c r="E10050" i="1"/>
  <c r="D10050" i="1"/>
  <c r="D10049" i="1"/>
  <c r="E10049" i="1" s="1"/>
  <c r="E10048" i="1"/>
  <c r="D10048" i="1"/>
  <c r="E10047" i="1"/>
  <c r="D10047" i="1"/>
  <c r="E10046" i="1"/>
  <c r="D10046" i="1"/>
  <c r="D10045" i="1"/>
  <c r="E10045" i="1" s="1"/>
  <c r="D10044" i="1"/>
  <c r="E10044" i="1" s="1"/>
  <c r="D10043" i="1"/>
  <c r="E10043" i="1" s="1"/>
  <c r="E10042" i="1"/>
  <c r="D10042" i="1"/>
  <c r="D10041" i="1"/>
  <c r="E10041" i="1" s="1"/>
  <c r="D10040" i="1"/>
  <c r="E10040" i="1" s="1"/>
  <c r="E10039" i="1"/>
  <c r="D10039" i="1"/>
  <c r="E10038" i="1"/>
  <c r="D10038" i="1"/>
  <c r="D10037" i="1"/>
  <c r="E10037" i="1" s="1"/>
  <c r="E10036" i="1"/>
  <c r="D10036" i="1"/>
  <c r="E10035" i="1"/>
  <c r="D10035" i="1"/>
  <c r="E10034" i="1"/>
  <c r="D10034" i="1"/>
  <c r="D10033" i="1"/>
  <c r="E10033" i="1" s="1"/>
  <c r="D10032" i="1"/>
  <c r="E10032" i="1" s="1"/>
  <c r="D10031" i="1"/>
  <c r="E10031" i="1" s="1"/>
  <c r="E10030" i="1"/>
  <c r="D10030" i="1"/>
  <c r="D10029" i="1"/>
  <c r="E10029" i="1" s="1"/>
  <c r="D10028" i="1"/>
  <c r="E10028" i="1" s="1"/>
  <c r="E10027" i="1"/>
  <c r="D10027" i="1"/>
  <c r="E10026" i="1"/>
  <c r="D10026" i="1"/>
  <c r="D10025" i="1"/>
  <c r="E10025" i="1" s="1"/>
  <c r="E10024" i="1"/>
  <c r="D10024" i="1"/>
  <c r="E10023" i="1"/>
  <c r="D10023" i="1"/>
  <c r="E10022" i="1"/>
  <c r="D10022" i="1"/>
  <c r="D10021" i="1"/>
  <c r="E10021" i="1" s="1"/>
  <c r="E10020" i="1"/>
  <c r="D10020" i="1"/>
  <c r="D10019" i="1"/>
  <c r="E10019" i="1" s="1"/>
  <c r="E10018" i="1"/>
  <c r="D10018" i="1"/>
  <c r="D10017" i="1"/>
  <c r="E10017" i="1" s="1"/>
  <c r="D10016" i="1"/>
  <c r="E10016" i="1" s="1"/>
  <c r="E10015" i="1"/>
  <c r="D10015" i="1"/>
  <c r="E10014" i="1"/>
  <c r="D10014" i="1"/>
  <c r="D10013" i="1"/>
  <c r="E10013" i="1" s="1"/>
  <c r="E10012" i="1"/>
  <c r="D10012" i="1"/>
  <c r="E10011" i="1"/>
  <c r="D10011" i="1"/>
  <c r="E10010" i="1"/>
  <c r="D10010" i="1"/>
  <c r="D10009" i="1"/>
  <c r="E10009" i="1" s="1"/>
  <c r="D10008" i="1"/>
  <c r="E10008" i="1" s="1"/>
  <c r="D10007" i="1"/>
  <c r="E10007" i="1" s="1"/>
  <c r="E10006" i="1"/>
  <c r="D10006" i="1"/>
  <c r="D10005" i="1"/>
  <c r="E10005" i="1" s="1"/>
  <c r="D10004" i="1"/>
  <c r="E10004" i="1" s="1"/>
  <c r="E10003" i="1"/>
  <c r="D10003" i="1"/>
  <c r="E10002" i="1"/>
  <c r="D10002" i="1"/>
  <c r="D10001" i="1"/>
  <c r="E10001" i="1" s="1"/>
  <c r="E10000" i="1"/>
  <c r="D10000" i="1"/>
  <c r="E9999" i="1"/>
  <c r="D9999" i="1"/>
  <c r="E9998" i="1"/>
  <c r="D9998" i="1"/>
  <c r="D9997" i="1"/>
  <c r="E9997" i="1" s="1"/>
  <c r="D9996" i="1"/>
  <c r="E9996" i="1" s="1"/>
  <c r="D9995" i="1"/>
  <c r="E9995" i="1" s="1"/>
  <c r="E9994" i="1"/>
  <c r="D9994" i="1"/>
  <c r="D9993" i="1"/>
  <c r="E9993" i="1" s="1"/>
  <c r="D9992" i="1"/>
  <c r="E9992" i="1" s="1"/>
  <c r="E9991" i="1"/>
  <c r="D9991" i="1"/>
  <c r="E9990" i="1"/>
  <c r="D9990" i="1"/>
  <c r="D9989" i="1"/>
  <c r="E9989" i="1" s="1"/>
  <c r="E9988" i="1"/>
  <c r="D9988" i="1"/>
  <c r="E9987" i="1"/>
  <c r="D9987" i="1"/>
  <c r="E9986" i="1"/>
  <c r="D9986" i="1"/>
  <c r="D9985" i="1"/>
  <c r="E9985" i="1" s="1"/>
  <c r="E9984" i="1"/>
  <c r="D9984" i="1"/>
  <c r="D9983" i="1"/>
  <c r="E9983" i="1" s="1"/>
  <c r="E9982" i="1"/>
  <c r="D9982" i="1"/>
  <c r="D9981" i="1"/>
  <c r="E9981" i="1" s="1"/>
  <c r="D9980" i="1"/>
  <c r="E9980" i="1" s="1"/>
  <c r="E9979" i="1"/>
  <c r="D9979" i="1"/>
  <c r="E9978" i="1"/>
  <c r="D9978" i="1"/>
  <c r="D9977" i="1"/>
  <c r="E9977" i="1" s="1"/>
  <c r="E9976" i="1"/>
  <c r="D9976" i="1"/>
  <c r="E9975" i="1"/>
  <c r="D9975" i="1"/>
  <c r="E9974" i="1"/>
  <c r="D9974" i="1"/>
  <c r="D9973" i="1"/>
  <c r="E9973" i="1" s="1"/>
  <c r="D9972" i="1"/>
  <c r="E9972" i="1" s="1"/>
  <c r="D9971" i="1"/>
  <c r="E9971" i="1" s="1"/>
  <c r="E9970" i="1"/>
  <c r="D9970" i="1"/>
  <c r="D9969" i="1"/>
  <c r="E9969" i="1" s="1"/>
  <c r="D9968" i="1"/>
  <c r="E9968" i="1" s="1"/>
  <c r="E9967" i="1"/>
  <c r="D9967" i="1"/>
  <c r="E9966" i="1"/>
  <c r="D9966" i="1"/>
  <c r="D9965" i="1"/>
  <c r="E9965" i="1" s="1"/>
  <c r="E9964" i="1"/>
  <c r="D9964" i="1"/>
  <c r="E9963" i="1"/>
  <c r="D9963" i="1"/>
  <c r="E9962" i="1"/>
  <c r="D9962" i="1"/>
  <c r="D9961" i="1"/>
  <c r="E9961" i="1" s="1"/>
  <c r="D9960" i="1"/>
  <c r="E9960" i="1" s="1"/>
  <c r="D9959" i="1"/>
  <c r="E9959" i="1" s="1"/>
  <c r="E9958" i="1"/>
  <c r="D9958" i="1"/>
  <c r="D9957" i="1"/>
  <c r="E9957" i="1" s="1"/>
  <c r="D9956" i="1"/>
  <c r="E9956" i="1" s="1"/>
  <c r="E9955" i="1"/>
  <c r="D9955" i="1"/>
  <c r="E9954" i="1"/>
  <c r="D9954" i="1"/>
  <c r="D9953" i="1"/>
  <c r="E9953" i="1" s="1"/>
  <c r="E9952" i="1"/>
  <c r="D9952" i="1"/>
  <c r="E9951" i="1"/>
  <c r="D9951" i="1"/>
  <c r="E9950" i="1"/>
  <c r="D9950" i="1"/>
  <c r="D9949" i="1"/>
  <c r="E9949" i="1" s="1"/>
  <c r="E9948" i="1"/>
  <c r="D9948" i="1"/>
  <c r="D9947" i="1"/>
  <c r="E9947" i="1" s="1"/>
  <c r="E9946" i="1"/>
  <c r="D9946" i="1"/>
  <c r="D9945" i="1"/>
  <c r="E9945" i="1" s="1"/>
  <c r="D9944" i="1"/>
  <c r="E9944" i="1" s="1"/>
  <c r="E9943" i="1"/>
  <c r="D9943" i="1"/>
  <c r="E9942" i="1"/>
  <c r="D9942" i="1"/>
  <c r="D9941" i="1"/>
  <c r="E9941" i="1" s="1"/>
  <c r="E9940" i="1"/>
  <c r="D9940" i="1"/>
  <c r="E9939" i="1"/>
  <c r="D9939" i="1"/>
  <c r="E9938" i="1"/>
  <c r="D9938" i="1"/>
  <c r="D9937" i="1"/>
  <c r="E9937" i="1" s="1"/>
  <c r="E9936" i="1"/>
  <c r="D9936" i="1"/>
  <c r="D9935" i="1"/>
  <c r="E9935" i="1" s="1"/>
  <c r="E9934" i="1"/>
  <c r="D9934" i="1"/>
  <c r="D9933" i="1"/>
  <c r="E9933" i="1" s="1"/>
  <c r="D9932" i="1"/>
  <c r="E9932" i="1" s="1"/>
  <c r="E9931" i="1"/>
  <c r="D9931" i="1"/>
  <c r="E9930" i="1"/>
  <c r="D9930" i="1"/>
  <c r="D9929" i="1"/>
  <c r="E9929" i="1" s="1"/>
  <c r="E9928" i="1"/>
  <c r="D9928" i="1"/>
  <c r="E9927" i="1"/>
  <c r="D9927" i="1"/>
  <c r="E9926" i="1"/>
  <c r="D9926" i="1"/>
  <c r="D9925" i="1"/>
  <c r="E9925" i="1" s="1"/>
  <c r="D9924" i="1"/>
  <c r="E9924" i="1" s="1"/>
  <c r="D9923" i="1"/>
  <c r="E9923" i="1" s="1"/>
  <c r="E9922" i="1"/>
  <c r="D9922" i="1"/>
  <c r="D9921" i="1"/>
  <c r="E9921" i="1" s="1"/>
  <c r="D9920" i="1"/>
  <c r="E9920" i="1" s="1"/>
  <c r="E9919" i="1"/>
  <c r="D9919" i="1"/>
  <c r="E9918" i="1"/>
  <c r="D9918" i="1"/>
  <c r="D9917" i="1"/>
  <c r="E9917" i="1" s="1"/>
  <c r="E9916" i="1"/>
  <c r="D9916" i="1"/>
  <c r="E9915" i="1"/>
  <c r="D9915" i="1"/>
  <c r="E9914" i="1"/>
  <c r="D9914" i="1"/>
  <c r="D9913" i="1"/>
  <c r="E9913" i="1" s="1"/>
  <c r="D9912" i="1"/>
  <c r="E9912" i="1" s="1"/>
  <c r="D9911" i="1"/>
  <c r="E9911" i="1" s="1"/>
  <c r="E9910" i="1"/>
  <c r="D9910" i="1"/>
  <c r="D9909" i="1"/>
  <c r="E9909" i="1" s="1"/>
  <c r="D9908" i="1"/>
  <c r="E9908" i="1" s="1"/>
  <c r="E9907" i="1"/>
  <c r="D9907" i="1"/>
  <c r="E9906" i="1"/>
  <c r="D9906" i="1"/>
  <c r="D9905" i="1"/>
  <c r="E9905" i="1" s="1"/>
  <c r="E9904" i="1"/>
  <c r="D9904" i="1"/>
  <c r="E9903" i="1"/>
  <c r="D9903" i="1"/>
  <c r="E9902" i="1"/>
  <c r="D9902" i="1"/>
  <c r="D9901" i="1"/>
  <c r="E9901" i="1" s="1"/>
  <c r="E9900" i="1"/>
  <c r="D9900" i="1"/>
  <c r="D9899" i="1"/>
  <c r="E9899" i="1" s="1"/>
  <c r="E9898" i="1"/>
  <c r="D9898" i="1"/>
  <c r="D9897" i="1"/>
  <c r="E9897" i="1" s="1"/>
  <c r="D9896" i="1"/>
  <c r="E9896" i="1" s="1"/>
  <c r="E9895" i="1"/>
  <c r="D9895" i="1"/>
  <c r="E9894" i="1"/>
  <c r="D9894" i="1"/>
  <c r="D9893" i="1"/>
  <c r="E9893" i="1" s="1"/>
  <c r="E9892" i="1"/>
  <c r="D9892" i="1"/>
  <c r="E9891" i="1"/>
  <c r="D9891" i="1"/>
  <c r="E9890" i="1"/>
  <c r="D9890" i="1"/>
  <c r="D9889" i="1"/>
  <c r="E9889" i="1" s="1"/>
  <c r="D9888" i="1"/>
  <c r="E9888" i="1" s="1"/>
  <c r="D9887" i="1"/>
  <c r="E9887" i="1" s="1"/>
  <c r="E9886" i="1"/>
  <c r="D9886" i="1"/>
  <c r="D9885" i="1"/>
  <c r="E9885" i="1" s="1"/>
  <c r="D9884" i="1"/>
  <c r="E9884" i="1" s="1"/>
  <c r="E9883" i="1"/>
  <c r="D9883" i="1"/>
  <c r="E9882" i="1"/>
  <c r="D9882" i="1"/>
  <c r="D9881" i="1"/>
  <c r="E9881" i="1" s="1"/>
  <c r="D9880" i="1"/>
  <c r="E9880" i="1" s="1"/>
  <c r="E9879" i="1"/>
  <c r="D9879" i="1"/>
  <c r="E9878" i="1"/>
  <c r="D9878" i="1"/>
  <c r="D9877" i="1"/>
  <c r="E9877" i="1" s="1"/>
  <c r="E9876" i="1"/>
  <c r="D9876" i="1"/>
  <c r="D9875" i="1"/>
  <c r="E9875" i="1" s="1"/>
  <c r="E9874" i="1"/>
  <c r="D9874" i="1"/>
  <c r="D9873" i="1"/>
  <c r="E9873" i="1" s="1"/>
  <c r="D9872" i="1"/>
  <c r="E9872" i="1" s="1"/>
  <c r="E9871" i="1"/>
  <c r="D9871" i="1"/>
  <c r="E9870" i="1"/>
  <c r="D9870" i="1"/>
  <c r="D9869" i="1"/>
  <c r="E9869" i="1" s="1"/>
  <c r="E9868" i="1"/>
  <c r="D9868" i="1"/>
  <c r="E9867" i="1"/>
  <c r="D9867" i="1"/>
  <c r="E9866" i="1"/>
  <c r="D9866" i="1"/>
  <c r="D9865" i="1"/>
  <c r="E9865" i="1" s="1"/>
  <c r="D9864" i="1"/>
  <c r="E9864" i="1" s="1"/>
  <c r="D9863" i="1"/>
  <c r="E9863" i="1" s="1"/>
  <c r="E9862" i="1"/>
  <c r="D9862" i="1"/>
  <c r="D9861" i="1"/>
  <c r="E9861" i="1" s="1"/>
  <c r="D9860" i="1"/>
  <c r="E9860" i="1" s="1"/>
  <c r="E9859" i="1"/>
  <c r="D9859" i="1"/>
  <c r="E9858" i="1"/>
  <c r="D9858" i="1"/>
  <c r="D9857" i="1"/>
  <c r="E9857" i="1" s="1"/>
  <c r="D9856" i="1"/>
  <c r="E9856" i="1" s="1"/>
  <c r="E9855" i="1"/>
  <c r="D9855" i="1"/>
  <c r="E9854" i="1"/>
  <c r="D9854" i="1"/>
  <c r="D9853" i="1"/>
  <c r="E9853" i="1" s="1"/>
  <c r="E9852" i="1"/>
  <c r="D9852" i="1"/>
  <c r="D9851" i="1"/>
  <c r="E9851" i="1" s="1"/>
  <c r="E9850" i="1"/>
  <c r="D9850" i="1"/>
  <c r="D9849" i="1"/>
  <c r="E9849" i="1" s="1"/>
  <c r="D9848" i="1"/>
  <c r="E9848" i="1" s="1"/>
  <c r="E9847" i="1"/>
  <c r="D9847" i="1"/>
  <c r="E9846" i="1"/>
  <c r="D9846" i="1"/>
  <c r="D9845" i="1"/>
  <c r="E9845" i="1" s="1"/>
  <c r="E9844" i="1"/>
  <c r="D9844" i="1"/>
  <c r="E9843" i="1"/>
  <c r="D9843" i="1"/>
  <c r="E9842" i="1"/>
  <c r="D9842" i="1"/>
  <c r="D9841" i="1"/>
  <c r="E9841" i="1" s="1"/>
  <c r="D9840" i="1"/>
  <c r="E9840" i="1" s="1"/>
  <c r="D9839" i="1"/>
  <c r="E9839" i="1" s="1"/>
  <c r="E9838" i="1"/>
  <c r="D9838" i="1"/>
  <c r="D9837" i="1"/>
  <c r="E9837" i="1" s="1"/>
  <c r="D9836" i="1"/>
  <c r="E9836" i="1" s="1"/>
  <c r="E9835" i="1"/>
  <c r="D9835" i="1"/>
  <c r="E9834" i="1"/>
  <c r="D9834" i="1"/>
  <c r="D9833" i="1"/>
  <c r="E9833" i="1" s="1"/>
  <c r="E9832" i="1"/>
  <c r="D9832" i="1"/>
  <c r="E9831" i="1"/>
  <c r="D9831" i="1"/>
  <c r="E9830" i="1"/>
  <c r="D9830" i="1"/>
  <c r="D9829" i="1"/>
  <c r="E9829" i="1" s="1"/>
  <c r="E9828" i="1"/>
  <c r="D9828" i="1"/>
  <c r="D9827" i="1"/>
  <c r="E9827" i="1" s="1"/>
  <c r="E9826" i="1"/>
  <c r="D9826" i="1"/>
  <c r="D9825" i="1"/>
  <c r="E9825" i="1" s="1"/>
  <c r="D9824" i="1"/>
  <c r="E9824" i="1" s="1"/>
  <c r="E9823" i="1"/>
  <c r="D9823" i="1"/>
  <c r="E9822" i="1"/>
  <c r="D9822" i="1"/>
  <c r="D9821" i="1"/>
  <c r="E9821" i="1" s="1"/>
  <c r="D9820" i="1"/>
  <c r="E9820" i="1" s="1"/>
  <c r="E9819" i="1"/>
  <c r="D9819" i="1"/>
  <c r="E9818" i="1"/>
  <c r="D9818" i="1"/>
  <c r="D9817" i="1"/>
  <c r="E9817" i="1" s="1"/>
  <c r="D9816" i="1"/>
  <c r="E9816" i="1" s="1"/>
  <c r="D9815" i="1"/>
  <c r="E9815" i="1" s="1"/>
  <c r="E9814" i="1"/>
  <c r="D9814" i="1"/>
  <c r="D9813" i="1"/>
  <c r="E9813" i="1" s="1"/>
  <c r="D9812" i="1"/>
  <c r="E9812" i="1" s="1"/>
  <c r="E9811" i="1"/>
  <c r="D9811" i="1"/>
  <c r="E9810" i="1"/>
  <c r="D9810" i="1"/>
  <c r="D9809" i="1"/>
  <c r="E9809" i="1" s="1"/>
  <c r="D9808" i="1"/>
  <c r="E9808" i="1" s="1"/>
  <c r="E9807" i="1"/>
  <c r="D9807" i="1"/>
  <c r="E9806" i="1"/>
  <c r="D9806" i="1"/>
  <c r="D9805" i="1"/>
  <c r="E9805" i="1" s="1"/>
  <c r="E9804" i="1"/>
  <c r="D9804" i="1"/>
  <c r="D9803" i="1"/>
  <c r="E9803" i="1" s="1"/>
  <c r="E9802" i="1"/>
  <c r="D9802" i="1"/>
  <c r="D9801" i="1"/>
  <c r="E9801" i="1" s="1"/>
  <c r="D9800" i="1"/>
  <c r="E9800" i="1" s="1"/>
  <c r="E9799" i="1"/>
  <c r="D9799" i="1"/>
  <c r="E9798" i="1"/>
  <c r="D9798" i="1"/>
  <c r="D9797" i="1"/>
  <c r="E9797" i="1" s="1"/>
  <c r="E9796" i="1"/>
  <c r="D9796" i="1"/>
  <c r="E9795" i="1"/>
  <c r="D9795" i="1"/>
  <c r="E9794" i="1"/>
  <c r="D9794" i="1"/>
  <c r="D9793" i="1"/>
  <c r="E9793" i="1" s="1"/>
  <c r="E9792" i="1"/>
  <c r="D9792" i="1"/>
  <c r="D9791" i="1"/>
  <c r="E9791" i="1" s="1"/>
  <c r="E9790" i="1"/>
  <c r="D9790" i="1"/>
  <c r="D9789" i="1"/>
  <c r="E9789" i="1" s="1"/>
  <c r="D9788" i="1"/>
  <c r="E9788" i="1" s="1"/>
  <c r="D9787" i="1"/>
  <c r="E9787" i="1" s="1"/>
  <c r="E9786" i="1"/>
  <c r="D9786" i="1"/>
  <c r="D9785" i="1"/>
  <c r="E9785" i="1" s="1"/>
  <c r="E9784" i="1"/>
  <c r="D9784" i="1"/>
  <c r="E9783" i="1"/>
  <c r="D9783" i="1"/>
  <c r="E9782" i="1"/>
  <c r="D9782" i="1"/>
  <c r="D9781" i="1"/>
  <c r="E9781" i="1" s="1"/>
  <c r="D9780" i="1"/>
  <c r="E9780" i="1" s="1"/>
  <c r="D9779" i="1"/>
  <c r="E9779" i="1" s="1"/>
  <c r="E9778" i="1"/>
  <c r="D9778" i="1"/>
  <c r="D9777" i="1"/>
  <c r="E9777" i="1" s="1"/>
  <c r="D9776" i="1"/>
  <c r="E9776" i="1" s="1"/>
  <c r="D9775" i="1"/>
  <c r="E9775" i="1" s="1"/>
  <c r="E9774" i="1"/>
  <c r="D9774" i="1"/>
  <c r="D9773" i="1"/>
  <c r="E9773" i="1" s="1"/>
  <c r="D9772" i="1"/>
  <c r="E9772" i="1" s="1"/>
  <c r="E9771" i="1"/>
  <c r="D9771" i="1"/>
  <c r="E9770" i="1"/>
  <c r="D9770" i="1"/>
  <c r="D9769" i="1"/>
  <c r="E9769" i="1" s="1"/>
  <c r="D9768" i="1"/>
  <c r="E9768" i="1" s="1"/>
  <c r="D9767" i="1"/>
  <c r="E9767" i="1" s="1"/>
  <c r="E9766" i="1"/>
  <c r="D9766" i="1"/>
  <c r="D9765" i="1"/>
  <c r="E9765" i="1" s="1"/>
  <c r="D9764" i="1"/>
  <c r="E9764" i="1" s="1"/>
  <c r="E9763" i="1"/>
  <c r="D9763" i="1"/>
  <c r="E9762" i="1"/>
  <c r="D9762" i="1"/>
  <c r="D9761" i="1"/>
  <c r="E9761" i="1" s="1"/>
  <c r="D9760" i="1"/>
  <c r="E9760" i="1" s="1"/>
  <c r="E9759" i="1"/>
  <c r="D9759" i="1"/>
  <c r="E9758" i="1"/>
  <c r="D9758" i="1"/>
  <c r="D9757" i="1"/>
  <c r="E9757" i="1" s="1"/>
  <c r="D9756" i="1"/>
  <c r="E9756" i="1" s="1"/>
  <c r="D9755" i="1"/>
  <c r="E9755" i="1" s="1"/>
  <c r="E9754" i="1"/>
  <c r="D9754" i="1"/>
  <c r="D9753" i="1"/>
  <c r="E9753" i="1" s="1"/>
  <c r="D9752" i="1"/>
  <c r="E9752" i="1" s="1"/>
  <c r="D9751" i="1"/>
  <c r="E9751" i="1" s="1"/>
  <c r="E9750" i="1"/>
  <c r="D9750" i="1"/>
  <c r="D9749" i="1"/>
  <c r="E9749" i="1" s="1"/>
  <c r="E9748" i="1"/>
  <c r="D9748" i="1"/>
  <c r="E9747" i="1"/>
  <c r="D9747" i="1"/>
  <c r="E9746" i="1"/>
  <c r="D9746" i="1"/>
  <c r="D9745" i="1"/>
  <c r="E9745" i="1" s="1"/>
  <c r="D9744" i="1"/>
  <c r="E9744" i="1" s="1"/>
  <c r="D9743" i="1"/>
  <c r="E9743" i="1" s="1"/>
  <c r="E9742" i="1"/>
  <c r="D9742" i="1"/>
  <c r="D9741" i="1"/>
  <c r="E9741" i="1" s="1"/>
  <c r="D9740" i="1"/>
  <c r="E9740" i="1" s="1"/>
  <c r="E9739" i="1"/>
  <c r="D9739" i="1"/>
  <c r="E9738" i="1"/>
  <c r="D9738" i="1"/>
  <c r="D9737" i="1"/>
  <c r="E9737" i="1" s="1"/>
  <c r="D9736" i="1"/>
  <c r="E9736" i="1" s="1"/>
  <c r="E9735" i="1"/>
  <c r="D9735" i="1"/>
  <c r="E9734" i="1"/>
  <c r="D9734" i="1"/>
  <c r="D9733" i="1"/>
  <c r="E9733" i="1" s="1"/>
  <c r="E9732" i="1"/>
  <c r="D9732" i="1"/>
  <c r="D9731" i="1"/>
  <c r="E9731" i="1" s="1"/>
  <c r="E9730" i="1"/>
  <c r="D9730" i="1"/>
  <c r="D9729" i="1"/>
  <c r="E9729" i="1" s="1"/>
  <c r="D9728" i="1"/>
  <c r="E9728" i="1" s="1"/>
  <c r="D9727" i="1"/>
  <c r="E9727" i="1" s="1"/>
  <c r="E9726" i="1"/>
  <c r="D9726" i="1"/>
  <c r="D9725" i="1"/>
  <c r="E9725" i="1" s="1"/>
  <c r="E9724" i="1"/>
  <c r="D9724" i="1"/>
  <c r="E9723" i="1"/>
  <c r="D9723" i="1"/>
  <c r="E9722" i="1"/>
  <c r="D9722" i="1"/>
  <c r="D9721" i="1"/>
  <c r="E9721" i="1" s="1"/>
  <c r="D9720" i="1"/>
  <c r="E9720" i="1" s="1"/>
  <c r="D9719" i="1"/>
  <c r="E9719" i="1" s="1"/>
  <c r="E9718" i="1"/>
  <c r="D9718" i="1"/>
  <c r="D9717" i="1"/>
  <c r="E9717" i="1" s="1"/>
  <c r="D9716" i="1"/>
  <c r="E9716" i="1" s="1"/>
  <c r="E9715" i="1"/>
  <c r="D9715" i="1"/>
  <c r="E9714" i="1"/>
  <c r="D9714" i="1"/>
  <c r="D9713" i="1"/>
  <c r="E9713" i="1" s="1"/>
  <c r="D9712" i="1"/>
  <c r="E9712" i="1" s="1"/>
  <c r="E9711" i="1"/>
  <c r="D9711" i="1"/>
  <c r="E9710" i="1"/>
  <c r="D9710" i="1"/>
  <c r="D9709" i="1"/>
  <c r="E9709" i="1" s="1"/>
  <c r="E9708" i="1"/>
  <c r="D9708" i="1"/>
  <c r="D9707" i="1"/>
  <c r="E9707" i="1" s="1"/>
  <c r="E9706" i="1"/>
  <c r="D9706" i="1"/>
  <c r="D9705" i="1"/>
  <c r="E9705" i="1" s="1"/>
  <c r="D9704" i="1"/>
  <c r="E9704" i="1" s="1"/>
  <c r="D9703" i="1"/>
  <c r="E9703" i="1" s="1"/>
  <c r="E9702" i="1"/>
  <c r="D9702" i="1"/>
  <c r="D9701" i="1"/>
  <c r="E9701" i="1" s="1"/>
  <c r="E9700" i="1"/>
  <c r="D9700" i="1"/>
  <c r="E9699" i="1"/>
  <c r="D9699" i="1"/>
  <c r="E9698" i="1"/>
  <c r="D9698" i="1"/>
  <c r="D9697" i="1"/>
  <c r="E9697" i="1" s="1"/>
  <c r="E9696" i="1"/>
  <c r="D9696" i="1"/>
  <c r="D9695" i="1"/>
  <c r="E9695" i="1" s="1"/>
  <c r="E9694" i="1"/>
  <c r="D9694" i="1"/>
  <c r="D9693" i="1"/>
  <c r="E9693" i="1" s="1"/>
  <c r="D9692" i="1"/>
  <c r="E9692" i="1" s="1"/>
  <c r="E9691" i="1"/>
  <c r="D9691" i="1"/>
  <c r="E9690" i="1"/>
  <c r="D9690" i="1"/>
  <c r="D9689" i="1"/>
  <c r="E9689" i="1" s="1"/>
  <c r="D9688" i="1"/>
  <c r="E9688" i="1" s="1"/>
  <c r="E9687" i="1"/>
  <c r="D9687" i="1"/>
  <c r="E9686" i="1"/>
  <c r="D9686" i="1"/>
  <c r="D9685" i="1"/>
  <c r="E9685" i="1" s="1"/>
  <c r="D9684" i="1"/>
  <c r="E9684" i="1" s="1"/>
  <c r="D9683" i="1"/>
  <c r="E9683" i="1" s="1"/>
  <c r="E9682" i="1"/>
  <c r="D9682" i="1"/>
  <c r="D9681" i="1"/>
  <c r="E9681" i="1" s="1"/>
  <c r="D9680" i="1"/>
  <c r="E9680" i="1" s="1"/>
  <c r="D9679" i="1"/>
  <c r="E9679" i="1" s="1"/>
  <c r="E9678" i="1"/>
  <c r="D9678" i="1"/>
  <c r="D9677" i="1"/>
  <c r="E9677" i="1" s="1"/>
  <c r="E9676" i="1"/>
  <c r="D9676" i="1"/>
  <c r="E9675" i="1"/>
  <c r="D9675" i="1"/>
  <c r="E9674" i="1"/>
  <c r="D9674" i="1"/>
  <c r="D9673" i="1"/>
  <c r="E9673" i="1" s="1"/>
  <c r="D9672" i="1"/>
  <c r="E9672" i="1" s="1"/>
  <c r="D9671" i="1"/>
  <c r="E9671" i="1" s="1"/>
  <c r="E9670" i="1"/>
  <c r="D9670" i="1"/>
  <c r="D9669" i="1"/>
  <c r="E9669" i="1" s="1"/>
  <c r="D9668" i="1"/>
  <c r="E9668" i="1" s="1"/>
  <c r="E9667" i="1"/>
  <c r="D9667" i="1"/>
  <c r="E9666" i="1"/>
  <c r="D9666" i="1"/>
  <c r="D9665" i="1"/>
  <c r="E9665" i="1" s="1"/>
  <c r="D9664" i="1"/>
  <c r="E9664" i="1" s="1"/>
  <c r="E9663" i="1"/>
  <c r="D9663" i="1"/>
  <c r="E9662" i="1"/>
  <c r="D9662" i="1"/>
  <c r="D9661" i="1"/>
  <c r="E9661" i="1" s="1"/>
  <c r="E9660" i="1"/>
  <c r="D9660" i="1"/>
  <c r="D9659" i="1"/>
  <c r="E9659" i="1" s="1"/>
  <c r="E9658" i="1"/>
  <c r="D9658" i="1"/>
  <c r="D9657" i="1"/>
  <c r="E9657" i="1" s="1"/>
  <c r="D9656" i="1"/>
  <c r="E9656" i="1" s="1"/>
  <c r="E9655" i="1"/>
  <c r="D9655" i="1"/>
  <c r="E9654" i="1"/>
  <c r="D9654" i="1"/>
  <c r="D9653" i="1"/>
  <c r="E9653" i="1" s="1"/>
  <c r="E9652" i="1"/>
  <c r="D9652" i="1"/>
  <c r="E9651" i="1"/>
  <c r="D9651" i="1"/>
  <c r="E9650" i="1"/>
  <c r="D9650" i="1"/>
  <c r="D9649" i="1"/>
  <c r="E9649" i="1" s="1"/>
  <c r="D9648" i="1"/>
  <c r="E9648" i="1" s="1"/>
  <c r="D9647" i="1"/>
  <c r="E9647" i="1" s="1"/>
  <c r="E9646" i="1"/>
  <c r="D9646" i="1"/>
  <c r="D9645" i="1"/>
  <c r="E9645" i="1" s="1"/>
  <c r="D9644" i="1"/>
  <c r="E9644" i="1" s="1"/>
  <c r="D9643" i="1"/>
  <c r="E9643" i="1" s="1"/>
  <c r="E9642" i="1"/>
  <c r="D9642" i="1"/>
  <c r="D9641" i="1"/>
  <c r="E9641" i="1" s="1"/>
  <c r="E9640" i="1"/>
  <c r="D9640" i="1"/>
  <c r="E9639" i="1"/>
  <c r="D9639" i="1"/>
  <c r="E9638" i="1"/>
  <c r="D9638" i="1"/>
  <c r="D9637" i="1"/>
  <c r="E9637" i="1" s="1"/>
  <c r="D9636" i="1"/>
  <c r="E9636" i="1" s="1"/>
  <c r="D9635" i="1"/>
  <c r="E9635" i="1" s="1"/>
  <c r="E9634" i="1"/>
  <c r="D9634" i="1"/>
  <c r="D9633" i="1"/>
  <c r="E9633" i="1" s="1"/>
  <c r="D9632" i="1"/>
  <c r="E9632" i="1" s="1"/>
  <c r="D9631" i="1"/>
  <c r="E9631" i="1" s="1"/>
  <c r="E9630" i="1"/>
  <c r="D9630" i="1"/>
  <c r="D9629" i="1"/>
  <c r="E9629" i="1" s="1"/>
  <c r="D9628" i="1"/>
  <c r="E9628" i="1" s="1"/>
  <c r="E9627" i="1"/>
  <c r="D9627" i="1"/>
  <c r="E9626" i="1"/>
  <c r="D9626" i="1"/>
  <c r="D9625" i="1"/>
  <c r="E9625" i="1" s="1"/>
  <c r="D9624" i="1"/>
  <c r="E9624" i="1" s="1"/>
  <c r="D9623" i="1"/>
  <c r="E9623" i="1" s="1"/>
  <c r="E9622" i="1"/>
  <c r="D9622" i="1"/>
  <c r="D9621" i="1"/>
  <c r="E9621" i="1" s="1"/>
  <c r="D9620" i="1"/>
  <c r="E9620" i="1" s="1"/>
  <c r="D9619" i="1"/>
  <c r="E9619" i="1" s="1"/>
  <c r="E9618" i="1"/>
  <c r="D9618" i="1"/>
  <c r="D9617" i="1"/>
  <c r="E9617" i="1" s="1"/>
  <c r="D9616" i="1"/>
  <c r="E9616" i="1" s="1"/>
  <c r="E9615" i="1"/>
  <c r="D9615" i="1"/>
  <c r="E9614" i="1"/>
  <c r="D9614" i="1"/>
  <c r="D9613" i="1"/>
  <c r="E9613" i="1" s="1"/>
  <c r="E9612" i="1"/>
  <c r="D9612" i="1"/>
  <c r="D9611" i="1"/>
  <c r="E9611" i="1" s="1"/>
  <c r="E9610" i="1"/>
  <c r="D9610" i="1"/>
  <c r="D9609" i="1"/>
  <c r="E9609" i="1" s="1"/>
  <c r="D9608" i="1"/>
  <c r="E9608" i="1" s="1"/>
  <c r="D9607" i="1"/>
  <c r="E9607" i="1" s="1"/>
  <c r="E9606" i="1"/>
  <c r="D9606" i="1"/>
  <c r="D9605" i="1"/>
  <c r="E9605" i="1" s="1"/>
  <c r="D9604" i="1"/>
  <c r="E9604" i="1" s="1"/>
  <c r="E9603" i="1"/>
  <c r="D9603" i="1"/>
  <c r="E9602" i="1"/>
  <c r="D9602" i="1"/>
  <c r="D9601" i="1"/>
  <c r="E9601" i="1" s="1"/>
  <c r="D9600" i="1"/>
  <c r="E9600" i="1" s="1"/>
  <c r="D9599" i="1"/>
  <c r="E9599" i="1" s="1"/>
  <c r="E9598" i="1"/>
  <c r="D9598" i="1"/>
  <c r="D9597" i="1"/>
  <c r="E9597" i="1" s="1"/>
  <c r="D9596" i="1"/>
  <c r="E9596" i="1" s="1"/>
  <c r="E9595" i="1"/>
  <c r="D9595" i="1"/>
  <c r="E9594" i="1"/>
  <c r="D9594" i="1"/>
  <c r="D9593" i="1"/>
  <c r="E9593" i="1" s="1"/>
  <c r="D9592" i="1"/>
  <c r="E9592" i="1" s="1"/>
  <c r="E9591" i="1"/>
  <c r="D9591" i="1"/>
  <c r="E9590" i="1"/>
  <c r="D9590" i="1"/>
  <c r="D9589" i="1"/>
  <c r="E9589" i="1" s="1"/>
  <c r="E9588" i="1"/>
  <c r="D9588" i="1"/>
  <c r="D9587" i="1"/>
  <c r="E9587" i="1" s="1"/>
  <c r="E9586" i="1"/>
  <c r="D9586" i="1"/>
  <c r="D9585" i="1"/>
  <c r="E9585" i="1" s="1"/>
  <c r="D9584" i="1"/>
  <c r="E9584" i="1" s="1"/>
  <c r="D9583" i="1"/>
  <c r="E9583" i="1" s="1"/>
  <c r="E9582" i="1"/>
  <c r="D9582" i="1"/>
  <c r="D9581" i="1"/>
  <c r="E9581" i="1" s="1"/>
  <c r="E9580" i="1"/>
  <c r="D9580" i="1"/>
  <c r="E9579" i="1"/>
  <c r="D9579" i="1"/>
  <c r="E9578" i="1"/>
  <c r="D9578" i="1"/>
  <c r="D9577" i="1"/>
  <c r="E9577" i="1" s="1"/>
  <c r="D9576" i="1"/>
  <c r="E9576" i="1" s="1"/>
  <c r="D9575" i="1"/>
  <c r="E9575" i="1" s="1"/>
  <c r="E9574" i="1"/>
  <c r="D9574" i="1"/>
  <c r="D9573" i="1"/>
  <c r="E9573" i="1" s="1"/>
  <c r="D9572" i="1"/>
  <c r="E9572" i="1" s="1"/>
  <c r="E9571" i="1"/>
  <c r="D9571" i="1"/>
  <c r="E9570" i="1"/>
  <c r="D9570" i="1"/>
  <c r="D9569" i="1"/>
  <c r="E9569" i="1" s="1"/>
  <c r="D9568" i="1"/>
  <c r="E9568" i="1" s="1"/>
  <c r="E9567" i="1"/>
  <c r="D9567" i="1"/>
  <c r="E9566" i="1"/>
  <c r="D9566" i="1"/>
  <c r="D9565" i="1"/>
  <c r="E9565" i="1" s="1"/>
  <c r="E9564" i="1"/>
  <c r="D9564" i="1"/>
  <c r="D9563" i="1"/>
  <c r="E9563" i="1" s="1"/>
  <c r="E9562" i="1"/>
  <c r="D9562" i="1"/>
  <c r="D9561" i="1"/>
  <c r="E9561" i="1" s="1"/>
  <c r="D9560" i="1"/>
  <c r="E9560" i="1" s="1"/>
  <c r="E9559" i="1"/>
  <c r="D9559" i="1"/>
  <c r="E9558" i="1"/>
  <c r="D9558" i="1"/>
  <c r="D9557" i="1"/>
  <c r="E9557" i="1" s="1"/>
  <c r="E9556" i="1"/>
  <c r="D9556" i="1"/>
  <c r="E9555" i="1"/>
  <c r="D9555" i="1"/>
  <c r="E9554" i="1"/>
  <c r="D9554" i="1"/>
  <c r="D9553" i="1"/>
  <c r="E9553" i="1" s="1"/>
  <c r="D9552" i="1"/>
  <c r="E9552" i="1" s="1"/>
  <c r="D9551" i="1"/>
  <c r="E9551" i="1" s="1"/>
  <c r="E9550" i="1"/>
  <c r="D9550" i="1"/>
  <c r="D9549" i="1"/>
  <c r="E9549" i="1" s="1"/>
  <c r="D9548" i="1"/>
  <c r="E9548" i="1" s="1"/>
  <c r="D9547" i="1"/>
  <c r="E9547" i="1" s="1"/>
  <c r="E9546" i="1"/>
  <c r="D9546" i="1"/>
  <c r="D9545" i="1"/>
  <c r="E9545" i="1" s="1"/>
  <c r="E9544" i="1"/>
  <c r="D9544" i="1"/>
  <c r="E9543" i="1"/>
  <c r="D9543" i="1"/>
  <c r="E9542" i="1"/>
  <c r="D9542" i="1"/>
  <c r="D9541" i="1"/>
  <c r="E9541" i="1" s="1"/>
  <c r="E9540" i="1"/>
  <c r="D9540" i="1"/>
  <c r="D9539" i="1"/>
  <c r="E9539" i="1" s="1"/>
  <c r="E9538" i="1"/>
  <c r="D9538" i="1"/>
  <c r="D9537" i="1"/>
  <c r="E9537" i="1" s="1"/>
  <c r="E9536" i="1"/>
  <c r="D9536" i="1"/>
  <c r="E9535" i="1"/>
  <c r="D9535" i="1"/>
  <c r="E9534" i="1"/>
  <c r="D9534" i="1"/>
  <c r="D9533" i="1"/>
  <c r="E9533" i="1" s="1"/>
  <c r="D9532" i="1"/>
  <c r="E9532" i="1" s="1"/>
  <c r="E9531" i="1"/>
  <c r="D9531" i="1"/>
  <c r="E9530" i="1"/>
  <c r="D9530" i="1"/>
  <c r="D9529" i="1"/>
  <c r="E9529" i="1" s="1"/>
  <c r="E9528" i="1"/>
  <c r="D9528" i="1"/>
  <c r="D9527" i="1"/>
  <c r="E9527" i="1" s="1"/>
  <c r="E9526" i="1"/>
  <c r="D9526" i="1"/>
  <c r="D9525" i="1"/>
  <c r="E9525" i="1" s="1"/>
  <c r="E9524" i="1"/>
  <c r="D9524" i="1"/>
  <c r="D9523" i="1"/>
  <c r="E9523" i="1" s="1"/>
  <c r="E9522" i="1"/>
  <c r="D9522" i="1"/>
  <c r="D9521" i="1"/>
  <c r="E9521" i="1" s="1"/>
  <c r="E9520" i="1"/>
  <c r="D9520" i="1"/>
  <c r="E9519" i="1"/>
  <c r="D9519" i="1"/>
  <c r="E9518" i="1"/>
  <c r="D9518" i="1"/>
  <c r="D9517" i="1"/>
  <c r="E9517" i="1" s="1"/>
  <c r="D9516" i="1"/>
  <c r="E9516" i="1" s="1"/>
  <c r="D9515" i="1"/>
  <c r="E9515" i="1" s="1"/>
  <c r="E9514" i="1"/>
  <c r="D9514" i="1"/>
  <c r="D9513" i="1"/>
  <c r="E9513" i="1" s="1"/>
  <c r="E9512" i="1"/>
  <c r="D9512" i="1"/>
  <c r="E9511" i="1"/>
  <c r="D9511" i="1"/>
  <c r="E9510" i="1"/>
  <c r="D9510" i="1"/>
  <c r="D9509" i="1"/>
  <c r="E9509" i="1" s="1"/>
  <c r="D9508" i="1"/>
  <c r="E9508" i="1" s="1"/>
  <c r="E9507" i="1"/>
  <c r="D9507" i="1"/>
  <c r="E9506" i="1"/>
  <c r="D9506" i="1"/>
  <c r="D9505" i="1"/>
  <c r="E9505" i="1" s="1"/>
  <c r="D9504" i="1"/>
  <c r="E9504" i="1" s="1"/>
  <c r="D9503" i="1"/>
  <c r="E9503" i="1" s="1"/>
  <c r="E9502" i="1"/>
  <c r="D9502" i="1"/>
  <c r="D9501" i="1"/>
  <c r="E9501" i="1" s="1"/>
  <c r="D9500" i="1"/>
  <c r="E9500" i="1" s="1"/>
  <c r="E9499" i="1"/>
  <c r="D9499" i="1"/>
  <c r="E9498" i="1"/>
  <c r="D9498" i="1"/>
  <c r="D9497" i="1"/>
  <c r="E9497" i="1" s="1"/>
  <c r="D9496" i="1"/>
  <c r="E9496" i="1" s="1"/>
  <c r="E9495" i="1"/>
  <c r="D9495" i="1"/>
  <c r="E9494" i="1"/>
  <c r="D9494" i="1"/>
  <c r="D9493" i="1"/>
  <c r="E9493" i="1" s="1"/>
  <c r="E9492" i="1"/>
  <c r="D9492" i="1"/>
  <c r="D9491" i="1"/>
  <c r="E9491" i="1" s="1"/>
  <c r="E9490" i="1"/>
  <c r="D9490" i="1"/>
  <c r="D9489" i="1"/>
  <c r="E9489" i="1" s="1"/>
  <c r="E9488" i="1"/>
  <c r="D9488" i="1"/>
  <c r="D9487" i="1"/>
  <c r="E9487" i="1" s="1"/>
  <c r="E9486" i="1"/>
  <c r="D9486" i="1"/>
  <c r="D9485" i="1"/>
  <c r="E9485" i="1" s="1"/>
  <c r="D9484" i="1"/>
  <c r="E9484" i="1" s="1"/>
  <c r="E9483" i="1"/>
  <c r="D9483" i="1"/>
  <c r="E9482" i="1"/>
  <c r="D9482" i="1"/>
  <c r="D9481" i="1"/>
  <c r="E9481" i="1" s="1"/>
  <c r="D9480" i="1"/>
  <c r="E9480" i="1" s="1"/>
  <c r="D9479" i="1"/>
  <c r="E9479" i="1" s="1"/>
  <c r="E9478" i="1"/>
  <c r="D9478" i="1"/>
  <c r="D9477" i="1"/>
  <c r="E9477" i="1" s="1"/>
  <c r="E9476" i="1"/>
  <c r="D9476" i="1"/>
  <c r="D9475" i="1"/>
  <c r="E9475" i="1" s="1"/>
  <c r="E9474" i="1"/>
  <c r="D9474" i="1"/>
  <c r="D9473" i="1"/>
  <c r="E9473" i="1" s="1"/>
  <c r="E9472" i="1"/>
  <c r="D9472" i="1"/>
  <c r="E9471" i="1"/>
  <c r="D9471" i="1"/>
  <c r="E9470" i="1"/>
  <c r="D9470" i="1"/>
  <c r="D9469" i="1"/>
  <c r="E9469" i="1" s="1"/>
  <c r="E9468" i="1"/>
  <c r="D9468" i="1"/>
  <c r="D9467" i="1"/>
  <c r="E9467" i="1" s="1"/>
  <c r="E9466" i="1"/>
  <c r="D9466" i="1"/>
  <c r="D9465" i="1"/>
  <c r="E9465" i="1" s="1"/>
  <c r="E9464" i="1"/>
  <c r="D9464" i="1"/>
  <c r="E9463" i="1"/>
  <c r="D9463" i="1"/>
  <c r="E9462" i="1"/>
  <c r="D9462" i="1"/>
  <c r="D9461" i="1"/>
  <c r="E9461" i="1" s="1"/>
  <c r="D9460" i="1"/>
  <c r="E9460" i="1" s="1"/>
  <c r="E9459" i="1"/>
  <c r="D9459" i="1"/>
  <c r="E9458" i="1"/>
  <c r="D9458" i="1"/>
  <c r="D9457" i="1"/>
  <c r="E9457" i="1" s="1"/>
  <c r="E9456" i="1"/>
  <c r="D9456" i="1"/>
  <c r="D9455" i="1"/>
  <c r="E9455" i="1" s="1"/>
  <c r="E9454" i="1"/>
  <c r="D9454" i="1"/>
  <c r="D9453" i="1"/>
  <c r="E9453" i="1" s="1"/>
  <c r="E9452" i="1"/>
  <c r="D9452" i="1"/>
  <c r="D9451" i="1"/>
  <c r="E9451" i="1" s="1"/>
  <c r="E9450" i="1"/>
  <c r="D9450" i="1"/>
  <c r="D9449" i="1"/>
  <c r="E9449" i="1" s="1"/>
  <c r="E9448" i="1"/>
  <c r="D9448" i="1"/>
  <c r="E9447" i="1"/>
  <c r="D9447" i="1"/>
  <c r="E9446" i="1"/>
  <c r="D9446" i="1"/>
  <c r="D9445" i="1"/>
  <c r="E9445" i="1" s="1"/>
  <c r="D9444" i="1"/>
  <c r="E9444" i="1" s="1"/>
  <c r="D9443" i="1"/>
  <c r="E9443" i="1" s="1"/>
  <c r="E9442" i="1"/>
  <c r="D9442" i="1"/>
  <c r="D9441" i="1"/>
  <c r="E9441" i="1" s="1"/>
  <c r="E9440" i="1"/>
  <c r="D9440" i="1"/>
  <c r="E9439" i="1"/>
  <c r="D9439" i="1"/>
  <c r="E9438" i="1"/>
  <c r="D9438" i="1"/>
  <c r="D9437" i="1"/>
  <c r="E9437" i="1" s="1"/>
  <c r="D9436" i="1"/>
  <c r="E9436" i="1" s="1"/>
  <c r="E9435" i="1"/>
  <c r="D9435" i="1"/>
  <c r="E9434" i="1"/>
  <c r="D9434" i="1"/>
  <c r="D9433" i="1"/>
  <c r="E9433" i="1" s="1"/>
  <c r="D9432" i="1"/>
  <c r="E9432" i="1" s="1"/>
  <c r="D9431" i="1"/>
  <c r="E9431" i="1" s="1"/>
  <c r="E9430" i="1"/>
  <c r="D9430" i="1"/>
  <c r="D9429" i="1"/>
  <c r="E9429" i="1" s="1"/>
  <c r="D9428" i="1"/>
  <c r="E9428" i="1" s="1"/>
  <c r="E9427" i="1"/>
  <c r="D9427" i="1"/>
  <c r="E9426" i="1"/>
  <c r="D9426" i="1"/>
  <c r="D9425" i="1"/>
  <c r="E9425" i="1" s="1"/>
  <c r="D9424" i="1"/>
  <c r="E9424" i="1" s="1"/>
  <c r="E9423" i="1"/>
  <c r="D9423" i="1"/>
  <c r="E9422" i="1"/>
  <c r="D9422" i="1"/>
  <c r="D9421" i="1"/>
  <c r="E9421" i="1" s="1"/>
  <c r="E9420" i="1"/>
  <c r="D9420" i="1"/>
  <c r="D9419" i="1"/>
  <c r="E9419" i="1" s="1"/>
  <c r="E9418" i="1"/>
  <c r="D9418" i="1"/>
  <c r="D9417" i="1"/>
  <c r="E9417" i="1" s="1"/>
  <c r="E9416" i="1"/>
  <c r="D9416" i="1"/>
  <c r="D9415" i="1"/>
  <c r="E9415" i="1" s="1"/>
  <c r="D9414" i="1"/>
  <c r="E9414" i="1" s="1"/>
  <c r="D9413" i="1"/>
  <c r="E9413" i="1" s="1"/>
  <c r="D9412" i="1"/>
  <c r="E9412" i="1" s="1"/>
  <c r="E9411" i="1"/>
  <c r="D9411" i="1"/>
  <c r="E9410" i="1"/>
  <c r="D9410" i="1"/>
  <c r="D9409" i="1"/>
  <c r="E9409" i="1" s="1"/>
  <c r="D9408" i="1"/>
  <c r="E9408" i="1" s="1"/>
  <c r="D9407" i="1"/>
  <c r="E9407" i="1" s="1"/>
  <c r="E9406" i="1"/>
  <c r="D9406" i="1"/>
  <c r="D9405" i="1"/>
  <c r="E9405" i="1" s="1"/>
  <c r="E9404" i="1"/>
  <c r="D9404" i="1"/>
  <c r="D9403" i="1"/>
  <c r="E9403" i="1" s="1"/>
  <c r="E9402" i="1"/>
  <c r="D9402" i="1"/>
  <c r="D9401" i="1"/>
  <c r="E9401" i="1" s="1"/>
  <c r="E9400" i="1"/>
  <c r="D9400" i="1"/>
  <c r="E9399" i="1"/>
  <c r="D9399" i="1"/>
  <c r="E9398" i="1"/>
  <c r="D9398" i="1"/>
  <c r="D9397" i="1"/>
  <c r="E9397" i="1" s="1"/>
  <c r="E9396" i="1"/>
  <c r="D9396" i="1"/>
  <c r="D9395" i="1"/>
  <c r="E9395" i="1" s="1"/>
  <c r="E9394" i="1"/>
  <c r="D9394" i="1"/>
  <c r="D9393" i="1"/>
  <c r="E9393" i="1" s="1"/>
  <c r="E9392" i="1"/>
  <c r="D9392" i="1"/>
  <c r="E9391" i="1"/>
  <c r="D9391" i="1"/>
  <c r="E9390" i="1"/>
  <c r="D9390" i="1"/>
  <c r="D9389" i="1"/>
  <c r="E9389" i="1" s="1"/>
  <c r="D9388" i="1"/>
  <c r="E9388" i="1" s="1"/>
  <c r="E9387" i="1"/>
  <c r="D9387" i="1"/>
  <c r="E9386" i="1"/>
  <c r="D9386" i="1"/>
  <c r="D9385" i="1"/>
  <c r="E9385" i="1" s="1"/>
  <c r="E9384" i="1"/>
  <c r="D9384" i="1"/>
  <c r="D9383" i="1"/>
  <c r="E9383" i="1" s="1"/>
  <c r="E9382" i="1"/>
  <c r="D9382" i="1"/>
  <c r="D9381" i="1"/>
  <c r="E9381" i="1" s="1"/>
  <c r="E9380" i="1"/>
  <c r="D9380" i="1"/>
  <c r="D9379" i="1"/>
  <c r="E9379" i="1" s="1"/>
  <c r="E9378" i="1"/>
  <c r="D9378" i="1"/>
  <c r="D9377" i="1"/>
  <c r="E9377" i="1" s="1"/>
  <c r="E9376" i="1"/>
  <c r="D9376" i="1"/>
  <c r="E9375" i="1"/>
  <c r="D9375" i="1"/>
  <c r="E9374" i="1"/>
  <c r="D9374" i="1"/>
  <c r="D9373" i="1"/>
  <c r="E9373" i="1" s="1"/>
  <c r="D9372" i="1"/>
  <c r="E9372" i="1" s="1"/>
  <c r="D9371" i="1"/>
  <c r="E9371" i="1" s="1"/>
  <c r="E9370" i="1"/>
  <c r="D9370" i="1"/>
  <c r="D9369" i="1"/>
  <c r="E9369" i="1" s="1"/>
  <c r="E9368" i="1"/>
  <c r="D9368" i="1"/>
  <c r="E9367" i="1"/>
  <c r="D9367" i="1"/>
  <c r="E9366" i="1"/>
  <c r="D9366" i="1"/>
  <c r="D9365" i="1"/>
  <c r="E9365" i="1" s="1"/>
  <c r="D9364" i="1"/>
  <c r="E9364" i="1" s="1"/>
  <c r="E9363" i="1"/>
  <c r="D9363" i="1"/>
  <c r="E9362" i="1"/>
  <c r="D9362" i="1"/>
  <c r="D9361" i="1"/>
  <c r="E9361" i="1" s="1"/>
  <c r="D9360" i="1"/>
  <c r="E9360" i="1" s="1"/>
  <c r="D9359" i="1"/>
  <c r="E9359" i="1" s="1"/>
  <c r="E9358" i="1"/>
  <c r="D9358" i="1"/>
  <c r="D9357" i="1"/>
  <c r="E9357" i="1" s="1"/>
  <c r="D9356" i="1"/>
  <c r="E9356" i="1" s="1"/>
  <c r="E9355" i="1"/>
  <c r="D9355" i="1"/>
  <c r="E9354" i="1"/>
  <c r="D9354" i="1"/>
  <c r="D9353" i="1"/>
  <c r="E9353" i="1" s="1"/>
  <c r="D9352" i="1"/>
  <c r="E9352" i="1" s="1"/>
  <c r="E9351" i="1"/>
  <c r="D9351" i="1"/>
  <c r="E9350" i="1"/>
  <c r="D9350" i="1"/>
  <c r="D9349" i="1"/>
  <c r="E9349" i="1" s="1"/>
  <c r="E9348" i="1"/>
  <c r="D9348" i="1"/>
  <c r="D9347" i="1"/>
  <c r="E9347" i="1" s="1"/>
  <c r="E9346" i="1"/>
  <c r="D9346" i="1"/>
  <c r="D9345" i="1"/>
  <c r="E9345" i="1" s="1"/>
  <c r="E9344" i="1"/>
  <c r="D9344" i="1"/>
  <c r="D9343" i="1"/>
  <c r="E9343" i="1" s="1"/>
  <c r="D9342" i="1"/>
  <c r="E9342" i="1" s="1"/>
  <c r="D9341" i="1"/>
  <c r="E9341" i="1" s="1"/>
  <c r="D9340" i="1"/>
  <c r="E9340" i="1" s="1"/>
  <c r="E9339" i="1"/>
  <c r="D9339" i="1"/>
  <c r="E9338" i="1"/>
  <c r="D9338" i="1"/>
  <c r="D9337" i="1"/>
  <c r="E9337" i="1" s="1"/>
  <c r="D9336" i="1"/>
  <c r="E9336" i="1" s="1"/>
  <c r="D9335" i="1"/>
  <c r="E9335" i="1" s="1"/>
  <c r="E9334" i="1"/>
  <c r="D9334" i="1"/>
  <c r="D9333" i="1"/>
  <c r="E9333" i="1" s="1"/>
  <c r="E9332" i="1"/>
  <c r="D9332" i="1"/>
  <c r="D9331" i="1"/>
  <c r="E9331" i="1" s="1"/>
  <c r="E9330" i="1"/>
  <c r="D9330" i="1"/>
  <c r="D9329" i="1"/>
  <c r="E9329" i="1" s="1"/>
  <c r="E9328" i="1"/>
  <c r="D9328" i="1"/>
  <c r="E9327" i="1"/>
  <c r="D9327" i="1"/>
  <c r="E9326" i="1"/>
  <c r="D9326" i="1"/>
  <c r="D9325" i="1"/>
  <c r="E9325" i="1" s="1"/>
  <c r="E9324" i="1"/>
  <c r="D9324" i="1"/>
  <c r="D9323" i="1"/>
  <c r="E9323" i="1" s="1"/>
  <c r="E9322" i="1"/>
  <c r="D9322" i="1"/>
  <c r="D9321" i="1"/>
  <c r="E9321" i="1" s="1"/>
  <c r="E9320" i="1"/>
  <c r="D9320" i="1"/>
  <c r="E9319" i="1"/>
  <c r="D9319" i="1"/>
  <c r="E9318" i="1"/>
  <c r="D9318" i="1"/>
  <c r="D9317" i="1"/>
  <c r="E9317" i="1" s="1"/>
  <c r="D9316" i="1"/>
  <c r="E9316" i="1" s="1"/>
  <c r="E9315" i="1"/>
  <c r="D9315" i="1"/>
  <c r="E9314" i="1"/>
  <c r="D9314" i="1"/>
  <c r="D9313" i="1"/>
  <c r="E9313" i="1" s="1"/>
  <c r="E9312" i="1"/>
  <c r="D9312" i="1"/>
  <c r="D9311" i="1"/>
  <c r="E9311" i="1" s="1"/>
  <c r="E9310" i="1"/>
  <c r="D9310" i="1"/>
  <c r="D9309" i="1"/>
  <c r="E9309" i="1" s="1"/>
  <c r="E9308" i="1"/>
  <c r="D9308" i="1"/>
  <c r="D9307" i="1"/>
  <c r="E9307" i="1" s="1"/>
  <c r="E9306" i="1"/>
  <c r="D9306" i="1"/>
  <c r="D9305" i="1"/>
  <c r="E9305" i="1" s="1"/>
  <c r="E9304" i="1"/>
  <c r="D9304" i="1"/>
  <c r="E9303" i="1"/>
  <c r="D9303" i="1"/>
  <c r="E9302" i="1"/>
  <c r="D9302" i="1"/>
  <c r="D9301" i="1"/>
  <c r="E9301" i="1" s="1"/>
  <c r="D9300" i="1"/>
  <c r="E9300" i="1" s="1"/>
  <c r="D9299" i="1"/>
  <c r="E9299" i="1" s="1"/>
  <c r="E9298" i="1"/>
  <c r="D9298" i="1"/>
  <c r="D9297" i="1"/>
  <c r="E9297" i="1" s="1"/>
  <c r="E9296" i="1"/>
  <c r="D9296" i="1"/>
  <c r="E9295" i="1"/>
  <c r="D9295" i="1"/>
  <c r="E9294" i="1"/>
  <c r="D9294" i="1"/>
  <c r="D9293" i="1"/>
  <c r="E9293" i="1" s="1"/>
  <c r="D9292" i="1"/>
  <c r="E9292" i="1" s="1"/>
  <c r="E9291" i="1"/>
  <c r="D9291" i="1"/>
  <c r="E9290" i="1"/>
  <c r="D9290" i="1"/>
  <c r="D9289" i="1"/>
  <c r="E9289" i="1" s="1"/>
  <c r="D9288" i="1"/>
  <c r="E9288" i="1" s="1"/>
  <c r="D9287" i="1"/>
  <c r="E9287" i="1" s="1"/>
  <c r="E9286" i="1"/>
  <c r="D9286" i="1"/>
  <c r="D9285" i="1"/>
  <c r="E9285" i="1" s="1"/>
  <c r="D9284" i="1"/>
  <c r="E9284" i="1" s="1"/>
  <c r="E9283" i="1"/>
  <c r="D9283" i="1"/>
  <c r="E9282" i="1"/>
  <c r="D9282" i="1"/>
  <c r="D9281" i="1"/>
  <c r="E9281" i="1" s="1"/>
  <c r="D9280" i="1"/>
  <c r="E9280" i="1" s="1"/>
  <c r="E9279" i="1"/>
  <c r="D9279" i="1"/>
  <c r="E9278" i="1"/>
  <c r="D9278" i="1"/>
  <c r="D9277" i="1"/>
  <c r="E9277" i="1" s="1"/>
  <c r="E9276" i="1"/>
  <c r="D9276" i="1"/>
  <c r="D9275" i="1"/>
  <c r="E9275" i="1" s="1"/>
  <c r="E9274" i="1"/>
  <c r="D9274" i="1"/>
  <c r="D9273" i="1"/>
  <c r="E9273" i="1" s="1"/>
  <c r="E9272" i="1"/>
  <c r="D9272" i="1"/>
  <c r="D9271" i="1"/>
  <c r="E9271" i="1" s="1"/>
  <c r="D9270" i="1"/>
  <c r="E9270" i="1" s="1"/>
  <c r="D9269" i="1"/>
  <c r="E9269" i="1" s="1"/>
  <c r="E9268" i="1"/>
  <c r="D9268" i="1"/>
  <c r="E9267" i="1"/>
  <c r="D9267" i="1"/>
  <c r="E9266" i="1"/>
  <c r="D9266" i="1"/>
  <c r="D9265" i="1"/>
  <c r="E9265" i="1" s="1"/>
  <c r="D9264" i="1"/>
  <c r="E9264" i="1" s="1"/>
  <c r="D9263" i="1"/>
  <c r="E9263" i="1" s="1"/>
  <c r="E9262" i="1"/>
  <c r="D9262" i="1"/>
  <c r="D9261" i="1"/>
  <c r="E9261" i="1" s="1"/>
  <c r="E9260" i="1"/>
  <c r="D9260" i="1"/>
  <c r="D9259" i="1"/>
  <c r="E9259" i="1" s="1"/>
  <c r="E9258" i="1"/>
  <c r="D9258" i="1"/>
  <c r="D9257" i="1"/>
  <c r="E9257" i="1" s="1"/>
  <c r="E9256" i="1"/>
  <c r="D9256" i="1"/>
  <c r="E9255" i="1"/>
  <c r="D9255" i="1"/>
  <c r="E9254" i="1"/>
  <c r="D9254" i="1"/>
  <c r="D9253" i="1"/>
  <c r="E9253" i="1" s="1"/>
  <c r="E9252" i="1"/>
  <c r="D9252" i="1"/>
  <c r="D9251" i="1"/>
  <c r="E9251" i="1" s="1"/>
  <c r="E9250" i="1"/>
  <c r="D9250" i="1"/>
  <c r="D9249" i="1"/>
  <c r="E9249" i="1" s="1"/>
  <c r="E9248" i="1"/>
  <c r="D9248" i="1"/>
  <c r="E9247" i="1"/>
  <c r="D9247" i="1"/>
  <c r="E9246" i="1"/>
  <c r="D9246" i="1"/>
  <c r="D9245" i="1"/>
  <c r="E9245" i="1" s="1"/>
  <c r="D9244" i="1"/>
  <c r="E9244" i="1" s="1"/>
  <c r="E9243" i="1"/>
  <c r="D9243" i="1"/>
  <c r="E9242" i="1"/>
  <c r="D9242" i="1"/>
  <c r="D9241" i="1"/>
  <c r="E9241" i="1" s="1"/>
  <c r="E9240" i="1"/>
  <c r="D9240" i="1"/>
  <c r="D9239" i="1"/>
  <c r="E9239" i="1" s="1"/>
  <c r="E9238" i="1"/>
  <c r="D9238" i="1"/>
  <c r="D9237" i="1"/>
  <c r="E9237" i="1" s="1"/>
  <c r="E9236" i="1"/>
  <c r="D9236" i="1"/>
  <c r="D9235" i="1"/>
  <c r="E9235" i="1" s="1"/>
  <c r="E9234" i="1"/>
  <c r="D9234" i="1"/>
  <c r="D9233" i="1"/>
  <c r="E9233" i="1" s="1"/>
  <c r="E9232" i="1"/>
  <c r="D9232" i="1"/>
  <c r="E9231" i="1"/>
  <c r="D9231" i="1"/>
  <c r="E9230" i="1"/>
  <c r="D9230" i="1"/>
  <c r="D9229" i="1"/>
  <c r="E9229" i="1" s="1"/>
  <c r="D9228" i="1"/>
  <c r="E9228" i="1" s="1"/>
  <c r="D9227" i="1"/>
  <c r="E9227" i="1" s="1"/>
  <c r="E9226" i="1"/>
  <c r="D9226" i="1"/>
  <c r="D9225" i="1"/>
  <c r="E9225" i="1" s="1"/>
  <c r="E9224" i="1"/>
  <c r="D9224" i="1"/>
  <c r="E9223" i="1"/>
  <c r="D9223" i="1"/>
  <c r="E9222" i="1"/>
  <c r="D9222" i="1"/>
  <c r="D9221" i="1"/>
  <c r="E9221" i="1" s="1"/>
  <c r="D9220" i="1"/>
  <c r="E9220" i="1" s="1"/>
  <c r="D9219" i="1"/>
  <c r="E9219" i="1" s="1"/>
  <c r="E9218" i="1"/>
  <c r="D9218" i="1"/>
  <c r="D9217" i="1"/>
  <c r="E9217" i="1" s="1"/>
  <c r="D9216" i="1"/>
  <c r="E9216" i="1" s="1"/>
  <c r="D9215" i="1"/>
  <c r="E9215" i="1" s="1"/>
  <c r="E9214" i="1"/>
  <c r="D9214" i="1"/>
  <c r="D9213" i="1"/>
  <c r="E9213" i="1" s="1"/>
  <c r="D9212" i="1"/>
  <c r="E9212" i="1" s="1"/>
  <c r="E9211" i="1"/>
  <c r="D9211" i="1"/>
  <c r="E9210" i="1"/>
  <c r="D9210" i="1"/>
  <c r="D9209" i="1"/>
  <c r="E9209" i="1" s="1"/>
  <c r="D9208" i="1"/>
  <c r="E9208" i="1" s="1"/>
  <c r="E9207" i="1"/>
  <c r="D9207" i="1"/>
  <c r="E9206" i="1"/>
  <c r="D9206" i="1"/>
  <c r="D9205" i="1"/>
  <c r="E9205" i="1" s="1"/>
  <c r="E9204" i="1"/>
  <c r="D9204" i="1"/>
  <c r="D9203" i="1"/>
  <c r="E9203" i="1" s="1"/>
  <c r="E9202" i="1"/>
  <c r="D9202" i="1"/>
  <c r="D9201" i="1"/>
  <c r="E9201" i="1" s="1"/>
  <c r="E9200" i="1"/>
  <c r="D9200" i="1"/>
  <c r="D9199" i="1"/>
  <c r="E9199" i="1" s="1"/>
  <c r="D9198" i="1"/>
  <c r="E9198" i="1" s="1"/>
  <c r="D9197" i="1"/>
  <c r="E9197" i="1" s="1"/>
  <c r="E9196" i="1"/>
  <c r="D9196" i="1"/>
  <c r="D9195" i="1"/>
  <c r="E9195" i="1" s="1"/>
  <c r="E9194" i="1"/>
  <c r="D9194" i="1"/>
  <c r="D9193" i="1"/>
  <c r="E9193" i="1" s="1"/>
  <c r="D9192" i="1"/>
  <c r="E9192" i="1" s="1"/>
  <c r="D9191" i="1"/>
  <c r="E9191" i="1" s="1"/>
  <c r="E9190" i="1"/>
  <c r="D9190" i="1"/>
  <c r="D9189" i="1"/>
  <c r="E9189" i="1" s="1"/>
  <c r="D9188" i="1"/>
  <c r="E9188" i="1" s="1"/>
  <c r="D9187" i="1"/>
  <c r="E9187" i="1" s="1"/>
  <c r="E9186" i="1"/>
  <c r="D9186" i="1"/>
  <c r="D9185" i="1"/>
  <c r="E9185" i="1" s="1"/>
  <c r="E9184" i="1"/>
  <c r="D9184" i="1"/>
  <c r="D9183" i="1"/>
  <c r="E9183" i="1" s="1"/>
  <c r="E9182" i="1"/>
  <c r="D9182" i="1"/>
  <c r="D9181" i="1"/>
  <c r="E9181" i="1" s="1"/>
  <c r="E9180" i="1"/>
  <c r="D9180" i="1"/>
  <c r="D9179" i="1"/>
  <c r="E9179" i="1" s="1"/>
  <c r="E9178" i="1"/>
  <c r="D9178" i="1"/>
  <c r="D9177" i="1"/>
  <c r="E9177" i="1" s="1"/>
  <c r="E9176" i="1"/>
  <c r="D9176" i="1"/>
  <c r="E9175" i="1"/>
  <c r="D9175" i="1"/>
  <c r="D9174" i="1"/>
  <c r="E9174" i="1" s="1"/>
  <c r="D9173" i="1"/>
  <c r="E9173" i="1" s="1"/>
  <c r="D9172" i="1"/>
  <c r="E9172" i="1" s="1"/>
  <c r="E9171" i="1"/>
  <c r="D9171" i="1"/>
  <c r="E9170" i="1"/>
  <c r="D9170" i="1"/>
  <c r="D9169" i="1"/>
  <c r="E9169" i="1" s="1"/>
  <c r="E9168" i="1"/>
  <c r="D9168" i="1"/>
  <c r="D9167" i="1"/>
  <c r="E9167" i="1" s="1"/>
  <c r="E9166" i="1"/>
  <c r="D9166" i="1"/>
  <c r="D9165" i="1"/>
  <c r="E9165" i="1" s="1"/>
  <c r="D9164" i="1"/>
  <c r="E9164" i="1" s="1"/>
  <c r="D9163" i="1"/>
  <c r="E9163" i="1" s="1"/>
  <c r="E9162" i="1"/>
  <c r="D9162" i="1"/>
  <c r="D9161" i="1"/>
  <c r="E9161" i="1" s="1"/>
  <c r="E9160" i="1"/>
  <c r="D9160" i="1"/>
  <c r="E9159" i="1"/>
  <c r="D9159" i="1"/>
  <c r="E9158" i="1"/>
  <c r="D9158" i="1"/>
  <c r="D9157" i="1"/>
  <c r="E9157" i="1" s="1"/>
  <c r="D9156" i="1"/>
  <c r="E9156" i="1" s="1"/>
  <c r="D9155" i="1"/>
  <c r="E9155" i="1" s="1"/>
  <c r="E9154" i="1"/>
  <c r="D9154" i="1"/>
  <c r="D9153" i="1"/>
  <c r="E9153" i="1" s="1"/>
  <c r="E9152" i="1"/>
  <c r="D9152" i="1"/>
  <c r="E9151" i="1"/>
  <c r="D9151" i="1"/>
  <c r="D9150" i="1"/>
  <c r="E9150" i="1" s="1"/>
  <c r="D9149" i="1"/>
  <c r="E9149" i="1" s="1"/>
  <c r="D9148" i="1"/>
  <c r="E9148" i="1" s="1"/>
  <c r="D9147" i="1"/>
  <c r="E9147" i="1" s="1"/>
  <c r="E9146" i="1"/>
  <c r="D9146" i="1"/>
  <c r="D9145" i="1"/>
  <c r="E9145" i="1" s="1"/>
  <c r="D9144" i="1"/>
  <c r="E9144" i="1" s="1"/>
  <c r="D9143" i="1"/>
  <c r="E9143" i="1" s="1"/>
  <c r="E9142" i="1"/>
  <c r="D9142" i="1"/>
  <c r="E9141" i="1"/>
  <c r="D9141" i="1"/>
  <c r="D9140" i="1"/>
  <c r="E9140" i="1" s="1"/>
  <c r="E9139" i="1"/>
  <c r="D9139" i="1"/>
  <c r="D9138" i="1"/>
  <c r="E9138" i="1" s="1"/>
  <c r="D9137" i="1"/>
  <c r="E9137" i="1" s="1"/>
  <c r="D9136" i="1"/>
  <c r="E9136" i="1" s="1"/>
  <c r="D9135" i="1"/>
  <c r="E9135" i="1" s="1"/>
  <c r="E9134" i="1"/>
  <c r="D9134" i="1"/>
  <c r="D9133" i="1"/>
  <c r="E9133" i="1" s="1"/>
  <c r="E9132" i="1"/>
  <c r="D9132" i="1"/>
  <c r="D9131" i="1"/>
  <c r="E9131" i="1" s="1"/>
  <c r="E9130" i="1"/>
  <c r="D9130" i="1"/>
  <c r="E9129" i="1"/>
  <c r="D9129" i="1"/>
  <c r="D9128" i="1"/>
  <c r="E9128" i="1" s="1"/>
  <c r="D9127" i="1"/>
  <c r="E9127" i="1" s="1"/>
  <c r="E9126" i="1"/>
  <c r="D9126" i="1"/>
  <c r="D9125" i="1"/>
  <c r="E9125" i="1" s="1"/>
  <c r="D9124" i="1"/>
  <c r="E9124" i="1" s="1"/>
  <c r="D9123" i="1"/>
  <c r="E9123" i="1" s="1"/>
  <c r="E9122" i="1"/>
  <c r="D9122" i="1"/>
  <c r="D9121" i="1"/>
  <c r="E9121" i="1" s="1"/>
  <c r="E9120" i="1"/>
  <c r="D9120" i="1"/>
  <c r="D9119" i="1"/>
  <c r="E9119" i="1" s="1"/>
  <c r="E9118" i="1"/>
  <c r="D9118" i="1"/>
  <c r="E9117" i="1"/>
  <c r="D9117" i="1"/>
  <c r="D9116" i="1"/>
  <c r="E9116" i="1" s="1"/>
  <c r="E9115" i="1"/>
  <c r="D9115" i="1"/>
  <c r="E9114" i="1"/>
  <c r="D9114" i="1"/>
  <c r="D9113" i="1"/>
  <c r="E9113" i="1" s="1"/>
  <c r="E9112" i="1"/>
  <c r="D9112" i="1"/>
  <c r="E9111" i="1"/>
  <c r="D9111" i="1"/>
  <c r="E9110" i="1"/>
  <c r="D9110" i="1"/>
  <c r="D9109" i="1"/>
  <c r="E9109" i="1" s="1"/>
  <c r="E9108" i="1"/>
  <c r="D9108" i="1"/>
  <c r="D9107" i="1"/>
  <c r="E9107" i="1" s="1"/>
  <c r="E9106" i="1"/>
  <c r="D9106" i="1"/>
  <c r="E9105" i="1"/>
  <c r="D9105" i="1"/>
  <c r="D9104" i="1"/>
  <c r="E9104" i="1" s="1"/>
  <c r="D9103" i="1"/>
  <c r="E9103" i="1" s="1"/>
  <c r="E9102" i="1"/>
  <c r="D9102" i="1"/>
  <c r="D9101" i="1"/>
  <c r="E9101" i="1" s="1"/>
  <c r="E9100" i="1"/>
  <c r="D9100" i="1"/>
  <c r="D9099" i="1"/>
  <c r="E9099" i="1" s="1"/>
  <c r="E9098" i="1"/>
  <c r="D9098" i="1"/>
  <c r="D9097" i="1"/>
  <c r="E9097" i="1" s="1"/>
  <c r="E9096" i="1"/>
  <c r="D9096" i="1"/>
  <c r="D9095" i="1"/>
  <c r="E9095" i="1" s="1"/>
  <c r="E9094" i="1"/>
  <c r="D9094" i="1"/>
  <c r="D9093" i="1"/>
  <c r="E9093" i="1" s="1"/>
  <c r="D9092" i="1"/>
  <c r="E9092" i="1" s="1"/>
  <c r="E9091" i="1"/>
  <c r="D9091" i="1"/>
  <c r="E9090" i="1"/>
  <c r="D9090" i="1"/>
  <c r="D9089" i="1"/>
  <c r="E9089" i="1" s="1"/>
  <c r="E9088" i="1"/>
  <c r="D9088" i="1"/>
  <c r="D9087" i="1"/>
  <c r="E9087" i="1" s="1"/>
  <c r="E9086" i="1"/>
  <c r="D9086" i="1"/>
  <c r="D9085" i="1"/>
  <c r="E9085" i="1" s="1"/>
  <c r="E9084" i="1"/>
  <c r="D9084" i="1"/>
  <c r="D9083" i="1"/>
  <c r="E9083" i="1" s="1"/>
  <c r="E9082" i="1"/>
  <c r="D9082" i="1"/>
  <c r="D9081" i="1"/>
  <c r="E9081" i="1" s="1"/>
  <c r="D9080" i="1"/>
  <c r="E9080" i="1" s="1"/>
  <c r="E9079" i="1"/>
  <c r="D9079" i="1"/>
  <c r="E9078" i="1"/>
  <c r="D9078" i="1"/>
  <c r="D9077" i="1"/>
  <c r="E9077" i="1" s="1"/>
  <c r="E9076" i="1"/>
  <c r="D9076" i="1"/>
  <c r="D9075" i="1"/>
  <c r="E9075" i="1" s="1"/>
  <c r="E9074" i="1"/>
  <c r="D9074" i="1"/>
  <c r="D9073" i="1"/>
  <c r="E9073" i="1" s="1"/>
  <c r="D9072" i="1"/>
  <c r="E9072" i="1" s="1"/>
  <c r="D9071" i="1"/>
  <c r="E9071" i="1" s="1"/>
  <c r="E9070" i="1"/>
  <c r="D9070" i="1"/>
  <c r="D9069" i="1"/>
  <c r="E9069" i="1" s="1"/>
  <c r="D9068" i="1"/>
  <c r="E9068" i="1" s="1"/>
  <c r="E9067" i="1"/>
  <c r="D9067" i="1"/>
  <c r="D9066" i="1"/>
  <c r="E9066" i="1" s="1"/>
  <c r="D9065" i="1"/>
  <c r="E9065" i="1" s="1"/>
  <c r="E9064" i="1"/>
  <c r="D9064" i="1"/>
  <c r="D9063" i="1"/>
  <c r="E9063" i="1" s="1"/>
  <c r="E9062" i="1"/>
  <c r="D9062" i="1"/>
  <c r="D9061" i="1"/>
  <c r="E9061" i="1" s="1"/>
  <c r="E9060" i="1"/>
  <c r="D9060" i="1"/>
  <c r="D9059" i="1"/>
  <c r="E9059" i="1" s="1"/>
  <c r="E9058" i="1"/>
  <c r="D9058" i="1"/>
  <c r="E9057" i="1"/>
  <c r="D9057" i="1"/>
  <c r="E9056" i="1"/>
  <c r="D9056" i="1"/>
  <c r="E9055" i="1"/>
  <c r="D9055" i="1"/>
  <c r="D9054" i="1"/>
  <c r="E9054" i="1" s="1"/>
  <c r="D9053" i="1"/>
  <c r="E9053" i="1" s="1"/>
  <c r="D9052" i="1"/>
  <c r="E9052" i="1" s="1"/>
  <c r="D9051" i="1"/>
  <c r="E9051" i="1" s="1"/>
  <c r="E9050" i="1"/>
  <c r="D9050" i="1"/>
  <c r="D9049" i="1"/>
  <c r="E9049" i="1" s="1"/>
  <c r="D9048" i="1"/>
  <c r="E9048" i="1" s="1"/>
  <c r="D9047" i="1"/>
  <c r="E9047" i="1" s="1"/>
  <c r="E9046" i="1"/>
  <c r="D9046" i="1"/>
  <c r="E9045" i="1"/>
  <c r="D9045" i="1"/>
  <c r="D9044" i="1"/>
  <c r="E9044" i="1" s="1"/>
  <c r="E9043" i="1"/>
  <c r="D9043" i="1"/>
  <c r="D9042" i="1"/>
  <c r="E9042" i="1" s="1"/>
  <c r="D9041" i="1"/>
  <c r="E9041" i="1" s="1"/>
  <c r="D9040" i="1"/>
  <c r="E9040" i="1" s="1"/>
  <c r="D9039" i="1"/>
  <c r="E9039" i="1" s="1"/>
  <c r="E9038" i="1"/>
  <c r="D9038" i="1"/>
  <c r="D9037" i="1"/>
  <c r="E9037" i="1" s="1"/>
  <c r="E9036" i="1"/>
  <c r="D9036" i="1"/>
  <c r="D9035" i="1"/>
  <c r="E9035" i="1" s="1"/>
  <c r="E9034" i="1"/>
  <c r="D9034" i="1"/>
  <c r="E9033" i="1"/>
  <c r="D9033" i="1"/>
  <c r="D9032" i="1"/>
  <c r="E9032" i="1" s="1"/>
  <c r="D9031" i="1"/>
  <c r="E9031" i="1" s="1"/>
  <c r="E9030" i="1"/>
  <c r="D9030" i="1"/>
  <c r="D9029" i="1"/>
  <c r="E9029" i="1" s="1"/>
  <c r="D9028" i="1"/>
  <c r="E9028" i="1" s="1"/>
  <c r="D9027" i="1"/>
  <c r="E9027" i="1" s="1"/>
  <c r="E9026" i="1"/>
  <c r="D9026" i="1"/>
  <c r="D9025" i="1"/>
  <c r="E9025" i="1" s="1"/>
  <c r="E9024" i="1"/>
  <c r="D9024" i="1"/>
  <c r="D9023" i="1"/>
  <c r="E9023" i="1" s="1"/>
  <c r="E9022" i="1"/>
  <c r="D9022" i="1"/>
  <c r="E9021" i="1"/>
  <c r="D9021" i="1"/>
  <c r="D9020" i="1"/>
  <c r="E9020" i="1" s="1"/>
  <c r="E9019" i="1"/>
  <c r="D9019" i="1"/>
  <c r="E9018" i="1"/>
  <c r="D9018" i="1"/>
  <c r="D9017" i="1"/>
  <c r="E9017" i="1" s="1"/>
  <c r="E9016" i="1"/>
  <c r="D9016" i="1"/>
  <c r="E9015" i="1"/>
  <c r="D9015" i="1"/>
  <c r="E9014" i="1"/>
  <c r="D9014" i="1"/>
  <c r="D9013" i="1"/>
  <c r="E9013" i="1" s="1"/>
  <c r="E9012" i="1"/>
  <c r="D9012" i="1"/>
  <c r="D9011" i="1"/>
  <c r="E9011" i="1" s="1"/>
  <c r="E9010" i="1"/>
  <c r="D9010" i="1"/>
  <c r="E9009" i="1"/>
  <c r="D9009" i="1"/>
  <c r="E9008" i="1"/>
  <c r="D9008" i="1"/>
  <c r="D9007" i="1"/>
  <c r="E9007" i="1" s="1"/>
  <c r="E9006" i="1"/>
  <c r="D9006" i="1"/>
  <c r="E9005" i="1"/>
  <c r="D9005" i="1"/>
  <c r="D9004" i="1"/>
  <c r="E9004" i="1" s="1"/>
  <c r="E9003" i="1"/>
  <c r="D9003" i="1"/>
  <c r="E9002" i="1"/>
  <c r="D9002" i="1"/>
  <c r="D9001" i="1"/>
  <c r="E9001" i="1" s="1"/>
  <c r="E9000" i="1"/>
  <c r="D9000" i="1"/>
  <c r="D8999" i="1"/>
  <c r="E8999" i="1" s="1"/>
  <c r="E8998" i="1"/>
  <c r="D8998" i="1"/>
  <c r="E8997" i="1"/>
  <c r="D8997" i="1"/>
  <c r="E8996" i="1"/>
  <c r="D8996" i="1"/>
  <c r="D8995" i="1"/>
  <c r="E8995" i="1" s="1"/>
  <c r="E8994" i="1"/>
  <c r="D8994" i="1"/>
  <c r="E8993" i="1"/>
  <c r="D8993" i="1"/>
  <c r="D8992" i="1"/>
  <c r="E8992" i="1" s="1"/>
  <c r="E8991" i="1"/>
  <c r="D8991" i="1"/>
  <c r="E8990" i="1"/>
  <c r="D8990" i="1"/>
  <c r="D8989" i="1"/>
  <c r="E8989" i="1" s="1"/>
  <c r="E8988" i="1"/>
  <c r="D8988" i="1"/>
  <c r="E8987" i="1"/>
  <c r="D8987" i="1"/>
  <c r="E8986" i="1"/>
  <c r="D8986" i="1"/>
  <c r="E8985" i="1"/>
  <c r="D8985" i="1"/>
  <c r="E8984" i="1"/>
  <c r="D8984" i="1"/>
  <c r="D8983" i="1"/>
  <c r="E8983" i="1" s="1"/>
  <c r="E8982" i="1"/>
  <c r="D8982" i="1"/>
  <c r="E8981" i="1"/>
  <c r="D8981" i="1"/>
  <c r="D8980" i="1"/>
  <c r="E8980" i="1" s="1"/>
  <c r="E8979" i="1"/>
  <c r="D8979" i="1"/>
  <c r="E8978" i="1"/>
  <c r="D8978" i="1"/>
  <c r="D8977" i="1"/>
  <c r="E8977" i="1" s="1"/>
  <c r="E8976" i="1"/>
  <c r="D8976" i="1"/>
  <c r="D8975" i="1"/>
  <c r="E8975" i="1" s="1"/>
  <c r="E8974" i="1"/>
  <c r="D8974" i="1"/>
  <c r="E8973" i="1"/>
  <c r="D8973" i="1"/>
  <c r="E8972" i="1"/>
  <c r="D8972" i="1"/>
  <c r="D8971" i="1"/>
  <c r="E8971" i="1" s="1"/>
  <c r="E8970" i="1"/>
  <c r="D8970" i="1"/>
  <c r="E8969" i="1"/>
  <c r="D8969" i="1"/>
  <c r="D8968" i="1"/>
  <c r="E8968" i="1" s="1"/>
  <c r="E8967" i="1"/>
  <c r="D8967" i="1"/>
  <c r="E8966" i="1"/>
  <c r="D8966" i="1"/>
  <c r="D8965" i="1"/>
  <c r="E8965" i="1" s="1"/>
  <c r="E8964" i="1"/>
  <c r="D8964" i="1"/>
  <c r="D8963" i="1"/>
  <c r="E8963" i="1" s="1"/>
  <c r="E8962" i="1"/>
  <c r="D8962" i="1"/>
  <c r="E8961" i="1"/>
  <c r="D8961" i="1"/>
  <c r="E8960" i="1"/>
  <c r="D8960" i="1"/>
  <c r="D8959" i="1"/>
  <c r="E8959" i="1" s="1"/>
  <c r="E8958" i="1"/>
  <c r="D8958" i="1"/>
  <c r="E8957" i="1"/>
  <c r="D8957" i="1"/>
  <c r="D8956" i="1"/>
  <c r="E8956" i="1" s="1"/>
  <c r="E8955" i="1"/>
  <c r="D8955" i="1"/>
  <c r="E8954" i="1"/>
  <c r="D8954" i="1"/>
  <c r="D8953" i="1"/>
  <c r="E8953" i="1" s="1"/>
  <c r="E8952" i="1"/>
  <c r="D8952" i="1"/>
  <c r="D8951" i="1"/>
  <c r="E8951" i="1" s="1"/>
  <c r="E8950" i="1"/>
  <c r="D8950" i="1"/>
  <c r="E8949" i="1"/>
  <c r="D8949" i="1"/>
  <c r="E8948" i="1"/>
  <c r="D8948" i="1"/>
  <c r="D8947" i="1"/>
  <c r="E8947" i="1" s="1"/>
  <c r="E8946" i="1"/>
  <c r="D8946" i="1"/>
  <c r="E8945" i="1"/>
  <c r="D8945" i="1"/>
  <c r="D8944" i="1"/>
  <c r="E8944" i="1" s="1"/>
  <c r="E8943" i="1"/>
  <c r="D8943" i="1"/>
  <c r="E8942" i="1"/>
  <c r="D8942" i="1"/>
  <c r="D8941" i="1"/>
  <c r="E8941" i="1" s="1"/>
  <c r="E8940" i="1"/>
  <c r="D8940" i="1"/>
  <c r="D8939" i="1"/>
  <c r="E8939" i="1" s="1"/>
  <c r="E8938" i="1"/>
  <c r="D8938" i="1"/>
  <c r="E8937" i="1"/>
  <c r="D8937" i="1"/>
  <c r="E8936" i="1"/>
  <c r="D8936" i="1"/>
  <c r="D8935" i="1"/>
  <c r="E8935" i="1" s="1"/>
  <c r="E8934" i="1"/>
  <c r="D8934" i="1"/>
  <c r="E8933" i="1"/>
  <c r="D8933" i="1"/>
  <c r="D8932" i="1"/>
  <c r="E8932" i="1" s="1"/>
  <c r="E8931" i="1"/>
  <c r="D8931" i="1"/>
  <c r="E8930" i="1"/>
  <c r="D8930" i="1"/>
  <c r="D8929" i="1"/>
  <c r="E8929" i="1" s="1"/>
  <c r="E8928" i="1"/>
  <c r="D8928" i="1"/>
  <c r="E8927" i="1"/>
  <c r="D8927" i="1"/>
  <c r="E8926" i="1"/>
  <c r="D8926" i="1"/>
  <c r="E8925" i="1"/>
  <c r="D8925" i="1"/>
  <c r="E8924" i="1"/>
  <c r="D8924" i="1"/>
  <c r="D8923" i="1"/>
  <c r="E8923" i="1" s="1"/>
  <c r="E8922" i="1"/>
  <c r="D8922" i="1"/>
  <c r="E8921" i="1"/>
  <c r="D8921" i="1"/>
  <c r="D8920" i="1"/>
  <c r="E8920" i="1" s="1"/>
  <c r="E8919" i="1"/>
  <c r="D8919" i="1"/>
  <c r="E8918" i="1"/>
  <c r="D8918" i="1"/>
  <c r="D8917" i="1"/>
  <c r="E8917" i="1" s="1"/>
  <c r="E8916" i="1"/>
  <c r="D8916" i="1"/>
  <c r="D8915" i="1"/>
  <c r="E8915" i="1" s="1"/>
  <c r="E8914" i="1"/>
  <c r="D8914" i="1"/>
  <c r="E8913" i="1"/>
  <c r="D8913" i="1"/>
  <c r="E8912" i="1"/>
  <c r="D8912" i="1"/>
  <c r="D8911" i="1"/>
  <c r="E8911" i="1" s="1"/>
  <c r="E8910" i="1"/>
  <c r="D8910" i="1"/>
  <c r="E8909" i="1"/>
  <c r="D8909" i="1"/>
  <c r="D8908" i="1"/>
  <c r="E8908" i="1" s="1"/>
  <c r="E8907" i="1"/>
  <c r="D8907" i="1"/>
  <c r="E8906" i="1"/>
  <c r="D8906" i="1"/>
  <c r="D8905" i="1"/>
  <c r="E8905" i="1" s="1"/>
  <c r="E8904" i="1"/>
  <c r="D8904" i="1"/>
  <c r="D8903" i="1"/>
  <c r="E8903" i="1" s="1"/>
  <c r="E8902" i="1"/>
  <c r="D8902" i="1"/>
  <c r="E8901" i="1"/>
  <c r="D8901" i="1"/>
  <c r="E8900" i="1"/>
  <c r="D8900" i="1"/>
  <c r="D8899" i="1"/>
  <c r="E8899" i="1" s="1"/>
  <c r="E8898" i="1"/>
  <c r="D8898" i="1"/>
  <c r="E8897" i="1"/>
  <c r="D8897" i="1"/>
  <c r="D8896" i="1"/>
  <c r="E8896" i="1" s="1"/>
  <c r="E8895" i="1"/>
  <c r="D8895" i="1"/>
  <c r="E8894" i="1"/>
  <c r="D8894" i="1"/>
  <c r="D8893" i="1"/>
  <c r="E8893" i="1" s="1"/>
  <c r="E8892" i="1"/>
  <c r="D8892" i="1"/>
  <c r="E8891" i="1"/>
  <c r="D8891" i="1"/>
  <c r="E8890" i="1"/>
  <c r="D8890" i="1"/>
  <c r="E8889" i="1"/>
  <c r="D8889" i="1"/>
  <c r="E8888" i="1"/>
  <c r="D8888" i="1"/>
  <c r="D8887" i="1"/>
  <c r="E8887" i="1" s="1"/>
  <c r="E8886" i="1"/>
  <c r="D8886" i="1"/>
  <c r="E8885" i="1"/>
  <c r="D8885" i="1"/>
  <c r="D8884" i="1"/>
  <c r="E8884" i="1" s="1"/>
  <c r="E8883" i="1"/>
  <c r="D8883" i="1"/>
  <c r="E8882" i="1"/>
  <c r="D8882" i="1"/>
  <c r="D8881" i="1"/>
  <c r="E8881" i="1" s="1"/>
  <c r="E8880" i="1"/>
  <c r="D8880" i="1"/>
  <c r="D8879" i="1"/>
  <c r="E8879" i="1" s="1"/>
  <c r="E8878" i="1"/>
  <c r="D8878" i="1"/>
  <c r="E8877" i="1"/>
  <c r="D8877" i="1"/>
  <c r="E8876" i="1"/>
  <c r="D8876" i="1"/>
  <c r="D8875" i="1"/>
  <c r="E8875" i="1" s="1"/>
  <c r="E8874" i="1"/>
  <c r="D8874" i="1"/>
  <c r="E8873" i="1"/>
  <c r="D8873" i="1"/>
  <c r="D8872" i="1"/>
  <c r="E8872" i="1" s="1"/>
  <c r="E8871" i="1"/>
  <c r="D8871" i="1"/>
  <c r="E8870" i="1"/>
  <c r="D8870" i="1"/>
  <c r="D8869" i="1"/>
  <c r="E8869" i="1" s="1"/>
  <c r="E8868" i="1"/>
  <c r="D8868" i="1"/>
  <c r="D8867" i="1"/>
  <c r="E8867" i="1" s="1"/>
  <c r="E8866" i="1"/>
  <c r="D8866" i="1"/>
  <c r="E8865" i="1"/>
  <c r="D8865" i="1"/>
  <c r="E8864" i="1"/>
  <c r="D8864" i="1"/>
  <c r="D8863" i="1"/>
  <c r="E8863" i="1" s="1"/>
  <c r="E8862" i="1"/>
  <c r="D8862" i="1"/>
  <c r="E8861" i="1"/>
  <c r="D8861" i="1"/>
  <c r="D8860" i="1"/>
  <c r="E8860" i="1" s="1"/>
  <c r="E8859" i="1"/>
  <c r="D8859" i="1"/>
  <c r="E8858" i="1"/>
  <c r="D8858" i="1"/>
  <c r="D8857" i="1"/>
  <c r="E8857" i="1" s="1"/>
  <c r="E8856" i="1"/>
  <c r="D8856" i="1"/>
  <c r="D8855" i="1"/>
  <c r="E8855" i="1" s="1"/>
  <c r="E8854" i="1"/>
  <c r="D8854" i="1"/>
  <c r="E8853" i="1"/>
  <c r="D8853" i="1"/>
  <c r="E8852" i="1"/>
  <c r="D8852" i="1"/>
  <c r="D8851" i="1"/>
  <c r="E8851" i="1" s="1"/>
  <c r="E8850" i="1"/>
  <c r="D8850" i="1"/>
  <c r="E8849" i="1"/>
  <c r="D8849" i="1"/>
  <c r="D8848" i="1"/>
  <c r="E8848" i="1" s="1"/>
  <c r="E8847" i="1"/>
  <c r="D8847" i="1"/>
  <c r="E8846" i="1"/>
  <c r="D8846" i="1"/>
  <c r="D8845" i="1"/>
  <c r="E8845" i="1" s="1"/>
  <c r="E8844" i="1"/>
  <c r="D8844" i="1"/>
  <c r="D8843" i="1"/>
  <c r="E8843" i="1" s="1"/>
  <c r="E8842" i="1"/>
  <c r="D8842" i="1"/>
  <c r="E8841" i="1"/>
  <c r="D8841" i="1"/>
  <c r="E8840" i="1"/>
  <c r="D8840" i="1"/>
  <c r="D8839" i="1"/>
  <c r="E8839" i="1" s="1"/>
  <c r="E8838" i="1"/>
  <c r="D8838" i="1"/>
  <c r="E8837" i="1"/>
  <c r="D8837" i="1"/>
  <c r="D8836" i="1"/>
  <c r="E8836" i="1" s="1"/>
  <c r="E8835" i="1"/>
  <c r="D8835" i="1"/>
  <c r="E8834" i="1"/>
  <c r="D8834" i="1"/>
  <c r="D8833" i="1"/>
  <c r="E8833" i="1" s="1"/>
  <c r="E8832" i="1"/>
  <c r="D8832" i="1"/>
  <c r="E8831" i="1"/>
  <c r="D8831" i="1"/>
  <c r="E8830" i="1"/>
  <c r="D8830" i="1"/>
  <c r="E8829" i="1"/>
  <c r="D8829" i="1"/>
  <c r="E8828" i="1"/>
  <c r="D8828" i="1"/>
  <c r="D8827" i="1"/>
  <c r="E8827" i="1" s="1"/>
  <c r="E8826" i="1"/>
  <c r="D8826" i="1"/>
  <c r="E8825" i="1"/>
  <c r="D8825" i="1"/>
  <c r="D8824" i="1"/>
  <c r="E8824" i="1" s="1"/>
  <c r="E8823" i="1"/>
  <c r="D8823" i="1"/>
  <c r="E8822" i="1"/>
  <c r="D8822" i="1"/>
  <c r="D8821" i="1"/>
  <c r="E8821" i="1" s="1"/>
  <c r="E8820" i="1"/>
  <c r="D8820" i="1"/>
  <c r="D8819" i="1"/>
  <c r="E8819" i="1" s="1"/>
  <c r="D8818" i="1"/>
  <c r="E8818" i="1" s="1"/>
  <c r="E8817" i="1"/>
  <c r="D8817" i="1"/>
  <c r="E8816" i="1"/>
  <c r="D8816" i="1"/>
  <c r="D8815" i="1"/>
  <c r="E8815" i="1" s="1"/>
  <c r="E8814" i="1"/>
  <c r="D8814" i="1"/>
  <c r="E8813" i="1"/>
  <c r="D8813" i="1"/>
  <c r="D8812" i="1"/>
  <c r="E8812" i="1" s="1"/>
  <c r="E8811" i="1"/>
  <c r="D8811" i="1"/>
  <c r="E8810" i="1"/>
  <c r="D8810" i="1"/>
  <c r="D8809" i="1"/>
  <c r="E8809" i="1" s="1"/>
  <c r="E8808" i="1"/>
  <c r="D8808" i="1"/>
  <c r="E8807" i="1"/>
  <c r="D8807" i="1"/>
  <c r="D8806" i="1"/>
  <c r="E8806" i="1" s="1"/>
  <c r="E8805" i="1"/>
  <c r="D8805" i="1"/>
  <c r="E8804" i="1"/>
  <c r="D8804" i="1"/>
  <c r="D8803" i="1"/>
  <c r="E8803" i="1" s="1"/>
  <c r="E8802" i="1"/>
  <c r="D8802" i="1"/>
  <c r="E8801" i="1"/>
  <c r="D8801" i="1"/>
  <c r="D8800" i="1"/>
  <c r="E8800" i="1" s="1"/>
  <c r="E8799" i="1"/>
  <c r="D8799" i="1"/>
  <c r="E8798" i="1"/>
  <c r="D8798" i="1"/>
  <c r="D8797" i="1"/>
  <c r="E8797" i="1" s="1"/>
  <c r="E8796" i="1"/>
  <c r="D8796" i="1"/>
  <c r="D8795" i="1"/>
  <c r="E8795" i="1" s="1"/>
  <c r="D8794" i="1"/>
  <c r="E8794" i="1" s="1"/>
  <c r="E8793" i="1"/>
  <c r="D8793" i="1"/>
  <c r="E8792" i="1"/>
  <c r="D8792" i="1"/>
  <c r="D8791" i="1"/>
  <c r="E8791" i="1" s="1"/>
  <c r="E8790" i="1"/>
  <c r="D8790" i="1"/>
  <c r="E8789" i="1"/>
  <c r="D8789" i="1"/>
  <c r="D8788" i="1"/>
  <c r="E8788" i="1" s="1"/>
  <c r="E8787" i="1"/>
  <c r="D8787" i="1"/>
  <c r="E8786" i="1"/>
  <c r="D8786" i="1"/>
  <c r="D8785" i="1"/>
  <c r="E8785" i="1" s="1"/>
  <c r="E8784" i="1"/>
  <c r="D8784" i="1"/>
  <c r="D8783" i="1"/>
  <c r="E8783" i="1" s="1"/>
  <c r="D8782" i="1"/>
  <c r="E8782" i="1" s="1"/>
  <c r="E8781" i="1"/>
  <c r="D8781" i="1"/>
  <c r="E8780" i="1"/>
  <c r="D8780" i="1"/>
  <c r="D8779" i="1"/>
  <c r="E8779" i="1" s="1"/>
  <c r="E8778" i="1"/>
  <c r="D8778" i="1"/>
  <c r="E8777" i="1"/>
  <c r="D8777" i="1"/>
  <c r="D8776" i="1"/>
  <c r="E8776" i="1" s="1"/>
  <c r="E8775" i="1"/>
  <c r="D8775" i="1"/>
  <c r="E8774" i="1"/>
  <c r="D8774" i="1"/>
  <c r="D8773" i="1"/>
  <c r="E8773" i="1" s="1"/>
  <c r="E8772" i="1"/>
  <c r="D8772" i="1"/>
  <c r="D8771" i="1"/>
  <c r="E8771" i="1" s="1"/>
  <c r="D8770" i="1"/>
  <c r="E8770" i="1" s="1"/>
  <c r="E8769" i="1"/>
  <c r="D8769" i="1"/>
  <c r="E8768" i="1"/>
  <c r="D8768" i="1"/>
  <c r="D8767" i="1"/>
  <c r="E8767" i="1" s="1"/>
  <c r="E8766" i="1"/>
  <c r="D8766" i="1"/>
  <c r="E8765" i="1"/>
  <c r="D8765" i="1"/>
  <c r="D8764" i="1"/>
  <c r="E8764" i="1" s="1"/>
  <c r="E8763" i="1"/>
  <c r="D8763" i="1"/>
  <c r="E8762" i="1"/>
  <c r="D8762" i="1"/>
  <c r="D8761" i="1"/>
  <c r="E8761" i="1" s="1"/>
  <c r="E8760" i="1"/>
  <c r="D8760" i="1"/>
  <c r="D8759" i="1"/>
  <c r="E8759" i="1" s="1"/>
  <c r="D8758" i="1"/>
  <c r="E8758" i="1" s="1"/>
  <c r="E8757" i="1"/>
  <c r="D8757" i="1"/>
  <c r="E8756" i="1"/>
  <c r="D8756" i="1"/>
  <c r="D8755" i="1"/>
  <c r="E8755" i="1" s="1"/>
  <c r="E8754" i="1"/>
  <c r="D8754" i="1"/>
  <c r="E8753" i="1"/>
  <c r="D8753" i="1"/>
  <c r="D8752" i="1"/>
  <c r="E8752" i="1" s="1"/>
  <c r="E8751" i="1"/>
  <c r="D8751" i="1"/>
  <c r="E8750" i="1"/>
  <c r="D8750" i="1"/>
  <c r="D8749" i="1"/>
  <c r="E8749" i="1" s="1"/>
  <c r="E8748" i="1"/>
  <c r="D8748" i="1"/>
  <c r="D8747" i="1"/>
  <c r="E8747" i="1" s="1"/>
  <c r="D8746" i="1"/>
  <c r="E8746" i="1" s="1"/>
  <c r="E8745" i="1"/>
  <c r="D8745" i="1"/>
  <c r="E8744" i="1"/>
  <c r="D8744" i="1"/>
  <c r="D8743" i="1"/>
  <c r="E8743" i="1" s="1"/>
  <c r="E8742" i="1"/>
  <c r="D8742" i="1"/>
  <c r="E8741" i="1"/>
  <c r="D8741" i="1"/>
  <c r="D8740" i="1"/>
  <c r="E8740" i="1" s="1"/>
  <c r="E8739" i="1"/>
  <c r="D8739" i="1"/>
  <c r="E8738" i="1"/>
  <c r="D8738" i="1"/>
  <c r="D8737" i="1"/>
  <c r="E8737" i="1" s="1"/>
  <c r="E8736" i="1"/>
  <c r="D8736" i="1"/>
  <c r="E8735" i="1"/>
  <c r="D8735" i="1"/>
  <c r="E8734" i="1"/>
  <c r="D8734" i="1"/>
  <c r="E8733" i="1"/>
  <c r="D8733" i="1"/>
  <c r="E8732" i="1"/>
  <c r="D8732" i="1"/>
  <c r="D8731" i="1"/>
  <c r="E8731" i="1" s="1"/>
  <c r="E8730" i="1"/>
  <c r="D8730" i="1"/>
  <c r="E8729" i="1"/>
  <c r="D8729" i="1"/>
  <c r="D8728" i="1"/>
  <c r="E8728" i="1" s="1"/>
  <c r="E8727" i="1"/>
  <c r="D8727" i="1"/>
  <c r="E8726" i="1"/>
  <c r="D8726" i="1"/>
  <c r="D8725" i="1"/>
  <c r="E8725" i="1" s="1"/>
  <c r="E8724" i="1"/>
  <c r="D8724" i="1"/>
  <c r="E8723" i="1"/>
  <c r="D8723" i="1"/>
  <c r="E8722" i="1"/>
  <c r="D8722" i="1"/>
  <c r="E8721" i="1"/>
  <c r="D8721" i="1"/>
  <c r="E8720" i="1"/>
  <c r="D8720" i="1"/>
  <c r="D8719" i="1"/>
  <c r="E8719" i="1" s="1"/>
  <c r="E8718" i="1"/>
  <c r="D8718" i="1"/>
  <c r="E8717" i="1"/>
  <c r="D8717" i="1"/>
  <c r="D8716" i="1"/>
  <c r="E8716" i="1" s="1"/>
  <c r="E8715" i="1"/>
  <c r="D8715" i="1"/>
  <c r="E8714" i="1"/>
  <c r="D8714" i="1"/>
  <c r="D8713" i="1"/>
  <c r="E8713" i="1" s="1"/>
  <c r="E8712" i="1"/>
  <c r="D8712" i="1"/>
  <c r="E8711" i="1"/>
  <c r="D8711" i="1"/>
  <c r="D8710" i="1"/>
  <c r="E8710" i="1" s="1"/>
  <c r="E8709" i="1"/>
  <c r="D8709" i="1"/>
  <c r="E8708" i="1"/>
  <c r="D8708" i="1"/>
  <c r="D8707" i="1"/>
  <c r="E8707" i="1" s="1"/>
  <c r="E8706" i="1"/>
  <c r="D8706" i="1"/>
  <c r="E8705" i="1"/>
  <c r="D8705" i="1"/>
  <c r="D8704" i="1"/>
  <c r="E8704" i="1" s="1"/>
  <c r="E8703" i="1"/>
  <c r="D8703" i="1"/>
  <c r="E8702" i="1"/>
  <c r="D8702" i="1"/>
  <c r="D8701" i="1"/>
  <c r="E8701" i="1" s="1"/>
  <c r="E8700" i="1"/>
  <c r="D8700" i="1"/>
  <c r="D8699" i="1"/>
  <c r="E8699" i="1" s="1"/>
  <c r="D8698" i="1"/>
  <c r="E8698" i="1" s="1"/>
  <c r="E8697" i="1"/>
  <c r="D8697" i="1"/>
  <c r="E8696" i="1"/>
  <c r="D8696" i="1"/>
  <c r="D8695" i="1"/>
  <c r="E8695" i="1" s="1"/>
  <c r="E8694" i="1"/>
  <c r="D8694" i="1"/>
  <c r="E8693" i="1"/>
  <c r="D8693" i="1"/>
  <c r="D8692" i="1"/>
  <c r="E8692" i="1" s="1"/>
  <c r="E8691" i="1"/>
  <c r="D8691" i="1"/>
  <c r="E8690" i="1"/>
  <c r="D8690" i="1"/>
  <c r="D8689" i="1"/>
  <c r="E8689" i="1" s="1"/>
  <c r="E8688" i="1"/>
  <c r="D8688" i="1"/>
  <c r="D8687" i="1"/>
  <c r="E8687" i="1" s="1"/>
  <c r="E8686" i="1"/>
  <c r="D8686" i="1"/>
  <c r="E8685" i="1"/>
  <c r="D8685" i="1"/>
  <c r="E8684" i="1"/>
  <c r="D8684" i="1"/>
  <c r="D8683" i="1"/>
  <c r="E8683" i="1" s="1"/>
  <c r="E8682" i="1"/>
  <c r="D8682" i="1"/>
  <c r="E8681" i="1"/>
  <c r="D8681" i="1"/>
  <c r="D8680" i="1"/>
  <c r="E8680" i="1" s="1"/>
  <c r="E8679" i="1"/>
  <c r="D8679" i="1"/>
  <c r="E8678" i="1"/>
  <c r="D8678" i="1"/>
  <c r="D8677" i="1"/>
  <c r="E8677" i="1" s="1"/>
  <c r="E8676" i="1"/>
  <c r="D8676" i="1"/>
  <c r="E8675" i="1"/>
  <c r="D8675" i="1"/>
  <c r="E8674" i="1"/>
  <c r="D8674" i="1"/>
  <c r="E8673" i="1"/>
  <c r="D8673" i="1"/>
  <c r="E8672" i="1"/>
  <c r="D8672" i="1"/>
  <c r="D8671" i="1"/>
  <c r="E8671" i="1" s="1"/>
  <c r="E8670" i="1"/>
  <c r="D8670" i="1"/>
  <c r="E8669" i="1"/>
  <c r="D8669" i="1"/>
  <c r="D8668" i="1"/>
  <c r="E8668" i="1" s="1"/>
  <c r="E8667" i="1"/>
  <c r="D8667" i="1"/>
  <c r="E8666" i="1"/>
  <c r="D8666" i="1"/>
  <c r="D8665" i="1"/>
  <c r="E8665" i="1" s="1"/>
  <c r="E8664" i="1"/>
  <c r="D8664" i="1"/>
  <c r="E8663" i="1"/>
  <c r="D8663" i="1"/>
  <c r="D8662" i="1"/>
  <c r="E8662" i="1" s="1"/>
  <c r="E8661" i="1"/>
  <c r="D8661" i="1"/>
  <c r="E8660" i="1"/>
  <c r="D8660" i="1"/>
  <c r="D8659" i="1"/>
  <c r="E8659" i="1" s="1"/>
  <c r="E8658" i="1"/>
  <c r="D8658" i="1"/>
  <c r="E8657" i="1"/>
  <c r="D8657" i="1"/>
  <c r="D8656" i="1"/>
  <c r="E8656" i="1" s="1"/>
  <c r="E8655" i="1"/>
  <c r="D8655" i="1"/>
  <c r="E8654" i="1"/>
  <c r="D8654" i="1"/>
  <c r="D8653" i="1"/>
  <c r="E8653" i="1" s="1"/>
  <c r="E8652" i="1"/>
  <c r="D8652" i="1"/>
  <c r="E8651" i="1"/>
  <c r="D8651" i="1"/>
  <c r="E8650" i="1"/>
  <c r="D8650" i="1"/>
  <c r="E8649" i="1"/>
  <c r="D8649" i="1"/>
  <c r="E8648" i="1"/>
  <c r="D8648" i="1"/>
  <c r="D8647" i="1"/>
  <c r="E8647" i="1" s="1"/>
  <c r="E8646" i="1"/>
  <c r="D8646" i="1"/>
  <c r="E8645" i="1"/>
  <c r="D8645" i="1"/>
  <c r="D8644" i="1"/>
  <c r="E8644" i="1" s="1"/>
  <c r="E8643" i="1"/>
  <c r="D8643" i="1"/>
  <c r="E8642" i="1"/>
  <c r="D8642" i="1"/>
  <c r="D8641" i="1"/>
  <c r="E8641" i="1" s="1"/>
  <c r="E8640" i="1"/>
  <c r="D8640" i="1"/>
  <c r="E8639" i="1"/>
  <c r="D8639" i="1"/>
  <c r="E8638" i="1"/>
  <c r="D8638" i="1"/>
  <c r="E8637" i="1"/>
  <c r="D8637" i="1"/>
  <c r="E8636" i="1"/>
  <c r="D8636" i="1"/>
  <c r="D8635" i="1"/>
  <c r="E8635" i="1" s="1"/>
  <c r="E8634" i="1"/>
  <c r="D8634" i="1"/>
  <c r="E8633" i="1"/>
  <c r="D8633" i="1"/>
  <c r="D8632" i="1"/>
  <c r="E8632" i="1" s="1"/>
  <c r="E8631" i="1"/>
  <c r="D8631" i="1"/>
  <c r="E8630" i="1"/>
  <c r="D8630" i="1"/>
  <c r="D8629" i="1"/>
  <c r="E8629" i="1" s="1"/>
  <c r="E8628" i="1"/>
  <c r="D8628" i="1"/>
  <c r="E8627" i="1"/>
  <c r="D8627" i="1"/>
  <c r="E8626" i="1"/>
  <c r="D8626" i="1"/>
  <c r="E8625" i="1"/>
  <c r="D8625" i="1"/>
  <c r="E8624" i="1"/>
  <c r="D8624" i="1"/>
  <c r="D8623" i="1"/>
  <c r="E8623" i="1" s="1"/>
  <c r="E8622" i="1"/>
  <c r="D8622" i="1"/>
  <c r="E8621" i="1"/>
  <c r="D8621" i="1"/>
  <c r="D8620" i="1"/>
  <c r="E8620" i="1" s="1"/>
  <c r="E8619" i="1"/>
  <c r="D8619" i="1"/>
  <c r="E8618" i="1"/>
  <c r="D8618" i="1"/>
  <c r="D8617" i="1"/>
  <c r="E8617" i="1" s="1"/>
  <c r="E8616" i="1"/>
  <c r="D8616" i="1"/>
  <c r="E8615" i="1"/>
  <c r="D8615" i="1"/>
  <c r="D8614" i="1"/>
  <c r="E8614" i="1" s="1"/>
  <c r="E8613" i="1"/>
  <c r="D8613" i="1"/>
  <c r="E8612" i="1"/>
  <c r="D8612" i="1"/>
  <c r="D8611" i="1"/>
  <c r="E8611" i="1" s="1"/>
  <c r="E8610" i="1"/>
  <c r="D8610" i="1"/>
  <c r="E8609" i="1"/>
  <c r="D8609" i="1"/>
  <c r="D8608" i="1"/>
  <c r="E8608" i="1" s="1"/>
  <c r="E8607" i="1"/>
  <c r="D8607" i="1"/>
  <c r="E8606" i="1"/>
  <c r="D8606" i="1"/>
  <c r="D8605" i="1"/>
  <c r="E8605" i="1" s="1"/>
  <c r="E8604" i="1"/>
  <c r="D8604" i="1"/>
  <c r="D8603" i="1"/>
  <c r="E8603" i="1" s="1"/>
  <c r="D8602" i="1"/>
  <c r="E8602" i="1" s="1"/>
  <c r="E8601" i="1"/>
  <c r="D8601" i="1"/>
  <c r="E8600" i="1"/>
  <c r="D8600" i="1"/>
  <c r="D8599" i="1"/>
  <c r="E8599" i="1" s="1"/>
  <c r="E8598" i="1"/>
  <c r="D8598" i="1"/>
  <c r="E8597" i="1"/>
  <c r="D8597" i="1"/>
  <c r="D8596" i="1"/>
  <c r="E8596" i="1" s="1"/>
  <c r="E8595" i="1"/>
  <c r="D8595" i="1"/>
  <c r="E8594" i="1"/>
  <c r="D8594" i="1"/>
  <c r="D8593" i="1"/>
  <c r="E8593" i="1" s="1"/>
  <c r="E8592" i="1"/>
  <c r="D8592" i="1"/>
  <c r="D8591" i="1"/>
  <c r="E8591" i="1" s="1"/>
  <c r="E8590" i="1"/>
  <c r="D8590" i="1"/>
  <c r="E8589" i="1"/>
  <c r="D8589" i="1"/>
  <c r="E8588" i="1"/>
  <c r="D8588" i="1"/>
  <c r="D8587" i="1"/>
  <c r="E8587" i="1" s="1"/>
  <c r="E8586" i="1"/>
  <c r="D8586" i="1"/>
  <c r="E8585" i="1"/>
  <c r="D8585" i="1"/>
  <c r="D8584" i="1"/>
  <c r="E8584" i="1" s="1"/>
  <c r="E8583" i="1"/>
  <c r="D8583" i="1"/>
  <c r="E8582" i="1"/>
  <c r="D8582" i="1"/>
  <c r="D8581" i="1"/>
  <c r="E8581" i="1" s="1"/>
  <c r="E8580" i="1"/>
  <c r="D8580" i="1"/>
  <c r="E8579" i="1"/>
  <c r="D8579" i="1"/>
  <c r="E8578" i="1"/>
  <c r="D8578" i="1"/>
  <c r="E8577" i="1"/>
  <c r="D8577" i="1"/>
  <c r="E8576" i="1"/>
  <c r="D8576" i="1"/>
  <c r="D8575" i="1"/>
  <c r="E8575" i="1" s="1"/>
  <c r="E8574" i="1"/>
  <c r="D8574" i="1"/>
  <c r="E8573" i="1"/>
  <c r="D8573" i="1"/>
  <c r="D8572" i="1"/>
  <c r="E8572" i="1" s="1"/>
  <c r="E8571" i="1"/>
  <c r="D8571" i="1"/>
  <c r="E8570" i="1"/>
  <c r="D8570" i="1"/>
  <c r="D8569" i="1"/>
  <c r="E8569" i="1" s="1"/>
  <c r="E8568" i="1"/>
  <c r="D8568" i="1"/>
  <c r="E8567" i="1"/>
  <c r="D8567" i="1"/>
  <c r="D8566" i="1"/>
  <c r="E8566" i="1" s="1"/>
  <c r="E8565" i="1"/>
  <c r="D8565" i="1"/>
  <c r="E8564" i="1"/>
  <c r="D8564" i="1"/>
  <c r="D8563" i="1"/>
  <c r="E8563" i="1" s="1"/>
  <c r="E8562" i="1"/>
  <c r="D8562" i="1"/>
  <c r="E8561" i="1"/>
  <c r="D8561" i="1"/>
  <c r="D8560" i="1"/>
  <c r="E8560" i="1" s="1"/>
  <c r="D8559" i="1"/>
  <c r="E8559" i="1" s="1"/>
  <c r="E8558" i="1"/>
  <c r="D8558" i="1"/>
  <c r="D8557" i="1"/>
  <c r="E8557" i="1" s="1"/>
  <c r="E8556" i="1"/>
  <c r="D8556" i="1"/>
  <c r="E8555" i="1"/>
  <c r="D8555" i="1"/>
  <c r="E8554" i="1"/>
  <c r="D8554" i="1"/>
  <c r="E8553" i="1"/>
  <c r="D8553" i="1"/>
  <c r="E8552" i="1"/>
  <c r="D8552" i="1"/>
  <c r="D8551" i="1"/>
  <c r="E8551" i="1" s="1"/>
  <c r="E8550" i="1"/>
  <c r="D8550" i="1"/>
  <c r="E8549" i="1"/>
  <c r="D8549" i="1"/>
  <c r="D8548" i="1"/>
  <c r="E8548" i="1" s="1"/>
  <c r="D8547" i="1"/>
  <c r="E8547" i="1" s="1"/>
  <c r="E8546" i="1"/>
  <c r="D8546" i="1"/>
  <c r="D8545" i="1"/>
  <c r="E8545" i="1" s="1"/>
  <c r="E8544" i="1"/>
  <c r="D8544" i="1"/>
  <c r="E8543" i="1"/>
  <c r="D8543" i="1"/>
  <c r="E8542" i="1"/>
  <c r="D8542" i="1"/>
  <c r="E8541" i="1"/>
  <c r="D8541" i="1"/>
  <c r="E8540" i="1"/>
  <c r="D8540" i="1"/>
  <c r="D8539" i="1"/>
  <c r="E8539" i="1" s="1"/>
  <c r="E8538" i="1"/>
  <c r="D8538" i="1"/>
  <c r="E8537" i="1"/>
  <c r="D8537" i="1"/>
  <c r="D8536" i="1"/>
  <c r="E8536" i="1" s="1"/>
  <c r="E8535" i="1"/>
  <c r="D8535" i="1"/>
  <c r="E8534" i="1"/>
  <c r="D8534" i="1"/>
  <c r="D8533" i="1"/>
  <c r="E8533" i="1" s="1"/>
  <c r="E8532" i="1"/>
  <c r="D8532" i="1"/>
  <c r="D8531" i="1"/>
  <c r="E8531" i="1" s="1"/>
  <c r="E8530" i="1"/>
  <c r="D8530" i="1"/>
  <c r="E8529" i="1"/>
  <c r="D8529" i="1"/>
  <c r="E8528" i="1"/>
  <c r="D8528" i="1"/>
  <c r="D8527" i="1"/>
  <c r="E8527" i="1" s="1"/>
  <c r="E8526" i="1"/>
  <c r="D8526" i="1"/>
  <c r="E8525" i="1"/>
  <c r="D8525" i="1"/>
  <c r="D8524" i="1"/>
  <c r="E8524" i="1" s="1"/>
  <c r="E8523" i="1"/>
  <c r="D8523" i="1"/>
  <c r="E8522" i="1"/>
  <c r="D8522" i="1"/>
  <c r="D8521" i="1"/>
  <c r="E8521" i="1" s="1"/>
  <c r="E8520" i="1"/>
  <c r="D8520" i="1"/>
  <c r="E8519" i="1"/>
  <c r="D8519" i="1"/>
  <c r="D8518" i="1"/>
  <c r="E8518" i="1" s="1"/>
  <c r="E8517" i="1"/>
  <c r="D8517" i="1"/>
  <c r="E8516" i="1"/>
  <c r="D8516" i="1"/>
  <c r="D8515" i="1"/>
  <c r="E8515" i="1" s="1"/>
  <c r="E8514" i="1"/>
  <c r="D8514" i="1"/>
  <c r="E8513" i="1"/>
  <c r="D8513" i="1"/>
  <c r="D8512" i="1"/>
  <c r="E8512" i="1" s="1"/>
  <c r="D8511" i="1"/>
  <c r="E8511" i="1" s="1"/>
  <c r="E8510" i="1"/>
  <c r="D8510" i="1"/>
  <c r="D8509" i="1"/>
  <c r="E8509" i="1" s="1"/>
  <c r="E8508" i="1"/>
  <c r="D8508" i="1"/>
  <c r="D8507" i="1"/>
  <c r="E8507" i="1" s="1"/>
  <c r="D8506" i="1"/>
  <c r="E8506" i="1" s="1"/>
  <c r="E8505" i="1"/>
  <c r="D8505" i="1"/>
  <c r="E8504" i="1"/>
  <c r="D8504" i="1"/>
  <c r="D8503" i="1"/>
  <c r="E8503" i="1" s="1"/>
  <c r="E8502" i="1"/>
  <c r="D8502" i="1"/>
  <c r="E8501" i="1"/>
  <c r="D8501" i="1"/>
  <c r="D8500" i="1"/>
  <c r="E8500" i="1" s="1"/>
  <c r="E8499" i="1"/>
  <c r="D8499" i="1"/>
  <c r="E8498" i="1"/>
  <c r="D8498" i="1"/>
  <c r="D8497" i="1"/>
  <c r="E8497" i="1" s="1"/>
  <c r="E8496" i="1"/>
  <c r="D8496" i="1"/>
  <c r="D8495" i="1"/>
  <c r="E8495" i="1" s="1"/>
  <c r="E8494" i="1"/>
  <c r="D8494" i="1"/>
  <c r="E8493" i="1"/>
  <c r="D8493" i="1"/>
  <c r="E8492" i="1"/>
  <c r="D8492" i="1"/>
  <c r="D8491" i="1"/>
  <c r="E8491" i="1" s="1"/>
  <c r="E8490" i="1"/>
  <c r="D8490" i="1"/>
  <c r="E8489" i="1"/>
  <c r="D8489" i="1"/>
  <c r="D8488" i="1"/>
  <c r="E8488" i="1" s="1"/>
  <c r="E8487" i="1"/>
  <c r="D8487" i="1"/>
  <c r="E8486" i="1"/>
  <c r="D8486" i="1"/>
  <c r="D8485" i="1"/>
  <c r="E8485" i="1" s="1"/>
  <c r="E8484" i="1"/>
  <c r="D8484" i="1"/>
  <c r="E8483" i="1"/>
  <c r="D8483" i="1"/>
  <c r="E8482" i="1"/>
  <c r="D8482" i="1"/>
  <c r="E8481" i="1"/>
  <c r="D8481" i="1"/>
  <c r="E8480" i="1"/>
  <c r="D8480" i="1"/>
  <c r="D8479" i="1"/>
  <c r="E8479" i="1" s="1"/>
  <c r="E8478" i="1"/>
  <c r="D8478" i="1"/>
  <c r="E8477" i="1"/>
  <c r="D8477" i="1"/>
  <c r="D8476" i="1"/>
  <c r="E8476" i="1" s="1"/>
  <c r="E8475" i="1"/>
  <c r="D8475" i="1"/>
  <c r="E8474" i="1"/>
  <c r="D8474" i="1"/>
  <c r="D8473" i="1"/>
  <c r="E8473" i="1" s="1"/>
  <c r="E8472" i="1"/>
  <c r="D8472" i="1"/>
  <c r="E8471" i="1"/>
  <c r="D8471" i="1"/>
  <c r="D8470" i="1"/>
  <c r="E8470" i="1" s="1"/>
  <c r="E8469" i="1"/>
  <c r="D8469" i="1"/>
  <c r="E8468" i="1"/>
  <c r="D8468" i="1"/>
  <c r="D8467" i="1"/>
  <c r="E8467" i="1" s="1"/>
  <c r="E8466" i="1"/>
  <c r="D8466" i="1"/>
  <c r="E8465" i="1"/>
  <c r="D8465" i="1"/>
  <c r="D8464" i="1"/>
  <c r="E8464" i="1" s="1"/>
  <c r="D8463" i="1"/>
  <c r="E8463" i="1" s="1"/>
  <c r="E8462" i="1"/>
  <c r="D8462" i="1"/>
  <c r="D8461" i="1"/>
  <c r="E8461" i="1" s="1"/>
  <c r="E8460" i="1"/>
  <c r="D8460" i="1"/>
  <c r="E8459" i="1"/>
  <c r="D8459" i="1"/>
  <c r="E8458" i="1"/>
  <c r="D8458" i="1"/>
  <c r="E8457" i="1"/>
  <c r="D8457" i="1"/>
  <c r="E8456" i="1"/>
  <c r="D8456" i="1"/>
  <c r="D8455" i="1"/>
  <c r="E8455" i="1" s="1"/>
  <c r="E8454" i="1"/>
  <c r="D8454" i="1"/>
  <c r="E8453" i="1"/>
  <c r="D8453" i="1"/>
  <c r="D8452" i="1"/>
  <c r="E8452" i="1" s="1"/>
  <c r="D8451" i="1"/>
  <c r="E8451" i="1" s="1"/>
  <c r="E8450" i="1"/>
  <c r="D8450" i="1"/>
  <c r="D8449" i="1"/>
  <c r="E8449" i="1" s="1"/>
  <c r="E8448" i="1"/>
  <c r="D8448" i="1"/>
  <c r="E8447" i="1"/>
  <c r="D8447" i="1"/>
  <c r="E8446" i="1"/>
  <c r="D8446" i="1"/>
  <c r="E8445" i="1"/>
  <c r="D8445" i="1"/>
  <c r="E8444" i="1"/>
  <c r="D8444" i="1"/>
  <c r="D8443" i="1"/>
  <c r="E8443" i="1" s="1"/>
  <c r="E8442" i="1"/>
  <c r="D8442" i="1"/>
  <c r="E8441" i="1"/>
  <c r="D8441" i="1"/>
  <c r="D8440" i="1"/>
  <c r="E8440" i="1" s="1"/>
  <c r="E8439" i="1"/>
  <c r="D8439" i="1"/>
  <c r="E8438" i="1"/>
  <c r="D8438" i="1"/>
  <c r="D8437" i="1"/>
  <c r="E8437" i="1" s="1"/>
  <c r="E8436" i="1"/>
  <c r="D8436" i="1"/>
  <c r="E8435" i="1"/>
  <c r="D8435" i="1"/>
  <c r="E8434" i="1"/>
  <c r="D8434" i="1"/>
  <c r="E8433" i="1"/>
  <c r="D8433" i="1"/>
  <c r="E8432" i="1"/>
  <c r="D8432" i="1"/>
  <c r="D8431" i="1"/>
  <c r="E8431" i="1" s="1"/>
  <c r="E8430" i="1"/>
  <c r="D8430" i="1"/>
  <c r="E8429" i="1"/>
  <c r="D8429" i="1"/>
  <c r="D8428" i="1"/>
  <c r="E8428" i="1" s="1"/>
  <c r="E8427" i="1"/>
  <c r="D8427" i="1"/>
  <c r="E8426" i="1"/>
  <c r="D8426" i="1"/>
  <c r="D8425" i="1"/>
  <c r="E8425" i="1" s="1"/>
  <c r="D8424" i="1"/>
  <c r="E8424" i="1" s="1"/>
  <c r="E8423" i="1"/>
  <c r="D8423" i="1"/>
  <c r="D8422" i="1"/>
  <c r="E8422" i="1" s="1"/>
  <c r="E8421" i="1"/>
  <c r="D8421" i="1"/>
  <c r="E8420" i="1"/>
  <c r="D8420" i="1"/>
  <c r="D8419" i="1"/>
  <c r="E8419" i="1" s="1"/>
  <c r="E8418" i="1"/>
  <c r="D8418" i="1"/>
  <c r="E8417" i="1"/>
  <c r="D8417" i="1"/>
  <c r="D8416" i="1"/>
  <c r="E8416" i="1" s="1"/>
  <c r="D8415" i="1"/>
  <c r="E8415" i="1" s="1"/>
  <c r="E8414" i="1"/>
  <c r="D8414" i="1"/>
  <c r="D8413" i="1"/>
  <c r="E8413" i="1" s="1"/>
  <c r="D8412" i="1"/>
  <c r="E8412" i="1" s="1"/>
  <c r="D8411" i="1"/>
  <c r="E8411" i="1" s="1"/>
  <c r="D8410" i="1"/>
  <c r="E8410" i="1" s="1"/>
  <c r="E8409" i="1"/>
  <c r="D8409" i="1"/>
  <c r="E8408" i="1"/>
  <c r="D8408" i="1"/>
  <c r="D8407" i="1"/>
  <c r="E8407" i="1" s="1"/>
  <c r="E8406" i="1"/>
  <c r="D8406" i="1"/>
  <c r="E8405" i="1"/>
  <c r="D8405" i="1"/>
  <c r="D8404" i="1"/>
  <c r="E8404" i="1" s="1"/>
  <c r="E8403" i="1"/>
  <c r="D8403" i="1"/>
  <c r="E8402" i="1"/>
  <c r="D8402" i="1"/>
  <c r="D8401" i="1"/>
  <c r="E8401" i="1" s="1"/>
  <c r="D8400" i="1"/>
  <c r="E8400" i="1" s="1"/>
  <c r="D8399" i="1"/>
  <c r="E8399" i="1" s="1"/>
  <c r="E8398" i="1"/>
  <c r="D8398" i="1"/>
  <c r="E8397" i="1"/>
  <c r="D8397" i="1"/>
  <c r="E8396" i="1"/>
  <c r="D8396" i="1"/>
  <c r="D8395" i="1"/>
  <c r="E8395" i="1" s="1"/>
  <c r="E8394" i="1"/>
  <c r="D8394" i="1"/>
  <c r="E8393" i="1"/>
  <c r="D8393" i="1"/>
  <c r="D8392" i="1"/>
  <c r="E8392" i="1" s="1"/>
  <c r="E8391" i="1"/>
  <c r="D8391" i="1"/>
  <c r="D8390" i="1"/>
  <c r="E8390" i="1" s="1"/>
  <c r="D8389" i="1"/>
  <c r="E8389" i="1" s="1"/>
  <c r="E8388" i="1"/>
  <c r="D8388" i="1"/>
  <c r="E8387" i="1"/>
  <c r="D8387" i="1"/>
  <c r="E8386" i="1"/>
  <c r="D8386" i="1"/>
  <c r="E8385" i="1"/>
  <c r="D8385" i="1"/>
  <c r="E8384" i="1"/>
  <c r="D8384" i="1"/>
  <c r="D8383" i="1"/>
  <c r="E8383" i="1" s="1"/>
  <c r="E8382" i="1"/>
  <c r="D8382" i="1"/>
  <c r="E8381" i="1"/>
  <c r="D8381" i="1"/>
  <c r="D8380" i="1"/>
  <c r="E8380" i="1" s="1"/>
  <c r="E8379" i="1"/>
  <c r="D8379" i="1"/>
  <c r="D8378" i="1"/>
  <c r="E8378" i="1" s="1"/>
  <c r="D8377" i="1"/>
  <c r="E8377" i="1" s="1"/>
  <c r="D8376" i="1"/>
  <c r="E8376" i="1" s="1"/>
  <c r="E8375" i="1"/>
  <c r="D8375" i="1"/>
  <c r="D8374" i="1"/>
  <c r="E8374" i="1" s="1"/>
  <c r="E8373" i="1"/>
  <c r="D8373" i="1"/>
  <c r="E8372" i="1"/>
  <c r="D8372" i="1"/>
  <c r="D8371" i="1"/>
  <c r="E8371" i="1" s="1"/>
  <c r="E8370" i="1"/>
  <c r="D8370" i="1"/>
  <c r="E8369" i="1"/>
  <c r="D8369" i="1"/>
  <c r="D8368" i="1"/>
  <c r="E8368" i="1" s="1"/>
  <c r="D8367" i="1"/>
  <c r="E8367" i="1" s="1"/>
  <c r="D8366" i="1"/>
  <c r="E8366" i="1" s="1"/>
  <c r="D8365" i="1"/>
  <c r="E8365" i="1" s="1"/>
  <c r="D8364" i="1"/>
  <c r="E8364" i="1" s="1"/>
  <c r="E8363" i="1"/>
  <c r="D8363" i="1"/>
  <c r="E8362" i="1"/>
  <c r="D8362" i="1"/>
  <c r="E8361" i="1"/>
  <c r="D8361" i="1"/>
  <c r="E8360" i="1"/>
  <c r="D8360" i="1"/>
  <c r="D8359" i="1"/>
  <c r="E8359" i="1" s="1"/>
  <c r="E8358" i="1"/>
  <c r="D8358" i="1"/>
  <c r="E8357" i="1"/>
  <c r="D8357" i="1"/>
  <c r="D8356" i="1"/>
  <c r="E8356" i="1" s="1"/>
  <c r="D8355" i="1"/>
  <c r="E8355" i="1" s="1"/>
  <c r="D8354" i="1"/>
  <c r="E8354" i="1" s="1"/>
  <c r="D8353" i="1"/>
  <c r="E8353" i="1" s="1"/>
  <c r="D8352" i="1"/>
  <c r="E8352" i="1" s="1"/>
  <c r="E8351" i="1"/>
  <c r="D8351" i="1"/>
  <c r="E8350" i="1"/>
  <c r="D8350" i="1"/>
  <c r="E8349" i="1"/>
  <c r="D8349" i="1"/>
  <c r="E8348" i="1"/>
  <c r="D8348" i="1"/>
  <c r="D8347" i="1"/>
  <c r="E8347" i="1" s="1"/>
  <c r="E8346" i="1"/>
  <c r="D8346" i="1"/>
  <c r="E8345" i="1"/>
  <c r="D8345" i="1"/>
  <c r="D8344" i="1"/>
  <c r="E8344" i="1" s="1"/>
  <c r="E8343" i="1"/>
  <c r="D8343" i="1"/>
  <c r="D8342" i="1"/>
  <c r="E8342" i="1" s="1"/>
  <c r="D8341" i="1"/>
  <c r="E8341" i="1" s="1"/>
  <c r="D8340" i="1"/>
  <c r="E8340" i="1" s="1"/>
  <c r="D8339" i="1"/>
  <c r="E8339" i="1" s="1"/>
  <c r="E8338" i="1"/>
  <c r="D8338" i="1"/>
  <c r="E8337" i="1"/>
  <c r="D8337" i="1"/>
  <c r="E8336" i="1"/>
  <c r="D8336" i="1"/>
  <c r="D8335" i="1"/>
  <c r="E8335" i="1" s="1"/>
  <c r="E8334" i="1"/>
  <c r="D8334" i="1"/>
  <c r="E8333" i="1"/>
  <c r="D8333" i="1"/>
  <c r="D8332" i="1"/>
  <c r="E8332" i="1" s="1"/>
  <c r="E8331" i="1"/>
  <c r="D8331" i="1"/>
  <c r="D8330" i="1"/>
  <c r="E8330" i="1" s="1"/>
  <c r="D8329" i="1"/>
  <c r="E8329" i="1" s="1"/>
  <c r="D8328" i="1"/>
  <c r="E8328" i="1" s="1"/>
  <c r="E8327" i="1"/>
  <c r="D8327" i="1"/>
  <c r="D8326" i="1"/>
  <c r="E8326" i="1" s="1"/>
  <c r="E8325" i="1"/>
  <c r="D8325" i="1"/>
  <c r="E8324" i="1"/>
  <c r="D8324" i="1"/>
  <c r="D8323" i="1"/>
  <c r="E8323" i="1" s="1"/>
  <c r="E8322" i="1"/>
  <c r="D8322" i="1"/>
  <c r="E8321" i="1"/>
  <c r="D8321" i="1"/>
  <c r="D8320" i="1"/>
  <c r="E8320" i="1" s="1"/>
  <c r="D8319" i="1"/>
  <c r="E8319" i="1" s="1"/>
  <c r="D8318" i="1"/>
  <c r="E8318" i="1" s="1"/>
  <c r="D8317" i="1"/>
  <c r="E8317" i="1" s="1"/>
  <c r="D8316" i="1"/>
  <c r="E8316" i="1" s="1"/>
  <c r="D8315" i="1"/>
  <c r="E8315" i="1" s="1"/>
  <c r="D8314" i="1"/>
  <c r="E8314" i="1" s="1"/>
  <c r="E8313" i="1"/>
  <c r="D8313" i="1"/>
  <c r="E8312" i="1"/>
  <c r="D8312" i="1"/>
  <c r="D8311" i="1"/>
  <c r="E8311" i="1" s="1"/>
  <c r="E8310" i="1"/>
  <c r="D8310" i="1"/>
  <c r="E8309" i="1"/>
  <c r="D8309" i="1"/>
  <c r="D8308" i="1"/>
  <c r="E8308" i="1" s="1"/>
  <c r="E8307" i="1"/>
  <c r="D8307" i="1"/>
  <c r="E8306" i="1"/>
  <c r="D8306" i="1"/>
  <c r="D8305" i="1"/>
  <c r="E8305" i="1" s="1"/>
  <c r="D8304" i="1"/>
  <c r="E8304" i="1" s="1"/>
  <c r="D8303" i="1"/>
  <c r="E8303" i="1" s="1"/>
  <c r="E8302" i="1"/>
  <c r="D8302" i="1"/>
  <c r="E8301" i="1"/>
  <c r="D8301" i="1"/>
  <c r="E8300" i="1"/>
  <c r="D8300" i="1"/>
  <c r="D8299" i="1"/>
  <c r="E8299" i="1" s="1"/>
  <c r="E8298" i="1"/>
  <c r="D8298" i="1"/>
  <c r="E8297" i="1"/>
  <c r="D8297" i="1"/>
  <c r="D8296" i="1"/>
  <c r="E8296" i="1" s="1"/>
  <c r="E8295" i="1"/>
  <c r="D8295" i="1"/>
  <c r="D8294" i="1"/>
  <c r="E8294" i="1" s="1"/>
  <c r="D8293" i="1"/>
  <c r="E8293" i="1" s="1"/>
  <c r="E8292" i="1"/>
  <c r="D8292" i="1"/>
  <c r="E8291" i="1"/>
  <c r="D8291" i="1"/>
  <c r="E8290" i="1"/>
  <c r="D8290" i="1"/>
  <c r="E8289" i="1"/>
  <c r="D8289" i="1"/>
  <c r="E8288" i="1"/>
  <c r="D8288" i="1"/>
  <c r="D8287" i="1"/>
  <c r="E8287" i="1" s="1"/>
  <c r="E8286" i="1"/>
  <c r="D8286" i="1"/>
  <c r="D8285" i="1"/>
  <c r="E8285" i="1" s="1"/>
  <c r="D8284" i="1"/>
  <c r="E8284" i="1" s="1"/>
  <c r="E8283" i="1"/>
  <c r="D8283" i="1"/>
  <c r="D8282" i="1"/>
  <c r="E8282" i="1" s="1"/>
  <c r="D8281" i="1"/>
  <c r="E8281" i="1" s="1"/>
  <c r="D8280" i="1"/>
  <c r="E8280" i="1" s="1"/>
  <c r="E8279" i="1"/>
  <c r="D8279" i="1"/>
  <c r="D8278" i="1"/>
  <c r="E8278" i="1" s="1"/>
  <c r="E8277" i="1"/>
  <c r="D8277" i="1"/>
  <c r="E8276" i="1"/>
  <c r="D8276" i="1"/>
  <c r="D8275" i="1"/>
  <c r="E8275" i="1" s="1"/>
  <c r="E8274" i="1"/>
  <c r="D8274" i="1"/>
  <c r="D8273" i="1"/>
  <c r="E8273" i="1" s="1"/>
  <c r="D8272" i="1"/>
  <c r="E8272" i="1" s="1"/>
  <c r="E8271" i="1"/>
  <c r="D8271" i="1"/>
  <c r="E8270" i="1"/>
  <c r="D8270" i="1"/>
  <c r="D8269" i="1"/>
  <c r="E8269" i="1" s="1"/>
  <c r="E8268" i="1"/>
  <c r="D8268" i="1"/>
  <c r="D8267" i="1"/>
  <c r="E8267" i="1" s="1"/>
  <c r="E8266" i="1"/>
  <c r="D8266" i="1"/>
  <c r="E8265" i="1"/>
  <c r="D8265" i="1"/>
  <c r="E8264" i="1"/>
  <c r="D8264" i="1"/>
  <c r="D8263" i="1"/>
  <c r="E8263" i="1" s="1"/>
  <c r="E8262" i="1"/>
  <c r="D8262" i="1"/>
  <c r="D8261" i="1"/>
  <c r="E8261" i="1" s="1"/>
  <c r="D8260" i="1"/>
  <c r="E8260" i="1" s="1"/>
  <c r="D8259" i="1"/>
  <c r="E8259" i="1" s="1"/>
  <c r="D8258" i="1"/>
  <c r="E8258" i="1" s="1"/>
  <c r="D8257" i="1"/>
  <c r="E8257" i="1" s="1"/>
  <c r="E8256" i="1"/>
  <c r="D8256" i="1"/>
  <c r="E8255" i="1"/>
  <c r="D8255" i="1"/>
  <c r="D8254" i="1"/>
  <c r="E8254" i="1" s="1"/>
  <c r="E8253" i="1"/>
  <c r="D8253" i="1"/>
  <c r="E8252" i="1"/>
  <c r="D8252" i="1"/>
  <c r="D8251" i="1"/>
  <c r="E8251" i="1" s="1"/>
  <c r="E8250" i="1"/>
  <c r="D8250" i="1"/>
  <c r="D8249" i="1"/>
  <c r="E8249" i="1" s="1"/>
  <c r="D8248" i="1"/>
  <c r="E8248" i="1" s="1"/>
  <c r="D8247" i="1"/>
  <c r="E8247" i="1" s="1"/>
  <c r="D8246" i="1"/>
  <c r="E8246" i="1" s="1"/>
  <c r="D8245" i="1"/>
  <c r="E8245" i="1" s="1"/>
  <c r="D8244" i="1"/>
  <c r="E8244" i="1" s="1"/>
  <c r="E8243" i="1"/>
  <c r="D8243" i="1"/>
  <c r="E8242" i="1"/>
  <c r="D8242" i="1"/>
  <c r="E8241" i="1"/>
  <c r="D8241" i="1"/>
  <c r="E8240" i="1"/>
  <c r="D8240" i="1"/>
  <c r="D8239" i="1"/>
  <c r="E8239" i="1" s="1"/>
  <c r="E8238" i="1"/>
  <c r="D8238" i="1"/>
  <c r="E8237" i="1"/>
  <c r="D8237" i="1"/>
  <c r="D8236" i="1"/>
  <c r="E8236" i="1" s="1"/>
  <c r="D8235" i="1"/>
  <c r="E8235" i="1" s="1"/>
  <c r="D8234" i="1"/>
  <c r="E8234" i="1" s="1"/>
  <c r="D8233" i="1"/>
  <c r="E8233" i="1" s="1"/>
  <c r="E8232" i="1"/>
  <c r="D8232" i="1"/>
  <c r="D8231" i="1"/>
  <c r="E8231" i="1" s="1"/>
  <c r="E8230" i="1"/>
  <c r="D8230" i="1"/>
  <c r="E8229" i="1"/>
  <c r="D8229" i="1"/>
  <c r="E8228" i="1"/>
  <c r="D8228" i="1"/>
  <c r="D8227" i="1"/>
  <c r="E8227" i="1" s="1"/>
  <c r="E8226" i="1"/>
  <c r="D8226" i="1"/>
  <c r="E8225" i="1"/>
  <c r="D8225" i="1"/>
  <c r="E8224" i="1"/>
  <c r="D8224" i="1"/>
  <c r="D8223" i="1"/>
  <c r="E8223" i="1" s="1"/>
  <c r="D8222" i="1"/>
  <c r="E8222" i="1" s="1"/>
  <c r="D8221" i="1"/>
  <c r="E8221" i="1" s="1"/>
  <c r="E8220" i="1"/>
  <c r="D8220" i="1"/>
  <c r="E8219" i="1"/>
  <c r="D8219" i="1"/>
  <c r="E8218" i="1"/>
  <c r="D8218" i="1"/>
  <c r="E8217" i="1"/>
  <c r="D8217" i="1"/>
  <c r="E8216" i="1"/>
  <c r="D8216" i="1"/>
  <c r="D8215" i="1"/>
  <c r="E8215" i="1" s="1"/>
  <c r="E8214" i="1"/>
  <c r="D8214" i="1"/>
  <c r="E8213" i="1"/>
  <c r="D8213" i="1"/>
  <c r="E8212" i="1"/>
  <c r="D8212" i="1"/>
  <c r="E8211" i="1"/>
  <c r="D8211" i="1"/>
  <c r="D8210" i="1"/>
  <c r="E8210" i="1" s="1"/>
  <c r="D8209" i="1"/>
  <c r="E8209" i="1" s="1"/>
  <c r="D8208" i="1"/>
  <c r="E8208" i="1" s="1"/>
  <c r="E8207" i="1"/>
  <c r="D8207" i="1"/>
  <c r="E8206" i="1"/>
  <c r="D8206" i="1"/>
  <c r="E8205" i="1"/>
  <c r="D8205" i="1"/>
  <c r="E8204" i="1"/>
  <c r="D8204" i="1"/>
  <c r="D8203" i="1"/>
  <c r="E8203" i="1" s="1"/>
  <c r="E8202" i="1"/>
  <c r="D8202" i="1"/>
  <c r="E8201" i="1"/>
  <c r="D8201" i="1"/>
  <c r="E8200" i="1"/>
  <c r="D8200" i="1"/>
  <c r="E8199" i="1"/>
  <c r="D8199" i="1"/>
  <c r="E8198" i="1"/>
  <c r="D8198" i="1"/>
  <c r="D8197" i="1"/>
  <c r="E8197" i="1" s="1"/>
  <c r="E8196" i="1"/>
  <c r="D8196" i="1"/>
  <c r="D8195" i="1"/>
  <c r="E8195" i="1" s="1"/>
  <c r="E8194" i="1"/>
  <c r="D8194" i="1"/>
  <c r="E8193" i="1"/>
  <c r="D8193" i="1"/>
  <c r="E8192" i="1"/>
  <c r="D8192" i="1"/>
  <c r="D8191" i="1"/>
  <c r="E8191" i="1" s="1"/>
  <c r="E8190" i="1"/>
  <c r="D8190" i="1"/>
  <c r="E8189" i="1"/>
  <c r="D8189" i="1"/>
  <c r="E8188" i="1"/>
  <c r="D8188" i="1"/>
  <c r="E8187" i="1"/>
  <c r="D8187" i="1"/>
  <c r="E8186" i="1"/>
  <c r="D8186" i="1"/>
  <c r="D8185" i="1"/>
  <c r="E8185" i="1" s="1"/>
  <c r="D8184" i="1"/>
  <c r="E8184" i="1" s="1"/>
  <c r="E8183" i="1"/>
  <c r="D8183" i="1"/>
  <c r="D8182" i="1"/>
  <c r="E8182" i="1" s="1"/>
  <c r="E8181" i="1"/>
  <c r="D8181" i="1"/>
  <c r="E8180" i="1"/>
  <c r="D8180" i="1"/>
  <c r="D8179" i="1"/>
  <c r="E8179" i="1" s="1"/>
  <c r="E8178" i="1"/>
  <c r="D8178" i="1"/>
  <c r="D8177" i="1"/>
  <c r="E8177" i="1" s="1"/>
  <c r="E8176" i="1"/>
  <c r="D8176" i="1"/>
  <c r="E8175" i="1"/>
  <c r="D8175" i="1"/>
  <c r="E8174" i="1"/>
  <c r="D8174" i="1"/>
  <c r="D8173" i="1"/>
  <c r="E8173" i="1" s="1"/>
  <c r="D8172" i="1"/>
  <c r="E8172" i="1" s="1"/>
  <c r="D8171" i="1"/>
  <c r="E8171" i="1" s="1"/>
  <c r="E8170" i="1"/>
  <c r="D8170" i="1"/>
  <c r="E8169" i="1"/>
  <c r="D8169" i="1"/>
  <c r="E8168" i="1"/>
  <c r="D8168" i="1"/>
  <c r="D8167" i="1"/>
  <c r="E8167" i="1" s="1"/>
  <c r="E8166" i="1"/>
  <c r="D8166" i="1"/>
  <c r="E8165" i="1"/>
  <c r="D8165" i="1"/>
  <c r="D8164" i="1"/>
  <c r="E8164" i="1" s="1"/>
  <c r="E8163" i="1"/>
  <c r="D8163" i="1"/>
  <c r="E8162" i="1"/>
  <c r="D8162" i="1"/>
  <c r="D8161" i="1"/>
  <c r="E8161" i="1" s="1"/>
  <c r="D8160" i="1"/>
  <c r="E8160" i="1" s="1"/>
  <c r="D8159" i="1"/>
  <c r="E8159" i="1" s="1"/>
  <c r="D8158" i="1"/>
  <c r="E8158" i="1" s="1"/>
  <c r="E8157" i="1"/>
  <c r="D8157" i="1"/>
  <c r="E8156" i="1"/>
  <c r="D8156" i="1"/>
  <c r="D8155" i="1"/>
  <c r="E8155" i="1" s="1"/>
  <c r="D8154" i="1"/>
  <c r="E8154" i="1" s="1"/>
  <c r="E8153" i="1"/>
  <c r="D8153" i="1"/>
  <c r="E8152" i="1"/>
  <c r="D8152" i="1"/>
  <c r="D8151" i="1"/>
  <c r="E8151" i="1" s="1"/>
  <c r="E8150" i="1"/>
  <c r="D8150" i="1"/>
  <c r="D8149" i="1"/>
  <c r="E8149" i="1" s="1"/>
  <c r="E8148" i="1"/>
  <c r="D8148" i="1"/>
  <c r="D8147" i="1"/>
  <c r="E8147" i="1" s="1"/>
  <c r="D8146" i="1"/>
  <c r="E8146" i="1" s="1"/>
  <c r="E8145" i="1"/>
  <c r="D8145" i="1"/>
  <c r="E8144" i="1"/>
  <c r="D8144" i="1"/>
  <c r="D8143" i="1"/>
  <c r="E8143" i="1" s="1"/>
  <c r="D8142" i="1"/>
  <c r="E8142" i="1" s="1"/>
  <c r="D8141" i="1"/>
  <c r="E8141" i="1" s="1"/>
  <c r="D8140" i="1"/>
  <c r="E8140" i="1" s="1"/>
  <c r="E8139" i="1"/>
  <c r="D8139" i="1"/>
  <c r="D8138" i="1"/>
  <c r="E8138" i="1" s="1"/>
  <c r="D8137" i="1"/>
  <c r="E8137" i="1" s="1"/>
  <c r="D8136" i="1"/>
  <c r="E8136" i="1" s="1"/>
  <c r="E8135" i="1"/>
  <c r="D8135" i="1"/>
  <c r="D8134" i="1"/>
  <c r="E8134" i="1" s="1"/>
  <c r="E8133" i="1"/>
  <c r="D8133" i="1"/>
  <c r="E8132" i="1"/>
  <c r="D8132" i="1"/>
  <c r="D8131" i="1"/>
  <c r="E8131" i="1" s="1"/>
  <c r="D8130" i="1"/>
  <c r="E8130" i="1" s="1"/>
  <c r="D8129" i="1"/>
  <c r="E8129" i="1" s="1"/>
  <c r="D8128" i="1"/>
  <c r="E8128" i="1" s="1"/>
  <c r="D8127" i="1"/>
  <c r="E8127" i="1" s="1"/>
  <c r="E8126" i="1"/>
  <c r="D8126" i="1"/>
  <c r="D8125" i="1"/>
  <c r="E8125" i="1" s="1"/>
  <c r="E8124" i="1"/>
  <c r="D8124" i="1"/>
  <c r="E8123" i="1"/>
  <c r="D8123" i="1"/>
  <c r="E8122" i="1"/>
  <c r="D8122" i="1"/>
  <c r="E8121" i="1"/>
  <c r="D8121" i="1"/>
  <c r="E8120" i="1"/>
  <c r="D8120" i="1"/>
  <c r="D8119" i="1"/>
  <c r="E8119" i="1" s="1"/>
  <c r="E8118" i="1"/>
  <c r="D8118" i="1"/>
  <c r="E8117" i="1"/>
  <c r="D8117" i="1"/>
  <c r="E8116" i="1"/>
  <c r="D8116" i="1"/>
  <c r="D8115" i="1"/>
  <c r="E8115" i="1" s="1"/>
  <c r="D8114" i="1"/>
  <c r="E8114" i="1" s="1"/>
  <c r="E8113" i="1"/>
  <c r="D8113" i="1"/>
  <c r="E8112" i="1"/>
  <c r="D8112" i="1"/>
  <c r="D8111" i="1"/>
  <c r="E8111" i="1" s="1"/>
  <c r="E8110" i="1"/>
  <c r="D8110" i="1"/>
  <c r="E8109" i="1"/>
  <c r="D8109" i="1"/>
  <c r="E8108" i="1"/>
  <c r="D8108" i="1"/>
  <c r="D8107" i="1"/>
  <c r="E8107" i="1" s="1"/>
  <c r="D8106" i="1"/>
  <c r="E8106" i="1" s="1"/>
  <c r="D8105" i="1"/>
  <c r="E8105" i="1" s="1"/>
  <c r="D8104" i="1"/>
  <c r="E8104" i="1" s="1"/>
  <c r="D8103" i="1"/>
  <c r="E8103" i="1" s="1"/>
  <c r="E8102" i="1"/>
  <c r="D8102" i="1"/>
  <c r="E8101" i="1"/>
  <c r="D8101" i="1"/>
  <c r="D8100" i="1"/>
  <c r="E8100" i="1" s="1"/>
  <c r="E8099" i="1"/>
  <c r="D8099" i="1"/>
  <c r="E8098" i="1"/>
  <c r="D8098" i="1"/>
  <c r="E8097" i="1"/>
  <c r="D8097" i="1"/>
  <c r="E8096" i="1"/>
  <c r="D8096" i="1"/>
  <c r="D8095" i="1"/>
  <c r="E8095" i="1" s="1"/>
  <c r="D8094" i="1"/>
  <c r="E8094" i="1" s="1"/>
  <c r="E8093" i="1"/>
  <c r="D8093" i="1"/>
  <c r="E8092" i="1"/>
  <c r="D8092" i="1"/>
  <c r="E8091" i="1"/>
  <c r="D8091" i="1"/>
  <c r="D8090" i="1"/>
  <c r="E8090" i="1" s="1"/>
  <c r="D8089" i="1"/>
  <c r="E8089" i="1" s="1"/>
  <c r="E8088" i="1"/>
  <c r="D8088" i="1"/>
  <c r="E8087" i="1"/>
  <c r="D8087" i="1"/>
  <c r="D8086" i="1"/>
  <c r="E8086" i="1" s="1"/>
  <c r="E8085" i="1"/>
  <c r="D8085" i="1"/>
  <c r="E8084" i="1"/>
  <c r="D8084" i="1"/>
  <c r="D8083" i="1"/>
  <c r="E8083" i="1" s="1"/>
  <c r="E8082" i="1"/>
  <c r="D8082" i="1"/>
  <c r="D8081" i="1"/>
  <c r="E8081" i="1" s="1"/>
  <c r="D8080" i="1"/>
  <c r="E8080" i="1" s="1"/>
  <c r="D8079" i="1"/>
  <c r="E8079" i="1" s="1"/>
  <c r="D8078" i="1"/>
  <c r="E8078" i="1" s="1"/>
  <c r="E8077" i="1"/>
  <c r="D8077" i="1"/>
  <c r="E8076" i="1"/>
  <c r="D8076" i="1"/>
  <c r="D8075" i="1"/>
  <c r="E8075" i="1" s="1"/>
  <c r="E8074" i="1"/>
  <c r="D8074" i="1"/>
  <c r="E8073" i="1"/>
  <c r="D8073" i="1"/>
  <c r="E8072" i="1"/>
  <c r="D8072" i="1"/>
  <c r="D8071" i="1"/>
  <c r="E8071" i="1" s="1"/>
  <c r="D8070" i="1"/>
  <c r="E8070" i="1" s="1"/>
  <c r="D8069" i="1"/>
  <c r="E8069" i="1" s="1"/>
  <c r="E8068" i="1"/>
  <c r="D8068" i="1"/>
  <c r="E8067" i="1"/>
  <c r="D8067" i="1"/>
  <c r="E8066" i="1"/>
  <c r="D8066" i="1"/>
  <c r="D8065" i="1"/>
  <c r="E8065" i="1" s="1"/>
  <c r="D8064" i="1"/>
  <c r="E8064" i="1" s="1"/>
  <c r="E8063" i="1"/>
  <c r="D8063" i="1"/>
  <c r="E8062" i="1"/>
  <c r="D8062" i="1"/>
  <c r="E8061" i="1"/>
  <c r="D8061" i="1"/>
  <c r="E8060" i="1"/>
  <c r="D8060" i="1"/>
  <c r="D8059" i="1"/>
  <c r="E8059" i="1" s="1"/>
  <c r="E8058" i="1"/>
  <c r="D8058" i="1"/>
  <c r="E8057" i="1"/>
  <c r="D8057" i="1"/>
  <c r="D8056" i="1"/>
  <c r="E8056" i="1" s="1"/>
  <c r="D8055" i="1"/>
  <c r="E8055" i="1" s="1"/>
  <c r="D8054" i="1"/>
  <c r="E8054" i="1" s="1"/>
  <c r="D8053" i="1"/>
  <c r="E8053" i="1" s="1"/>
  <c r="E8052" i="1"/>
  <c r="D8052" i="1"/>
  <c r="E8051" i="1"/>
  <c r="D8051" i="1"/>
  <c r="D8050" i="1"/>
  <c r="E8050" i="1" s="1"/>
  <c r="E8049" i="1"/>
  <c r="D8049" i="1"/>
  <c r="E8048" i="1"/>
  <c r="D8048" i="1"/>
  <c r="D8047" i="1"/>
  <c r="E8047" i="1" s="1"/>
  <c r="D8046" i="1"/>
  <c r="E8046" i="1" s="1"/>
  <c r="D8045" i="1"/>
  <c r="E8045" i="1" s="1"/>
  <c r="D8044" i="1"/>
  <c r="E8044" i="1" s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D8035" i="1"/>
  <c r="E8035" i="1" s="1"/>
  <c r="E8034" i="1"/>
  <c r="D8034" i="1"/>
  <c r="E8033" i="1"/>
  <c r="D8033" i="1"/>
  <c r="E8032" i="1"/>
  <c r="D8032" i="1"/>
  <c r="D8031" i="1"/>
  <c r="E8031" i="1" s="1"/>
  <c r="D8030" i="1"/>
  <c r="E8030" i="1" s="1"/>
  <c r="E8029" i="1"/>
  <c r="D8029" i="1"/>
  <c r="D8028" i="1"/>
  <c r="E8028" i="1" s="1"/>
  <c r="E8027" i="1"/>
  <c r="D8027" i="1"/>
  <c r="E8026" i="1"/>
  <c r="D8026" i="1"/>
  <c r="E8025" i="1"/>
  <c r="D8025" i="1"/>
  <c r="E8024" i="1"/>
  <c r="D8024" i="1"/>
  <c r="D8023" i="1"/>
  <c r="E8023" i="1" s="1"/>
  <c r="E8022" i="1"/>
  <c r="D8022" i="1"/>
  <c r="D8021" i="1"/>
  <c r="E8021" i="1" s="1"/>
  <c r="D8020" i="1"/>
  <c r="E8020" i="1" s="1"/>
  <c r="D8019" i="1"/>
  <c r="E8019" i="1" s="1"/>
  <c r="E8018" i="1"/>
  <c r="D8018" i="1"/>
  <c r="D8017" i="1"/>
  <c r="E8017" i="1" s="1"/>
  <c r="E8016" i="1"/>
  <c r="D8016" i="1"/>
  <c r="D8015" i="1"/>
  <c r="E8015" i="1" s="1"/>
  <c r="D8014" i="1"/>
  <c r="E8014" i="1" s="1"/>
  <c r="E8013" i="1"/>
  <c r="D8013" i="1"/>
  <c r="E8012" i="1"/>
  <c r="D8012" i="1"/>
  <c r="D8011" i="1"/>
  <c r="E8011" i="1" s="1"/>
  <c r="D8010" i="1"/>
  <c r="E8010" i="1" s="1"/>
  <c r="E8009" i="1"/>
  <c r="D8009" i="1"/>
  <c r="E8008" i="1"/>
  <c r="D8008" i="1"/>
  <c r="E8007" i="1"/>
  <c r="D8007" i="1"/>
  <c r="D8006" i="1"/>
  <c r="E8006" i="1" s="1"/>
  <c r="D8005" i="1"/>
  <c r="E8005" i="1" s="1"/>
  <c r="D8004" i="1"/>
  <c r="E8004" i="1" s="1"/>
  <c r="D8003" i="1"/>
  <c r="E8003" i="1" s="1"/>
  <c r="D8002" i="1"/>
  <c r="E8002" i="1" s="1"/>
  <c r="E8001" i="1"/>
  <c r="D8001" i="1"/>
  <c r="D8000" i="1"/>
  <c r="E8000" i="1" s="1"/>
  <c r="D7999" i="1"/>
  <c r="E7999" i="1" s="1"/>
  <c r="D7998" i="1"/>
  <c r="E7998" i="1" s="1"/>
  <c r="E7997" i="1"/>
  <c r="D7997" i="1"/>
  <c r="D7996" i="1"/>
  <c r="E7996" i="1" s="1"/>
  <c r="D7995" i="1"/>
  <c r="E7995" i="1" s="1"/>
  <c r="D7994" i="1"/>
  <c r="E7994" i="1" s="1"/>
  <c r="E7993" i="1"/>
  <c r="D7993" i="1"/>
  <c r="D7992" i="1"/>
  <c r="E7992" i="1" s="1"/>
  <c r="E7991" i="1"/>
  <c r="D7991" i="1"/>
  <c r="D7990" i="1"/>
  <c r="E7990" i="1" s="1"/>
  <c r="E7989" i="1"/>
  <c r="D7989" i="1"/>
  <c r="E7988" i="1"/>
  <c r="D7988" i="1"/>
  <c r="D7987" i="1"/>
  <c r="E7987" i="1" s="1"/>
  <c r="E7986" i="1"/>
  <c r="D7986" i="1"/>
  <c r="E7985" i="1"/>
  <c r="D7985" i="1"/>
  <c r="E7984" i="1"/>
  <c r="D7984" i="1"/>
  <c r="E7983" i="1"/>
  <c r="D7983" i="1"/>
  <c r="E7982" i="1"/>
  <c r="D7982" i="1"/>
  <c r="D7981" i="1"/>
  <c r="E7981" i="1" s="1"/>
  <c r="D7980" i="1"/>
  <c r="E7980" i="1" s="1"/>
  <c r="E7979" i="1"/>
  <c r="D7979" i="1"/>
  <c r="D7978" i="1"/>
  <c r="E7978" i="1" s="1"/>
  <c r="D7977" i="1"/>
  <c r="E7977" i="1" s="1"/>
  <c r="E7976" i="1"/>
  <c r="D7976" i="1"/>
  <c r="D7975" i="1"/>
  <c r="E7975" i="1" s="1"/>
  <c r="E7974" i="1"/>
  <c r="D7974" i="1"/>
  <c r="D7973" i="1"/>
  <c r="E7973" i="1" s="1"/>
  <c r="E7972" i="1"/>
  <c r="D7972" i="1"/>
  <c r="D7971" i="1"/>
  <c r="E7971" i="1" s="1"/>
  <c r="D7970" i="1"/>
  <c r="E7970" i="1" s="1"/>
  <c r="D7969" i="1"/>
  <c r="E7969" i="1" s="1"/>
  <c r="E7968" i="1"/>
  <c r="D7968" i="1"/>
  <c r="D7967" i="1"/>
  <c r="E7967" i="1" s="1"/>
  <c r="E7966" i="1"/>
  <c r="D7966" i="1"/>
  <c r="D7965" i="1"/>
  <c r="E7965" i="1" s="1"/>
  <c r="E7964" i="1"/>
  <c r="D7964" i="1"/>
  <c r="E7963" i="1"/>
  <c r="D7963" i="1"/>
  <c r="E7962" i="1"/>
  <c r="D7962" i="1"/>
  <c r="D7961" i="1"/>
  <c r="E7961" i="1" s="1"/>
  <c r="E7960" i="1"/>
  <c r="D7960" i="1"/>
  <c r="D7959" i="1"/>
  <c r="E7959" i="1" s="1"/>
  <c r="D7958" i="1"/>
  <c r="E7958" i="1" s="1"/>
  <c r="D7957" i="1"/>
  <c r="E7957" i="1" s="1"/>
  <c r="E7956" i="1"/>
  <c r="D7956" i="1"/>
  <c r="E7955" i="1"/>
  <c r="D7955" i="1"/>
  <c r="E7954" i="1"/>
  <c r="D7954" i="1"/>
  <c r="D7953" i="1"/>
  <c r="E7953" i="1" s="1"/>
  <c r="D7952" i="1"/>
  <c r="E7952" i="1" s="1"/>
  <c r="E7951" i="1"/>
  <c r="D7951" i="1"/>
  <c r="E7950" i="1"/>
  <c r="D7950" i="1"/>
  <c r="D7949" i="1"/>
  <c r="E7949" i="1" s="1"/>
  <c r="E7948" i="1"/>
  <c r="D7948" i="1"/>
  <c r="D7947" i="1"/>
  <c r="E7947" i="1" s="1"/>
  <c r="D7946" i="1"/>
  <c r="E7946" i="1" s="1"/>
  <c r="D7945" i="1"/>
  <c r="E7945" i="1" s="1"/>
  <c r="E7944" i="1"/>
  <c r="D7944" i="1"/>
  <c r="E7943" i="1"/>
  <c r="D7943" i="1"/>
  <c r="E7942" i="1"/>
  <c r="D7942" i="1"/>
  <c r="E7941" i="1"/>
  <c r="D7941" i="1"/>
  <c r="D7940" i="1"/>
  <c r="E7940" i="1" s="1"/>
  <c r="E7939" i="1"/>
  <c r="D7939" i="1"/>
  <c r="E7938" i="1"/>
  <c r="D7938" i="1"/>
  <c r="D7937" i="1"/>
  <c r="E7937" i="1" s="1"/>
  <c r="E7936" i="1"/>
  <c r="D7936" i="1"/>
  <c r="D7935" i="1"/>
  <c r="E7935" i="1" s="1"/>
  <c r="D7934" i="1"/>
  <c r="E7934" i="1" s="1"/>
  <c r="D7933" i="1"/>
  <c r="E7933" i="1" s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D7925" i="1"/>
  <c r="E7925" i="1" s="1"/>
  <c r="E7924" i="1"/>
  <c r="D7924" i="1"/>
  <c r="D7923" i="1"/>
  <c r="E7923" i="1" s="1"/>
  <c r="D7922" i="1"/>
  <c r="E7922" i="1" s="1"/>
  <c r="D7921" i="1"/>
  <c r="E7921" i="1" s="1"/>
  <c r="E7920" i="1"/>
  <c r="D7920" i="1"/>
  <c r="D7919" i="1"/>
  <c r="E7919" i="1" s="1"/>
  <c r="E7918" i="1"/>
  <c r="D7918" i="1"/>
  <c r="E7917" i="1"/>
  <c r="D7917" i="1"/>
  <c r="D7916" i="1"/>
  <c r="E7916" i="1" s="1"/>
  <c r="E7915" i="1"/>
  <c r="D7915" i="1"/>
  <c r="E7914" i="1"/>
  <c r="D7914" i="1"/>
  <c r="D7913" i="1"/>
  <c r="E7913" i="1" s="1"/>
  <c r="E7912" i="1"/>
  <c r="D7912" i="1"/>
  <c r="D7911" i="1"/>
  <c r="E7911" i="1" s="1"/>
  <c r="D7910" i="1"/>
  <c r="E7910" i="1" s="1"/>
  <c r="D7909" i="1"/>
  <c r="E7909" i="1" s="1"/>
  <c r="E7908" i="1"/>
  <c r="D7908" i="1"/>
  <c r="D7907" i="1"/>
  <c r="E7907" i="1" s="1"/>
  <c r="E7906" i="1"/>
  <c r="D7906" i="1"/>
  <c r="D7905" i="1"/>
  <c r="E7905" i="1" s="1"/>
  <c r="E7904" i="1"/>
  <c r="D7904" i="1"/>
  <c r="E7903" i="1"/>
  <c r="D7903" i="1"/>
  <c r="E7902" i="1"/>
  <c r="D7902" i="1"/>
  <c r="D7901" i="1"/>
  <c r="E7901" i="1" s="1"/>
  <c r="E7900" i="1"/>
  <c r="D7900" i="1"/>
  <c r="D7899" i="1"/>
  <c r="E7899" i="1" s="1"/>
  <c r="D7898" i="1"/>
  <c r="E7898" i="1" s="1"/>
  <c r="D7897" i="1"/>
  <c r="E7897" i="1" s="1"/>
  <c r="E7896" i="1"/>
  <c r="D7896" i="1"/>
  <c r="D7895" i="1"/>
  <c r="E7895" i="1" s="1"/>
  <c r="E7894" i="1"/>
  <c r="D7894" i="1"/>
  <c r="D7893" i="1"/>
  <c r="E7893" i="1" s="1"/>
  <c r="E7892" i="1"/>
  <c r="D7892" i="1"/>
  <c r="E7891" i="1"/>
  <c r="D7891" i="1"/>
  <c r="E7890" i="1"/>
  <c r="D7890" i="1"/>
  <c r="D7889" i="1"/>
  <c r="E7889" i="1" s="1"/>
  <c r="E7888" i="1"/>
  <c r="D7888" i="1"/>
  <c r="D7887" i="1"/>
  <c r="E7887" i="1" s="1"/>
  <c r="D7886" i="1"/>
  <c r="E7886" i="1" s="1"/>
  <c r="D7885" i="1"/>
  <c r="E7885" i="1" s="1"/>
  <c r="E7884" i="1"/>
  <c r="D7884" i="1"/>
  <c r="E7883" i="1"/>
  <c r="D7883" i="1"/>
  <c r="E7882" i="1"/>
  <c r="D7882" i="1"/>
  <c r="D7881" i="1"/>
  <c r="E7881" i="1" s="1"/>
  <c r="D7880" i="1"/>
  <c r="E7880" i="1" s="1"/>
  <c r="E7879" i="1"/>
  <c r="D7879" i="1"/>
  <c r="E7878" i="1"/>
  <c r="D7878" i="1"/>
  <c r="D7877" i="1"/>
  <c r="E7877" i="1" s="1"/>
  <c r="E7876" i="1"/>
  <c r="D7876" i="1"/>
  <c r="D7875" i="1"/>
  <c r="E7875" i="1" s="1"/>
  <c r="D7874" i="1"/>
  <c r="E7874" i="1" s="1"/>
  <c r="D7873" i="1"/>
  <c r="E7873" i="1" s="1"/>
  <c r="D7872" i="1"/>
  <c r="E7872" i="1" s="1"/>
  <c r="E7871" i="1"/>
  <c r="D7871" i="1"/>
  <c r="E7870" i="1"/>
  <c r="D7870" i="1"/>
  <c r="E7869" i="1"/>
  <c r="D7869" i="1"/>
  <c r="D7868" i="1"/>
  <c r="E7868" i="1" s="1"/>
  <c r="E7867" i="1"/>
  <c r="D7867" i="1"/>
  <c r="E7866" i="1"/>
  <c r="D7866" i="1"/>
  <c r="D7865" i="1"/>
  <c r="E7865" i="1" s="1"/>
  <c r="E7864" i="1"/>
  <c r="D7864" i="1"/>
  <c r="D7863" i="1"/>
  <c r="E7863" i="1" s="1"/>
  <c r="D7862" i="1"/>
  <c r="E7862" i="1" s="1"/>
  <c r="D7861" i="1"/>
  <c r="E7861" i="1" s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D7853" i="1"/>
  <c r="E7853" i="1" s="1"/>
  <c r="E7852" i="1"/>
  <c r="D7852" i="1"/>
  <c r="D7851" i="1"/>
  <c r="E7851" i="1" s="1"/>
  <c r="D7850" i="1"/>
  <c r="E7850" i="1" s="1"/>
  <c r="D7849" i="1"/>
  <c r="E7849" i="1" s="1"/>
  <c r="E7848" i="1"/>
  <c r="D7848" i="1"/>
  <c r="D7847" i="1"/>
  <c r="E7847" i="1" s="1"/>
  <c r="E7846" i="1"/>
  <c r="D7846" i="1"/>
  <c r="E7845" i="1"/>
  <c r="D7845" i="1"/>
  <c r="D7844" i="1"/>
  <c r="E7844" i="1" s="1"/>
  <c r="E7843" i="1"/>
  <c r="D7843" i="1"/>
  <c r="E7842" i="1"/>
  <c r="D7842" i="1"/>
  <c r="D7841" i="1"/>
  <c r="E7841" i="1" s="1"/>
  <c r="E7840" i="1"/>
  <c r="D7840" i="1"/>
  <c r="D7839" i="1"/>
  <c r="E7839" i="1" s="1"/>
  <c r="D7838" i="1"/>
  <c r="E7838" i="1" s="1"/>
  <c r="D7837" i="1"/>
  <c r="E7837" i="1" s="1"/>
  <c r="D7836" i="1"/>
  <c r="E7836" i="1" s="1"/>
  <c r="D7835" i="1"/>
  <c r="E7835" i="1" s="1"/>
  <c r="E7834" i="1"/>
  <c r="D7834" i="1"/>
  <c r="D7833" i="1"/>
  <c r="E7833" i="1" s="1"/>
  <c r="E7832" i="1"/>
  <c r="D7832" i="1"/>
  <c r="E7831" i="1"/>
  <c r="D7831" i="1"/>
  <c r="E7830" i="1"/>
  <c r="D7830" i="1"/>
  <c r="D7829" i="1"/>
  <c r="E7829" i="1" s="1"/>
  <c r="E7828" i="1"/>
  <c r="D7828" i="1"/>
  <c r="D7827" i="1"/>
  <c r="E7827" i="1" s="1"/>
  <c r="D7826" i="1"/>
  <c r="E7826" i="1" s="1"/>
  <c r="D7825" i="1"/>
  <c r="E7825" i="1" s="1"/>
  <c r="D7824" i="1"/>
  <c r="E7824" i="1" s="1"/>
  <c r="D7823" i="1"/>
  <c r="E7823" i="1" s="1"/>
  <c r="E7822" i="1"/>
  <c r="D7822" i="1"/>
  <c r="D7821" i="1"/>
  <c r="E7821" i="1" s="1"/>
  <c r="E7820" i="1"/>
  <c r="D7820" i="1"/>
  <c r="E7819" i="1"/>
  <c r="D7819" i="1"/>
  <c r="E7818" i="1"/>
  <c r="D7818" i="1"/>
  <c r="D7817" i="1"/>
  <c r="E7817" i="1" s="1"/>
  <c r="E7816" i="1"/>
  <c r="D7816" i="1"/>
  <c r="D7815" i="1"/>
  <c r="E7815" i="1" s="1"/>
  <c r="D7814" i="1"/>
  <c r="E7814" i="1" s="1"/>
  <c r="D7813" i="1"/>
  <c r="E7813" i="1" s="1"/>
  <c r="E7812" i="1"/>
  <c r="D7812" i="1"/>
  <c r="E7811" i="1"/>
  <c r="D7811" i="1"/>
  <c r="E7810" i="1"/>
  <c r="D7810" i="1"/>
  <c r="D7809" i="1"/>
  <c r="E7809" i="1" s="1"/>
  <c r="D7808" i="1"/>
  <c r="E7808" i="1" s="1"/>
  <c r="E7807" i="1"/>
  <c r="D7807" i="1"/>
  <c r="E7806" i="1"/>
  <c r="D7806" i="1"/>
  <c r="D7805" i="1"/>
  <c r="E7805" i="1" s="1"/>
  <c r="E7804" i="1"/>
  <c r="D7804" i="1"/>
  <c r="D7803" i="1"/>
  <c r="E7803" i="1" s="1"/>
  <c r="D7802" i="1"/>
  <c r="E7802" i="1" s="1"/>
  <c r="D7801" i="1"/>
  <c r="E7801" i="1" s="1"/>
  <c r="D7800" i="1"/>
  <c r="E7800" i="1" s="1"/>
  <c r="E7799" i="1"/>
  <c r="D7799" i="1"/>
  <c r="E7798" i="1"/>
  <c r="D7798" i="1"/>
  <c r="E7797" i="1"/>
  <c r="D7797" i="1"/>
  <c r="D7796" i="1"/>
  <c r="E7796" i="1" s="1"/>
  <c r="E7795" i="1"/>
  <c r="D7795" i="1"/>
  <c r="E7794" i="1"/>
  <c r="D7794" i="1"/>
  <c r="D7793" i="1"/>
  <c r="E7793" i="1" s="1"/>
  <c r="E7792" i="1"/>
  <c r="D7792" i="1"/>
  <c r="D7791" i="1"/>
  <c r="E7791" i="1" s="1"/>
  <c r="D7790" i="1"/>
  <c r="E7790" i="1" s="1"/>
  <c r="D7789" i="1"/>
  <c r="E7789" i="1" s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D7781" i="1"/>
  <c r="E7781" i="1" s="1"/>
  <c r="E7780" i="1"/>
  <c r="D7780" i="1"/>
  <c r="D7779" i="1"/>
  <c r="E7779" i="1" s="1"/>
  <c r="D7778" i="1"/>
  <c r="E7778" i="1" s="1"/>
  <c r="D7777" i="1"/>
  <c r="E7777" i="1" s="1"/>
  <c r="E7776" i="1"/>
  <c r="D7776" i="1"/>
  <c r="D7775" i="1"/>
  <c r="E7775" i="1" s="1"/>
  <c r="E7774" i="1"/>
  <c r="D7774" i="1"/>
  <c r="E7773" i="1"/>
  <c r="D7773" i="1"/>
  <c r="D7772" i="1"/>
  <c r="E7772" i="1" s="1"/>
  <c r="E7771" i="1"/>
  <c r="D7771" i="1"/>
  <c r="E7770" i="1"/>
  <c r="D7770" i="1"/>
  <c r="D7769" i="1"/>
  <c r="E7769" i="1" s="1"/>
  <c r="E7768" i="1"/>
  <c r="D7768" i="1"/>
  <c r="D7767" i="1"/>
  <c r="E7767" i="1" s="1"/>
  <c r="D7766" i="1"/>
  <c r="E7766" i="1" s="1"/>
  <c r="D7765" i="1"/>
  <c r="E7765" i="1" s="1"/>
  <c r="D7764" i="1"/>
  <c r="E7764" i="1" s="1"/>
  <c r="D7763" i="1"/>
  <c r="E7763" i="1" s="1"/>
  <c r="E7762" i="1"/>
  <c r="D7762" i="1"/>
  <c r="D7761" i="1"/>
  <c r="E7761" i="1" s="1"/>
  <c r="E7760" i="1"/>
  <c r="D7760" i="1"/>
  <c r="E7759" i="1"/>
  <c r="D7759" i="1"/>
  <c r="E7758" i="1"/>
  <c r="D7758" i="1"/>
  <c r="D7757" i="1"/>
  <c r="E7757" i="1" s="1"/>
  <c r="E7756" i="1"/>
  <c r="D7756" i="1"/>
  <c r="D7755" i="1"/>
  <c r="E7755" i="1" s="1"/>
  <c r="D7754" i="1"/>
  <c r="E7754" i="1" s="1"/>
  <c r="D7753" i="1"/>
  <c r="E7753" i="1" s="1"/>
  <c r="D7752" i="1"/>
  <c r="E7752" i="1" s="1"/>
  <c r="D7751" i="1"/>
  <c r="E7751" i="1" s="1"/>
  <c r="E7750" i="1"/>
  <c r="D7750" i="1"/>
  <c r="D7749" i="1"/>
  <c r="E7749" i="1" s="1"/>
  <c r="E7748" i="1"/>
  <c r="D7748" i="1"/>
  <c r="E7747" i="1"/>
  <c r="D7747" i="1"/>
  <c r="E7746" i="1"/>
  <c r="D7746" i="1"/>
  <c r="D7745" i="1"/>
  <c r="E7745" i="1" s="1"/>
  <c r="E7744" i="1"/>
  <c r="D7744" i="1"/>
  <c r="D7743" i="1"/>
  <c r="E7743" i="1" s="1"/>
  <c r="D7742" i="1"/>
  <c r="E7742" i="1" s="1"/>
  <c r="D7741" i="1"/>
  <c r="E7741" i="1" s="1"/>
  <c r="E7740" i="1"/>
  <c r="D7740" i="1"/>
  <c r="E7739" i="1"/>
  <c r="D7739" i="1"/>
  <c r="E7738" i="1"/>
  <c r="D7738" i="1"/>
  <c r="D7737" i="1"/>
  <c r="E7737" i="1" s="1"/>
  <c r="D7736" i="1"/>
  <c r="E7736" i="1" s="1"/>
  <c r="E7735" i="1"/>
  <c r="D7735" i="1"/>
  <c r="E7734" i="1"/>
  <c r="D7734" i="1"/>
  <c r="D7733" i="1"/>
  <c r="E7733" i="1" s="1"/>
  <c r="E7732" i="1"/>
  <c r="D7732" i="1"/>
  <c r="D7731" i="1"/>
  <c r="E7731" i="1" s="1"/>
  <c r="D7730" i="1"/>
  <c r="E7730" i="1" s="1"/>
  <c r="D7729" i="1"/>
  <c r="E7729" i="1" s="1"/>
  <c r="D7728" i="1"/>
  <c r="E7728" i="1" s="1"/>
  <c r="E7727" i="1"/>
  <c r="D7727" i="1"/>
  <c r="E7726" i="1"/>
  <c r="D7726" i="1"/>
  <c r="E7725" i="1"/>
  <c r="D7725" i="1"/>
  <c r="D7724" i="1"/>
  <c r="E7724" i="1" s="1"/>
  <c r="E7723" i="1"/>
  <c r="D7723" i="1"/>
  <c r="E7722" i="1"/>
  <c r="D7722" i="1"/>
  <c r="D7721" i="1"/>
  <c r="E7721" i="1" s="1"/>
  <c r="E7720" i="1"/>
  <c r="D7720" i="1"/>
  <c r="D7719" i="1"/>
  <c r="E7719" i="1" s="1"/>
  <c r="D7718" i="1"/>
  <c r="E7718" i="1" s="1"/>
  <c r="D7717" i="1"/>
  <c r="E7717" i="1" s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D7709" i="1"/>
  <c r="E7709" i="1" s="1"/>
  <c r="E7708" i="1"/>
  <c r="D7708" i="1"/>
  <c r="D7707" i="1"/>
  <c r="E7707" i="1" s="1"/>
  <c r="D7706" i="1"/>
  <c r="E7706" i="1" s="1"/>
  <c r="D7705" i="1"/>
  <c r="E7705" i="1" s="1"/>
  <c r="E7704" i="1"/>
  <c r="D7704" i="1"/>
  <c r="D7703" i="1"/>
  <c r="E7703" i="1" s="1"/>
  <c r="E7702" i="1"/>
  <c r="D7702" i="1"/>
  <c r="E7701" i="1"/>
  <c r="D7701" i="1"/>
  <c r="D7700" i="1"/>
  <c r="E7700" i="1" s="1"/>
  <c r="E7699" i="1"/>
  <c r="D7699" i="1"/>
  <c r="E7698" i="1"/>
  <c r="D7698" i="1"/>
  <c r="D7697" i="1"/>
  <c r="E7697" i="1" s="1"/>
  <c r="E7696" i="1"/>
  <c r="D7696" i="1"/>
  <c r="D7695" i="1"/>
  <c r="E7695" i="1" s="1"/>
  <c r="D7694" i="1"/>
  <c r="E7694" i="1" s="1"/>
  <c r="D7693" i="1"/>
  <c r="E7693" i="1" s="1"/>
  <c r="D7692" i="1"/>
  <c r="E7692" i="1" s="1"/>
  <c r="D7691" i="1"/>
  <c r="E7691" i="1" s="1"/>
  <c r="E7690" i="1"/>
  <c r="D7690" i="1"/>
  <c r="D7689" i="1"/>
  <c r="E7689" i="1" s="1"/>
  <c r="E7688" i="1"/>
  <c r="D7688" i="1"/>
  <c r="E7687" i="1"/>
  <c r="D7687" i="1"/>
  <c r="E7686" i="1"/>
  <c r="D7686" i="1"/>
  <c r="D7685" i="1"/>
  <c r="E7685" i="1" s="1"/>
  <c r="E7684" i="1"/>
  <c r="D7684" i="1"/>
  <c r="D7683" i="1"/>
  <c r="E7683" i="1" s="1"/>
  <c r="D7682" i="1"/>
  <c r="E7682" i="1" s="1"/>
  <c r="D7681" i="1"/>
  <c r="E7681" i="1" s="1"/>
  <c r="D7680" i="1"/>
  <c r="E7680" i="1" s="1"/>
  <c r="D7679" i="1"/>
  <c r="E7679" i="1" s="1"/>
  <c r="E7678" i="1"/>
  <c r="D7678" i="1"/>
  <c r="D7677" i="1"/>
  <c r="E7677" i="1" s="1"/>
  <c r="E7676" i="1"/>
  <c r="D7676" i="1"/>
  <c r="E7675" i="1"/>
  <c r="D7675" i="1"/>
  <c r="E7674" i="1"/>
  <c r="D7674" i="1"/>
  <c r="D7673" i="1"/>
  <c r="E7673" i="1" s="1"/>
  <c r="E7672" i="1"/>
  <c r="D7672" i="1"/>
  <c r="D7671" i="1"/>
  <c r="E7671" i="1" s="1"/>
  <c r="D7670" i="1"/>
  <c r="E7670" i="1" s="1"/>
  <c r="D7669" i="1"/>
  <c r="E7669" i="1" s="1"/>
  <c r="E7668" i="1"/>
  <c r="D7668" i="1"/>
  <c r="E7667" i="1"/>
  <c r="D7667" i="1"/>
  <c r="E7666" i="1"/>
  <c r="D7666" i="1"/>
  <c r="D7665" i="1"/>
  <c r="E7665" i="1" s="1"/>
  <c r="D7664" i="1"/>
  <c r="E7664" i="1" s="1"/>
  <c r="E7663" i="1"/>
  <c r="D7663" i="1"/>
  <c r="E7662" i="1"/>
  <c r="D7662" i="1"/>
  <c r="D7661" i="1"/>
  <c r="E7661" i="1" s="1"/>
  <c r="E7660" i="1"/>
  <c r="D7660" i="1"/>
  <c r="D7659" i="1"/>
  <c r="E7659" i="1" s="1"/>
  <c r="D7658" i="1"/>
  <c r="E7658" i="1" s="1"/>
  <c r="D7657" i="1"/>
  <c r="E7657" i="1" s="1"/>
  <c r="D7656" i="1"/>
  <c r="E7656" i="1" s="1"/>
  <c r="E7655" i="1"/>
  <c r="D7655" i="1"/>
  <c r="E7654" i="1"/>
  <c r="D7654" i="1"/>
  <c r="E7653" i="1"/>
  <c r="D7653" i="1"/>
  <c r="D7652" i="1"/>
  <c r="E7652" i="1" s="1"/>
  <c r="E7651" i="1"/>
  <c r="D7651" i="1"/>
  <c r="E7650" i="1"/>
  <c r="D7650" i="1"/>
  <c r="D7649" i="1"/>
  <c r="E7649" i="1" s="1"/>
  <c r="E7648" i="1"/>
  <c r="D7648" i="1"/>
  <c r="D7647" i="1"/>
  <c r="E7647" i="1" s="1"/>
  <c r="D7646" i="1"/>
  <c r="E7646" i="1" s="1"/>
  <c r="D7645" i="1"/>
  <c r="E7645" i="1" s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D7637" i="1"/>
  <c r="E7637" i="1" s="1"/>
  <c r="E7636" i="1"/>
  <c r="D7636" i="1"/>
  <c r="D7635" i="1"/>
  <c r="E7635" i="1" s="1"/>
  <c r="D7634" i="1"/>
  <c r="E7634" i="1" s="1"/>
  <c r="D7633" i="1"/>
  <c r="E7633" i="1" s="1"/>
  <c r="E7632" i="1"/>
  <c r="D7632" i="1"/>
  <c r="D7631" i="1"/>
  <c r="E7631" i="1" s="1"/>
  <c r="E7630" i="1"/>
  <c r="D7630" i="1"/>
  <c r="E7629" i="1"/>
  <c r="D7629" i="1"/>
  <c r="D7628" i="1"/>
  <c r="E7628" i="1" s="1"/>
  <c r="E7627" i="1"/>
  <c r="D7627" i="1"/>
  <c r="E7626" i="1"/>
  <c r="D7626" i="1"/>
  <c r="D7625" i="1"/>
  <c r="E7625" i="1" s="1"/>
  <c r="E7624" i="1"/>
  <c r="D7624" i="1"/>
  <c r="D7623" i="1"/>
  <c r="E7623" i="1" s="1"/>
  <c r="D7622" i="1"/>
  <c r="E7622" i="1" s="1"/>
  <c r="D7621" i="1"/>
  <c r="E7621" i="1" s="1"/>
  <c r="D7620" i="1"/>
  <c r="E7620" i="1" s="1"/>
  <c r="D7619" i="1"/>
  <c r="E7619" i="1" s="1"/>
  <c r="E7618" i="1"/>
  <c r="D7618" i="1"/>
  <c r="D7617" i="1"/>
  <c r="E7617" i="1" s="1"/>
  <c r="E7616" i="1"/>
  <c r="D7616" i="1"/>
  <c r="E7615" i="1"/>
  <c r="D7615" i="1"/>
  <c r="E7614" i="1"/>
  <c r="D7614" i="1"/>
  <c r="D7613" i="1"/>
  <c r="E7613" i="1" s="1"/>
  <c r="E7612" i="1"/>
  <c r="D7612" i="1"/>
  <c r="D7611" i="1"/>
  <c r="E7611" i="1" s="1"/>
  <c r="D7610" i="1"/>
  <c r="E7610" i="1" s="1"/>
  <c r="D7609" i="1"/>
  <c r="E7609" i="1" s="1"/>
  <c r="D7608" i="1"/>
  <c r="E7608" i="1" s="1"/>
  <c r="D7607" i="1"/>
  <c r="E7607" i="1" s="1"/>
  <c r="E7606" i="1"/>
  <c r="D7606" i="1"/>
  <c r="D7605" i="1"/>
  <c r="E7605" i="1" s="1"/>
  <c r="E7604" i="1"/>
  <c r="D7604" i="1"/>
  <c r="E7603" i="1"/>
  <c r="D7603" i="1"/>
  <c r="E7602" i="1"/>
  <c r="D7602" i="1"/>
  <c r="D7601" i="1"/>
  <c r="E7601" i="1" s="1"/>
  <c r="E7600" i="1"/>
  <c r="D7600" i="1"/>
  <c r="D7599" i="1"/>
  <c r="E7599" i="1" s="1"/>
  <c r="D7598" i="1"/>
  <c r="E7598" i="1" s="1"/>
  <c r="D7597" i="1"/>
  <c r="E7597" i="1" s="1"/>
  <c r="E7596" i="1"/>
  <c r="D7596" i="1"/>
  <c r="E7595" i="1"/>
  <c r="D7595" i="1"/>
  <c r="E7594" i="1"/>
  <c r="D7594" i="1"/>
  <c r="D7593" i="1"/>
  <c r="E7593" i="1" s="1"/>
  <c r="D7592" i="1"/>
  <c r="E7592" i="1" s="1"/>
  <c r="E7591" i="1"/>
  <c r="D7591" i="1"/>
  <c r="E7590" i="1"/>
  <c r="D7590" i="1"/>
  <c r="D7589" i="1"/>
  <c r="E7589" i="1" s="1"/>
  <c r="E7588" i="1"/>
  <c r="D7588" i="1"/>
  <c r="D7587" i="1"/>
  <c r="E7587" i="1" s="1"/>
  <c r="D7586" i="1"/>
  <c r="E7586" i="1" s="1"/>
  <c r="D7585" i="1"/>
  <c r="E7585" i="1" s="1"/>
  <c r="D7584" i="1"/>
  <c r="E7584" i="1" s="1"/>
  <c r="E7583" i="1"/>
  <c r="D7583" i="1"/>
  <c r="E7582" i="1"/>
  <c r="D7582" i="1"/>
  <c r="E7581" i="1"/>
  <c r="D7581" i="1"/>
  <c r="D7580" i="1"/>
  <c r="E7580" i="1" s="1"/>
  <c r="E7579" i="1"/>
  <c r="D7579" i="1"/>
  <c r="E7578" i="1"/>
  <c r="D7578" i="1"/>
  <c r="D7577" i="1"/>
  <c r="E7577" i="1" s="1"/>
  <c r="E7576" i="1"/>
  <c r="D7576" i="1"/>
  <c r="D7575" i="1"/>
  <c r="E7575" i="1" s="1"/>
  <c r="D7574" i="1"/>
  <c r="E7574" i="1" s="1"/>
  <c r="D7573" i="1"/>
  <c r="E7573" i="1" s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D7565" i="1"/>
  <c r="E7565" i="1" s="1"/>
  <c r="E7564" i="1"/>
  <c r="D7564" i="1"/>
  <c r="D7563" i="1"/>
  <c r="E7563" i="1" s="1"/>
  <c r="D7562" i="1"/>
  <c r="E7562" i="1" s="1"/>
  <c r="D7561" i="1"/>
  <c r="E7561" i="1" s="1"/>
  <c r="E7560" i="1"/>
  <c r="D7560" i="1"/>
  <c r="D7559" i="1"/>
  <c r="E7559" i="1" s="1"/>
  <c r="E7558" i="1"/>
  <c r="D7558" i="1"/>
  <c r="E7557" i="1"/>
  <c r="D7557" i="1"/>
  <c r="D7556" i="1"/>
  <c r="E7556" i="1" s="1"/>
  <c r="E7555" i="1"/>
  <c r="D7555" i="1"/>
  <c r="E7554" i="1"/>
  <c r="D7554" i="1"/>
  <c r="D7553" i="1"/>
  <c r="E7553" i="1" s="1"/>
  <c r="E7552" i="1"/>
  <c r="D7552" i="1"/>
  <c r="D7551" i="1"/>
  <c r="E7551" i="1" s="1"/>
  <c r="D7550" i="1"/>
  <c r="E7550" i="1" s="1"/>
  <c r="D7549" i="1"/>
  <c r="E7549" i="1" s="1"/>
  <c r="D7548" i="1"/>
  <c r="E7548" i="1" s="1"/>
  <c r="D7547" i="1"/>
  <c r="E7547" i="1" s="1"/>
  <c r="E7546" i="1"/>
  <c r="D7546" i="1"/>
  <c r="D7545" i="1"/>
  <c r="E7545" i="1" s="1"/>
  <c r="E7544" i="1"/>
  <c r="D7544" i="1"/>
  <c r="E7543" i="1"/>
  <c r="D7543" i="1"/>
  <c r="E7542" i="1"/>
  <c r="D7542" i="1"/>
  <c r="D7541" i="1"/>
  <c r="E7541" i="1" s="1"/>
  <c r="E7540" i="1"/>
  <c r="D7540" i="1"/>
  <c r="D7539" i="1"/>
  <c r="E7539" i="1" s="1"/>
  <c r="D7538" i="1"/>
  <c r="E7538" i="1" s="1"/>
  <c r="D7537" i="1"/>
  <c r="E7537" i="1" s="1"/>
  <c r="D7536" i="1"/>
  <c r="E7536" i="1" s="1"/>
  <c r="D7535" i="1"/>
  <c r="E7535" i="1" s="1"/>
  <c r="E7534" i="1"/>
  <c r="D7534" i="1"/>
  <c r="D7533" i="1"/>
  <c r="E7533" i="1" s="1"/>
  <c r="E7532" i="1"/>
  <c r="D7532" i="1"/>
  <c r="E7531" i="1"/>
  <c r="D7531" i="1"/>
  <c r="E7530" i="1"/>
  <c r="D7530" i="1"/>
  <c r="D7529" i="1"/>
  <c r="E7529" i="1" s="1"/>
  <c r="E7528" i="1"/>
  <c r="D7528" i="1"/>
  <c r="D7527" i="1"/>
  <c r="E7527" i="1" s="1"/>
  <c r="D7526" i="1"/>
  <c r="E7526" i="1" s="1"/>
  <c r="D7525" i="1"/>
  <c r="E7525" i="1" s="1"/>
  <c r="E7524" i="1"/>
  <c r="D7524" i="1"/>
  <c r="E7523" i="1"/>
  <c r="D7523" i="1"/>
  <c r="E7522" i="1"/>
  <c r="D7522" i="1"/>
  <c r="D7521" i="1"/>
  <c r="E7521" i="1" s="1"/>
  <c r="D7520" i="1"/>
  <c r="E7520" i="1" s="1"/>
  <c r="E7519" i="1"/>
  <c r="D7519" i="1"/>
  <c r="E7518" i="1"/>
  <c r="D7518" i="1"/>
  <c r="D7517" i="1"/>
  <c r="E7517" i="1" s="1"/>
  <c r="E7516" i="1"/>
  <c r="D7516" i="1"/>
  <c r="D7515" i="1"/>
  <c r="E7515" i="1" s="1"/>
  <c r="D7514" i="1"/>
  <c r="E7514" i="1" s="1"/>
  <c r="D7513" i="1"/>
  <c r="E7513" i="1" s="1"/>
  <c r="D7512" i="1"/>
  <c r="E7512" i="1" s="1"/>
  <c r="E7511" i="1"/>
  <c r="D7511" i="1"/>
  <c r="E7510" i="1"/>
  <c r="D7510" i="1"/>
  <c r="E7509" i="1"/>
  <c r="D7509" i="1"/>
  <c r="D7508" i="1"/>
  <c r="E7508" i="1" s="1"/>
  <c r="E7507" i="1"/>
  <c r="D7507" i="1"/>
  <c r="E7506" i="1"/>
  <c r="D7506" i="1"/>
  <c r="D7505" i="1"/>
  <c r="E7505" i="1" s="1"/>
  <c r="E7504" i="1"/>
  <c r="D7504" i="1"/>
  <c r="D7503" i="1"/>
  <c r="E7503" i="1" s="1"/>
  <c r="D7502" i="1"/>
  <c r="E7502" i="1" s="1"/>
  <c r="D7501" i="1"/>
  <c r="E7501" i="1" s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D7493" i="1"/>
  <c r="E7493" i="1" s="1"/>
  <c r="E7492" i="1"/>
  <c r="D7492" i="1"/>
  <c r="D7491" i="1"/>
  <c r="E7491" i="1" s="1"/>
  <c r="D7490" i="1"/>
  <c r="E7490" i="1" s="1"/>
  <c r="D7489" i="1"/>
  <c r="E7489" i="1" s="1"/>
  <c r="E7488" i="1"/>
  <c r="D7488" i="1"/>
  <c r="E7487" i="1"/>
  <c r="D7487" i="1"/>
  <c r="E7486" i="1"/>
  <c r="D7486" i="1"/>
  <c r="E7485" i="1"/>
  <c r="D7485" i="1"/>
  <c r="D7484" i="1"/>
  <c r="E7484" i="1" s="1"/>
  <c r="E7483" i="1"/>
  <c r="D7483" i="1"/>
  <c r="E7482" i="1"/>
  <c r="D7482" i="1"/>
  <c r="D7481" i="1"/>
  <c r="E7481" i="1" s="1"/>
  <c r="E7480" i="1"/>
  <c r="D7480" i="1"/>
  <c r="D7479" i="1"/>
  <c r="E7479" i="1" s="1"/>
  <c r="D7478" i="1"/>
  <c r="E7478" i="1" s="1"/>
  <c r="D7477" i="1"/>
  <c r="E7477" i="1" s="1"/>
  <c r="D7476" i="1"/>
  <c r="E7476" i="1" s="1"/>
  <c r="D7475" i="1"/>
  <c r="E7475" i="1" s="1"/>
  <c r="E7474" i="1"/>
  <c r="D7474" i="1"/>
  <c r="D7473" i="1"/>
  <c r="E7473" i="1" s="1"/>
  <c r="E7472" i="1"/>
  <c r="D7472" i="1"/>
  <c r="E7471" i="1"/>
  <c r="D7471" i="1"/>
  <c r="E7470" i="1"/>
  <c r="D7470" i="1"/>
  <c r="D7469" i="1"/>
  <c r="E7469" i="1" s="1"/>
  <c r="E7468" i="1"/>
  <c r="D7468" i="1"/>
  <c r="D7467" i="1"/>
  <c r="E7467" i="1" s="1"/>
  <c r="D7466" i="1"/>
  <c r="E7466" i="1" s="1"/>
  <c r="D7465" i="1"/>
  <c r="E7465" i="1" s="1"/>
  <c r="D7464" i="1"/>
  <c r="E7464" i="1" s="1"/>
  <c r="D7463" i="1"/>
  <c r="E7463" i="1" s="1"/>
  <c r="D7462" i="1"/>
  <c r="E7462" i="1" s="1"/>
  <c r="D7461" i="1"/>
  <c r="E7461" i="1" s="1"/>
  <c r="E7460" i="1"/>
  <c r="D7460" i="1"/>
  <c r="E7459" i="1"/>
  <c r="D7459" i="1"/>
  <c r="E7458" i="1"/>
  <c r="D7458" i="1"/>
  <c r="D7457" i="1"/>
  <c r="E7457" i="1" s="1"/>
  <c r="E7456" i="1"/>
  <c r="D7456" i="1"/>
  <c r="D7455" i="1"/>
  <c r="E7455" i="1" s="1"/>
  <c r="D7454" i="1"/>
  <c r="E7454" i="1" s="1"/>
  <c r="D7453" i="1"/>
  <c r="E7453" i="1" s="1"/>
  <c r="E7452" i="1"/>
  <c r="D7452" i="1"/>
  <c r="E7451" i="1"/>
  <c r="D7451" i="1"/>
  <c r="D7450" i="1"/>
  <c r="E7450" i="1" s="1"/>
  <c r="D7449" i="1"/>
  <c r="E7449" i="1" s="1"/>
  <c r="D7448" i="1"/>
  <c r="E7448" i="1" s="1"/>
  <c r="E7447" i="1"/>
  <c r="D7447" i="1"/>
  <c r="E7446" i="1"/>
  <c r="D7446" i="1"/>
  <c r="D7445" i="1"/>
  <c r="E7445" i="1" s="1"/>
  <c r="E7444" i="1"/>
  <c r="D7444" i="1"/>
  <c r="D7443" i="1"/>
  <c r="E7443" i="1" s="1"/>
  <c r="D7442" i="1"/>
  <c r="E7442" i="1" s="1"/>
  <c r="D7441" i="1"/>
  <c r="E7441" i="1" s="1"/>
  <c r="D7440" i="1"/>
  <c r="E7440" i="1" s="1"/>
  <c r="E7439" i="1"/>
  <c r="D7439" i="1"/>
  <c r="E7438" i="1"/>
  <c r="D7438" i="1"/>
  <c r="E7437" i="1"/>
  <c r="D7437" i="1"/>
  <c r="D7436" i="1"/>
  <c r="E7436" i="1" s="1"/>
  <c r="E7435" i="1"/>
  <c r="D7435" i="1"/>
  <c r="E7434" i="1"/>
  <c r="D7434" i="1"/>
  <c r="D7433" i="1"/>
  <c r="E7433" i="1" s="1"/>
  <c r="E7432" i="1"/>
  <c r="D7432" i="1"/>
  <c r="D7431" i="1"/>
  <c r="E7431" i="1" s="1"/>
  <c r="D7430" i="1"/>
  <c r="E7430" i="1" s="1"/>
  <c r="D7429" i="1"/>
  <c r="E7429" i="1" s="1"/>
  <c r="E7428" i="1"/>
  <c r="D7428" i="1"/>
  <c r="E7427" i="1"/>
  <c r="D7427" i="1"/>
  <c r="D7426" i="1"/>
  <c r="E7426" i="1" s="1"/>
  <c r="E7425" i="1"/>
  <c r="D7425" i="1"/>
  <c r="E7424" i="1"/>
  <c r="D7424" i="1"/>
  <c r="E7423" i="1"/>
  <c r="D7423" i="1"/>
  <c r="E7422" i="1"/>
  <c r="D7422" i="1"/>
  <c r="D7421" i="1"/>
  <c r="E7421" i="1" s="1"/>
  <c r="E7420" i="1"/>
  <c r="D7420" i="1"/>
  <c r="D7419" i="1"/>
  <c r="E7419" i="1" s="1"/>
  <c r="D7418" i="1"/>
  <c r="E7418" i="1" s="1"/>
  <c r="D7417" i="1"/>
  <c r="E7417" i="1" s="1"/>
  <c r="E7416" i="1"/>
  <c r="D7416" i="1"/>
  <c r="E7415" i="1"/>
  <c r="D7415" i="1"/>
  <c r="E7414" i="1"/>
  <c r="D7414" i="1"/>
  <c r="E7413" i="1"/>
  <c r="D7413" i="1"/>
  <c r="D7412" i="1"/>
  <c r="E7412" i="1" s="1"/>
  <c r="E7411" i="1"/>
  <c r="D7411" i="1"/>
  <c r="E7410" i="1"/>
  <c r="D7410" i="1"/>
  <c r="D7409" i="1"/>
  <c r="E7409" i="1" s="1"/>
  <c r="E7408" i="1"/>
  <c r="D7408" i="1"/>
  <c r="D7407" i="1"/>
  <c r="E7407" i="1" s="1"/>
  <c r="D7406" i="1"/>
  <c r="E7406" i="1" s="1"/>
  <c r="D7405" i="1"/>
  <c r="E7405" i="1" s="1"/>
  <c r="D7404" i="1"/>
  <c r="E7404" i="1" s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D7397" i="1"/>
  <c r="E7397" i="1" s="1"/>
  <c r="E7396" i="1"/>
  <c r="D7396" i="1"/>
  <c r="D7395" i="1"/>
  <c r="E7395" i="1" s="1"/>
  <c r="D7394" i="1"/>
  <c r="E7394" i="1" s="1"/>
  <c r="D7393" i="1"/>
  <c r="E7393" i="1" s="1"/>
  <c r="D7392" i="1"/>
  <c r="E7392" i="1" s="1"/>
  <c r="D7391" i="1"/>
  <c r="E7391" i="1" s="1"/>
  <c r="D7390" i="1"/>
  <c r="E7390" i="1" s="1"/>
  <c r="E7389" i="1"/>
  <c r="D7389" i="1"/>
  <c r="E7388" i="1"/>
  <c r="D7388" i="1"/>
  <c r="E7387" i="1"/>
  <c r="D7387" i="1"/>
  <c r="E7386" i="1"/>
  <c r="D7386" i="1"/>
  <c r="D7385" i="1"/>
  <c r="E7385" i="1" s="1"/>
  <c r="E7384" i="1"/>
  <c r="D7384" i="1"/>
  <c r="D7383" i="1"/>
  <c r="E7383" i="1" s="1"/>
  <c r="D7382" i="1"/>
  <c r="E7382" i="1" s="1"/>
  <c r="D7381" i="1"/>
  <c r="E7381" i="1" s="1"/>
  <c r="E7380" i="1"/>
  <c r="D7380" i="1"/>
  <c r="E7379" i="1"/>
  <c r="D7379" i="1"/>
  <c r="D7378" i="1"/>
  <c r="E7378" i="1" s="1"/>
  <c r="D7377" i="1"/>
  <c r="E7377" i="1" s="1"/>
  <c r="D7376" i="1"/>
  <c r="E7376" i="1" s="1"/>
  <c r="E7375" i="1"/>
  <c r="D7375" i="1"/>
  <c r="E7374" i="1"/>
  <c r="D7374" i="1"/>
  <c r="D7373" i="1"/>
  <c r="E7373" i="1" s="1"/>
  <c r="E7372" i="1"/>
  <c r="D7372" i="1"/>
  <c r="D7371" i="1"/>
  <c r="E7371" i="1" s="1"/>
  <c r="D7370" i="1"/>
  <c r="E7370" i="1" s="1"/>
  <c r="D7369" i="1"/>
  <c r="E7369" i="1" s="1"/>
  <c r="D7368" i="1"/>
  <c r="E7368" i="1" s="1"/>
  <c r="E7367" i="1"/>
  <c r="D7367" i="1"/>
  <c r="E7366" i="1"/>
  <c r="D7366" i="1"/>
  <c r="E7365" i="1"/>
  <c r="D7365" i="1"/>
  <c r="D7364" i="1"/>
  <c r="E7364" i="1" s="1"/>
  <c r="E7363" i="1"/>
  <c r="D7363" i="1"/>
  <c r="E7362" i="1"/>
  <c r="D7362" i="1"/>
  <c r="D7361" i="1"/>
  <c r="E7361" i="1" s="1"/>
  <c r="E7360" i="1"/>
  <c r="D7360" i="1"/>
  <c r="D7359" i="1"/>
  <c r="E7359" i="1" s="1"/>
  <c r="D7358" i="1"/>
  <c r="E7358" i="1" s="1"/>
  <c r="D7357" i="1"/>
  <c r="E7357" i="1" s="1"/>
  <c r="E7356" i="1"/>
  <c r="D7356" i="1"/>
  <c r="E7355" i="1"/>
  <c r="D7355" i="1"/>
  <c r="D7354" i="1"/>
  <c r="E7354" i="1" s="1"/>
  <c r="E7353" i="1"/>
  <c r="D7353" i="1"/>
  <c r="E7352" i="1"/>
  <c r="D7352" i="1"/>
  <c r="E7351" i="1"/>
  <c r="D7351" i="1"/>
  <c r="E7350" i="1"/>
  <c r="D7350" i="1"/>
  <c r="D7349" i="1"/>
  <c r="E7349" i="1" s="1"/>
  <c r="E7348" i="1"/>
  <c r="D7348" i="1"/>
  <c r="D7347" i="1"/>
  <c r="E7347" i="1" s="1"/>
  <c r="D7346" i="1"/>
  <c r="E7346" i="1" s="1"/>
  <c r="D7345" i="1"/>
  <c r="E7345" i="1" s="1"/>
  <c r="E7344" i="1"/>
  <c r="D7344" i="1"/>
  <c r="E7343" i="1"/>
  <c r="D7343" i="1"/>
  <c r="E7342" i="1"/>
  <c r="D7342" i="1"/>
  <c r="E7341" i="1"/>
  <c r="D7341" i="1"/>
  <c r="D7340" i="1"/>
  <c r="E7340" i="1" s="1"/>
  <c r="E7339" i="1"/>
  <c r="D7339" i="1"/>
  <c r="E7338" i="1"/>
  <c r="D7338" i="1"/>
  <c r="D7337" i="1"/>
  <c r="E7337" i="1" s="1"/>
  <c r="E7336" i="1"/>
  <c r="D7336" i="1"/>
  <c r="D7335" i="1"/>
  <c r="E7335" i="1" s="1"/>
  <c r="D7334" i="1"/>
  <c r="E7334" i="1" s="1"/>
  <c r="D7333" i="1"/>
  <c r="E7333" i="1" s="1"/>
  <c r="D7332" i="1"/>
  <c r="E7332" i="1" s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D7325" i="1"/>
  <c r="E7325" i="1" s="1"/>
  <c r="E7324" i="1"/>
  <c r="D7324" i="1"/>
  <c r="D7323" i="1"/>
  <c r="E7323" i="1" s="1"/>
  <c r="D7322" i="1"/>
  <c r="E7322" i="1" s="1"/>
  <c r="D7321" i="1"/>
  <c r="E7321" i="1" s="1"/>
  <c r="D7320" i="1"/>
  <c r="E7320" i="1" s="1"/>
  <c r="D7319" i="1"/>
  <c r="E7319" i="1" s="1"/>
  <c r="D7318" i="1"/>
  <c r="E7318" i="1" s="1"/>
  <c r="E7317" i="1"/>
  <c r="D7317" i="1"/>
  <c r="E7316" i="1"/>
  <c r="D7316" i="1"/>
  <c r="E7315" i="1"/>
  <c r="D7315" i="1"/>
  <c r="E7314" i="1"/>
  <c r="D7314" i="1"/>
  <c r="D7313" i="1"/>
  <c r="E7313" i="1" s="1"/>
  <c r="E7312" i="1"/>
  <c r="D7312" i="1"/>
  <c r="D7311" i="1"/>
  <c r="E7311" i="1" s="1"/>
  <c r="D7310" i="1"/>
  <c r="E7310" i="1" s="1"/>
  <c r="D7309" i="1"/>
  <c r="E7309" i="1" s="1"/>
  <c r="E7308" i="1"/>
  <c r="D7308" i="1"/>
  <c r="E7307" i="1"/>
  <c r="D7307" i="1"/>
  <c r="D7306" i="1"/>
  <c r="E7306" i="1" s="1"/>
  <c r="D7305" i="1"/>
  <c r="E7305" i="1" s="1"/>
  <c r="D7304" i="1"/>
  <c r="E7304" i="1" s="1"/>
  <c r="E7303" i="1"/>
  <c r="D7303" i="1"/>
  <c r="E7302" i="1"/>
  <c r="D7302" i="1"/>
  <c r="D7301" i="1"/>
  <c r="E7301" i="1" s="1"/>
  <c r="E7300" i="1"/>
  <c r="D7300" i="1"/>
  <c r="D7299" i="1"/>
  <c r="E7299" i="1" s="1"/>
  <c r="D7298" i="1"/>
  <c r="E7298" i="1" s="1"/>
  <c r="D7297" i="1"/>
  <c r="E7297" i="1" s="1"/>
  <c r="D7296" i="1"/>
  <c r="E7296" i="1" s="1"/>
  <c r="E7295" i="1"/>
  <c r="D7295" i="1"/>
  <c r="E7294" i="1"/>
  <c r="D7294" i="1"/>
  <c r="E7293" i="1"/>
  <c r="D7293" i="1"/>
  <c r="D7292" i="1"/>
  <c r="E7292" i="1" s="1"/>
  <c r="E7291" i="1"/>
  <c r="D7291" i="1"/>
  <c r="E7290" i="1"/>
  <c r="D7290" i="1"/>
  <c r="D7289" i="1"/>
  <c r="E7289" i="1" s="1"/>
  <c r="E7288" i="1"/>
  <c r="D7288" i="1"/>
  <c r="D7287" i="1"/>
  <c r="E7287" i="1" s="1"/>
  <c r="D7286" i="1"/>
  <c r="E7286" i="1" s="1"/>
  <c r="D7285" i="1"/>
  <c r="E7285" i="1" s="1"/>
  <c r="E7284" i="1"/>
  <c r="D7284" i="1"/>
  <c r="D7283" i="1"/>
  <c r="E7283" i="1" s="1"/>
  <c r="D7282" i="1"/>
  <c r="E7282" i="1" s="1"/>
  <c r="E7281" i="1"/>
  <c r="D7281" i="1"/>
  <c r="E7280" i="1"/>
  <c r="D7280" i="1"/>
  <c r="E7279" i="1"/>
  <c r="D7279" i="1"/>
  <c r="E7278" i="1"/>
  <c r="D7278" i="1"/>
  <c r="D7277" i="1"/>
  <c r="E7277" i="1" s="1"/>
  <c r="E7276" i="1"/>
  <c r="D7276" i="1"/>
  <c r="D7275" i="1"/>
  <c r="E7275" i="1" s="1"/>
  <c r="D7274" i="1"/>
  <c r="E7274" i="1" s="1"/>
  <c r="D7273" i="1"/>
  <c r="E7273" i="1" s="1"/>
  <c r="E7272" i="1"/>
  <c r="D7272" i="1"/>
  <c r="E7271" i="1"/>
  <c r="D7271" i="1"/>
  <c r="E7270" i="1"/>
  <c r="D7270" i="1"/>
  <c r="D7269" i="1"/>
  <c r="E7269" i="1" s="1"/>
  <c r="D7268" i="1"/>
  <c r="E7268" i="1" s="1"/>
  <c r="E7267" i="1"/>
  <c r="D7267" i="1"/>
  <c r="E7266" i="1"/>
  <c r="D7266" i="1"/>
  <c r="D7265" i="1"/>
  <c r="E7265" i="1" s="1"/>
  <c r="E7264" i="1"/>
  <c r="D7264" i="1"/>
  <c r="D7263" i="1"/>
  <c r="E7263" i="1" s="1"/>
  <c r="D7262" i="1"/>
  <c r="E7262" i="1" s="1"/>
  <c r="D7261" i="1"/>
  <c r="E7261" i="1" s="1"/>
  <c r="D7260" i="1"/>
  <c r="E7260" i="1" s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D7253" i="1"/>
  <c r="E7253" i="1" s="1"/>
  <c r="D7252" i="1"/>
  <c r="E7252" i="1" s="1"/>
  <c r="D7251" i="1"/>
  <c r="E7251" i="1" s="1"/>
  <c r="D7250" i="1"/>
  <c r="E7250" i="1" s="1"/>
  <c r="D7249" i="1"/>
  <c r="E7249" i="1" s="1"/>
  <c r="D7248" i="1"/>
  <c r="E7248" i="1" s="1"/>
  <c r="D7247" i="1"/>
  <c r="E7247" i="1" s="1"/>
  <c r="D7246" i="1"/>
  <c r="E7246" i="1" s="1"/>
  <c r="E7245" i="1"/>
  <c r="D7245" i="1"/>
  <c r="E7244" i="1"/>
  <c r="D7244" i="1"/>
  <c r="E7243" i="1"/>
  <c r="D7243" i="1"/>
  <c r="E7242" i="1"/>
  <c r="D7242" i="1"/>
  <c r="D7241" i="1"/>
  <c r="E7241" i="1" s="1"/>
  <c r="E7240" i="1"/>
  <c r="D7240" i="1"/>
  <c r="D7239" i="1"/>
  <c r="E7239" i="1" s="1"/>
  <c r="D7238" i="1"/>
  <c r="E7238" i="1" s="1"/>
  <c r="D7237" i="1"/>
  <c r="E7237" i="1" s="1"/>
  <c r="E7236" i="1"/>
  <c r="D7236" i="1"/>
  <c r="E7235" i="1"/>
  <c r="D7235" i="1"/>
  <c r="D7234" i="1"/>
  <c r="E7234" i="1" s="1"/>
  <c r="D7233" i="1"/>
  <c r="E7233" i="1" s="1"/>
  <c r="D7232" i="1"/>
  <c r="E7232" i="1" s="1"/>
  <c r="E7231" i="1"/>
  <c r="D7231" i="1"/>
  <c r="E7230" i="1"/>
  <c r="D7230" i="1"/>
  <c r="D7229" i="1"/>
  <c r="E7229" i="1" s="1"/>
  <c r="D7228" i="1"/>
  <c r="E7228" i="1" s="1"/>
  <c r="D7227" i="1"/>
  <c r="E7227" i="1" s="1"/>
  <c r="D7226" i="1"/>
  <c r="E7226" i="1" s="1"/>
  <c r="D7225" i="1"/>
  <c r="E7225" i="1" s="1"/>
  <c r="D7224" i="1"/>
  <c r="E7224" i="1" s="1"/>
  <c r="E7223" i="1"/>
  <c r="D7223" i="1"/>
  <c r="E7222" i="1"/>
  <c r="D7222" i="1"/>
  <c r="E7221" i="1"/>
  <c r="D7221" i="1"/>
  <c r="D7220" i="1"/>
  <c r="E7220" i="1" s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E7212" i="1"/>
  <c r="D7212" i="1"/>
  <c r="D7211" i="1"/>
  <c r="E7211" i="1" s="1"/>
  <c r="D7210" i="1"/>
  <c r="E7210" i="1" s="1"/>
  <c r="E7209" i="1"/>
  <c r="D7209" i="1"/>
  <c r="E7208" i="1"/>
  <c r="D7208" i="1"/>
  <c r="E7207" i="1"/>
  <c r="D7207" i="1"/>
  <c r="D7206" i="1"/>
  <c r="E7206" i="1" s="1"/>
  <c r="D7205" i="1"/>
  <c r="E7205" i="1" s="1"/>
  <c r="E7204" i="1"/>
  <c r="D7204" i="1"/>
  <c r="D7203" i="1"/>
  <c r="E7203" i="1" s="1"/>
  <c r="D7202" i="1"/>
  <c r="E7202" i="1" s="1"/>
  <c r="D7201" i="1"/>
  <c r="E7201" i="1" s="1"/>
  <c r="E7200" i="1"/>
  <c r="D7200" i="1"/>
  <c r="E7199" i="1"/>
  <c r="D7199" i="1"/>
  <c r="E7198" i="1"/>
  <c r="D7198" i="1"/>
  <c r="E7197" i="1"/>
  <c r="D7197" i="1"/>
  <c r="D7196" i="1"/>
  <c r="E7196" i="1" s="1"/>
  <c r="E7195" i="1"/>
  <c r="D7195" i="1"/>
  <c r="E7194" i="1"/>
  <c r="D7194" i="1"/>
  <c r="D7193" i="1"/>
  <c r="E7193" i="1" s="1"/>
  <c r="E7192" i="1"/>
  <c r="D7192" i="1"/>
  <c r="D7191" i="1"/>
  <c r="E7191" i="1" s="1"/>
  <c r="D7190" i="1"/>
  <c r="E7190" i="1" s="1"/>
  <c r="D7189" i="1"/>
  <c r="E7189" i="1" s="1"/>
  <c r="D7188" i="1"/>
  <c r="E7188" i="1" s="1"/>
  <c r="E7187" i="1"/>
  <c r="D7187" i="1"/>
  <c r="E7186" i="1"/>
  <c r="D7186" i="1"/>
  <c r="E7185" i="1"/>
  <c r="D7185" i="1"/>
  <c r="E7184" i="1"/>
  <c r="D7184" i="1"/>
  <c r="D7183" i="1"/>
  <c r="E7183" i="1" s="1"/>
  <c r="D7182" i="1"/>
  <c r="E7182" i="1" s="1"/>
  <c r="D7181" i="1"/>
  <c r="E7181" i="1" s="1"/>
  <c r="D7180" i="1"/>
  <c r="E7180" i="1" s="1"/>
  <c r="D7179" i="1"/>
  <c r="E7179" i="1" s="1"/>
  <c r="D7178" i="1"/>
  <c r="E7178" i="1" s="1"/>
  <c r="D7177" i="1"/>
  <c r="E7177" i="1" s="1"/>
  <c r="D7176" i="1"/>
  <c r="E7176" i="1" s="1"/>
  <c r="D7175" i="1"/>
  <c r="E7175" i="1" s="1"/>
  <c r="D7174" i="1"/>
  <c r="E7174" i="1" s="1"/>
  <c r="E7173" i="1"/>
  <c r="D7173" i="1"/>
  <c r="E7172" i="1"/>
  <c r="D7172" i="1"/>
  <c r="E7171" i="1"/>
  <c r="D7171" i="1"/>
  <c r="E7170" i="1"/>
  <c r="D7170" i="1"/>
  <c r="D7169" i="1"/>
  <c r="E7169" i="1" s="1"/>
  <c r="E7168" i="1"/>
  <c r="D7168" i="1"/>
  <c r="D7167" i="1"/>
  <c r="E7167" i="1" s="1"/>
  <c r="D7166" i="1"/>
  <c r="E7166" i="1" s="1"/>
  <c r="D7165" i="1"/>
  <c r="E7165" i="1" s="1"/>
  <c r="E7164" i="1"/>
  <c r="D7164" i="1"/>
  <c r="E7163" i="1"/>
  <c r="D7163" i="1"/>
  <c r="D7162" i="1"/>
  <c r="E7162" i="1" s="1"/>
  <c r="D7161" i="1"/>
  <c r="E7161" i="1" s="1"/>
  <c r="D7160" i="1"/>
  <c r="E7160" i="1" s="1"/>
  <c r="E7159" i="1"/>
  <c r="D7159" i="1"/>
  <c r="E7158" i="1"/>
  <c r="D7158" i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E7151" i="1"/>
  <c r="D7151" i="1"/>
  <c r="E7150" i="1"/>
  <c r="D7150" i="1"/>
  <c r="E7149" i="1"/>
  <c r="D7149" i="1"/>
  <c r="D7148" i="1"/>
  <c r="E7148" i="1" s="1"/>
  <c r="D7147" i="1"/>
  <c r="E7147" i="1" s="1"/>
  <c r="D7146" i="1"/>
  <c r="E7146" i="1" s="1"/>
  <c r="D7145" i="1"/>
  <c r="E7145" i="1" s="1"/>
  <c r="D7144" i="1"/>
  <c r="E7144" i="1" s="1"/>
  <c r="D7143" i="1"/>
  <c r="E7143" i="1" s="1"/>
  <c r="D7142" i="1"/>
  <c r="E7142" i="1" s="1"/>
  <c r="D7141" i="1"/>
  <c r="E7141" i="1" s="1"/>
  <c r="E7140" i="1"/>
  <c r="D7140" i="1"/>
  <c r="D7139" i="1"/>
  <c r="E7139" i="1" s="1"/>
  <c r="D7138" i="1"/>
  <c r="E7138" i="1" s="1"/>
  <c r="E7137" i="1"/>
  <c r="D7137" i="1"/>
  <c r="E7136" i="1"/>
  <c r="D7136" i="1"/>
  <c r="E7135" i="1"/>
  <c r="D7135" i="1"/>
  <c r="D7134" i="1"/>
  <c r="E7134" i="1" s="1"/>
  <c r="D7133" i="1"/>
  <c r="E7133" i="1" s="1"/>
  <c r="E7132" i="1"/>
  <c r="D7132" i="1"/>
  <c r="D7131" i="1"/>
  <c r="E7131" i="1" s="1"/>
  <c r="D7130" i="1"/>
  <c r="E7130" i="1" s="1"/>
  <c r="D7129" i="1"/>
  <c r="E7129" i="1" s="1"/>
  <c r="E7128" i="1"/>
  <c r="D7128" i="1"/>
  <c r="E7127" i="1"/>
  <c r="D7127" i="1"/>
  <c r="E7126" i="1"/>
  <c r="D7126" i="1"/>
  <c r="E7125" i="1"/>
  <c r="D7125" i="1"/>
  <c r="D7124" i="1"/>
  <c r="E7124" i="1" s="1"/>
  <c r="E7123" i="1"/>
  <c r="D7123" i="1"/>
  <c r="E7122" i="1"/>
  <c r="D7122" i="1"/>
  <c r="D7121" i="1"/>
  <c r="E7121" i="1" s="1"/>
  <c r="E7120" i="1"/>
  <c r="D7120" i="1"/>
  <c r="D7119" i="1"/>
  <c r="E7119" i="1" s="1"/>
  <c r="D7118" i="1"/>
  <c r="E7118" i="1" s="1"/>
  <c r="E7117" i="1"/>
  <c r="D7117" i="1"/>
  <c r="E7116" i="1"/>
  <c r="D7116" i="1"/>
  <c r="D7115" i="1"/>
  <c r="E7115" i="1" s="1"/>
  <c r="D7114" i="1"/>
  <c r="E7114" i="1" s="1"/>
  <c r="D7113" i="1"/>
  <c r="E7113" i="1" s="1"/>
  <c r="D7112" i="1"/>
  <c r="E7112" i="1" s="1"/>
  <c r="E7111" i="1"/>
  <c r="D7111" i="1"/>
  <c r="D7110" i="1"/>
  <c r="E7110" i="1" s="1"/>
  <c r="D7109" i="1"/>
  <c r="E7109" i="1" s="1"/>
  <c r="E7108" i="1"/>
  <c r="D7108" i="1"/>
  <c r="D7107" i="1"/>
  <c r="E7107" i="1" s="1"/>
  <c r="D7106" i="1"/>
  <c r="E7106" i="1" s="1"/>
  <c r="D7105" i="1"/>
  <c r="E7105" i="1" s="1"/>
  <c r="D7104" i="1"/>
  <c r="E7104" i="1" s="1"/>
  <c r="D7103" i="1"/>
  <c r="E7103" i="1" s="1"/>
  <c r="E7102" i="1"/>
  <c r="D7102" i="1"/>
  <c r="E7101" i="1"/>
  <c r="D7101" i="1"/>
  <c r="E7100" i="1"/>
  <c r="D7100" i="1"/>
  <c r="E7099" i="1"/>
  <c r="D7099" i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E7092" i="1"/>
  <c r="D7092" i="1"/>
  <c r="D7091" i="1"/>
  <c r="E7091" i="1" s="1"/>
  <c r="E7090" i="1"/>
  <c r="D7090" i="1"/>
  <c r="E7089" i="1"/>
  <c r="D7089" i="1"/>
  <c r="D7088" i="1"/>
  <c r="E7088" i="1" s="1"/>
  <c r="D7087" i="1"/>
  <c r="E7087" i="1" s="1"/>
  <c r="D7086" i="1"/>
  <c r="E7086" i="1" s="1"/>
  <c r="D7085" i="1"/>
  <c r="E7085" i="1" s="1"/>
  <c r="D7084" i="1"/>
  <c r="E7084" i="1" s="1"/>
  <c r="D7083" i="1"/>
  <c r="E7083" i="1" s="1"/>
  <c r="D7082" i="1"/>
  <c r="E7082" i="1" s="1"/>
  <c r="E7081" i="1"/>
  <c r="D7081" i="1"/>
  <c r="E7080" i="1"/>
  <c r="D7080" i="1"/>
  <c r="E7079" i="1"/>
  <c r="D7079" i="1"/>
  <c r="D7078" i="1"/>
  <c r="E7078" i="1" s="1"/>
  <c r="D7077" i="1"/>
  <c r="E7077" i="1" s="1"/>
  <c r="D7076" i="1"/>
  <c r="E7076" i="1" s="1"/>
  <c r="E7075" i="1"/>
  <c r="D7075" i="1"/>
  <c r="E7074" i="1"/>
  <c r="D7074" i="1"/>
  <c r="D7073" i="1"/>
  <c r="E7073" i="1" s="1"/>
  <c r="D7072" i="1"/>
  <c r="E7072" i="1" s="1"/>
  <c r="D7071" i="1"/>
  <c r="E7071" i="1" s="1"/>
  <c r="D7070" i="1"/>
  <c r="E7070" i="1" s="1"/>
  <c r="E7069" i="1"/>
  <c r="D7069" i="1"/>
  <c r="D7068" i="1"/>
  <c r="E7068" i="1" s="1"/>
  <c r="D7067" i="1"/>
  <c r="E7067" i="1" s="1"/>
  <c r="D7066" i="1"/>
  <c r="E7066" i="1" s="1"/>
  <c r="E7065" i="1"/>
  <c r="D7065" i="1"/>
  <c r="D7064" i="1"/>
  <c r="E7064" i="1" s="1"/>
  <c r="E7063" i="1"/>
  <c r="D7063" i="1"/>
  <c r="E7062" i="1"/>
  <c r="D7062" i="1"/>
  <c r="D7061" i="1"/>
  <c r="E7061" i="1" s="1"/>
  <c r="E7060" i="1"/>
  <c r="D7060" i="1"/>
  <c r="D7059" i="1"/>
  <c r="E7059" i="1" s="1"/>
  <c r="D7058" i="1"/>
  <c r="E7058" i="1" s="1"/>
  <c r="E7057" i="1"/>
  <c r="D7057" i="1"/>
  <c r="D7056" i="1"/>
  <c r="E7056" i="1" s="1"/>
  <c r="D7055" i="1"/>
  <c r="E7055" i="1" s="1"/>
  <c r="E7054" i="1"/>
  <c r="D7054" i="1"/>
  <c r="E7053" i="1"/>
  <c r="D7053" i="1"/>
  <c r="E7052" i="1"/>
  <c r="D7052" i="1"/>
  <c r="D7051" i="1"/>
  <c r="E7051" i="1" s="1"/>
  <c r="D7050" i="1"/>
  <c r="E7050" i="1" s="1"/>
  <c r="D7049" i="1"/>
  <c r="E7049" i="1" s="1"/>
  <c r="E7048" i="1"/>
  <c r="D7048" i="1"/>
  <c r="D7047" i="1"/>
  <c r="E7047" i="1" s="1"/>
  <c r="D7046" i="1"/>
  <c r="E7046" i="1" s="1"/>
  <c r="D7045" i="1"/>
  <c r="E7045" i="1" s="1"/>
  <c r="D7044" i="1"/>
  <c r="E7044" i="1" s="1"/>
  <c r="D7043" i="1"/>
  <c r="E7043" i="1" s="1"/>
  <c r="E7042" i="1"/>
  <c r="D7042" i="1"/>
  <c r="D7041" i="1"/>
  <c r="E7041" i="1" s="1"/>
  <c r="D7040" i="1"/>
  <c r="E7040" i="1" s="1"/>
  <c r="D7039" i="1"/>
  <c r="E7039" i="1" s="1"/>
  <c r="E7038" i="1"/>
  <c r="D7038" i="1"/>
  <c r="D7037" i="1"/>
  <c r="E7037" i="1" s="1"/>
  <c r="E7036" i="1"/>
  <c r="D7036" i="1"/>
  <c r="D7035" i="1"/>
  <c r="E7035" i="1" s="1"/>
  <c r="D7034" i="1"/>
  <c r="E7034" i="1" s="1"/>
  <c r="E7033" i="1"/>
  <c r="D7033" i="1"/>
  <c r="E7032" i="1"/>
  <c r="D7032" i="1"/>
  <c r="E7031" i="1"/>
  <c r="D7031" i="1"/>
  <c r="E7030" i="1"/>
  <c r="D7030" i="1"/>
  <c r="D7029" i="1"/>
  <c r="E7029" i="1" s="1"/>
  <c r="D7028" i="1"/>
  <c r="E7028" i="1" s="1"/>
  <c r="E7027" i="1"/>
  <c r="D7027" i="1"/>
  <c r="E7026" i="1"/>
  <c r="D7026" i="1"/>
  <c r="D7025" i="1"/>
  <c r="E7025" i="1" s="1"/>
  <c r="E7024" i="1"/>
  <c r="D7024" i="1"/>
  <c r="D7023" i="1"/>
  <c r="E7023" i="1" s="1"/>
  <c r="D7022" i="1"/>
  <c r="E7022" i="1" s="1"/>
  <c r="E7021" i="1"/>
  <c r="D7021" i="1"/>
  <c r="E7020" i="1"/>
  <c r="D7020" i="1"/>
  <c r="D7019" i="1"/>
  <c r="E7019" i="1" s="1"/>
  <c r="D7018" i="1"/>
  <c r="E7018" i="1" s="1"/>
  <c r="D7017" i="1"/>
  <c r="E7017" i="1" s="1"/>
  <c r="D7016" i="1"/>
  <c r="E7016" i="1" s="1"/>
  <c r="E7015" i="1"/>
  <c r="D7015" i="1"/>
  <c r="D7014" i="1"/>
  <c r="E7014" i="1" s="1"/>
  <c r="D7013" i="1"/>
  <c r="E7013" i="1" s="1"/>
  <c r="E7012" i="1"/>
  <c r="D7012" i="1"/>
  <c r="D7011" i="1"/>
  <c r="E7011" i="1" s="1"/>
  <c r="D7010" i="1"/>
  <c r="E7010" i="1" s="1"/>
  <c r="D7009" i="1"/>
  <c r="E7009" i="1" s="1"/>
  <c r="E7008" i="1"/>
  <c r="D7008" i="1"/>
  <c r="D7007" i="1"/>
  <c r="E7007" i="1" s="1"/>
  <c r="E7006" i="1"/>
  <c r="D7006" i="1"/>
  <c r="E7005" i="1"/>
  <c r="D7005" i="1"/>
  <c r="D7004" i="1"/>
  <c r="E7004" i="1" s="1"/>
  <c r="E7003" i="1"/>
  <c r="D7003" i="1"/>
  <c r="D7002" i="1"/>
  <c r="E7002" i="1" s="1"/>
  <c r="D7001" i="1"/>
  <c r="E7001" i="1" s="1"/>
  <c r="E7000" i="1"/>
  <c r="D7000" i="1"/>
  <c r="D6999" i="1"/>
  <c r="E6999" i="1" s="1"/>
  <c r="D6998" i="1"/>
  <c r="E6998" i="1" s="1"/>
  <c r="D6997" i="1"/>
  <c r="E6997" i="1" s="1"/>
  <c r="E6996" i="1"/>
  <c r="D6996" i="1"/>
  <c r="E6995" i="1"/>
  <c r="D6995" i="1"/>
  <c r="E6994" i="1"/>
  <c r="D6994" i="1"/>
  <c r="E6993" i="1"/>
  <c r="D6993" i="1"/>
  <c r="D6992" i="1"/>
  <c r="E6992" i="1" s="1"/>
  <c r="D6991" i="1"/>
  <c r="E6991" i="1" s="1"/>
  <c r="E6990" i="1"/>
  <c r="D6990" i="1"/>
  <c r="D6989" i="1"/>
  <c r="E6989" i="1" s="1"/>
  <c r="D6988" i="1"/>
  <c r="E6988" i="1" s="1"/>
  <c r="D6987" i="1"/>
  <c r="E6987" i="1" s="1"/>
  <c r="D6986" i="1"/>
  <c r="E6986" i="1" s="1"/>
  <c r="E6985" i="1"/>
  <c r="D6985" i="1"/>
  <c r="E6984" i="1"/>
  <c r="D6984" i="1"/>
  <c r="E6983" i="1"/>
  <c r="D6983" i="1"/>
  <c r="D6982" i="1"/>
  <c r="E6982" i="1" s="1"/>
  <c r="E6981" i="1"/>
  <c r="D6981" i="1"/>
  <c r="D6980" i="1"/>
  <c r="E6980" i="1" s="1"/>
  <c r="E6979" i="1"/>
  <c r="D6979" i="1"/>
  <c r="E6978" i="1"/>
  <c r="D6978" i="1"/>
  <c r="D6977" i="1"/>
  <c r="E6977" i="1" s="1"/>
  <c r="E6976" i="1"/>
  <c r="D6976" i="1"/>
  <c r="D6975" i="1"/>
  <c r="E6975" i="1" s="1"/>
  <c r="D6974" i="1"/>
  <c r="E6974" i="1" s="1"/>
  <c r="E6973" i="1"/>
  <c r="D6973" i="1"/>
  <c r="D6972" i="1"/>
  <c r="E6972" i="1" s="1"/>
  <c r="D6971" i="1"/>
  <c r="E6971" i="1" s="1"/>
  <c r="D6970" i="1"/>
  <c r="E6970" i="1" s="1"/>
  <c r="E6969" i="1"/>
  <c r="D6969" i="1"/>
  <c r="D6968" i="1"/>
  <c r="E6968" i="1" s="1"/>
  <c r="E6967" i="1"/>
  <c r="D6967" i="1"/>
  <c r="E6966" i="1"/>
  <c r="D6966" i="1"/>
  <c r="D6965" i="1"/>
  <c r="E6965" i="1" s="1"/>
  <c r="E6964" i="1"/>
  <c r="D6964" i="1"/>
  <c r="D6963" i="1"/>
  <c r="E6963" i="1" s="1"/>
  <c r="D6962" i="1"/>
  <c r="E6962" i="1" s="1"/>
  <c r="D6961" i="1"/>
  <c r="E6961" i="1" s="1"/>
  <c r="E6960" i="1"/>
  <c r="D6960" i="1"/>
  <c r="D6959" i="1"/>
  <c r="E6959" i="1" s="1"/>
  <c r="E6958" i="1"/>
  <c r="D6958" i="1"/>
  <c r="E6957" i="1"/>
  <c r="D6957" i="1"/>
  <c r="E6956" i="1"/>
  <c r="D6956" i="1"/>
  <c r="D6955" i="1"/>
  <c r="E6955" i="1" s="1"/>
  <c r="E6954" i="1"/>
  <c r="D6954" i="1"/>
  <c r="D6953" i="1"/>
  <c r="E6953" i="1" s="1"/>
  <c r="E6952" i="1"/>
  <c r="D6952" i="1"/>
  <c r="D6951" i="1"/>
  <c r="E6951" i="1" s="1"/>
  <c r="D6950" i="1"/>
  <c r="E6950" i="1" s="1"/>
  <c r="D6949" i="1"/>
  <c r="E6949" i="1" s="1"/>
  <c r="D6948" i="1"/>
  <c r="E6948" i="1" s="1"/>
  <c r="D6947" i="1"/>
  <c r="E6947" i="1" s="1"/>
  <c r="E6946" i="1"/>
  <c r="D6946" i="1"/>
  <c r="E6945" i="1"/>
  <c r="D6945" i="1"/>
  <c r="D6944" i="1"/>
  <c r="E6944" i="1" s="1"/>
  <c r="D6943" i="1"/>
  <c r="E6943" i="1" s="1"/>
  <c r="E6942" i="1"/>
  <c r="D6942" i="1"/>
  <c r="D6941" i="1"/>
  <c r="E6941" i="1" s="1"/>
  <c r="D6940" i="1"/>
  <c r="E6940" i="1" s="1"/>
  <c r="D6939" i="1"/>
  <c r="E6939" i="1" s="1"/>
  <c r="D6938" i="1"/>
  <c r="E6938" i="1" s="1"/>
  <c r="E6937" i="1"/>
  <c r="D6937" i="1"/>
  <c r="E6936" i="1"/>
  <c r="D6936" i="1"/>
  <c r="E6935" i="1"/>
  <c r="D6935" i="1"/>
  <c r="E6934" i="1"/>
  <c r="D6934" i="1"/>
  <c r="E6933" i="1"/>
  <c r="D6933" i="1"/>
  <c r="D6932" i="1"/>
  <c r="E6932" i="1" s="1"/>
  <c r="E6931" i="1"/>
  <c r="D6931" i="1"/>
  <c r="E6930" i="1"/>
  <c r="D6930" i="1"/>
  <c r="D6929" i="1"/>
  <c r="E6929" i="1" s="1"/>
  <c r="E6928" i="1"/>
  <c r="D6928" i="1"/>
  <c r="D6927" i="1"/>
  <c r="E6927" i="1" s="1"/>
  <c r="D6926" i="1"/>
  <c r="E6926" i="1" s="1"/>
  <c r="E6925" i="1"/>
  <c r="D6925" i="1"/>
  <c r="E6924" i="1"/>
  <c r="D6924" i="1"/>
  <c r="D6923" i="1"/>
  <c r="E6923" i="1" s="1"/>
  <c r="D6922" i="1"/>
  <c r="E6922" i="1" s="1"/>
  <c r="D6921" i="1"/>
  <c r="E6921" i="1" s="1"/>
  <c r="E6920" i="1"/>
  <c r="D6920" i="1"/>
  <c r="E6919" i="1"/>
  <c r="D6919" i="1"/>
  <c r="D6918" i="1"/>
  <c r="E6918" i="1" s="1"/>
  <c r="D6917" i="1"/>
  <c r="E6917" i="1" s="1"/>
  <c r="E6916" i="1"/>
  <c r="D6916" i="1"/>
  <c r="D6915" i="1"/>
  <c r="E6915" i="1" s="1"/>
  <c r="D6914" i="1"/>
  <c r="E6914" i="1" s="1"/>
  <c r="D6913" i="1"/>
  <c r="E6913" i="1" s="1"/>
  <c r="E6912" i="1"/>
  <c r="D6912" i="1"/>
  <c r="D6911" i="1"/>
  <c r="E6911" i="1" s="1"/>
  <c r="E6910" i="1"/>
  <c r="D6910" i="1"/>
  <c r="E6909" i="1"/>
  <c r="D6909" i="1"/>
  <c r="E6908" i="1"/>
  <c r="D6908" i="1"/>
  <c r="D6907" i="1"/>
  <c r="E6907" i="1" s="1"/>
  <c r="D6906" i="1"/>
  <c r="E6906" i="1" s="1"/>
  <c r="D6905" i="1"/>
  <c r="E6905" i="1" s="1"/>
  <c r="E6904" i="1"/>
  <c r="D6904" i="1"/>
  <c r="D6903" i="1"/>
  <c r="E6903" i="1" s="1"/>
  <c r="D6902" i="1"/>
  <c r="E6902" i="1" s="1"/>
  <c r="D6901" i="1"/>
  <c r="E6901" i="1" s="1"/>
  <c r="E6900" i="1"/>
  <c r="D6900" i="1"/>
  <c r="D6899" i="1"/>
  <c r="E6899" i="1" s="1"/>
  <c r="E6898" i="1"/>
  <c r="D6898" i="1"/>
  <c r="E6897" i="1"/>
  <c r="D6897" i="1"/>
  <c r="D6896" i="1"/>
  <c r="E6896" i="1" s="1"/>
  <c r="D6895" i="1"/>
  <c r="E6895" i="1" s="1"/>
  <c r="D6894" i="1"/>
  <c r="E6894" i="1" s="1"/>
  <c r="D6893" i="1"/>
  <c r="E6893" i="1" s="1"/>
  <c r="E6892" i="1"/>
  <c r="D6892" i="1"/>
  <c r="D6891" i="1"/>
  <c r="E6891" i="1" s="1"/>
  <c r="D6890" i="1"/>
  <c r="E6890" i="1" s="1"/>
  <c r="E6889" i="1"/>
  <c r="D6889" i="1"/>
  <c r="E6888" i="1"/>
  <c r="D6888" i="1"/>
  <c r="E6887" i="1"/>
  <c r="D6887" i="1"/>
  <c r="D6886" i="1"/>
  <c r="E6886" i="1" s="1"/>
  <c r="E6885" i="1"/>
  <c r="D6885" i="1"/>
  <c r="D6884" i="1"/>
  <c r="E6884" i="1" s="1"/>
  <c r="E6883" i="1"/>
  <c r="D6883" i="1"/>
  <c r="E6882" i="1"/>
  <c r="D6882" i="1"/>
  <c r="D6881" i="1"/>
  <c r="E6881" i="1" s="1"/>
  <c r="D6880" i="1"/>
  <c r="E6880" i="1" s="1"/>
  <c r="D6879" i="1"/>
  <c r="E6879" i="1" s="1"/>
  <c r="D6878" i="1"/>
  <c r="E6878" i="1" s="1"/>
  <c r="E6877" i="1"/>
  <c r="D6877" i="1"/>
  <c r="D6876" i="1"/>
  <c r="E6876" i="1" s="1"/>
  <c r="D6875" i="1"/>
  <c r="E6875" i="1" s="1"/>
  <c r="D6874" i="1"/>
  <c r="E6874" i="1" s="1"/>
  <c r="E6873" i="1"/>
  <c r="D6873" i="1"/>
  <c r="D6872" i="1"/>
  <c r="E6872" i="1" s="1"/>
  <c r="E6871" i="1"/>
  <c r="D6871" i="1"/>
  <c r="E6870" i="1"/>
  <c r="D6870" i="1"/>
  <c r="D6869" i="1"/>
  <c r="E6869" i="1" s="1"/>
  <c r="E6868" i="1"/>
  <c r="D6868" i="1"/>
  <c r="D6867" i="1"/>
  <c r="E6867" i="1" s="1"/>
  <c r="D6866" i="1"/>
  <c r="E6866" i="1" s="1"/>
  <c r="D6865" i="1"/>
  <c r="E6865" i="1" s="1"/>
  <c r="E6864" i="1"/>
  <c r="D6864" i="1"/>
  <c r="D6863" i="1"/>
  <c r="E6863" i="1" s="1"/>
  <c r="E6862" i="1"/>
  <c r="D6862" i="1"/>
  <c r="E6861" i="1"/>
  <c r="D6861" i="1"/>
  <c r="E6860" i="1"/>
  <c r="D6860" i="1"/>
  <c r="D6859" i="1"/>
  <c r="E6859" i="1" s="1"/>
  <c r="E6858" i="1"/>
  <c r="D6858" i="1"/>
  <c r="D6857" i="1"/>
  <c r="E6857" i="1" s="1"/>
  <c r="E6856" i="1"/>
  <c r="D6856" i="1"/>
  <c r="D6855" i="1"/>
  <c r="E6855" i="1" s="1"/>
  <c r="D6854" i="1"/>
  <c r="E6854" i="1" s="1"/>
  <c r="D6853" i="1"/>
  <c r="E6853" i="1" s="1"/>
  <c r="E6852" i="1"/>
  <c r="D6852" i="1"/>
  <c r="E6851" i="1"/>
  <c r="D6851" i="1"/>
  <c r="E6850" i="1"/>
  <c r="D6850" i="1"/>
  <c r="E6849" i="1"/>
  <c r="D6849" i="1"/>
  <c r="D6848" i="1"/>
  <c r="E6848" i="1" s="1"/>
  <c r="D6847" i="1"/>
  <c r="E6847" i="1" s="1"/>
  <c r="E6846" i="1"/>
  <c r="D6846" i="1"/>
  <c r="D6845" i="1"/>
  <c r="E6845" i="1" s="1"/>
  <c r="D6844" i="1"/>
  <c r="E6844" i="1" s="1"/>
  <c r="D6843" i="1"/>
  <c r="E6843" i="1" s="1"/>
  <c r="D6842" i="1"/>
  <c r="E6842" i="1" s="1"/>
  <c r="E6841" i="1"/>
  <c r="D6841" i="1"/>
  <c r="E6840" i="1"/>
  <c r="D6840" i="1"/>
  <c r="D6839" i="1"/>
  <c r="E6839" i="1" s="1"/>
  <c r="D6838" i="1"/>
  <c r="E6838" i="1" s="1"/>
  <c r="E6837" i="1"/>
  <c r="D6837" i="1"/>
  <c r="D6836" i="1"/>
  <c r="E6836" i="1" s="1"/>
  <c r="E6835" i="1"/>
  <c r="D6835" i="1"/>
  <c r="E6834" i="1"/>
  <c r="D6834" i="1"/>
  <c r="D6833" i="1"/>
  <c r="E6833" i="1" s="1"/>
  <c r="E6832" i="1"/>
  <c r="D6832" i="1"/>
  <c r="D6831" i="1"/>
  <c r="E6831" i="1" s="1"/>
  <c r="D6830" i="1"/>
  <c r="E6830" i="1" s="1"/>
  <c r="E6829" i="1"/>
  <c r="D6829" i="1"/>
  <c r="E6828" i="1"/>
  <c r="D6828" i="1"/>
  <c r="D6827" i="1"/>
  <c r="E6827" i="1" s="1"/>
  <c r="D6826" i="1"/>
  <c r="E6826" i="1" s="1"/>
  <c r="D6825" i="1"/>
  <c r="E6825" i="1" s="1"/>
  <c r="D6824" i="1"/>
  <c r="E6824" i="1" s="1"/>
  <c r="E6823" i="1"/>
  <c r="D6823" i="1"/>
  <c r="E6822" i="1"/>
  <c r="D6822" i="1"/>
  <c r="D6821" i="1"/>
  <c r="E6821" i="1" s="1"/>
  <c r="E6820" i="1"/>
  <c r="D6820" i="1"/>
  <c r="D6819" i="1"/>
  <c r="E6819" i="1" s="1"/>
  <c r="D6818" i="1"/>
  <c r="E6818" i="1" s="1"/>
  <c r="D6817" i="1"/>
  <c r="E6817" i="1" s="1"/>
  <c r="E6816" i="1"/>
  <c r="D6816" i="1"/>
  <c r="D6815" i="1"/>
  <c r="E6815" i="1" s="1"/>
  <c r="E6814" i="1"/>
  <c r="D6814" i="1"/>
  <c r="E6813" i="1"/>
  <c r="D6813" i="1"/>
  <c r="E6812" i="1"/>
  <c r="D6812" i="1"/>
  <c r="E6811" i="1"/>
  <c r="D6811" i="1"/>
  <c r="E6810" i="1"/>
  <c r="D6810" i="1"/>
  <c r="D6809" i="1"/>
  <c r="E6809" i="1" s="1"/>
  <c r="D6808" i="1"/>
  <c r="E6808" i="1" s="1"/>
  <c r="D6807" i="1"/>
  <c r="E6807" i="1" s="1"/>
  <c r="D6806" i="1"/>
  <c r="E6806" i="1" s="1"/>
  <c r="D6805" i="1"/>
  <c r="E6805" i="1" s="1"/>
  <c r="E6804" i="1"/>
  <c r="D6804" i="1"/>
  <c r="E6803" i="1"/>
  <c r="D6803" i="1"/>
  <c r="E6802" i="1"/>
  <c r="D6802" i="1"/>
  <c r="E6801" i="1"/>
  <c r="D6801" i="1"/>
  <c r="D6800" i="1"/>
  <c r="E6800" i="1" s="1"/>
  <c r="D6799" i="1"/>
  <c r="E6799" i="1" s="1"/>
  <c r="E6798" i="1"/>
  <c r="D6798" i="1"/>
  <c r="D6797" i="1"/>
  <c r="E6797" i="1" s="1"/>
  <c r="D6796" i="1"/>
  <c r="E6796" i="1" s="1"/>
  <c r="D6795" i="1"/>
  <c r="E6795" i="1" s="1"/>
  <c r="D6794" i="1"/>
  <c r="E6794" i="1" s="1"/>
  <c r="E6793" i="1"/>
  <c r="D6793" i="1"/>
  <c r="E6792" i="1"/>
  <c r="D6792" i="1"/>
  <c r="E6791" i="1"/>
  <c r="D6791" i="1"/>
  <c r="D6790" i="1"/>
  <c r="E6790" i="1" s="1"/>
  <c r="D6789" i="1"/>
  <c r="E6789" i="1" s="1"/>
  <c r="D6788" i="1"/>
  <c r="E6788" i="1" s="1"/>
  <c r="E6787" i="1"/>
  <c r="D6787" i="1"/>
  <c r="E6786" i="1"/>
  <c r="D6786" i="1"/>
  <c r="D6785" i="1"/>
  <c r="E6785" i="1" s="1"/>
  <c r="D6784" i="1"/>
  <c r="E6784" i="1" s="1"/>
  <c r="D6783" i="1"/>
  <c r="E6783" i="1" s="1"/>
  <c r="D6782" i="1"/>
  <c r="E6782" i="1" s="1"/>
  <c r="E6781" i="1"/>
  <c r="D6781" i="1"/>
  <c r="D6780" i="1"/>
  <c r="E6780" i="1" s="1"/>
  <c r="D6779" i="1"/>
  <c r="E6779" i="1" s="1"/>
  <c r="D6778" i="1"/>
  <c r="E6778" i="1" s="1"/>
  <c r="E6777" i="1"/>
  <c r="D6777" i="1"/>
  <c r="E6776" i="1"/>
  <c r="D6776" i="1"/>
  <c r="E6775" i="1"/>
  <c r="D6775" i="1"/>
  <c r="E6774" i="1"/>
  <c r="D6774" i="1"/>
  <c r="D6773" i="1"/>
  <c r="E6773" i="1" s="1"/>
  <c r="E6772" i="1"/>
  <c r="D6772" i="1"/>
  <c r="D6771" i="1"/>
  <c r="E6771" i="1" s="1"/>
  <c r="D6770" i="1"/>
  <c r="E6770" i="1" s="1"/>
  <c r="D6769" i="1"/>
  <c r="E6769" i="1" s="1"/>
  <c r="D6768" i="1"/>
  <c r="E6768" i="1" s="1"/>
  <c r="D6767" i="1"/>
  <c r="E6767" i="1" s="1"/>
  <c r="E6766" i="1"/>
  <c r="D6766" i="1"/>
  <c r="E6765" i="1"/>
  <c r="D6765" i="1"/>
  <c r="E6764" i="1"/>
  <c r="D6764" i="1"/>
  <c r="D6763" i="1"/>
  <c r="E6763" i="1" s="1"/>
  <c r="E6762" i="1"/>
  <c r="D6762" i="1"/>
  <c r="D6761" i="1"/>
  <c r="E6761" i="1" s="1"/>
  <c r="E6760" i="1"/>
  <c r="D6760" i="1"/>
  <c r="D6759" i="1"/>
  <c r="E6759" i="1" s="1"/>
  <c r="D6758" i="1"/>
  <c r="E6758" i="1" s="1"/>
  <c r="D6757" i="1"/>
  <c r="E6757" i="1" s="1"/>
  <c r="D6756" i="1"/>
  <c r="E6756" i="1" s="1"/>
  <c r="E6755" i="1"/>
  <c r="D6755" i="1"/>
  <c r="E6754" i="1"/>
  <c r="D6754" i="1"/>
  <c r="D6753" i="1"/>
  <c r="E6753" i="1" s="1"/>
  <c r="D6752" i="1"/>
  <c r="E6752" i="1" s="1"/>
  <c r="D6751" i="1"/>
  <c r="E6751" i="1" s="1"/>
  <c r="E6750" i="1"/>
  <c r="D6750" i="1"/>
  <c r="D6749" i="1"/>
  <c r="E6749" i="1" s="1"/>
  <c r="E6748" i="1"/>
  <c r="D6748" i="1"/>
  <c r="D6747" i="1"/>
  <c r="E6747" i="1" s="1"/>
  <c r="D6746" i="1"/>
  <c r="E6746" i="1" s="1"/>
  <c r="E6745" i="1"/>
  <c r="D6745" i="1"/>
  <c r="E6744" i="1"/>
  <c r="D6744" i="1"/>
  <c r="D6743" i="1"/>
  <c r="E6743" i="1" s="1"/>
  <c r="D6742" i="1"/>
  <c r="E6742" i="1" s="1"/>
  <c r="E6741" i="1"/>
  <c r="D6741" i="1"/>
  <c r="D6740" i="1"/>
  <c r="E6740" i="1" s="1"/>
  <c r="E6739" i="1"/>
  <c r="D6739" i="1"/>
  <c r="E6738" i="1"/>
  <c r="D6738" i="1"/>
  <c r="D6737" i="1"/>
  <c r="E6737" i="1" s="1"/>
  <c r="E6736" i="1"/>
  <c r="D6736" i="1"/>
  <c r="D6735" i="1"/>
  <c r="E6735" i="1" s="1"/>
  <c r="D6734" i="1"/>
  <c r="E6734" i="1" s="1"/>
  <c r="E6733" i="1"/>
  <c r="D6733" i="1"/>
  <c r="E6732" i="1"/>
  <c r="D6732" i="1"/>
  <c r="D6731" i="1"/>
  <c r="E6731" i="1" s="1"/>
  <c r="D6730" i="1"/>
  <c r="E6730" i="1" s="1"/>
  <c r="E6729" i="1"/>
  <c r="D6729" i="1"/>
  <c r="D6728" i="1"/>
  <c r="E6728" i="1" s="1"/>
  <c r="E6727" i="1"/>
  <c r="D6727" i="1"/>
  <c r="D6726" i="1"/>
  <c r="E6726" i="1" s="1"/>
  <c r="D6725" i="1"/>
  <c r="E6725" i="1" s="1"/>
  <c r="E6724" i="1"/>
  <c r="D6724" i="1"/>
  <c r="D6723" i="1"/>
  <c r="E6723" i="1" s="1"/>
  <c r="D6722" i="1"/>
  <c r="E6722" i="1" s="1"/>
  <c r="D6721" i="1"/>
  <c r="E6721" i="1" s="1"/>
  <c r="E6720" i="1"/>
  <c r="D6720" i="1"/>
  <c r="D6719" i="1"/>
  <c r="E6719" i="1" s="1"/>
  <c r="E6718" i="1"/>
  <c r="D6718" i="1"/>
  <c r="E6717" i="1"/>
  <c r="D6717" i="1"/>
  <c r="D6716" i="1"/>
  <c r="E6716" i="1" s="1"/>
  <c r="E6715" i="1"/>
  <c r="D6715" i="1"/>
  <c r="D6714" i="1"/>
  <c r="E6714" i="1" s="1"/>
  <c r="D6713" i="1"/>
  <c r="E6713" i="1" s="1"/>
  <c r="D6712" i="1"/>
  <c r="E6712" i="1" s="1"/>
  <c r="D6711" i="1"/>
  <c r="E6711" i="1" s="1"/>
  <c r="D6710" i="1"/>
  <c r="E6710" i="1" s="1"/>
  <c r="D6709" i="1"/>
  <c r="E6709" i="1" s="1"/>
  <c r="E6708" i="1"/>
  <c r="D6708" i="1"/>
  <c r="D6707" i="1"/>
  <c r="E6707" i="1" s="1"/>
  <c r="E6706" i="1"/>
  <c r="D6706" i="1"/>
  <c r="E6705" i="1"/>
  <c r="D6705" i="1"/>
  <c r="D6704" i="1"/>
  <c r="E6704" i="1" s="1"/>
  <c r="D6703" i="1"/>
  <c r="E6703" i="1" s="1"/>
  <c r="D6702" i="1"/>
  <c r="E6702" i="1" s="1"/>
  <c r="D6701" i="1"/>
  <c r="E6701" i="1" s="1"/>
  <c r="E6700" i="1"/>
  <c r="D6700" i="1"/>
  <c r="D6699" i="1"/>
  <c r="E6699" i="1" s="1"/>
  <c r="D6698" i="1"/>
  <c r="E6698" i="1" s="1"/>
  <c r="E6697" i="1"/>
  <c r="D6697" i="1"/>
  <c r="E6696" i="1"/>
  <c r="D6696" i="1"/>
  <c r="E6695" i="1"/>
  <c r="D6695" i="1"/>
  <c r="D6694" i="1"/>
  <c r="E6694" i="1" s="1"/>
  <c r="E6693" i="1"/>
  <c r="D6693" i="1"/>
  <c r="D6692" i="1"/>
  <c r="E6692" i="1" s="1"/>
  <c r="E6691" i="1"/>
  <c r="D6691" i="1"/>
  <c r="E6690" i="1"/>
  <c r="D6690" i="1"/>
  <c r="D6689" i="1"/>
  <c r="E6689" i="1" s="1"/>
  <c r="D6688" i="1"/>
  <c r="E6688" i="1" s="1"/>
  <c r="D6687" i="1"/>
  <c r="E6687" i="1" s="1"/>
  <c r="D6686" i="1"/>
  <c r="E6686" i="1" s="1"/>
  <c r="E6685" i="1"/>
  <c r="D6685" i="1"/>
  <c r="E6684" i="1"/>
  <c r="D6684" i="1"/>
  <c r="D6683" i="1"/>
  <c r="E6683" i="1" s="1"/>
  <c r="D6682" i="1"/>
  <c r="E6682" i="1" s="1"/>
  <c r="E6681" i="1"/>
  <c r="D6681" i="1"/>
  <c r="D6680" i="1"/>
  <c r="E6680" i="1" s="1"/>
  <c r="E6679" i="1"/>
  <c r="D6679" i="1"/>
  <c r="E6678" i="1"/>
  <c r="D6678" i="1"/>
  <c r="D6677" i="1"/>
  <c r="E6677" i="1" s="1"/>
  <c r="E6676" i="1"/>
  <c r="D6676" i="1"/>
  <c r="D6675" i="1"/>
  <c r="E6675" i="1" s="1"/>
  <c r="D6674" i="1"/>
  <c r="E6674" i="1" s="1"/>
  <c r="E6673" i="1"/>
  <c r="D6673" i="1"/>
  <c r="D6672" i="1"/>
  <c r="E6672" i="1" s="1"/>
  <c r="D6671" i="1"/>
  <c r="E6671" i="1" s="1"/>
  <c r="E6670" i="1"/>
  <c r="D6670" i="1"/>
  <c r="E6669" i="1"/>
  <c r="D6669" i="1"/>
  <c r="E6668" i="1"/>
  <c r="D6668" i="1"/>
  <c r="D6667" i="1"/>
  <c r="E6667" i="1" s="1"/>
  <c r="E6666" i="1"/>
  <c r="D6666" i="1"/>
  <c r="D6665" i="1"/>
  <c r="E6665" i="1" s="1"/>
  <c r="E6664" i="1"/>
  <c r="D6664" i="1"/>
  <c r="D6663" i="1"/>
  <c r="E6663" i="1" s="1"/>
  <c r="D6662" i="1"/>
  <c r="E6662" i="1" s="1"/>
  <c r="D6661" i="1"/>
  <c r="E6661" i="1" s="1"/>
  <c r="E6660" i="1"/>
  <c r="D6660" i="1"/>
  <c r="E6659" i="1"/>
  <c r="D6659" i="1"/>
  <c r="E6658" i="1"/>
  <c r="D6658" i="1"/>
  <c r="D6657" i="1"/>
  <c r="E6657" i="1" s="1"/>
  <c r="D6656" i="1"/>
  <c r="E6656" i="1" s="1"/>
  <c r="D6655" i="1"/>
  <c r="E6655" i="1" s="1"/>
  <c r="E6654" i="1"/>
  <c r="D6654" i="1"/>
  <c r="D6653" i="1"/>
  <c r="E6653" i="1" s="1"/>
  <c r="D6652" i="1"/>
  <c r="E6652" i="1" s="1"/>
  <c r="D6651" i="1"/>
  <c r="E6651" i="1" s="1"/>
  <c r="D6650" i="1"/>
  <c r="E6650" i="1" s="1"/>
  <c r="E6649" i="1"/>
  <c r="D6649" i="1"/>
  <c r="E6648" i="1"/>
  <c r="D6648" i="1"/>
  <c r="E6647" i="1"/>
  <c r="D6647" i="1"/>
  <c r="D6646" i="1"/>
  <c r="E6646" i="1" s="1"/>
  <c r="D6645" i="1"/>
  <c r="E6645" i="1" s="1"/>
  <c r="D6644" i="1"/>
  <c r="E6644" i="1" s="1"/>
  <c r="E6643" i="1"/>
  <c r="D6643" i="1"/>
  <c r="E6642" i="1"/>
  <c r="D6642" i="1"/>
  <c r="E6641" i="1"/>
  <c r="D6641" i="1"/>
  <c r="D6640" i="1"/>
  <c r="E6640" i="1" s="1"/>
  <c r="E6639" i="1"/>
  <c r="D6639" i="1"/>
  <c r="D6638" i="1"/>
  <c r="E6638" i="1" s="1"/>
  <c r="E6637" i="1"/>
  <c r="D6637" i="1"/>
  <c r="E6636" i="1"/>
  <c r="D6636" i="1"/>
  <c r="D6635" i="1"/>
  <c r="E6635" i="1" s="1"/>
  <c r="D6634" i="1"/>
  <c r="E6634" i="1" s="1"/>
  <c r="D6633" i="1"/>
  <c r="E6633" i="1" s="1"/>
  <c r="D6632" i="1"/>
  <c r="E6632" i="1" s="1"/>
  <c r="D6631" i="1"/>
  <c r="E6631" i="1" s="1"/>
  <c r="E6630" i="1"/>
  <c r="D6630" i="1"/>
  <c r="E6629" i="1"/>
  <c r="D6629" i="1"/>
  <c r="D6628" i="1"/>
  <c r="E6628" i="1" s="1"/>
  <c r="E6627" i="1"/>
  <c r="D6627" i="1"/>
  <c r="D6626" i="1"/>
  <c r="E6626" i="1" s="1"/>
  <c r="E6625" i="1"/>
  <c r="D6625" i="1"/>
  <c r="E6624" i="1"/>
  <c r="D6624" i="1"/>
  <c r="D6623" i="1"/>
  <c r="E6623" i="1" s="1"/>
  <c r="D6622" i="1"/>
  <c r="E6622" i="1" s="1"/>
  <c r="E6621" i="1"/>
  <c r="D6621" i="1"/>
  <c r="D6620" i="1"/>
  <c r="E6620" i="1" s="1"/>
  <c r="D6619" i="1"/>
  <c r="E6619" i="1" s="1"/>
  <c r="E6618" i="1"/>
  <c r="D6618" i="1"/>
  <c r="E6617" i="1"/>
  <c r="D6617" i="1"/>
  <c r="D6616" i="1"/>
  <c r="E6616" i="1" s="1"/>
  <c r="D6615" i="1"/>
  <c r="E6615" i="1" s="1"/>
  <c r="D6614" i="1"/>
  <c r="E6614" i="1" s="1"/>
  <c r="E6613" i="1"/>
  <c r="D6613" i="1"/>
  <c r="E6612" i="1"/>
  <c r="D6612" i="1"/>
  <c r="D6611" i="1"/>
  <c r="E6611" i="1" s="1"/>
  <c r="D6610" i="1"/>
  <c r="E6610" i="1" s="1"/>
  <c r="D6609" i="1"/>
  <c r="E6609" i="1" s="1"/>
  <c r="D6608" i="1"/>
  <c r="E6608" i="1" s="1"/>
  <c r="E6607" i="1"/>
  <c r="D6607" i="1"/>
  <c r="E6606" i="1"/>
  <c r="D6606" i="1"/>
  <c r="E6605" i="1"/>
  <c r="D6605" i="1"/>
  <c r="D6604" i="1"/>
  <c r="E6604" i="1" s="1"/>
  <c r="E6603" i="1"/>
  <c r="D6603" i="1"/>
  <c r="D6602" i="1"/>
  <c r="E6602" i="1" s="1"/>
  <c r="E6601" i="1"/>
  <c r="D6601" i="1"/>
  <c r="E6600" i="1"/>
  <c r="D6600" i="1"/>
  <c r="D6599" i="1"/>
  <c r="E6599" i="1" s="1"/>
  <c r="E6598" i="1"/>
  <c r="D6598" i="1"/>
  <c r="D6597" i="1"/>
  <c r="E6597" i="1" s="1"/>
  <c r="D6596" i="1"/>
  <c r="E6596" i="1" s="1"/>
  <c r="D6595" i="1"/>
  <c r="E6595" i="1" s="1"/>
  <c r="E6594" i="1"/>
  <c r="D6594" i="1"/>
  <c r="E6593" i="1"/>
  <c r="D6593" i="1"/>
  <c r="D6592" i="1"/>
  <c r="E6592" i="1" s="1"/>
  <c r="D6591" i="1"/>
  <c r="E6591" i="1" s="1"/>
  <c r="D6590" i="1"/>
  <c r="E6590" i="1" s="1"/>
  <c r="E6589" i="1"/>
  <c r="D6589" i="1"/>
  <c r="E6588" i="1"/>
  <c r="D6588" i="1"/>
  <c r="D6587" i="1"/>
  <c r="E6587" i="1" s="1"/>
  <c r="E6586" i="1"/>
  <c r="D6586" i="1"/>
  <c r="E6585" i="1"/>
  <c r="D6585" i="1"/>
  <c r="D6584" i="1"/>
  <c r="E6584" i="1" s="1"/>
  <c r="D6583" i="1"/>
  <c r="E6583" i="1" s="1"/>
  <c r="E6582" i="1"/>
  <c r="D6582" i="1"/>
  <c r="E6581" i="1"/>
  <c r="D6581" i="1"/>
  <c r="D6580" i="1"/>
  <c r="E6580" i="1" s="1"/>
  <c r="D6579" i="1"/>
  <c r="E6579" i="1" s="1"/>
  <c r="D6578" i="1"/>
  <c r="E6578" i="1" s="1"/>
  <c r="E6577" i="1"/>
  <c r="D6577" i="1"/>
  <c r="E6576" i="1"/>
  <c r="D6576" i="1"/>
  <c r="D6575" i="1"/>
  <c r="E6575" i="1" s="1"/>
  <c r="D6574" i="1"/>
  <c r="E6574" i="1" s="1"/>
  <c r="D6573" i="1"/>
  <c r="E6573" i="1" s="1"/>
  <c r="D6572" i="1"/>
  <c r="E6572" i="1" s="1"/>
  <c r="E6571" i="1"/>
  <c r="D6571" i="1"/>
  <c r="E6570" i="1"/>
  <c r="D6570" i="1"/>
  <c r="E6569" i="1"/>
  <c r="D6569" i="1"/>
  <c r="D6568" i="1"/>
  <c r="E6568" i="1" s="1"/>
  <c r="D6567" i="1"/>
  <c r="E6567" i="1" s="1"/>
  <c r="D6566" i="1"/>
  <c r="E6566" i="1" s="1"/>
  <c r="E6565" i="1"/>
  <c r="D6565" i="1"/>
  <c r="E6564" i="1"/>
  <c r="D6564" i="1"/>
  <c r="E6563" i="1"/>
  <c r="D6563" i="1"/>
  <c r="E6562" i="1"/>
  <c r="D6562" i="1"/>
  <c r="E6561" i="1"/>
  <c r="D6561" i="1"/>
  <c r="D6560" i="1"/>
  <c r="E6560" i="1" s="1"/>
  <c r="D6559" i="1"/>
  <c r="E6559" i="1" s="1"/>
  <c r="E6558" i="1"/>
  <c r="D6558" i="1"/>
  <c r="E6557" i="1"/>
  <c r="D6557" i="1"/>
  <c r="D6556" i="1"/>
  <c r="E6556" i="1" s="1"/>
  <c r="D6555" i="1"/>
  <c r="E6555" i="1" s="1"/>
  <c r="D6554" i="1"/>
  <c r="E6554" i="1" s="1"/>
  <c r="E6553" i="1"/>
  <c r="D6553" i="1"/>
  <c r="E6552" i="1"/>
  <c r="D6552" i="1"/>
  <c r="E6551" i="1"/>
  <c r="D6551" i="1"/>
  <c r="D6550" i="1"/>
  <c r="E6550" i="1" s="1"/>
  <c r="D6549" i="1"/>
  <c r="E6549" i="1" s="1"/>
  <c r="D6548" i="1"/>
  <c r="E6548" i="1" s="1"/>
  <c r="D6547" i="1"/>
  <c r="E6547" i="1" s="1"/>
  <c r="E6546" i="1"/>
  <c r="D6546" i="1"/>
  <c r="E6545" i="1"/>
  <c r="D6545" i="1"/>
  <c r="D6544" i="1"/>
  <c r="E6544" i="1" s="1"/>
  <c r="E6543" i="1"/>
  <c r="D6543" i="1"/>
  <c r="D6542" i="1"/>
  <c r="E6542" i="1" s="1"/>
  <c r="E6541" i="1"/>
  <c r="D6541" i="1"/>
  <c r="E6540" i="1"/>
  <c r="D6540" i="1"/>
  <c r="D6539" i="1"/>
  <c r="E6539" i="1" s="1"/>
  <c r="D6538" i="1"/>
  <c r="E6538" i="1" s="1"/>
  <c r="D6537" i="1"/>
  <c r="E6537" i="1" s="1"/>
  <c r="D6536" i="1"/>
  <c r="E6536" i="1" s="1"/>
  <c r="D6535" i="1"/>
  <c r="E6535" i="1" s="1"/>
  <c r="E6534" i="1"/>
  <c r="D6534" i="1"/>
  <c r="E6533" i="1"/>
  <c r="D6533" i="1"/>
  <c r="D6532" i="1"/>
  <c r="E6532" i="1" s="1"/>
  <c r="D6531" i="1"/>
  <c r="E6531" i="1" s="1"/>
  <c r="D6530" i="1"/>
  <c r="E6530" i="1" s="1"/>
  <c r="E6529" i="1"/>
  <c r="D6529" i="1"/>
  <c r="E6528" i="1"/>
  <c r="D6528" i="1"/>
  <c r="D6527" i="1"/>
  <c r="E6527" i="1" s="1"/>
  <c r="E6526" i="1"/>
  <c r="D6526" i="1"/>
  <c r="E6525" i="1"/>
  <c r="D6525" i="1"/>
  <c r="D6524" i="1"/>
  <c r="E6524" i="1" s="1"/>
  <c r="D6523" i="1"/>
  <c r="E6523" i="1" s="1"/>
  <c r="E6522" i="1"/>
  <c r="D6522" i="1"/>
  <c r="E6521" i="1"/>
  <c r="D6521" i="1"/>
  <c r="D6520" i="1"/>
  <c r="E6520" i="1" s="1"/>
  <c r="E6519" i="1"/>
  <c r="D6519" i="1"/>
  <c r="D6518" i="1"/>
  <c r="E6518" i="1" s="1"/>
  <c r="E6517" i="1"/>
  <c r="D6517" i="1"/>
  <c r="E6516" i="1"/>
  <c r="D6516" i="1"/>
  <c r="D6515" i="1"/>
  <c r="E6515" i="1" s="1"/>
  <c r="D6514" i="1"/>
  <c r="E6514" i="1" s="1"/>
  <c r="D6513" i="1"/>
  <c r="E6513" i="1" s="1"/>
  <c r="D6512" i="1"/>
  <c r="E6512" i="1" s="1"/>
  <c r="E6511" i="1"/>
  <c r="D6511" i="1"/>
  <c r="E6510" i="1"/>
  <c r="D6510" i="1"/>
  <c r="E6509" i="1"/>
  <c r="D6509" i="1"/>
  <c r="D6508" i="1"/>
  <c r="E6508" i="1" s="1"/>
  <c r="E6507" i="1"/>
  <c r="D6507" i="1"/>
  <c r="D6506" i="1"/>
  <c r="E6506" i="1" s="1"/>
  <c r="E6505" i="1"/>
  <c r="D6505" i="1"/>
  <c r="E6504" i="1"/>
  <c r="D6504" i="1"/>
  <c r="E6503" i="1"/>
  <c r="D6503" i="1"/>
  <c r="E6502" i="1"/>
  <c r="D6502" i="1"/>
  <c r="D6501" i="1"/>
  <c r="E6501" i="1" s="1"/>
  <c r="D6500" i="1"/>
  <c r="E6500" i="1" s="1"/>
  <c r="E6499" i="1"/>
  <c r="D6499" i="1"/>
  <c r="E6498" i="1"/>
  <c r="D6498" i="1"/>
  <c r="E6497" i="1"/>
  <c r="D6497" i="1"/>
  <c r="D6496" i="1"/>
  <c r="E6496" i="1" s="1"/>
  <c r="D6495" i="1"/>
  <c r="E6495" i="1" s="1"/>
  <c r="D6494" i="1"/>
  <c r="E6494" i="1" s="1"/>
  <c r="E6493" i="1"/>
  <c r="D6493" i="1"/>
  <c r="E6492" i="1"/>
  <c r="D6492" i="1"/>
  <c r="D6491" i="1"/>
  <c r="E6491" i="1" s="1"/>
  <c r="D6490" i="1"/>
  <c r="E6490" i="1" s="1"/>
  <c r="E6489" i="1"/>
  <c r="D6489" i="1"/>
  <c r="D6488" i="1"/>
  <c r="E6488" i="1" s="1"/>
  <c r="D6487" i="1"/>
  <c r="E6487" i="1" s="1"/>
  <c r="E6486" i="1"/>
  <c r="D6486" i="1"/>
  <c r="E6485" i="1"/>
  <c r="D6485" i="1"/>
  <c r="D6484" i="1"/>
  <c r="E6484" i="1" s="1"/>
  <c r="D6483" i="1"/>
  <c r="E6483" i="1" s="1"/>
  <c r="D6482" i="1"/>
  <c r="E6482" i="1" s="1"/>
  <c r="E6481" i="1"/>
  <c r="D6481" i="1"/>
  <c r="E6480" i="1"/>
  <c r="D6480" i="1"/>
  <c r="D6479" i="1"/>
  <c r="E6479" i="1" s="1"/>
  <c r="D6478" i="1"/>
  <c r="E6478" i="1" s="1"/>
  <c r="D6477" i="1"/>
  <c r="E6477" i="1" s="1"/>
  <c r="D6476" i="1"/>
  <c r="E6476" i="1" s="1"/>
  <c r="E6475" i="1"/>
  <c r="D6475" i="1"/>
  <c r="E6474" i="1"/>
  <c r="D6474" i="1"/>
  <c r="E6473" i="1"/>
  <c r="D6473" i="1"/>
  <c r="D6472" i="1"/>
  <c r="E6472" i="1" s="1"/>
  <c r="E6471" i="1"/>
  <c r="D6471" i="1"/>
  <c r="D6470" i="1"/>
  <c r="E6470" i="1" s="1"/>
  <c r="E6469" i="1"/>
  <c r="D6469" i="1"/>
  <c r="E6468" i="1"/>
  <c r="D6468" i="1"/>
  <c r="E6467" i="1"/>
  <c r="D6467" i="1"/>
  <c r="E6466" i="1"/>
  <c r="D6466" i="1"/>
  <c r="E6465" i="1"/>
  <c r="D6465" i="1"/>
  <c r="D6464" i="1"/>
  <c r="E6464" i="1" s="1"/>
  <c r="D6463" i="1"/>
  <c r="E6463" i="1" s="1"/>
  <c r="E6462" i="1"/>
  <c r="D6462" i="1"/>
  <c r="E6461" i="1"/>
  <c r="D6461" i="1"/>
  <c r="D6460" i="1"/>
  <c r="E6460" i="1" s="1"/>
  <c r="D6459" i="1"/>
  <c r="E6459" i="1" s="1"/>
  <c r="D6458" i="1"/>
  <c r="E6458" i="1" s="1"/>
  <c r="E6457" i="1"/>
  <c r="D6457" i="1"/>
  <c r="E6456" i="1"/>
  <c r="D6456" i="1"/>
  <c r="E6455" i="1"/>
  <c r="D6455" i="1"/>
  <c r="D6454" i="1"/>
  <c r="E6454" i="1" s="1"/>
  <c r="D6453" i="1"/>
  <c r="E6453" i="1" s="1"/>
  <c r="D6452" i="1"/>
  <c r="E6452" i="1" s="1"/>
  <c r="E6451" i="1"/>
  <c r="D6451" i="1"/>
  <c r="E6450" i="1"/>
  <c r="D6450" i="1"/>
  <c r="E6449" i="1"/>
  <c r="D6449" i="1"/>
  <c r="D6448" i="1"/>
  <c r="E6448" i="1" s="1"/>
  <c r="E6447" i="1"/>
  <c r="D6447" i="1"/>
  <c r="D6446" i="1"/>
  <c r="E6446" i="1" s="1"/>
  <c r="E6445" i="1"/>
  <c r="D6445" i="1"/>
  <c r="E6444" i="1"/>
  <c r="D6444" i="1"/>
  <c r="D6443" i="1"/>
  <c r="E6443" i="1" s="1"/>
  <c r="D6442" i="1"/>
  <c r="E6442" i="1" s="1"/>
  <c r="D6441" i="1"/>
  <c r="E6441" i="1" s="1"/>
  <c r="D6440" i="1"/>
  <c r="E6440" i="1" s="1"/>
  <c r="D6439" i="1"/>
  <c r="E6439" i="1" s="1"/>
  <c r="E6438" i="1"/>
  <c r="D6438" i="1"/>
  <c r="E6437" i="1"/>
  <c r="D6437" i="1"/>
  <c r="D6436" i="1"/>
  <c r="E6436" i="1" s="1"/>
  <c r="D6435" i="1"/>
  <c r="E6435" i="1" s="1"/>
  <c r="D6434" i="1"/>
  <c r="E6434" i="1" s="1"/>
  <c r="E6433" i="1"/>
  <c r="D6433" i="1"/>
  <c r="E6432" i="1"/>
  <c r="D6432" i="1"/>
  <c r="D6431" i="1"/>
  <c r="E6431" i="1" s="1"/>
  <c r="D6430" i="1"/>
  <c r="E6430" i="1" s="1"/>
  <c r="E6429" i="1"/>
  <c r="D6429" i="1"/>
  <c r="D6428" i="1"/>
  <c r="E6428" i="1" s="1"/>
  <c r="D6427" i="1"/>
  <c r="E6427" i="1" s="1"/>
  <c r="E6426" i="1"/>
  <c r="D6426" i="1"/>
  <c r="E6425" i="1"/>
  <c r="D6425" i="1"/>
  <c r="D6424" i="1"/>
  <c r="E6424" i="1" s="1"/>
  <c r="E6423" i="1"/>
  <c r="D6423" i="1"/>
  <c r="D6422" i="1"/>
  <c r="E6422" i="1" s="1"/>
  <c r="E6421" i="1"/>
  <c r="D6421" i="1"/>
  <c r="E6420" i="1"/>
  <c r="D6420" i="1"/>
  <c r="D6419" i="1"/>
  <c r="E6419" i="1" s="1"/>
  <c r="D6418" i="1"/>
  <c r="E6418" i="1" s="1"/>
  <c r="D6417" i="1"/>
  <c r="E6417" i="1" s="1"/>
  <c r="D6416" i="1"/>
  <c r="E6416" i="1" s="1"/>
  <c r="E6415" i="1"/>
  <c r="D6415" i="1"/>
  <c r="E6414" i="1"/>
  <c r="D6414" i="1"/>
  <c r="E6413" i="1"/>
  <c r="D6413" i="1"/>
  <c r="D6412" i="1"/>
  <c r="E6412" i="1" s="1"/>
  <c r="E6411" i="1"/>
  <c r="D6411" i="1"/>
  <c r="D6410" i="1"/>
  <c r="E6410" i="1" s="1"/>
  <c r="E6409" i="1"/>
  <c r="D6409" i="1"/>
  <c r="E6408" i="1"/>
  <c r="D6408" i="1"/>
  <c r="D6407" i="1"/>
  <c r="E6407" i="1" s="1"/>
  <c r="E6406" i="1"/>
  <c r="D6406" i="1"/>
  <c r="E6405" i="1"/>
  <c r="D6405" i="1"/>
  <c r="D6404" i="1"/>
  <c r="E6404" i="1" s="1"/>
  <c r="D6403" i="1"/>
  <c r="E6403" i="1" s="1"/>
  <c r="E6402" i="1"/>
  <c r="D6402" i="1"/>
  <c r="E6401" i="1"/>
  <c r="D6401" i="1"/>
  <c r="D6400" i="1"/>
  <c r="E6400" i="1" s="1"/>
  <c r="D6399" i="1"/>
  <c r="E6399" i="1" s="1"/>
  <c r="D6398" i="1"/>
  <c r="E6398" i="1" s="1"/>
  <c r="E6397" i="1"/>
  <c r="D6397" i="1"/>
  <c r="E6396" i="1"/>
  <c r="D6396" i="1"/>
  <c r="E6395" i="1"/>
  <c r="D6395" i="1"/>
  <c r="E6394" i="1"/>
  <c r="D6394" i="1"/>
  <c r="E6393" i="1"/>
  <c r="D6393" i="1"/>
  <c r="D6392" i="1"/>
  <c r="E6392" i="1" s="1"/>
  <c r="E6391" i="1"/>
  <c r="D6391" i="1"/>
  <c r="E6390" i="1"/>
  <c r="D6390" i="1"/>
  <c r="E6389" i="1"/>
  <c r="D6389" i="1"/>
  <c r="D6388" i="1"/>
  <c r="E6388" i="1" s="1"/>
  <c r="D6387" i="1"/>
  <c r="E6387" i="1" s="1"/>
  <c r="D6386" i="1"/>
  <c r="E6386" i="1" s="1"/>
  <c r="E6385" i="1"/>
  <c r="D6385" i="1"/>
  <c r="E6384" i="1"/>
  <c r="D6384" i="1"/>
  <c r="D6383" i="1"/>
  <c r="E6383" i="1" s="1"/>
  <c r="E6382" i="1"/>
  <c r="D6382" i="1"/>
  <c r="D6381" i="1"/>
  <c r="E6381" i="1" s="1"/>
  <c r="D6380" i="1"/>
  <c r="E6380" i="1" s="1"/>
  <c r="E6379" i="1"/>
  <c r="D6379" i="1"/>
  <c r="E6378" i="1"/>
  <c r="D6378" i="1"/>
  <c r="E6377" i="1"/>
  <c r="D6377" i="1"/>
  <c r="D6376" i="1"/>
  <c r="E6376" i="1" s="1"/>
  <c r="D6375" i="1"/>
  <c r="E6375" i="1" s="1"/>
  <c r="D6374" i="1"/>
  <c r="E6374" i="1" s="1"/>
  <c r="E6373" i="1"/>
  <c r="D6373" i="1"/>
  <c r="E6372" i="1"/>
  <c r="D6372" i="1"/>
  <c r="E6371" i="1"/>
  <c r="D6371" i="1"/>
  <c r="E6370" i="1"/>
  <c r="D6370" i="1"/>
  <c r="D6369" i="1"/>
  <c r="E6369" i="1" s="1"/>
  <c r="D6368" i="1"/>
  <c r="E6368" i="1" s="1"/>
  <c r="D6367" i="1"/>
  <c r="E6367" i="1" s="1"/>
  <c r="E6366" i="1"/>
  <c r="D6366" i="1"/>
  <c r="E6365" i="1"/>
  <c r="D6365" i="1"/>
  <c r="D6364" i="1"/>
  <c r="E6364" i="1" s="1"/>
  <c r="D6363" i="1"/>
  <c r="E6363" i="1" s="1"/>
  <c r="D6362" i="1"/>
  <c r="E6362" i="1" s="1"/>
  <c r="E6361" i="1"/>
  <c r="D6361" i="1"/>
  <c r="E6360" i="1"/>
  <c r="D6360" i="1"/>
  <c r="E6359" i="1"/>
  <c r="D6359" i="1"/>
  <c r="D6358" i="1"/>
  <c r="E6358" i="1" s="1"/>
  <c r="D6357" i="1"/>
  <c r="E6357" i="1" s="1"/>
  <c r="D6356" i="1"/>
  <c r="E6356" i="1" s="1"/>
  <c r="D6355" i="1"/>
  <c r="E6355" i="1" s="1"/>
  <c r="E6354" i="1"/>
  <c r="D6354" i="1"/>
  <c r="E6353" i="1"/>
  <c r="D6353" i="1"/>
  <c r="D6352" i="1"/>
  <c r="E6352" i="1" s="1"/>
  <c r="E6351" i="1"/>
  <c r="D6351" i="1"/>
  <c r="D6350" i="1"/>
  <c r="E6350" i="1" s="1"/>
  <c r="E6349" i="1"/>
  <c r="D6349" i="1"/>
  <c r="E6348" i="1"/>
  <c r="D6348" i="1"/>
  <c r="D6347" i="1"/>
  <c r="E6347" i="1" s="1"/>
  <c r="D6346" i="1"/>
  <c r="E6346" i="1" s="1"/>
  <c r="D6345" i="1"/>
  <c r="E6345" i="1" s="1"/>
  <c r="D6344" i="1"/>
  <c r="E6344" i="1" s="1"/>
  <c r="D6343" i="1"/>
  <c r="E6343" i="1" s="1"/>
  <c r="E6342" i="1"/>
  <c r="D6342" i="1"/>
  <c r="E6341" i="1"/>
  <c r="D6341" i="1"/>
  <c r="D6340" i="1"/>
  <c r="E6340" i="1" s="1"/>
  <c r="E6339" i="1"/>
  <c r="D6339" i="1"/>
  <c r="D6338" i="1"/>
  <c r="E6338" i="1" s="1"/>
  <c r="E6337" i="1"/>
  <c r="D6337" i="1"/>
  <c r="E6336" i="1"/>
  <c r="D6336" i="1"/>
  <c r="D6335" i="1"/>
  <c r="E6335" i="1" s="1"/>
  <c r="D6334" i="1"/>
  <c r="E6334" i="1" s="1"/>
  <c r="E6333" i="1"/>
  <c r="D6333" i="1"/>
  <c r="D6332" i="1"/>
  <c r="E6332" i="1" s="1"/>
  <c r="D6331" i="1"/>
  <c r="E6331" i="1" s="1"/>
  <c r="E6330" i="1"/>
  <c r="D6330" i="1"/>
  <c r="E6329" i="1"/>
  <c r="D6329" i="1"/>
  <c r="D6328" i="1"/>
  <c r="E6328" i="1" s="1"/>
  <c r="D6327" i="1"/>
  <c r="E6327" i="1" s="1"/>
  <c r="D6326" i="1"/>
  <c r="E6326" i="1" s="1"/>
  <c r="E6325" i="1"/>
  <c r="D6325" i="1"/>
  <c r="E6324" i="1"/>
  <c r="D6324" i="1"/>
  <c r="D6323" i="1"/>
  <c r="E6323" i="1" s="1"/>
  <c r="D6322" i="1"/>
  <c r="E6322" i="1" s="1"/>
  <c r="D6321" i="1"/>
  <c r="E6321" i="1" s="1"/>
  <c r="D6320" i="1"/>
  <c r="E6320" i="1" s="1"/>
  <c r="E6319" i="1"/>
  <c r="D6319" i="1"/>
  <c r="E6318" i="1"/>
  <c r="D6318" i="1"/>
  <c r="E6317" i="1"/>
  <c r="D6317" i="1"/>
  <c r="D6316" i="1"/>
  <c r="E6316" i="1" s="1"/>
  <c r="E6315" i="1"/>
  <c r="D6315" i="1"/>
  <c r="D6314" i="1"/>
  <c r="E6314" i="1" s="1"/>
  <c r="E6313" i="1"/>
  <c r="D6313" i="1"/>
  <c r="E6312" i="1"/>
  <c r="D6312" i="1"/>
  <c r="E6311" i="1"/>
  <c r="D6311" i="1"/>
  <c r="E6310" i="1"/>
  <c r="D6310" i="1"/>
  <c r="E6309" i="1"/>
  <c r="D6309" i="1"/>
  <c r="D6308" i="1"/>
  <c r="E6308" i="1" s="1"/>
  <c r="D6307" i="1"/>
  <c r="E6307" i="1" s="1"/>
  <c r="E6306" i="1"/>
  <c r="D6306" i="1"/>
  <c r="E6305" i="1"/>
  <c r="D6305" i="1"/>
  <c r="D6304" i="1"/>
  <c r="E6304" i="1" s="1"/>
  <c r="D6303" i="1"/>
  <c r="E6303" i="1" s="1"/>
  <c r="D6302" i="1"/>
  <c r="E6302" i="1" s="1"/>
  <c r="E6301" i="1"/>
  <c r="D6301" i="1"/>
  <c r="E6300" i="1"/>
  <c r="D6300" i="1"/>
  <c r="E6299" i="1"/>
  <c r="D6299" i="1"/>
  <c r="D6298" i="1"/>
  <c r="E6298" i="1" s="1"/>
  <c r="E6297" i="1"/>
  <c r="D6297" i="1"/>
  <c r="D6296" i="1"/>
  <c r="E6296" i="1" s="1"/>
  <c r="E6295" i="1"/>
  <c r="D6295" i="1"/>
  <c r="E6294" i="1"/>
  <c r="D6294" i="1"/>
  <c r="E6293" i="1"/>
  <c r="D6293" i="1"/>
  <c r="D6292" i="1"/>
  <c r="E6292" i="1" s="1"/>
  <c r="D6291" i="1"/>
  <c r="E6291" i="1" s="1"/>
  <c r="D6290" i="1"/>
  <c r="E6290" i="1" s="1"/>
  <c r="E6289" i="1"/>
  <c r="D6289" i="1"/>
  <c r="E6288" i="1"/>
  <c r="D6288" i="1"/>
  <c r="D6287" i="1"/>
  <c r="E6287" i="1" s="1"/>
  <c r="D6286" i="1"/>
  <c r="E6286" i="1" s="1"/>
  <c r="D6285" i="1"/>
  <c r="E6285" i="1" s="1"/>
  <c r="D6284" i="1"/>
  <c r="E6284" i="1" s="1"/>
  <c r="E6283" i="1"/>
  <c r="D6283" i="1"/>
  <c r="E6282" i="1"/>
  <c r="D6282" i="1"/>
  <c r="E6281" i="1"/>
  <c r="D6281" i="1"/>
  <c r="D6280" i="1"/>
  <c r="E6280" i="1" s="1"/>
  <c r="E6279" i="1"/>
  <c r="D6279" i="1"/>
  <c r="D6278" i="1"/>
  <c r="E6278" i="1" s="1"/>
  <c r="E6277" i="1"/>
  <c r="D6277" i="1"/>
  <c r="E6276" i="1"/>
  <c r="D6276" i="1"/>
  <c r="E6275" i="1"/>
  <c r="D6275" i="1"/>
  <c r="E6274" i="1"/>
  <c r="D6274" i="1"/>
  <c r="E6273" i="1"/>
  <c r="D6273" i="1"/>
  <c r="D6272" i="1"/>
  <c r="E6272" i="1" s="1"/>
  <c r="D6271" i="1"/>
  <c r="E6271" i="1" s="1"/>
  <c r="E6270" i="1"/>
  <c r="D6270" i="1"/>
  <c r="E6269" i="1"/>
  <c r="D6269" i="1"/>
  <c r="D6268" i="1"/>
  <c r="E6268" i="1" s="1"/>
  <c r="D6267" i="1"/>
  <c r="E6267" i="1" s="1"/>
  <c r="D6266" i="1"/>
  <c r="E6266" i="1" s="1"/>
  <c r="E6265" i="1"/>
  <c r="D6265" i="1"/>
  <c r="E6264" i="1"/>
  <c r="D6264" i="1"/>
  <c r="E6263" i="1"/>
  <c r="D6263" i="1"/>
  <c r="D6262" i="1"/>
  <c r="E6262" i="1" s="1"/>
  <c r="D6261" i="1"/>
  <c r="E6261" i="1" s="1"/>
  <c r="D6260" i="1"/>
  <c r="E6260" i="1" s="1"/>
  <c r="E6259" i="1"/>
  <c r="D6259" i="1"/>
  <c r="E6258" i="1"/>
  <c r="D6258" i="1"/>
  <c r="E6257" i="1"/>
  <c r="D6257" i="1"/>
  <c r="D6256" i="1"/>
  <c r="E6256" i="1" s="1"/>
  <c r="E6255" i="1"/>
  <c r="D6255" i="1"/>
  <c r="D6254" i="1"/>
  <c r="E6254" i="1" s="1"/>
  <c r="E6253" i="1"/>
  <c r="D6253" i="1"/>
  <c r="E6252" i="1"/>
  <c r="D6252" i="1"/>
  <c r="D6251" i="1"/>
  <c r="E6251" i="1" s="1"/>
  <c r="D6250" i="1"/>
  <c r="E6250" i="1" s="1"/>
  <c r="D6249" i="1"/>
  <c r="E6249" i="1" s="1"/>
  <c r="D6248" i="1"/>
  <c r="E6248" i="1" s="1"/>
  <c r="D6247" i="1"/>
  <c r="E6247" i="1" s="1"/>
  <c r="E6246" i="1"/>
  <c r="D6246" i="1"/>
  <c r="E6245" i="1"/>
  <c r="D6245" i="1"/>
  <c r="D6244" i="1"/>
  <c r="E6244" i="1" s="1"/>
  <c r="D6243" i="1"/>
  <c r="E6243" i="1" s="1"/>
  <c r="D6242" i="1"/>
  <c r="E6242" i="1" s="1"/>
  <c r="E6241" i="1"/>
  <c r="D6241" i="1"/>
  <c r="E6240" i="1"/>
  <c r="D6240" i="1"/>
  <c r="D6239" i="1"/>
  <c r="E6239" i="1" s="1"/>
  <c r="D6238" i="1"/>
  <c r="E6238" i="1" s="1"/>
  <c r="E6237" i="1"/>
  <c r="D6237" i="1"/>
  <c r="D6236" i="1"/>
  <c r="E6236" i="1" s="1"/>
  <c r="D6235" i="1"/>
  <c r="E6235" i="1" s="1"/>
  <c r="E6234" i="1"/>
  <c r="D6234" i="1"/>
  <c r="E6233" i="1"/>
  <c r="D6233" i="1"/>
  <c r="D6232" i="1"/>
  <c r="E6232" i="1" s="1"/>
  <c r="E6231" i="1"/>
  <c r="D6231" i="1"/>
  <c r="D6230" i="1"/>
  <c r="E6230" i="1" s="1"/>
  <c r="E6229" i="1"/>
  <c r="D6229" i="1"/>
  <c r="E6228" i="1"/>
  <c r="D6228" i="1"/>
  <c r="D6227" i="1"/>
  <c r="E6227" i="1" s="1"/>
  <c r="D6226" i="1"/>
  <c r="E6226" i="1" s="1"/>
  <c r="D6225" i="1"/>
  <c r="E6225" i="1" s="1"/>
  <c r="D6224" i="1"/>
  <c r="E6224" i="1" s="1"/>
  <c r="E6223" i="1"/>
  <c r="D6223" i="1"/>
  <c r="E6222" i="1"/>
  <c r="D6222" i="1"/>
  <c r="E6221" i="1"/>
  <c r="D6221" i="1"/>
  <c r="D6220" i="1"/>
  <c r="E6220" i="1" s="1"/>
  <c r="E6219" i="1"/>
  <c r="D6219" i="1"/>
  <c r="D6218" i="1"/>
  <c r="E6218" i="1" s="1"/>
  <c r="E6217" i="1"/>
  <c r="D6217" i="1"/>
  <c r="E6216" i="1"/>
  <c r="D6216" i="1"/>
  <c r="D6215" i="1"/>
  <c r="E6215" i="1" s="1"/>
  <c r="E6214" i="1"/>
  <c r="D6214" i="1"/>
  <c r="E6213" i="1"/>
  <c r="D6213" i="1"/>
  <c r="D6212" i="1"/>
  <c r="E6212" i="1" s="1"/>
  <c r="D6211" i="1"/>
  <c r="E6211" i="1" s="1"/>
  <c r="E6210" i="1"/>
  <c r="D6210" i="1"/>
  <c r="E6209" i="1"/>
  <c r="D6209" i="1"/>
  <c r="D6208" i="1"/>
  <c r="E6208" i="1" s="1"/>
  <c r="D6207" i="1"/>
  <c r="E6207" i="1" s="1"/>
  <c r="D6206" i="1"/>
  <c r="E6206" i="1" s="1"/>
  <c r="E6205" i="1"/>
  <c r="D6205" i="1"/>
  <c r="E6204" i="1"/>
  <c r="D6204" i="1"/>
  <c r="E6203" i="1"/>
  <c r="D6203" i="1"/>
  <c r="E6202" i="1"/>
  <c r="D6202" i="1"/>
  <c r="E6201" i="1"/>
  <c r="D6201" i="1"/>
  <c r="D6200" i="1"/>
  <c r="E6200" i="1" s="1"/>
  <c r="E6199" i="1"/>
  <c r="D6199" i="1"/>
  <c r="E6198" i="1"/>
  <c r="D6198" i="1"/>
  <c r="E6197" i="1"/>
  <c r="D6197" i="1"/>
  <c r="D6196" i="1"/>
  <c r="E6196" i="1" s="1"/>
  <c r="D6195" i="1"/>
  <c r="E6195" i="1" s="1"/>
  <c r="D6194" i="1"/>
  <c r="E6194" i="1" s="1"/>
  <c r="E6193" i="1"/>
  <c r="D6193" i="1"/>
  <c r="E6192" i="1"/>
  <c r="D6192" i="1"/>
  <c r="D6191" i="1"/>
  <c r="E6191" i="1" s="1"/>
  <c r="D6190" i="1"/>
  <c r="E6190" i="1" s="1"/>
  <c r="D6189" i="1"/>
  <c r="E6189" i="1" s="1"/>
  <c r="D6188" i="1"/>
  <c r="E6188" i="1" s="1"/>
  <c r="E6187" i="1"/>
  <c r="D6187" i="1"/>
  <c r="E6186" i="1"/>
  <c r="D6186" i="1"/>
  <c r="E6185" i="1"/>
  <c r="D6185" i="1"/>
  <c r="D6184" i="1"/>
  <c r="E6184" i="1" s="1"/>
  <c r="D6183" i="1"/>
  <c r="E6183" i="1" s="1"/>
  <c r="D6182" i="1"/>
  <c r="E6182" i="1" s="1"/>
  <c r="E6181" i="1"/>
  <c r="D6181" i="1"/>
  <c r="E6180" i="1"/>
  <c r="D6180" i="1"/>
  <c r="E6179" i="1"/>
  <c r="D6179" i="1"/>
  <c r="E6178" i="1"/>
  <c r="D6178" i="1"/>
  <c r="D6177" i="1"/>
  <c r="E6177" i="1" s="1"/>
  <c r="D6176" i="1"/>
  <c r="E6176" i="1" s="1"/>
  <c r="D6175" i="1"/>
  <c r="E6175" i="1" s="1"/>
  <c r="E6174" i="1"/>
  <c r="D6174" i="1"/>
  <c r="E6173" i="1"/>
  <c r="D6173" i="1"/>
  <c r="D6172" i="1"/>
  <c r="E6172" i="1" s="1"/>
  <c r="D6171" i="1"/>
  <c r="E6171" i="1" s="1"/>
  <c r="D6170" i="1"/>
  <c r="E6170" i="1" s="1"/>
  <c r="E6169" i="1"/>
  <c r="D6169" i="1"/>
  <c r="E6168" i="1"/>
  <c r="D6168" i="1"/>
  <c r="E6167" i="1"/>
  <c r="D6167" i="1"/>
  <c r="D6166" i="1"/>
  <c r="E6166" i="1" s="1"/>
  <c r="D6165" i="1"/>
  <c r="E6165" i="1" s="1"/>
  <c r="D6164" i="1"/>
  <c r="E6164" i="1" s="1"/>
  <c r="D6163" i="1"/>
  <c r="E6163" i="1" s="1"/>
  <c r="E6162" i="1"/>
  <c r="D6162" i="1"/>
  <c r="E6161" i="1"/>
  <c r="D6161" i="1"/>
  <c r="D6160" i="1"/>
  <c r="E6160" i="1" s="1"/>
  <c r="E6159" i="1"/>
  <c r="D6159" i="1"/>
  <c r="D6158" i="1"/>
  <c r="E6158" i="1" s="1"/>
  <c r="E6157" i="1"/>
  <c r="D6157" i="1"/>
  <c r="E6156" i="1"/>
  <c r="D6156" i="1"/>
  <c r="D6155" i="1"/>
  <c r="E6155" i="1" s="1"/>
  <c r="D6154" i="1"/>
  <c r="E6154" i="1" s="1"/>
  <c r="D6153" i="1"/>
  <c r="E6153" i="1" s="1"/>
  <c r="D6152" i="1"/>
  <c r="E6152" i="1" s="1"/>
  <c r="D6151" i="1"/>
  <c r="E6151" i="1" s="1"/>
  <c r="E6150" i="1"/>
  <c r="D6150" i="1"/>
  <c r="E6149" i="1"/>
  <c r="D6149" i="1"/>
  <c r="D6148" i="1"/>
  <c r="E6148" i="1" s="1"/>
  <c r="E6147" i="1"/>
  <c r="D6147" i="1"/>
  <c r="D6146" i="1"/>
  <c r="E6146" i="1" s="1"/>
  <c r="E6145" i="1"/>
  <c r="D6145" i="1"/>
  <c r="E6144" i="1"/>
  <c r="D6144" i="1"/>
  <c r="D6143" i="1"/>
  <c r="E6143" i="1" s="1"/>
  <c r="E6142" i="1"/>
  <c r="D6142" i="1"/>
  <c r="E6141" i="1"/>
  <c r="D6141" i="1"/>
  <c r="D6140" i="1"/>
  <c r="E6140" i="1" s="1"/>
  <c r="D6139" i="1"/>
  <c r="E6139" i="1" s="1"/>
  <c r="E6138" i="1"/>
  <c r="D6138" i="1"/>
  <c r="E6137" i="1"/>
  <c r="D6137" i="1"/>
  <c r="D6136" i="1"/>
  <c r="E6136" i="1" s="1"/>
  <c r="D6135" i="1"/>
  <c r="E6135" i="1" s="1"/>
  <c r="D6134" i="1"/>
  <c r="E6134" i="1" s="1"/>
  <c r="E6133" i="1"/>
  <c r="D6133" i="1"/>
  <c r="E6132" i="1"/>
  <c r="D6132" i="1"/>
  <c r="D6131" i="1"/>
  <c r="E6131" i="1" s="1"/>
  <c r="D6130" i="1"/>
  <c r="E6130" i="1" s="1"/>
  <c r="D6129" i="1"/>
  <c r="E6129" i="1" s="1"/>
  <c r="D6128" i="1"/>
  <c r="E6128" i="1" s="1"/>
  <c r="E6127" i="1"/>
  <c r="D6127" i="1"/>
  <c r="E6126" i="1"/>
  <c r="D6126" i="1"/>
  <c r="E6125" i="1"/>
  <c r="D6125" i="1"/>
  <c r="D6124" i="1"/>
  <c r="E6124" i="1" s="1"/>
  <c r="E6123" i="1"/>
  <c r="D6123" i="1"/>
  <c r="D6122" i="1"/>
  <c r="E6122" i="1" s="1"/>
  <c r="E6121" i="1"/>
  <c r="D6121" i="1"/>
  <c r="E6120" i="1"/>
  <c r="D6120" i="1"/>
  <c r="E6119" i="1"/>
  <c r="D6119" i="1"/>
  <c r="E6118" i="1"/>
  <c r="D6118" i="1"/>
  <c r="E6117" i="1"/>
  <c r="D6117" i="1"/>
  <c r="D6116" i="1"/>
  <c r="E6116" i="1" s="1"/>
  <c r="D6115" i="1"/>
  <c r="E6115" i="1" s="1"/>
  <c r="E6114" i="1"/>
  <c r="D6114" i="1"/>
  <c r="E6113" i="1"/>
  <c r="D6113" i="1"/>
  <c r="D6112" i="1"/>
  <c r="E6112" i="1" s="1"/>
  <c r="D6111" i="1"/>
  <c r="E6111" i="1" s="1"/>
  <c r="D6110" i="1"/>
  <c r="E6110" i="1" s="1"/>
  <c r="E6109" i="1"/>
  <c r="D6109" i="1"/>
  <c r="E6108" i="1"/>
  <c r="D6108" i="1"/>
  <c r="E6107" i="1"/>
  <c r="D6107" i="1"/>
  <c r="D6106" i="1"/>
  <c r="E6106" i="1" s="1"/>
  <c r="E6105" i="1"/>
  <c r="D6105" i="1"/>
  <c r="D6104" i="1"/>
  <c r="E6104" i="1" s="1"/>
  <c r="E6103" i="1"/>
  <c r="D6103" i="1"/>
  <c r="E6102" i="1"/>
  <c r="D6102" i="1"/>
  <c r="E6101" i="1"/>
  <c r="D6101" i="1"/>
  <c r="D6100" i="1"/>
  <c r="E6100" i="1" s="1"/>
  <c r="D6099" i="1"/>
  <c r="E6099" i="1" s="1"/>
  <c r="D6098" i="1"/>
  <c r="E6098" i="1" s="1"/>
  <c r="E6097" i="1"/>
  <c r="D6097" i="1"/>
  <c r="E6096" i="1"/>
  <c r="D6096" i="1"/>
  <c r="D6095" i="1"/>
  <c r="E6095" i="1" s="1"/>
  <c r="D6094" i="1"/>
  <c r="E6094" i="1" s="1"/>
  <c r="E6093" i="1"/>
  <c r="D6093" i="1"/>
  <c r="D6092" i="1"/>
  <c r="E6092" i="1" s="1"/>
  <c r="E6091" i="1"/>
  <c r="D6091" i="1"/>
  <c r="E6090" i="1"/>
  <c r="D6090" i="1"/>
  <c r="E6089" i="1"/>
  <c r="D6089" i="1"/>
  <c r="D6088" i="1"/>
  <c r="E6088" i="1" s="1"/>
  <c r="D6087" i="1"/>
  <c r="E6087" i="1" s="1"/>
  <c r="D6086" i="1"/>
  <c r="E6086" i="1" s="1"/>
  <c r="E6085" i="1"/>
  <c r="D6085" i="1"/>
  <c r="E6084" i="1"/>
  <c r="D6084" i="1"/>
  <c r="D6083" i="1"/>
  <c r="E6083" i="1" s="1"/>
  <c r="E6082" i="1"/>
  <c r="D6082" i="1"/>
  <c r="D6081" i="1"/>
  <c r="E6081" i="1" s="1"/>
  <c r="D6080" i="1"/>
  <c r="E6080" i="1" s="1"/>
  <c r="E6079" i="1"/>
  <c r="D6079" i="1"/>
  <c r="E6078" i="1"/>
  <c r="D6078" i="1"/>
  <c r="E6077" i="1"/>
  <c r="D6077" i="1"/>
  <c r="D6076" i="1"/>
  <c r="E6076" i="1" s="1"/>
  <c r="D6075" i="1"/>
  <c r="E6075" i="1" s="1"/>
  <c r="D6074" i="1"/>
  <c r="E6074" i="1" s="1"/>
  <c r="E6073" i="1"/>
  <c r="D6073" i="1"/>
  <c r="E6072" i="1"/>
  <c r="D6072" i="1"/>
  <c r="D6071" i="1"/>
  <c r="E6071" i="1" s="1"/>
  <c r="D6070" i="1"/>
  <c r="E6070" i="1" s="1"/>
  <c r="D6069" i="1"/>
  <c r="E6069" i="1" s="1"/>
  <c r="D6068" i="1"/>
  <c r="E6068" i="1" s="1"/>
  <c r="E6067" i="1"/>
  <c r="D6067" i="1"/>
  <c r="E6066" i="1"/>
  <c r="D6066" i="1"/>
  <c r="E6065" i="1"/>
  <c r="D6065" i="1"/>
  <c r="D6064" i="1"/>
  <c r="E6064" i="1" s="1"/>
  <c r="E6063" i="1"/>
  <c r="D6063" i="1"/>
  <c r="D6062" i="1"/>
  <c r="E6062" i="1" s="1"/>
  <c r="E6061" i="1"/>
  <c r="D6061" i="1"/>
  <c r="E6060" i="1"/>
  <c r="D6060" i="1"/>
  <c r="D6059" i="1"/>
  <c r="E6059" i="1" s="1"/>
  <c r="D6058" i="1"/>
  <c r="E6058" i="1" s="1"/>
  <c r="D6057" i="1"/>
  <c r="E6057" i="1" s="1"/>
  <c r="D6056" i="1"/>
  <c r="E6056" i="1" s="1"/>
  <c r="D6055" i="1"/>
  <c r="E6055" i="1" s="1"/>
  <c r="E6054" i="1"/>
  <c r="D6054" i="1"/>
  <c r="E6053" i="1"/>
  <c r="D6053" i="1"/>
  <c r="D6052" i="1"/>
  <c r="E6052" i="1" s="1"/>
  <c r="D6051" i="1"/>
  <c r="E6051" i="1" s="1"/>
  <c r="D6050" i="1"/>
  <c r="E6050" i="1" s="1"/>
  <c r="E6049" i="1"/>
  <c r="D6049" i="1"/>
  <c r="E6048" i="1"/>
  <c r="D6048" i="1"/>
  <c r="E6047" i="1"/>
  <c r="D6047" i="1"/>
  <c r="D6046" i="1"/>
  <c r="E6046" i="1" s="1"/>
  <c r="E6045" i="1"/>
  <c r="D6045" i="1"/>
  <c r="D6044" i="1"/>
  <c r="E6044" i="1" s="1"/>
  <c r="D6043" i="1"/>
  <c r="E6043" i="1" s="1"/>
  <c r="E6042" i="1"/>
  <c r="D6042" i="1"/>
  <c r="E6041" i="1"/>
  <c r="D6041" i="1"/>
  <c r="D6040" i="1"/>
  <c r="E6040" i="1" s="1"/>
  <c r="E6039" i="1"/>
  <c r="D6039" i="1"/>
  <c r="D6038" i="1"/>
  <c r="E6038" i="1" s="1"/>
  <c r="E6037" i="1"/>
  <c r="D6037" i="1"/>
  <c r="E6036" i="1"/>
  <c r="D6036" i="1"/>
  <c r="D6035" i="1"/>
  <c r="E6035" i="1" s="1"/>
  <c r="D6034" i="1"/>
  <c r="E6034" i="1" s="1"/>
  <c r="D6033" i="1"/>
  <c r="E6033" i="1" s="1"/>
  <c r="D6032" i="1"/>
  <c r="E6032" i="1" s="1"/>
  <c r="E6031" i="1"/>
  <c r="D6031" i="1"/>
  <c r="E6030" i="1"/>
  <c r="D6030" i="1"/>
  <c r="E6029" i="1"/>
  <c r="D6029" i="1"/>
  <c r="D6028" i="1"/>
  <c r="E6028" i="1" s="1"/>
  <c r="E6027" i="1"/>
  <c r="D6027" i="1"/>
  <c r="D6026" i="1"/>
  <c r="E6026" i="1" s="1"/>
  <c r="E6025" i="1"/>
  <c r="D6025" i="1"/>
  <c r="E6024" i="1"/>
  <c r="D6024" i="1"/>
  <c r="E6023" i="1"/>
  <c r="D6023" i="1"/>
  <c r="E6022" i="1"/>
  <c r="D6022" i="1"/>
  <c r="E6021" i="1"/>
  <c r="D6021" i="1"/>
  <c r="D6020" i="1"/>
  <c r="E6020" i="1" s="1"/>
  <c r="D6019" i="1"/>
  <c r="E6019" i="1" s="1"/>
  <c r="E6018" i="1"/>
  <c r="D6018" i="1"/>
  <c r="E6017" i="1"/>
  <c r="D6017" i="1"/>
  <c r="D6016" i="1"/>
  <c r="E6016" i="1" s="1"/>
  <c r="D6015" i="1"/>
  <c r="E6015" i="1" s="1"/>
  <c r="D6014" i="1"/>
  <c r="E6014" i="1" s="1"/>
  <c r="E6013" i="1"/>
  <c r="D6013" i="1"/>
  <c r="E6012" i="1"/>
  <c r="D6012" i="1"/>
  <c r="E6011" i="1"/>
  <c r="D6011" i="1"/>
  <c r="E6010" i="1"/>
  <c r="D6010" i="1"/>
  <c r="E6009" i="1"/>
  <c r="D6009" i="1"/>
  <c r="D6008" i="1"/>
  <c r="E6008" i="1" s="1"/>
  <c r="E6007" i="1"/>
  <c r="D6007" i="1"/>
  <c r="E6006" i="1"/>
  <c r="D6006" i="1"/>
  <c r="E6005" i="1"/>
  <c r="D6005" i="1"/>
  <c r="D6004" i="1"/>
  <c r="E6004" i="1" s="1"/>
  <c r="D6003" i="1"/>
  <c r="E6003" i="1" s="1"/>
  <c r="D6002" i="1"/>
  <c r="E6002" i="1" s="1"/>
  <c r="E6001" i="1"/>
  <c r="D6001" i="1"/>
  <c r="E6000" i="1"/>
  <c r="D6000" i="1"/>
  <c r="D5999" i="1"/>
  <c r="E5999" i="1" s="1"/>
  <c r="D5998" i="1"/>
  <c r="E5998" i="1" s="1"/>
  <c r="D5997" i="1"/>
  <c r="E5997" i="1" s="1"/>
  <c r="D5996" i="1"/>
  <c r="E5996" i="1" s="1"/>
  <c r="E5995" i="1"/>
  <c r="D5995" i="1"/>
  <c r="E5994" i="1"/>
  <c r="D5994" i="1"/>
  <c r="E5993" i="1"/>
  <c r="D5993" i="1"/>
  <c r="D5992" i="1"/>
  <c r="E5992" i="1" s="1"/>
  <c r="D5991" i="1"/>
  <c r="E5991" i="1" s="1"/>
  <c r="D5990" i="1"/>
  <c r="E5990" i="1" s="1"/>
  <c r="E5989" i="1"/>
  <c r="D5989" i="1"/>
  <c r="E5988" i="1"/>
  <c r="D5988" i="1"/>
  <c r="D5987" i="1"/>
  <c r="E5987" i="1" s="1"/>
  <c r="E5986" i="1"/>
  <c r="D5986" i="1"/>
  <c r="D5985" i="1"/>
  <c r="E5985" i="1" s="1"/>
  <c r="D5984" i="1"/>
  <c r="E5984" i="1" s="1"/>
  <c r="D5983" i="1"/>
  <c r="E5983" i="1" s="1"/>
  <c r="E5982" i="1"/>
  <c r="D5982" i="1"/>
  <c r="E5981" i="1"/>
  <c r="D5981" i="1"/>
  <c r="D5980" i="1"/>
  <c r="E5980" i="1" s="1"/>
  <c r="D5979" i="1"/>
  <c r="E5979" i="1" s="1"/>
  <c r="D5978" i="1"/>
  <c r="E5978" i="1" s="1"/>
  <c r="E5977" i="1"/>
  <c r="D5977" i="1"/>
  <c r="E5976" i="1"/>
  <c r="D5976" i="1"/>
  <c r="D5975" i="1"/>
  <c r="E5975" i="1" s="1"/>
  <c r="D5974" i="1"/>
  <c r="E5974" i="1" s="1"/>
  <c r="D5973" i="1"/>
  <c r="E5973" i="1" s="1"/>
  <c r="D5972" i="1"/>
  <c r="E5972" i="1" s="1"/>
  <c r="D5971" i="1"/>
  <c r="E5971" i="1" s="1"/>
  <c r="E5970" i="1"/>
  <c r="D5970" i="1"/>
  <c r="E5969" i="1"/>
  <c r="D5969" i="1"/>
  <c r="D5968" i="1"/>
  <c r="E5968" i="1" s="1"/>
  <c r="E5967" i="1"/>
  <c r="D5967" i="1"/>
  <c r="D5966" i="1"/>
  <c r="E5966" i="1" s="1"/>
  <c r="E5965" i="1"/>
  <c r="D5965" i="1"/>
  <c r="E5964" i="1"/>
  <c r="D5964" i="1"/>
  <c r="E5963" i="1"/>
  <c r="D5963" i="1"/>
  <c r="D5962" i="1"/>
  <c r="E5962" i="1" s="1"/>
  <c r="D5961" i="1"/>
  <c r="E5961" i="1" s="1"/>
  <c r="D5960" i="1"/>
  <c r="E5960" i="1" s="1"/>
  <c r="D5959" i="1"/>
  <c r="E5959" i="1" s="1"/>
  <c r="E5958" i="1"/>
  <c r="D5958" i="1"/>
  <c r="E5957" i="1"/>
  <c r="D5957" i="1"/>
  <c r="D5956" i="1"/>
  <c r="E5956" i="1" s="1"/>
  <c r="D5955" i="1"/>
  <c r="E5955" i="1" s="1"/>
  <c r="D5954" i="1"/>
  <c r="E5954" i="1" s="1"/>
  <c r="E5953" i="1"/>
  <c r="D5953" i="1"/>
  <c r="E5952" i="1"/>
  <c r="D5952" i="1"/>
  <c r="D5951" i="1"/>
  <c r="E5951" i="1" s="1"/>
  <c r="D5950" i="1"/>
  <c r="E5950" i="1" s="1"/>
  <c r="E5949" i="1"/>
  <c r="D5949" i="1"/>
  <c r="D5948" i="1"/>
  <c r="E5948" i="1" s="1"/>
  <c r="D5947" i="1"/>
  <c r="E5947" i="1" s="1"/>
  <c r="E5946" i="1"/>
  <c r="D5946" i="1"/>
  <c r="E5945" i="1"/>
  <c r="D5945" i="1"/>
  <c r="D5944" i="1"/>
  <c r="E5944" i="1" s="1"/>
  <c r="E5943" i="1"/>
  <c r="D5943" i="1"/>
  <c r="D5942" i="1"/>
  <c r="E5942" i="1" s="1"/>
  <c r="E5941" i="1"/>
  <c r="D5941" i="1"/>
  <c r="E5940" i="1"/>
  <c r="D5940" i="1"/>
  <c r="D5939" i="1"/>
  <c r="E5939" i="1" s="1"/>
  <c r="D5938" i="1"/>
  <c r="E5938" i="1" s="1"/>
  <c r="D5937" i="1"/>
  <c r="E5937" i="1" s="1"/>
  <c r="D5936" i="1"/>
  <c r="E5936" i="1" s="1"/>
  <c r="E5935" i="1"/>
  <c r="D5935" i="1"/>
  <c r="E5934" i="1"/>
  <c r="D5934" i="1"/>
  <c r="E5933" i="1"/>
  <c r="D5933" i="1"/>
  <c r="D5932" i="1"/>
  <c r="E5932" i="1" s="1"/>
  <c r="E5931" i="1"/>
  <c r="D5931" i="1"/>
  <c r="D5930" i="1"/>
  <c r="E5930" i="1" s="1"/>
  <c r="E5929" i="1"/>
  <c r="D5929" i="1"/>
  <c r="E5928" i="1"/>
  <c r="D5928" i="1"/>
  <c r="E5927" i="1"/>
  <c r="D5927" i="1"/>
  <c r="E5926" i="1"/>
  <c r="D5926" i="1"/>
  <c r="E5925" i="1"/>
  <c r="D5925" i="1"/>
  <c r="D5924" i="1"/>
  <c r="E5924" i="1" s="1"/>
  <c r="D5923" i="1"/>
  <c r="E5923" i="1" s="1"/>
  <c r="E5922" i="1"/>
  <c r="D5922" i="1"/>
  <c r="E5921" i="1"/>
  <c r="D5921" i="1"/>
  <c r="D5920" i="1"/>
  <c r="E5920" i="1" s="1"/>
  <c r="D5919" i="1"/>
  <c r="E5919" i="1" s="1"/>
  <c r="D5918" i="1"/>
  <c r="E5918" i="1" s="1"/>
  <c r="E5917" i="1"/>
  <c r="D5917" i="1"/>
  <c r="E5916" i="1"/>
  <c r="D5916" i="1"/>
  <c r="E5915" i="1"/>
  <c r="D5915" i="1"/>
  <c r="E5914" i="1"/>
  <c r="D5914" i="1"/>
  <c r="E5913" i="1"/>
  <c r="D5913" i="1"/>
  <c r="D5912" i="1"/>
  <c r="E5912" i="1" s="1"/>
  <c r="E5911" i="1"/>
  <c r="D5911" i="1"/>
  <c r="E5910" i="1"/>
  <c r="D5910" i="1"/>
  <c r="E5909" i="1"/>
  <c r="D5909" i="1"/>
  <c r="D5908" i="1"/>
  <c r="E5908" i="1" s="1"/>
  <c r="D5907" i="1"/>
  <c r="E5907" i="1" s="1"/>
  <c r="D5906" i="1"/>
  <c r="E5906" i="1" s="1"/>
  <c r="E5905" i="1"/>
  <c r="D5905" i="1"/>
  <c r="E5904" i="1"/>
  <c r="D5904" i="1"/>
  <c r="D5903" i="1"/>
  <c r="E5903" i="1" s="1"/>
  <c r="E5902" i="1"/>
  <c r="D5902" i="1"/>
  <c r="D5901" i="1"/>
  <c r="E5901" i="1" s="1"/>
  <c r="D5900" i="1"/>
  <c r="E5900" i="1" s="1"/>
  <c r="E5899" i="1"/>
  <c r="D5899" i="1"/>
  <c r="E5898" i="1"/>
  <c r="D5898" i="1"/>
  <c r="E5897" i="1"/>
  <c r="D5897" i="1"/>
  <c r="D5896" i="1"/>
  <c r="E5896" i="1" s="1"/>
  <c r="D5895" i="1"/>
  <c r="E5895" i="1" s="1"/>
  <c r="D5894" i="1"/>
  <c r="E5894" i="1" s="1"/>
  <c r="E5893" i="1"/>
  <c r="D5893" i="1"/>
  <c r="E5892" i="1"/>
  <c r="D5892" i="1"/>
  <c r="D5891" i="1"/>
  <c r="E5891" i="1" s="1"/>
  <c r="E5890" i="1"/>
  <c r="D5890" i="1"/>
  <c r="D5889" i="1"/>
  <c r="E5889" i="1" s="1"/>
  <c r="D5888" i="1"/>
  <c r="E5888" i="1" s="1"/>
  <c r="D5887" i="1"/>
  <c r="E5887" i="1" s="1"/>
  <c r="E5886" i="1"/>
  <c r="D5886" i="1"/>
  <c r="E5885" i="1"/>
  <c r="D5885" i="1"/>
  <c r="D5884" i="1"/>
  <c r="E5884" i="1" s="1"/>
  <c r="D5883" i="1"/>
  <c r="E5883" i="1" s="1"/>
  <c r="D5882" i="1"/>
  <c r="E5882" i="1" s="1"/>
  <c r="E5881" i="1"/>
  <c r="D5881" i="1"/>
  <c r="E5880" i="1"/>
  <c r="D5880" i="1"/>
  <c r="D5879" i="1"/>
  <c r="E5879" i="1" s="1"/>
  <c r="D5878" i="1"/>
  <c r="E5878" i="1" s="1"/>
  <c r="D5877" i="1"/>
  <c r="E5877" i="1" s="1"/>
  <c r="D5876" i="1"/>
  <c r="E5876" i="1" s="1"/>
  <c r="D5875" i="1"/>
  <c r="E5875" i="1" s="1"/>
  <c r="E5874" i="1"/>
  <c r="D5874" i="1"/>
  <c r="E5873" i="1"/>
  <c r="D5873" i="1"/>
  <c r="D5872" i="1"/>
  <c r="E5872" i="1" s="1"/>
  <c r="E5871" i="1"/>
  <c r="D5871" i="1"/>
  <c r="D5870" i="1"/>
  <c r="E5870" i="1" s="1"/>
  <c r="E5869" i="1"/>
  <c r="D5869" i="1"/>
  <c r="E5868" i="1"/>
  <c r="D5868" i="1"/>
  <c r="D5867" i="1"/>
  <c r="E5867" i="1" s="1"/>
  <c r="D5866" i="1"/>
  <c r="E5866" i="1" s="1"/>
  <c r="D5865" i="1"/>
  <c r="E5865" i="1" s="1"/>
  <c r="D5864" i="1"/>
  <c r="E5864" i="1" s="1"/>
  <c r="D5863" i="1"/>
  <c r="E5863" i="1" s="1"/>
  <c r="E5862" i="1"/>
  <c r="D5862" i="1"/>
  <c r="E5861" i="1"/>
  <c r="D5861" i="1"/>
  <c r="D5860" i="1"/>
  <c r="E5860" i="1" s="1"/>
  <c r="E5859" i="1"/>
  <c r="D5859" i="1"/>
  <c r="D5858" i="1"/>
  <c r="E5858" i="1" s="1"/>
  <c r="E5857" i="1"/>
  <c r="D5857" i="1"/>
  <c r="E5856" i="1"/>
  <c r="D5856" i="1"/>
  <c r="D5855" i="1"/>
  <c r="E5855" i="1" s="1"/>
  <c r="D5854" i="1"/>
  <c r="E5854" i="1" s="1"/>
  <c r="E5853" i="1"/>
  <c r="D5853" i="1"/>
  <c r="D5852" i="1"/>
  <c r="E5852" i="1" s="1"/>
  <c r="D5851" i="1"/>
  <c r="E5851" i="1" s="1"/>
  <c r="E5850" i="1"/>
  <c r="D5850" i="1"/>
  <c r="E5849" i="1"/>
  <c r="D5849" i="1"/>
  <c r="D5848" i="1"/>
  <c r="E5848" i="1" s="1"/>
  <c r="D5847" i="1"/>
  <c r="E5847" i="1" s="1"/>
  <c r="D5846" i="1"/>
  <c r="E5846" i="1" s="1"/>
  <c r="E5845" i="1"/>
  <c r="D5845" i="1"/>
  <c r="E5844" i="1"/>
  <c r="D5844" i="1"/>
  <c r="D5843" i="1"/>
  <c r="E5843" i="1" s="1"/>
  <c r="D5842" i="1"/>
  <c r="E5842" i="1" s="1"/>
  <c r="E5841" i="1"/>
  <c r="D5841" i="1"/>
  <c r="D5840" i="1"/>
  <c r="E5840" i="1" s="1"/>
  <c r="E5839" i="1"/>
  <c r="D5839" i="1"/>
  <c r="E5838" i="1"/>
  <c r="D5838" i="1"/>
  <c r="E5837" i="1"/>
  <c r="D5837" i="1"/>
  <c r="D5836" i="1"/>
  <c r="E5836" i="1" s="1"/>
  <c r="E5835" i="1"/>
  <c r="D5835" i="1"/>
  <c r="D5834" i="1"/>
  <c r="E5834" i="1" s="1"/>
  <c r="E5833" i="1"/>
  <c r="D5833" i="1"/>
  <c r="E5832" i="1"/>
  <c r="D5832" i="1"/>
  <c r="E5831" i="1"/>
  <c r="D5831" i="1"/>
  <c r="E5830" i="1"/>
  <c r="D5830" i="1"/>
  <c r="E5829" i="1"/>
  <c r="D5829" i="1"/>
  <c r="D5828" i="1"/>
  <c r="E5828" i="1" s="1"/>
  <c r="E5827" i="1"/>
  <c r="D5827" i="1"/>
  <c r="E5826" i="1"/>
  <c r="D5826" i="1"/>
  <c r="D5825" i="1"/>
  <c r="E5825" i="1" s="1"/>
  <c r="D5824" i="1"/>
  <c r="E5824" i="1" s="1"/>
  <c r="D5823" i="1"/>
  <c r="E5823" i="1" s="1"/>
  <c r="D5822" i="1"/>
  <c r="E5822" i="1" s="1"/>
  <c r="E5821" i="1"/>
  <c r="D5821" i="1"/>
  <c r="E5820" i="1"/>
  <c r="D5820" i="1"/>
  <c r="D5819" i="1"/>
  <c r="E5819" i="1" s="1"/>
  <c r="D5818" i="1"/>
  <c r="E5818" i="1" s="1"/>
  <c r="E5817" i="1"/>
  <c r="D5817" i="1"/>
  <c r="D5816" i="1"/>
  <c r="E5816" i="1" s="1"/>
  <c r="E5815" i="1"/>
  <c r="D5815" i="1"/>
  <c r="E5814" i="1"/>
  <c r="D5814" i="1"/>
  <c r="D5813" i="1"/>
  <c r="E5813" i="1" s="1"/>
  <c r="D5812" i="1"/>
  <c r="E5812" i="1" s="1"/>
  <c r="D5811" i="1"/>
  <c r="E5811" i="1" s="1"/>
  <c r="D5810" i="1"/>
  <c r="E5810" i="1" s="1"/>
  <c r="D5809" i="1"/>
  <c r="E5809" i="1" s="1"/>
  <c r="E5808" i="1"/>
  <c r="D5808" i="1"/>
  <c r="D5807" i="1"/>
  <c r="E5807" i="1" s="1"/>
  <c r="D5806" i="1"/>
  <c r="E5806" i="1" s="1"/>
  <c r="D5805" i="1"/>
  <c r="E5805" i="1" s="1"/>
  <c r="D5804" i="1"/>
  <c r="E5804" i="1" s="1"/>
  <c r="E5803" i="1"/>
  <c r="D5803" i="1"/>
  <c r="E5802" i="1"/>
  <c r="D5802" i="1"/>
  <c r="D5801" i="1"/>
  <c r="E5801" i="1" s="1"/>
  <c r="D5800" i="1"/>
  <c r="E5800" i="1" s="1"/>
  <c r="E5799" i="1"/>
  <c r="D5799" i="1"/>
  <c r="D5798" i="1"/>
  <c r="E5798" i="1" s="1"/>
  <c r="D5797" i="1"/>
  <c r="E5797" i="1" s="1"/>
  <c r="E5796" i="1"/>
  <c r="D5796" i="1"/>
  <c r="D5795" i="1"/>
  <c r="E5795" i="1" s="1"/>
  <c r="E5794" i="1"/>
  <c r="D5794" i="1"/>
  <c r="D5793" i="1"/>
  <c r="E5793" i="1" s="1"/>
  <c r="D5792" i="1"/>
  <c r="E5792" i="1" s="1"/>
  <c r="E5791" i="1"/>
  <c r="D5791" i="1"/>
  <c r="E5790" i="1"/>
  <c r="D5790" i="1"/>
  <c r="E5789" i="1"/>
  <c r="D5789" i="1"/>
  <c r="D5788" i="1"/>
  <c r="E5788" i="1" s="1"/>
  <c r="D5787" i="1"/>
  <c r="E5787" i="1" s="1"/>
  <c r="D5786" i="1"/>
  <c r="E5786" i="1" s="1"/>
  <c r="D5785" i="1"/>
  <c r="E5785" i="1" s="1"/>
  <c r="E5784" i="1"/>
  <c r="D5784" i="1"/>
  <c r="D5783" i="1"/>
  <c r="E5783" i="1" s="1"/>
  <c r="D5782" i="1"/>
  <c r="E5782" i="1" s="1"/>
  <c r="D5781" i="1"/>
  <c r="E5781" i="1" s="1"/>
  <c r="D5780" i="1"/>
  <c r="E5780" i="1" s="1"/>
  <c r="E5779" i="1"/>
  <c r="D5779" i="1"/>
  <c r="E5778" i="1"/>
  <c r="D5778" i="1"/>
  <c r="D5777" i="1"/>
  <c r="E5777" i="1" s="1"/>
  <c r="D5776" i="1"/>
  <c r="E5776" i="1" s="1"/>
  <c r="E5775" i="1"/>
  <c r="D5775" i="1"/>
  <c r="D5774" i="1"/>
  <c r="E5774" i="1" s="1"/>
  <c r="D5773" i="1"/>
  <c r="E5773" i="1" s="1"/>
  <c r="E5772" i="1"/>
  <c r="D5772" i="1"/>
  <c r="E5771" i="1"/>
  <c r="D5771" i="1"/>
  <c r="D5770" i="1"/>
  <c r="E5770" i="1" s="1"/>
  <c r="E5769" i="1"/>
  <c r="D5769" i="1"/>
  <c r="D5768" i="1"/>
  <c r="E5768" i="1" s="1"/>
  <c r="D5767" i="1"/>
  <c r="E5767" i="1" s="1"/>
  <c r="E5766" i="1"/>
  <c r="D5766" i="1"/>
  <c r="E5765" i="1"/>
  <c r="D5765" i="1"/>
  <c r="D5764" i="1"/>
  <c r="E5764" i="1" s="1"/>
  <c r="D5763" i="1"/>
  <c r="E5763" i="1" s="1"/>
  <c r="D5762" i="1"/>
  <c r="E5762" i="1" s="1"/>
  <c r="E5761" i="1"/>
  <c r="D5761" i="1"/>
  <c r="E5760" i="1"/>
  <c r="D5760" i="1"/>
  <c r="D5759" i="1"/>
  <c r="E5759" i="1" s="1"/>
  <c r="D5758" i="1"/>
  <c r="E5758" i="1" s="1"/>
  <c r="E5757" i="1"/>
  <c r="D5757" i="1"/>
  <c r="D5756" i="1"/>
  <c r="E5756" i="1" s="1"/>
  <c r="E5755" i="1"/>
  <c r="D5755" i="1"/>
  <c r="E5754" i="1"/>
  <c r="D5754" i="1"/>
  <c r="E5753" i="1"/>
  <c r="D5753" i="1"/>
  <c r="D5752" i="1"/>
  <c r="E5752" i="1" s="1"/>
  <c r="E5751" i="1"/>
  <c r="D5751" i="1"/>
  <c r="D5750" i="1"/>
  <c r="E5750" i="1" s="1"/>
  <c r="D5749" i="1"/>
  <c r="E5749" i="1" s="1"/>
  <c r="E5748" i="1"/>
  <c r="D5748" i="1"/>
  <c r="D5747" i="1"/>
  <c r="E5747" i="1" s="1"/>
  <c r="D5746" i="1"/>
  <c r="E5746" i="1" s="1"/>
  <c r="E5745" i="1"/>
  <c r="D5745" i="1"/>
  <c r="D5744" i="1"/>
  <c r="E5744" i="1" s="1"/>
  <c r="E5743" i="1"/>
  <c r="D5743" i="1"/>
  <c r="E5742" i="1"/>
  <c r="D5742" i="1"/>
  <c r="D5741" i="1"/>
  <c r="E5741" i="1" s="1"/>
  <c r="D5740" i="1"/>
  <c r="E5740" i="1" s="1"/>
  <c r="E5739" i="1"/>
  <c r="D5739" i="1"/>
  <c r="D5738" i="1"/>
  <c r="E5738" i="1" s="1"/>
  <c r="E5737" i="1"/>
  <c r="D5737" i="1"/>
  <c r="E5736" i="1"/>
  <c r="D5736" i="1"/>
  <c r="D5735" i="1"/>
  <c r="E5735" i="1" s="1"/>
  <c r="E5734" i="1"/>
  <c r="D5734" i="1"/>
  <c r="E5733" i="1"/>
  <c r="D5733" i="1"/>
  <c r="D5732" i="1"/>
  <c r="E5732" i="1" s="1"/>
  <c r="E5731" i="1"/>
  <c r="D5731" i="1"/>
  <c r="E5730" i="1"/>
  <c r="D5730" i="1"/>
  <c r="D5729" i="1"/>
  <c r="E5729" i="1" s="1"/>
  <c r="D5728" i="1"/>
  <c r="E5728" i="1" s="1"/>
  <c r="D5727" i="1"/>
  <c r="E5727" i="1" s="1"/>
  <c r="D5726" i="1"/>
  <c r="E5726" i="1" s="1"/>
  <c r="E5725" i="1"/>
  <c r="D5725" i="1"/>
  <c r="E5724" i="1"/>
  <c r="D5724" i="1"/>
  <c r="D5723" i="1"/>
  <c r="E5723" i="1" s="1"/>
  <c r="D5722" i="1"/>
  <c r="E5722" i="1" s="1"/>
  <c r="E5721" i="1"/>
  <c r="D5721" i="1"/>
  <c r="D5720" i="1"/>
  <c r="E5720" i="1" s="1"/>
  <c r="D5719" i="1"/>
  <c r="E5719" i="1" s="1"/>
  <c r="E5718" i="1"/>
  <c r="D5718" i="1"/>
  <c r="D5717" i="1"/>
  <c r="E5717" i="1" s="1"/>
  <c r="D5716" i="1"/>
  <c r="E5716" i="1" s="1"/>
  <c r="D5715" i="1"/>
  <c r="E5715" i="1" s="1"/>
  <c r="D5714" i="1"/>
  <c r="E5714" i="1" s="1"/>
  <c r="D5713" i="1"/>
  <c r="E5713" i="1" s="1"/>
  <c r="E5712" i="1"/>
  <c r="D5712" i="1"/>
  <c r="D5711" i="1"/>
  <c r="E5711" i="1" s="1"/>
  <c r="D5710" i="1"/>
  <c r="E5710" i="1" s="1"/>
  <c r="E5709" i="1"/>
  <c r="D5709" i="1"/>
  <c r="E5708" i="1"/>
  <c r="D5708" i="1"/>
  <c r="D5707" i="1"/>
  <c r="E5707" i="1" s="1"/>
  <c r="E5706" i="1"/>
  <c r="D5706" i="1"/>
  <c r="D5705" i="1"/>
  <c r="E5705" i="1" s="1"/>
  <c r="D5704" i="1"/>
  <c r="E5704" i="1" s="1"/>
  <c r="E5703" i="1"/>
  <c r="D5703" i="1"/>
  <c r="D5702" i="1"/>
  <c r="E5702" i="1" s="1"/>
  <c r="E5701" i="1"/>
  <c r="D5701" i="1"/>
  <c r="E5700" i="1"/>
  <c r="D5700" i="1"/>
  <c r="E5699" i="1"/>
  <c r="D5699" i="1"/>
  <c r="E5698" i="1"/>
  <c r="D5698" i="1"/>
  <c r="E5697" i="1"/>
  <c r="D5697" i="1"/>
  <c r="D5696" i="1"/>
  <c r="E5696" i="1" s="1"/>
  <c r="E5695" i="1"/>
  <c r="D5695" i="1"/>
  <c r="E5694" i="1"/>
  <c r="D5694" i="1"/>
  <c r="D5693" i="1"/>
  <c r="E5693" i="1" s="1"/>
  <c r="D5692" i="1"/>
  <c r="E5692" i="1" s="1"/>
  <c r="D5691" i="1"/>
  <c r="E5691" i="1" s="1"/>
  <c r="D5690" i="1"/>
  <c r="E5690" i="1" s="1"/>
  <c r="D5689" i="1"/>
  <c r="E5689" i="1" s="1"/>
  <c r="E5688" i="1"/>
  <c r="D5688" i="1"/>
  <c r="D5687" i="1"/>
  <c r="E5687" i="1" s="1"/>
  <c r="E5686" i="1"/>
  <c r="D5686" i="1"/>
  <c r="D5685" i="1"/>
  <c r="E5685" i="1" s="1"/>
  <c r="D5684" i="1"/>
  <c r="E5684" i="1" s="1"/>
  <c r="D5683" i="1"/>
  <c r="E5683" i="1" s="1"/>
  <c r="E5682" i="1"/>
  <c r="D5682" i="1"/>
  <c r="D5681" i="1"/>
  <c r="E5681" i="1" s="1"/>
  <c r="D5680" i="1"/>
  <c r="E5680" i="1" s="1"/>
  <c r="D5679" i="1"/>
  <c r="E5679" i="1" s="1"/>
  <c r="D5678" i="1"/>
  <c r="E5678" i="1" s="1"/>
  <c r="E5677" i="1"/>
  <c r="D5677" i="1"/>
  <c r="E5676" i="1"/>
  <c r="D5676" i="1"/>
  <c r="E5675" i="1"/>
  <c r="D5675" i="1"/>
  <c r="D5674" i="1"/>
  <c r="E5674" i="1" s="1"/>
  <c r="E5673" i="1"/>
  <c r="D5673" i="1"/>
  <c r="E5672" i="1"/>
  <c r="D5672" i="1"/>
  <c r="D5671" i="1"/>
  <c r="E5671" i="1" s="1"/>
  <c r="E5670" i="1"/>
  <c r="D5670" i="1"/>
  <c r="E5669" i="1"/>
  <c r="D5669" i="1"/>
  <c r="D5668" i="1"/>
  <c r="E5668" i="1" s="1"/>
  <c r="E5667" i="1"/>
  <c r="D5667" i="1"/>
  <c r="D5666" i="1"/>
  <c r="E5666" i="1" s="1"/>
  <c r="D5665" i="1"/>
  <c r="E5665" i="1" s="1"/>
  <c r="E5664" i="1"/>
  <c r="D5664" i="1"/>
  <c r="D5663" i="1"/>
  <c r="E5663" i="1" s="1"/>
  <c r="E5662" i="1"/>
  <c r="D5662" i="1"/>
  <c r="D5661" i="1"/>
  <c r="E5661" i="1" s="1"/>
  <c r="E5660" i="1"/>
  <c r="D5660" i="1"/>
  <c r="D5659" i="1"/>
  <c r="E5659" i="1" s="1"/>
  <c r="E5658" i="1"/>
  <c r="D5658" i="1"/>
  <c r="D5657" i="1"/>
  <c r="E5657" i="1" s="1"/>
  <c r="D5656" i="1"/>
  <c r="E5656" i="1" s="1"/>
  <c r="E5655" i="1"/>
  <c r="D5655" i="1"/>
  <c r="D5654" i="1"/>
  <c r="E5654" i="1" s="1"/>
  <c r="D5653" i="1"/>
  <c r="E5653" i="1" s="1"/>
  <c r="E5652" i="1"/>
  <c r="D5652" i="1"/>
  <c r="E5651" i="1"/>
  <c r="D5651" i="1"/>
  <c r="D5650" i="1"/>
  <c r="E5650" i="1" s="1"/>
  <c r="E5649" i="1"/>
  <c r="D5649" i="1"/>
  <c r="D5648" i="1"/>
  <c r="E5648" i="1" s="1"/>
  <c r="E5647" i="1"/>
  <c r="D5647" i="1"/>
  <c r="E5646" i="1"/>
  <c r="D5646" i="1"/>
  <c r="E5645" i="1"/>
  <c r="D5645" i="1"/>
  <c r="D5644" i="1"/>
  <c r="E5644" i="1" s="1"/>
  <c r="E5643" i="1"/>
  <c r="D5643" i="1"/>
  <c r="D5642" i="1"/>
  <c r="E5642" i="1" s="1"/>
  <c r="D5641" i="1"/>
  <c r="E5641" i="1" s="1"/>
  <c r="E5640" i="1"/>
  <c r="D5640" i="1"/>
  <c r="D5639" i="1"/>
  <c r="E5639" i="1" s="1"/>
  <c r="D5638" i="1"/>
  <c r="E5638" i="1" s="1"/>
  <c r="D5637" i="1"/>
  <c r="E5637" i="1" s="1"/>
  <c r="E5636" i="1"/>
  <c r="D5636" i="1"/>
  <c r="D5635" i="1"/>
  <c r="E5635" i="1" s="1"/>
  <c r="E5634" i="1"/>
  <c r="D5634" i="1"/>
  <c r="E5633" i="1"/>
  <c r="D5633" i="1"/>
  <c r="D5632" i="1"/>
  <c r="E5632" i="1" s="1"/>
  <c r="D5631" i="1"/>
  <c r="E5631" i="1" s="1"/>
  <c r="D5630" i="1"/>
  <c r="E5630" i="1" s="1"/>
  <c r="E5629" i="1"/>
  <c r="D5629" i="1"/>
  <c r="D5628" i="1"/>
  <c r="E5628" i="1" s="1"/>
  <c r="D5627" i="1"/>
  <c r="E5627" i="1" s="1"/>
  <c r="D5626" i="1"/>
  <c r="E5626" i="1" s="1"/>
  <c r="D5625" i="1"/>
  <c r="E5625" i="1" s="1"/>
  <c r="D5624" i="1"/>
  <c r="E5624" i="1" s="1"/>
  <c r="E5623" i="1"/>
  <c r="D5623" i="1"/>
  <c r="E5622" i="1"/>
  <c r="D5622" i="1"/>
  <c r="E5621" i="1"/>
  <c r="D5621" i="1"/>
  <c r="D5620" i="1"/>
  <c r="E5620" i="1" s="1"/>
  <c r="D5619" i="1"/>
  <c r="E5619" i="1" s="1"/>
  <c r="D5618" i="1"/>
  <c r="E5618" i="1" s="1"/>
  <c r="D5617" i="1"/>
  <c r="E5617" i="1" s="1"/>
  <c r="E5616" i="1"/>
  <c r="D5616" i="1"/>
  <c r="D5615" i="1"/>
  <c r="E5615" i="1" s="1"/>
  <c r="D5614" i="1"/>
  <c r="E5614" i="1" s="1"/>
  <c r="E5613" i="1"/>
  <c r="D5613" i="1"/>
  <c r="E5612" i="1"/>
  <c r="D5612" i="1"/>
  <c r="D5611" i="1"/>
  <c r="E5611" i="1" s="1"/>
  <c r="E5610" i="1"/>
  <c r="D5610" i="1"/>
  <c r="D5609" i="1"/>
  <c r="E5609" i="1" s="1"/>
  <c r="D5608" i="1"/>
  <c r="E5608" i="1" s="1"/>
  <c r="D5607" i="1"/>
  <c r="E5607" i="1" s="1"/>
  <c r="D5606" i="1"/>
  <c r="E5606" i="1" s="1"/>
  <c r="D5605" i="1"/>
  <c r="E5605" i="1" s="1"/>
  <c r="D5604" i="1"/>
  <c r="E5604" i="1" s="1"/>
  <c r="E5603" i="1"/>
  <c r="D5603" i="1"/>
  <c r="D5602" i="1"/>
  <c r="E5602" i="1" s="1"/>
  <c r="D5601" i="1"/>
  <c r="E5601" i="1" s="1"/>
  <c r="E5600" i="1"/>
  <c r="D5600" i="1"/>
  <c r="D5599" i="1"/>
  <c r="E5599" i="1" s="1"/>
  <c r="E5598" i="1"/>
  <c r="D5598" i="1"/>
  <c r="E5597" i="1"/>
  <c r="D5597" i="1"/>
  <c r="D5596" i="1"/>
  <c r="E5596" i="1" s="1"/>
  <c r="D5595" i="1"/>
  <c r="E5595" i="1" s="1"/>
  <c r="D5594" i="1"/>
  <c r="E5594" i="1" s="1"/>
  <c r="E5593" i="1"/>
  <c r="D5593" i="1"/>
  <c r="E5592" i="1"/>
  <c r="D5592" i="1"/>
  <c r="D5591" i="1"/>
  <c r="E5591" i="1" s="1"/>
  <c r="E5590" i="1"/>
  <c r="D5590" i="1"/>
  <c r="D5589" i="1"/>
  <c r="E5589" i="1" s="1"/>
  <c r="D5588" i="1"/>
  <c r="E5588" i="1" s="1"/>
  <c r="E5587" i="1"/>
  <c r="D5587" i="1"/>
  <c r="E5586" i="1"/>
  <c r="D5586" i="1"/>
  <c r="D5585" i="1"/>
  <c r="E5585" i="1" s="1"/>
  <c r="D5584" i="1"/>
  <c r="E5584" i="1" s="1"/>
  <c r="D5583" i="1"/>
  <c r="E5583" i="1" s="1"/>
  <c r="D5582" i="1"/>
  <c r="E5582" i="1" s="1"/>
  <c r="E5581" i="1"/>
  <c r="D5581" i="1"/>
  <c r="E5580" i="1"/>
  <c r="D5580" i="1"/>
  <c r="D5579" i="1"/>
  <c r="E5579" i="1" s="1"/>
  <c r="E5578" i="1"/>
  <c r="D5578" i="1"/>
  <c r="E5577" i="1"/>
  <c r="D5577" i="1"/>
  <c r="D5576" i="1"/>
  <c r="E5576" i="1" s="1"/>
  <c r="D5575" i="1"/>
  <c r="E5575" i="1" s="1"/>
  <c r="E5574" i="1"/>
  <c r="D5574" i="1"/>
  <c r="E5573" i="1"/>
  <c r="D5573" i="1"/>
  <c r="D5572" i="1"/>
  <c r="E5572" i="1" s="1"/>
  <c r="D5571" i="1"/>
  <c r="E5571" i="1" s="1"/>
  <c r="D5570" i="1"/>
  <c r="E5570" i="1" s="1"/>
  <c r="D5569" i="1"/>
  <c r="E5569" i="1" s="1"/>
  <c r="E5568" i="1"/>
  <c r="D5568" i="1"/>
  <c r="E5567" i="1"/>
  <c r="D5567" i="1"/>
  <c r="E5566" i="1"/>
  <c r="D5566" i="1"/>
  <c r="E5565" i="1"/>
  <c r="D5565" i="1"/>
  <c r="E5564" i="1"/>
  <c r="D5564" i="1"/>
  <c r="D5563" i="1"/>
  <c r="E5563" i="1" s="1"/>
  <c r="E5562" i="1"/>
  <c r="D5562" i="1"/>
  <c r="D5561" i="1"/>
  <c r="E5561" i="1" s="1"/>
  <c r="D5560" i="1"/>
  <c r="E5560" i="1" s="1"/>
  <c r="E5559" i="1"/>
  <c r="D5559" i="1"/>
  <c r="D5558" i="1"/>
  <c r="E5558" i="1" s="1"/>
  <c r="E5557" i="1"/>
  <c r="D5557" i="1"/>
  <c r="D5556" i="1"/>
  <c r="E5556" i="1" s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D5549" i="1"/>
  <c r="E5549" i="1" s="1"/>
  <c r="D5548" i="1"/>
  <c r="E5548" i="1" s="1"/>
  <c r="E5547" i="1"/>
  <c r="D5547" i="1"/>
  <c r="D5546" i="1"/>
  <c r="E5546" i="1" s="1"/>
  <c r="D5545" i="1"/>
  <c r="E5545" i="1" s="1"/>
  <c r="E5544" i="1"/>
  <c r="D5544" i="1"/>
  <c r="D5543" i="1"/>
  <c r="E5543" i="1" s="1"/>
  <c r="E5542" i="1"/>
  <c r="D5542" i="1"/>
  <c r="E5541" i="1"/>
  <c r="D5541" i="1"/>
  <c r="E5540" i="1"/>
  <c r="D5540" i="1"/>
  <c r="D5539" i="1"/>
  <c r="E5539" i="1" s="1"/>
  <c r="E5538" i="1"/>
  <c r="D5538" i="1"/>
  <c r="D5537" i="1"/>
  <c r="E5537" i="1" s="1"/>
  <c r="D5536" i="1"/>
  <c r="E5536" i="1" s="1"/>
  <c r="D5535" i="1"/>
  <c r="E5535" i="1" s="1"/>
  <c r="D5534" i="1"/>
  <c r="E5534" i="1" s="1"/>
  <c r="E5533" i="1"/>
  <c r="D5533" i="1"/>
  <c r="D5532" i="1"/>
  <c r="E5532" i="1" s="1"/>
  <c r="E5531" i="1"/>
  <c r="D5531" i="1"/>
  <c r="D5530" i="1"/>
  <c r="E5530" i="1" s="1"/>
  <c r="E5529" i="1"/>
  <c r="D5529" i="1"/>
  <c r="E5528" i="1"/>
  <c r="D5528" i="1"/>
  <c r="E5527" i="1"/>
  <c r="D5527" i="1"/>
  <c r="E5526" i="1"/>
  <c r="D5526" i="1"/>
  <c r="E5525" i="1"/>
  <c r="D5525" i="1"/>
  <c r="D5524" i="1"/>
  <c r="E5524" i="1" s="1"/>
  <c r="E5523" i="1"/>
  <c r="D5523" i="1"/>
  <c r="D5522" i="1"/>
  <c r="E5522" i="1" s="1"/>
  <c r="E5521" i="1"/>
  <c r="D5521" i="1"/>
  <c r="D5520" i="1"/>
  <c r="E5520" i="1" s="1"/>
  <c r="D5519" i="1"/>
  <c r="E5519" i="1" s="1"/>
  <c r="E5518" i="1"/>
  <c r="D5518" i="1"/>
  <c r="D5517" i="1"/>
  <c r="E5517" i="1" s="1"/>
  <c r="E5516" i="1"/>
  <c r="D5516" i="1"/>
  <c r="E5515" i="1"/>
  <c r="D5515" i="1"/>
  <c r="E5514" i="1"/>
  <c r="D5514" i="1"/>
  <c r="E5513" i="1"/>
  <c r="D5513" i="1"/>
  <c r="D5512" i="1"/>
  <c r="E5512" i="1" s="1"/>
  <c r="E5511" i="1"/>
  <c r="D5511" i="1"/>
  <c r="D5510" i="1"/>
  <c r="E5510" i="1" s="1"/>
  <c r="D5509" i="1"/>
  <c r="E5509" i="1" s="1"/>
  <c r="D5508" i="1"/>
  <c r="E5508" i="1" s="1"/>
  <c r="E5507" i="1"/>
  <c r="D5507" i="1"/>
  <c r="D5506" i="1"/>
  <c r="E5506" i="1" s="1"/>
  <c r="E5505" i="1"/>
  <c r="D5505" i="1"/>
  <c r="D5504" i="1"/>
  <c r="E5504" i="1" s="1"/>
  <c r="E5503" i="1"/>
  <c r="D5503" i="1"/>
  <c r="D5502" i="1"/>
  <c r="E5502" i="1" s="1"/>
  <c r="E5501" i="1"/>
  <c r="D5501" i="1"/>
  <c r="D5500" i="1"/>
  <c r="E5500" i="1" s="1"/>
  <c r="E5499" i="1"/>
  <c r="D5499" i="1"/>
  <c r="D5498" i="1"/>
  <c r="E5498" i="1" s="1"/>
  <c r="D5497" i="1"/>
  <c r="E5497" i="1" s="1"/>
  <c r="D5496" i="1"/>
  <c r="E5496" i="1" s="1"/>
  <c r="E5495" i="1"/>
  <c r="D5495" i="1"/>
  <c r="D5494" i="1"/>
  <c r="E5494" i="1" s="1"/>
  <c r="D5493" i="1"/>
  <c r="E5493" i="1" s="1"/>
  <c r="E5492" i="1"/>
  <c r="D5492" i="1"/>
  <c r="D5491" i="1"/>
  <c r="E5491" i="1" s="1"/>
  <c r="E5490" i="1"/>
  <c r="D5490" i="1"/>
  <c r="D5489" i="1"/>
  <c r="E5489" i="1" s="1"/>
  <c r="D5488" i="1"/>
  <c r="E5488" i="1" s="1"/>
  <c r="E5487" i="1"/>
  <c r="D5487" i="1"/>
  <c r="D5486" i="1"/>
  <c r="E5486" i="1" s="1"/>
  <c r="E5485" i="1"/>
  <c r="D5485" i="1"/>
  <c r="D5484" i="1"/>
  <c r="E5484" i="1" s="1"/>
  <c r="D5483" i="1"/>
  <c r="E5483" i="1" s="1"/>
  <c r="D5482" i="1"/>
  <c r="E5482" i="1" s="1"/>
  <c r="E5481" i="1"/>
  <c r="D5481" i="1"/>
  <c r="D5480" i="1"/>
  <c r="E5480" i="1" s="1"/>
  <c r="E5479" i="1"/>
  <c r="D5479" i="1"/>
  <c r="D5478" i="1"/>
  <c r="E5478" i="1" s="1"/>
  <c r="E5477" i="1"/>
  <c r="D5477" i="1"/>
  <c r="D5476" i="1"/>
  <c r="E5476" i="1" s="1"/>
  <c r="E5475" i="1"/>
  <c r="D5475" i="1"/>
  <c r="D5474" i="1"/>
  <c r="E5474" i="1" s="1"/>
  <c r="D5473" i="1"/>
  <c r="E5473" i="1" s="1"/>
  <c r="E5472" i="1"/>
  <c r="D5472" i="1"/>
  <c r="D5471" i="1"/>
  <c r="E5471" i="1" s="1"/>
  <c r="D5470" i="1"/>
  <c r="E5470" i="1" s="1"/>
  <c r="E5469" i="1"/>
  <c r="D5469" i="1"/>
  <c r="D5468" i="1"/>
  <c r="E5468" i="1" s="1"/>
  <c r="D5467" i="1"/>
  <c r="E5467" i="1" s="1"/>
  <c r="E5466" i="1"/>
  <c r="D5466" i="1"/>
  <c r="D5465" i="1"/>
  <c r="E5465" i="1" s="1"/>
  <c r="D5464" i="1"/>
  <c r="E5464" i="1" s="1"/>
  <c r="D5463" i="1"/>
  <c r="E5463" i="1" s="1"/>
  <c r="D5462" i="1"/>
  <c r="E5462" i="1" s="1"/>
  <c r="E5461" i="1"/>
  <c r="D5461" i="1"/>
  <c r="E5460" i="1"/>
  <c r="D5460" i="1"/>
  <c r="E5459" i="1"/>
  <c r="D5459" i="1"/>
  <c r="D5458" i="1"/>
  <c r="E5458" i="1" s="1"/>
  <c r="D5457" i="1"/>
  <c r="E5457" i="1" s="1"/>
  <c r="E5456" i="1"/>
  <c r="D5456" i="1"/>
  <c r="E5455" i="1"/>
  <c r="D5455" i="1"/>
  <c r="D5454" i="1"/>
  <c r="E5454" i="1" s="1"/>
  <c r="E5453" i="1"/>
  <c r="D5453" i="1"/>
  <c r="D5452" i="1"/>
  <c r="E5452" i="1" s="1"/>
  <c r="D5451" i="1"/>
  <c r="E5451" i="1" s="1"/>
  <c r="D5450" i="1"/>
  <c r="E5450" i="1" s="1"/>
  <c r="E5449" i="1"/>
  <c r="D5449" i="1"/>
  <c r="D5448" i="1"/>
  <c r="E5448" i="1" s="1"/>
  <c r="E5447" i="1"/>
  <c r="D5447" i="1"/>
  <c r="E5446" i="1"/>
  <c r="D5446" i="1"/>
  <c r="D5445" i="1"/>
  <c r="E5445" i="1" s="1"/>
  <c r="D5444" i="1"/>
  <c r="E5444" i="1" s="1"/>
  <c r="E5443" i="1"/>
  <c r="D5443" i="1"/>
  <c r="D5442" i="1"/>
  <c r="E5442" i="1" s="1"/>
  <c r="D5441" i="1"/>
  <c r="E5441" i="1" s="1"/>
  <c r="D5440" i="1"/>
  <c r="E5440" i="1" s="1"/>
  <c r="D5439" i="1"/>
  <c r="E5439" i="1" s="1"/>
  <c r="D5438" i="1"/>
  <c r="E5438" i="1" s="1"/>
  <c r="E5437" i="1"/>
  <c r="D5437" i="1"/>
  <c r="E5436" i="1"/>
  <c r="D5436" i="1"/>
  <c r="E5435" i="1"/>
  <c r="D5435" i="1"/>
  <c r="E5434" i="1"/>
  <c r="D5434" i="1"/>
  <c r="E5433" i="1"/>
  <c r="D5433" i="1"/>
  <c r="D5432" i="1"/>
  <c r="E5432" i="1" s="1"/>
  <c r="D5431" i="1"/>
  <c r="E5431" i="1" s="1"/>
  <c r="E5430" i="1"/>
  <c r="D5430" i="1"/>
  <c r="E5429" i="1"/>
  <c r="D5429" i="1"/>
  <c r="D5428" i="1"/>
  <c r="E5428" i="1" s="1"/>
  <c r="D5427" i="1"/>
  <c r="E5427" i="1" s="1"/>
  <c r="D5426" i="1"/>
  <c r="E5426" i="1" s="1"/>
  <c r="D5425" i="1"/>
  <c r="E5425" i="1" s="1"/>
  <c r="E5424" i="1"/>
  <c r="D5424" i="1"/>
  <c r="E5423" i="1"/>
  <c r="D5423" i="1"/>
  <c r="D5422" i="1"/>
  <c r="E5422" i="1" s="1"/>
  <c r="E5421" i="1"/>
  <c r="D5421" i="1"/>
  <c r="E5420" i="1"/>
  <c r="D5420" i="1"/>
  <c r="D5419" i="1"/>
  <c r="E5419" i="1" s="1"/>
  <c r="D5418" i="1"/>
  <c r="E5418" i="1" s="1"/>
  <c r="D5417" i="1"/>
  <c r="E5417" i="1" s="1"/>
  <c r="D5416" i="1"/>
  <c r="E5416" i="1" s="1"/>
  <c r="E5415" i="1"/>
  <c r="D5415" i="1"/>
  <c r="D5414" i="1"/>
  <c r="E5414" i="1" s="1"/>
  <c r="E5413" i="1"/>
  <c r="D5413" i="1"/>
  <c r="D5412" i="1"/>
  <c r="E5412" i="1" s="1"/>
  <c r="E5411" i="1"/>
  <c r="D5411" i="1"/>
  <c r="D5410" i="1"/>
  <c r="E5410" i="1" s="1"/>
  <c r="D5409" i="1"/>
  <c r="E5409" i="1" s="1"/>
  <c r="D5408" i="1"/>
  <c r="E5408" i="1" s="1"/>
  <c r="E5407" i="1"/>
  <c r="D5407" i="1"/>
  <c r="D5406" i="1"/>
  <c r="E5406" i="1" s="1"/>
  <c r="D5405" i="1"/>
  <c r="E5405" i="1" s="1"/>
  <c r="D5404" i="1"/>
  <c r="E5404" i="1" s="1"/>
  <c r="E5403" i="1"/>
  <c r="D5403" i="1"/>
  <c r="D5402" i="1"/>
  <c r="E5402" i="1" s="1"/>
  <c r="D5401" i="1"/>
  <c r="E5401" i="1" s="1"/>
  <c r="E5400" i="1"/>
  <c r="D5400" i="1"/>
  <c r="D5399" i="1"/>
  <c r="E5399" i="1" s="1"/>
  <c r="E5398" i="1"/>
  <c r="D5398" i="1"/>
  <c r="E5397" i="1"/>
  <c r="D5397" i="1"/>
  <c r="D5396" i="1"/>
  <c r="E5396" i="1" s="1"/>
  <c r="D5395" i="1"/>
  <c r="E5395" i="1" s="1"/>
  <c r="E5394" i="1"/>
  <c r="D5394" i="1"/>
  <c r="D5393" i="1"/>
  <c r="E5393" i="1" s="1"/>
  <c r="D5392" i="1"/>
  <c r="E5392" i="1" s="1"/>
  <c r="E5391" i="1"/>
  <c r="D5391" i="1"/>
  <c r="D5390" i="1"/>
  <c r="E5390" i="1" s="1"/>
  <c r="E5389" i="1"/>
  <c r="D5389" i="1"/>
  <c r="D5388" i="1"/>
  <c r="E5388" i="1" s="1"/>
  <c r="E5387" i="1"/>
  <c r="D5387" i="1"/>
  <c r="D5386" i="1"/>
  <c r="E5386" i="1" s="1"/>
  <c r="E5385" i="1"/>
  <c r="D5385" i="1"/>
  <c r="E5384" i="1"/>
  <c r="D5384" i="1"/>
  <c r="E5383" i="1"/>
  <c r="D5383" i="1"/>
  <c r="E5382" i="1"/>
  <c r="D5382" i="1"/>
  <c r="E5381" i="1"/>
  <c r="D5381" i="1"/>
  <c r="D5380" i="1"/>
  <c r="E5380" i="1" s="1"/>
  <c r="E5379" i="1"/>
  <c r="D5379" i="1"/>
  <c r="D5378" i="1"/>
  <c r="E5378" i="1" s="1"/>
  <c r="D5377" i="1"/>
  <c r="E5377" i="1" s="1"/>
  <c r="E5376" i="1"/>
  <c r="D5376" i="1"/>
  <c r="D5375" i="1"/>
  <c r="E5375" i="1" s="1"/>
  <c r="E5374" i="1"/>
  <c r="D5374" i="1"/>
  <c r="D5373" i="1"/>
  <c r="E5373" i="1" s="1"/>
  <c r="E5372" i="1"/>
  <c r="D5372" i="1"/>
  <c r="E5371" i="1"/>
  <c r="D5371" i="1"/>
  <c r="E5370" i="1"/>
  <c r="D5370" i="1"/>
  <c r="E5369" i="1"/>
  <c r="D5369" i="1"/>
  <c r="D5368" i="1"/>
  <c r="E5368" i="1" s="1"/>
  <c r="E5367" i="1"/>
  <c r="D5367" i="1"/>
  <c r="D5366" i="1"/>
  <c r="E5366" i="1" s="1"/>
  <c r="D5365" i="1"/>
  <c r="E5365" i="1" s="1"/>
  <c r="D5364" i="1"/>
  <c r="E5364" i="1" s="1"/>
  <c r="D5363" i="1"/>
  <c r="E5363" i="1" s="1"/>
  <c r="D5362" i="1"/>
  <c r="E5362" i="1" s="1"/>
  <c r="E5361" i="1"/>
  <c r="D5361" i="1"/>
  <c r="D5360" i="1"/>
  <c r="E5360" i="1" s="1"/>
  <c r="E5359" i="1"/>
  <c r="D5359" i="1"/>
  <c r="E5358" i="1"/>
  <c r="D5358" i="1"/>
  <c r="E5357" i="1"/>
  <c r="D5357" i="1"/>
  <c r="D5356" i="1"/>
  <c r="E5356" i="1" s="1"/>
  <c r="E5355" i="1"/>
  <c r="D5355" i="1"/>
  <c r="D5354" i="1"/>
  <c r="E5354" i="1" s="1"/>
  <c r="D5353" i="1"/>
  <c r="E5353" i="1" s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E5346" i="1"/>
  <c r="D5346" i="1"/>
  <c r="D5345" i="1"/>
  <c r="E5345" i="1" s="1"/>
  <c r="D5344" i="1"/>
  <c r="E5344" i="1" s="1"/>
  <c r="E5343" i="1"/>
  <c r="D5343" i="1"/>
  <c r="D5342" i="1"/>
  <c r="E5342" i="1" s="1"/>
  <c r="E5341" i="1"/>
  <c r="D5341" i="1"/>
  <c r="D5340" i="1"/>
  <c r="E5340" i="1" s="1"/>
  <c r="D5339" i="1"/>
  <c r="E5339" i="1" s="1"/>
  <c r="D5338" i="1"/>
  <c r="E5338" i="1" s="1"/>
  <c r="E5337" i="1"/>
  <c r="D5337" i="1"/>
  <c r="D5336" i="1"/>
  <c r="E5336" i="1" s="1"/>
  <c r="E5335" i="1"/>
  <c r="D5335" i="1"/>
  <c r="D5334" i="1"/>
  <c r="E5334" i="1" s="1"/>
  <c r="E5333" i="1"/>
  <c r="D5333" i="1"/>
  <c r="D5332" i="1"/>
  <c r="E5332" i="1" s="1"/>
  <c r="D5331" i="1"/>
  <c r="E5331" i="1" s="1"/>
  <c r="D5330" i="1"/>
  <c r="E5330" i="1" s="1"/>
  <c r="D5329" i="1"/>
  <c r="E5329" i="1" s="1"/>
  <c r="E5328" i="1"/>
  <c r="D5328" i="1"/>
  <c r="D5327" i="1"/>
  <c r="E5327" i="1" s="1"/>
  <c r="D5326" i="1"/>
  <c r="E5326" i="1" s="1"/>
  <c r="E5325" i="1"/>
  <c r="D5325" i="1"/>
  <c r="D5324" i="1"/>
  <c r="E5324" i="1" s="1"/>
  <c r="D5323" i="1"/>
  <c r="E5323" i="1" s="1"/>
  <c r="E5322" i="1"/>
  <c r="D5322" i="1"/>
  <c r="D5321" i="1"/>
  <c r="E5321" i="1" s="1"/>
  <c r="D5320" i="1"/>
  <c r="E5320" i="1" s="1"/>
  <c r="D5319" i="1"/>
  <c r="E5319" i="1" s="1"/>
  <c r="D5318" i="1"/>
  <c r="E5318" i="1" s="1"/>
  <c r="E5317" i="1"/>
  <c r="D5317" i="1"/>
  <c r="E5316" i="1"/>
  <c r="D5316" i="1"/>
  <c r="E5315" i="1"/>
  <c r="D5315" i="1"/>
  <c r="D5314" i="1"/>
  <c r="E5314" i="1" s="1"/>
  <c r="D5313" i="1"/>
  <c r="E5313" i="1" s="1"/>
  <c r="E5312" i="1"/>
  <c r="D5312" i="1"/>
  <c r="E5311" i="1"/>
  <c r="D5311" i="1"/>
  <c r="D5310" i="1"/>
  <c r="E5310" i="1" s="1"/>
  <c r="E5309" i="1"/>
  <c r="D5309" i="1"/>
  <c r="D5308" i="1"/>
  <c r="E5308" i="1" s="1"/>
  <c r="D5307" i="1"/>
  <c r="E5307" i="1" s="1"/>
  <c r="D5306" i="1"/>
  <c r="E5306" i="1" s="1"/>
  <c r="E5305" i="1"/>
  <c r="D5305" i="1"/>
  <c r="E5304" i="1"/>
  <c r="D5304" i="1"/>
  <c r="D5303" i="1"/>
  <c r="E5303" i="1" s="1"/>
  <c r="E5302" i="1"/>
  <c r="D5302" i="1"/>
  <c r="D5301" i="1"/>
  <c r="E5301" i="1" s="1"/>
  <c r="D5300" i="1"/>
  <c r="E5300" i="1" s="1"/>
  <c r="D5299" i="1"/>
  <c r="E5299" i="1" s="1"/>
  <c r="E5298" i="1"/>
  <c r="D5298" i="1"/>
  <c r="D5297" i="1"/>
  <c r="E5297" i="1" s="1"/>
  <c r="D5296" i="1"/>
  <c r="E5296" i="1" s="1"/>
  <c r="D5295" i="1"/>
  <c r="E5295" i="1" s="1"/>
  <c r="D5294" i="1"/>
  <c r="E5294" i="1" s="1"/>
  <c r="E5293" i="1"/>
  <c r="D5293" i="1"/>
  <c r="E5292" i="1"/>
  <c r="D5292" i="1"/>
  <c r="E5291" i="1"/>
  <c r="D5291" i="1"/>
  <c r="E5290" i="1"/>
  <c r="D5290" i="1"/>
  <c r="E5289" i="1"/>
  <c r="D5289" i="1"/>
  <c r="D5288" i="1"/>
  <c r="E5288" i="1" s="1"/>
  <c r="D5287" i="1"/>
  <c r="E5287" i="1" s="1"/>
  <c r="E5286" i="1"/>
  <c r="D5286" i="1"/>
  <c r="E5285" i="1"/>
  <c r="D5285" i="1"/>
  <c r="D5284" i="1"/>
  <c r="E5284" i="1" s="1"/>
  <c r="D5283" i="1"/>
  <c r="E5283" i="1" s="1"/>
  <c r="D5282" i="1"/>
  <c r="E5282" i="1" s="1"/>
  <c r="D5281" i="1"/>
  <c r="E5281" i="1" s="1"/>
  <c r="E5280" i="1"/>
  <c r="D5280" i="1"/>
  <c r="E5279" i="1"/>
  <c r="D5279" i="1"/>
  <c r="D5278" i="1"/>
  <c r="E5278" i="1" s="1"/>
  <c r="E5277" i="1"/>
  <c r="D5277" i="1"/>
  <c r="E5276" i="1"/>
  <c r="D5276" i="1"/>
  <c r="D5275" i="1"/>
  <c r="E5275" i="1" s="1"/>
  <c r="D5274" i="1"/>
  <c r="E5274" i="1" s="1"/>
  <c r="E5273" i="1"/>
  <c r="D5273" i="1"/>
  <c r="D5272" i="1"/>
  <c r="E5272" i="1" s="1"/>
  <c r="E5271" i="1"/>
  <c r="D5271" i="1"/>
  <c r="D5270" i="1"/>
  <c r="E5270" i="1" s="1"/>
  <c r="E5269" i="1"/>
  <c r="D5269" i="1"/>
  <c r="D5268" i="1"/>
  <c r="E5268" i="1" s="1"/>
  <c r="E5267" i="1"/>
  <c r="D5267" i="1"/>
  <c r="D5266" i="1"/>
  <c r="E5266" i="1" s="1"/>
  <c r="D5265" i="1"/>
  <c r="E5265" i="1" s="1"/>
  <c r="D5264" i="1"/>
  <c r="E5264" i="1" s="1"/>
  <c r="E5263" i="1"/>
  <c r="D5263" i="1"/>
  <c r="D5262" i="1"/>
  <c r="E5262" i="1" s="1"/>
  <c r="D5261" i="1"/>
  <c r="E5261" i="1" s="1"/>
  <c r="D5260" i="1"/>
  <c r="E5260" i="1" s="1"/>
  <c r="E5259" i="1"/>
  <c r="D5259" i="1"/>
  <c r="D5258" i="1"/>
  <c r="E5258" i="1" s="1"/>
  <c r="D5257" i="1"/>
  <c r="E5257" i="1" s="1"/>
  <c r="E5256" i="1"/>
  <c r="D5256" i="1"/>
  <c r="D5255" i="1"/>
  <c r="E5255" i="1" s="1"/>
  <c r="E5254" i="1"/>
  <c r="D5254" i="1"/>
  <c r="D5253" i="1"/>
  <c r="E5253" i="1" s="1"/>
  <c r="E5252" i="1"/>
  <c r="D5252" i="1"/>
  <c r="D5251" i="1"/>
  <c r="E5251" i="1" s="1"/>
  <c r="E5250" i="1"/>
  <c r="D5250" i="1"/>
  <c r="D5249" i="1"/>
  <c r="E5249" i="1" s="1"/>
  <c r="D5248" i="1"/>
  <c r="E5248" i="1" s="1"/>
  <c r="E5247" i="1"/>
  <c r="D5247" i="1"/>
  <c r="D5246" i="1"/>
  <c r="E5246" i="1" s="1"/>
  <c r="E5245" i="1"/>
  <c r="D5245" i="1"/>
  <c r="D5244" i="1"/>
  <c r="E5244" i="1" s="1"/>
  <c r="E5243" i="1"/>
  <c r="D5243" i="1"/>
  <c r="D5242" i="1"/>
  <c r="E5242" i="1" s="1"/>
  <c r="E5241" i="1"/>
  <c r="D5241" i="1"/>
  <c r="E5240" i="1"/>
  <c r="D5240" i="1"/>
  <c r="E5239" i="1"/>
  <c r="D5239" i="1"/>
  <c r="D5238" i="1"/>
  <c r="E5238" i="1" s="1"/>
  <c r="E5237" i="1"/>
  <c r="D5237" i="1"/>
  <c r="D5236" i="1"/>
  <c r="E5236" i="1" s="1"/>
  <c r="E5235" i="1"/>
  <c r="D5235" i="1"/>
  <c r="D5234" i="1"/>
  <c r="E5234" i="1" s="1"/>
  <c r="D5233" i="1"/>
  <c r="E5233" i="1" s="1"/>
  <c r="E5232" i="1"/>
  <c r="D5232" i="1"/>
  <c r="D5231" i="1"/>
  <c r="E5231" i="1" s="1"/>
  <c r="E5230" i="1"/>
  <c r="D5230" i="1"/>
  <c r="D5229" i="1"/>
  <c r="E5229" i="1" s="1"/>
  <c r="E5228" i="1"/>
  <c r="D5228" i="1"/>
  <c r="D5227" i="1"/>
  <c r="E5227" i="1" s="1"/>
  <c r="E5226" i="1"/>
  <c r="D5226" i="1"/>
  <c r="E5225" i="1"/>
  <c r="D5225" i="1"/>
  <c r="D5224" i="1"/>
  <c r="E5224" i="1" s="1"/>
  <c r="E5223" i="1"/>
  <c r="D5223" i="1"/>
  <c r="D5222" i="1"/>
  <c r="E5222" i="1" s="1"/>
  <c r="D5221" i="1"/>
  <c r="E5221" i="1" s="1"/>
  <c r="D5220" i="1"/>
  <c r="E5220" i="1" s="1"/>
  <c r="E5219" i="1"/>
  <c r="D5219" i="1"/>
  <c r="D5218" i="1"/>
  <c r="E5218" i="1" s="1"/>
  <c r="E5217" i="1"/>
  <c r="D5217" i="1"/>
  <c r="D5216" i="1"/>
  <c r="E5216" i="1" s="1"/>
  <c r="D5215" i="1"/>
  <c r="E5215" i="1" s="1"/>
  <c r="E5214" i="1"/>
  <c r="D5214" i="1"/>
  <c r="D5213" i="1"/>
  <c r="E5213" i="1" s="1"/>
  <c r="D5212" i="1"/>
  <c r="E5212" i="1" s="1"/>
  <c r="E5211" i="1"/>
  <c r="D5211" i="1"/>
  <c r="D5210" i="1"/>
  <c r="E5210" i="1" s="1"/>
  <c r="D5209" i="1"/>
  <c r="E5209" i="1" s="1"/>
  <c r="D5208" i="1"/>
  <c r="E5208" i="1" s="1"/>
  <c r="E5207" i="1"/>
  <c r="D5207" i="1"/>
  <c r="D5206" i="1"/>
  <c r="E5206" i="1" s="1"/>
  <c r="D5205" i="1"/>
  <c r="E5205" i="1" s="1"/>
  <c r="E5204" i="1"/>
  <c r="D5204" i="1"/>
  <c r="D5203" i="1"/>
  <c r="E5203" i="1" s="1"/>
  <c r="E5202" i="1"/>
  <c r="D5202" i="1"/>
  <c r="D5201" i="1"/>
  <c r="E5201" i="1" s="1"/>
  <c r="D5200" i="1"/>
  <c r="E5200" i="1" s="1"/>
  <c r="E5199" i="1"/>
  <c r="D5199" i="1"/>
  <c r="D5198" i="1"/>
  <c r="E5198" i="1" s="1"/>
  <c r="E5197" i="1"/>
  <c r="D5197" i="1"/>
  <c r="D5196" i="1"/>
  <c r="E5196" i="1" s="1"/>
  <c r="D5195" i="1"/>
  <c r="E5195" i="1" s="1"/>
  <c r="D5194" i="1"/>
  <c r="E5194" i="1" s="1"/>
  <c r="D5193" i="1"/>
  <c r="E5193" i="1" s="1"/>
  <c r="D5192" i="1"/>
  <c r="E5192" i="1" s="1"/>
  <c r="E5191" i="1"/>
  <c r="D5191" i="1"/>
  <c r="D5190" i="1"/>
  <c r="E5190" i="1" s="1"/>
  <c r="D5189" i="1"/>
  <c r="E5189" i="1" s="1"/>
  <c r="D5188" i="1"/>
  <c r="E5188" i="1" s="1"/>
  <c r="D5187" i="1"/>
  <c r="E5187" i="1" s="1"/>
  <c r="D5186" i="1"/>
  <c r="E5186" i="1" s="1"/>
  <c r="D5185" i="1"/>
  <c r="E5185" i="1" s="1"/>
  <c r="E5184" i="1"/>
  <c r="D5184" i="1"/>
  <c r="D5183" i="1"/>
  <c r="E5183" i="1" s="1"/>
  <c r="D5182" i="1"/>
  <c r="E5182" i="1" s="1"/>
  <c r="D5181" i="1"/>
  <c r="E5181" i="1" s="1"/>
  <c r="D5180" i="1"/>
  <c r="E5180" i="1" s="1"/>
  <c r="D5179" i="1"/>
  <c r="E5179" i="1" s="1"/>
  <c r="E5178" i="1"/>
  <c r="D5178" i="1"/>
  <c r="D5177" i="1"/>
  <c r="E5177" i="1" s="1"/>
  <c r="D5176" i="1"/>
  <c r="E5176" i="1" s="1"/>
  <c r="E5175" i="1"/>
  <c r="D5175" i="1"/>
  <c r="D5174" i="1"/>
  <c r="E5174" i="1" s="1"/>
  <c r="D5173" i="1"/>
  <c r="E5173" i="1" s="1"/>
  <c r="E5172" i="1"/>
  <c r="D5172" i="1"/>
  <c r="E5171" i="1"/>
  <c r="D5171" i="1"/>
  <c r="D5170" i="1"/>
  <c r="E5170" i="1" s="1"/>
  <c r="D5169" i="1"/>
  <c r="E5169" i="1" s="1"/>
  <c r="D5168" i="1"/>
  <c r="E5168" i="1" s="1"/>
  <c r="E5167" i="1"/>
  <c r="D5167" i="1"/>
  <c r="D5166" i="1"/>
  <c r="E5166" i="1" s="1"/>
  <c r="E5165" i="1"/>
  <c r="D5165" i="1"/>
  <c r="D5164" i="1"/>
  <c r="E5164" i="1" s="1"/>
  <c r="D5163" i="1"/>
  <c r="E5163" i="1" s="1"/>
  <c r="D5162" i="1"/>
  <c r="E5162" i="1" s="1"/>
  <c r="D5161" i="1"/>
  <c r="E5161" i="1" s="1"/>
  <c r="E5160" i="1"/>
  <c r="D5160" i="1"/>
  <c r="D5159" i="1"/>
  <c r="E5159" i="1" s="1"/>
  <c r="E5158" i="1"/>
  <c r="D5158" i="1"/>
  <c r="D5157" i="1"/>
  <c r="E5157" i="1" s="1"/>
  <c r="D5156" i="1"/>
  <c r="E5156" i="1" s="1"/>
  <c r="E5155" i="1"/>
  <c r="D5155" i="1"/>
  <c r="D5154" i="1"/>
  <c r="E5154" i="1" s="1"/>
  <c r="D5153" i="1"/>
  <c r="E5153" i="1" s="1"/>
  <c r="D5152" i="1"/>
  <c r="E5152" i="1" s="1"/>
  <c r="D5151" i="1"/>
  <c r="E5151" i="1" s="1"/>
  <c r="D5150" i="1"/>
  <c r="E5150" i="1" s="1"/>
  <c r="D5149" i="1"/>
  <c r="E5149" i="1" s="1"/>
  <c r="D5148" i="1"/>
  <c r="E5148" i="1" s="1"/>
  <c r="D5147" i="1"/>
  <c r="E5147" i="1" s="1"/>
  <c r="D5146" i="1"/>
  <c r="E5146" i="1" s="1"/>
  <c r="E5145" i="1"/>
  <c r="D5145" i="1"/>
  <c r="D5144" i="1"/>
  <c r="E5144" i="1" s="1"/>
  <c r="D5143" i="1"/>
  <c r="E5143" i="1" s="1"/>
  <c r="D5142" i="1"/>
  <c r="E5142" i="1" s="1"/>
  <c r="E5141" i="1"/>
  <c r="D5141" i="1"/>
  <c r="D5140" i="1"/>
  <c r="E5140" i="1" s="1"/>
  <c r="D5139" i="1"/>
  <c r="E5139" i="1" s="1"/>
  <c r="D5138" i="1"/>
  <c r="E5138" i="1" s="1"/>
  <c r="D5137" i="1"/>
  <c r="E5137" i="1" s="1"/>
  <c r="D5136" i="1"/>
  <c r="E5136" i="1" s="1"/>
  <c r="E5135" i="1"/>
  <c r="D5135" i="1"/>
  <c r="D5134" i="1"/>
  <c r="E5134" i="1" s="1"/>
  <c r="D5133" i="1"/>
  <c r="E5133" i="1" s="1"/>
  <c r="E5132" i="1"/>
  <c r="D5132" i="1"/>
  <c r="D5131" i="1"/>
  <c r="E5131" i="1" s="1"/>
  <c r="D5130" i="1"/>
  <c r="E5130" i="1" s="1"/>
  <c r="E5129" i="1"/>
  <c r="D5129" i="1"/>
  <c r="D5128" i="1"/>
  <c r="E5128" i="1" s="1"/>
  <c r="D5127" i="1"/>
  <c r="E5127" i="1" s="1"/>
  <c r="E5126" i="1"/>
  <c r="D5126" i="1"/>
  <c r="D5125" i="1"/>
  <c r="E5125" i="1" s="1"/>
  <c r="E5124" i="1"/>
  <c r="D5124" i="1"/>
  <c r="D5123" i="1"/>
  <c r="E5123" i="1" s="1"/>
  <c r="D5122" i="1"/>
  <c r="E5122" i="1" s="1"/>
  <c r="E5121" i="1"/>
  <c r="D5121" i="1"/>
  <c r="E5120" i="1"/>
  <c r="D5120" i="1"/>
  <c r="D5119" i="1"/>
  <c r="E5119" i="1" s="1"/>
  <c r="D5118" i="1"/>
  <c r="E5118" i="1" s="1"/>
  <c r="D5117" i="1"/>
  <c r="E5117" i="1" s="1"/>
  <c r="D5116" i="1"/>
  <c r="E5116" i="1" s="1"/>
  <c r="D5115" i="1"/>
  <c r="E5115" i="1" s="1"/>
  <c r="E5114" i="1"/>
  <c r="D5114" i="1"/>
  <c r="D5113" i="1"/>
  <c r="E5113" i="1" s="1"/>
  <c r="D5112" i="1"/>
  <c r="E5112" i="1" s="1"/>
  <c r="E5111" i="1"/>
  <c r="D5111" i="1"/>
  <c r="E5110" i="1"/>
  <c r="D5110" i="1"/>
  <c r="D5109" i="1"/>
  <c r="E5109" i="1" s="1"/>
  <c r="E5108" i="1"/>
  <c r="D5108" i="1"/>
  <c r="D5107" i="1"/>
  <c r="E5107" i="1" s="1"/>
  <c r="D5106" i="1"/>
  <c r="E5106" i="1" s="1"/>
  <c r="D5105" i="1"/>
  <c r="E5105" i="1" s="1"/>
  <c r="D5104" i="1"/>
  <c r="E5104" i="1" s="1"/>
  <c r="D5103" i="1"/>
  <c r="E5103" i="1" s="1"/>
  <c r="E5102" i="1"/>
  <c r="D5102" i="1"/>
  <c r="D5101" i="1"/>
  <c r="E5101" i="1" s="1"/>
  <c r="E5100" i="1"/>
  <c r="D5100" i="1"/>
  <c r="D5099" i="1"/>
  <c r="E5099" i="1" s="1"/>
  <c r="D5098" i="1"/>
  <c r="E5098" i="1" s="1"/>
  <c r="E5097" i="1"/>
  <c r="D5097" i="1"/>
  <c r="E5096" i="1"/>
  <c r="D5096" i="1"/>
  <c r="D5095" i="1"/>
  <c r="E5095" i="1" s="1"/>
  <c r="D5094" i="1"/>
  <c r="E5094" i="1" s="1"/>
  <c r="D5093" i="1"/>
  <c r="E5093" i="1" s="1"/>
  <c r="E5092" i="1"/>
  <c r="D5092" i="1"/>
  <c r="D5091" i="1"/>
  <c r="E5091" i="1" s="1"/>
  <c r="E5090" i="1"/>
  <c r="D5090" i="1"/>
  <c r="D5089" i="1"/>
  <c r="E5089" i="1" s="1"/>
  <c r="D5088" i="1"/>
  <c r="E5088" i="1" s="1"/>
  <c r="D5087" i="1"/>
  <c r="E5087" i="1" s="1"/>
  <c r="E5086" i="1"/>
  <c r="D5086" i="1"/>
  <c r="D5085" i="1"/>
  <c r="E5085" i="1" s="1"/>
  <c r="E5084" i="1"/>
  <c r="D5084" i="1"/>
  <c r="D5083" i="1"/>
  <c r="E5083" i="1" s="1"/>
  <c r="D5082" i="1"/>
  <c r="E5082" i="1" s="1"/>
  <c r="E5081" i="1"/>
  <c r="D5081" i="1"/>
  <c r="D5080" i="1"/>
  <c r="E5080" i="1" s="1"/>
  <c r="D5079" i="1"/>
  <c r="E5079" i="1" s="1"/>
  <c r="E5078" i="1"/>
  <c r="D5078" i="1"/>
  <c r="D5077" i="1"/>
  <c r="E5077" i="1" s="1"/>
  <c r="D5076" i="1"/>
  <c r="E5076" i="1" s="1"/>
  <c r="D5075" i="1"/>
  <c r="E5075" i="1" s="1"/>
  <c r="D5074" i="1"/>
  <c r="E5074" i="1" s="1"/>
  <c r="D5073" i="1"/>
  <c r="E5073" i="1" s="1"/>
  <c r="E5072" i="1"/>
  <c r="D5072" i="1"/>
  <c r="D5071" i="1"/>
  <c r="E5071" i="1" s="1"/>
  <c r="D5070" i="1"/>
  <c r="E5070" i="1" s="1"/>
  <c r="D5069" i="1"/>
  <c r="E5069" i="1" s="1"/>
  <c r="D5068" i="1"/>
  <c r="E5068" i="1" s="1"/>
  <c r="D5067" i="1"/>
  <c r="E5067" i="1" s="1"/>
  <c r="E5066" i="1"/>
  <c r="D5066" i="1"/>
  <c r="D5065" i="1"/>
  <c r="E5065" i="1" s="1"/>
  <c r="D5064" i="1"/>
  <c r="E5064" i="1" s="1"/>
  <c r="E5063" i="1"/>
  <c r="D5063" i="1"/>
  <c r="D5062" i="1"/>
  <c r="E5062" i="1" s="1"/>
  <c r="D5061" i="1"/>
  <c r="E5061" i="1" s="1"/>
  <c r="E5060" i="1"/>
  <c r="D5060" i="1"/>
  <c r="D5059" i="1"/>
  <c r="E5059" i="1" s="1"/>
  <c r="D5058" i="1"/>
  <c r="E5058" i="1" s="1"/>
  <c r="E5057" i="1"/>
  <c r="D5057" i="1"/>
  <c r="D5056" i="1"/>
  <c r="E5056" i="1" s="1"/>
  <c r="D5055" i="1"/>
  <c r="E5055" i="1" s="1"/>
  <c r="E5054" i="1"/>
  <c r="D5054" i="1"/>
  <c r="D5053" i="1"/>
  <c r="E5053" i="1" s="1"/>
  <c r="E5052" i="1"/>
  <c r="D5052" i="1"/>
  <c r="D5051" i="1"/>
  <c r="E5051" i="1" s="1"/>
  <c r="D5050" i="1"/>
  <c r="E5050" i="1" s="1"/>
  <c r="E5049" i="1"/>
  <c r="D5049" i="1"/>
  <c r="E5048" i="1"/>
  <c r="D5048" i="1"/>
  <c r="D5047" i="1"/>
  <c r="E5047" i="1" s="1"/>
  <c r="D5046" i="1"/>
  <c r="E5046" i="1" s="1"/>
  <c r="D5045" i="1"/>
  <c r="E5045" i="1" s="1"/>
  <c r="D5044" i="1"/>
  <c r="E5044" i="1" s="1"/>
  <c r="D5043" i="1"/>
  <c r="E5043" i="1" s="1"/>
  <c r="E5042" i="1"/>
  <c r="D5042" i="1"/>
  <c r="D5041" i="1"/>
  <c r="E5041" i="1" s="1"/>
  <c r="D5040" i="1"/>
  <c r="E5040" i="1" s="1"/>
  <c r="D5039" i="1"/>
  <c r="E5039" i="1" s="1"/>
  <c r="E5038" i="1"/>
  <c r="D5038" i="1"/>
  <c r="D5037" i="1"/>
  <c r="E5037" i="1" s="1"/>
  <c r="E5036" i="1"/>
  <c r="D5036" i="1"/>
  <c r="D5035" i="1"/>
  <c r="E5035" i="1" s="1"/>
  <c r="D5034" i="1"/>
  <c r="E5034" i="1" s="1"/>
  <c r="D5033" i="1"/>
  <c r="E5033" i="1" s="1"/>
  <c r="D5032" i="1"/>
  <c r="E5032" i="1" s="1"/>
  <c r="D5031" i="1"/>
  <c r="E5031" i="1" s="1"/>
  <c r="E5030" i="1"/>
  <c r="D5030" i="1"/>
  <c r="D5029" i="1"/>
  <c r="E5029" i="1" s="1"/>
  <c r="E5028" i="1"/>
  <c r="D5028" i="1"/>
  <c r="D5027" i="1"/>
  <c r="E5027" i="1" s="1"/>
  <c r="D5026" i="1"/>
  <c r="E5026" i="1" s="1"/>
  <c r="D5025" i="1"/>
  <c r="E5025" i="1" s="1"/>
  <c r="E5024" i="1"/>
  <c r="D5024" i="1"/>
  <c r="D5023" i="1"/>
  <c r="E5023" i="1" s="1"/>
  <c r="D5022" i="1"/>
  <c r="E5022" i="1" s="1"/>
  <c r="D5021" i="1"/>
  <c r="E5021" i="1" s="1"/>
  <c r="E5020" i="1"/>
  <c r="D5020" i="1"/>
  <c r="D5019" i="1"/>
  <c r="E5019" i="1" s="1"/>
  <c r="E5018" i="1"/>
  <c r="D5018" i="1"/>
  <c r="D5017" i="1"/>
  <c r="E5017" i="1" s="1"/>
  <c r="D5016" i="1"/>
  <c r="E5016" i="1" s="1"/>
  <c r="D5015" i="1"/>
  <c r="E5015" i="1" s="1"/>
  <c r="E5014" i="1"/>
  <c r="D5014" i="1"/>
  <c r="D5013" i="1"/>
  <c r="E5013" i="1" s="1"/>
  <c r="E5012" i="1"/>
  <c r="D5012" i="1"/>
  <c r="D5011" i="1"/>
  <c r="E5011" i="1" s="1"/>
  <c r="D5010" i="1"/>
  <c r="E5010" i="1" s="1"/>
  <c r="E5009" i="1"/>
  <c r="D5009" i="1"/>
  <c r="D5008" i="1"/>
  <c r="E5008" i="1" s="1"/>
  <c r="D5007" i="1"/>
  <c r="E5007" i="1" s="1"/>
  <c r="E5006" i="1"/>
  <c r="D5006" i="1"/>
  <c r="D5005" i="1"/>
  <c r="E5005" i="1" s="1"/>
  <c r="D5004" i="1"/>
  <c r="E5004" i="1" s="1"/>
  <c r="D5003" i="1"/>
  <c r="E5003" i="1" s="1"/>
  <c r="D5002" i="1"/>
  <c r="E5002" i="1" s="1"/>
  <c r="D5001" i="1"/>
  <c r="E5001" i="1" s="1"/>
  <c r="E5000" i="1"/>
  <c r="D5000" i="1"/>
  <c r="D4999" i="1"/>
  <c r="E4999" i="1" s="1"/>
  <c r="D4998" i="1"/>
  <c r="E4998" i="1" s="1"/>
  <c r="D4997" i="1"/>
  <c r="E4997" i="1" s="1"/>
  <c r="D4996" i="1"/>
  <c r="E4996" i="1" s="1"/>
  <c r="D4995" i="1"/>
  <c r="E4995" i="1" s="1"/>
  <c r="E4994" i="1"/>
  <c r="D4994" i="1"/>
  <c r="D4993" i="1"/>
  <c r="E4993" i="1" s="1"/>
  <c r="D4992" i="1"/>
  <c r="E4992" i="1" s="1"/>
  <c r="E4991" i="1"/>
  <c r="D4991" i="1"/>
  <c r="D4990" i="1"/>
  <c r="E4990" i="1" s="1"/>
  <c r="D4989" i="1"/>
  <c r="E4989" i="1" s="1"/>
  <c r="E4988" i="1"/>
  <c r="D4988" i="1"/>
  <c r="D4987" i="1"/>
  <c r="E4987" i="1" s="1"/>
  <c r="D4986" i="1"/>
  <c r="E4986" i="1" s="1"/>
  <c r="E4985" i="1"/>
  <c r="D4985" i="1"/>
  <c r="D4984" i="1"/>
  <c r="E4984" i="1" s="1"/>
  <c r="D4983" i="1"/>
  <c r="E4983" i="1" s="1"/>
  <c r="E4982" i="1"/>
  <c r="D4982" i="1"/>
  <c r="D4981" i="1"/>
  <c r="E4981" i="1" s="1"/>
  <c r="E4980" i="1"/>
  <c r="D4980" i="1"/>
  <c r="D4979" i="1"/>
  <c r="E4979" i="1" s="1"/>
  <c r="D4978" i="1"/>
  <c r="E4978" i="1" s="1"/>
  <c r="E4977" i="1"/>
  <c r="D4977" i="1"/>
  <c r="E4976" i="1"/>
  <c r="D4976" i="1"/>
  <c r="D4975" i="1"/>
  <c r="E4975" i="1" s="1"/>
  <c r="D4974" i="1"/>
  <c r="E4974" i="1" s="1"/>
  <c r="D4973" i="1"/>
  <c r="E4973" i="1" s="1"/>
  <c r="D4972" i="1"/>
  <c r="E4972" i="1" s="1"/>
  <c r="D4971" i="1"/>
  <c r="E4971" i="1" s="1"/>
  <c r="E4970" i="1"/>
  <c r="D4970" i="1"/>
  <c r="D4969" i="1"/>
  <c r="E4969" i="1" s="1"/>
  <c r="D4968" i="1"/>
  <c r="E4968" i="1" s="1"/>
  <c r="D4967" i="1"/>
  <c r="E4967" i="1" s="1"/>
  <c r="E4966" i="1"/>
  <c r="D4966" i="1"/>
  <c r="D4965" i="1"/>
  <c r="E4965" i="1" s="1"/>
  <c r="E4964" i="1"/>
  <c r="D4964" i="1"/>
  <c r="D4963" i="1"/>
  <c r="E4963" i="1" s="1"/>
  <c r="D4962" i="1"/>
  <c r="E4962" i="1" s="1"/>
  <c r="D4961" i="1"/>
  <c r="E4961" i="1" s="1"/>
  <c r="D4960" i="1"/>
  <c r="E4960" i="1" s="1"/>
  <c r="D4959" i="1"/>
  <c r="E4959" i="1" s="1"/>
  <c r="E4958" i="1"/>
  <c r="D4958" i="1"/>
  <c r="D4957" i="1"/>
  <c r="E4957" i="1" s="1"/>
  <c r="E4956" i="1"/>
  <c r="D4956" i="1"/>
  <c r="D4955" i="1"/>
  <c r="E4955" i="1" s="1"/>
  <c r="D4954" i="1"/>
  <c r="E4954" i="1" s="1"/>
  <c r="D4953" i="1"/>
  <c r="E4953" i="1" s="1"/>
  <c r="E4952" i="1"/>
  <c r="D4952" i="1"/>
  <c r="D4951" i="1"/>
  <c r="E4951" i="1" s="1"/>
  <c r="D4950" i="1"/>
  <c r="E4950" i="1" s="1"/>
  <c r="D4949" i="1"/>
  <c r="E4949" i="1" s="1"/>
  <c r="E4948" i="1"/>
  <c r="D4948" i="1"/>
  <c r="D4947" i="1"/>
  <c r="E4947" i="1" s="1"/>
  <c r="E4946" i="1"/>
  <c r="D4946" i="1"/>
  <c r="D4945" i="1"/>
  <c r="E4945" i="1" s="1"/>
  <c r="D4944" i="1"/>
  <c r="E4944" i="1" s="1"/>
  <c r="D4943" i="1"/>
  <c r="E4943" i="1" s="1"/>
  <c r="E4942" i="1"/>
  <c r="D4942" i="1"/>
  <c r="D4941" i="1"/>
  <c r="E4941" i="1" s="1"/>
  <c r="E4940" i="1"/>
  <c r="D4940" i="1"/>
  <c r="D4939" i="1"/>
  <c r="E4939" i="1" s="1"/>
  <c r="D4938" i="1"/>
  <c r="E4938" i="1" s="1"/>
  <c r="E4937" i="1"/>
  <c r="D4937" i="1"/>
  <c r="D4936" i="1"/>
  <c r="E4936" i="1" s="1"/>
  <c r="D4935" i="1"/>
  <c r="E4935" i="1" s="1"/>
  <c r="E4934" i="1"/>
  <c r="D4934" i="1"/>
  <c r="D4933" i="1"/>
  <c r="E4933" i="1" s="1"/>
  <c r="D4932" i="1"/>
  <c r="E4932" i="1" s="1"/>
  <c r="D4931" i="1"/>
  <c r="E4931" i="1" s="1"/>
  <c r="D4930" i="1"/>
  <c r="E4930" i="1" s="1"/>
  <c r="D4929" i="1"/>
  <c r="E4929" i="1" s="1"/>
  <c r="E4928" i="1"/>
  <c r="D4928" i="1"/>
  <c r="D4927" i="1"/>
  <c r="E4927" i="1" s="1"/>
  <c r="D4926" i="1"/>
  <c r="E4926" i="1" s="1"/>
  <c r="D4925" i="1"/>
  <c r="E4925" i="1" s="1"/>
  <c r="D4924" i="1"/>
  <c r="E4924" i="1" s="1"/>
  <c r="D4923" i="1"/>
  <c r="E4923" i="1" s="1"/>
  <c r="E4922" i="1"/>
  <c r="D4922" i="1"/>
  <c r="D4921" i="1"/>
  <c r="E4921" i="1" s="1"/>
  <c r="D4920" i="1"/>
  <c r="E4920" i="1" s="1"/>
  <c r="E4919" i="1"/>
  <c r="D4919" i="1"/>
  <c r="D4918" i="1"/>
  <c r="E4918" i="1" s="1"/>
  <c r="D4917" i="1"/>
  <c r="E4917" i="1" s="1"/>
  <c r="E4916" i="1"/>
  <c r="D4916" i="1"/>
  <c r="D4915" i="1"/>
  <c r="E4915" i="1" s="1"/>
  <c r="D4914" i="1"/>
  <c r="E4914" i="1" s="1"/>
  <c r="E4913" i="1"/>
  <c r="D4913" i="1"/>
  <c r="D4912" i="1"/>
  <c r="E4912" i="1" s="1"/>
  <c r="D4911" i="1"/>
  <c r="E4911" i="1" s="1"/>
  <c r="E4910" i="1"/>
  <c r="D4910" i="1"/>
  <c r="D4909" i="1"/>
  <c r="E4909" i="1" s="1"/>
  <c r="E4908" i="1"/>
  <c r="D4908" i="1"/>
  <c r="D4907" i="1"/>
  <c r="E4907" i="1" s="1"/>
  <c r="D4906" i="1"/>
  <c r="E4906" i="1" s="1"/>
  <c r="E4905" i="1"/>
  <c r="D4905" i="1"/>
  <c r="E4904" i="1"/>
  <c r="D4904" i="1"/>
  <c r="D4903" i="1"/>
  <c r="E4903" i="1" s="1"/>
  <c r="D4902" i="1"/>
  <c r="E4902" i="1" s="1"/>
  <c r="D4901" i="1"/>
  <c r="E4901" i="1" s="1"/>
  <c r="D4900" i="1"/>
  <c r="E4900" i="1" s="1"/>
  <c r="D4899" i="1"/>
  <c r="E4899" i="1" s="1"/>
  <c r="E4898" i="1"/>
  <c r="D4898" i="1"/>
  <c r="D4897" i="1"/>
  <c r="E4897" i="1" s="1"/>
  <c r="D4896" i="1"/>
  <c r="E4896" i="1" s="1"/>
  <c r="D4895" i="1"/>
  <c r="E4895" i="1" s="1"/>
  <c r="E4894" i="1"/>
  <c r="D4894" i="1"/>
  <c r="D4893" i="1"/>
  <c r="E4893" i="1" s="1"/>
  <c r="E4892" i="1"/>
  <c r="D4892" i="1"/>
  <c r="D4891" i="1"/>
  <c r="E4891" i="1" s="1"/>
  <c r="D4890" i="1"/>
  <c r="E4890" i="1" s="1"/>
  <c r="D4889" i="1"/>
  <c r="E4889" i="1" s="1"/>
  <c r="D4888" i="1"/>
  <c r="E4888" i="1" s="1"/>
  <c r="D4887" i="1"/>
  <c r="E4887" i="1" s="1"/>
  <c r="E4886" i="1"/>
  <c r="D4886" i="1"/>
  <c r="D4885" i="1"/>
  <c r="E4885" i="1" s="1"/>
  <c r="E4884" i="1"/>
  <c r="D4884" i="1"/>
  <c r="D4883" i="1"/>
  <c r="E4883" i="1" s="1"/>
  <c r="D4882" i="1"/>
  <c r="E4882" i="1" s="1"/>
  <c r="D4881" i="1"/>
  <c r="E4881" i="1" s="1"/>
  <c r="E4880" i="1"/>
  <c r="D4880" i="1"/>
  <c r="D4879" i="1"/>
  <c r="E4879" i="1" s="1"/>
  <c r="D4878" i="1"/>
  <c r="E4878" i="1" s="1"/>
  <c r="D4877" i="1"/>
  <c r="E4877" i="1" s="1"/>
  <c r="E4876" i="1"/>
  <c r="D4876" i="1"/>
  <c r="D4875" i="1"/>
  <c r="E4875" i="1" s="1"/>
  <c r="E4874" i="1"/>
  <c r="D4874" i="1"/>
  <c r="D4873" i="1"/>
  <c r="E4873" i="1" s="1"/>
  <c r="D4872" i="1"/>
  <c r="E4872" i="1" s="1"/>
  <c r="D4871" i="1"/>
  <c r="E4871" i="1" s="1"/>
  <c r="E4870" i="1"/>
  <c r="D4870" i="1"/>
  <c r="D4869" i="1"/>
  <c r="E4869" i="1" s="1"/>
  <c r="E4868" i="1"/>
  <c r="D4868" i="1"/>
  <c r="D4867" i="1"/>
  <c r="E4867" i="1" s="1"/>
  <c r="D4866" i="1"/>
  <c r="E4866" i="1" s="1"/>
  <c r="E4865" i="1"/>
  <c r="D4865" i="1"/>
  <c r="D4864" i="1"/>
  <c r="E4864" i="1" s="1"/>
  <c r="D4863" i="1"/>
  <c r="E4863" i="1" s="1"/>
  <c r="E4862" i="1"/>
  <c r="D4862" i="1"/>
  <c r="D4861" i="1"/>
  <c r="E4861" i="1" s="1"/>
  <c r="D4860" i="1"/>
  <c r="E4860" i="1" s="1"/>
  <c r="D4859" i="1"/>
  <c r="E4859" i="1" s="1"/>
  <c r="D4858" i="1"/>
  <c r="E4858" i="1" s="1"/>
  <c r="D4857" i="1"/>
  <c r="E4857" i="1" s="1"/>
  <c r="E4856" i="1"/>
  <c r="D4856" i="1"/>
  <c r="D4855" i="1"/>
  <c r="E4855" i="1" s="1"/>
  <c r="D4854" i="1"/>
  <c r="E4854" i="1" s="1"/>
  <c r="D4853" i="1"/>
  <c r="E4853" i="1" s="1"/>
  <c r="D4852" i="1"/>
  <c r="E4852" i="1" s="1"/>
  <c r="D4851" i="1"/>
  <c r="E4851" i="1" s="1"/>
  <c r="E4850" i="1"/>
  <c r="D4850" i="1"/>
  <c r="D4849" i="1"/>
  <c r="E4849" i="1" s="1"/>
  <c r="D4848" i="1"/>
  <c r="E4848" i="1" s="1"/>
  <c r="E4847" i="1"/>
  <c r="D4847" i="1"/>
  <c r="D4846" i="1"/>
  <c r="E4846" i="1" s="1"/>
  <c r="D4845" i="1"/>
  <c r="E4845" i="1" s="1"/>
  <c r="E4844" i="1"/>
  <c r="D4844" i="1"/>
  <c r="D4843" i="1"/>
  <c r="E4843" i="1" s="1"/>
  <c r="D4842" i="1"/>
  <c r="E4842" i="1" s="1"/>
  <c r="E4841" i="1"/>
  <c r="D4841" i="1"/>
  <c r="D4840" i="1"/>
  <c r="E4840" i="1" s="1"/>
  <c r="D4839" i="1"/>
  <c r="E4839" i="1" s="1"/>
  <c r="E4838" i="1"/>
  <c r="D4838" i="1"/>
  <c r="D4837" i="1"/>
  <c r="E4837" i="1" s="1"/>
  <c r="E4836" i="1"/>
  <c r="D4836" i="1"/>
  <c r="D4835" i="1"/>
  <c r="E4835" i="1" s="1"/>
  <c r="D4834" i="1"/>
  <c r="E4834" i="1" s="1"/>
  <c r="E4833" i="1"/>
  <c r="D4833" i="1"/>
  <c r="E4832" i="1"/>
  <c r="D4832" i="1"/>
  <c r="D4831" i="1"/>
  <c r="E4831" i="1" s="1"/>
  <c r="D4830" i="1"/>
  <c r="E4830" i="1" s="1"/>
  <c r="D4829" i="1"/>
  <c r="E4829" i="1" s="1"/>
  <c r="D4828" i="1"/>
  <c r="E4828" i="1" s="1"/>
  <c r="D4827" i="1"/>
  <c r="E4827" i="1" s="1"/>
  <c r="E4826" i="1"/>
  <c r="D4826" i="1"/>
  <c r="D4825" i="1"/>
  <c r="E4825" i="1" s="1"/>
  <c r="D4824" i="1"/>
  <c r="E4824" i="1" s="1"/>
  <c r="D4823" i="1"/>
  <c r="E4823" i="1" s="1"/>
  <c r="E4822" i="1"/>
  <c r="D4822" i="1"/>
  <c r="D4821" i="1"/>
  <c r="E4821" i="1" s="1"/>
  <c r="E4820" i="1"/>
  <c r="D4820" i="1"/>
  <c r="D4819" i="1"/>
  <c r="E4819" i="1" s="1"/>
  <c r="D4818" i="1"/>
  <c r="E4818" i="1" s="1"/>
  <c r="D4817" i="1"/>
  <c r="E4817" i="1" s="1"/>
  <c r="D4816" i="1"/>
  <c r="E4816" i="1" s="1"/>
  <c r="D4815" i="1"/>
  <c r="E4815" i="1" s="1"/>
  <c r="E4814" i="1"/>
  <c r="D4814" i="1"/>
  <c r="D4813" i="1"/>
  <c r="E4813" i="1" s="1"/>
  <c r="E4812" i="1"/>
  <c r="D4812" i="1"/>
  <c r="D4811" i="1"/>
  <c r="E4811" i="1" s="1"/>
  <c r="D4810" i="1"/>
  <c r="E4810" i="1" s="1"/>
  <c r="D4809" i="1"/>
  <c r="E4809" i="1" s="1"/>
  <c r="E4808" i="1"/>
  <c r="D4808" i="1"/>
  <c r="D4807" i="1"/>
  <c r="E4807" i="1" s="1"/>
  <c r="D4806" i="1"/>
  <c r="E4806" i="1" s="1"/>
  <c r="D4805" i="1"/>
  <c r="E4805" i="1" s="1"/>
  <c r="E4804" i="1"/>
  <c r="D4804" i="1"/>
  <c r="D4803" i="1"/>
  <c r="E4803" i="1" s="1"/>
  <c r="E4802" i="1"/>
  <c r="D4802" i="1"/>
  <c r="D4801" i="1"/>
  <c r="E4801" i="1" s="1"/>
  <c r="D4800" i="1"/>
  <c r="E4800" i="1" s="1"/>
  <c r="D4799" i="1"/>
  <c r="E4799" i="1" s="1"/>
  <c r="E4798" i="1"/>
  <c r="D4798" i="1"/>
  <c r="D4797" i="1"/>
  <c r="E4797" i="1" s="1"/>
  <c r="E4796" i="1"/>
  <c r="D4796" i="1"/>
  <c r="D4795" i="1"/>
  <c r="E4795" i="1" s="1"/>
  <c r="D4794" i="1"/>
  <c r="E4794" i="1" s="1"/>
  <c r="E4793" i="1"/>
  <c r="D4793" i="1"/>
  <c r="D4792" i="1"/>
  <c r="E4792" i="1" s="1"/>
  <c r="D4791" i="1"/>
  <c r="E4791" i="1" s="1"/>
  <c r="E4790" i="1"/>
  <c r="D4790" i="1"/>
  <c r="D4789" i="1"/>
  <c r="E4789" i="1" s="1"/>
  <c r="D4788" i="1"/>
  <c r="E4788" i="1" s="1"/>
  <c r="D4787" i="1"/>
  <c r="E4787" i="1" s="1"/>
  <c r="D4786" i="1"/>
  <c r="E4786" i="1" s="1"/>
  <c r="D4785" i="1"/>
  <c r="E4785" i="1" s="1"/>
  <c r="E4784" i="1"/>
  <c r="D4784" i="1"/>
  <c r="D4783" i="1"/>
  <c r="E4783" i="1" s="1"/>
  <c r="D4782" i="1"/>
  <c r="E4782" i="1" s="1"/>
  <c r="D4781" i="1"/>
  <c r="E4781" i="1" s="1"/>
  <c r="D4780" i="1"/>
  <c r="E4780" i="1" s="1"/>
  <c r="D4779" i="1"/>
  <c r="E4779" i="1" s="1"/>
  <c r="E4778" i="1"/>
  <c r="D4778" i="1"/>
  <c r="D4777" i="1"/>
  <c r="E4777" i="1" s="1"/>
  <c r="D4776" i="1"/>
  <c r="E4776" i="1" s="1"/>
  <c r="E4775" i="1"/>
  <c r="D4775" i="1"/>
  <c r="D4774" i="1"/>
  <c r="E4774" i="1" s="1"/>
  <c r="D4773" i="1"/>
  <c r="E4773" i="1" s="1"/>
  <c r="E4772" i="1"/>
  <c r="D4772" i="1"/>
  <c r="D4771" i="1"/>
  <c r="E4771" i="1" s="1"/>
  <c r="D4770" i="1"/>
  <c r="E4770" i="1" s="1"/>
  <c r="E4769" i="1"/>
  <c r="D4769" i="1"/>
  <c r="D4768" i="1"/>
  <c r="E4768" i="1" s="1"/>
  <c r="D4767" i="1"/>
  <c r="E4767" i="1" s="1"/>
  <c r="E4766" i="1"/>
  <c r="D4766" i="1"/>
  <c r="D4765" i="1"/>
  <c r="E4765" i="1" s="1"/>
  <c r="E4764" i="1"/>
  <c r="D4764" i="1"/>
  <c r="D4763" i="1"/>
  <c r="E4763" i="1" s="1"/>
  <c r="D4762" i="1"/>
  <c r="E4762" i="1" s="1"/>
  <c r="E4761" i="1"/>
  <c r="D4761" i="1"/>
  <c r="E4760" i="1"/>
  <c r="D4760" i="1"/>
  <c r="D4759" i="1"/>
  <c r="E4759" i="1" s="1"/>
  <c r="D4758" i="1"/>
  <c r="E4758" i="1" s="1"/>
  <c r="D4757" i="1"/>
  <c r="E4757" i="1" s="1"/>
  <c r="D4756" i="1"/>
  <c r="E4756" i="1" s="1"/>
  <c r="D4755" i="1"/>
  <c r="E4755" i="1" s="1"/>
  <c r="E4754" i="1"/>
  <c r="D4754" i="1"/>
  <c r="D4753" i="1"/>
  <c r="E4753" i="1" s="1"/>
  <c r="D4752" i="1"/>
  <c r="E4752" i="1" s="1"/>
  <c r="D4751" i="1"/>
  <c r="E4751" i="1" s="1"/>
  <c r="E4750" i="1"/>
  <c r="D4750" i="1"/>
  <c r="D4749" i="1"/>
  <c r="E4749" i="1" s="1"/>
  <c r="E4748" i="1"/>
  <c r="D4748" i="1"/>
  <c r="D4747" i="1"/>
  <c r="E4747" i="1" s="1"/>
  <c r="D4746" i="1"/>
  <c r="E4746" i="1" s="1"/>
  <c r="D4745" i="1"/>
  <c r="E4745" i="1" s="1"/>
  <c r="D4744" i="1"/>
  <c r="E4744" i="1" s="1"/>
  <c r="D4743" i="1"/>
  <c r="E4743" i="1" s="1"/>
  <c r="E4742" i="1"/>
  <c r="D4742" i="1"/>
  <c r="D4741" i="1"/>
  <c r="E4741" i="1" s="1"/>
  <c r="E4740" i="1"/>
  <c r="D4740" i="1"/>
  <c r="D4739" i="1"/>
  <c r="E4739" i="1" s="1"/>
  <c r="D4738" i="1"/>
  <c r="E4738" i="1" s="1"/>
  <c r="D4737" i="1"/>
  <c r="E4737" i="1" s="1"/>
  <c r="E4736" i="1"/>
  <c r="D4736" i="1"/>
  <c r="D4735" i="1"/>
  <c r="E4735" i="1" s="1"/>
  <c r="D4734" i="1"/>
  <c r="E4734" i="1" s="1"/>
  <c r="D4733" i="1"/>
  <c r="E4733" i="1" s="1"/>
  <c r="E4732" i="1"/>
  <c r="D4732" i="1"/>
  <c r="D4731" i="1"/>
  <c r="E4731" i="1" s="1"/>
  <c r="E4730" i="1"/>
  <c r="D4730" i="1"/>
  <c r="D4729" i="1"/>
  <c r="E4729" i="1" s="1"/>
  <c r="D4728" i="1"/>
  <c r="E4728" i="1" s="1"/>
  <c r="D4727" i="1"/>
  <c r="E4727" i="1" s="1"/>
  <c r="E4726" i="1"/>
  <c r="D4726" i="1"/>
  <c r="D4725" i="1"/>
  <c r="E4725" i="1" s="1"/>
  <c r="E4724" i="1"/>
  <c r="D4724" i="1"/>
  <c r="D4723" i="1"/>
  <c r="E4723" i="1" s="1"/>
  <c r="D4722" i="1"/>
  <c r="E4722" i="1" s="1"/>
  <c r="E4721" i="1"/>
  <c r="D4721" i="1"/>
  <c r="D4720" i="1"/>
  <c r="E4720" i="1" s="1"/>
  <c r="D4719" i="1"/>
  <c r="E4719" i="1" s="1"/>
  <c r="E4718" i="1"/>
  <c r="D4718" i="1"/>
  <c r="D4717" i="1"/>
  <c r="E4717" i="1" s="1"/>
  <c r="D4716" i="1"/>
  <c r="E4716" i="1" s="1"/>
  <c r="D4715" i="1"/>
  <c r="E4715" i="1" s="1"/>
  <c r="D4714" i="1"/>
  <c r="E4714" i="1" s="1"/>
  <c r="D4713" i="1"/>
  <c r="E4713" i="1" s="1"/>
  <c r="E4712" i="1"/>
  <c r="D4712" i="1"/>
  <c r="D4711" i="1"/>
  <c r="E4711" i="1" s="1"/>
  <c r="D4710" i="1"/>
  <c r="E4710" i="1" s="1"/>
  <c r="D4709" i="1"/>
  <c r="E4709" i="1" s="1"/>
  <c r="D4708" i="1"/>
  <c r="E4708" i="1" s="1"/>
  <c r="D4707" i="1"/>
  <c r="E4707" i="1" s="1"/>
  <c r="E4706" i="1"/>
  <c r="D4706" i="1"/>
  <c r="D4705" i="1"/>
  <c r="E4705" i="1" s="1"/>
  <c r="D4704" i="1"/>
  <c r="E4704" i="1" s="1"/>
  <c r="E4703" i="1"/>
  <c r="D4703" i="1"/>
  <c r="D4702" i="1"/>
  <c r="E4702" i="1" s="1"/>
  <c r="D4701" i="1"/>
  <c r="E4701" i="1" s="1"/>
  <c r="E4700" i="1"/>
  <c r="D4700" i="1"/>
  <c r="D4699" i="1"/>
  <c r="E4699" i="1" s="1"/>
  <c r="D4698" i="1"/>
  <c r="E4698" i="1" s="1"/>
  <c r="E4697" i="1"/>
  <c r="D4697" i="1"/>
  <c r="D4696" i="1"/>
  <c r="E4696" i="1" s="1"/>
  <c r="D4695" i="1"/>
  <c r="E4695" i="1" s="1"/>
  <c r="E4694" i="1"/>
  <c r="D4694" i="1"/>
  <c r="D4693" i="1"/>
  <c r="E4693" i="1" s="1"/>
  <c r="E4692" i="1"/>
  <c r="D4692" i="1"/>
  <c r="D4691" i="1"/>
  <c r="E4691" i="1" s="1"/>
  <c r="D4690" i="1"/>
  <c r="E4690" i="1" s="1"/>
  <c r="E4689" i="1"/>
  <c r="D4689" i="1"/>
  <c r="E4688" i="1"/>
  <c r="D4688" i="1"/>
  <c r="D4687" i="1"/>
  <c r="E4687" i="1" s="1"/>
  <c r="D4686" i="1"/>
  <c r="E4686" i="1" s="1"/>
  <c r="D4685" i="1"/>
  <c r="E4685" i="1" s="1"/>
  <c r="D4684" i="1"/>
  <c r="E4684" i="1" s="1"/>
  <c r="D4683" i="1"/>
  <c r="E4683" i="1" s="1"/>
  <c r="E4682" i="1"/>
  <c r="D4682" i="1"/>
  <c r="D4681" i="1"/>
  <c r="E4681" i="1" s="1"/>
  <c r="D4680" i="1"/>
  <c r="E4680" i="1" s="1"/>
  <c r="D4679" i="1"/>
  <c r="E4679" i="1" s="1"/>
  <c r="E4678" i="1"/>
  <c r="D4678" i="1"/>
  <c r="D4677" i="1"/>
  <c r="E4677" i="1" s="1"/>
  <c r="E4676" i="1"/>
  <c r="D4676" i="1"/>
  <c r="D4675" i="1"/>
  <c r="E4675" i="1" s="1"/>
  <c r="D4674" i="1"/>
  <c r="E4674" i="1" s="1"/>
  <c r="D4673" i="1"/>
  <c r="E4673" i="1" s="1"/>
  <c r="D4672" i="1"/>
  <c r="E4672" i="1" s="1"/>
  <c r="D4671" i="1"/>
  <c r="E4671" i="1" s="1"/>
  <c r="E4670" i="1"/>
  <c r="D4670" i="1"/>
  <c r="D4669" i="1"/>
  <c r="E4669" i="1" s="1"/>
  <c r="E4668" i="1"/>
  <c r="D4668" i="1"/>
  <c r="D4667" i="1"/>
  <c r="E4667" i="1" s="1"/>
  <c r="D4666" i="1"/>
  <c r="E4666" i="1" s="1"/>
  <c r="D4665" i="1"/>
  <c r="E4665" i="1" s="1"/>
  <c r="E4664" i="1"/>
  <c r="D4664" i="1"/>
  <c r="D4663" i="1"/>
  <c r="E4663" i="1" s="1"/>
  <c r="D4662" i="1"/>
  <c r="E4662" i="1" s="1"/>
  <c r="D4661" i="1"/>
  <c r="E4661" i="1" s="1"/>
  <c r="E4660" i="1"/>
  <c r="D4660" i="1"/>
  <c r="D4659" i="1"/>
  <c r="E4659" i="1" s="1"/>
  <c r="E4658" i="1"/>
  <c r="D4658" i="1"/>
  <c r="D4657" i="1"/>
  <c r="E4657" i="1" s="1"/>
  <c r="D4656" i="1"/>
  <c r="E4656" i="1" s="1"/>
  <c r="D4655" i="1"/>
  <c r="E4655" i="1" s="1"/>
  <c r="E4654" i="1"/>
  <c r="D4654" i="1"/>
  <c r="D4653" i="1"/>
  <c r="E4653" i="1" s="1"/>
  <c r="E4652" i="1"/>
  <c r="D4652" i="1"/>
  <c r="D4651" i="1"/>
  <c r="E4651" i="1" s="1"/>
  <c r="D4650" i="1"/>
  <c r="E4650" i="1" s="1"/>
  <c r="E4649" i="1"/>
  <c r="D4649" i="1"/>
  <c r="D4648" i="1"/>
  <c r="E4648" i="1" s="1"/>
  <c r="D4647" i="1"/>
  <c r="E4647" i="1" s="1"/>
  <c r="E4646" i="1"/>
  <c r="D4646" i="1"/>
  <c r="D4645" i="1"/>
  <c r="E4645" i="1" s="1"/>
  <c r="D4644" i="1"/>
  <c r="E4644" i="1" s="1"/>
  <c r="D4643" i="1"/>
  <c r="E4643" i="1" s="1"/>
  <c r="D4642" i="1"/>
  <c r="E4642" i="1" s="1"/>
  <c r="D4641" i="1"/>
  <c r="E4641" i="1" s="1"/>
  <c r="E4640" i="1"/>
  <c r="D4640" i="1"/>
  <c r="D4639" i="1"/>
  <c r="E4639" i="1" s="1"/>
  <c r="D4638" i="1"/>
  <c r="E4638" i="1" s="1"/>
  <c r="D4637" i="1"/>
  <c r="E4637" i="1" s="1"/>
  <c r="D4636" i="1"/>
  <c r="E4636" i="1" s="1"/>
  <c r="D4635" i="1"/>
  <c r="E4635" i="1" s="1"/>
  <c r="E4634" i="1"/>
  <c r="D4634" i="1"/>
  <c r="D4633" i="1"/>
  <c r="E4633" i="1" s="1"/>
  <c r="D4632" i="1"/>
  <c r="E4632" i="1" s="1"/>
  <c r="D4631" i="1"/>
  <c r="E4631" i="1" s="1"/>
  <c r="D4630" i="1"/>
  <c r="E4630" i="1" s="1"/>
  <c r="D4629" i="1"/>
  <c r="E4629" i="1" s="1"/>
  <c r="E4628" i="1"/>
  <c r="D4628" i="1"/>
  <c r="D4627" i="1"/>
  <c r="E4627" i="1" s="1"/>
  <c r="D4626" i="1"/>
  <c r="E4626" i="1" s="1"/>
  <c r="E4625" i="1"/>
  <c r="D4625" i="1"/>
  <c r="D4624" i="1"/>
  <c r="E4624" i="1" s="1"/>
  <c r="D4623" i="1"/>
  <c r="E4623" i="1" s="1"/>
  <c r="E4622" i="1"/>
  <c r="D4622" i="1"/>
  <c r="D4621" i="1"/>
  <c r="E4621" i="1" s="1"/>
  <c r="E4620" i="1"/>
  <c r="D4620" i="1"/>
  <c r="D4619" i="1"/>
  <c r="E4619" i="1" s="1"/>
  <c r="D4618" i="1"/>
  <c r="E4618" i="1" s="1"/>
  <c r="D4617" i="1"/>
  <c r="E4617" i="1" s="1"/>
  <c r="E4616" i="1"/>
  <c r="D4616" i="1"/>
  <c r="D4615" i="1"/>
  <c r="E4615" i="1" s="1"/>
  <c r="D4614" i="1"/>
  <c r="E4614" i="1" s="1"/>
  <c r="D4613" i="1"/>
  <c r="E4613" i="1" s="1"/>
  <c r="D4612" i="1"/>
  <c r="E4612" i="1" s="1"/>
  <c r="D4611" i="1"/>
  <c r="E4611" i="1" s="1"/>
  <c r="E4610" i="1"/>
  <c r="D4610" i="1"/>
  <c r="D4609" i="1"/>
  <c r="E4609" i="1" s="1"/>
  <c r="D4608" i="1"/>
  <c r="E4608" i="1" s="1"/>
  <c r="D4607" i="1"/>
  <c r="E4607" i="1" s="1"/>
  <c r="E4606" i="1"/>
  <c r="D4606" i="1"/>
  <c r="D4605" i="1"/>
  <c r="E4605" i="1" s="1"/>
  <c r="E4604" i="1"/>
  <c r="D4604" i="1"/>
  <c r="D4603" i="1"/>
  <c r="E4603" i="1" s="1"/>
  <c r="D4602" i="1"/>
  <c r="E4602" i="1" s="1"/>
  <c r="D4601" i="1"/>
  <c r="E4601" i="1" s="1"/>
  <c r="D4600" i="1"/>
  <c r="E4600" i="1" s="1"/>
  <c r="D4599" i="1"/>
  <c r="E4599" i="1" s="1"/>
  <c r="E4598" i="1"/>
  <c r="D4598" i="1"/>
  <c r="D4597" i="1"/>
  <c r="E4597" i="1" s="1"/>
  <c r="E4596" i="1"/>
  <c r="D4596" i="1"/>
  <c r="D4595" i="1"/>
  <c r="E4595" i="1" s="1"/>
  <c r="D4594" i="1"/>
  <c r="E4594" i="1" s="1"/>
  <c r="D4593" i="1"/>
  <c r="E4593" i="1" s="1"/>
  <c r="E4592" i="1"/>
  <c r="D4592" i="1"/>
  <c r="D4591" i="1"/>
  <c r="E4591" i="1" s="1"/>
  <c r="D4590" i="1"/>
  <c r="E4590" i="1" s="1"/>
  <c r="D4589" i="1"/>
  <c r="E4589" i="1" s="1"/>
  <c r="D4588" i="1"/>
  <c r="E4588" i="1" s="1"/>
  <c r="D4587" i="1"/>
  <c r="E4587" i="1" s="1"/>
  <c r="E4586" i="1"/>
  <c r="D4586" i="1"/>
  <c r="D4585" i="1"/>
  <c r="E4585" i="1" s="1"/>
  <c r="D4584" i="1"/>
  <c r="E4584" i="1" s="1"/>
  <c r="D4583" i="1"/>
  <c r="E4583" i="1" s="1"/>
  <c r="E4582" i="1"/>
  <c r="D4582" i="1"/>
  <c r="D4581" i="1"/>
  <c r="E4581" i="1" s="1"/>
  <c r="E4580" i="1"/>
  <c r="D4580" i="1"/>
  <c r="D4579" i="1"/>
  <c r="E4579" i="1" s="1"/>
  <c r="D4578" i="1"/>
  <c r="E4578" i="1" s="1"/>
  <c r="E4577" i="1"/>
  <c r="D4577" i="1"/>
  <c r="D4576" i="1"/>
  <c r="E4576" i="1" s="1"/>
  <c r="D4575" i="1"/>
  <c r="E4575" i="1" s="1"/>
  <c r="E4574" i="1"/>
  <c r="D4574" i="1"/>
  <c r="D4573" i="1"/>
  <c r="E4573" i="1" s="1"/>
  <c r="D4572" i="1"/>
  <c r="E4572" i="1" s="1"/>
  <c r="D4571" i="1"/>
  <c r="E4571" i="1" s="1"/>
  <c r="D4570" i="1"/>
  <c r="E4570" i="1" s="1"/>
  <c r="D4569" i="1"/>
  <c r="E4569" i="1" s="1"/>
  <c r="E4568" i="1"/>
  <c r="D4568" i="1"/>
  <c r="D4567" i="1"/>
  <c r="E4567" i="1" s="1"/>
  <c r="D4566" i="1"/>
  <c r="E4566" i="1" s="1"/>
  <c r="D4565" i="1"/>
  <c r="E4565" i="1" s="1"/>
  <c r="D4564" i="1"/>
  <c r="E4564" i="1" s="1"/>
  <c r="D4563" i="1"/>
  <c r="E4563" i="1" s="1"/>
  <c r="E4562" i="1"/>
  <c r="D4562" i="1"/>
  <c r="D4561" i="1"/>
  <c r="E4561" i="1" s="1"/>
  <c r="D4560" i="1"/>
  <c r="E4560" i="1" s="1"/>
  <c r="D4559" i="1"/>
  <c r="E4559" i="1" s="1"/>
  <c r="D4558" i="1"/>
  <c r="E4558" i="1" s="1"/>
  <c r="D4557" i="1"/>
  <c r="E4557" i="1" s="1"/>
  <c r="E4556" i="1"/>
  <c r="D4556" i="1"/>
  <c r="D4555" i="1"/>
  <c r="E4555" i="1" s="1"/>
  <c r="D4554" i="1"/>
  <c r="E4554" i="1" s="1"/>
  <c r="E4553" i="1"/>
  <c r="D4553" i="1"/>
  <c r="D4552" i="1"/>
  <c r="E4552" i="1" s="1"/>
  <c r="D4551" i="1"/>
  <c r="E4551" i="1" s="1"/>
  <c r="E4550" i="1"/>
  <c r="D4550" i="1"/>
  <c r="D4549" i="1"/>
  <c r="E4549" i="1" s="1"/>
  <c r="E4548" i="1"/>
  <c r="D4548" i="1"/>
  <c r="D4547" i="1"/>
  <c r="E4547" i="1" s="1"/>
  <c r="D4546" i="1"/>
  <c r="E4546" i="1" s="1"/>
  <c r="D4545" i="1"/>
  <c r="E4545" i="1" s="1"/>
  <c r="E4544" i="1"/>
  <c r="D4544" i="1"/>
  <c r="D4543" i="1"/>
  <c r="E4543" i="1" s="1"/>
  <c r="D4542" i="1"/>
  <c r="E4542" i="1" s="1"/>
  <c r="D4541" i="1"/>
  <c r="E4541" i="1" s="1"/>
  <c r="D4540" i="1"/>
  <c r="E4540" i="1" s="1"/>
  <c r="D4539" i="1"/>
  <c r="E4539" i="1" s="1"/>
  <c r="E4538" i="1"/>
  <c r="D4538" i="1"/>
  <c r="D4537" i="1"/>
  <c r="E4537" i="1" s="1"/>
  <c r="D4536" i="1"/>
  <c r="E4536" i="1" s="1"/>
  <c r="D4535" i="1"/>
  <c r="E4535" i="1" s="1"/>
  <c r="E4534" i="1"/>
  <c r="D4534" i="1"/>
  <c r="D4533" i="1"/>
  <c r="E4533" i="1" s="1"/>
  <c r="E4532" i="1"/>
  <c r="D4532" i="1"/>
  <c r="D4531" i="1"/>
  <c r="E4531" i="1" s="1"/>
  <c r="D4530" i="1"/>
  <c r="E4530" i="1" s="1"/>
  <c r="D4529" i="1"/>
  <c r="E4529" i="1" s="1"/>
  <c r="D4528" i="1"/>
  <c r="E4528" i="1" s="1"/>
  <c r="D4527" i="1"/>
  <c r="E4527" i="1" s="1"/>
  <c r="E4526" i="1"/>
  <c r="D4526" i="1"/>
  <c r="D4525" i="1"/>
  <c r="E4525" i="1" s="1"/>
  <c r="E4524" i="1"/>
  <c r="D4524" i="1"/>
  <c r="D4523" i="1"/>
  <c r="E4523" i="1" s="1"/>
  <c r="D4522" i="1"/>
  <c r="E4522" i="1" s="1"/>
  <c r="D4521" i="1"/>
  <c r="E4521" i="1" s="1"/>
  <c r="E4520" i="1"/>
  <c r="D4520" i="1"/>
  <c r="D4519" i="1"/>
  <c r="E4519" i="1" s="1"/>
  <c r="D4518" i="1"/>
  <c r="E4518" i="1" s="1"/>
  <c r="D4517" i="1"/>
  <c r="E4517" i="1" s="1"/>
  <c r="D4516" i="1"/>
  <c r="E4516" i="1" s="1"/>
  <c r="D4515" i="1"/>
  <c r="E4515" i="1" s="1"/>
  <c r="E4514" i="1"/>
  <c r="D4514" i="1"/>
  <c r="D4513" i="1"/>
  <c r="E4513" i="1" s="1"/>
  <c r="D4512" i="1"/>
  <c r="E4512" i="1" s="1"/>
  <c r="D4511" i="1"/>
  <c r="E4511" i="1" s="1"/>
  <c r="E4510" i="1"/>
  <c r="D4510" i="1"/>
  <c r="D4509" i="1"/>
  <c r="E4509" i="1" s="1"/>
  <c r="E4508" i="1"/>
  <c r="D4508" i="1"/>
  <c r="D4507" i="1"/>
  <c r="E4507" i="1" s="1"/>
  <c r="D4506" i="1"/>
  <c r="E4506" i="1" s="1"/>
  <c r="E4505" i="1"/>
  <c r="D4505" i="1"/>
  <c r="D4504" i="1"/>
  <c r="E4504" i="1" s="1"/>
  <c r="D4503" i="1"/>
  <c r="E4503" i="1" s="1"/>
  <c r="E4502" i="1"/>
  <c r="D4502" i="1"/>
  <c r="D4501" i="1"/>
  <c r="E4501" i="1" s="1"/>
  <c r="D4500" i="1"/>
  <c r="E4500" i="1" s="1"/>
  <c r="D4499" i="1"/>
  <c r="E4499" i="1" s="1"/>
  <c r="D4498" i="1"/>
  <c r="E4498" i="1" s="1"/>
  <c r="D4497" i="1"/>
  <c r="E4497" i="1" s="1"/>
  <c r="E4496" i="1"/>
  <c r="D4496" i="1"/>
  <c r="D4495" i="1"/>
  <c r="E4495" i="1" s="1"/>
  <c r="D4494" i="1"/>
  <c r="E4494" i="1" s="1"/>
  <c r="D4493" i="1"/>
  <c r="E4493" i="1" s="1"/>
  <c r="D4492" i="1"/>
  <c r="E4492" i="1" s="1"/>
  <c r="D4491" i="1"/>
  <c r="E4491" i="1" s="1"/>
  <c r="E4490" i="1"/>
  <c r="D4490" i="1"/>
  <c r="D4489" i="1"/>
  <c r="E4489" i="1" s="1"/>
  <c r="D4488" i="1"/>
  <c r="E4488" i="1" s="1"/>
  <c r="D4487" i="1"/>
  <c r="E4487" i="1" s="1"/>
  <c r="D4486" i="1"/>
  <c r="E4486" i="1" s="1"/>
  <c r="D4485" i="1"/>
  <c r="E4485" i="1" s="1"/>
  <c r="D4484" i="1"/>
  <c r="E4484" i="1" s="1"/>
  <c r="D4483" i="1"/>
  <c r="E4483" i="1" s="1"/>
  <c r="D4482" i="1"/>
  <c r="E4482" i="1" s="1"/>
  <c r="E4481" i="1"/>
  <c r="D4481" i="1"/>
  <c r="D4480" i="1"/>
  <c r="E4480" i="1" s="1"/>
  <c r="D4479" i="1"/>
  <c r="E4479" i="1" s="1"/>
  <c r="E4478" i="1"/>
  <c r="D4478" i="1"/>
  <c r="D4477" i="1"/>
  <c r="E4477" i="1" s="1"/>
  <c r="E4476" i="1"/>
  <c r="D4476" i="1"/>
  <c r="D4475" i="1"/>
  <c r="E4475" i="1" s="1"/>
  <c r="D4474" i="1"/>
  <c r="E4474" i="1" s="1"/>
  <c r="D4473" i="1"/>
  <c r="E4473" i="1" s="1"/>
  <c r="D4472" i="1"/>
  <c r="E4472" i="1" s="1"/>
  <c r="D4471" i="1"/>
  <c r="E4471" i="1" s="1"/>
  <c r="D4470" i="1"/>
  <c r="E4470" i="1" s="1"/>
  <c r="D4469" i="1"/>
  <c r="E4469" i="1" s="1"/>
  <c r="D4468" i="1"/>
  <c r="E4468" i="1" s="1"/>
  <c r="D4467" i="1"/>
  <c r="E4467" i="1" s="1"/>
  <c r="E4466" i="1"/>
  <c r="D4466" i="1"/>
  <c r="D4465" i="1"/>
  <c r="E4465" i="1" s="1"/>
  <c r="D4464" i="1"/>
  <c r="E4464" i="1" s="1"/>
  <c r="D4463" i="1"/>
  <c r="E4463" i="1" s="1"/>
  <c r="E4462" i="1"/>
  <c r="D4462" i="1"/>
  <c r="D4461" i="1"/>
  <c r="E4461" i="1" s="1"/>
  <c r="D4460" i="1"/>
  <c r="E4460" i="1" s="1"/>
  <c r="D4459" i="1"/>
  <c r="E4459" i="1" s="1"/>
  <c r="D4458" i="1"/>
  <c r="E4458" i="1" s="1"/>
  <c r="D4457" i="1"/>
  <c r="E4457" i="1" s="1"/>
  <c r="D4456" i="1"/>
  <c r="E4456" i="1" s="1"/>
  <c r="D4455" i="1"/>
  <c r="E4455" i="1" s="1"/>
  <c r="E4454" i="1"/>
  <c r="D4454" i="1"/>
  <c r="D4453" i="1"/>
  <c r="E4453" i="1" s="1"/>
  <c r="E4452" i="1"/>
  <c r="D4452" i="1"/>
  <c r="D4451" i="1"/>
  <c r="E4451" i="1" s="1"/>
  <c r="D4450" i="1"/>
  <c r="E4450" i="1" s="1"/>
  <c r="D4449" i="1"/>
  <c r="E4449" i="1" s="1"/>
  <c r="E4448" i="1"/>
  <c r="D4448" i="1"/>
  <c r="D4447" i="1"/>
  <c r="E4447" i="1" s="1"/>
  <c r="D4446" i="1"/>
  <c r="E4446" i="1" s="1"/>
  <c r="D4445" i="1"/>
  <c r="E4445" i="1" s="1"/>
  <c r="D4444" i="1"/>
  <c r="E4444" i="1" s="1"/>
  <c r="D4443" i="1"/>
  <c r="E4443" i="1" s="1"/>
  <c r="D4442" i="1"/>
  <c r="E4442" i="1" s="1"/>
  <c r="D4441" i="1"/>
  <c r="E4441" i="1" s="1"/>
  <c r="D4440" i="1"/>
  <c r="E4440" i="1" s="1"/>
  <c r="D4439" i="1"/>
  <c r="E4439" i="1" s="1"/>
  <c r="E4438" i="1"/>
  <c r="D4438" i="1"/>
  <c r="D4437" i="1"/>
  <c r="E4437" i="1" s="1"/>
  <c r="D4436" i="1"/>
  <c r="E4436" i="1" s="1"/>
  <c r="D4435" i="1"/>
  <c r="E4435" i="1" s="1"/>
  <c r="D4434" i="1"/>
  <c r="E4434" i="1" s="1"/>
  <c r="E4433" i="1"/>
  <c r="D4433" i="1"/>
  <c r="D4432" i="1"/>
  <c r="E4432" i="1" s="1"/>
  <c r="D4431" i="1"/>
  <c r="E4431" i="1" s="1"/>
  <c r="D4430" i="1"/>
  <c r="E4430" i="1" s="1"/>
  <c r="D4429" i="1"/>
  <c r="E4429" i="1" s="1"/>
  <c r="D4428" i="1"/>
  <c r="E4428" i="1" s="1"/>
  <c r="D4427" i="1"/>
  <c r="E4427" i="1" s="1"/>
  <c r="D4426" i="1"/>
  <c r="E4426" i="1" s="1"/>
  <c r="D4425" i="1"/>
  <c r="E4425" i="1" s="1"/>
  <c r="E4424" i="1"/>
  <c r="D4424" i="1"/>
  <c r="D4423" i="1"/>
  <c r="E4423" i="1" s="1"/>
  <c r="D4422" i="1"/>
  <c r="E4422" i="1" s="1"/>
  <c r="D4421" i="1"/>
  <c r="E4421" i="1" s="1"/>
  <c r="D4420" i="1"/>
  <c r="E4420" i="1" s="1"/>
  <c r="D4419" i="1"/>
  <c r="E4419" i="1" s="1"/>
  <c r="E4418" i="1"/>
  <c r="D4418" i="1"/>
  <c r="D4417" i="1"/>
  <c r="E4417" i="1" s="1"/>
  <c r="D4416" i="1"/>
  <c r="E4416" i="1" s="1"/>
  <c r="D4415" i="1"/>
  <c r="E4415" i="1" s="1"/>
  <c r="D4414" i="1"/>
  <c r="E4414" i="1" s="1"/>
  <c r="D4413" i="1"/>
  <c r="E4413" i="1" s="1"/>
  <c r="D4412" i="1"/>
  <c r="E4412" i="1" s="1"/>
  <c r="D4411" i="1"/>
  <c r="E4411" i="1" s="1"/>
  <c r="D4410" i="1"/>
  <c r="E4410" i="1" s="1"/>
  <c r="E4409" i="1"/>
  <c r="D4409" i="1"/>
  <c r="D4408" i="1"/>
  <c r="E4408" i="1" s="1"/>
  <c r="D4407" i="1"/>
  <c r="E4407" i="1" s="1"/>
  <c r="E4406" i="1"/>
  <c r="D4406" i="1"/>
  <c r="D4405" i="1"/>
  <c r="E4405" i="1" s="1"/>
  <c r="E4404" i="1"/>
  <c r="D4404" i="1"/>
  <c r="D4403" i="1"/>
  <c r="E4403" i="1" s="1"/>
  <c r="D4402" i="1"/>
  <c r="E4402" i="1" s="1"/>
  <c r="D4401" i="1"/>
  <c r="E4401" i="1" s="1"/>
  <c r="D4400" i="1"/>
  <c r="E4400" i="1" s="1"/>
  <c r="D4399" i="1"/>
  <c r="E4399" i="1" s="1"/>
  <c r="D4398" i="1"/>
  <c r="E4398" i="1" s="1"/>
  <c r="D4397" i="1"/>
  <c r="E4397" i="1" s="1"/>
  <c r="D4396" i="1"/>
  <c r="E4396" i="1" s="1"/>
  <c r="D4395" i="1"/>
  <c r="E4395" i="1" s="1"/>
  <c r="E4394" i="1"/>
  <c r="D4394" i="1"/>
  <c r="D4393" i="1"/>
  <c r="E4393" i="1" s="1"/>
  <c r="D4392" i="1"/>
  <c r="E4392" i="1" s="1"/>
  <c r="D4391" i="1"/>
  <c r="E4391" i="1" s="1"/>
  <c r="E4390" i="1"/>
  <c r="D4390" i="1"/>
  <c r="D4389" i="1"/>
  <c r="E4389" i="1" s="1"/>
  <c r="D4388" i="1"/>
  <c r="E4388" i="1" s="1"/>
  <c r="D4387" i="1"/>
  <c r="E4387" i="1" s="1"/>
  <c r="D4386" i="1"/>
  <c r="E4386" i="1" s="1"/>
  <c r="D4385" i="1"/>
  <c r="E4385" i="1" s="1"/>
  <c r="D4384" i="1"/>
  <c r="E4384" i="1" s="1"/>
  <c r="D4383" i="1"/>
  <c r="E4383" i="1" s="1"/>
  <c r="E4382" i="1"/>
  <c r="D4382" i="1"/>
  <c r="D4381" i="1"/>
  <c r="E4381" i="1" s="1"/>
  <c r="E4380" i="1"/>
  <c r="D4380" i="1"/>
  <c r="D4379" i="1"/>
  <c r="E4379" i="1" s="1"/>
  <c r="D4378" i="1"/>
  <c r="E4378" i="1" s="1"/>
  <c r="D4377" i="1"/>
  <c r="E4377" i="1" s="1"/>
  <c r="E4376" i="1"/>
  <c r="D4376" i="1"/>
  <c r="D4375" i="1"/>
  <c r="E4375" i="1" s="1"/>
  <c r="D4374" i="1"/>
  <c r="E4374" i="1" s="1"/>
  <c r="D4373" i="1"/>
  <c r="E4373" i="1" s="1"/>
  <c r="D4372" i="1"/>
  <c r="E4372" i="1" s="1"/>
  <c r="D4371" i="1"/>
  <c r="E4371" i="1" s="1"/>
  <c r="D4370" i="1"/>
  <c r="E4370" i="1" s="1"/>
  <c r="D4369" i="1"/>
  <c r="E4369" i="1" s="1"/>
  <c r="D4368" i="1"/>
  <c r="E4368" i="1" s="1"/>
  <c r="D4367" i="1"/>
  <c r="E4367" i="1" s="1"/>
  <c r="E4366" i="1"/>
  <c r="D4366" i="1"/>
  <c r="D4365" i="1"/>
  <c r="E4365" i="1" s="1"/>
  <c r="D4364" i="1"/>
  <c r="E4364" i="1" s="1"/>
  <c r="D4363" i="1"/>
  <c r="E4363" i="1" s="1"/>
  <c r="D4362" i="1"/>
  <c r="E4362" i="1" s="1"/>
  <c r="E4361" i="1"/>
  <c r="D4361" i="1"/>
  <c r="D4360" i="1"/>
  <c r="E4360" i="1" s="1"/>
  <c r="D4359" i="1"/>
  <c r="E4359" i="1" s="1"/>
  <c r="D4358" i="1"/>
  <c r="E4358" i="1" s="1"/>
  <c r="D4357" i="1"/>
  <c r="E4357" i="1" s="1"/>
  <c r="D4356" i="1"/>
  <c r="E4356" i="1" s="1"/>
  <c r="D4355" i="1"/>
  <c r="E4355" i="1" s="1"/>
  <c r="D4354" i="1"/>
  <c r="E4354" i="1" s="1"/>
  <c r="D4353" i="1"/>
  <c r="E4353" i="1" s="1"/>
  <c r="E4352" i="1"/>
  <c r="D4352" i="1"/>
  <c r="D4351" i="1"/>
  <c r="E4351" i="1" s="1"/>
  <c r="D4350" i="1"/>
  <c r="E4350" i="1" s="1"/>
  <c r="D4349" i="1"/>
  <c r="E4349" i="1" s="1"/>
  <c r="D4348" i="1"/>
  <c r="E4348" i="1" s="1"/>
  <c r="D4347" i="1"/>
  <c r="E4347" i="1" s="1"/>
  <c r="E4346" i="1"/>
  <c r="D4346" i="1"/>
  <c r="D4345" i="1"/>
  <c r="E4345" i="1" s="1"/>
  <c r="D4344" i="1"/>
  <c r="E4344" i="1" s="1"/>
  <c r="D4343" i="1"/>
  <c r="E4343" i="1" s="1"/>
  <c r="D4342" i="1"/>
  <c r="E4342" i="1" s="1"/>
  <c r="D4341" i="1"/>
  <c r="E4341" i="1" s="1"/>
  <c r="D4340" i="1"/>
  <c r="E4340" i="1" s="1"/>
  <c r="D4339" i="1"/>
  <c r="E4339" i="1" s="1"/>
  <c r="D4338" i="1"/>
  <c r="E4338" i="1" s="1"/>
  <c r="E4337" i="1"/>
  <c r="D4337" i="1"/>
  <c r="D4336" i="1"/>
  <c r="E4336" i="1" s="1"/>
  <c r="D4335" i="1"/>
  <c r="E4335" i="1" s="1"/>
  <c r="E4334" i="1"/>
  <c r="D4334" i="1"/>
  <c r="D4333" i="1"/>
  <c r="E4333" i="1" s="1"/>
  <c r="E4332" i="1"/>
  <c r="D4332" i="1"/>
  <c r="D4331" i="1"/>
  <c r="E4331" i="1" s="1"/>
  <c r="D4330" i="1"/>
  <c r="E4330" i="1" s="1"/>
  <c r="D4329" i="1"/>
  <c r="E4329" i="1" s="1"/>
  <c r="D4328" i="1"/>
  <c r="E4328" i="1" s="1"/>
  <c r="D4327" i="1"/>
  <c r="E4327" i="1" s="1"/>
  <c r="D4326" i="1"/>
  <c r="E4326" i="1" s="1"/>
  <c r="D4325" i="1"/>
  <c r="E4325" i="1" s="1"/>
  <c r="D4324" i="1"/>
  <c r="E4324" i="1" s="1"/>
  <c r="D4323" i="1"/>
  <c r="E4323" i="1" s="1"/>
  <c r="E4322" i="1"/>
  <c r="D4322" i="1"/>
  <c r="D4321" i="1"/>
  <c r="E4321" i="1" s="1"/>
  <c r="D4320" i="1"/>
  <c r="E4320" i="1" s="1"/>
  <c r="D4319" i="1"/>
  <c r="E4319" i="1" s="1"/>
  <c r="E4318" i="1"/>
  <c r="D4318" i="1"/>
  <c r="D4317" i="1"/>
  <c r="E4317" i="1" s="1"/>
  <c r="D4316" i="1"/>
  <c r="E4316" i="1" s="1"/>
  <c r="D4315" i="1"/>
  <c r="E4315" i="1" s="1"/>
  <c r="D4314" i="1"/>
  <c r="E4314" i="1" s="1"/>
  <c r="D4313" i="1"/>
  <c r="E4313" i="1" s="1"/>
  <c r="D4312" i="1"/>
  <c r="E4312" i="1" s="1"/>
  <c r="D4311" i="1"/>
  <c r="E4311" i="1" s="1"/>
  <c r="E4310" i="1"/>
  <c r="D4310" i="1"/>
  <c r="D4309" i="1"/>
  <c r="E4309" i="1" s="1"/>
  <c r="E4308" i="1"/>
  <c r="D4308" i="1"/>
  <c r="D4307" i="1"/>
  <c r="E4307" i="1" s="1"/>
  <c r="D4306" i="1"/>
  <c r="E4306" i="1" s="1"/>
  <c r="D4305" i="1"/>
  <c r="E4305" i="1" s="1"/>
  <c r="E4304" i="1"/>
  <c r="D4304" i="1"/>
  <c r="D4303" i="1"/>
  <c r="E4303" i="1" s="1"/>
  <c r="D4302" i="1"/>
  <c r="E4302" i="1" s="1"/>
  <c r="D4301" i="1"/>
  <c r="E4301" i="1" s="1"/>
  <c r="D4300" i="1"/>
  <c r="E4300" i="1" s="1"/>
  <c r="D4299" i="1"/>
  <c r="E4299" i="1" s="1"/>
  <c r="D4298" i="1"/>
  <c r="E4298" i="1" s="1"/>
  <c r="D4297" i="1"/>
  <c r="E4297" i="1" s="1"/>
  <c r="D4296" i="1"/>
  <c r="E4296" i="1" s="1"/>
  <c r="D4295" i="1"/>
  <c r="E4295" i="1" s="1"/>
  <c r="E4294" i="1"/>
  <c r="D4294" i="1"/>
  <c r="D4293" i="1"/>
  <c r="E4293" i="1" s="1"/>
  <c r="D4292" i="1"/>
  <c r="E4292" i="1" s="1"/>
  <c r="D4291" i="1"/>
  <c r="E4291" i="1" s="1"/>
  <c r="D4290" i="1"/>
  <c r="E4290" i="1" s="1"/>
  <c r="E4289" i="1"/>
  <c r="D4289" i="1"/>
  <c r="D4288" i="1"/>
  <c r="E4288" i="1" s="1"/>
  <c r="D4287" i="1"/>
  <c r="E4287" i="1" s="1"/>
  <c r="D4286" i="1"/>
  <c r="E4286" i="1" s="1"/>
  <c r="D4285" i="1"/>
  <c r="E4285" i="1" s="1"/>
  <c r="D4284" i="1"/>
  <c r="E4284" i="1" s="1"/>
  <c r="D4283" i="1"/>
  <c r="E4283" i="1" s="1"/>
  <c r="D4282" i="1"/>
  <c r="E4282" i="1" s="1"/>
  <c r="D4281" i="1"/>
  <c r="E4281" i="1" s="1"/>
  <c r="E4280" i="1"/>
  <c r="D4280" i="1"/>
  <c r="D4279" i="1"/>
  <c r="E4279" i="1" s="1"/>
  <c r="D4278" i="1"/>
  <c r="E4278" i="1" s="1"/>
  <c r="D4277" i="1"/>
  <c r="E4277" i="1" s="1"/>
  <c r="D4276" i="1"/>
  <c r="E4276" i="1" s="1"/>
  <c r="D4275" i="1"/>
  <c r="E4275" i="1" s="1"/>
  <c r="E4274" i="1"/>
  <c r="D4274" i="1"/>
  <c r="D4273" i="1"/>
  <c r="E4273" i="1" s="1"/>
  <c r="D4272" i="1"/>
  <c r="E4272" i="1" s="1"/>
  <c r="D4271" i="1"/>
  <c r="E4271" i="1" s="1"/>
  <c r="D4270" i="1"/>
  <c r="E4270" i="1" s="1"/>
  <c r="D4269" i="1"/>
  <c r="E4269" i="1" s="1"/>
  <c r="D4268" i="1"/>
  <c r="E4268" i="1" s="1"/>
  <c r="D4267" i="1"/>
  <c r="E4267" i="1" s="1"/>
  <c r="D4266" i="1"/>
  <c r="E4266" i="1" s="1"/>
  <c r="E4265" i="1"/>
  <c r="D4265" i="1"/>
  <c r="D4264" i="1"/>
  <c r="E4264" i="1" s="1"/>
  <c r="D4263" i="1"/>
  <c r="E4263" i="1" s="1"/>
  <c r="E4262" i="1"/>
  <c r="D4262" i="1"/>
  <c r="D4261" i="1"/>
  <c r="E4261" i="1" s="1"/>
  <c r="E4260" i="1"/>
  <c r="D4260" i="1"/>
  <c r="D4259" i="1"/>
  <c r="E4259" i="1" s="1"/>
  <c r="D4258" i="1"/>
  <c r="E4258" i="1" s="1"/>
  <c r="D4257" i="1"/>
  <c r="E4257" i="1" s="1"/>
  <c r="D4256" i="1"/>
  <c r="E4256" i="1" s="1"/>
  <c r="D4255" i="1"/>
  <c r="E4255" i="1" s="1"/>
  <c r="D4254" i="1"/>
  <c r="E4254" i="1" s="1"/>
  <c r="D4253" i="1"/>
  <c r="E4253" i="1" s="1"/>
  <c r="D4252" i="1"/>
  <c r="E4252" i="1" s="1"/>
  <c r="D4251" i="1"/>
  <c r="E4251" i="1" s="1"/>
  <c r="E4250" i="1"/>
  <c r="D4250" i="1"/>
  <c r="D4249" i="1"/>
  <c r="E4249" i="1" s="1"/>
  <c r="D4248" i="1"/>
  <c r="E4248" i="1" s="1"/>
  <c r="D4247" i="1"/>
  <c r="E4247" i="1" s="1"/>
  <c r="E4246" i="1"/>
  <c r="D4246" i="1"/>
  <c r="D4245" i="1"/>
  <c r="E4245" i="1" s="1"/>
  <c r="D4244" i="1"/>
  <c r="E4244" i="1" s="1"/>
  <c r="D4243" i="1"/>
  <c r="E4243" i="1" s="1"/>
  <c r="D4242" i="1"/>
  <c r="E4242" i="1" s="1"/>
  <c r="D4241" i="1"/>
  <c r="E4241" i="1" s="1"/>
  <c r="D4240" i="1"/>
  <c r="E4240" i="1" s="1"/>
  <c r="D4239" i="1"/>
  <c r="E4239" i="1" s="1"/>
  <c r="E4238" i="1"/>
  <c r="D4238" i="1"/>
  <c r="D4237" i="1"/>
  <c r="E4237" i="1" s="1"/>
  <c r="E4236" i="1"/>
  <c r="D4236" i="1"/>
  <c r="D4235" i="1"/>
  <c r="E4235" i="1" s="1"/>
  <c r="D4234" i="1"/>
  <c r="E4234" i="1" s="1"/>
  <c r="D4233" i="1"/>
  <c r="E4233" i="1" s="1"/>
  <c r="E4232" i="1"/>
  <c r="D4232" i="1"/>
  <c r="D4231" i="1"/>
  <c r="E4231" i="1" s="1"/>
  <c r="D4230" i="1"/>
  <c r="E4230" i="1" s="1"/>
  <c r="D4229" i="1"/>
  <c r="E4229" i="1" s="1"/>
  <c r="D4228" i="1"/>
  <c r="E4228" i="1" s="1"/>
  <c r="D4227" i="1"/>
  <c r="E4227" i="1" s="1"/>
  <c r="D4226" i="1"/>
  <c r="E4226" i="1" s="1"/>
  <c r="D4225" i="1"/>
  <c r="E4225" i="1" s="1"/>
  <c r="D4224" i="1"/>
  <c r="E4224" i="1" s="1"/>
  <c r="D4223" i="1"/>
  <c r="E4223" i="1" s="1"/>
  <c r="E4222" i="1"/>
  <c r="D4222" i="1"/>
  <c r="D4221" i="1"/>
  <c r="E4221" i="1" s="1"/>
  <c r="D4220" i="1"/>
  <c r="E4220" i="1" s="1"/>
  <c r="D4219" i="1"/>
  <c r="E4219" i="1" s="1"/>
  <c r="D4218" i="1"/>
  <c r="E4218" i="1" s="1"/>
  <c r="E4217" i="1"/>
  <c r="D4217" i="1"/>
  <c r="D4216" i="1"/>
  <c r="E4216" i="1" s="1"/>
  <c r="D4215" i="1"/>
  <c r="E4215" i="1" s="1"/>
  <c r="D4214" i="1"/>
  <c r="E4214" i="1" s="1"/>
  <c r="D4213" i="1"/>
  <c r="E4213" i="1" s="1"/>
  <c r="D4212" i="1"/>
  <c r="E4212" i="1" s="1"/>
  <c r="D4211" i="1"/>
  <c r="E4211" i="1" s="1"/>
  <c r="D4210" i="1"/>
  <c r="E4210" i="1" s="1"/>
  <c r="D4209" i="1"/>
  <c r="E4209" i="1" s="1"/>
  <c r="E4208" i="1"/>
  <c r="D4208" i="1"/>
  <c r="D4207" i="1"/>
  <c r="E4207" i="1" s="1"/>
  <c r="D4206" i="1"/>
  <c r="E4206" i="1" s="1"/>
  <c r="D4205" i="1"/>
  <c r="E4205" i="1" s="1"/>
  <c r="D4204" i="1"/>
  <c r="E4204" i="1" s="1"/>
  <c r="D4203" i="1"/>
  <c r="E4203" i="1" s="1"/>
  <c r="E4202" i="1"/>
  <c r="D4202" i="1"/>
  <c r="D4201" i="1"/>
  <c r="E4201" i="1" s="1"/>
  <c r="D4200" i="1"/>
  <c r="E4200" i="1" s="1"/>
  <c r="D4199" i="1"/>
  <c r="E4199" i="1" s="1"/>
  <c r="D4198" i="1"/>
  <c r="E4198" i="1" s="1"/>
  <c r="D4197" i="1"/>
  <c r="E4197" i="1" s="1"/>
  <c r="D4196" i="1"/>
  <c r="E4196" i="1" s="1"/>
  <c r="D4195" i="1"/>
  <c r="E4195" i="1" s="1"/>
  <c r="D4194" i="1"/>
  <c r="E4194" i="1" s="1"/>
  <c r="E4193" i="1"/>
  <c r="D4193" i="1"/>
  <c r="D4192" i="1"/>
  <c r="E4192" i="1" s="1"/>
  <c r="D4191" i="1"/>
  <c r="E4191" i="1" s="1"/>
  <c r="E4190" i="1"/>
  <c r="D4190" i="1"/>
  <c r="D4189" i="1"/>
  <c r="E4189" i="1" s="1"/>
  <c r="E4188" i="1"/>
  <c r="D4188" i="1"/>
  <c r="D4187" i="1"/>
  <c r="E4187" i="1" s="1"/>
  <c r="D4186" i="1"/>
  <c r="E4186" i="1" s="1"/>
  <c r="D4185" i="1"/>
  <c r="E4185" i="1" s="1"/>
  <c r="D4184" i="1"/>
  <c r="E4184" i="1" s="1"/>
  <c r="D4183" i="1"/>
  <c r="E4183" i="1" s="1"/>
  <c r="D4182" i="1"/>
  <c r="E4182" i="1" s="1"/>
  <c r="D4181" i="1"/>
  <c r="E4181" i="1" s="1"/>
  <c r="D4180" i="1"/>
  <c r="E4180" i="1" s="1"/>
  <c r="D4179" i="1"/>
  <c r="E4179" i="1" s="1"/>
  <c r="E4178" i="1"/>
  <c r="D4178" i="1"/>
  <c r="D4177" i="1"/>
  <c r="E4177" i="1" s="1"/>
  <c r="D4176" i="1"/>
  <c r="E4176" i="1" s="1"/>
  <c r="D4175" i="1"/>
  <c r="E4175" i="1" s="1"/>
  <c r="E4174" i="1"/>
  <c r="D4174" i="1"/>
  <c r="D4173" i="1"/>
  <c r="E4173" i="1" s="1"/>
  <c r="D4172" i="1"/>
  <c r="E4172" i="1" s="1"/>
  <c r="D4171" i="1"/>
  <c r="E4171" i="1" s="1"/>
  <c r="D4170" i="1"/>
  <c r="E4170" i="1" s="1"/>
  <c r="D4169" i="1"/>
  <c r="E4169" i="1" s="1"/>
  <c r="D4168" i="1"/>
  <c r="E4168" i="1" s="1"/>
  <c r="D4167" i="1"/>
  <c r="E4167" i="1" s="1"/>
  <c r="E4166" i="1"/>
  <c r="D4166" i="1"/>
  <c r="D4165" i="1"/>
  <c r="E4165" i="1" s="1"/>
  <c r="E4164" i="1"/>
  <c r="D4164" i="1"/>
  <c r="D4163" i="1"/>
  <c r="E4163" i="1" s="1"/>
  <c r="D4162" i="1"/>
  <c r="E4162" i="1" s="1"/>
  <c r="D4161" i="1"/>
  <c r="E4161" i="1" s="1"/>
  <c r="E4160" i="1"/>
  <c r="D4160" i="1"/>
  <c r="D4159" i="1"/>
  <c r="E4159" i="1" s="1"/>
  <c r="D4158" i="1"/>
  <c r="E4158" i="1" s="1"/>
  <c r="D4157" i="1"/>
  <c r="E4157" i="1" s="1"/>
  <c r="D4156" i="1"/>
  <c r="E4156" i="1" s="1"/>
  <c r="D4155" i="1"/>
  <c r="E4155" i="1" s="1"/>
  <c r="D4154" i="1"/>
  <c r="E4154" i="1" s="1"/>
  <c r="D4153" i="1"/>
  <c r="E4153" i="1" s="1"/>
  <c r="D4152" i="1"/>
  <c r="E4152" i="1" s="1"/>
  <c r="D4151" i="1"/>
  <c r="E4151" i="1" s="1"/>
  <c r="E4150" i="1"/>
  <c r="D4150" i="1"/>
  <c r="D4149" i="1"/>
  <c r="E4149" i="1" s="1"/>
  <c r="D4148" i="1"/>
  <c r="E4148" i="1" s="1"/>
  <c r="D4147" i="1"/>
  <c r="E4147" i="1" s="1"/>
  <c r="D4146" i="1"/>
  <c r="E4146" i="1" s="1"/>
  <c r="E4145" i="1"/>
  <c r="D4145" i="1"/>
  <c r="D4144" i="1"/>
  <c r="E4144" i="1" s="1"/>
  <c r="D4143" i="1"/>
  <c r="E4143" i="1" s="1"/>
  <c r="D4142" i="1"/>
  <c r="E4142" i="1" s="1"/>
  <c r="D4141" i="1"/>
  <c r="E4141" i="1" s="1"/>
  <c r="D4140" i="1"/>
  <c r="E4140" i="1" s="1"/>
  <c r="D4139" i="1"/>
  <c r="E4139" i="1" s="1"/>
  <c r="D4138" i="1"/>
  <c r="E4138" i="1" s="1"/>
  <c r="D4137" i="1"/>
  <c r="E4137" i="1" s="1"/>
  <c r="E4136" i="1"/>
  <c r="D4136" i="1"/>
  <c r="D4135" i="1"/>
  <c r="E4135" i="1" s="1"/>
  <c r="D4134" i="1"/>
  <c r="E4134" i="1" s="1"/>
  <c r="D4133" i="1"/>
  <c r="E4133" i="1" s="1"/>
  <c r="D4132" i="1"/>
  <c r="E4132" i="1" s="1"/>
  <c r="D4131" i="1"/>
  <c r="E4131" i="1" s="1"/>
  <c r="E4130" i="1"/>
  <c r="D4130" i="1"/>
  <c r="D4129" i="1"/>
  <c r="E4129" i="1" s="1"/>
  <c r="D4128" i="1"/>
  <c r="E4128" i="1" s="1"/>
  <c r="D4127" i="1"/>
  <c r="E4127" i="1" s="1"/>
  <c r="D4126" i="1"/>
  <c r="E4126" i="1" s="1"/>
  <c r="D4125" i="1"/>
  <c r="E4125" i="1" s="1"/>
  <c r="D4124" i="1"/>
  <c r="E4124" i="1" s="1"/>
  <c r="D4123" i="1"/>
  <c r="E4123" i="1" s="1"/>
  <c r="D4122" i="1"/>
  <c r="E4122" i="1" s="1"/>
  <c r="E4121" i="1"/>
  <c r="D4121" i="1"/>
  <c r="D4120" i="1"/>
  <c r="E4120" i="1" s="1"/>
  <c r="D4119" i="1"/>
  <c r="E4119" i="1" s="1"/>
  <c r="E4118" i="1"/>
  <c r="D4118" i="1"/>
  <c r="D4117" i="1"/>
  <c r="E4117" i="1" s="1"/>
  <c r="E4116" i="1"/>
  <c r="D4116" i="1"/>
  <c r="D4115" i="1"/>
  <c r="E4115" i="1" s="1"/>
  <c r="D4114" i="1"/>
  <c r="E4114" i="1" s="1"/>
  <c r="D4113" i="1"/>
  <c r="E4113" i="1" s="1"/>
  <c r="D4112" i="1"/>
  <c r="E4112" i="1" s="1"/>
  <c r="D4111" i="1"/>
  <c r="E4111" i="1" s="1"/>
  <c r="D4110" i="1"/>
  <c r="E4110" i="1" s="1"/>
  <c r="D4109" i="1"/>
  <c r="E4109" i="1" s="1"/>
  <c r="D4108" i="1"/>
  <c r="E4108" i="1" s="1"/>
  <c r="D4107" i="1"/>
  <c r="E4107" i="1" s="1"/>
  <c r="E4106" i="1"/>
  <c r="D4106" i="1"/>
  <c r="D4105" i="1"/>
  <c r="E4105" i="1" s="1"/>
  <c r="D4104" i="1"/>
  <c r="E4104" i="1" s="1"/>
  <c r="D4103" i="1"/>
  <c r="E4103" i="1" s="1"/>
  <c r="E4102" i="1"/>
  <c r="D4102" i="1"/>
  <c r="D4101" i="1"/>
  <c r="E4101" i="1" s="1"/>
  <c r="D4100" i="1"/>
  <c r="E4100" i="1" s="1"/>
  <c r="D4099" i="1"/>
  <c r="E4099" i="1" s="1"/>
  <c r="D4098" i="1"/>
  <c r="E4098" i="1" s="1"/>
  <c r="D4097" i="1"/>
  <c r="E4097" i="1" s="1"/>
  <c r="D4096" i="1"/>
  <c r="E4096" i="1" s="1"/>
  <c r="D4095" i="1"/>
  <c r="E4095" i="1" s="1"/>
  <c r="E4094" i="1"/>
  <c r="D4094" i="1"/>
  <c r="D4093" i="1"/>
  <c r="E4093" i="1" s="1"/>
  <c r="E4092" i="1"/>
  <c r="D4092" i="1"/>
  <c r="D4091" i="1"/>
  <c r="E4091" i="1" s="1"/>
  <c r="D4090" i="1"/>
  <c r="E4090" i="1" s="1"/>
  <c r="D4089" i="1"/>
  <c r="E4089" i="1" s="1"/>
  <c r="E4088" i="1"/>
  <c r="D4088" i="1"/>
  <c r="D4087" i="1"/>
  <c r="E4087" i="1" s="1"/>
  <c r="D4086" i="1"/>
  <c r="E4086" i="1" s="1"/>
  <c r="D4085" i="1"/>
  <c r="E4085" i="1" s="1"/>
  <c r="D4084" i="1"/>
  <c r="E4084" i="1" s="1"/>
  <c r="D4083" i="1"/>
  <c r="E4083" i="1" s="1"/>
  <c r="D4082" i="1"/>
  <c r="E4082" i="1" s="1"/>
  <c r="D4081" i="1"/>
  <c r="E4081" i="1" s="1"/>
  <c r="D4080" i="1"/>
  <c r="E4080" i="1" s="1"/>
  <c r="D4079" i="1"/>
  <c r="E4079" i="1" s="1"/>
  <c r="E4078" i="1"/>
  <c r="D4078" i="1"/>
  <c r="D4077" i="1"/>
  <c r="E4077" i="1" s="1"/>
  <c r="D4076" i="1"/>
  <c r="E4076" i="1" s="1"/>
  <c r="D4075" i="1"/>
  <c r="E4075" i="1" s="1"/>
  <c r="D4074" i="1"/>
  <c r="E4074" i="1" s="1"/>
  <c r="E4073" i="1"/>
  <c r="D4073" i="1"/>
  <c r="D4072" i="1"/>
  <c r="E4072" i="1" s="1"/>
  <c r="D4071" i="1"/>
  <c r="E4071" i="1" s="1"/>
  <c r="D4070" i="1"/>
  <c r="E4070" i="1" s="1"/>
  <c r="D4069" i="1"/>
  <c r="E4069" i="1" s="1"/>
  <c r="D4068" i="1"/>
  <c r="E4068" i="1" s="1"/>
  <c r="D4067" i="1"/>
  <c r="E4067" i="1" s="1"/>
  <c r="D4066" i="1"/>
  <c r="E4066" i="1" s="1"/>
  <c r="D4065" i="1"/>
  <c r="E4065" i="1" s="1"/>
  <c r="E4064" i="1"/>
  <c r="D4064" i="1"/>
  <c r="D4063" i="1"/>
  <c r="E4063" i="1" s="1"/>
  <c r="D4062" i="1"/>
  <c r="E4062" i="1" s="1"/>
  <c r="D4061" i="1"/>
  <c r="E4061" i="1" s="1"/>
  <c r="D4060" i="1"/>
  <c r="E4060" i="1" s="1"/>
  <c r="D4059" i="1"/>
  <c r="E4059" i="1" s="1"/>
  <c r="E4058" i="1"/>
  <c r="D4058" i="1"/>
  <c r="D4057" i="1"/>
  <c r="E4057" i="1" s="1"/>
  <c r="D4056" i="1"/>
  <c r="E4056" i="1" s="1"/>
  <c r="D4055" i="1"/>
  <c r="E4055" i="1" s="1"/>
  <c r="D4054" i="1"/>
  <c r="E4054" i="1" s="1"/>
  <c r="D4053" i="1"/>
  <c r="E4053" i="1" s="1"/>
  <c r="D4052" i="1"/>
  <c r="E4052" i="1" s="1"/>
  <c r="D4051" i="1"/>
  <c r="E4051" i="1" s="1"/>
  <c r="D4050" i="1"/>
  <c r="E4050" i="1" s="1"/>
  <c r="E4049" i="1"/>
  <c r="D4049" i="1"/>
  <c r="D4048" i="1"/>
  <c r="E4048" i="1" s="1"/>
  <c r="D4047" i="1"/>
  <c r="E4047" i="1" s="1"/>
  <c r="E4046" i="1"/>
  <c r="D4046" i="1"/>
  <c r="D4045" i="1"/>
  <c r="E4045" i="1" s="1"/>
  <c r="E4044" i="1"/>
  <c r="D4044" i="1"/>
  <c r="D4043" i="1"/>
  <c r="E4043" i="1" s="1"/>
  <c r="D4042" i="1"/>
  <c r="E4042" i="1" s="1"/>
  <c r="D4041" i="1"/>
  <c r="E4041" i="1" s="1"/>
  <c r="D4040" i="1"/>
  <c r="E4040" i="1" s="1"/>
  <c r="D4039" i="1"/>
  <c r="E4039" i="1" s="1"/>
  <c r="D4038" i="1"/>
  <c r="E4038" i="1" s="1"/>
  <c r="D4037" i="1"/>
  <c r="E4037" i="1" s="1"/>
  <c r="D4036" i="1"/>
  <c r="E4036" i="1" s="1"/>
  <c r="D4035" i="1"/>
  <c r="E4035" i="1" s="1"/>
  <c r="E4034" i="1"/>
  <c r="D4034" i="1"/>
  <c r="D4033" i="1"/>
  <c r="E4033" i="1" s="1"/>
  <c r="D4032" i="1"/>
  <c r="E4032" i="1" s="1"/>
  <c r="D4031" i="1"/>
  <c r="E4031" i="1" s="1"/>
  <c r="E4030" i="1"/>
  <c r="D4030" i="1"/>
  <c r="D4029" i="1"/>
  <c r="E4029" i="1" s="1"/>
  <c r="D4028" i="1"/>
  <c r="E4028" i="1" s="1"/>
  <c r="D4027" i="1"/>
  <c r="E4027" i="1" s="1"/>
  <c r="D4026" i="1"/>
  <c r="E4026" i="1" s="1"/>
  <c r="D4025" i="1"/>
  <c r="E4025" i="1" s="1"/>
  <c r="D4024" i="1"/>
  <c r="E4024" i="1" s="1"/>
  <c r="D4023" i="1"/>
  <c r="E4023" i="1" s="1"/>
  <c r="E4022" i="1"/>
  <c r="D4022" i="1"/>
  <c r="D4021" i="1"/>
  <c r="E4021" i="1" s="1"/>
  <c r="E4020" i="1"/>
  <c r="D4020" i="1"/>
  <c r="D4019" i="1"/>
  <c r="E4019" i="1" s="1"/>
  <c r="D4018" i="1"/>
  <c r="E4018" i="1" s="1"/>
  <c r="D4017" i="1"/>
  <c r="E4017" i="1" s="1"/>
  <c r="E4016" i="1"/>
  <c r="D4016" i="1"/>
  <c r="D4015" i="1"/>
  <c r="E4015" i="1" s="1"/>
  <c r="D4014" i="1"/>
  <c r="E4014" i="1" s="1"/>
  <c r="D4013" i="1"/>
  <c r="E4013" i="1" s="1"/>
  <c r="D4012" i="1"/>
  <c r="E4012" i="1" s="1"/>
  <c r="D4011" i="1"/>
  <c r="E4011" i="1" s="1"/>
  <c r="D4010" i="1"/>
  <c r="E4010" i="1" s="1"/>
  <c r="D4009" i="1"/>
  <c r="E4009" i="1" s="1"/>
  <c r="D4008" i="1"/>
  <c r="E4008" i="1" s="1"/>
  <c r="D4007" i="1"/>
  <c r="E4007" i="1" s="1"/>
  <c r="E4006" i="1"/>
  <c r="D4006" i="1"/>
  <c r="D4005" i="1"/>
  <c r="E4005" i="1" s="1"/>
  <c r="D4004" i="1"/>
  <c r="E4004" i="1" s="1"/>
  <c r="D4003" i="1"/>
  <c r="E4003" i="1" s="1"/>
  <c r="D4002" i="1"/>
  <c r="E4002" i="1" s="1"/>
  <c r="E4001" i="1"/>
  <c r="D4001" i="1"/>
  <c r="D4000" i="1"/>
  <c r="E4000" i="1" s="1"/>
  <c r="D3999" i="1"/>
  <c r="E3999" i="1" s="1"/>
  <c r="D3998" i="1"/>
  <c r="E3998" i="1" s="1"/>
  <c r="D3997" i="1"/>
  <c r="E3997" i="1" s="1"/>
  <c r="D3996" i="1"/>
  <c r="E3996" i="1" s="1"/>
  <c r="D3995" i="1"/>
  <c r="E3995" i="1" s="1"/>
  <c r="D3994" i="1"/>
  <c r="E3994" i="1" s="1"/>
  <c r="D3993" i="1"/>
  <c r="E3993" i="1" s="1"/>
  <c r="E3992" i="1"/>
  <c r="D3992" i="1"/>
  <c r="D3991" i="1"/>
  <c r="E3991" i="1" s="1"/>
  <c r="D3990" i="1"/>
  <c r="E3990" i="1" s="1"/>
  <c r="D3989" i="1"/>
  <c r="E3989" i="1" s="1"/>
  <c r="D3988" i="1"/>
  <c r="E3988" i="1" s="1"/>
  <c r="D3987" i="1"/>
  <c r="E3987" i="1" s="1"/>
  <c r="E3986" i="1"/>
  <c r="D3986" i="1"/>
  <c r="D3985" i="1"/>
  <c r="E3985" i="1" s="1"/>
  <c r="D3984" i="1"/>
  <c r="E3984" i="1" s="1"/>
  <c r="D3983" i="1"/>
  <c r="E3983" i="1" s="1"/>
  <c r="D3982" i="1"/>
  <c r="E3982" i="1" s="1"/>
  <c r="D3981" i="1"/>
  <c r="E3981" i="1" s="1"/>
  <c r="D3980" i="1"/>
  <c r="E3980" i="1" s="1"/>
  <c r="D3979" i="1"/>
  <c r="E3979" i="1" s="1"/>
  <c r="D3978" i="1"/>
  <c r="E3978" i="1" s="1"/>
  <c r="E3977" i="1"/>
  <c r="D3977" i="1"/>
  <c r="D3976" i="1"/>
  <c r="E3976" i="1" s="1"/>
  <c r="D3975" i="1"/>
  <c r="E3975" i="1" s="1"/>
  <c r="E3974" i="1"/>
  <c r="D3974" i="1"/>
  <c r="D3973" i="1"/>
  <c r="E3973" i="1" s="1"/>
  <c r="E3972" i="1"/>
  <c r="D3972" i="1"/>
  <c r="D3971" i="1"/>
  <c r="E3971" i="1" s="1"/>
  <c r="D3970" i="1"/>
  <c r="E3970" i="1" s="1"/>
  <c r="D3969" i="1"/>
  <c r="E3969" i="1" s="1"/>
  <c r="D3968" i="1"/>
  <c r="E3968" i="1" s="1"/>
  <c r="D3967" i="1"/>
  <c r="E3967" i="1" s="1"/>
  <c r="D3966" i="1"/>
  <c r="E3966" i="1" s="1"/>
  <c r="D3965" i="1"/>
  <c r="E3965" i="1" s="1"/>
  <c r="D3964" i="1"/>
  <c r="E3964" i="1" s="1"/>
  <c r="D3963" i="1"/>
  <c r="E3963" i="1" s="1"/>
  <c r="E3962" i="1"/>
  <c r="D3962" i="1"/>
  <c r="D3961" i="1"/>
  <c r="E3961" i="1" s="1"/>
  <c r="D3960" i="1"/>
  <c r="E3960" i="1" s="1"/>
  <c r="D3959" i="1"/>
  <c r="E3959" i="1" s="1"/>
  <c r="E3958" i="1"/>
  <c r="D3958" i="1"/>
  <c r="D3957" i="1"/>
  <c r="E3957" i="1" s="1"/>
  <c r="D3956" i="1"/>
  <c r="E3956" i="1" s="1"/>
  <c r="D3955" i="1"/>
  <c r="E3955" i="1" s="1"/>
  <c r="D3954" i="1"/>
  <c r="E3954" i="1" s="1"/>
  <c r="D3953" i="1"/>
  <c r="E3953" i="1" s="1"/>
  <c r="D3952" i="1"/>
  <c r="E3952" i="1" s="1"/>
  <c r="D3951" i="1"/>
  <c r="E3951" i="1" s="1"/>
  <c r="E3950" i="1"/>
  <c r="D3950" i="1"/>
  <c r="D3949" i="1"/>
  <c r="E3949" i="1" s="1"/>
  <c r="E3948" i="1"/>
  <c r="D3948" i="1"/>
  <c r="D3947" i="1"/>
  <c r="E3947" i="1" s="1"/>
  <c r="D3946" i="1"/>
  <c r="E3946" i="1" s="1"/>
  <c r="D3945" i="1"/>
  <c r="E3945" i="1" s="1"/>
  <c r="E3944" i="1"/>
  <c r="D3944" i="1"/>
  <c r="D3943" i="1"/>
  <c r="E3943" i="1" s="1"/>
  <c r="D3942" i="1"/>
  <c r="E3942" i="1" s="1"/>
  <c r="D3941" i="1"/>
  <c r="E3941" i="1" s="1"/>
  <c r="D3940" i="1"/>
  <c r="E3940" i="1" s="1"/>
  <c r="D3939" i="1"/>
  <c r="E3939" i="1" s="1"/>
  <c r="D3938" i="1"/>
  <c r="E3938" i="1" s="1"/>
  <c r="D3937" i="1"/>
  <c r="E3937" i="1" s="1"/>
  <c r="D3936" i="1"/>
  <c r="E3936" i="1" s="1"/>
  <c r="D3935" i="1"/>
  <c r="E3935" i="1" s="1"/>
  <c r="E3934" i="1"/>
  <c r="D3934" i="1"/>
  <c r="D3933" i="1"/>
  <c r="E3933" i="1" s="1"/>
  <c r="D3932" i="1"/>
  <c r="E3932" i="1" s="1"/>
  <c r="D3931" i="1"/>
  <c r="E3931" i="1" s="1"/>
  <c r="D3930" i="1"/>
  <c r="E3930" i="1" s="1"/>
  <c r="E3929" i="1"/>
  <c r="D3929" i="1"/>
  <c r="D3928" i="1"/>
  <c r="E3928" i="1" s="1"/>
  <c r="D3927" i="1"/>
  <c r="E3927" i="1" s="1"/>
  <c r="D3926" i="1"/>
  <c r="E3926" i="1" s="1"/>
  <c r="D3925" i="1"/>
  <c r="E3925" i="1" s="1"/>
  <c r="D3924" i="1"/>
  <c r="E3924" i="1" s="1"/>
  <c r="D3923" i="1"/>
  <c r="E3923" i="1" s="1"/>
  <c r="D3922" i="1"/>
  <c r="E3922" i="1" s="1"/>
  <c r="D3921" i="1"/>
  <c r="E3921" i="1" s="1"/>
  <c r="E3920" i="1"/>
  <c r="D3920" i="1"/>
  <c r="D3919" i="1"/>
  <c r="E3919" i="1" s="1"/>
  <c r="D3918" i="1"/>
  <c r="E3918" i="1" s="1"/>
  <c r="D3917" i="1"/>
  <c r="E3917" i="1" s="1"/>
  <c r="D3916" i="1"/>
  <c r="E3916" i="1" s="1"/>
  <c r="D3915" i="1"/>
  <c r="E3915" i="1" s="1"/>
  <c r="E3914" i="1"/>
  <c r="D3914" i="1"/>
  <c r="D3913" i="1"/>
  <c r="E3913" i="1" s="1"/>
  <c r="D3912" i="1"/>
  <c r="E3912" i="1" s="1"/>
  <c r="D3911" i="1"/>
  <c r="E3911" i="1" s="1"/>
  <c r="D3910" i="1"/>
  <c r="E3910" i="1" s="1"/>
  <c r="D3909" i="1"/>
  <c r="E3909" i="1" s="1"/>
  <c r="D3908" i="1"/>
  <c r="E3908" i="1" s="1"/>
  <c r="D3907" i="1"/>
  <c r="E3907" i="1" s="1"/>
  <c r="D3906" i="1"/>
  <c r="E3906" i="1" s="1"/>
  <c r="E3905" i="1"/>
  <c r="D3905" i="1"/>
  <c r="D3904" i="1"/>
  <c r="E3904" i="1" s="1"/>
  <c r="D3903" i="1"/>
  <c r="E3903" i="1" s="1"/>
  <c r="E3902" i="1"/>
  <c r="D3902" i="1"/>
  <c r="D3901" i="1"/>
  <c r="E3901" i="1" s="1"/>
  <c r="E3900" i="1"/>
  <c r="D3900" i="1"/>
  <c r="D3899" i="1"/>
  <c r="E3899" i="1" s="1"/>
  <c r="D3898" i="1"/>
  <c r="E3898" i="1" s="1"/>
  <c r="D3897" i="1"/>
  <c r="E3897" i="1" s="1"/>
  <c r="D3896" i="1"/>
  <c r="E3896" i="1" s="1"/>
  <c r="D3895" i="1"/>
  <c r="E3895" i="1" s="1"/>
  <c r="D3894" i="1"/>
  <c r="E3894" i="1" s="1"/>
  <c r="D3893" i="1"/>
  <c r="E3893" i="1" s="1"/>
  <c r="D3892" i="1"/>
  <c r="E3892" i="1" s="1"/>
  <c r="D3891" i="1"/>
  <c r="E3891" i="1" s="1"/>
  <c r="E3890" i="1"/>
  <c r="D3890" i="1"/>
  <c r="D3889" i="1"/>
  <c r="E3889" i="1" s="1"/>
  <c r="D3888" i="1"/>
  <c r="E3888" i="1" s="1"/>
  <c r="D3887" i="1"/>
  <c r="E3887" i="1" s="1"/>
  <c r="E3886" i="1"/>
  <c r="D3886" i="1"/>
  <c r="D3885" i="1"/>
  <c r="E3885" i="1" s="1"/>
  <c r="D3884" i="1"/>
  <c r="E3884" i="1" s="1"/>
  <c r="D3883" i="1"/>
  <c r="E3883" i="1" s="1"/>
  <c r="D3882" i="1"/>
  <c r="E3882" i="1" s="1"/>
  <c r="D3881" i="1"/>
  <c r="E3881" i="1" s="1"/>
  <c r="D3880" i="1"/>
  <c r="E3880" i="1" s="1"/>
  <c r="D3879" i="1"/>
  <c r="E3879" i="1" s="1"/>
  <c r="E3878" i="1"/>
  <c r="D3878" i="1"/>
  <c r="D3877" i="1"/>
  <c r="E3877" i="1" s="1"/>
  <c r="E3876" i="1"/>
  <c r="D3876" i="1"/>
  <c r="D3875" i="1"/>
  <c r="E3875" i="1" s="1"/>
  <c r="D3874" i="1"/>
  <c r="E3874" i="1" s="1"/>
  <c r="D3873" i="1"/>
  <c r="E3873" i="1" s="1"/>
  <c r="E3872" i="1"/>
  <c r="D3872" i="1"/>
  <c r="D3871" i="1"/>
  <c r="E3871" i="1" s="1"/>
  <c r="D3870" i="1"/>
  <c r="E3870" i="1" s="1"/>
  <c r="D3869" i="1"/>
  <c r="E3869" i="1" s="1"/>
  <c r="D3868" i="1"/>
  <c r="E3868" i="1" s="1"/>
  <c r="D3867" i="1"/>
  <c r="E3867" i="1" s="1"/>
  <c r="D3866" i="1"/>
  <c r="E3866" i="1" s="1"/>
  <c r="D3865" i="1"/>
  <c r="E3865" i="1" s="1"/>
  <c r="D3864" i="1"/>
  <c r="E3864" i="1" s="1"/>
  <c r="D3863" i="1"/>
  <c r="E3863" i="1" s="1"/>
  <c r="E3862" i="1"/>
  <c r="D3862" i="1"/>
  <c r="D3861" i="1"/>
  <c r="E3861" i="1" s="1"/>
  <c r="D3860" i="1"/>
  <c r="E3860" i="1" s="1"/>
  <c r="D3859" i="1"/>
  <c r="E3859" i="1" s="1"/>
  <c r="D3858" i="1"/>
  <c r="E3858" i="1" s="1"/>
  <c r="E3857" i="1"/>
  <c r="D3857" i="1"/>
  <c r="D3856" i="1"/>
  <c r="E3856" i="1" s="1"/>
  <c r="D3855" i="1"/>
  <c r="E3855" i="1" s="1"/>
  <c r="D3854" i="1"/>
  <c r="E3854" i="1" s="1"/>
  <c r="D3853" i="1"/>
  <c r="E3853" i="1" s="1"/>
  <c r="D3852" i="1"/>
  <c r="E3852" i="1" s="1"/>
  <c r="D3851" i="1"/>
  <c r="E3851" i="1" s="1"/>
  <c r="D3850" i="1"/>
  <c r="E3850" i="1" s="1"/>
  <c r="D3849" i="1"/>
  <c r="E3849" i="1" s="1"/>
  <c r="E3848" i="1"/>
  <c r="D3848" i="1"/>
  <c r="D3847" i="1"/>
  <c r="E3847" i="1" s="1"/>
  <c r="D3846" i="1"/>
  <c r="E3846" i="1" s="1"/>
  <c r="D3845" i="1"/>
  <c r="E3845" i="1" s="1"/>
  <c r="D3844" i="1"/>
  <c r="E3844" i="1" s="1"/>
  <c r="D3843" i="1"/>
  <c r="E3843" i="1" s="1"/>
  <c r="E3842" i="1"/>
  <c r="D3842" i="1"/>
  <c r="D3841" i="1"/>
  <c r="E3841" i="1" s="1"/>
  <c r="D3840" i="1"/>
  <c r="E3840" i="1" s="1"/>
  <c r="D3839" i="1"/>
  <c r="E3839" i="1" s="1"/>
  <c r="D3838" i="1"/>
  <c r="E3838" i="1" s="1"/>
  <c r="D3837" i="1"/>
  <c r="E3837" i="1" s="1"/>
  <c r="D3836" i="1"/>
  <c r="E3836" i="1" s="1"/>
  <c r="D3835" i="1"/>
  <c r="E3835" i="1" s="1"/>
  <c r="D3834" i="1"/>
  <c r="E3834" i="1" s="1"/>
  <c r="E3833" i="1"/>
  <c r="D3833" i="1"/>
  <c r="D3832" i="1"/>
  <c r="E3832" i="1" s="1"/>
  <c r="D3831" i="1"/>
  <c r="E3831" i="1" s="1"/>
  <c r="E3830" i="1"/>
  <c r="D3830" i="1"/>
  <c r="D3829" i="1"/>
  <c r="E3829" i="1" s="1"/>
  <c r="E3828" i="1"/>
  <c r="D3828" i="1"/>
  <c r="E3827" i="1"/>
  <c r="D3827" i="1"/>
  <c r="D3826" i="1"/>
  <c r="E3826" i="1" s="1"/>
  <c r="E3825" i="1"/>
  <c r="D3825" i="1"/>
  <c r="D3824" i="1"/>
  <c r="E3824" i="1" s="1"/>
  <c r="D3823" i="1"/>
  <c r="E3823" i="1" s="1"/>
  <c r="D3822" i="1"/>
  <c r="E3822" i="1" s="1"/>
  <c r="E3821" i="1"/>
  <c r="D3821" i="1"/>
  <c r="D3820" i="1"/>
  <c r="E3820" i="1" s="1"/>
  <c r="D3819" i="1"/>
  <c r="E3819" i="1" s="1"/>
  <c r="D3818" i="1"/>
  <c r="E3818" i="1" s="1"/>
  <c r="D3817" i="1"/>
  <c r="E3817" i="1" s="1"/>
  <c r="D3816" i="1"/>
  <c r="E3816" i="1" s="1"/>
  <c r="E3815" i="1"/>
  <c r="D3815" i="1"/>
  <c r="D3814" i="1"/>
  <c r="E3814" i="1" s="1"/>
  <c r="D3813" i="1"/>
  <c r="E3813" i="1" s="1"/>
  <c r="D3812" i="1"/>
  <c r="E3812" i="1" s="1"/>
  <c r="D3811" i="1"/>
  <c r="E3811" i="1" s="1"/>
  <c r="D3810" i="1"/>
  <c r="E3810" i="1" s="1"/>
  <c r="D3809" i="1"/>
  <c r="E3809" i="1" s="1"/>
  <c r="D3808" i="1"/>
  <c r="E3808" i="1" s="1"/>
  <c r="D3807" i="1"/>
  <c r="E3807" i="1" s="1"/>
  <c r="D3806" i="1"/>
  <c r="E3806" i="1" s="1"/>
  <c r="E3805" i="1"/>
  <c r="D3805" i="1"/>
  <c r="E3804" i="1"/>
  <c r="D3804" i="1"/>
  <c r="E3803" i="1"/>
  <c r="D3803" i="1"/>
  <c r="D3802" i="1"/>
  <c r="E3802" i="1" s="1"/>
  <c r="E3801" i="1"/>
  <c r="D3801" i="1"/>
  <c r="E3800" i="1"/>
  <c r="D3800" i="1"/>
  <c r="D3799" i="1"/>
  <c r="E3799" i="1" s="1"/>
  <c r="D3798" i="1"/>
  <c r="E3798" i="1" s="1"/>
  <c r="E3797" i="1"/>
  <c r="D3797" i="1"/>
  <c r="D3796" i="1"/>
  <c r="E3796" i="1" s="1"/>
  <c r="D3795" i="1"/>
  <c r="E3795" i="1" s="1"/>
  <c r="D3794" i="1"/>
  <c r="E3794" i="1" s="1"/>
  <c r="D3793" i="1"/>
  <c r="E3793" i="1" s="1"/>
  <c r="E3792" i="1"/>
  <c r="D3792" i="1"/>
  <c r="D3791" i="1"/>
  <c r="E3791" i="1" s="1"/>
  <c r="D3790" i="1"/>
  <c r="E3790" i="1" s="1"/>
  <c r="D3789" i="1"/>
  <c r="E3789" i="1" s="1"/>
  <c r="E3788" i="1"/>
  <c r="D3788" i="1"/>
  <c r="D3787" i="1"/>
  <c r="E3787" i="1" s="1"/>
  <c r="D3786" i="1"/>
  <c r="E3786" i="1" s="1"/>
  <c r="D3785" i="1"/>
  <c r="E3785" i="1" s="1"/>
  <c r="D3784" i="1"/>
  <c r="E3784" i="1" s="1"/>
  <c r="D3783" i="1"/>
  <c r="E3783" i="1" s="1"/>
  <c r="D3782" i="1"/>
  <c r="E3782" i="1" s="1"/>
  <c r="E3781" i="1"/>
  <c r="D3781" i="1"/>
  <c r="E3780" i="1"/>
  <c r="D3780" i="1"/>
  <c r="D3779" i="1"/>
  <c r="E3779" i="1" s="1"/>
  <c r="E3778" i="1"/>
  <c r="D3778" i="1"/>
  <c r="E3777" i="1"/>
  <c r="D3777" i="1"/>
  <c r="E3776" i="1"/>
  <c r="D3776" i="1"/>
  <c r="D3775" i="1"/>
  <c r="E3775" i="1" s="1"/>
  <c r="D3774" i="1"/>
  <c r="E3774" i="1" s="1"/>
  <c r="E3773" i="1"/>
  <c r="D3773" i="1"/>
  <c r="E3772" i="1"/>
  <c r="D3772" i="1"/>
  <c r="D3771" i="1"/>
  <c r="E3771" i="1" s="1"/>
  <c r="E3770" i="1"/>
  <c r="D3770" i="1"/>
  <c r="D3769" i="1"/>
  <c r="E3769" i="1" s="1"/>
  <c r="E3768" i="1"/>
  <c r="D3768" i="1"/>
  <c r="E3767" i="1"/>
  <c r="D3767" i="1"/>
  <c r="D3766" i="1"/>
  <c r="E3766" i="1" s="1"/>
  <c r="E3765" i="1"/>
  <c r="D3765" i="1"/>
  <c r="E3764" i="1"/>
  <c r="D3764" i="1"/>
  <c r="E3763" i="1"/>
  <c r="D3763" i="1"/>
  <c r="D3762" i="1"/>
  <c r="E3762" i="1" s="1"/>
  <c r="E3761" i="1"/>
  <c r="D3761" i="1"/>
  <c r="E3760" i="1"/>
  <c r="D3760" i="1"/>
  <c r="D3759" i="1"/>
  <c r="E3759" i="1" s="1"/>
  <c r="E3758" i="1"/>
  <c r="D3758" i="1"/>
  <c r="D3757" i="1"/>
  <c r="E3757" i="1" s="1"/>
  <c r="E3756" i="1"/>
  <c r="D3756" i="1"/>
  <c r="E3755" i="1"/>
  <c r="D3755" i="1"/>
  <c r="D3754" i="1"/>
  <c r="E3754" i="1" s="1"/>
  <c r="E3753" i="1"/>
  <c r="D3753" i="1"/>
  <c r="E3752" i="1"/>
  <c r="D3752" i="1"/>
  <c r="E3751" i="1"/>
  <c r="D3751" i="1"/>
  <c r="D3750" i="1"/>
  <c r="E3750" i="1" s="1"/>
  <c r="E3749" i="1"/>
  <c r="D3749" i="1"/>
  <c r="E3748" i="1"/>
  <c r="D3748" i="1"/>
  <c r="D3747" i="1"/>
  <c r="E3747" i="1" s="1"/>
  <c r="E3746" i="1"/>
  <c r="D3746" i="1"/>
  <c r="D3745" i="1"/>
  <c r="E3745" i="1" s="1"/>
  <c r="E3744" i="1"/>
  <c r="D3744" i="1"/>
  <c r="E3743" i="1"/>
  <c r="D3743" i="1"/>
  <c r="D3742" i="1"/>
  <c r="E3742" i="1" s="1"/>
  <c r="E3741" i="1"/>
  <c r="D3741" i="1"/>
  <c r="E3740" i="1"/>
  <c r="D3740" i="1"/>
  <c r="E3739" i="1"/>
  <c r="D3739" i="1"/>
  <c r="D3738" i="1"/>
  <c r="E3738" i="1" s="1"/>
  <c r="E3737" i="1"/>
  <c r="D3737" i="1"/>
  <c r="E3736" i="1"/>
  <c r="D3736" i="1"/>
  <c r="D3735" i="1"/>
  <c r="E3735" i="1" s="1"/>
  <c r="E3734" i="1"/>
  <c r="D3734" i="1"/>
  <c r="D3733" i="1"/>
  <c r="E3733" i="1" s="1"/>
  <c r="E3732" i="1"/>
  <c r="D3732" i="1"/>
  <c r="E3731" i="1"/>
  <c r="D3731" i="1"/>
  <c r="D3730" i="1"/>
  <c r="E3730" i="1" s="1"/>
  <c r="E3729" i="1"/>
  <c r="D3729" i="1"/>
  <c r="E3728" i="1"/>
  <c r="D3728" i="1"/>
  <c r="E3727" i="1"/>
  <c r="D3727" i="1"/>
  <c r="D3726" i="1"/>
  <c r="E3726" i="1" s="1"/>
  <c r="E3725" i="1"/>
  <c r="D3725" i="1"/>
  <c r="E3724" i="1"/>
  <c r="D3724" i="1"/>
  <c r="D3723" i="1"/>
  <c r="E3723" i="1" s="1"/>
  <c r="E3722" i="1"/>
  <c r="D3722" i="1"/>
  <c r="D3721" i="1"/>
  <c r="E3721" i="1" s="1"/>
  <c r="E3720" i="1"/>
  <c r="D3720" i="1"/>
  <c r="E3719" i="1"/>
  <c r="D3719" i="1"/>
  <c r="D3718" i="1"/>
  <c r="E3718" i="1" s="1"/>
  <c r="E3717" i="1"/>
  <c r="D3717" i="1"/>
  <c r="E3716" i="1"/>
  <c r="D3716" i="1"/>
  <c r="E3715" i="1"/>
  <c r="D3715" i="1"/>
  <c r="D3714" i="1"/>
  <c r="E3714" i="1" s="1"/>
  <c r="E3713" i="1"/>
  <c r="D3713" i="1"/>
  <c r="E3712" i="1"/>
  <c r="D3712" i="1"/>
  <c r="D3711" i="1"/>
  <c r="E3711" i="1" s="1"/>
  <c r="E3710" i="1"/>
  <c r="D3710" i="1"/>
  <c r="D3709" i="1"/>
  <c r="E3709" i="1" s="1"/>
  <c r="E3708" i="1"/>
  <c r="D3708" i="1"/>
  <c r="E3707" i="1"/>
  <c r="D3707" i="1"/>
  <c r="D3706" i="1"/>
  <c r="E3706" i="1" s="1"/>
  <c r="E3705" i="1"/>
  <c r="D3705" i="1"/>
  <c r="E3704" i="1"/>
  <c r="D3704" i="1"/>
  <c r="E3703" i="1"/>
  <c r="D3703" i="1"/>
  <c r="D3702" i="1"/>
  <c r="E3702" i="1" s="1"/>
  <c r="E3701" i="1"/>
  <c r="D3701" i="1"/>
  <c r="E3700" i="1"/>
  <c r="D3700" i="1"/>
  <c r="D3699" i="1"/>
  <c r="E3699" i="1" s="1"/>
  <c r="E3698" i="1"/>
  <c r="D3698" i="1"/>
  <c r="D3697" i="1"/>
  <c r="E3697" i="1" s="1"/>
  <c r="E3696" i="1"/>
  <c r="D3696" i="1"/>
  <c r="E3695" i="1"/>
  <c r="D3695" i="1"/>
  <c r="D3694" i="1"/>
  <c r="E3694" i="1" s="1"/>
  <c r="E3693" i="1"/>
  <c r="D3693" i="1"/>
  <c r="E3692" i="1"/>
  <c r="D3692" i="1"/>
  <c r="E3691" i="1"/>
  <c r="D3691" i="1"/>
  <c r="D3690" i="1"/>
  <c r="E3690" i="1" s="1"/>
  <c r="E3689" i="1"/>
  <c r="D3689" i="1"/>
  <c r="E3688" i="1"/>
  <c r="D3688" i="1"/>
  <c r="D3687" i="1"/>
  <c r="E3687" i="1" s="1"/>
  <c r="E3686" i="1"/>
  <c r="D3686" i="1"/>
  <c r="D3685" i="1"/>
  <c r="E3685" i="1" s="1"/>
  <c r="E3684" i="1"/>
  <c r="D3684" i="1"/>
  <c r="E3683" i="1"/>
  <c r="D3683" i="1"/>
  <c r="D3682" i="1"/>
  <c r="E3682" i="1" s="1"/>
  <c r="E3681" i="1"/>
  <c r="D3681" i="1"/>
  <c r="E3680" i="1"/>
  <c r="D3680" i="1"/>
  <c r="E3679" i="1"/>
  <c r="D3679" i="1"/>
  <c r="D3678" i="1"/>
  <c r="E3678" i="1" s="1"/>
  <c r="E3677" i="1"/>
  <c r="D3677" i="1"/>
  <c r="E3676" i="1"/>
  <c r="D3676" i="1"/>
  <c r="D3675" i="1"/>
  <c r="E3675" i="1" s="1"/>
  <c r="E3674" i="1"/>
  <c r="D3674" i="1"/>
  <c r="D3673" i="1"/>
  <c r="E3673" i="1" s="1"/>
  <c r="E3672" i="1"/>
  <c r="D3672" i="1"/>
  <c r="E3671" i="1"/>
  <c r="D3671" i="1"/>
  <c r="D3670" i="1"/>
  <c r="E3670" i="1" s="1"/>
  <c r="E3669" i="1"/>
  <c r="D3669" i="1"/>
  <c r="E3668" i="1"/>
  <c r="D3668" i="1"/>
  <c r="E3667" i="1"/>
  <c r="D3667" i="1"/>
  <c r="D3666" i="1"/>
  <c r="E3666" i="1" s="1"/>
  <c r="E3665" i="1"/>
  <c r="D3665" i="1"/>
  <c r="E3664" i="1"/>
  <c r="D3664" i="1"/>
  <c r="D3663" i="1"/>
  <c r="E3663" i="1" s="1"/>
  <c r="E3662" i="1"/>
  <c r="D3662" i="1"/>
  <c r="D3661" i="1"/>
  <c r="E3661" i="1" s="1"/>
  <c r="E3660" i="1"/>
  <c r="D3660" i="1"/>
  <c r="E3659" i="1"/>
  <c r="D3659" i="1"/>
  <c r="D3658" i="1"/>
  <c r="E3658" i="1" s="1"/>
  <c r="E3657" i="1"/>
  <c r="D3657" i="1"/>
  <c r="E3656" i="1"/>
  <c r="D3656" i="1"/>
  <c r="E3655" i="1"/>
  <c r="D3655" i="1"/>
  <c r="D3654" i="1"/>
  <c r="E3654" i="1" s="1"/>
  <c r="E3653" i="1"/>
  <c r="D3653" i="1"/>
  <c r="E3652" i="1"/>
  <c r="D3652" i="1"/>
  <c r="D3651" i="1"/>
  <c r="E3651" i="1" s="1"/>
  <c r="E3650" i="1"/>
  <c r="D3650" i="1"/>
  <c r="D3649" i="1"/>
  <c r="E3649" i="1" s="1"/>
  <c r="E3648" i="1"/>
  <c r="D3648" i="1"/>
  <c r="E3647" i="1"/>
  <c r="D3647" i="1"/>
  <c r="D3646" i="1"/>
  <c r="E3646" i="1" s="1"/>
  <c r="E3645" i="1"/>
  <c r="D3645" i="1"/>
  <c r="E3644" i="1"/>
  <c r="D3644" i="1"/>
  <c r="E3643" i="1"/>
  <c r="D3643" i="1"/>
  <c r="D3642" i="1"/>
  <c r="E3642" i="1" s="1"/>
  <c r="E3641" i="1"/>
  <c r="D3641" i="1"/>
  <c r="E3640" i="1"/>
  <c r="D3640" i="1"/>
  <c r="D3639" i="1"/>
  <c r="E3639" i="1" s="1"/>
  <c r="E3638" i="1"/>
  <c r="D3638" i="1"/>
  <c r="D3637" i="1"/>
  <c r="E3637" i="1" s="1"/>
  <c r="E3636" i="1"/>
  <c r="D3636" i="1"/>
  <c r="E3635" i="1"/>
  <c r="D3635" i="1"/>
  <c r="D3634" i="1"/>
  <c r="E3634" i="1" s="1"/>
  <c r="E3633" i="1"/>
  <c r="D3633" i="1"/>
  <c r="E3632" i="1"/>
  <c r="D3632" i="1"/>
  <c r="E3631" i="1"/>
  <c r="D3631" i="1"/>
  <c r="D3630" i="1"/>
  <c r="E3630" i="1" s="1"/>
  <c r="E3629" i="1"/>
  <c r="D3629" i="1"/>
  <c r="E3628" i="1"/>
  <c r="D3628" i="1"/>
  <c r="D3627" i="1"/>
  <c r="E3627" i="1" s="1"/>
  <c r="E3626" i="1"/>
  <c r="D3626" i="1"/>
  <c r="D3625" i="1"/>
  <c r="E3625" i="1" s="1"/>
  <c r="E3624" i="1"/>
  <c r="D3624" i="1"/>
  <c r="E3623" i="1"/>
  <c r="D3623" i="1"/>
  <c r="D3622" i="1"/>
  <c r="E3622" i="1" s="1"/>
  <c r="E3621" i="1"/>
  <c r="D3621" i="1"/>
  <c r="E3620" i="1"/>
  <c r="D3620" i="1"/>
  <c r="E3619" i="1"/>
  <c r="D3619" i="1"/>
  <c r="D3618" i="1"/>
  <c r="E3618" i="1" s="1"/>
  <c r="E3617" i="1"/>
  <c r="D3617" i="1"/>
  <c r="E3616" i="1"/>
  <c r="D3616" i="1"/>
  <c r="D3615" i="1"/>
  <c r="E3615" i="1" s="1"/>
  <c r="E3614" i="1"/>
  <c r="D3614" i="1"/>
  <c r="D3613" i="1"/>
  <c r="E3613" i="1" s="1"/>
  <c r="E3612" i="1"/>
  <c r="D3612" i="1"/>
  <c r="E3611" i="1"/>
  <c r="D3611" i="1"/>
  <c r="D3610" i="1"/>
  <c r="E3610" i="1" s="1"/>
  <c r="E3609" i="1"/>
  <c r="D3609" i="1"/>
  <c r="E3608" i="1"/>
  <c r="D3608" i="1"/>
  <c r="E3607" i="1"/>
  <c r="D3607" i="1"/>
  <c r="D3606" i="1"/>
  <c r="E3606" i="1" s="1"/>
  <c r="E3605" i="1"/>
  <c r="D3605" i="1"/>
  <c r="E3604" i="1"/>
  <c r="D3604" i="1"/>
  <c r="D3603" i="1"/>
  <c r="E3603" i="1" s="1"/>
  <c r="E3602" i="1"/>
  <c r="D3602" i="1"/>
  <c r="D3601" i="1"/>
  <c r="E3601" i="1" s="1"/>
  <c r="E3600" i="1"/>
  <c r="D3600" i="1"/>
  <c r="E3599" i="1"/>
  <c r="D3599" i="1"/>
  <c r="D3598" i="1"/>
  <c r="E3598" i="1" s="1"/>
  <c r="E3597" i="1"/>
  <c r="D3597" i="1"/>
  <c r="E3596" i="1"/>
  <c r="D3596" i="1"/>
  <c r="E3595" i="1"/>
  <c r="D3595" i="1"/>
  <c r="D3594" i="1"/>
  <c r="E3594" i="1" s="1"/>
  <c r="E3593" i="1"/>
  <c r="D3593" i="1"/>
  <c r="E3592" i="1"/>
  <c r="D3592" i="1"/>
  <c r="D3591" i="1"/>
  <c r="E3591" i="1" s="1"/>
  <c r="E3590" i="1"/>
  <c r="D3590" i="1"/>
  <c r="D3589" i="1"/>
  <c r="E3589" i="1" s="1"/>
  <c r="E3588" i="1"/>
  <c r="D3588" i="1"/>
  <c r="E3587" i="1"/>
  <c r="D3587" i="1"/>
  <c r="D3586" i="1"/>
  <c r="E3586" i="1" s="1"/>
  <c r="E3585" i="1"/>
  <c r="D3585" i="1"/>
  <c r="E3584" i="1"/>
  <c r="D3584" i="1"/>
  <c r="E3583" i="1"/>
  <c r="D3583" i="1"/>
  <c r="D3582" i="1"/>
  <c r="E3582" i="1" s="1"/>
  <c r="E3581" i="1"/>
  <c r="D3581" i="1"/>
  <c r="E3580" i="1"/>
  <c r="D3580" i="1"/>
  <c r="D3579" i="1"/>
  <c r="E3579" i="1" s="1"/>
  <c r="E3578" i="1"/>
  <c r="D3578" i="1"/>
  <c r="D3577" i="1"/>
  <c r="E3577" i="1" s="1"/>
  <c r="E3576" i="1"/>
  <c r="D3576" i="1"/>
  <c r="E3575" i="1"/>
  <c r="D3575" i="1"/>
  <c r="D3574" i="1"/>
  <c r="E3574" i="1" s="1"/>
  <c r="E3573" i="1"/>
  <c r="D3573" i="1"/>
  <c r="E3572" i="1"/>
  <c r="D3572" i="1"/>
  <c r="E3571" i="1"/>
  <c r="D3571" i="1"/>
  <c r="D3570" i="1"/>
  <c r="E3570" i="1" s="1"/>
  <c r="E3569" i="1"/>
  <c r="D3569" i="1"/>
  <c r="E3568" i="1"/>
  <c r="D3568" i="1"/>
  <c r="D3567" i="1"/>
  <c r="E3567" i="1" s="1"/>
  <c r="E3566" i="1"/>
  <c r="D3566" i="1"/>
  <c r="D3565" i="1"/>
  <c r="E3565" i="1" s="1"/>
  <c r="E3564" i="1"/>
  <c r="D3564" i="1"/>
  <c r="E3563" i="1"/>
  <c r="D3563" i="1"/>
  <c r="D3562" i="1"/>
  <c r="E3562" i="1" s="1"/>
  <c r="E3561" i="1"/>
  <c r="D3561" i="1"/>
  <c r="E3560" i="1"/>
  <c r="D3560" i="1"/>
  <c r="E3559" i="1"/>
  <c r="D3559" i="1"/>
  <c r="D3558" i="1"/>
  <c r="E3558" i="1" s="1"/>
  <c r="E3557" i="1"/>
  <c r="D3557" i="1"/>
  <c r="E3556" i="1"/>
  <c r="D3556" i="1"/>
  <c r="D3555" i="1"/>
  <c r="E3555" i="1" s="1"/>
  <c r="E3554" i="1"/>
  <c r="D3554" i="1"/>
  <c r="D3553" i="1"/>
  <c r="E3553" i="1" s="1"/>
  <c r="E3552" i="1"/>
  <c r="D3552" i="1"/>
  <c r="E3551" i="1"/>
  <c r="D3551" i="1"/>
  <c r="D3550" i="1"/>
  <c r="E3550" i="1" s="1"/>
  <c r="E3549" i="1"/>
  <c r="D3549" i="1"/>
  <c r="E3548" i="1"/>
  <c r="D3548" i="1"/>
  <c r="E3547" i="1"/>
  <c r="D3547" i="1"/>
  <c r="D3546" i="1"/>
  <c r="E3546" i="1" s="1"/>
  <c r="E3545" i="1"/>
  <c r="D3545" i="1"/>
  <c r="E3544" i="1"/>
  <c r="D3544" i="1"/>
  <c r="D3543" i="1"/>
  <c r="E3543" i="1" s="1"/>
  <c r="E3542" i="1"/>
  <c r="D3542" i="1"/>
  <c r="D3541" i="1"/>
  <c r="E3541" i="1" s="1"/>
  <c r="E3540" i="1"/>
  <c r="D3540" i="1"/>
  <c r="E3539" i="1"/>
  <c r="D3539" i="1"/>
  <c r="D3538" i="1"/>
  <c r="E3538" i="1" s="1"/>
  <c r="E3537" i="1"/>
  <c r="D3537" i="1"/>
  <c r="E3536" i="1"/>
  <c r="D3536" i="1"/>
  <c r="E3535" i="1"/>
  <c r="D3535" i="1"/>
  <c r="D3534" i="1"/>
  <c r="E3534" i="1" s="1"/>
  <c r="E3533" i="1"/>
  <c r="D3533" i="1"/>
  <c r="E3532" i="1"/>
  <c r="D3532" i="1"/>
  <c r="D3531" i="1"/>
  <c r="E3531" i="1" s="1"/>
  <c r="E3530" i="1"/>
  <c r="D3530" i="1"/>
  <c r="D3529" i="1"/>
  <c r="E3529" i="1" s="1"/>
  <c r="E3528" i="1"/>
  <c r="D3528" i="1"/>
  <c r="E3527" i="1"/>
  <c r="D3527" i="1"/>
  <c r="D3526" i="1"/>
  <c r="E3526" i="1" s="1"/>
  <c r="E3525" i="1"/>
  <c r="D3525" i="1"/>
  <c r="E3524" i="1"/>
  <c r="D3524" i="1"/>
  <c r="E3523" i="1"/>
  <c r="D3523" i="1"/>
  <c r="D3522" i="1"/>
  <c r="E3522" i="1" s="1"/>
  <c r="E3521" i="1"/>
  <c r="D3521" i="1"/>
  <c r="E3520" i="1"/>
  <c r="D3520" i="1"/>
  <c r="D3519" i="1"/>
  <c r="E3519" i="1" s="1"/>
  <c r="E3518" i="1"/>
  <c r="D3518" i="1"/>
  <c r="D3517" i="1"/>
  <c r="E3517" i="1" s="1"/>
  <c r="E3516" i="1"/>
  <c r="D3516" i="1"/>
  <c r="E3515" i="1"/>
  <c r="D3515" i="1"/>
  <c r="D3514" i="1"/>
  <c r="E3514" i="1" s="1"/>
  <c r="E3513" i="1"/>
  <c r="D3513" i="1"/>
  <c r="E3512" i="1"/>
  <c r="D3512" i="1"/>
  <c r="E3511" i="1"/>
  <c r="D3511" i="1"/>
  <c r="D3510" i="1"/>
  <c r="E3510" i="1" s="1"/>
  <c r="E3509" i="1"/>
  <c r="D3509" i="1"/>
  <c r="E3508" i="1"/>
  <c r="D3508" i="1"/>
  <c r="D3507" i="1"/>
  <c r="E3507" i="1" s="1"/>
  <c r="E3506" i="1"/>
  <c r="D3506" i="1"/>
  <c r="D3505" i="1"/>
  <c r="E3505" i="1" s="1"/>
  <c r="E3504" i="1"/>
  <c r="D3504" i="1"/>
  <c r="E3503" i="1"/>
  <c r="D3503" i="1"/>
  <c r="D3502" i="1"/>
  <c r="E3502" i="1" s="1"/>
  <c r="E3501" i="1"/>
  <c r="D3501" i="1"/>
  <c r="E3500" i="1"/>
  <c r="D3500" i="1"/>
  <c r="E3499" i="1"/>
  <c r="D3499" i="1"/>
  <c r="D3498" i="1"/>
  <c r="E3498" i="1" s="1"/>
  <c r="E3497" i="1"/>
  <c r="D3497" i="1"/>
  <c r="E3496" i="1"/>
  <c r="D3496" i="1"/>
  <c r="D3495" i="1"/>
  <c r="E3495" i="1" s="1"/>
  <c r="E3494" i="1"/>
  <c r="D3494" i="1"/>
  <c r="D3493" i="1"/>
  <c r="E3493" i="1" s="1"/>
  <c r="E3492" i="1"/>
  <c r="D3492" i="1"/>
  <c r="E3491" i="1"/>
  <c r="D3491" i="1"/>
  <c r="D3490" i="1"/>
  <c r="E3490" i="1" s="1"/>
  <c r="E3489" i="1"/>
  <c r="D3489" i="1"/>
  <c r="E3488" i="1"/>
  <c r="D3488" i="1"/>
  <c r="E3487" i="1"/>
  <c r="D3487" i="1"/>
  <c r="D3486" i="1"/>
  <c r="E3486" i="1" s="1"/>
  <c r="E3485" i="1"/>
  <c r="D3485" i="1"/>
  <c r="E3484" i="1"/>
  <c r="D3484" i="1"/>
  <c r="D3483" i="1"/>
  <c r="E3483" i="1" s="1"/>
  <c r="E3482" i="1"/>
  <c r="D3482" i="1"/>
  <c r="D3481" i="1"/>
  <c r="E3481" i="1" s="1"/>
  <c r="E3480" i="1"/>
  <c r="D3480" i="1"/>
  <c r="E3479" i="1"/>
  <c r="D3479" i="1"/>
  <c r="D3478" i="1"/>
  <c r="E3478" i="1" s="1"/>
  <c r="E3477" i="1"/>
  <c r="D3477" i="1"/>
  <c r="E3476" i="1"/>
  <c r="D3476" i="1"/>
  <c r="E3475" i="1"/>
  <c r="D3475" i="1"/>
  <c r="D3474" i="1"/>
  <c r="E3474" i="1" s="1"/>
  <c r="E3473" i="1"/>
  <c r="D3473" i="1"/>
  <c r="E3472" i="1"/>
  <c r="D3472" i="1"/>
  <c r="D3471" i="1"/>
  <c r="E3471" i="1" s="1"/>
  <c r="E3470" i="1"/>
  <c r="D3470" i="1"/>
  <c r="D3469" i="1"/>
  <c r="E3469" i="1" s="1"/>
  <c r="E3468" i="1"/>
  <c r="D3468" i="1"/>
  <c r="E3467" i="1"/>
  <c r="D3467" i="1"/>
  <c r="D3466" i="1"/>
  <c r="E3466" i="1" s="1"/>
  <c r="E3465" i="1"/>
  <c r="D3465" i="1"/>
  <c r="E3464" i="1"/>
  <c r="D3464" i="1"/>
  <c r="E3463" i="1"/>
  <c r="D3463" i="1"/>
  <c r="D3462" i="1"/>
  <c r="E3462" i="1" s="1"/>
  <c r="E3461" i="1"/>
  <c r="D3461" i="1"/>
  <c r="E3460" i="1"/>
  <c r="D3460" i="1"/>
  <c r="D3459" i="1"/>
  <c r="E3459" i="1" s="1"/>
  <c r="E3458" i="1"/>
  <c r="D3458" i="1"/>
  <c r="D3457" i="1"/>
  <c r="E3457" i="1" s="1"/>
  <c r="E3456" i="1"/>
  <c r="D3456" i="1"/>
  <c r="E3455" i="1"/>
  <c r="D3455" i="1"/>
  <c r="D3454" i="1"/>
  <c r="E3454" i="1" s="1"/>
  <c r="E3453" i="1"/>
  <c r="D3453" i="1"/>
  <c r="E3452" i="1"/>
  <c r="D3452" i="1"/>
  <c r="E3451" i="1"/>
  <c r="D3451" i="1"/>
  <c r="D3450" i="1"/>
  <c r="E3450" i="1" s="1"/>
  <c r="E3449" i="1"/>
  <c r="D3449" i="1"/>
  <c r="E3448" i="1"/>
  <c r="D3448" i="1"/>
  <c r="D3447" i="1"/>
  <c r="E3447" i="1" s="1"/>
  <c r="E3446" i="1"/>
  <c r="D3446" i="1"/>
  <c r="D3445" i="1"/>
  <c r="E3445" i="1" s="1"/>
  <c r="E3444" i="1"/>
  <c r="D3444" i="1"/>
  <c r="E3443" i="1"/>
  <c r="D3443" i="1"/>
  <c r="D3442" i="1"/>
  <c r="E3442" i="1" s="1"/>
  <c r="E3441" i="1"/>
  <c r="D3441" i="1"/>
  <c r="E3440" i="1"/>
  <c r="D3440" i="1"/>
  <c r="E3439" i="1"/>
  <c r="D3439" i="1"/>
  <c r="D3438" i="1"/>
  <c r="E3438" i="1" s="1"/>
  <c r="E3437" i="1"/>
  <c r="D3437" i="1"/>
  <c r="E3436" i="1"/>
  <c r="D3436" i="1"/>
  <c r="D3435" i="1"/>
  <c r="E3435" i="1" s="1"/>
  <c r="E3434" i="1"/>
  <c r="D3434" i="1"/>
  <c r="D3433" i="1"/>
  <c r="E3433" i="1" s="1"/>
  <c r="E3432" i="1"/>
  <c r="D3432" i="1"/>
  <c r="E3431" i="1"/>
  <c r="D3431" i="1"/>
  <c r="D3430" i="1"/>
  <c r="E3430" i="1" s="1"/>
  <c r="E3429" i="1"/>
  <c r="D3429" i="1"/>
  <c r="E3428" i="1"/>
  <c r="D3428" i="1"/>
  <c r="E3427" i="1"/>
  <c r="D3427" i="1"/>
  <c r="D3426" i="1"/>
  <c r="E3426" i="1" s="1"/>
  <c r="E3425" i="1"/>
  <c r="D3425" i="1"/>
  <c r="E3424" i="1"/>
  <c r="D3424" i="1"/>
  <c r="D3423" i="1"/>
  <c r="E3423" i="1" s="1"/>
  <c r="E3422" i="1"/>
  <c r="D3422" i="1"/>
  <c r="D3421" i="1"/>
  <c r="E3421" i="1" s="1"/>
  <c r="E3420" i="1"/>
  <c r="D3420" i="1"/>
  <c r="E3419" i="1"/>
  <c r="D3419" i="1"/>
  <c r="D3418" i="1"/>
  <c r="E3418" i="1" s="1"/>
  <c r="E3417" i="1"/>
  <c r="D3417" i="1"/>
  <c r="E3416" i="1"/>
  <c r="D3416" i="1"/>
  <c r="E3415" i="1"/>
  <c r="D3415" i="1"/>
  <c r="D3414" i="1"/>
  <c r="E3414" i="1" s="1"/>
  <c r="E3413" i="1"/>
  <c r="D3413" i="1"/>
  <c r="E3412" i="1"/>
  <c r="D3412" i="1"/>
  <c r="D3411" i="1"/>
  <c r="E3411" i="1" s="1"/>
  <c r="E3410" i="1"/>
  <c r="D3410" i="1"/>
  <c r="D3409" i="1"/>
  <c r="E3409" i="1" s="1"/>
  <c r="E3408" i="1"/>
  <c r="D3408" i="1"/>
  <c r="E3407" i="1"/>
  <c r="D3407" i="1"/>
  <c r="D3406" i="1"/>
  <c r="E3406" i="1" s="1"/>
  <c r="E3405" i="1"/>
  <c r="D3405" i="1"/>
  <c r="E3404" i="1"/>
  <c r="D3404" i="1"/>
  <c r="E3403" i="1"/>
  <c r="D3403" i="1"/>
  <c r="D3402" i="1"/>
  <c r="E3402" i="1" s="1"/>
  <c r="E3401" i="1"/>
  <c r="D3401" i="1"/>
  <c r="E3400" i="1"/>
  <c r="D3400" i="1"/>
  <c r="D3399" i="1"/>
  <c r="E3399" i="1" s="1"/>
  <c r="E3398" i="1"/>
  <c r="D3398" i="1"/>
  <c r="D3397" i="1"/>
  <c r="E3397" i="1" s="1"/>
  <c r="E3396" i="1"/>
  <c r="D3396" i="1"/>
  <c r="E3395" i="1"/>
  <c r="D3395" i="1"/>
  <c r="D3394" i="1"/>
  <c r="E3394" i="1" s="1"/>
  <c r="E3393" i="1"/>
  <c r="D3393" i="1"/>
  <c r="E3392" i="1"/>
  <c r="D3392" i="1"/>
  <c r="E3391" i="1"/>
  <c r="D3391" i="1"/>
  <c r="D3390" i="1"/>
  <c r="E3390" i="1" s="1"/>
  <c r="E3389" i="1"/>
  <c r="D3389" i="1"/>
  <c r="E3388" i="1"/>
  <c r="D3388" i="1"/>
  <c r="D3387" i="1"/>
  <c r="E3387" i="1" s="1"/>
  <c r="E3386" i="1"/>
  <c r="D3386" i="1"/>
  <c r="D3385" i="1"/>
  <c r="E3385" i="1" s="1"/>
  <c r="E3384" i="1"/>
  <c r="D3384" i="1"/>
  <c r="E3383" i="1"/>
  <c r="D3383" i="1"/>
  <c r="D3382" i="1"/>
  <c r="E3382" i="1" s="1"/>
  <c r="E3381" i="1"/>
  <c r="D3381" i="1"/>
  <c r="E3380" i="1"/>
  <c r="D3380" i="1"/>
  <c r="E3379" i="1"/>
  <c r="D3379" i="1"/>
  <c r="D3378" i="1"/>
  <c r="E3378" i="1" s="1"/>
  <c r="E3377" i="1"/>
  <c r="D3377" i="1"/>
  <c r="E3376" i="1"/>
  <c r="D3376" i="1"/>
  <c r="D3375" i="1"/>
  <c r="E3375" i="1" s="1"/>
  <c r="E3374" i="1"/>
  <c r="D3374" i="1"/>
  <c r="D3373" i="1"/>
  <c r="E3373" i="1" s="1"/>
  <c r="E3372" i="1"/>
  <c r="D3372" i="1"/>
  <c r="E3371" i="1"/>
  <c r="D3371" i="1"/>
  <c r="D3370" i="1"/>
  <c r="E3370" i="1" s="1"/>
  <c r="E3369" i="1"/>
  <c r="D3369" i="1"/>
  <c r="E3368" i="1"/>
  <c r="D3368" i="1"/>
  <c r="E3367" i="1"/>
  <c r="D3367" i="1"/>
  <c r="D3366" i="1"/>
  <c r="E3366" i="1" s="1"/>
  <c r="E3365" i="1"/>
  <c r="D3365" i="1"/>
  <c r="E3364" i="1"/>
  <c r="D3364" i="1"/>
  <c r="D3363" i="1"/>
  <c r="E3363" i="1" s="1"/>
  <c r="E3362" i="1"/>
  <c r="D3362" i="1"/>
  <c r="D3361" i="1"/>
  <c r="E3361" i="1" s="1"/>
  <c r="E3360" i="1"/>
  <c r="D3360" i="1"/>
  <c r="E3359" i="1"/>
  <c r="D3359" i="1"/>
  <c r="D3358" i="1"/>
  <c r="E3358" i="1" s="1"/>
  <c r="E3357" i="1"/>
  <c r="D3357" i="1"/>
  <c r="E3356" i="1"/>
  <c r="D3356" i="1"/>
  <c r="E3355" i="1"/>
  <c r="D3355" i="1"/>
  <c r="D3354" i="1"/>
  <c r="E3354" i="1" s="1"/>
  <c r="E3353" i="1"/>
  <c r="D3353" i="1"/>
  <c r="E3352" i="1"/>
  <c r="D3352" i="1"/>
  <c r="D3351" i="1"/>
  <c r="E3351" i="1" s="1"/>
  <c r="E3350" i="1"/>
  <c r="D3350" i="1"/>
  <c r="D3349" i="1"/>
  <c r="E3349" i="1" s="1"/>
  <c r="E3348" i="1"/>
  <c r="D3348" i="1"/>
  <c r="E3347" i="1"/>
  <c r="D3347" i="1"/>
  <c r="D3346" i="1"/>
  <c r="E3346" i="1" s="1"/>
  <c r="E3345" i="1"/>
  <c r="D3345" i="1"/>
  <c r="E3344" i="1"/>
  <c r="D3344" i="1"/>
  <c r="E3343" i="1"/>
  <c r="D3343" i="1"/>
  <c r="D3342" i="1"/>
  <c r="E3342" i="1" s="1"/>
  <c r="E3341" i="1"/>
  <c r="D3341" i="1"/>
  <c r="E3340" i="1"/>
  <c r="D3340" i="1"/>
  <c r="D3339" i="1"/>
  <c r="E3339" i="1" s="1"/>
  <c r="E3338" i="1"/>
  <c r="D3338" i="1"/>
  <c r="D3337" i="1"/>
  <c r="E3337" i="1" s="1"/>
  <c r="E3336" i="1"/>
  <c r="D3336" i="1"/>
  <c r="E3335" i="1"/>
  <c r="D3335" i="1"/>
  <c r="D3334" i="1"/>
  <c r="E3334" i="1" s="1"/>
  <c r="E3333" i="1"/>
  <c r="D3333" i="1"/>
  <c r="E3332" i="1"/>
  <c r="D3332" i="1"/>
  <c r="E3331" i="1"/>
  <c r="D3331" i="1"/>
  <c r="D3330" i="1"/>
  <c r="E3330" i="1" s="1"/>
  <c r="E3329" i="1"/>
  <c r="D3329" i="1"/>
  <c r="E3328" i="1"/>
  <c r="D3328" i="1"/>
  <c r="D3327" i="1"/>
  <c r="E3327" i="1" s="1"/>
  <c r="E3326" i="1"/>
  <c r="D3326" i="1"/>
  <c r="D3325" i="1"/>
  <c r="E3325" i="1" s="1"/>
  <c r="E3324" i="1"/>
  <c r="D3324" i="1"/>
  <c r="E3323" i="1"/>
  <c r="D3323" i="1"/>
  <c r="D3322" i="1"/>
  <c r="E3322" i="1" s="1"/>
  <c r="E3321" i="1"/>
  <c r="D3321" i="1"/>
  <c r="E3320" i="1"/>
  <c r="D3320" i="1"/>
  <c r="E3319" i="1"/>
  <c r="D3319" i="1"/>
  <c r="D3318" i="1"/>
  <c r="E3318" i="1" s="1"/>
  <c r="E3317" i="1"/>
  <c r="D3317" i="1"/>
  <c r="E3316" i="1"/>
  <c r="D3316" i="1"/>
  <c r="D3315" i="1"/>
  <c r="E3315" i="1" s="1"/>
  <c r="E3314" i="1"/>
  <c r="D3314" i="1"/>
  <c r="D3313" i="1"/>
  <c r="E3313" i="1" s="1"/>
  <c r="E3312" i="1"/>
  <c r="D3312" i="1"/>
  <c r="E3311" i="1"/>
  <c r="D3311" i="1"/>
  <c r="D3310" i="1"/>
  <c r="E3310" i="1" s="1"/>
  <c r="E3309" i="1"/>
  <c r="D3309" i="1"/>
  <c r="E3308" i="1"/>
  <c r="D3308" i="1"/>
  <c r="E3307" i="1"/>
  <c r="D3307" i="1"/>
  <c r="D3306" i="1"/>
  <c r="E3306" i="1" s="1"/>
  <c r="E3305" i="1"/>
  <c r="D3305" i="1"/>
  <c r="E3304" i="1"/>
  <c r="D3304" i="1"/>
  <c r="D3303" i="1"/>
  <c r="E3303" i="1" s="1"/>
  <c r="E3302" i="1"/>
  <c r="D3302" i="1"/>
  <c r="D3301" i="1"/>
  <c r="E3301" i="1" s="1"/>
  <c r="E3300" i="1"/>
  <c r="D3300" i="1"/>
  <c r="E3299" i="1"/>
  <c r="D3299" i="1"/>
  <c r="D3298" i="1"/>
  <c r="E3298" i="1" s="1"/>
  <c r="E3297" i="1"/>
  <c r="D3297" i="1"/>
  <c r="E3296" i="1"/>
  <c r="D3296" i="1"/>
  <c r="E3295" i="1"/>
  <c r="D3295" i="1"/>
  <c r="D3294" i="1"/>
  <c r="E3294" i="1" s="1"/>
  <c r="E3293" i="1"/>
  <c r="D3293" i="1"/>
  <c r="E3292" i="1"/>
  <c r="D3292" i="1"/>
  <c r="D3291" i="1"/>
  <c r="E3291" i="1" s="1"/>
  <c r="E3290" i="1"/>
  <c r="D3290" i="1"/>
  <c r="D3289" i="1"/>
  <c r="E3289" i="1" s="1"/>
  <c r="E3288" i="1"/>
  <c r="D3288" i="1"/>
  <c r="E3287" i="1"/>
  <c r="D3287" i="1"/>
  <c r="D3286" i="1"/>
  <c r="E3286" i="1" s="1"/>
  <c r="E3285" i="1"/>
  <c r="D3285" i="1"/>
  <c r="E3284" i="1"/>
  <c r="D3284" i="1"/>
  <c r="E3283" i="1"/>
  <c r="D3283" i="1"/>
  <c r="D3282" i="1"/>
  <c r="E3282" i="1" s="1"/>
  <c r="E3281" i="1"/>
  <c r="D3281" i="1"/>
  <c r="E3280" i="1"/>
  <c r="D3280" i="1"/>
  <c r="D3279" i="1"/>
  <c r="E3279" i="1" s="1"/>
  <c r="E3278" i="1"/>
  <c r="D3278" i="1"/>
  <c r="D3277" i="1"/>
  <c r="E3277" i="1" s="1"/>
  <c r="E3276" i="1"/>
  <c r="D3276" i="1"/>
  <c r="E3275" i="1"/>
  <c r="D3275" i="1"/>
  <c r="D3274" i="1"/>
  <c r="E3274" i="1" s="1"/>
  <c r="E3273" i="1"/>
  <c r="D3273" i="1"/>
  <c r="E3272" i="1"/>
  <c r="D3272" i="1"/>
  <c r="E3271" i="1"/>
  <c r="D3271" i="1"/>
  <c r="D3270" i="1"/>
  <c r="E3270" i="1" s="1"/>
  <c r="E3269" i="1"/>
  <c r="D3269" i="1"/>
  <c r="E3268" i="1"/>
  <c r="D3268" i="1"/>
  <c r="D3267" i="1"/>
  <c r="E3267" i="1" s="1"/>
  <c r="E3266" i="1"/>
  <c r="D3266" i="1"/>
  <c r="D3265" i="1"/>
  <c r="E3265" i="1" s="1"/>
  <c r="E3264" i="1"/>
  <c r="D3264" i="1"/>
  <c r="E3263" i="1"/>
  <c r="D3263" i="1"/>
  <c r="D3262" i="1"/>
  <c r="E3262" i="1" s="1"/>
  <c r="E3261" i="1"/>
  <c r="D3261" i="1"/>
  <c r="E3260" i="1"/>
  <c r="D3260" i="1"/>
  <c r="E3259" i="1"/>
  <c r="D3259" i="1"/>
  <c r="D3258" i="1"/>
  <c r="E3258" i="1" s="1"/>
  <c r="E3257" i="1"/>
  <c r="D3257" i="1"/>
  <c r="E3256" i="1"/>
  <c r="D3256" i="1"/>
  <c r="D3255" i="1"/>
  <c r="E3255" i="1" s="1"/>
  <c r="E3254" i="1"/>
  <c r="D3254" i="1"/>
  <c r="D3253" i="1"/>
  <c r="E3253" i="1" s="1"/>
  <c r="E3252" i="1"/>
  <c r="D3252" i="1"/>
  <c r="E3251" i="1"/>
  <c r="D3251" i="1"/>
  <c r="D3250" i="1"/>
  <c r="E3250" i="1" s="1"/>
  <c r="E3249" i="1"/>
  <c r="D3249" i="1"/>
  <c r="E3248" i="1"/>
  <c r="D3248" i="1"/>
  <c r="E3247" i="1"/>
  <c r="D3247" i="1"/>
  <c r="D3246" i="1"/>
  <c r="E3246" i="1" s="1"/>
  <c r="E3245" i="1"/>
  <c r="D3245" i="1"/>
  <c r="E3244" i="1"/>
  <c r="D3244" i="1"/>
  <c r="D3243" i="1"/>
  <c r="E3243" i="1" s="1"/>
  <c r="E3242" i="1"/>
  <c r="D3242" i="1"/>
  <c r="D3241" i="1"/>
  <c r="E3241" i="1" s="1"/>
  <c r="E3240" i="1"/>
  <c r="D3240" i="1"/>
  <c r="E3239" i="1"/>
  <c r="D3239" i="1"/>
  <c r="D3238" i="1"/>
  <c r="E3238" i="1" s="1"/>
  <c r="E3237" i="1"/>
  <c r="D3237" i="1"/>
  <c r="E3236" i="1"/>
  <c r="D3236" i="1"/>
  <c r="E3235" i="1"/>
  <c r="D3235" i="1"/>
  <c r="D3234" i="1"/>
  <c r="E3234" i="1" s="1"/>
  <c r="E3233" i="1"/>
  <c r="D3233" i="1"/>
  <c r="E3232" i="1"/>
  <c r="D3232" i="1"/>
  <c r="D3231" i="1"/>
  <c r="E3231" i="1" s="1"/>
  <c r="E3230" i="1"/>
  <c r="D3230" i="1"/>
  <c r="D3229" i="1"/>
  <c r="E3229" i="1" s="1"/>
  <c r="E3228" i="1"/>
  <c r="D3228" i="1"/>
  <c r="E3227" i="1"/>
  <c r="D3227" i="1"/>
  <c r="D3226" i="1"/>
  <c r="E3226" i="1" s="1"/>
  <c r="E3225" i="1"/>
  <c r="D3225" i="1"/>
  <c r="E3224" i="1"/>
  <c r="D3224" i="1"/>
  <c r="E3223" i="1"/>
  <c r="D3223" i="1"/>
  <c r="D3222" i="1"/>
  <c r="E3222" i="1" s="1"/>
  <c r="E3221" i="1"/>
  <c r="D3221" i="1"/>
  <c r="E3220" i="1"/>
  <c r="D3220" i="1"/>
  <c r="D3219" i="1"/>
  <c r="E3219" i="1" s="1"/>
  <c r="E3218" i="1"/>
  <c r="D3218" i="1"/>
  <c r="D3217" i="1"/>
  <c r="E3217" i="1" s="1"/>
  <c r="E3216" i="1"/>
  <c r="D3216" i="1"/>
  <c r="E3215" i="1"/>
  <c r="D3215" i="1"/>
  <c r="D3214" i="1"/>
  <c r="E3214" i="1" s="1"/>
  <c r="E3213" i="1"/>
  <c r="D3213" i="1"/>
  <c r="E3212" i="1"/>
  <c r="D3212" i="1"/>
  <c r="E3211" i="1"/>
  <c r="D3211" i="1"/>
  <c r="D3210" i="1"/>
  <c r="E3210" i="1" s="1"/>
  <c r="E3209" i="1"/>
  <c r="D3209" i="1"/>
  <c r="E3208" i="1"/>
  <c r="D3208" i="1"/>
  <c r="D3207" i="1"/>
  <c r="E3207" i="1" s="1"/>
  <c r="E3206" i="1"/>
  <c r="D3206" i="1"/>
  <c r="D3205" i="1"/>
  <c r="E3205" i="1" s="1"/>
  <c r="E3204" i="1"/>
  <c r="D3204" i="1"/>
  <c r="E3203" i="1"/>
  <c r="D3203" i="1"/>
  <c r="D3202" i="1"/>
  <c r="E3202" i="1" s="1"/>
  <c r="E3201" i="1"/>
  <c r="D3201" i="1"/>
  <c r="E3200" i="1"/>
  <c r="D3200" i="1"/>
  <c r="E3199" i="1"/>
  <c r="D3199" i="1"/>
  <c r="D3198" i="1"/>
  <c r="E3198" i="1" s="1"/>
  <c r="E3197" i="1"/>
  <c r="D3197" i="1"/>
  <c r="E3196" i="1"/>
  <c r="D3196" i="1"/>
  <c r="D3195" i="1"/>
  <c r="E3195" i="1" s="1"/>
  <c r="E3194" i="1"/>
  <c r="D3194" i="1"/>
  <c r="D3193" i="1"/>
  <c r="E3193" i="1" s="1"/>
  <c r="E3192" i="1"/>
  <c r="D3192" i="1"/>
  <c r="E3191" i="1"/>
  <c r="D3191" i="1"/>
  <c r="D3190" i="1"/>
  <c r="E3190" i="1" s="1"/>
  <c r="E3189" i="1"/>
  <c r="D3189" i="1"/>
  <c r="E3188" i="1"/>
  <c r="D3188" i="1"/>
  <c r="E3187" i="1"/>
  <c r="D3187" i="1"/>
  <c r="D3186" i="1"/>
  <c r="E3186" i="1" s="1"/>
  <c r="E3185" i="1"/>
  <c r="D3185" i="1"/>
  <c r="E3184" i="1"/>
  <c r="D3184" i="1"/>
  <c r="D3183" i="1"/>
  <c r="E3183" i="1" s="1"/>
  <c r="E3182" i="1"/>
  <c r="D3182" i="1"/>
  <c r="D3181" i="1"/>
  <c r="E3181" i="1" s="1"/>
  <c r="E3180" i="1"/>
  <c r="D3180" i="1"/>
  <c r="E3179" i="1"/>
  <c r="D3179" i="1"/>
  <c r="D3178" i="1"/>
  <c r="E3178" i="1" s="1"/>
  <c r="E3177" i="1"/>
  <c r="D3177" i="1"/>
  <c r="E3176" i="1"/>
  <c r="D3176" i="1"/>
  <c r="E3175" i="1"/>
  <c r="D3175" i="1"/>
  <c r="D3174" i="1"/>
  <c r="E3174" i="1" s="1"/>
  <c r="E3173" i="1"/>
  <c r="D3173" i="1"/>
  <c r="E3172" i="1"/>
  <c r="D3172" i="1"/>
  <c r="D3171" i="1"/>
  <c r="E3171" i="1" s="1"/>
  <c r="E3170" i="1"/>
  <c r="D3170" i="1"/>
  <c r="D3169" i="1"/>
  <c r="E3169" i="1" s="1"/>
  <c r="E3168" i="1"/>
  <c r="D3168" i="1"/>
  <c r="E3167" i="1"/>
  <c r="D3167" i="1"/>
  <c r="D3166" i="1"/>
  <c r="E3166" i="1" s="1"/>
  <c r="E3165" i="1"/>
  <c r="D3165" i="1"/>
  <c r="E3164" i="1"/>
  <c r="D3164" i="1"/>
  <c r="E3163" i="1"/>
  <c r="D3163" i="1"/>
  <c r="D3162" i="1"/>
  <c r="E3162" i="1" s="1"/>
  <c r="E3161" i="1"/>
  <c r="D3161" i="1"/>
  <c r="E3160" i="1"/>
  <c r="D3160" i="1"/>
  <c r="D3159" i="1"/>
  <c r="E3159" i="1" s="1"/>
  <c r="E3158" i="1"/>
  <c r="D3158" i="1"/>
  <c r="D3157" i="1"/>
  <c r="E3157" i="1" s="1"/>
  <c r="E3156" i="1"/>
  <c r="D3156" i="1"/>
  <c r="E3155" i="1"/>
  <c r="D3155" i="1"/>
  <c r="D3154" i="1"/>
  <c r="E3154" i="1" s="1"/>
  <c r="E3153" i="1"/>
  <c r="D3153" i="1"/>
  <c r="E3152" i="1"/>
  <c r="D3152" i="1"/>
  <c r="E3151" i="1"/>
  <c r="D3151" i="1"/>
  <c r="D3150" i="1"/>
  <c r="E3150" i="1" s="1"/>
  <c r="E3149" i="1"/>
  <c r="D3149" i="1"/>
  <c r="E3148" i="1"/>
  <c r="D3148" i="1"/>
  <c r="D3147" i="1"/>
  <c r="E3147" i="1" s="1"/>
  <c r="E3146" i="1"/>
  <c r="D3146" i="1"/>
  <c r="D3145" i="1"/>
  <c r="E3145" i="1" s="1"/>
  <c r="E3144" i="1"/>
  <c r="D3144" i="1"/>
  <c r="E3143" i="1"/>
  <c r="D3143" i="1"/>
  <c r="D3142" i="1"/>
  <c r="E3142" i="1" s="1"/>
  <c r="E3141" i="1"/>
  <c r="D3141" i="1"/>
  <c r="E3140" i="1"/>
  <c r="D3140" i="1"/>
  <c r="E3139" i="1"/>
  <c r="D3139" i="1"/>
  <c r="D3138" i="1"/>
  <c r="E3138" i="1" s="1"/>
  <c r="E3137" i="1"/>
  <c r="D3137" i="1"/>
  <c r="E3136" i="1"/>
  <c r="D3136" i="1"/>
  <c r="D3135" i="1"/>
  <c r="E3135" i="1" s="1"/>
  <c r="E3134" i="1"/>
  <c r="D3134" i="1"/>
  <c r="D3133" i="1"/>
  <c r="E3133" i="1" s="1"/>
  <c r="E3132" i="1"/>
  <c r="D3132" i="1"/>
  <c r="E3131" i="1"/>
  <c r="D3131" i="1"/>
  <c r="D3130" i="1"/>
  <c r="E3130" i="1" s="1"/>
  <c r="E3129" i="1"/>
  <c r="D3129" i="1"/>
  <c r="E3128" i="1"/>
  <c r="D3128" i="1"/>
  <c r="E3127" i="1"/>
  <c r="D3127" i="1"/>
  <c r="D3126" i="1"/>
  <c r="E3126" i="1" s="1"/>
  <c r="E3125" i="1"/>
  <c r="D3125" i="1"/>
  <c r="E3124" i="1"/>
  <c r="D3124" i="1"/>
  <c r="D3123" i="1"/>
  <c r="E3123" i="1" s="1"/>
  <c r="E3122" i="1"/>
  <c r="D3122" i="1"/>
  <c r="D3121" i="1"/>
  <c r="E3121" i="1" s="1"/>
  <c r="E3120" i="1"/>
  <c r="D3120" i="1"/>
  <c r="E3119" i="1"/>
  <c r="D3119" i="1"/>
  <c r="D3118" i="1"/>
  <c r="E3118" i="1" s="1"/>
  <c r="E3117" i="1"/>
  <c r="D3117" i="1"/>
  <c r="E3116" i="1"/>
  <c r="D3116" i="1"/>
  <c r="E3115" i="1"/>
  <c r="D3115" i="1"/>
  <c r="D3114" i="1"/>
  <c r="E3114" i="1" s="1"/>
  <c r="E3113" i="1"/>
  <c r="D3113" i="1"/>
  <c r="E3112" i="1"/>
  <c r="D3112" i="1"/>
  <c r="D3111" i="1"/>
  <c r="E3111" i="1" s="1"/>
  <c r="E3110" i="1"/>
  <c r="D3110" i="1"/>
  <c r="D3109" i="1"/>
  <c r="E3109" i="1" s="1"/>
  <c r="E3108" i="1"/>
  <c r="D3108" i="1"/>
  <c r="E3107" i="1"/>
  <c r="D3107" i="1"/>
  <c r="D3106" i="1"/>
  <c r="E3106" i="1" s="1"/>
  <c r="E3105" i="1"/>
  <c r="D3105" i="1"/>
  <c r="E3104" i="1"/>
  <c r="D3104" i="1"/>
  <c r="E3103" i="1"/>
  <c r="D3103" i="1"/>
  <c r="D3102" i="1"/>
  <c r="E3102" i="1" s="1"/>
  <c r="E3101" i="1"/>
  <c r="D3101" i="1"/>
  <c r="E3100" i="1"/>
  <c r="D3100" i="1"/>
  <c r="D3099" i="1"/>
  <c r="E3099" i="1" s="1"/>
  <c r="E3098" i="1"/>
  <c r="D3098" i="1"/>
  <c r="D3097" i="1"/>
  <c r="E3097" i="1" s="1"/>
  <c r="E3096" i="1"/>
  <c r="D3096" i="1"/>
  <c r="E3095" i="1"/>
  <c r="D3095" i="1"/>
  <c r="D3094" i="1"/>
  <c r="E3094" i="1" s="1"/>
  <c r="E3093" i="1"/>
  <c r="D3093" i="1"/>
  <c r="E3092" i="1"/>
  <c r="D3092" i="1"/>
  <c r="E3091" i="1"/>
  <c r="D3091" i="1"/>
  <c r="D3090" i="1"/>
  <c r="E3090" i="1" s="1"/>
  <c r="E3089" i="1"/>
  <c r="D3089" i="1"/>
  <c r="E3088" i="1"/>
  <c r="D3088" i="1"/>
  <c r="D3087" i="1"/>
  <c r="E3087" i="1" s="1"/>
  <c r="E3086" i="1"/>
  <c r="D3086" i="1"/>
  <c r="D3085" i="1"/>
  <c r="E3085" i="1" s="1"/>
  <c r="E3084" i="1"/>
  <c r="D3084" i="1"/>
  <c r="E3083" i="1"/>
  <c r="D3083" i="1"/>
  <c r="D3082" i="1"/>
  <c r="E3082" i="1" s="1"/>
  <c r="E3081" i="1"/>
  <c r="D3081" i="1"/>
  <c r="E3080" i="1"/>
  <c r="D3080" i="1"/>
  <c r="E3079" i="1"/>
  <c r="D3079" i="1"/>
  <c r="D3078" i="1"/>
  <c r="E3078" i="1" s="1"/>
  <c r="E3077" i="1"/>
  <c r="D3077" i="1"/>
  <c r="E3076" i="1"/>
  <c r="D3076" i="1"/>
  <c r="D3075" i="1"/>
  <c r="E3075" i="1" s="1"/>
  <c r="E3074" i="1"/>
  <c r="D3074" i="1"/>
  <c r="D3073" i="1"/>
  <c r="E3073" i="1" s="1"/>
  <c r="E3072" i="1"/>
  <c r="D3072" i="1"/>
  <c r="E3071" i="1"/>
  <c r="D3071" i="1"/>
  <c r="D3070" i="1"/>
  <c r="E3070" i="1" s="1"/>
  <c r="E3069" i="1"/>
  <c r="D3069" i="1"/>
  <c r="E3068" i="1"/>
  <c r="D3068" i="1"/>
  <c r="E3067" i="1"/>
  <c r="D3067" i="1"/>
  <c r="D3066" i="1"/>
  <c r="E3066" i="1" s="1"/>
  <c r="E3065" i="1"/>
  <c r="D3065" i="1"/>
  <c r="E3064" i="1"/>
  <c r="D3064" i="1"/>
  <c r="D3063" i="1"/>
  <c r="E3063" i="1" s="1"/>
  <c r="E3062" i="1"/>
  <c r="D3062" i="1"/>
  <c r="D3061" i="1"/>
  <c r="E3061" i="1" s="1"/>
  <c r="E3060" i="1"/>
  <c r="D3060" i="1"/>
  <c r="E3059" i="1"/>
  <c r="D3059" i="1"/>
  <c r="D3058" i="1"/>
  <c r="E3058" i="1" s="1"/>
  <c r="E3057" i="1"/>
  <c r="D3057" i="1"/>
  <c r="E3056" i="1"/>
  <c r="D3056" i="1"/>
  <c r="E3055" i="1"/>
  <c r="D3055" i="1"/>
  <c r="D3054" i="1"/>
  <c r="E3054" i="1" s="1"/>
  <c r="E3053" i="1"/>
  <c r="D3053" i="1"/>
  <c r="E3052" i="1"/>
  <c r="D3052" i="1"/>
  <c r="D3051" i="1"/>
  <c r="E3051" i="1" s="1"/>
  <c r="E3050" i="1"/>
  <c r="D3050" i="1"/>
  <c r="D3049" i="1"/>
  <c r="E3049" i="1" s="1"/>
  <c r="E3048" i="1"/>
  <c r="D3048" i="1"/>
  <c r="E3047" i="1"/>
  <c r="D3047" i="1"/>
  <c r="D3046" i="1"/>
  <c r="E3046" i="1" s="1"/>
  <c r="E3045" i="1"/>
  <c r="D3045" i="1"/>
  <c r="E3044" i="1"/>
  <c r="D3044" i="1"/>
  <c r="E3043" i="1"/>
  <c r="D3043" i="1"/>
  <c r="D3042" i="1"/>
  <c r="E3042" i="1" s="1"/>
  <c r="E3041" i="1"/>
  <c r="D3041" i="1"/>
  <c r="E3040" i="1"/>
  <c r="D3040" i="1"/>
  <c r="D3039" i="1"/>
  <c r="E3039" i="1" s="1"/>
  <c r="E3038" i="1"/>
  <c r="D3038" i="1"/>
  <c r="D3037" i="1"/>
  <c r="E3037" i="1" s="1"/>
  <c r="E3036" i="1"/>
  <c r="D3036" i="1"/>
  <c r="E3035" i="1"/>
  <c r="D3035" i="1"/>
  <c r="D3034" i="1"/>
  <c r="E3034" i="1" s="1"/>
  <c r="E3033" i="1"/>
  <c r="D3033" i="1"/>
  <c r="E3032" i="1"/>
  <c r="D3032" i="1"/>
  <c r="E3031" i="1"/>
  <c r="D3031" i="1"/>
  <c r="D3030" i="1"/>
  <c r="E3030" i="1" s="1"/>
  <c r="E3029" i="1"/>
  <c r="D3029" i="1"/>
  <c r="E3028" i="1"/>
  <c r="D3028" i="1"/>
  <c r="D3027" i="1"/>
  <c r="E3027" i="1" s="1"/>
  <c r="E3026" i="1"/>
  <c r="D3026" i="1"/>
  <c r="D3025" i="1"/>
  <c r="E3025" i="1" s="1"/>
  <c r="E3024" i="1"/>
  <c r="D3024" i="1"/>
  <c r="E3023" i="1"/>
  <c r="D3023" i="1"/>
  <c r="D3022" i="1"/>
  <c r="E3022" i="1" s="1"/>
  <c r="E3021" i="1"/>
  <c r="D3021" i="1"/>
  <c r="E3020" i="1"/>
  <c r="D3020" i="1"/>
  <c r="E3019" i="1"/>
  <c r="D3019" i="1"/>
  <c r="D3018" i="1"/>
  <c r="E3018" i="1" s="1"/>
  <c r="E3017" i="1"/>
  <c r="D3017" i="1"/>
  <c r="E3016" i="1"/>
  <c r="D3016" i="1"/>
  <c r="D3015" i="1"/>
  <c r="E3015" i="1" s="1"/>
  <c r="E3014" i="1"/>
  <c r="D3014" i="1"/>
  <c r="D3013" i="1"/>
  <c r="E3013" i="1" s="1"/>
  <c r="E3012" i="1"/>
  <c r="D3012" i="1"/>
  <c r="E3011" i="1"/>
  <c r="D3011" i="1"/>
  <c r="D3010" i="1"/>
  <c r="E3010" i="1" s="1"/>
  <c r="E3009" i="1"/>
  <c r="D3009" i="1"/>
  <c r="E3008" i="1"/>
  <c r="D3008" i="1"/>
  <c r="E3007" i="1"/>
  <c r="D3007" i="1"/>
  <c r="D3006" i="1"/>
  <c r="E3006" i="1" s="1"/>
  <c r="E3005" i="1"/>
  <c r="D3005" i="1"/>
  <c r="E3004" i="1"/>
  <c r="D3004" i="1"/>
  <c r="D3003" i="1"/>
  <c r="E3003" i="1" s="1"/>
  <c r="E3002" i="1"/>
  <c r="D3002" i="1"/>
  <c r="D3001" i="1"/>
  <c r="E3001" i="1" s="1"/>
  <c r="E3000" i="1"/>
  <c r="D3000" i="1"/>
  <c r="E2999" i="1"/>
  <c r="D2999" i="1"/>
  <c r="D2998" i="1"/>
  <c r="E2998" i="1" s="1"/>
  <c r="E2997" i="1"/>
  <c r="D2997" i="1"/>
  <c r="E2996" i="1"/>
  <c r="D2996" i="1"/>
  <c r="E2995" i="1"/>
  <c r="D2995" i="1"/>
  <c r="D2994" i="1"/>
  <c r="E2994" i="1" s="1"/>
  <c r="E2993" i="1"/>
  <c r="D2993" i="1"/>
  <c r="E2992" i="1"/>
  <c r="D2992" i="1"/>
  <c r="D2991" i="1"/>
  <c r="E2991" i="1" s="1"/>
  <c r="E2990" i="1"/>
  <c r="D2990" i="1"/>
  <c r="D2989" i="1"/>
  <c r="E2989" i="1" s="1"/>
  <c r="E2988" i="1"/>
  <c r="D2988" i="1"/>
  <c r="E2987" i="1"/>
  <c r="D2987" i="1"/>
  <c r="D2986" i="1"/>
  <c r="E2986" i="1" s="1"/>
  <c r="E2985" i="1"/>
  <c r="D2985" i="1"/>
  <c r="E2984" i="1"/>
  <c r="D2984" i="1"/>
  <c r="E2983" i="1"/>
  <c r="D2983" i="1"/>
  <c r="D2982" i="1"/>
  <c r="E2982" i="1" s="1"/>
  <c r="E2981" i="1"/>
  <c r="D2981" i="1"/>
  <c r="E2980" i="1"/>
  <c r="D2980" i="1"/>
  <c r="D2979" i="1"/>
  <c r="E2979" i="1" s="1"/>
  <c r="E2978" i="1"/>
  <c r="D2978" i="1"/>
  <c r="D2977" i="1"/>
  <c r="E2977" i="1" s="1"/>
  <c r="E2976" i="1"/>
  <c r="D2976" i="1"/>
  <c r="E2975" i="1"/>
  <c r="D2975" i="1"/>
  <c r="D2974" i="1"/>
  <c r="E2974" i="1" s="1"/>
  <c r="E2973" i="1"/>
  <c r="D2973" i="1"/>
  <c r="E2972" i="1"/>
  <c r="D2972" i="1"/>
  <c r="E2971" i="1"/>
  <c r="D2971" i="1"/>
  <c r="D2970" i="1"/>
  <c r="E2970" i="1" s="1"/>
  <c r="E2969" i="1"/>
  <c r="D2969" i="1"/>
  <c r="E2968" i="1"/>
  <c r="D2968" i="1"/>
  <c r="D2967" i="1"/>
  <c r="E2967" i="1" s="1"/>
  <c r="E2966" i="1"/>
  <c r="D2966" i="1"/>
  <c r="D2965" i="1"/>
  <c r="E2965" i="1" s="1"/>
  <c r="E2964" i="1"/>
  <c r="D2964" i="1"/>
  <c r="E2963" i="1"/>
  <c r="D2963" i="1"/>
  <c r="D2962" i="1"/>
  <c r="E2962" i="1" s="1"/>
  <c r="E2961" i="1"/>
  <c r="D2961" i="1"/>
  <c r="E2960" i="1"/>
  <c r="D2960" i="1"/>
  <c r="E2959" i="1"/>
  <c r="D2959" i="1"/>
  <c r="D2958" i="1"/>
  <c r="E2958" i="1" s="1"/>
  <c r="E2957" i="1"/>
  <c r="D2957" i="1"/>
  <c r="E2956" i="1"/>
  <c r="D2956" i="1"/>
  <c r="D2955" i="1"/>
  <c r="E2955" i="1" s="1"/>
  <c r="E2954" i="1"/>
  <c r="D2954" i="1"/>
  <c r="D2953" i="1"/>
  <c r="E2953" i="1" s="1"/>
  <c r="E2952" i="1"/>
  <c r="D2952" i="1"/>
  <c r="E2951" i="1"/>
  <c r="D2951" i="1"/>
  <c r="D2950" i="1"/>
  <c r="E2950" i="1" s="1"/>
  <c r="E2949" i="1"/>
  <c r="D2949" i="1"/>
  <c r="E2948" i="1"/>
  <c r="D2948" i="1"/>
  <c r="E2947" i="1"/>
  <c r="D2947" i="1"/>
  <c r="D2946" i="1"/>
  <c r="E2946" i="1" s="1"/>
  <c r="E2945" i="1"/>
  <c r="D2945" i="1"/>
  <c r="E2944" i="1"/>
  <c r="D2944" i="1"/>
  <c r="D2943" i="1"/>
  <c r="E2943" i="1" s="1"/>
  <c r="E2942" i="1"/>
  <c r="D2942" i="1"/>
  <c r="D2941" i="1"/>
  <c r="E2941" i="1" s="1"/>
  <c r="E2940" i="1"/>
  <c r="D2940" i="1"/>
  <c r="E2939" i="1"/>
  <c r="D2939" i="1"/>
  <c r="D2938" i="1"/>
  <c r="E2938" i="1" s="1"/>
  <c r="E2937" i="1"/>
  <c r="D2937" i="1"/>
  <c r="E2936" i="1"/>
  <c r="D2936" i="1"/>
  <c r="E2935" i="1"/>
  <c r="D2935" i="1"/>
  <c r="D2934" i="1"/>
  <c r="E2934" i="1" s="1"/>
  <c r="E2933" i="1"/>
  <c r="D2933" i="1"/>
  <c r="E2932" i="1"/>
  <c r="D2932" i="1"/>
  <c r="D2931" i="1"/>
  <c r="E2931" i="1" s="1"/>
  <c r="E2930" i="1"/>
  <c r="D2930" i="1"/>
  <c r="D2929" i="1"/>
  <c r="E2929" i="1" s="1"/>
  <c r="E2928" i="1"/>
  <c r="D2928" i="1"/>
  <c r="E2927" i="1"/>
  <c r="D2927" i="1"/>
  <c r="D2926" i="1"/>
  <c r="E2926" i="1" s="1"/>
  <c r="E2925" i="1"/>
  <c r="D2925" i="1"/>
  <c r="E2924" i="1"/>
  <c r="D2924" i="1"/>
  <c r="E2923" i="1"/>
  <c r="D2923" i="1"/>
  <c r="D2922" i="1"/>
  <c r="E2922" i="1" s="1"/>
  <c r="E2921" i="1"/>
  <c r="D2921" i="1"/>
  <c r="E2920" i="1"/>
  <c r="D2920" i="1"/>
  <c r="D2919" i="1"/>
  <c r="E2919" i="1" s="1"/>
  <c r="E2918" i="1"/>
  <c r="D2918" i="1"/>
  <c r="D2917" i="1"/>
  <c r="E2917" i="1" s="1"/>
  <c r="E2916" i="1"/>
  <c r="D2916" i="1"/>
  <c r="E2915" i="1"/>
  <c r="D2915" i="1"/>
  <c r="D2914" i="1"/>
  <c r="E2914" i="1" s="1"/>
  <c r="E2913" i="1"/>
  <c r="D2913" i="1"/>
  <c r="E2912" i="1"/>
  <c r="D2912" i="1"/>
  <c r="E2911" i="1"/>
  <c r="D2911" i="1"/>
  <c r="D2910" i="1"/>
  <c r="E2910" i="1" s="1"/>
  <c r="E2909" i="1"/>
  <c r="D2909" i="1"/>
  <c r="E2908" i="1"/>
  <c r="D2908" i="1"/>
  <c r="D2907" i="1"/>
  <c r="E2907" i="1" s="1"/>
  <c r="E2906" i="1"/>
  <c r="D2906" i="1"/>
  <c r="D2905" i="1"/>
  <c r="E2905" i="1" s="1"/>
  <c r="E2904" i="1"/>
  <c r="D2904" i="1"/>
  <c r="E2903" i="1"/>
  <c r="D2903" i="1"/>
  <c r="D2902" i="1"/>
  <c r="E2902" i="1" s="1"/>
  <c r="E2901" i="1"/>
  <c r="D2901" i="1"/>
  <c r="E2900" i="1"/>
  <c r="D2900" i="1"/>
  <c r="E2899" i="1"/>
  <c r="D2899" i="1"/>
  <c r="D2898" i="1"/>
  <c r="E2898" i="1" s="1"/>
  <c r="E2897" i="1"/>
  <c r="D2897" i="1"/>
  <c r="E2896" i="1"/>
  <c r="D2896" i="1"/>
  <c r="D2895" i="1"/>
  <c r="E2895" i="1" s="1"/>
  <c r="E2894" i="1"/>
  <c r="D2894" i="1"/>
  <c r="D2893" i="1"/>
  <c r="E2893" i="1" s="1"/>
  <c r="E2892" i="1"/>
  <c r="D2892" i="1"/>
  <c r="E2891" i="1"/>
  <c r="D2891" i="1"/>
  <c r="D2890" i="1"/>
  <c r="E2890" i="1" s="1"/>
  <c r="E2889" i="1"/>
  <c r="D2889" i="1"/>
  <c r="E2888" i="1"/>
  <c r="D2888" i="1"/>
  <c r="E2887" i="1"/>
  <c r="D2887" i="1"/>
  <c r="D2886" i="1"/>
  <c r="E2886" i="1" s="1"/>
  <c r="E2885" i="1"/>
  <c r="D2885" i="1"/>
  <c r="E2884" i="1"/>
  <c r="D2884" i="1"/>
  <c r="D2883" i="1"/>
  <c r="E2883" i="1" s="1"/>
  <c r="E2882" i="1"/>
  <c r="D2882" i="1"/>
  <c r="D2881" i="1"/>
  <c r="E2881" i="1" s="1"/>
  <c r="E2880" i="1"/>
  <c r="D2880" i="1"/>
  <c r="E2879" i="1"/>
  <c r="D2879" i="1"/>
  <c r="D2878" i="1"/>
  <c r="E2878" i="1" s="1"/>
  <c r="E2877" i="1"/>
  <c r="D2877" i="1"/>
  <c r="E2876" i="1"/>
  <c r="D2876" i="1"/>
  <c r="E2875" i="1"/>
  <c r="D2875" i="1"/>
  <c r="D2874" i="1"/>
  <c r="E2874" i="1" s="1"/>
  <c r="E2873" i="1"/>
  <c r="D2873" i="1"/>
  <c r="E2872" i="1"/>
  <c r="D2872" i="1"/>
  <c r="D2871" i="1"/>
  <c r="E2871" i="1" s="1"/>
  <c r="E2870" i="1"/>
  <c r="D2870" i="1"/>
  <c r="D2869" i="1"/>
  <c r="E2869" i="1" s="1"/>
  <c r="E2868" i="1"/>
  <c r="D2868" i="1"/>
  <c r="E2867" i="1"/>
  <c r="D2867" i="1"/>
  <c r="D2866" i="1"/>
  <c r="E2866" i="1" s="1"/>
  <c r="E2865" i="1"/>
  <c r="D2865" i="1"/>
  <c r="E2864" i="1"/>
  <c r="D2864" i="1"/>
  <c r="E2863" i="1"/>
  <c r="D2863" i="1"/>
  <c r="D2862" i="1"/>
  <c r="E2862" i="1" s="1"/>
  <c r="E2861" i="1"/>
  <c r="D2861" i="1"/>
  <c r="E2860" i="1"/>
  <c r="D2860" i="1"/>
  <c r="D2859" i="1"/>
  <c r="E2859" i="1" s="1"/>
  <c r="E2858" i="1"/>
  <c r="D2858" i="1"/>
  <c r="D2857" i="1"/>
  <c r="E2857" i="1" s="1"/>
  <c r="E2856" i="1"/>
  <c r="D2856" i="1"/>
  <c r="E2855" i="1"/>
  <c r="D2855" i="1"/>
  <c r="D2854" i="1"/>
  <c r="E2854" i="1" s="1"/>
  <c r="E2853" i="1"/>
  <c r="D2853" i="1"/>
  <c r="E2852" i="1"/>
  <c r="D2852" i="1"/>
  <c r="E2851" i="1"/>
  <c r="D2851" i="1"/>
  <c r="D2850" i="1"/>
  <c r="E2850" i="1" s="1"/>
  <c r="E2849" i="1"/>
  <c r="D2849" i="1"/>
  <c r="E2848" i="1"/>
  <c r="D2848" i="1"/>
  <c r="D2847" i="1"/>
  <c r="E2847" i="1" s="1"/>
  <c r="E2846" i="1"/>
  <c r="D2846" i="1"/>
  <c r="D2845" i="1"/>
  <c r="E2845" i="1" s="1"/>
  <c r="E2844" i="1"/>
  <c r="D2844" i="1"/>
  <c r="E2843" i="1"/>
  <c r="D2843" i="1"/>
  <c r="D2842" i="1"/>
  <c r="E2842" i="1" s="1"/>
  <c r="E2841" i="1"/>
  <c r="D2841" i="1"/>
  <c r="E2840" i="1"/>
  <c r="D2840" i="1"/>
  <c r="E2839" i="1"/>
  <c r="D2839" i="1"/>
  <c r="D2838" i="1"/>
  <c r="E2838" i="1" s="1"/>
  <c r="E2837" i="1"/>
  <c r="D2837" i="1"/>
  <c r="E2836" i="1"/>
  <c r="D2836" i="1"/>
  <c r="D2835" i="1"/>
  <c r="E2835" i="1" s="1"/>
  <c r="E2834" i="1"/>
  <c r="D2834" i="1"/>
  <c r="D2833" i="1"/>
  <c r="E2833" i="1" s="1"/>
  <c r="E2832" i="1"/>
  <c r="D2832" i="1"/>
  <c r="E2831" i="1"/>
  <c r="D2831" i="1"/>
  <c r="D2830" i="1"/>
  <c r="E2830" i="1" s="1"/>
  <c r="E2829" i="1"/>
  <c r="D2829" i="1"/>
  <c r="E2828" i="1"/>
  <c r="D2828" i="1"/>
  <c r="E2827" i="1"/>
  <c r="D2827" i="1"/>
  <c r="D2826" i="1"/>
  <c r="E2826" i="1" s="1"/>
  <c r="E2825" i="1"/>
  <c r="D2825" i="1"/>
  <c r="E2824" i="1"/>
  <c r="D2824" i="1"/>
  <c r="D2823" i="1"/>
  <c r="E2823" i="1" s="1"/>
  <c r="E2822" i="1"/>
  <c r="D2822" i="1"/>
  <c r="D2821" i="1"/>
  <c r="E2821" i="1" s="1"/>
  <c r="E2820" i="1"/>
  <c r="D2820" i="1"/>
  <c r="E2819" i="1"/>
  <c r="D2819" i="1"/>
  <c r="D2818" i="1"/>
  <c r="E2818" i="1" s="1"/>
  <c r="E2817" i="1"/>
  <c r="D2817" i="1"/>
  <c r="E2816" i="1"/>
  <c r="D2816" i="1"/>
  <c r="E2815" i="1"/>
  <c r="D2815" i="1"/>
  <c r="D2814" i="1"/>
  <c r="E2814" i="1" s="1"/>
  <c r="E2813" i="1"/>
  <c r="D2813" i="1"/>
  <c r="E2812" i="1"/>
  <c r="D2812" i="1"/>
  <c r="D2811" i="1"/>
  <c r="E2811" i="1" s="1"/>
  <c r="E2810" i="1"/>
  <c r="D2810" i="1"/>
  <c r="D2809" i="1"/>
  <c r="E2809" i="1" s="1"/>
  <c r="E2808" i="1"/>
  <c r="D2808" i="1"/>
  <c r="E2807" i="1"/>
  <c r="D2807" i="1"/>
  <c r="D2806" i="1"/>
  <c r="E2806" i="1" s="1"/>
  <c r="E2805" i="1"/>
  <c r="D2805" i="1"/>
  <c r="E2804" i="1"/>
  <c r="D2804" i="1"/>
  <c r="E2803" i="1"/>
  <c r="D2803" i="1"/>
  <c r="D2802" i="1"/>
  <c r="E2802" i="1" s="1"/>
  <c r="E2801" i="1"/>
  <c r="D2801" i="1"/>
  <c r="E2800" i="1"/>
  <c r="D2800" i="1"/>
  <c r="D2799" i="1"/>
  <c r="E2799" i="1" s="1"/>
  <c r="E2798" i="1"/>
  <c r="D2798" i="1"/>
  <c r="D2797" i="1"/>
  <c r="E2797" i="1" s="1"/>
  <c r="E2796" i="1"/>
  <c r="D2796" i="1"/>
  <c r="E2795" i="1"/>
  <c r="D2795" i="1"/>
  <c r="D2794" i="1"/>
  <c r="E2794" i="1" s="1"/>
  <c r="E2793" i="1"/>
  <c r="D2793" i="1"/>
  <c r="E2792" i="1"/>
  <c r="D2792" i="1"/>
  <c r="E2791" i="1"/>
  <c r="D2791" i="1"/>
  <c r="D2790" i="1"/>
  <c r="E2790" i="1" s="1"/>
  <c r="E2789" i="1"/>
  <c r="D2789" i="1"/>
  <c r="E2788" i="1"/>
  <c r="D2788" i="1"/>
  <c r="D2787" i="1"/>
  <c r="E2787" i="1" s="1"/>
  <c r="E2786" i="1"/>
  <c r="D2786" i="1"/>
  <c r="D2785" i="1"/>
  <c r="E2785" i="1" s="1"/>
  <c r="E2784" i="1"/>
  <c r="D2784" i="1"/>
  <c r="E2783" i="1"/>
  <c r="D2783" i="1"/>
  <c r="D2782" i="1"/>
  <c r="E2782" i="1" s="1"/>
  <c r="E2781" i="1"/>
  <c r="D2781" i="1"/>
  <c r="E2780" i="1"/>
  <c r="D2780" i="1"/>
  <c r="E2779" i="1"/>
  <c r="D2779" i="1"/>
  <c r="D2778" i="1"/>
  <c r="E2778" i="1" s="1"/>
  <c r="E2777" i="1"/>
  <c r="D2777" i="1"/>
  <c r="E2776" i="1"/>
  <c r="D2776" i="1"/>
  <c r="D2775" i="1"/>
  <c r="E2775" i="1" s="1"/>
  <c r="E2774" i="1"/>
  <c r="D2774" i="1"/>
  <c r="D2773" i="1"/>
  <c r="E2773" i="1" s="1"/>
  <c r="E2772" i="1"/>
  <c r="D2772" i="1"/>
  <c r="E2771" i="1"/>
  <c r="D2771" i="1"/>
  <c r="D2770" i="1"/>
  <c r="E2770" i="1" s="1"/>
  <c r="E2769" i="1"/>
  <c r="D2769" i="1"/>
  <c r="E2768" i="1"/>
  <c r="D2768" i="1"/>
  <c r="E2767" i="1"/>
  <c r="D2767" i="1"/>
  <c r="D2766" i="1"/>
  <c r="E2766" i="1" s="1"/>
  <c r="E2765" i="1"/>
  <c r="D2765" i="1"/>
  <c r="E2764" i="1"/>
  <c r="D2764" i="1"/>
  <c r="D2763" i="1"/>
  <c r="E2763" i="1" s="1"/>
  <c r="E2762" i="1"/>
  <c r="D2762" i="1"/>
  <c r="D2761" i="1"/>
  <c r="E2761" i="1" s="1"/>
  <c r="E2760" i="1"/>
  <c r="D2760" i="1"/>
  <c r="E2759" i="1"/>
  <c r="D2759" i="1"/>
  <c r="D2758" i="1"/>
  <c r="E2758" i="1" s="1"/>
  <c r="E2757" i="1"/>
  <c r="D2757" i="1"/>
  <c r="E2756" i="1"/>
  <c r="D2756" i="1"/>
  <c r="E2755" i="1"/>
  <c r="D2755" i="1"/>
  <c r="D2754" i="1"/>
  <c r="E2754" i="1" s="1"/>
  <c r="E2753" i="1"/>
  <c r="D2753" i="1"/>
  <c r="E2752" i="1"/>
  <c r="D2752" i="1"/>
  <c r="D2751" i="1"/>
  <c r="E2751" i="1" s="1"/>
  <c r="E2750" i="1"/>
  <c r="D2750" i="1"/>
  <c r="D2749" i="1"/>
  <c r="E2749" i="1" s="1"/>
  <c r="E2748" i="1"/>
  <c r="D2748" i="1"/>
  <c r="E2747" i="1"/>
  <c r="D2747" i="1"/>
  <c r="D2746" i="1"/>
  <c r="E2746" i="1" s="1"/>
  <c r="E2745" i="1"/>
  <c r="D2745" i="1"/>
  <c r="E2744" i="1"/>
  <c r="D2744" i="1"/>
  <c r="E2743" i="1"/>
  <c r="D2743" i="1"/>
  <c r="D2742" i="1"/>
  <c r="E2742" i="1" s="1"/>
  <c r="E2741" i="1"/>
  <c r="D2741" i="1"/>
  <c r="E2740" i="1"/>
  <c r="D2740" i="1"/>
  <c r="D2739" i="1"/>
  <c r="E2739" i="1" s="1"/>
  <c r="E2738" i="1"/>
  <c r="D2738" i="1"/>
  <c r="D2737" i="1"/>
  <c r="E2737" i="1" s="1"/>
  <c r="E2736" i="1"/>
  <c r="D2736" i="1"/>
  <c r="E2735" i="1"/>
  <c r="D2735" i="1"/>
  <c r="D2734" i="1"/>
  <c r="E2734" i="1" s="1"/>
  <c r="E2733" i="1"/>
  <c r="D2733" i="1"/>
  <c r="E2732" i="1"/>
  <c r="D2732" i="1"/>
  <c r="E2731" i="1"/>
  <c r="D2731" i="1"/>
  <c r="D2730" i="1"/>
  <c r="E2730" i="1" s="1"/>
  <c r="E2729" i="1"/>
  <c r="D2729" i="1"/>
  <c r="E2728" i="1"/>
  <c r="D2728" i="1"/>
  <c r="D2727" i="1"/>
  <c r="E2727" i="1" s="1"/>
  <c r="E2726" i="1"/>
  <c r="D2726" i="1"/>
  <c r="D2725" i="1"/>
  <c r="E2725" i="1" s="1"/>
  <c r="E2724" i="1"/>
  <c r="D2724" i="1"/>
  <c r="E2723" i="1"/>
  <c r="D2723" i="1"/>
  <c r="D2722" i="1"/>
  <c r="E2722" i="1" s="1"/>
  <c r="E2721" i="1"/>
  <c r="D2721" i="1"/>
  <c r="E2720" i="1"/>
  <c r="D2720" i="1"/>
  <c r="E2719" i="1"/>
  <c r="D2719" i="1"/>
  <c r="D2718" i="1"/>
  <c r="E2718" i="1" s="1"/>
  <c r="E2717" i="1"/>
  <c r="D2717" i="1"/>
  <c r="E2716" i="1"/>
  <c r="D2716" i="1"/>
  <c r="D2715" i="1"/>
  <c r="E2715" i="1" s="1"/>
  <c r="E2714" i="1"/>
  <c r="D2714" i="1"/>
  <c r="D2713" i="1"/>
  <c r="E2713" i="1" s="1"/>
  <c r="E2712" i="1"/>
  <c r="D2712" i="1"/>
  <c r="E2711" i="1"/>
  <c r="D2711" i="1"/>
  <c r="D2710" i="1"/>
  <c r="E2710" i="1" s="1"/>
  <c r="E2709" i="1"/>
  <c r="D2709" i="1"/>
  <c r="E2708" i="1"/>
  <c r="D2708" i="1"/>
  <c r="E2707" i="1"/>
  <c r="D2707" i="1"/>
  <c r="D2706" i="1"/>
  <c r="E2706" i="1" s="1"/>
  <c r="E2705" i="1"/>
  <c r="D2705" i="1"/>
  <c r="E2704" i="1"/>
  <c r="D2704" i="1"/>
  <c r="D2703" i="1"/>
  <c r="E2703" i="1" s="1"/>
  <c r="E2702" i="1"/>
  <c r="D2702" i="1"/>
  <c r="D2701" i="1"/>
  <c r="E2701" i="1" s="1"/>
  <c r="E2700" i="1"/>
  <c r="D2700" i="1"/>
  <c r="E2699" i="1"/>
  <c r="D2699" i="1"/>
  <c r="D2698" i="1"/>
  <c r="E2698" i="1" s="1"/>
  <c r="E2697" i="1"/>
  <c r="D2697" i="1"/>
  <c r="E2696" i="1"/>
  <c r="D2696" i="1"/>
  <c r="E2695" i="1"/>
  <c r="D2695" i="1"/>
  <c r="D2694" i="1"/>
  <c r="E2694" i="1" s="1"/>
  <c r="E2693" i="1"/>
  <c r="D2693" i="1"/>
  <c r="E2692" i="1"/>
  <c r="D2692" i="1"/>
  <c r="D2691" i="1"/>
  <c r="E2691" i="1" s="1"/>
  <c r="E2690" i="1"/>
  <c r="D2690" i="1"/>
  <c r="D2689" i="1"/>
  <c r="E2689" i="1" s="1"/>
  <c r="E2688" i="1"/>
  <c r="D2688" i="1"/>
  <c r="E2687" i="1"/>
  <c r="D2687" i="1"/>
  <c r="D2686" i="1"/>
  <c r="E2686" i="1" s="1"/>
  <c r="E2685" i="1"/>
  <c r="D2685" i="1"/>
  <c r="E2684" i="1"/>
  <c r="D2684" i="1"/>
  <c r="E2683" i="1"/>
  <c r="D2683" i="1"/>
  <c r="D2682" i="1"/>
  <c r="E2682" i="1" s="1"/>
  <c r="E2681" i="1"/>
  <c r="D2681" i="1"/>
  <c r="E2680" i="1"/>
  <c r="D2680" i="1"/>
  <c r="D2679" i="1"/>
  <c r="E2679" i="1" s="1"/>
  <c r="E2678" i="1"/>
  <c r="D2678" i="1"/>
  <c r="D2677" i="1"/>
  <c r="E2677" i="1" s="1"/>
  <c r="E2676" i="1"/>
  <c r="D2676" i="1"/>
  <c r="E2675" i="1"/>
  <c r="D2675" i="1"/>
  <c r="D2674" i="1"/>
  <c r="E2674" i="1" s="1"/>
  <c r="E2673" i="1"/>
  <c r="D2673" i="1"/>
  <c r="E2672" i="1"/>
  <c r="D2672" i="1"/>
  <c r="E2671" i="1"/>
  <c r="D2671" i="1"/>
  <c r="D2670" i="1"/>
  <c r="E2670" i="1" s="1"/>
  <c r="E2669" i="1"/>
  <c r="D2669" i="1"/>
  <c r="E2668" i="1"/>
  <c r="D2668" i="1"/>
  <c r="D2667" i="1"/>
  <c r="E2667" i="1" s="1"/>
  <c r="E2666" i="1"/>
  <c r="D2666" i="1"/>
  <c r="D2665" i="1"/>
  <c r="E2665" i="1" s="1"/>
  <c r="E2664" i="1"/>
  <c r="D2664" i="1"/>
  <c r="E2663" i="1"/>
  <c r="D2663" i="1"/>
  <c r="D2662" i="1"/>
  <c r="E2662" i="1" s="1"/>
  <c r="E2661" i="1"/>
  <c r="D2661" i="1"/>
  <c r="E2660" i="1"/>
  <c r="D2660" i="1"/>
  <c r="E2659" i="1"/>
  <c r="D2659" i="1"/>
  <c r="D2658" i="1"/>
  <c r="E2658" i="1" s="1"/>
  <c r="E2657" i="1"/>
  <c r="D2657" i="1"/>
  <c r="E2656" i="1"/>
  <c r="D2656" i="1"/>
  <c r="D2655" i="1"/>
  <c r="E2655" i="1" s="1"/>
  <c r="E2654" i="1"/>
  <c r="D2654" i="1"/>
  <c r="D2653" i="1"/>
  <c r="E2653" i="1" s="1"/>
  <c r="E2652" i="1"/>
  <c r="D2652" i="1"/>
  <c r="E2651" i="1"/>
  <c r="D2651" i="1"/>
  <c r="D2650" i="1"/>
  <c r="E2650" i="1" s="1"/>
  <c r="E2649" i="1"/>
  <c r="D2649" i="1"/>
  <c r="E2648" i="1"/>
  <c r="D2648" i="1"/>
  <c r="E2647" i="1"/>
  <c r="D2647" i="1"/>
  <c r="D2646" i="1"/>
  <c r="E2646" i="1" s="1"/>
  <c r="E2645" i="1"/>
  <c r="D2645" i="1"/>
  <c r="E2644" i="1"/>
  <c r="D2644" i="1"/>
  <c r="D2643" i="1"/>
  <c r="E2643" i="1" s="1"/>
  <c r="E2642" i="1"/>
  <c r="D2642" i="1"/>
  <c r="D2641" i="1"/>
  <c r="E2641" i="1" s="1"/>
  <c r="E2640" i="1"/>
  <c r="D2640" i="1"/>
  <c r="E2639" i="1"/>
  <c r="D2639" i="1"/>
  <c r="D2638" i="1"/>
  <c r="E2638" i="1" s="1"/>
  <c r="E2637" i="1"/>
  <c r="D2637" i="1"/>
  <c r="E2636" i="1"/>
  <c r="D2636" i="1"/>
  <c r="E2635" i="1"/>
  <c r="D2635" i="1"/>
  <c r="D2634" i="1"/>
  <c r="E2634" i="1" s="1"/>
  <c r="E2633" i="1"/>
  <c r="D2633" i="1"/>
  <c r="E2632" i="1"/>
  <c r="D2632" i="1"/>
  <c r="D2631" i="1"/>
  <c r="E2631" i="1" s="1"/>
  <c r="E2630" i="1"/>
  <c r="D2630" i="1"/>
  <c r="D2629" i="1"/>
  <c r="E2629" i="1" s="1"/>
  <c r="E2628" i="1"/>
  <c r="D2628" i="1"/>
  <c r="E2627" i="1"/>
  <c r="D2627" i="1"/>
  <c r="D2626" i="1"/>
  <c r="E2626" i="1" s="1"/>
  <c r="D2625" i="1"/>
  <c r="E2625" i="1" s="1"/>
  <c r="E2624" i="1"/>
  <c r="D2624" i="1"/>
  <c r="E2623" i="1"/>
  <c r="D2623" i="1"/>
  <c r="D2622" i="1"/>
  <c r="E2622" i="1" s="1"/>
  <c r="E2621" i="1"/>
  <c r="D2621" i="1"/>
  <c r="E2620" i="1"/>
  <c r="D2620" i="1"/>
  <c r="D2619" i="1"/>
  <c r="E2619" i="1" s="1"/>
  <c r="E2618" i="1"/>
  <c r="D2618" i="1"/>
  <c r="D2617" i="1"/>
  <c r="E2617" i="1" s="1"/>
  <c r="E2616" i="1"/>
  <c r="D2616" i="1"/>
  <c r="E2615" i="1"/>
  <c r="D2615" i="1"/>
  <c r="D2614" i="1"/>
  <c r="E2614" i="1" s="1"/>
  <c r="E2613" i="1"/>
  <c r="D2613" i="1"/>
  <c r="E2612" i="1"/>
  <c r="D2612" i="1"/>
  <c r="E2611" i="1"/>
  <c r="D2611" i="1"/>
  <c r="D2610" i="1"/>
  <c r="E2610" i="1" s="1"/>
  <c r="E2609" i="1"/>
  <c r="D2609" i="1"/>
  <c r="E2608" i="1"/>
  <c r="D2608" i="1"/>
  <c r="D2607" i="1"/>
  <c r="E2607" i="1" s="1"/>
  <c r="E2606" i="1"/>
  <c r="D2606" i="1"/>
  <c r="D2605" i="1"/>
  <c r="E2605" i="1" s="1"/>
  <c r="E2604" i="1"/>
  <c r="D2604" i="1"/>
  <c r="E2603" i="1"/>
  <c r="D2603" i="1"/>
  <c r="D2602" i="1"/>
  <c r="E2602" i="1" s="1"/>
  <c r="E2601" i="1"/>
  <c r="D2601" i="1"/>
  <c r="E2600" i="1"/>
  <c r="D2600" i="1"/>
  <c r="E2599" i="1"/>
  <c r="D2599" i="1"/>
  <c r="D2598" i="1"/>
  <c r="E2598" i="1" s="1"/>
  <c r="E2597" i="1"/>
  <c r="D2597" i="1"/>
  <c r="E2596" i="1"/>
  <c r="D2596" i="1"/>
  <c r="D2595" i="1"/>
  <c r="E2595" i="1" s="1"/>
  <c r="E2594" i="1"/>
  <c r="D2594" i="1"/>
  <c r="D2593" i="1"/>
  <c r="E2593" i="1" s="1"/>
  <c r="E2592" i="1"/>
  <c r="D2592" i="1"/>
  <c r="E2591" i="1"/>
  <c r="D2591" i="1"/>
  <c r="D2590" i="1"/>
  <c r="E2590" i="1" s="1"/>
  <c r="E2589" i="1"/>
  <c r="D2589" i="1"/>
  <c r="E2588" i="1"/>
  <c r="D2588" i="1"/>
  <c r="E2587" i="1"/>
  <c r="D2587" i="1"/>
  <c r="D2586" i="1"/>
  <c r="E2586" i="1" s="1"/>
  <c r="E2585" i="1"/>
  <c r="D2585" i="1"/>
  <c r="E2584" i="1"/>
  <c r="D2584" i="1"/>
  <c r="D2583" i="1"/>
  <c r="E2583" i="1" s="1"/>
  <c r="E2582" i="1"/>
  <c r="D2582" i="1"/>
  <c r="D2581" i="1"/>
  <c r="E2581" i="1" s="1"/>
  <c r="E2580" i="1"/>
  <c r="D2580" i="1"/>
  <c r="E2579" i="1"/>
  <c r="D2579" i="1"/>
  <c r="D2578" i="1"/>
  <c r="E2578" i="1" s="1"/>
  <c r="E2577" i="1"/>
  <c r="D2577" i="1"/>
  <c r="E2576" i="1"/>
  <c r="D2576" i="1"/>
  <c r="E2575" i="1"/>
  <c r="D2575" i="1"/>
  <c r="D2574" i="1"/>
  <c r="E2574" i="1" s="1"/>
  <c r="E2573" i="1"/>
  <c r="D2573" i="1"/>
  <c r="E2572" i="1"/>
  <c r="D2572" i="1"/>
  <c r="D2571" i="1"/>
  <c r="E2571" i="1" s="1"/>
  <c r="E2570" i="1"/>
  <c r="D2570" i="1"/>
  <c r="D2569" i="1"/>
  <c r="E2569" i="1" s="1"/>
  <c r="E2568" i="1"/>
  <c r="D2568" i="1"/>
  <c r="E2567" i="1"/>
  <c r="D2567" i="1"/>
  <c r="D2566" i="1"/>
  <c r="E2566" i="1" s="1"/>
  <c r="E2565" i="1"/>
  <c r="D2565" i="1"/>
  <c r="E2564" i="1"/>
  <c r="D2564" i="1"/>
  <c r="E2563" i="1"/>
  <c r="D2563" i="1"/>
  <c r="D2562" i="1"/>
  <c r="E2562" i="1" s="1"/>
  <c r="E2561" i="1"/>
  <c r="D2561" i="1"/>
  <c r="E2560" i="1"/>
  <c r="D2560" i="1"/>
  <c r="D2559" i="1"/>
  <c r="E2559" i="1" s="1"/>
  <c r="E2558" i="1"/>
  <c r="D2558" i="1"/>
  <c r="D2557" i="1"/>
  <c r="E2557" i="1" s="1"/>
  <c r="E2556" i="1"/>
  <c r="D2556" i="1"/>
  <c r="E2555" i="1"/>
  <c r="D2555" i="1"/>
  <c r="D2554" i="1"/>
  <c r="E2554" i="1" s="1"/>
  <c r="D2553" i="1"/>
  <c r="E2553" i="1" s="1"/>
  <c r="E2552" i="1"/>
  <c r="D2552" i="1"/>
  <c r="E2551" i="1"/>
  <c r="D2551" i="1"/>
  <c r="D2550" i="1"/>
  <c r="E2550" i="1" s="1"/>
  <c r="E2549" i="1"/>
  <c r="D2549" i="1"/>
  <c r="E2548" i="1"/>
  <c r="D2548" i="1"/>
  <c r="D2547" i="1"/>
  <c r="E2547" i="1" s="1"/>
  <c r="E2546" i="1"/>
  <c r="D2546" i="1"/>
  <c r="D2545" i="1"/>
  <c r="E2545" i="1" s="1"/>
  <c r="E2544" i="1"/>
  <c r="D2544" i="1"/>
  <c r="E2543" i="1"/>
  <c r="D2543" i="1"/>
  <c r="D2542" i="1"/>
  <c r="E2542" i="1" s="1"/>
  <c r="E2541" i="1"/>
  <c r="D2541" i="1"/>
  <c r="E2540" i="1"/>
  <c r="D2540" i="1"/>
  <c r="E2539" i="1"/>
  <c r="D2539" i="1"/>
  <c r="D2538" i="1"/>
  <c r="E2538" i="1" s="1"/>
  <c r="E2537" i="1"/>
  <c r="D2537" i="1"/>
  <c r="E2536" i="1"/>
  <c r="D2536" i="1"/>
  <c r="D2535" i="1"/>
  <c r="E2535" i="1" s="1"/>
  <c r="E2534" i="1"/>
  <c r="D2534" i="1"/>
  <c r="D2533" i="1"/>
  <c r="E2533" i="1" s="1"/>
  <c r="E2532" i="1"/>
  <c r="D2532" i="1"/>
  <c r="E2531" i="1"/>
  <c r="D2531" i="1"/>
  <c r="D2530" i="1"/>
  <c r="E2530" i="1" s="1"/>
  <c r="E2529" i="1"/>
  <c r="D2529" i="1"/>
  <c r="E2528" i="1"/>
  <c r="D2528" i="1"/>
  <c r="E2527" i="1"/>
  <c r="D2527" i="1"/>
  <c r="D2526" i="1"/>
  <c r="E2526" i="1" s="1"/>
  <c r="E2525" i="1"/>
  <c r="D2525" i="1"/>
  <c r="E2524" i="1"/>
  <c r="D2524" i="1"/>
  <c r="D2523" i="1"/>
  <c r="E2523" i="1" s="1"/>
  <c r="E2522" i="1"/>
  <c r="D2522" i="1"/>
  <c r="D2521" i="1"/>
  <c r="E2521" i="1" s="1"/>
  <c r="E2520" i="1"/>
  <c r="D2520" i="1"/>
  <c r="E2519" i="1"/>
  <c r="D2519" i="1"/>
  <c r="D2518" i="1"/>
  <c r="E2518" i="1" s="1"/>
  <c r="E2517" i="1"/>
  <c r="D2517" i="1"/>
  <c r="E2516" i="1"/>
  <c r="D2516" i="1"/>
  <c r="E2515" i="1"/>
  <c r="D2515" i="1"/>
  <c r="D2514" i="1"/>
  <c r="E2514" i="1" s="1"/>
  <c r="E2513" i="1"/>
  <c r="D2513" i="1"/>
  <c r="E2512" i="1"/>
  <c r="D2512" i="1"/>
  <c r="D2511" i="1"/>
  <c r="E2511" i="1" s="1"/>
  <c r="E2510" i="1"/>
  <c r="D2510" i="1"/>
  <c r="D2509" i="1"/>
  <c r="E2509" i="1" s="1"/>
  <c r="E2508" i="1"/>
  <c r="D2508" i="1"/>
  <c r="E2507" i="1"/>
  <c r="D2507" i="1"/>
  <c r="D2506" i="1"/>
  <c r="E2506" i="1" s="1"/>
  <c r="E2505" i="1"/>
  <c r="D2505" i="1"/>
  <c r="E2504" i="1"/>
  <c r="D2504" i="1"/>
  <c r="E2503" i="1"/>
  <c r="D2503" i="1"/>
  <c r="D2502" i="1"/>
  <c r="E2502" i="1" s="1"/>
  <c r="E2501" i="1"/>
  <c r="D2501" i="1"/>
  <c r="E2500" i="1"/>
  <c r="D2500" i="1"/>
  <c r="D2499" i="1"/>
  <c r="E2499" i="1" s="1"/>
  <c r="E2498" i="1"/>
  <c r="D2498" i="1"/>
  <c r="D2497" i="1"/>
  <c r="E2497" i="1" s="1"/>
  <c r="E2496" i="1"/>
  <c r="D2496" i="1"/>
  <c r="E2495" i="1"/>
  <c r="D2495" i="1"/>
  <c r="D2494" i="1"/>
  <c r="E2494" i="1" s="1"/>
  <c r="E2493" i="1"/>
  <c r="D2493" i="1"/>
  <c r="E2492" i="1"/>
  <c r="D2492" i="1"/>
  <c r="E2491" i="1"/>
  <c r="D2491" i="1"/>
  <c r="D2490" i="1"/>
  <c r="E2490" i="1" s="1"/>
  <c r="E2489" i="1"/>
  <c r="D2489" i="1"/>
  <c r="E2488" i="1"/>
  <c r="D2488" i="1"/>
  <c r="D2487" i="1"/>
  <c r="E2487" i="1" s="1"/>
  <c r="E2486" i="1"/>
  <c r="D2486" i="1"/>
  <c r="D2485" i="1"/>
  <c r="E2485" i="1" s="1"/>
  <c r="E2484" i="1"/>
  <c r="D2484" i="1"/>
  <c r="E2483" i="1"/>
  <c r="D2483" i="1"/>
  <c r="D2482" i="1"/>
  <c r="E2482" i="1" s="1"/>
  <c r="D2481" i="1"/>
  <c r="E2481" i="1" s="1"/>
  <c r="E2480" i="1"/>
  <c r="D2480" i="1"/>
  <c r="E2479" i="1"/>
  <c r="D2479" i="1"/>
  <c r="D2478" i="1"/>
  <c r="E2478" i="1" s="1"/>
  <c r="E2477" i="1"/>
  <c r="D2477" i="1"/>
  <c r="E2476" i="1"/>
  <c r="D2476" i="1"/>
  <c r="D2475" i="1"/>
  <c r="E2475" i="1" s="1"/>
  <c r="E2474" i="1"/>
  <c r="D2474" i="1"/>
  <c r="D2473" i="1"/>
  <c r="E2473" i="1" s="1"/>
  <c r="E2472" i="1"/>
  <c r="D2472" i="1"/>
  <c r="E2471" i="1"/>
  <c r="D2471" i="1"/>
  <c r="D2470" i="1"/>
  <c r="E2470" i="1" s="1"/>
  <c r="E2469" i="1"/>
  <c r="D2469" i="1"/>
  <c r="E2468" i="1"/>
  <c r="D2468" i="1"/>
  <c r="E2467" i="1"/>
  <c r="D2467" i="1"/>
  <c r="D2466" i="1"/>
  <c r="E2466" i="1" s="1"/>
  <c r="E2465" i="1"/>
  <c r="D2465" i="1"/>
  <c r="E2464" i="1"/>
  <c r="D2464" i="1"/>
  <c r="D2463" i="1"/>
  <c r="E2463" i="1" s="1"/>
  <c r="E2462" i="1"/>
  <c r="D2462" i="1"/>
  <c r="D2461" i="1"/>
  <c r="E2461" i="1" s="1"/>
  <c r="E2460" i="1"/>
  <c r="D2460" i="1"/>
  <c r="E2459" i="1"/>
  <c r="D2459" i="1"/>
  <c r="D2458" i="1"/>
  <c r="E2458" i="1" s="1"/>
  <c r="E2457" i="1"/>
  <c r="D2457" i="1"/>
  <c r="E2456" i="1"/>
  <c r="D2456" i="1"/>
  <c r="E2455" i="1"/>
  <c r="D2455" i="1"/>
  <c r="D2454" i="1"/>
  <c r="E2454" i="1" s="1"/>
  <c r="E2453" i="1"/>
  <c r="D2453" i="1"/>
  <c r="E2452" i="1"/>
  <c r="D2452" i="1"/>
  <c r="D2451" i="1"/>
  <c r="E2451" i="1" s="1"/>
  <c r="E2450" i="1"/>
  <c r="D2450" i="1"/>
  <c r="D2449" i="1"/>
  <c r="E2449" i="1" s="1"/>
  <c r="E2448" i="1"/>
  <c r="D2448" i="1"/>
  <c r="E2447" i="1"/>
  <c r="D2447" i="1"/>
  <c r="D2446" i="1"/>
  <c r="E2446" i="1" s="1"/>
  <c r="E2445" i="1"/>
  <c r="D2445" i="1"/>
  <c r="E2444" i="1"/>
  <c r="D2444" i="1"/>
  <c r="E2443" i="1"/>
  <c r="D2443" i="1"/>
  <c r="D2442" i="1"/>
  <c r="E2442" i="1" s="1"/>
  <c r="E2441" i="1"/>
  <c r="D2441" i="1"/>
  <c r="E2440" i="1"/>
  <c r="D2440" i="1"/>
  <c r="D2439" i="1"/>
  <c r="E2439" i="1" s="1"/>
  <c r="E2438" i="1"/>
  <c r="D2438" i="1"/>
  <c r="D2437" i="1"/>
  <c r="E2437" i="1" s="1"/>
  <c r="E2436" i="1"/>
  <c r="D2436" i="1"/>
  <c r="E2435" i="1"/>
  <c r="D2435" i="1"/>
  <c r="D2434" i="1"/>
  <c r="E2434" i="1" s="1"/>
  <c r="E2433" i="1"/>
  <c r="D2433" i="1"/>
  <c r="E2432" i="1"/>
  <c r="D2432" i="1"/>
  <c r="E2431" i="1"/>
  <c r="D2431" i="1"/>
  <c r="D2430" i="1"/>
  <c r="E2430" i="1" s="1"/>
  <c r="E2429" i="1"/>
  <c r="D2429" i="1"/>
  <c r="E2428" i="1"/>
  <c r="D2428" i="1"/>
  <c r="D2427" i="1"/>
  <c r="E2427" i="1" s="1"/>
  <c r="E2426" i="1"/>
  <c r="D2426" i="1"/>
  <c r="D2425" i="1"/>
  <c r="E2425" i="1" s="1"/>
  <c r="E2424" i="1"/>
  <c r="D2424" i="1"/>
  <c r="E2423" i="1"/>
  <c r="D2423" i="1"/>
  <c r="D2422" i="1"/>
  <c r="E2422" i="1" s="1"/>
  <c r="E2421" i="1"/>
  <c r="D2421" i="1"/>
  <c r="E2420" i="1"/>
  <c r="D2420" i="1"/>
  <c r="E2419" i="1"/>
  <c r="D2419" i="1"/>
  <c r="D2418" i="1"/>
  <c r="E2418" i="1" s="1"/>
  <c r="E2417" i="1"/>
  <c r="D2417" i="1"/>
  <c r="E2416" i="1"/>
  <c r="D2416" i="1"/>
  <c r="D2415" i="1"/>
  <c r="E2415" i="1" s="1"/>
  <c r="E2414" i="1"/>
  <c r="D2414" i="1"/>
  <c r="D2413" i="1"/>
  <c r="E2413" i="1" s="1"/>
  <c r="E2412" i="1"/>
  <c r="D2412" i="1"/>
  <c r="E2411" i="1"/>
  <c r="D2411" i="1"/>
  <c r="D2410" i="1"/>
  <c r="E2410" i="1" s="1"/>
  <c r="D2409" i="1"/>
  <c r="E2409" i="1" s="1"/>
  <c r="E2408" i="1"/>
  <c r="D2408" i="1"/>
  <c r="E2407" i="1"/>
  <c r="D2407" i="1"/>
  <c r="D2406" i="1"/>
  <c r="E2406" i="1" s="1"/>
  <c r="E2405" i="1"/>
  <c r="D2405" i="1"/>
  <c r="E2404" i="1"/>
  <c r="D2404" i="1"/>
  <c r="D2403" i="1"/>
  <c r="E2403" i="1" s="1"/>
  <c r="E2402" i="1"/>
  <c r="D2402" i="1"/>
  <c r="D2401" i="1"/>
  <c r="E2401" i="1" s="1"/>
  <c r="E2400" i="1"/>
  <c r="D2400" i="1"/>
  <c r="E2399" i="1"/>
  <c r="D2399" i="1"/>
  <c r="D2398" i="1"/>
  <c r="E2398" i="1" s="1"/>
  <c r="E2397" i="1"/>
  <c r="D2397" i="1"/>
  <c r="E2396" i="1"/>
  <c r="D2396" i="1"/>
  <c r="E2395" i="1"/>
  <c r="D2395" i="1"/>
  <c r="D2394" i="1"/>
  <c r="E2394" i="1" s="1"/>
  <c r="E2393" i="1"/>
  <c r="D2393" i="1"/>
  <c r="E2392" i="1"/>
  <c r="D2392" i="1"/>
  <c r="D2391" i="1"/>
  <c r="E2391" i="1" s="1"/>
  <c r="E2390" i="1"/>
  <c r="D2390" i="1"/>
  <c r="D2389" i="1"/>
  <c r="E2389" i="1" s="1"/>
  <c r="E2388" i="1"/>
  <c r="D2388" i="1"/>
  <c r="E2387" i="1"/>
  <c r="D2387" i="1"/>
  <c r="D2386" i="1"/>
  <c r="E2386" i="1" s="1"/>
  <c r="E2385" i="1"/>
  <c r="D2385" i="1"/>
  <c r="E2384" i="1"/>
  <c r="D2384" i="1"/>
  <c r="E2383" i="1"/>
  <c r="D2383" i="1"/>
  <c r="D2382" i="1"/>
  <c r="E2382" i="1" s="1"/>
  <c r="E2381" i="1"/>
  <c r="D2381" i="1"/>
  <c r="E2380" i="1"/>
  <c r="D2380" i="1"/>
  <c r="D2379" i="1"/>
  <c r="E2379" i="1" s="1"/>
  <c r="E2378" i="1"/>
  <c r="D2378" i="1"/>
  <c r="D2377" i="1"/>
  <c r="E2377" i="1" s="1"/>
  <c r="E2376" i="1"/>
  <c r="D2376" i="1"/>
  <c r="E2375" i="1"/>
  <c r="D2375" i="1"/>
  <c r="D2374" i="1"/>
  <c r="E2374" i="1" s="1"/>
  <c r="E2373" i="1"/>
  <c r="D2373" i="1"/>
  <c r="E2372" i="1"/>
  <c r="D2372" i="1"/>
  <c r="E2371" i="1"/>
  <c r="D2371" i="1"/>
  <c r="D2370" i="1"/>
  <c r="E2370" i="1" s="1"/>
  <c r="E2369" i="1"/>
  <c r="D2369" i="1"/>
  <c r="E2368" i="1"/>
  <c r="D2368" i="1"/>
  <c r="D2367" i="1"/>
  <c r="E2367" i="1" s="1"/>
  <c r="E2366" i="1"/>
  <c r="D2366" i="1"/>
  <c r="D2365" i="1"/>
  <c r="E2365" i="1" s="1"/>
  <c r="E2364" i="1"/>
  <c r="D2364" i="1"/>
  <c r="E2363" i="1"/>
  <c r="D2363" i="1"/>
  <c r="D2362" i="1"/>
  <c r="E2362" i="1" s="1"/>
  <c r="E2361" i="1"/>
  <c r="D2361" i="1"/>
  <c r="E2360" i="1"/>
  <c r="D2360" i="1"/>
  <c r="E2359" i="1"/>
  <c r="D2359" i="1"/>
  <c r="D2358" i="1"/>
  <c r="E2358" i="1" s="1"/>
  <c r="E2357" i="1"/>
  <c r="D2357" i="1"/>
  <c r="E2356" i="1"/>
  <c r="D2356" i="1"/>
  <c r="D2355" i="1"/>
  <c r="E2355" i="1" s="1"/>
  <c r="E2354" i="1"/>
  <c r="D2354" i="1"/>
  <c r="D2353" i="1"/>
  <c r="E2353" i="1" s="1"/>
  <c r="E2352" i="1"/>
  <c r="D2352" i="1"/>
  <c r="E2351" i="1"/>
  <c r="D2351" i="1"/>
  <c r="D2350" i="1"/>
  <c r="E2350" i="1" s="1"/>
  <c r="E2349" i="1"/>
  <c r="D2349" i="1"/>
  <c r="E2348" i="1"/>
  <c r="D2348" i="1"/>
  <c r="E2347" i="1"/>
  <c r="D2347" i="1"/>
  <c r="D2346" i="1"/>
  <c r="E2346" i="1" s="1"/>
  <c r="E2345" i="1"/>
  <c r="D2345" i="1"/>
  <c r="E2344" i="1"/>
  <c r="D2344" i="1"/>
  <c r="D2343" i="1"/>
  <c r="E2343" i="1" s="1"/>
  <c r="E2342" i="1"/>
  <c r="D2342" i="1"/>
  <c r="D2341" i="1"/>
  <c r="E2341" i="1" s="1"/>
  <c r="E2340" i="1"/>
  <c r="D2340" i="1"/>
  <c r="E2339" i="1"/>
  <c r="D2339" i="1"/>
  <c r="D2338" i="1"/>
  <c r="E2338" i="1" s="1"/>
  <c r="D2337" i="1"/>
  <c r="E2337" i="1" s="1"/>
  <c r="E2336" i="1"/>
  <c r="D2336" i="1"/>
  <c r="E2335" i="1"/>
  <c r="D2335" i="1"/>
  <c r="D2334" i="1"/>
  <c r="E2334" i="1" s="1"/>
  <c r="E2333" i="1"/>
  <c r="D2333" i="1"/>
  <c r="E2332" i="1"/>
  <c r="D2332" i="1"/>
  <c r="D2331" i="1"/>
  <c r="E2331" i="1" s="1"/>
  <c r="E2330" i="1"/>
  <c r="D2330" i="1"/>
  <c r="D2329" i="1"/>
  <c r="E2329" i="1" s="1"/>
  <c r="E2328" i="1"/>
  <c r="D2328" i="1"/>
  <c r="E2327" i="1"/>
  <c r="D2327" i="1"/>
  <c r="D2326" i="1"/>
  <c r="E2326" i="1" s="1"/>
  <c r="E2325" i="1"/>
  <c r="D2325" i="1"/>
  <c r="E2324" i="1"/>
  <c r="D2324" i="1"/>
  <c r="E2323" i="1"/>
  <c r="D2323" i="1"/>
  <c r="D2322" i="1"/>
  <c r="E2322" i="1" s="1"/>
  <c r="E2321" i="1"/>
  <c r="D2321" i="1"/>
  <c r="E2320" i="1"/>
  <c r="D2320" i="1"/>
  <c r="D2319" i="1"/>
  <c r="E2319" i="1" s="1"/>
  <c r="E2318" i="1"/>
  <c r="D2318" i="1"/>
  <c r="D2317" i="1"/>
  <c r="E2317" i="1" s="1"/>
  <c r="E2316" i="1"/>
  <c r="D2316" i="1"/>
  <c r="E2315" i="1"/>
  <c r="D2315" i="1"/>
  <c r="D2314" i="1"/>
  <c r="E2314" i="1" s="1"/>
  <c r="E2313" i="1"/>
  <c r="D2313" i="1"/>
  <c r="E2312" i="1"/>
  <c r="D2312" i="1"/>
  <c r="E2311" i="1"/>
  <c r="D2311" i="1"/>
  <c r="D2310" i="1"/>
  <c r="E2310" i="1" s="1"/>
  <c r="E2309" i="1"/>
  <c r="D2309" i="1"/>
  <c r="E2308" i="1"/>
  <c r="D2308" i="1"/>
  <c r="D2307" i="1"/>
  <c r="E2307" i="1" s="1"/>
  <c r="E2306" i="1"/>
  <c r="D2306" i="1"/>
  <c r="D2305" i="1"/>
  <c r="E2305" i="1" s="1"/>
  <c r="E2304" i="1"/>
  <c r="D2304" i="1"/>
  <c r="E2303" i="1"/>
  <c r="D2303" i="1"/>
  <c r="D2302" i="1"/>
  <c r="E2302" i="1" s="1"/>
  <c r="E2301" i="1"/>
  <c r="D2301" i="1"/>
  <c r="E2300" i="1"/>
  <c r="D2300" i="1"/>
  <c r="E2299" i="1"/>
  <c r="D2299" i="1"/>
  <c r="D2298" i="1"/>
  <c r="E2298" i="1" s="1"/>
  <c r="E2297" i="1"/>
  <c r="D2297" i="1"/>
  <c r="E2296" i="1"/>
  <c r="D2296" i="1"/>
  <c r="D2295" i="1"/>
  <c r="E2295" i="1" s="1"/>
  <c r="E2294" i="1"/>
  <c r="D2294" i="1"/>
  <c r="D2293" i="1"/>
  <c r="E2293" i="1" s="1"/>
  <c r="E2292" i="1"/>
  <c r="D2292" i="1"/>
  <c r="E2291" i="1"/>
  <c r="D2291" i="1"/>
  <c r="D2290" i="1"/>
  <c r="E2290" i="1" s="1"/>
  <c r="E2289" i="1"/>
  <c r="D2289" i="1"/>
  <c r="E2288" i="1"/>
  <c r="D2288" i="1"/>
  <c r="E2287" i="1"/>
  <c r="D2287" i="1"/>
  <c r="D2286" i="1"/>
  <c r="E2286" i="1" s="1"/>
  <c r="E2285" i="1"/>
  <c r="D2285" i="1"/>
  <c r="E2284" i="1"/>
  <c r="D2284" i="1"/>
  <c r="D2283" i="1"/>
  <c r="E2283" i="1" s="1"/>
  <c r="E2282" i="1"/>
  <c r="D2282" i="1"/>
  <c r="D2281" i="1"/>
  <c r="E2281" i="1" s="1"/>
  <c r="E2280" i="1"/>
  <c r="D2280" i="1"/>
  <c r="E2279" i="1"/>
  <c r="D2279" i="1"/>
  <c r="D2278" i="1"/>
  <c r="E2278" i="1" s="1"/>
  <c r="E2277" i="1"/>
  <c r="D2277" i="1"/>
  <c r="E2276" i="1"/>
  <c r="D2276" i="1"/>
  <c r="E2275" i="1"/>
  <c r="D2275" i="1"/>
  <c r="D2274" i="1"/>
  <c r="E2274" i="1" s="1"/>
  <c r="E2273" i="1"/>
  <c r="D2273" i="1"/>
  <c r="E2272" i="1"/>
  <c r="D2272" i="1"/>
  <c r="D2271" i="1"/>
  <c r="E2271" i="1" s="1"/>
  <c r="E2270" i="1"/>
  <c r="D2270" i="1"/>
  <c r="D2269" i="1"/>
  <c r="E2269" i="1" s="1"/>
  <c r="E2268" i="1"/>
  <c r="D2268" i="1"/>
  <c r="E2267" i="1"/>
  <c r="D2267" i="1"/>
  <c r="D2266" i="1"/>
  <c r="E2266" i="1" s="1"/>
  <c r="D2265" i="1"/>
  <c r="E2265" i="1" s="1"/>
  <c r="E2264" i="1"/>
  <c r="D2264" i="1"/>
  <c r="E2263" i="1"/>
  <c r="D2263" i="1"/>
  <c r="D2262" i="1"/>
  <c r="E2262" i="1" s="1"/>
  <c r="E2261" i="1"/>
  <c r="D2261" i="1"/>
  <c r="E2260" i="1"/>
  <c r="D2260" i="1"/>
  <c r="D2259" i="1"/>
  <c r="E2259" i="1" s="1"/>
  <c r="E2258" i="1"/>
  <c r="D2258" i="1"/>
  <c r="D2257" i="1"/>
  <c r="E2257" i="1" s="1"/>
  <c r="E2256" i="1"/>
  <c r="D2256" i="1"/>
  <c r="E2255" i="1"/>
  <c r="D2255" i="1"/>
  <c r="D2254" i="1"/>
  <c r="E2254" i="1" s="1"/>
  <c r="E2253" i="1"/>
  <c r="D2253" i="1"/>
  <c r="E2252" i="1"/>
  <c r="D2252" i="1"/>
  <c r="E2251" i="1"/>
  <c r="D2251" i="1"/>
  <c r="D2250" i="1"/>
  <c r="E2250" i="1" s="1"/>
  <c r="E2249" i="1"/>
  <c r="D2249" i="1"/>
  <c r="E2248" i="1"/>
  <c r="D2248" i="1"/>
  <c r="D2247" i="1"/>
  <c r="E2247" i="1" s="1"/>
  <c r="E2246" i="1"/>
  <c r="D2246" i="1"/>
  <c r="D2245" i="1"/>
  <c r="E2245" i="1" s="1"/>
  <c r="E2244" i="1"/>
  <c r="D2244" i="1"/>
  <c r="E2243" i="1"/>
  <c r="D2243" i="1"/>
  <c r="D2242" i="1"/>
  <c r="E2242" i="1" s="1"/>
  <c r="E2241" i="1"/>
  <c r="D2241" i="1"/>
  <c r="E2240" i="1"/>
  <c r="D2240" i="1"/>
  <c r="E2239" i="1"/>
  <c r="D2239" i="1"/>
  <c r="D2238" i="1"/>
  <c r="E2238" i="1" s="1"/>
  <c r="E2237" i="1"/>
  <c r="D2237" i="1"/>
  <c r="E2236" i="1"/>
  <c r="D2236" i="1"/>
  <c r="D2235" i="1"/>
  <c r="E2235" i="1" s="1"/>
  <c r="E2234" i="1"/>
  <c r="D2234" i="1"/>
  <c r="D2233" i="1"/>
  <c r="E2233" i="1" s="1"/>
  <c r="E2232" i="1"/>
  <c r="D2232" i="1"/>
  <c r="E2231" i="1"/>
  <c r="D2231" i="1"/>
  <c r="D2230" i="1"/>
  <c r="E2230" i="1" s="1"/>
  <c r="E2229" i="1"/>
  <c r="D2229" i="1"/>
  <c r="E2228" i="1"/>
  <c r="D2228" i="1"/>
  <c r="E2227" i="1"/>
  <c r="D2227" i="1"/>
  <c r="D2226" i="1"/>
  <c r="E2226" i="1" s="1"/>
  <c r="E2225" i="1"/>
  <c r="D2225" i="1"/>
  <c r="E2224" i="1"/>
  <c r="D2224" i="1"/>
  <c r="D2223" i="1"/>
  <c r="E2223" i="1" s="1"/>
  <c r="E2222" i="1"/>
  <c r="D2222" i="1"/>
  <c r="D2221" i="1"/>
  <c r="E2221" i="1" s="1"/>
  <c r="E2220" i="1"/>
  <c r="D2220" i="1"/>
  <c r="E2219" i="1"/>
  <c r="D2219" i="1"/>
  <c r="D2218" i="1"/>
  <c r="E2218" i="1" s="1"/>
  <c r="E2217" i="1"/>
  <c r="D2217" i="1"/>
  <c r="E2216" i="1"/>
  <c r="D2216" i="1"/>
  <c r="E2215" i="1"/>
  <c r="D2215" i="1"/>
  <c r="D2214" i="1"/>
  <c r="E2214" i="1" s="1"/>
  <c r="E2213" i="1"/>
  <c r="D2213" i="1"/>
  <c r="E2212" i="1"/>
  <c r="D2212" i="1"/>
  <c r="D2211" i="1"/>
  <c r="E2211" i="1" s="1"/>
  <c r="E2210" i="1"/>
  <c r="D2210" i="1"/>
  <c r="D2209" i="1"/>
  <c r="E2209" i="1" s="1"/>
  <c r="E2208" i="1"/>
  <c r="D2208" i="1"/>
  <c r="E2207" i="1"/>
  <c r="D2207" i="1"/>
  <c r="D2206" i="1"/>
  <c r="E2206" i="1" s="1"/>
  <c r="E2205" i="1"/>
  <c r="D2205" i="1"/>
  <c r="D2204" i="1"/>
  <c r="E2204" i="1" s="1"/>
  <c r="E2203" i="1"/>
  <c r="D2203" i="1"/>
  <c r="D2202" i="1"/>
  <c r="E2202" i="1" s="1"/>
  <c r="E2201" i="1"/>
  <c r="D2201" i="1"/>
  <c r="E2200" i="1"/>
  <c r="D2200" i="1"/>
  <c r="D2199" i="1"/>
  <c r="E2199" i="1" s="1"/>
  <c r="E2198" i="1"/>
  <c r="D2198" i="1"/>
  <c r="D2197" i="1"/>
  <c r="E2197" i="1" s="1"/>
  <c r="E2196" i="1"/>
  <c r="D2196" i="1"/>
  <c r="E2195" i="1"/>
  <c r="D2195" i="1"/>
  <c r="D2194" i="1"/>
  <c r="E2194" i="1" s="1"/>
  <c r="D2193" i="1"/>
  <c r="E2193" i="1" s="1"/>
  <c r="D2192" i="1"/>
  <c r="E2192" i="1" s="1"/>
  <c r="E2191" i="1"/>
  <c r="D2191" i="1"/>
  <c r="D2190" i="1"/>
  <c r="E2190" i="1" s="1"/>
  <c r="E2189" i="1"/>
  <c r="D2189" i="1"/>
  <c r="E2188" i="1"/>
  <c r="D2188" i="1"/>
  <c r="D2187" i="1"/>
  <c r="E2187" i="1" s="1"/>
  <c r="E2186" i="1"/>
  <c r="D2186" i="1"/>
  <c r="D2185" i="1"/>
  <c r="E2185" i="1" s="1"/>
  <c r="E2184" i="1"/>
  <c r="D2184" i="1"/>
  <c r="E2183" i="1"/>
  <c r="D2183" i="1"/>
  <c r="D2182" i="1"/>
  <c r="E2182" i="1" s="1"/>
  <c r="E2181" i="1"/>
  <c r="D2181" i="1"/>
  <c r="E2180" i="1"/>
  <c r="D2180" i="1"/>
  <c r="E2179" i="1"/>
  <c r="D2179" i="1"/>
  <c r="D2178" i="1"/>
  <c r="E2178" i="1" s="1"/>
  <c r="E2177" i="1"/>
  <c r="D2177" i="1"/>
  <c r="E2176" i="1"/>
  <c r="D2176" i="1"/>
  <c r="D2175" i="1"/>
  <c r="E2175" i="1" s="1"/>
  <c r="E2174" i="1"/>
  <c r="D2174" i="1"/>
  <c r="D2173" i="1"/>
  <c r="E2173" i="1" s="1"/>
  <c r="E2172" i="1"/>
  <c r="D2172" i="1"/>
  <c r="E2171" i="1"/>
  <c r="D2171" i="1"/>
  <c r="D2170" i="1"/>
  <c r="E2170" i="1" s="1"/>
  <c r="E2169" i="1"/>
  <c r="D2169" i="1"/>
  <c r="D2168" i="1"/>
  <c r="E2168" i="1" s="1"/>
  <c r="E2167" i="1"/>
  <c r="D2167" i="1"/>
  <c r="D2166" i="1"/>
  <c r="E2166" i="1" s="1"/>
  <c r="E2165" i="1"/>
  <c r="D2165" i="1"/>
  <c r="E2164" i="1"/>
  <c r="D2164" i="1"/>
  <c r="D2163" i="1"/>
  <c r="E2163" i="1" s="1"/>
  <c r="E2162" i="1"/>
  <c r="D2162" i="1"/>
  <c r="D2161" i="1"/>
  <c r="E2161" i="1" s="1"/>
  <c r="E2160" i="1"/>
  <c r="D2160" i="1"/>
  <c r="E2159" i="1"/>
  <c r="D2159" i="1"/>
  <c r="D2158" i="1"/>
  <c r="E2158" i="1" s="1"/>
  <c r="E2157" i="1"/>
  <c r="D2157" i="1"/>
  <c r="D2156" i="1"/>
  <c r="E2156" i="1" s="1"/>
  <c r="E2155" i="1"/>
  <c r="D2155" i="1"/>
  <c r="D2154" i="1"/>
  <c r="E2154" i="1" s="1"/>
  <c r="E2153" i="1"/>
  <c r="D2153" i="1"/>
  <c r="D2152" i="1"/>
  <c r="E2152" i="1" s="1"/>
  <c r="D2151" i="1"/>
  <c r="E2151" i="1" s="1"/>
  <c r="E2150" i="1"/>
  <c r="D2150" i="1"/>
  <c r="D2149" i="1"/>
  <c r="E2149" i="1" s="1"/>
  <c r="E2148" i="1"/>
  <c r="D2148" i="1"/>
  <c r="E2147" i="1"/>
  <c r="D2147" i="1"/>
  <c r="D2146" i="1"/>
  <c r="E2146" i="1" s="1"/>
  <c r="E2145" i="1"/>
  <c r="D2145" i="1"/>
  <c r="E2144" i="1"/>
  <c r="D2144" i="1"/>
  <c r="E2143" i="1"/>
  <c r="D2143" i="1"/>
  <c r="D2142" i="1"/>
  <c r="E2142" i="1" s="1"/>
  <c r="E2141" i="1"/>
  <c r="D2141" i="1"/>
  <c r="D2140" i="1"/>
  <c r="E2140" i="1" s="1"/>
  <c r="D2139" i="1"/>
  <c r="E2139" i="1" s="1"/>
  <c r="E2138" i="1"/>
  <c r="D2138" i="1"/>
  <c r="D2137" i="1"/>
  <c r="E2137" i="1" s="1"/>
  <c r="E2136" i="1"/>
  <c r="D2136" i="1"/>
  <c r="E2135" i="1"/>
  <c r="D2135" i="1"/>
  <c r="D2134" i="1"/>
  <c r="E2134" i="1" s="1"/>
  <c r="E2133" i="1"/>
  <c r="D2133" i="1"/>
  <c r="D2132" i="1"/>
  <c r="E2132" i="1" s="1"/>
  <c r="E2131" i="1"/>
  <c r="D2131" i="1"/>
  <c r="D2130" i="1"/>
  <c r="E2130" i="1" s="1"/>
  <c r="E2129" i="1"/>
  <c r="D2129" i="1"/>
  <c r="D2128" i="1"/>
  <c r="E2128" i="1" s="1"/>
  <c r="D2127" i="1"/>
  <c r="E2127" i="1" s="1"/>
  <c r="E2126" i="1"/>
  <c r="D2126" i="1"/>
  <c r="D2125" i="1"/>
  <c r="E2125" i="1" s="1"/>
  <c r="E2124" i="1"/>
  <c r="D2124" i="1"/>
  <c r="E2123" i="1"/>
  <c r="D2123" i="1"/>
  <c r="D2122" i="1"/>
  <c r="E2122" i="1" s="1"/>
  <c r="D2121" i="1"/>
  <c r="E2121" i="1" s="1"/>
  <c r="D2120" i="1"/>
  <c r="E2120" i="1" s="1"/>
  <c r="E2119" i="1"/>
  <c r="D2119" i="1"/>
  <c r="D2118" i="1"/>
  <c r="E2118" i="1" s="1"/>
  <c r="E2117" i="1"/>
  <c r="D2117" i="1"/>
  <c r="D2116" i="1"/>
  <c r="E2116" i="1" s="1"/>
  <c r="D2115" i="1"/>
  <c r="E2115" i="1" s="1"/>
  <c r="E2114" i="1"/>
  <c r="D2114" i="1"/>
  <c r="D2113" i="1"/>
  <c r="E2113" i="1" s="1"/>
  <c r="E2112" i="1"/>
  <c r="D2112" i="1"/>
  <c r="E2111" i="1"/>
  <c r="D2111" i="1"/>
  <c r="D2110" i="1"/>
  <c r="E2110" i="1" s="1"/>
  <c r="E2109" i="1"/>
  <c r="D2109" i="1"/>
  <c r="E2108" i="1"/>
  <c r="D2108" i="1"/>
  <c r="E2107" i="1"/>
  <c r="D2107" i="1"/>
  <c r="D2106" i="1"/>
  <c r="E2106" i="1" s="1"/>
  <c r="E2105" i="1"/>
  <c r="D2105" i="1"/>
  <c r="D2104" i="1"/>
  <c r="E2104" i="1" s="1"/>
  <c r="D2103" i="1"/>
  <c r="E2103" i="1" s="1"/>
  <c r="E2102" i="1"/>
  <c r="D2102" i="1"/>
  <c r="D2101" i="1"/>
  <c r="E2101" i="1" s="1"/>
  <c r="E2100" i="1"/>
  <c r="D2100" i="1"/>
  <c r="E2099" i="1"/>
  <c r="D2099" i="1"/>
  <c r="D2098" i="1"/>
  <c r="E2098" i="1" s="1"/>
  <c r="E2097" i="1"/>
  <c r="D2097" i="1"/>
  <c r="D2096" i="1"/>
  <c r="E2096" i="1" s="1"/>
  <c r="E2095" i="1"/>
  <c r="D2095" i="1"/>
  <c r="D2094" i="1"/>
  <c r="E2094" i="1" s="1"/>
  <c r="E2093" i="1"/>
  <c r="D2093" i="1"/>
  <c r="D2092" i="1"/>
  <c r="E2092" i="1" s="1"/>
  <c r="D2091" i="1"/>
  <c r="E2091" i="1" s="1"/>
  <c r="E2090" i="1"/>
  <c r="D2090" i="1"/>
  <c r="D2089" i="1"/>
  <c r="E2089" i="1" s="1"/>
  <c r="E2088" i="1"/>
  <c r="D2088" i="1"/>
  <c r="E2087" i="1"/>
  <c r="D2087" i="1"/>
  <c r="D2086" i="1"/>
  <c r="E2086" i="1" s="1"/>
  <c r="E2085" i="1"/>
  <c r="D2085" i="1"/>
  <c r="D2084" i="1"/>
  <c r="E2084" i="1" s="1"/>
  <c r="E2083" i="1"/>
  <c r="D2083" i="1"/>
  <c r="D2082" i="1"/>
  <c r="E2082" i="1" s="1"/>
  <c r="E2081" i="1"/>
  <c r="D2081" i="1"/>
  <c r="D2080" i="1"/>
  <c r="E2080" i="1" s="1"/>
  <c r="D2079" i="1"/>
  <c r="E2079" i="1" s="1"/>
  <c r="D2078" i="1"/>
  <c r="E2078" i="1" s="1"/>
  <c r="D2077" i="1"/>
  <c r="E2077" i="1" s="1"/>
  <c r="E2076" i="1"/>
  <c r="D2076" i="1"/>
  <c r="E2075" i="1"/>
  <c r="D2075" i="1"/>
  <c r="D2074" i="1"/>
  <c r="E2074" i="1" s="1"/>
  <c r="E2073" i="1"/>
  <c r="D2073" i="1"/>
  <c r="D2072" i="1"/>
  <c r="E2072" i="1" s="1"/>
  <c r="E2071" i="1"/>
  <c r="D2071" i="1"/>
  <c r="D2070" i="1"/>
  <c r="E2070" i="1" s="1"/>
  <c r="E2069" i="1"/>
  <c r="D2069" i="1"/>
  <c r="D2068" i="1"/>
  <c r="E2068" i="1" s="1"/>
  <c r="D2067" i="1"/>
  <c r="E2067" i="1" s="1"/>
  <c r="E2066" i="1"/>
  <c r="D2066" i="1"/>
  <c r="D2065" i="1"/>
  <c r="E2065" i="1" s="1"/>
  <c r="E2064" i="1"/>
  <c r="D2064" i="1"/>
  <c r="E2063" i="1"/>
  <c r="D2063" i="1"/>
  <c r="D2062" i="1"/>
  <c r="E2062" i="1" s="1"/>
  <c r="E2061" i="1"/>
  <c r="D2061" i="1"/>
  <c r="D2060" i="1"/>
  <c r="E2060" i="1" s="1"/>
  <c r="E2059" i="1"/>
  <c r="D2059" i="1"/>
  <c r="D2058" i="1"/>
  <c r="E2058" i="1" s="1"/>
  <c r="D2057" i="1"/>
  <c r="E2057" i="1" s="1"/>
  <c r="D2056" i="1"/>
  <c r="E2056" i="1" s="1"/>
  <c r="D2055" i="1"/>
  <c r="E2055" i="1" s="1"/>
  <c r="E2054" i="1"/>
  <c r="D2054" i="1"/>
  <c r="D2053" i="1"/>
  <c r="E2053" i="1" s="1"/>
  <c r="E2052" i="1"/>
  <c r="D2052" i="1"/>
  <c r="E2051" i="1"/>
  <c r="D2051" i="1"/>
  <c r="D2050" i="1"/>
  <c r="E2050" i="1" s="1"/>
  <c r="D2049" i="1"/>
  <c r="E2049" i="1" s="1"/>
  <c r="D2048" i="1"/>
  <c r="E2048" i="1" s="1"/>
  <c r="E2047" i="1"/>
  <c r="D2047" i="1"/>
  <c r="D2046" i="1"/>
  <c r="E2046" i="1" s="1"/>
  <c r="E2045" i="1"/>
  <c r="D2045" i="1"/>
  <c r="D2044" i="1"/>
  <c r="E2044" i="1" s="1"/>
  <c r="D2043" i="1"/>
  <c r="E2043" i="1" s="1"/>
  <c r="E2042" i="1"/>
  <c r="D2042" i="1"/>
  <c r="D2041" i="1"/>
  <c r="E2041" i="1" s="1"/>
  <c r="E2040" i="1"/>
  <c r="D2040" i="1"/>
  <c r="E2039" i="1"/>
  <c r="D2039" i="1"/>
  <c r="D2038" i="1"/>
  <c r="E2038" i="1" s="1"/>
  <c r="E2037" i="1"/>
  <c r="D2037" i="1"/>
  <c r="E2036" i="1"/>
  <c r="D2036" i="1"/>
  <c r="E2035" i="1"/>
  <c r="D2035" i="1"/>
  <c r="D2034" i="1"/>
  <c r="E2034" i="1" s="1"/>
  <c r="E2033" i="1"/>
  <c r="D2033" i="1"/>
  <c r="D2032" i="1"/>
  <c r="E2032" i="1" s="1"/>
  <c r="D2031" i="1"/>
  <c r="E2031" i="1" s="1"/>
  <c r="E2030" i="1"/>
  <c r="D2030" i="1"/>
  <c r="D2029" i="1"/>
  <c r="E2029" i="1" s="1"/>
  <c r="D2028" i="1"/>
  <c r="E2028" i="1" s="1"/>
  <c r="E2027" i="1"/>
  <c r="D2027" i="1"/>
  <c r="D2026" i="1"/>
  <c r="E2026" i="1" s="1"/>
  <c r="E2025" i="1"/>
  <c r="D2025" i="1"/>
  <c r="D2024" i="1"/>
  <c r="E2024" i="1" s="1"/>
  <c r="E2023" i="1"/>
  <c r="D2023" i="1"/>
  <c r="D2022" i="1"/>
  <c r="E2022" i="1" s="1"/>
  <c r="E2021" i="1"/>
  <c r="D2021" i="1"/>
  <c r="D2020" i="1"/>
  <c r="E2020" i="1" s="1"/>
  <c r="D2019" i="1"/>
  <c r="E2019" i="1" s="1"/>
  <c r="E2018" i="1"/>
  <c r="D2018" i="1"/>
  <c r="D2017" i="1"/>
  <c r="E2017" i="1" s="1"/>
  <c r="E2016" i="1"/>
  <c r="D2016" i="1"/>
  <c r="E2015" i="1"/>
  <c r="D2015" i="1"/>
  <c r="D2014" i="1"/>
  <c r="E2014" i="1" s="1"/>
  <c r="E2013" i="1"/>
  <c r="D2013" i="1"/>
  <c r="D2012" i="1"/>
  <c r="E2012" i="1" s="1"/>
  <c r="E2011" i="1"/>
  <c r="D2011" i="1"/>
  <c r="D2010" i="1"/>
  <c r="E2010" i="1" s="1"/>
  <c r="E2009" i="1"/>
  <c r="D2009" i="1"/>
  <c r="D2008" i="1"/>
  <c r="E2008" i="1" s="1"/>
  <c r="D2007" i="1"/>
  <c r="E2007" i="1" s="1"/>
  <c r="D2006" i="1"/>
  <c r="E2006" i="1" s="1"/>
  <c r="D2005" i="1"/>
  <c r="E2005" i="1" s="1"/>
  <c r="E2004" i="1"/>
  <c r="D2004" i="1"/>
  <c r="E2003" i="1"/>
  <c r="D2003" i="1"/>
  <c r="D2002" i="1"/>
  <c r="E2002" i="1" s="1"/>
  <c r="E2001" i="1"/>
  <c r="D2001" i="1"/>
  <c r="D2000" i="1"/>
  <c r="E2000" i="1" s="1"/>
  <c r="E1999" i="1"/>
  <c r="D1999" i="1"/>
  <c r="D1998" i="1"/>
  <c r="E1998" i="1" s="1"/>
  <c r="E1997" i="1"/>
  <c r="D1997" i="1"/>
  <c r="D1996" i="1"/>
  <c r="E1996" i="1" s="1"/>
  <c r="D1995" i="1"/>
  <c r="E1995" i="1" s="1"/>
  <c r="E1994" i="1"/>
  <c r="D1994" i="1"/>
  <c r="D1993" i="1"/>
  <c r="E1993" i="1" s="1"/>
  <c r="E1992" i="1"/>
  <c r="D1992" i="1"/>
  <c r="E1991" i="1"/>
  <c r="D1991" i="1"/>
  <c r="D1990" i="1"/>
  <c r="E1990" i="1" s="1"/>
  <c r="E1989" i="1"/>
  <c r="D1989" i="1"/>
  <c r="D1988" i="1"/>
  <c r="E1988" i="1" s="1"/>
  <c r="E1987" i="1"/>
  <c r="D1987" i="1"/>
  <c r="D1986" i="1"/>
  <c r="E1986" i="1" s="1"/>
  <c r="D1985" i="1"/>
  <c r="E1985" i="1" s="1"/>
  <c r="D1984" i="1"/>
  <c r="E1984" i="1" s="1"/>
  <c r="D1983" i="1"/>
  <c r="E1983" i="1" s="1"/>
  <c r="E1982" i="1"/>
  <c r="D1982" i="1"/>
  <c r="D1981" i="1"/>
  <c r="E1981" i="1" s="1"/>
  <c r="E1980" i="1"/>
  <c r="D1980" i="1"/>
  <c r="E1979" i="1"/>
  <c r="D1979" i="1"/>
  <c r="D1978" i="1"/>
  <c r="E1978" i="1" s="1"/>
  <c r="D1977" i="1"/>
  <c r="E1977" i="1" s="1"/>
  <c r="D1976" i="1"/>
  <c r="E1976" i="1" s="1"/>
  <c r="E1975" i="1"/>
  <c r="D1975" i="1"/>
  <c r="D1974" i="1"/>
  <c r="E1974" i="1" s="1"/>
  <c r="E1973" i="1"/>
  <c r="D1973" i="1"/>
  <c r="D1972" i="1"/>
  <c r="E1972" i="1" s="1"/>
  <c r="D1971" i="1"/>
  <c r="E1971" i="1" s="1"/>
  <c r="E1970" i="1"/>
  <c r="D1970" i="1"/>
  <c r="D1969" i="1"/>
  <c r="E1969" i="1" s="1"/>
  <c r="E1968" i="1"/>
  <c r="D1968" i="1"/>
  <c r="E1967" i="1"/>
  <c r="D1967" i="1"/>
  <c r="D1966" i="1"/>
  <c r="E1966" i="1" s="1"/>
  <c r="E1965" i="1"/>
  <c r="D1965" i="1"/>
  <c r="E1964" i="1"/>
  <c r="D1964" i="1"/>
  <c r="E1963" i="1"/>
  <c r="D1963" i="1"/>
  <c r="D1962" i="1"/>
  <c r="E1962" i="1" s="1"/>
  <c r="E1961" i="1"/>
  <c r="D1961" i="1"/>
  <c r="D1960" i="1"/>
  <c r="E1960" i="1" s="1"/>
  <c r="D1959" i="1"/>
  <c r="E1959" i="1" s="1"/>
  <c r="E1958" i="1"/>
  <c r="D1958" i="1"/>
  <c r="D1957" i="1"/>
  <c r="E1957" i="1" s="1"/>
  <c r="D1956" i="1"/>
  <c r="E1956" i="1" s="1"/>
  <c r="E1955" i="1"/>
  <c r="D1955" i="1"/>
  <c r="D1954" i="1"/>
  <c r="E1954" i="1" s="1"/>
  <c r="E1953" i="1"/>
  <c r="D1953" i="1"/>
  <c r="D1952" i="1"/>
  <c r="E1952" i="1" s="1"/>
  <c r="E1951" i="1"/>
  <c r="D1951" i="1"/>
  <c r="D1950" i="1"/>
  <c r="E1950" i="1" s="1"/>
  <c r="E1949" i="1"/>
  <c r="D1949" i="1"/>
  <c r="D1948" i="1"/>
  <c r="E1948" i="1" s="1"/>
  <c r="D1947" i="1"/>
  <c r="E1947" i="1" s="1"/>
  <c r="E1946" i="1"/>
  <c r="D1946" i="1"/>
  <c r="D1945" i="1"/>
  <c r="E1945" i="1" s="1"/>
  <c r="E1944" i="1"/>
  <c r="D1944" i="1"/>
  <c r="E1943" i="1"/>
  <c r="D1943" i="1"/>
  <c r="D1942" i="1"/>
  <c r="E1942" i="1" s="1"/>
  <c r="E1941" i="1"/>
  <c r="D1941" i="1"/>
  <c r="D1940" i="1"/>
  <c r="E1940" i="1" s="1"/>
  <c r="E1939" i="1"/>
  <c r="D1939" i="1"/>
  <c r="D1938" i="1"/>
  <c r="E1938" i="1" s="1"/>
  <c r="E1937" i="1"/>
  <c r="D1937" i="1"/>
  <c r="D1936" i="1"/>
  <c r="E1936" i="1" s="1"/>
  <c r="D1935" i="1"/>
  <c r="E1935" i="1" s="1"/>
  <c r="D1934" i="1"/>
  <c r="E1934" i="1" s="1"/>
  <c r="D1933" i="1"/>
  <c r="E1933" i="1" s="1"/>
  <c r="E1932" i="1"/>
  <c r="D1932" i="1"/>
  <c r="E1931" i="1"/>
  <c r="D1931" i="1"/>
  <c r="D1930" i="1"/>
  <c r="E1930" i="1" s="1"/>
  <c r="E1929" i="1"/>
  <c r="D1929" i="1"/>
  <c r="D1928" i="1"/>
  <c r="E1928" i="1" s="1"/>
  <c r="E1927" i="1"/>
  <c r="D1927" i="1"/>
  <c r="D1926" i="1"/>
  <c r="E1926" i="1" s="1"/>
  <c r="E1925" i="1"/>
  <c r="D1925" i="1"/>
  <c r="D1924" i="1"/>
  <c r="E1924" i="1" s="1"/>
  <c r="D1923" i="1"/>
  <c r="E1923" i="1" s="1"/>
  <c r="E1922" i="1"/>
  <c r="D1922" i="1"/>
  <c r="D1921" i="1"/>
  <c r="E1921" i="1" s="1"/>
  <c r="E1920" i="1"/>
  <c r="D1920" i="1"/>
  <c r="E1919" i="1"/>
  <c r="D1919" i="1"/>
  <c r="D1918" i="1"/>
  <c r="E1918" i="1" s="1"/>
  <c r="E1917" i="1"/>
  <c r="D1917" i="1"/>
  <c r="D1916" i="1"/>
  <c r="E1916" i="1" s="1"/>
  <c r="E1915" i="1"/>
  <c r="D1915" i="1"/>
  <c r="D1914" i="1"/>
  <c r="E1914" i="1" s="1"/>
  <c r="D1913" i="1"/>
  <c r="E1913" i="1" s="1"/>
  <c r="D1912" i="1"/>
  <c r="E1912" i="1" s="1"/>
  <c r="D1911" i="1"/>
  <c r="E1911" i="1" s="1"/>
  <c r="E1910" i="1"/>
  <c r="D1910" i="1"/>
  <c r="D1909" i="1"/>
  <c r="E1909" i="1" s="1"/>
  <c r="E1908" i="1"/>
  <c r="D1908" i="1"/>
  <c r="E1907" i="1"/>
  <c r="D1907" i="1"/>
  <c r="E1906" i="1"/>
  <c r="D1906" i="1"/>
  <c r="D1905" i="1"/>
  <c r="E1905" i="1" s="1"/>
  <c r="E1904" i="1"/>
  <c r="D1904" i="1"/>
  <c r="E1903" i="1"/>
  <c r="D1903" i="1"/>
  <c r="D1902" i="1"/>
  <c r="E1902" i="1" s="1"/>
  <c r="E1901" i="1"/>
  <c r="D1901" i="1"/>
  <c r="D1900" i="1"/>
  <c r="E1900" i="1" s="1"/>
  <c r="D1899" i="1"/>
  <c r="E1899" i="1" s="1"/>
  <c r="D1898" i="1"/>
  <c r="E1898" i="1" s="1"/>
  <c r="D1897" i="1"/>
  <c r="E1897" i="1" s="1"/>
  <c r="E1896" i="1"/>
  <c r="D1896" i="1"/>
  <c r="E1895" i="1"/>
  <c r="D1895" i="1"/>
  <c r="E1894" i="1"/>
  <c r="D1894" i="1"/>
  <c r="E1893" i="1"/>
  <c r="D1893" i="1"/>
  <c r="D1892" i="1"/>
  <c r="E1892" i="1" s="1"/>
  <c r="E1891" i="1"/>
  <c r="D1891" i="1"/>
  <c r="D1890" i="1"/>
  <c r="E1890" i="1" s="1"/>
  <c r="D1889" i="1"/>
  <c r="E1889" i="1" s="1"/>
  <c r="E1888" i="1"/>
  <c r="D1888" i="1"/>
  <c r="D1887" i="1"/>
  <c r="E1887" i="1" s="1"/>
  <c r="D1886" i="1"/>
  <c r="E1886" i="1" s="1"/>
  <c r="D1885" i="1"/>
  <c r="E1885" i="1" s="1"/>
  <c r="D1884" i="1"/>
  <c r="E1884" i="1" s="1"/>
  <c r="E1883" i="1"/>
  <c r="D1883" i="1"/>
  <c r="D1882" i="1"/>
  <c r="E1882" i="1" s="1"/>
  <c r="E1881" i="1"/>
  <c r="D1881" i="1"/>
  <c r="D1880" i="1"/>
  <c r="E1880" i="1" s="1"/>
  <c r="E1879" i="1"/>
  <c r="D1879" i="1"/>
  <c r="D1878" i="1"/>
  <c r="E1878" i="1" s="1"/>
  <c r="D1877" i="1"/>
  <c r="E1877" i="1" s="1"/>
  <c r="E1876" i="1"/>
  <c r="D1876" i="1"/>
  <c r="D1875" i="1"/>
  <c r="E1875" i="1" s="1"/>
  <c r="E1874" i="1"/>
  <c r="D1874" i="1"/>
  <c r="D1873" i="1"/>
  <c r="E1873" i="1" s="1"/>
  <c r="D1872" i="1"/>
  <c r="E1872" i="1" s="1"/>
  <c r="E1871" i="1"/>
  <c r="D1871" i="1"/>
  <c r="D1870" i="1"/>
  <c r="E1870" i="1" s="1"/>
  <c r="E1869" i="1"/>
  <c r="D1869" i="1"/>
  <c r="D1868" i="1"/>
  <c r="E1868" i="1" s="1"/>
  <c r="E1867" i="1"/>
  <c r="D1867" i="1"/>
  <c r="D1866" i="1"/>
  <c r="E1866" i="1" s="1"/>
  <c r="E1865" i="1"/>
  <c r="D1865" i="1"/>
  <c r="D1864" i="1"/>
  <c r="E1864" i="1" s="1"/>
  <c r="D1863" i="1"/>
  <c r="E1863" i="1" s="1"/>
  <c r="E1862" i="1"/>
  <c r="D1862" i="1"/>
  <c r="D1861" i="1"/>
  <c r="E1861" i="1" s="1"/>
  <c r="E1860" i="1"/>
  <c r="D1860" i="1"/>
  <c r="E1859" i="1"/>
  <c r="D1859" i="1"/>
  <c r="D1858" i="1"/>
  <c r="E1858" i="1" s="1"/>
  <c r="D1857" i="1"/>
  <c r="E1857" i="1" s="1"/>
  <c r="E1856" i="1"/>
  <c r="D1856" i="1"/>
  <c r="E1855" i="1"/>
  <c r="D1855" i="1"/>
  <c r="D1854" i="1"/>
  <c r="E1854" i="1" s="1"/>
  <c r="E1853" i="1"/>
  <c r="D1853" i="1"/>
  <c r="E1852" i="1"/>
  <c r="D1852" i="1"/>
  <c r="D1851" i="1"/>
  <c r="E1851" i="1" s="1"/>
  <c r="D1850" i="1"/>
  <c r="E1850" i="1" s="1"/>
  <c r="D1849" i="1"/>
  <c r="E1849" i="1" s="1"/>
  <c r="E1848" i="1"/>
  <c r="D1848" i="1"/>
  <c r="E1847" i="1"/>
  <c r="D1847" i="1"/>
  <c r="E1846" i="1"/>
  <c r="D1846" i="1"/>
  <c r="D1845" i="1"/>
  <c r="E1845" i="1" s="1"/>
  <c r="E1844" i="1"/>
  <c r="D1844" i="1"/>
  <c r="E1843" i="1"/>
  <c r="D1843" i="1"/>
  <c r="D1842" i="1"/>
  <c r="E1842" i="1" s="1"/>
  <c r="D1841" i="1"/>
  <c r="E1841" i="1" s="1"/>
  <c r="E1840" i="1"/>
  <c r="D1840" i="1"/>
  <c r="D1839" i="1"/>
  <c r="E1839" i="1" s="1"/>
  <c r="E1838" i="1"/>
  <c r="D1838" i="1"/>
  <c r="D1837" i="1"/>
  <c r="E1837" i="1" s="1"/>
  <c r="D1836" i="1"/>
  <c r="E1836" i="1" s="1"/>
  <c r="E1835" i="1"/>
  <c r="D1835" i="1"/>
  <c r="D1834" i="1"/>
  <c r="E1834" i="1" s="1"/>
  <c r="E1833" i="1"/>
  <c r="D1833" i="1"/>
  <c r="D1832" i="1"/>
  <c r="E1832" i="1" s="1"/>
  <c r="E1831" i="1"/>
  <c r="D1831" i="1"/>
  <c r="D1830" i="1"/>
  <c r="E1830" i="1" s="1"/>
  <c r="D1829" i="1"/>
  <c r="E1829" i="1" s="1"/>
  <c r="E1828" i="1"/>
  <c r="D1828" i="1"/>
  <c r="D1827" i="1"/>
  <c r="E1827" i="1" s="1"/>
  <c r="E1826" i="1"/>
  <c r="D1826" i="1"/>
  <c r="D1825" i="1"/>
  <c r="E1825" i="1" s="1"/>
  <c r="E1824" i="1"/>
  <c r="D1824" i="1"/>
  <c r="E1823" i="1"/>
  <c r="D1823" i="1"/>
  <c r="D1822" i="1"/>
  <c r="E1822" i="1" s="1"/>
  <c r="E1821" i="1"/>
  <c r="D1821" i="1"/>
  <c r="D1820" i="1"/>
  <c r="E1820" i="1" s="1"/>
  <c r="E1819" i="1"/>
  <c r="D1819" i="1"/>
  <c r="D1818" i="1"/>
  <c r="E1818" i="1" s="1"/>
  <c r="D1817" i="1"/>
  <c r="E1817" i="1" s="1"/>
  <c r="D1816" i="1"/>
  <c r="E1816" i="1" s="1"/>
  <c r="D1815" i="1"/>
  <c r="E1815" i="1" s="1"/>
  <c r="E1814" i="1"/>
  <c r="D1814" i="1"/>
  <c r="D1813" i="1"/>
  <c r="E1813" i="1" s="1"/>
  <c r="E1812" i="1"/>
  <c r="D1812" i="1"/>
  <c r="E1811" i="1"/>
  <c r="D1811" i="1"/>
  <c r="E1810" i="1"/>
  <c r="D1810" i="1"/>
  <c r="D1809" i="1"/>
  <c r="E1809" i="1" s="1"/>
  <c r="E1808" i="1"/>
  <c r="D1808" i="1"/>
  <c r="E1807" i="1"/>
  <c r="D1807" i="1"/>
  <c r="D1806" i="1"/>
  <c r="E1806" i="1" s="1"/>
  <c r="E1805" i="1"/>
  <c r="D1805" i="1"/>
  <c r="D1804" i="1"/>
  <c r="E1804" i="1" s="1"/>
  <c r="D1803" i="1"/>
  <c r="E1803" i="1" s="1"/>
  <c r="D1802" i="1"/>
  <c r="E1802" i="1" s="1"/>
  <c r="D1801" i="1"/>
  <c r="E1801" i="1" s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D1794" i="1"/>
  <c r="E1794" i="1" s="1"/>
  <c r="D1793" i="1"/>
  <c r="E1793" i="1" s="1"/>
  <c r="E1792" i="1"/>
  <c r="D1792" i="1"/>
  <c r="D1791" i="1"/>
  <c r="E1791" i="1" s="1"/>
  <c r="D1790" i="1"/>
  <c r="E1790" i="1" s="1"/>
  <c r="D1789" i="1"/>
  <c r="E1789" i="1" s="1"/>
  <c r="D1788" i="1"/>
  <c r="E1788" i="1" s="1"/>
  <c r="E1787" i="1"/>
  <c r="D1787" i="1"/>
  <c r="D1786" i="1"/>
  <c r="E1786" i="1" s="1"/>
  <c r="E1785" i="1"/>
  <c r="D1785" i="1"/>
  <c r="D1784" i="1"/>
  <c r="E1784" i="1" s="1"/>
  <c r="E1783" i="1"/>
  <c r="D1783" i="1"/>
  <c r="D1782" i="1"/>
  <c r="E1782" i="1" s="1"/>
  <c r="D1781" i="1"/>
  <c r="E1781" i="1" s="1"/>
  <c r="E1780" i="1"/>
  <c r="D1780" i="1"/>
  <c r="D1779" i="1"/>
  <c r="E1779" i="1" s="1"/>
  <c r="E1778" i="1"/>
  <c r="D1778" i="1"/>
  <c r="D1777" i="1"/>
  <c r="E1777" i="1" s="1"/>
  <c r="D1776" i="1"/>
  <c r="E1776" i="1" s="1"/>
  <c r="E1775" i="1"/>
  <c r="D1775" i="1"/>
  <c r="D1774" i="1"/>
  <c r="E1774" i="1" s="1"/>
  <c r="E1773" i="1"/>
  <c r="D1773" i="1"/>
  <c r="D1772" i="1"/>
  <c r="E1772" i="1" s="1"/>
  <c r="E1771" i="1"/>
  <c r="D1771" i="1"/>
  <c r="D1770" i="1"/>
  <c r="E1770" i="1" s="1"/>
  <c r="E1769" i="1"/>
  <c r="D1769" i="1"/>
  <c r="D1768" i="1"/>
  <c r="E1768" i="1" s="1"/>
  <c r="D1767" i="1"/>
  <c r="E1767" i="1" s="1"/>
  <c r="E1766" i="1"/>
  <c r="D1766" i="1"/>
  <c r="D1765" i="1"/>
  <c r="E1765" i="1" s="1"/>
  <c r="E1764" i="1"/>
  <c r="D1764" i="1"/>
  <c r="E1763" i="1"/>
  <c r="D1763" i="1"/>
  <c r="D1762" i="1"/>
  <c r="E1762" i="1" s="1"/>
  <c r="D1761" i="1"/>
  <c r="E1761" i="1" s="1"/>
  <c r="E1760" i="1"/>
  <c r="D1760" i="1"/>
  <c r="E1759" i="1"/>
  <c r="D1759" i="1"/>
  <c r="D1758" i="1"/>
  <c r="E1758" i="1" s="1"/>
  <c r="E1757" i="1"/>
  <c r="D1757" i="1"/>
  <c r="E1756" i="1"/>
  <c r="D1756" i="1"/>
  <c r="D1755" i="1"/>
  <c r="E1755" i="1" s="1"/>
  <c r="D1754" i="1"/>
  <c r="E1754" i="1" s="1"/>
  <c r="D1753" i="1"/>
  <c r="E1753" i="1" s="1"/>
  <c r="E1752" i="1"/>
  <c r="D1752" i="1"/>
  <c r="E1751" i="1"/>
  <c r="D1751" i="1"/>
  <c r="E1750" i="1"/>
  <c r="D1750" i="1"/>
  <c r="D1749" i="1"/>
  <c r="E1749" i="1" s="1"/>
  <c r="E1748" i="1"/>
  <c r="D1748" i="1"/>
  <c r="E1747" i="1"/>
  <c r="D1747" i="1"/>
  <c r="D1746" i="1"/>
  <c r="E1746" i="1" s="1"/>
  <c r="D1745" i="1"/>
  <c r="E1745" i="1" s="1"/>
  <c r="E1744" i="1"/>
  <c r="D1744" i="1"/>
  <c r="D1743" i="1"/>
  <c r="E1743" i="1" s="1"/>
  <c r="E1742" i="1"/>
  <c r="D1742" i="1"/>
  <c r="D1741" i="1"/>
  <c r="E1741" i="1" s="1"/>
  <c r="D1740" i="1"/>
  <c r="E1740" i="1" s="1"/>
  <c r="E1739" i="1"/>
  <c r="D1739" i="1"/>
  <c r="D1738" i="1"/>
  <c r="E1738" i="1" s="1"/>
  <c r="E1737" i="1"/>
  <c r="D1737" i="1"/>
  <c r="D1736" i="1"/>
  <c r="E1736" i="1" s="1"/>
  <c r="E1735" i="1"/>
  <c r="D1735" i="1"/>
  <c r="D1734" i="1"/>
  <c r="E1734" i="1" s="1"/>
  <c r="D1733" i="1"/>
  <c r="E1733" i="1" s="1"/>
  <c r="E1732" i="1"/>
  <c r="D1732" i="1"/>
  <c r="D1731" i="1"/>
  <c r="E1731" i="1" s="1"/>
  <c r="E1730" i="1"/>
  <c r="D1730" i="1"/>
  <c r="D1729" i="1"/>
  <c r="E1729" i="1" s="1"/>
  <c r="E1728" i="1"/>
  <c r="D1728" i="1"/>
  <c r="E1727" i="1"/>
  <c r="D1727" i="1"/>
  <c r="D1726" i="1"/>
  <c r="E1726" i="1" s="1"/>
  <c r="E1725" i="1"/>
  <c r="D1725" i="1"/>
  <c r="D1724" i="1"/>
  <c r="E1724" i="1" s="1"/>
  <c r="E1723" i="1"/>
  <c r="D1723" i="1"/>
  <c r="D1722" i="1"/>
  <c r="E1722" i="1" s="1"/>
  <c r="D1721" i="1"/>
  <c r="E1721" i="1" s="1"/>
  <c r="D1720" i="1"/>
  <c r="E1720" i="1" s="1"/>
  <c r="D1719" i="1"/>
  <c r="E1719" i="1" s="1"/>
  <c r="E1718" i="1"/>
  <c r="D1718" i="1"/>
  <c r="D1717" i="1"/>
  <c r="E1717" i="1" s="1"/>
  <c r="E1716" i="1"/>
  <c r="D1716" i="1"/>
  <c r="D1715" i="1"/>
  <c r="E1715" i="1" s="1"/>
  <c r="E1714" i="1"/>
  <c r="D1714" i="1"/>
  <c r="D1713" i="1"/>
  <c r="E1713" i="1" s="1"/>
  <c r="E1712" i="1"/>
  <c r="D1712" i="1"/>
  <c r="E1711" i="1"/>
  <c r="D1711" i="1"/>
  <c r="D1710" i="1"/>
  <c r="E1710" i="1" s="1"/>
  <c r="E1709" i="1"/>
  <c r="D1709" i="1"/>
  <c r="D1708" i="1"/>
  <c r="E1708" i="1" s="1"/>
  <c r="D1707" i="1"/>
  <c r="E1707" i="1" s="1"/>
  <c r="D1706" i="1"/>
  <c r="E1706" i="1" s="1"/>
  <c r="D1705" i="1"/>
  <c r="E1705" i="1" s="1"/>
  <c r="E1704" i="1"/>
  <c r="D1704" i="1"/>
  <c r="D1703" i="1"/>
  <c r="E1703" i="1" s="1"/>
  <c r="E1702" i="1"/>
  <c r="D1702" i="1"/>
  <c r="E1701" i="1"/>
  <c r="D1701" i="1"/>
  <c r="E1700" i="1"/>
  <c r="D1700" i="1"/>
  <c r="E1699" i="1"/>
  <c r="D1699" i="1"/>
  <c r="D1698" i="1"/>
  <c r="E1698" i="1" s="1"/>
  <c r="D1697" i="1"/>
  <c r="E1697" i="1" s="1"/>
  <c r="E1696" i="1"/>
  <c r="D1696" i="1"/>
  <c r="D1695" i="1"/>
  <c r="E1695" i="1" s="1"/>
  <c r="D1694" i="1"/>
  <c r="E1694" i="1" s="1"/>
  <c r="D1693" i="1"/>
  <c r="E1693" i="1" s="1"/>
  <c r="D1692" i="1"/>
  <c r="E1692" i="1" s="1"/>
  <c r="E1691" i="1"/>
  <c r="D1691" i="1"/>
  <c r="D1690" i="1"/>
  <c r="E1690" i="1" s="1"/>
  <c r="E1689" i="1"/>
  <c r="D1689" i="1"/>
  <c r="D1688" i="1"/>
  <c r="E1688" i="1" s="1"/>
  <c r="E1687" i="1"/>
  <c r="D1687" i="1"/>
  <c r="D1686" i="1"/>
  <c r="E1686" i="1" s="1"/>
  <c r="D1685" i="1"/>
  <c r="E1685" i="1" s="1"/>
  <c r="E1684" i="1"/>
  <c r="D1684" i="1"/>
  <c r="D1683" i="1"/>
  <c r="E1683" i="1" s="1"/>
  <c r="E1682" i="1"/>
  <c r="D1682" i="1"/>
  <c r="D1681" i="1"/>
  <c r="E1681" i="1" s="1"/>
  <c r="D1680" i="1"/>
  <c r="E1680" i="1" s="1"/>
  <c r="E1679" i="1"/>
  <c r="D1679" i="1"/>
  <c r="D1678" i="1"/>
  <c r="E1678" i="1" s="1"/>
  <c r="E1677" i="1"/>
  <c r="D1677" i="1"/>
  <c r="D1676" i="1"/>
  <c r="E1676" i="1" s="1"/>
  <c r="E1675" i="1"/>
  <c r="D1675" i="1"/>
  <c r="D1674" i="1"/>
  <c r="E1674" i="1" s="1"/>
  <c r="E1673" i="1"/>
  <c r="D1673" i="1"/>
  <c r="D1672" i="1"/>
  <c r="E1672" i="1" s="1"/>
  <c r="D1671" i="1"/>
  <c r="E1671" i="1" s="1"/>
  <c r="E1670" i="1"/>
  <c r="D1670" i="1"/>
  <c r="D1669" i="1"/>
  <c r="E1669" i="1" s="1"/>
  <c r="E1668" i="1"/>
  <c r="D1668" i="1"/>
  <c r="D1667" i="1"/>
  <c r="E1667" i="1" s="1"/>
  <c r="D1666" i="1"/>
  <c r="E1666" i="1" s="1"/>
  <c r="D1665" i="1"/>
  <c r="E1665" i="1" s="1"/>
  <c r="E1664" i="1"/>
  <c r="D1664" i="1"/>
  <c r="E1663" i="1"/>
  <c r="D1663" i="1"/>
  <c r="D1662" i="1"/>
  <c r="E1662" i="1" s="1"/>
  <c r="E1661" i="1"/>
  <c r="D1661" i="1"/>
  <c r="E1660" i="1"/>
  <c r="D1660" i="1"/>
  <c r="D1659" i="1"/>
  <c r="E1659" i="1" s="1"/>
  <c r="D1658" i="1"/>
  <c r="E1658" i="1" s="1"/>
  <c r="D1657" i="1"/>
  <c r="E1657" i="1" s="1"/>
  <c r="E1656" i="1"/>
  <c r="D1656" i="1"/>
  <c r="D1655" i="1"/>
  <c r="E1655" i="1" s="1"/>
  <c r="E1654" i="1"/>
  <c r="D1654" i="1"/>
  <c r="D1653" i="1"/>
  <c r="E1653" i="1" s="1"/>
  <c r="E1652" i="1"/>
  <c r="D1652" i="1"/>
  <c r="E1651" i="1"/>
  <c r="D1651" i="1"/>
  <c r="D1650" i="1"/>
  <c r="E1650" i="1" s="1"/>
  <c r="D1649" i="1"/>
  <c r="E1649" i="1" s="1"/>
  <c r="E1648" i="1"/>
  <c r="D1648" i="1"/>
  <c r="D1647" i="1"/>
  <c r="E1647" i="1" s="1"/>
  <c r="E1646" i="1"/>
  <c r="D1646" i="1"/>
  <c r="D1645" i="1"/>
  <c r="E1645" i="1" s="1"/>
  <c r="D1644" i="1"/>
  <c r="E1644" i="1" s="1"/>
  <c r="E1643" i="1"/>
  <c r="D1643" i="1"/>
  <c r="D1642" i="1"/>
  <c r="E1642" i="1" s="1"/>
  <c r="E1641" i="1"/>
  <c r="D1641" i="1"/>
  <c r="D1640" i="1"/>
  <c r="E1640" i="1" s="1"/>
  <c r="E1639" i="1"/>
  <c r="D1639" i="1"/>
  <c r="D1638" i="1"/>
  <c r="E1638" i="1" s="1"/>
  <c r="D1637" i="1"/>
  <c r="E1637" i="1" s="1"/>
  <c r="E1636" i="1"/>
  <c r="D1636" i="1"/>
  <c r="D1635" i="1"/>
  <c r="E1635" i="1" s="1"/>
  <c r="E1634" i="1"/>
  <c r="D1634" i="1"/>
  <c r="D1633" i="1"/>
  <c r="E1633" i="1" s="1"/>
  <c r="E1632" i="1"/>
  <c r="D1632" i="1"/>
  <c r="E1631" i="1"/>
  <c r="D1631" i="1"/>
  <c r="D1630" i="1"/>
  <c r="E1630" i="1" s="1"/>
  <c r="E1629" i="1"/>
  <c r="D1629" i="1"/>
  <c r="D1628" i="1"/>
  <c r="E1628" i="1" s="1"/>
  <c r="E1627" i="1"/>
  <c r="D1627" i="1"/>
  <c r="D1626" i="1"/>
  <c r="E1626" i="1" s="1"/>
  <c r="D1625" i="1"/>
  <c r="E1625" i="1" s="1"/>
  <c r="D1624" i="1"/>
  <c r="E1624" i="1" s="1"/>
  <c r="D1623" i="1"/>
  <c r="E1623" i="1" s="1"/>
  <c r="E1622" i="1"/>
  <c r="D1622" i="1"/>
  <c r="D1621" i="1"/>
  <c r="E1621" i="1" s="1"/>
  <c r="E1620" i="1"/>
  <c r="D1620" i="1"/>
  <c r="D1619" i="1"/>
  <c r="E1619" i="1" s="1"/>
  <c r="E1618" i="1"/>
  <c r="D1618" i="1"/>
  <c r="D1617" i="1"/>
  <c r="E1617" i="1" s="1"/>
  <c r="E1616" i="1"/>
  <c r="D1616" i="1"/>
  <c r="D1615" i="1"/>
  <c r="E1615" i="1" s="1"/>
  <c r="D1614" i="1"/>
  <c r="E1614" i="1" s="1"/>
  <c r="E1613" i="1"/>
  <c r="D1613" i="1"/>
  <c r="D1612" i="1"/>
  <c r="E1612" i="1" s="1"/>
  <c r="D1611" i="1"/>
  <c r="E1611" i="1" s="1"/>
  <c r="D1610" i="1"/>
  <c r="E1610" i="1" s="1"/>
  <c r="D1609" i="1"/>
  <c r="E1609" i="1" s="1"/>
  <c r="E1608" i="1"/>
  <c r="D1608" i="1"/>
  <c r="D1607" i="1"/>
  <c r="E1607" i="1" s="1"/>
  <c r="E1606" i="1"/>
  <c r="D1606" i="1"/>
  <c r="E1605" i="1"/>
  <c r="D1605" i="1"/>
  <c r="E1604" i="1"/>
  <c r="D1604" i="1"/>
  <c r="D1603" i="1"/>
  <c r="E1603" i="1" s="1"/>
  <c r="D1602" i="1"/>
  <c r="E1602" i="1" s="1"/>
  <c r="D1601" i="1"/>
  <c r="E1601" i="1" s="1"/>
  <c r="E1600" i="1"/>
  <c r="D1600" i="1"/>
  <c r="D1599" i="1"/>
  <c r="E1599" i="1" s="1"/>
  <c r="D1598" i="1"/>
  <c r="E1598" i="1" s="1"/>
  <c r="D1597" i="1"/>
  <c r="E1597" i="1" s="1"/>
  <c r="D1596" i="1"/>
  <c r="E1596" i="1" s="1"/>
  <c r="E1595" i="1"/>
  <c r="D1595" i="1"/>
  <c r="D1594" i="1"/>
  <c r="E1594" i="1" s="1"/>
  <c r="E1593" i="1"/>
  <c r="D1593" i="1"/>
  <c r="D1592" i="1"/>
  <c r="E1592" i="1" s="1"/>
  <c r="E1591" i="1"/>
  <c r="D1591" i="1"/>
  <c r="D1590" i="1"/>
  <c r="E1590" i="1" s="1"/>
  <c r="D1589" i="1"/>
  <c r="E1589" i="1" s="1"/>
  <c r="E1588" i="1"/>
  <c r="D1588" i="1"/>
  <c r="D1587" i="1"/>
  <c r="E1587" i="1" s="1"/>
  <c r="E1586" i="1"/>
  <c r="D1586" i="1"/>
  <c r="D1585" i="1"/>
  <c r="E1585" i="1" s="1"/>
  <c r="D1584" i="1"/>
  <c r="E1584" i="1" s="1"/>
  <c r="E1583" i="1"/>
  <c r="D1583" i="1"/>
  <c r="D1582" i="1"/>
  <c r="E1582" i="1" s="1"/>
  <c r="E1581" i="1"/>
  <c r="D1581" i="1"/>
  <c r="D1580" i="1"/>
  <c r="E1580" i="1" s="1"/>
  <c r="E1579" i="1"/>
  <c r="D1579" i="1"/>
  <c r="D1578" i="1"/>
  <c r="E1578" i="1" s="1"/>
  <c r="E1577" i="1"/>
  <c r="D1577" i="1"/>
  <c r="D1576" i="1"/>
  <c r="E1576" i="1" s="1"/>
  <c r="D1575" i="1"/>
  <c r="E1575" i="1" s="1"/>
  <c r="E1574" i="1"/>
  <c r="D1574" i="1"/>
  <c r="D1573" i="1"/>
  <c r="E1573" i="1" s="1"/>
  <c r="E1572" i="1"/>
  <c r="D1572" i="1"/>
  <c r="D1571" i="1"/>
  <c r="E1571" i="1" s="1"/>
  <c r="D1570" i="1"/>
  <c r="E1570" i="1" s="1"/>
  <c r="D1569" i="1"/>
  <c r="E1569" i="1" s="1"/>
  <c r="E1568" i="1"/>
  <c r="D1568" i="1"/>
  <c r="D1567" i="1"/>
  <c r="E1567" i="1" s="1"/>
  <c r="D1566" i="1"/>
  <c r="E1566" i="1" s="1"/>
  <c r="E1565" i="1"/>
  <c r="D1565" i="1"/>
  <c r="E1564" i="1"/>
  <c r="D1564" i="1"/>
  <c r="D1563" i="1"/>
  <c r="E1563" i="1" s="1"/>
  <c r="D1562" i="1"/>
  <c r="E1562" i="1" s="1"/>
  <c r="D1561" i="1"/>
  <c r="E1561" i="1" s="1"/>
  <c r="E1560" i="1"/>
  <c r="D1560" i="1"/>
  <c r="D1559" i="1"/>
  <c r="E1559" i="1" s="1"/>
  <c r="E1558" i="1"/>
  <c r="D1558" i="1"/>
  <c r="D1557" i="1"/>
  <c r="E1557" i="1" s="1"/>
  <c r="E1556" i="1"/>
  <c r="D1556" i="1"/>
  <c r="D1555" i="1"/>
  <c r="E1555" i="1" s="1"/>
  <c r="D1554" i="1"/>
  <c r="E1554" i="1" s="1"/>
  <c r="D1553" i="1"/>
  <c r="E1553" i="1" s="1"/>
  <c r="E1552" i="1"/>
  <c r="D1552" i="1"/>
  <c r="D1551" i="1"/>
  <c r="E1551" i="1" s="1"/>
  <c r="E1550" i="1"/>
  <c r="D1550" i="1"/>
  <c r="D1549" i="1"/>
  <c r="E1549" i="1" s="1"/>
  <c r="D1548" i="1"/>
  <c r="E1548" i="1" s="1"/>
  <c r="E1547" i="1"/>
  <c r="D1547" i="1"/>
  <c r="D1546" i="1"/>
  <c r="E1546" i="1" s="1"/>
  <c r="E1545" i="1"/>
  <c r="D1545" i="1"/>
  <c r="D1544" i="1"/>
  <c r="E1544" i="1" s="1"/>
  <c r="D1543" i="1"/>
  <c r="E1543" i="1" s="1"/>
  <c r="D1542" i="1"/>
  <c r="E1542" i="1" s="1"/>
  <c r="D1541" i="1"/>
  <c r="E1541" i="1" s="1"/>
  <c r="E1540" i="1"/>
  <c r="D1540" i="1"/>
  <c r="D1539" i="1"/>
  <c r="E1539" i="1" s="1"/>
  <c r="E1538" i="1"/>
  <c r="D1538" i="1"/>
  <c r="D1537" i="1"/>
  <c r="E1537" i="1" s="1"/>
  <c r="E1536" i="1"/>
  <c r="D1536" i="1"/>
  <c r="E1535" i="1"/>
  <c r="D1535" i="1"/>
  <c r="D1534" i="1"/>
  <c r="E1534" i="1" s="1"/>
  <c r="E1533" i="1"/>
  <c r="D1533" i="1"/>
  <c r="D1532" i="1"/>
  <c r="E1532" i="1" s="1"/>
  <c r="E1531" i="1"/>
  <c r="D1531" i="1"/>
  <c r="D1530" i="1"/>
  <c r="E1530" i="1" s="1"/>
  <c r="D1529" i="1"/>
  <c r="E1529" i="1" s="1"/>
  <c r="D1528" i="1"/>
  <c r="E1528" i="1" s="1"/>
  <c r="D1527" i="1"/>
  <c r="E1527" i="1" s="1"/>
  <c r="E1526" i="1"/>
  <c r="D1526" i="1"/>
  <c r="D1525" i="1"/>
  <c r="E1525" i="1" s="1"/>
  <c r="E1524" i="1"/>
  <c r="D1524" i="1"/>
  <c r="D1523" i="1"/>
  <c r="E1523" i="1" s="1"/>
  <c r="E1522" i="1"/>
  <c r="D1522" i="1"/>
  <c r="D1521" i="1"/>
  <c r="E1521" i="1" s="1"/>
  <c r="E1520" i="1"/>
  <c r="D1520" i="1"/>
  <c r="D1519" i="1"/>
  <c r="E1519" i="1" s="1"/>
  <c r="D1518" i="1"/>
  <c r="E1518" i="1" s="1"/>
  <c r="E1517" i="1"/>
  <c r="D1517" i="1"/>
  <c r="D1516" i="1"/>
  <c r="E1516" i="1" s="1"/>
  <c r="D1515" i="1"/>
  <c r="E1515" i="1" s="1"/>
  <c r="D1514" i="1"/>
  <c r="E1514" i="1" s="1"/>
  <c r="D1513" i="1"/>
  <c r="E1513" i="1" s="1"/>
  <c r="E1512" i="1"/>
  <c r="D1512" i="1"/>
  <c r="D1511" i="1"/>
  <c r="E1511" i="1" s="1"/>
  <c r="E1510" i="1"/>
  <c r="D1510" i="1"/>
  <c r="E1509" i="1"/>
  <c r="D1509" i="1"/>
  <c r="E1508" i="1"/>
  <c r="D1508" i="1"/>
  <c r="D1507" i="1"/>
  <c r="E1507" i="1" s="1"/>
  <c r="D1506" i="1"/>
  <c r="E1506" i="1" s="1"/>
  <c r="D1505" i="1"/>
  <c r="E1505" i="1" s="1"/>
  <c r="E1504" i="1"/>
  <c r="D1504" i="1"/>
  <c r="D1503" i="1"/>
  <c r="E1503" i="1" s="1"/>
  <c r="D1502" i="1"/>
  <c r="E1502" i="1" s="1"/>
  <c r="D1501" i="1"/>
  <c r="E1501" i="1" s="1"/>
  <c r="D1500" i="1"/>
  <c r="E1500" i="1" s="1"/>
  <c r="E1499" i="1"/>
  <c r="D1499" i="1"/>
  <c r="D1498" i="1"/>
  <c r="E1498" i="1" s="1"/>
  <c r="E1497" i="1"/>
  <c r="D1497" i="1"/>
  <c r="D1496" i="1"/>
  <c r="E1496" i="1" s="1"/>
  <c r="E1495" i="1"/>
  <c r="D1495" i="1"/>
  <c r="D1494" i="1"/>
  <c r="E1494" i="1" s="1"/>
  <c r="D1493" i="1"/>
  <c r="E1493" i="1" s="1"/>
  <c r="E1492" i="1"/>
  <c r="D1492" i="1"/>
  <c r="D1491" i="1"/>
  <c r="E1491" i="1" s="1"/>
  <c r="E1490" i="1"/>
  <c r="D1490" i="1"/>
  <c r="D1489" i="1"/>
  <c r="E1489" i="1" s="1"/>
  <c r="D1488" i="1"/>
  <c r="E1488" i="1" s="1"/>
  <c r="E1487" i="1"/>
  <c r="D1487" i="1"/>
  <c r="D1486" i="1"/>
  <c r="E1486" i="1" s="1"/>
  <c r="E1485" i="1"/>
  <c r="D1485" i="1"/>
  <c r="D1484" i="1"/>
  <c r="E1484" i="1" s="1"/>
  <c r="E1483" i="1"/>
  <c r="D1483" i="1"/>
  <c r="D1482" i="1"/>
  <c r="E1482" i="1" s="1"/>
  <c r="E1481" i="1"/>
  <c r="D1481" i="1"/>
  <c r="D1480" i="1"/>
  <c r="E1480" i="1" s="1"/>
  <c r="D1479" i="1"/>
  <c r="E1479" i="1" s="1"/>
  <c r="E1478" i="1"/>
  <c r="D1478" i="1"/>
  <c r="D1477" i="1"/>
  <c r="E1477" i="1" s="1"/>
  <c r="E1476" i="1"/>
  <c r="D1476" i="1"/>
  <c r="D1475" i="1"/>
  <c r="E1475" i="1" s="1"/>
  <c r="D1474" i="1"/>
  <c r="E1474" i="1" s="1"/>
  <c r="D1473" i="1"/>
  <c r="E1473" i="1" s="1"/>
  <c r="E1472" i="1"/>
  <c r="D1472" i="1"/>
  <c r="D1471" i="1"/>
  <c r="E1471" i="1" s="1"/>
  <c r="D1470" i="1"/>
  <c r="E1470" i="1" s="1"/>
  <c r="E1469" i="1"/>
  <c r="D1469" i="1"/>
  <c r="E1468" i="1"/>
  <c r="D1468" i="1"/>
  <c r="D1467" i="1"/>
  <c r="E1467" i="1" s="1"/>
  <c r="D1466" i="1"/>
  <c r="E1466" i="1" s="1"/>
  <c r="D1465" i="1"/>
  <c r="E1465" i="1" s="1"/>
  <c r="E1464" i="1"/>
  <c r="D1464" i="1"/>
  <c r="D1463" i="1"/>
  <c r="E1463" i="1" s="1"/>
  <c r="E1462" i="1"/>
  <c r="D1462" i="1"/>
  <c r="D1461" i="1"/>
  <c r="E1461" i="1" s="1"/>
  <c r="E1460" i="1"/>
  <c r="D1460" i="1"/>
  <c r="D1459" i="1"/>
  <c r="E1459" i="1" s="1"/>
  <c r="D1458" i="1"/>
  <c r="E1458" i="1" s="1"/>
  <c r="D1457" i="1"/>
  <c r="E1457" i="1" s="1"/>
  <c r="E1456" i="1"/>
  <c r="D1456" i="1"/>
  <c r="D1455" i="1"/>
  <c r="E1455" i="1" s="1"/>
  <c r="E1454" i="1"/>
  <c r="D1454" i="1"/>
  <c r="D1453" i="1"/>
  <c r="E1453" i="1" s="1"/>
  <c r="D1452" i="1"/>
  <c r="E1452" i="1" s="1"/>
  <c r="E1451" i="1"/>
  <c r="D1451" i="1"/>
  <c r="D1450" i="1"/>
  <c r="E1450" i="1" s="1"/>
  <c r="E1449" i="1"/>
  <c r="D1449" i="1"/>
  <c r="D1448" i="1"/>
  <c r="E1448" i="1" s="1"/>
  <c r="D1447" i="1"/>
  <c r="E1447" i="1" s="1"/>
  <c r="D1446" i="1"/>
  <c r="E1446" i="1" s="1"/>
  <c r="D1445" i="1"/>
  <c r="E1445" i="1" s="1"/>
  <c r="E1444" i="1"/>
  <c r="D1444" i="1"/>
  <c r="D1443" i="1"/>
  <c r="E1443" i="1" s="1"/>
  <c r="E1442" i="1"/>
  <c r="D1442" i="1"/>
  <c r="D1441" i="1"/>
  <c r="E1441" i="1" s="1"/>
  <c r="E1440" i="1"/>
  <c r="D1440" i="1"/>
  <c r="E1439" i="1"/>
  <c r="D1439" i="1"/>
  <c r="D1438" i="1"/>
  <c r="E1438" i="1" s="1"/>
  <c r="E1437" i="1"/>
  <c r="D1437" i="1"/>
  <c r="D1436" i="1"/>
  <c r="E1436" i="1" s="1"/>
  <c r="E1435" i="1"/>
  <c r="D1435" i="1"/>
  <c r="D1434" i="1"/>
  <c r="E1434" i="1" s="1"/>
  <c r="D1433" i="1"/>
  <c r="E1433" i="1" s="1"/>
  <c r="D1432" i="1"/>
  <c r="E1432" i="1" s="1"/>
  <c r="D1431" i="1"/>
  <c r="E1431" i="1" s="1"/>
  <c r="E1430" i="1"/>
  <c r="D1430" i="1"/>
  <c r="D1429" i="1"/>
  <c r="E1429" i="1" s="1"/>
  <c r="E1428" i="1"/>
  <c r="D1428" i="1"/>
  <c r="D1427" i="1"/>
  <c r="E1427" i="1" s="1"/>
  <c r="E1426" i="1"/>
  <c r="D1426" i="1"/>
  <c r="D1425" i="1"/>
  <c r="E1425" i="1" s="1"/>
  <c r="E1424" i="1"/>
  <c r="D1424" i="1"/>
  <c r="D1423" i="1"/>
  <c r="E1423" i="1" s="1"/>
  <c r="D1422" i="1"/>
  <c r="E1422" i="1" s="1"/>
  <c r="E1421" i="1"/>
  <c r="D1421" i="1"/>
  <c r="D1420" i="1"/>
  <c r="E1420" i="1" s="1"/>
  <c r="D1419" i="1"/>
  <c r="E1419" i="1" s="1"/>
  <c r="D1418" i="1"/>
  <c r="E1418" i="1" s="1"/>
  <c r="D1417" i="1"/>
  <c r="E1417" i="1" s="1"/>
  <c r="E1416" i="1"/>
  <c r="D1416" i="1"/>
  <c r="D1415" i="1"/>
  <c r="E1415" i="1" s="1"/>
  <c r="E1414" i="1"/>
  <c r="D1414" i="1"/>
  <c r="E1413" i="1"/>
  <c r="D1413" i="1"/>
  <c r="E1412" i="1"/>
  <c r="D1412" i="1"/>
  <c r="D1411" i="1"/>
  <c r="E1411" i="1" s="1"/>
  <c r="D1410" i="1"/>
  <c r="E1410" i="1" s="1"/>
  <c r="D1409" i="1"/>
  <c r="E1409" i="1" s="1"/>
  <c r="E1408" i="1"/>
  <c r="D1408" i="1"/>
  <c r="D1407" i="1"/>
  <c r="E1407" i="1" s="1"/>
  <c r="D1406" i="1"/>
  <c r="E1406" i="1" s="1"/>
  <c r="D1405" i="1"/>
  <c r="E1405" i="1" s="1"/>
  <c r="D1404" i="1"/>
  <c r="E1404" i="1" s="1"/>
  <c r="E1403" i="1"/>
  <c r="D1403" i="1"/>
  <c r="D1402" i="1"/>
  <c r="E1402" i="1" s="1"/>
  <c r="E1401" i="1"/>
  <c r="D1401" i="1"/>
  <c r="D1400" i="1"/>
  <c r="E1400" i="1" s="1"/>
  <c r="E1399" i="1"/>
  <c r="D1399" i="1"/>
  <c r="D1398" i="1"/>
  <c r="E1398" i="1" s="1"/>
  <c r="D1397" i="1"/>
  <c r="E1397" i="1" s="1"/>
  <c r="E1396" i="1"/>
  <c r="D1396" i="1"/>
  <c r="D1395" i="1"/>
  <c r="E1395" i="1" s="1"/>
  <c r="E1394" i="1"/>
  <c r="D1394" i="1"/>
  <c r="D1393" i="1"/>
  <c r="E1393" i="1" s="1"/>
  <c r="D1392" i="1"/>
  <c r="E1392" i="1" s="1"/>
  <c r="E1391" i="1"/>
  <c r="D1391" i="1"/>
  <c r="D1390" i="1"/>
  <c r="E1390" i="1" s="1"/>
  <c r="E1389" i="1"/>
  <c r="D1389" i="1"/>
  <c r="D1388" i="1"/>
  <c r="E1388" i="1" s="1"/>
  <c r="E1387" i="1"/>
  <c r="D1387" i="1"/>
  <c r="D1386" i="1"/>
  <c r="E1386" i="1" s="1"/>
  <c r="E1385" i="1"/>
  <c r="D1385" i="1"/>
  <c r="D1384" i="1"/>
  <c r="E1384" i="1" s="1"/>
  <c r="D1383" i="1"/>
  <c r="E1383" i="1" s="1"/>
  <c r="E1382" i="1"/>
  <c r="D1382" i="1"/>
  <c r="D1381" i="1"/>
  <c r="E1381" i="1" s="1"/>
  <c r="E1380" i="1"/>
  <c r="D1380" i="1"/>
  <c r="D1379" i="1"/>
  <c r="E1379" i="1" s="1"/>
  <c r="D1378" i="1"/>
  <c r="E1378" i="1" s="1"/>
  <c r="D1377" i="1"/>
  <c r="E1377" i="1" s="1"/>
  <c r="E1376" i="1"/>
  <c r="D1376" i="1"/>
  <c r="D1375" i="1"/>
  <c r="E1375" i="1" s="1"/>
  <c r="D1374" i="1"/>
  <c r="E1374" i="1" s="1"/>
  <c r="E1373" i="1"/>
  <c r="D1373" i="1"/>
  <c r="E1372" i="1"/>
  <c r="D1372" i="1"/>
  <c r="D1371" i="1"/>
  <c r="E1371" i="1" s="1"/>
  <c r="D1370" i="1"/>
  <c r="E1370" i="1" s="1"/>
  <c r="D1369" i="1"/>
  <c r="E1369" i="1" s="1"/>
  <c r="E1368" i="1"/>
  <c r="D1368" i="1"/>
  <c r="D1367" i="1"/>
  <c r="E1367" i="1" s="1"/>
  <c r="E1366" i="1"/>
  <c r="D1366" i="1"/>
  <c r="D1365" i="1"/>
  <c r="E1365" i="1" s="1"/>
  <c r="E1364" i="1"/>
  <c r="D1364" i="1"/>
  <c r="D1363" i="1"/>
  <c r="E1363" i="1" s="1"/>
  <c r="D1362" i="1"/>
  <c r="E1362" i="1" s="1"/>
  <c r="D1361" i="1"/>
  <c r="E1361" i="1" s="1"/>
  <c r="E1360" i="1"/>
  <c r="D1360" i="1"/>
  <c r="D1359" i="1"/>
  <c r="E1359" i="1" s="1"/>
  <c r="E1358" i="1"/>
  <c r="D1358" i="1"/>
  <c r="D1357" i="1"/>
  <c r="E1357" i="1" s="1"/>
  <c r="D1356" i="1"/>
  <c r="E1356" i="1" s="1"/>
  <c r="E1355" i="1"/>
  <c r="D1355" i="1"/>
  <c r="D1354" i="1"/>
  <c r="E1354" i="1" s="1"/>
  <c r="E1353" i="1"/>
  <c r="D1353" i="1"/>
  <c r="D1352" i="1"/>
  <c r="E1352" i="1" s="1"/>
  <c r="D1351" i="1"/>
  <c r="E1351" i="1" s="1"/>
  <c r="D1350" i="1"/>
  <c r="E1350" i="1" s="1"/>
  <c r="D1349" i="1"/>
  <c r="E1349" i="1" s="1"/>
  <c r="E1348" i="1"/>
  <c r="D1348" i="1"/>
  <c r="D1347" i="1"/>
  <c r="E1347" i="1" s="1"/>
  <c r="E1346" i="1"/>
  <c r="D1346" i="1"/>
  <c r="D1345" i="1"/>
  <c r="E1345" i="1" s="1"/>
  <c r="E1344" i="1"/>
  <c r="D1344" i="1"/>
  <c r="E1343" i="1"/>
  <c r="D1343" i="1"/>
  <c r="D1342" i="1"/>
  <c r="E1342" i="1" s="1"/>
  <c r="E1341" i="1"/>
  <c r="D1341" i="1"/>
  <c r="D1340" i="1"/>
  <c r="E1340" i="1" s="1"/>
  <c r="E1339" i="1"/>
  <c r="D1339" i="1"/>
  <c r="D1338" i="1"/>
  <c r="E1338" i="1" s="1"/>
  <c r="D1337" i="1"/>
  <c r="E1337" i="1" s="1"/>
  <c r="D1336" i="1"/>
  <c r="E1336" i="1" s="1"/>
  <c r="D1335" i="1"/>
  <c r="E1335" i="1" s="1"/>
  <c r="E1334" i="1"/>
  <c r="D1334" i="1"/>
  <c r="D1333" i="1"/>
  <c r="E1333" i="1" s="1"/>
  <c r="E1332" i="1"/>
  <c r="D1332" i="1"/>
  <c r="D1331" i="1"/>
  <c r="E1331" i="1" s="1"/>
  <c r="E1330" i="1"/>
  <c r="D1330" i="1"/>
  <c r="D1329" i="1"/>
  <c r="E1329" i="1" s="1"/>
  <c r="E1328" i="1"/>
  <c r="D1328" i="1"/>
  <c r="D1327" i="1"/>
  <c r="E1327" i="1" s="1"/>
  <c r="D1326" i="1"/>
  <c r="E1326" i="1" s="1"/>
  <c r="E1325" i="1"/>
  <c r="D1325" i="1"/>
  <c r="D1324" i="1"/>
  <c r="E1324" i="1" s="1"/>
  <c r="D1323" i="1"/>
  <c r="E1323" i="1" s="1"/>
  <c r="D1322" i="1"/>
  <c r="E1322" i="1" s="1"/>
  <c r="D1321" i="1"/>
  <c r="E1321" i="1" s="1"/>
  <c r="E1320" i="1"/>
  <c r="D1320" i="1"/>
  <c r="D1319" i="1"/>
  <c r="E1319" i="1" s="1"/>
  <c r="E1318" i="1"/>
  <c r="D1318" i="1"/>
  <c r="E1317" i="1"/>
  <c r="D1317" i="1"/>
  <c r="E1316" i="1"/>
  <c r="D1316" i="1"/>
  <c r="D1315" i="1"/>
  <c r="E1315" i="1" s="1"/>
  <c r="D1314" i="1"/>
  <c r="E1314" i="1" s="1"/>
  <c r="D1313" i="1"/>
  <c r="E1313" i="1" s="1"/>
  <c r="E1312" i="1"/>
  <c r="D1312" i="1"/>
  <c r="D1311" i="1"/>
  <c r="E1311" i="1" s="1"/>
  <c r="D1310" i="1"/>
  <c r="E1310" i="1" s="1"/>
  <c r="D1309" i="1"/>
  <c r="E1309" i="1" s="1"/>
  <c r="D1308" i="1"/>
  <c r="E1308" i="1" s="1"/>
  <c r="E1307" i="1"/>
  <c r="D1307" i="1"/>
  <c r="D1306" i="1"/>
  <c r="E1306" i="1" s="1"/>
  <c r="E1305" i="1"/>
  <c r="D1305" i="1"/>
  <c r="D1304" i="1"/>
  <c r="E1304" i="1" s="1"/>
  <c r="E1303" i="1"/>
  <c r="D1303" i="1"/>
  <c r="D1302" i="1"/>
  <c r="E1302" i="1" s="1"/>
  <c r="D1301" i="1"/>
  <c r="E1301" i="1" s="1"/>
  <c r="E1300" i="1"/>
  <c r="D1300" i="1"/>
  <c r="D1299" i="1"/>
  <c r="E1299" i="1" s="1"/>
  <c r="E1298" i="1"/>
  <c r="D1298" i="1"/>
  <c r="D1297" i="1"/>
  <c r="E1297" i="1" s="1"/>
  <c r="D1296" i="1"/>
  <c r="E1296" i="1" s="1"/>
  <c r="E1295" i="1"/>
  <c r="D1295" i="1"/>
  <c r="D1294" i="1"/>
  <c r="E1294" i="1" s="1"/>
  <c r="E1293" i="1"/>
  <c r="D1293" i="1"/>
  <c r="D1292" i="1"/>
  <c r="E1292" i="1" s="1"/>
  <c r="E1291" i="1"/>
  <c r="D1291" i="1"/>
  <c r="D1290" i="1"/>
  <c r="E1290" i="1" s="1"/>
  <c r="E1289" i="1"/>
  <c r="D1289" i="1"/>
  <c r="D1288" i="1"/>
  <c r="E1288" i="1" s="1"/>
  <c r="D1287" i="1"/>
  <c r="E1287" i="1" s="1"/>
  <c r="E1286" i="1"/>
  <c r="D1286" i="1"/>
  <c r="D1285" i="1"/>
  <c r="E1285" i="1" s="1"/>
  <c r="E1284" i="1"/>
  <c r="D1284" i="1"/>
  <c r="D1283" i="1"/>
  <c r="E1283" i="1" s="1"/>
  <c r="D1282" i="1"/>
  <c r="E1282" i="1" s="1"/>
  <c r="D1281" i="1"/>
  <c r="E1281" i="1" s="1"/>
  <c r="E1280" i="1"/>
  <c r="D1280" i="1"/>
  <c r="D1279" i="1"/>
  <c r="E1279" i="1" s="1"/>
  <c r="D1278" i="1"/>
  <c r="E1278" i="1" s="1"/>
  <c r="E1277" i="1"/>
  <c r="D1277" i="1"/>
  <c r="E1276" i="1"/>
  <c r="D1276" i="1"/>
  <c r="D1275" i="1"/>
  <c r="E1275" i="1" s="1"/>
  <c r="D1274" i="1"/>
  <c r="E1274" i="1" s="1"/>
  <c r="D1273" i="1"/>
  <c r="E1273" i="1" s="1"/>
  <c r="E1272" i="1"/>
  <c r="D1272" i="1"/>
  <c r="D1271" i="1"/>
  <c r="E1271" i="1" s="1"/>
  <c r="E1270" i="1"/>
  <c r="D1270" i="1"/>
  <c r="D1269" i="1"/>
  <c r="E1269" i="1" s="1"/>
  <c r="E1268" i="1"/>
  <c r="D1268" i="1"/>
  <c r="D1267" i="1"/>
  <c r="E1267" i="1" s="1"/>
  <c r="D1266" i="1"/>
  <c r="E1266" i="1" s="1"/>
  <c r="D1265" i="1"/>
  <c r="E1265" i="1" s="1"/>
  <c r="E1264" i="1"/>
  <c r="D1264" i="1"/>
  <c r="D1263" i="1"/>
  <c r="E1263" i="1" s="1"/>
  <c r="E1262" i="1"/>
  <c r="D1262" i="1"/>
  <c r="D1261" i="1"/>
  <c r="E1261" i="1" s="1"/>
  <c r="D1260" i="1"/>
  <c r="E1260" i="1" s="1"/>
  <c r="E1259" i="1"/>
  <c r="D1259" i="1"/>
  <c r="D1258" i="1"/>
  <c r="E1258" i="1" s="1"/>
  <c r="E1257" i="1"/>
  <c r="D1257" i="1"/>
  <c r="D1256" i="1"/>
  <c r="E1256" i="1" s="1"/>
  <c r="D1255" i="1"/>
  <c r="E1255" i="1" s="1"/>
  <c r="D1254" i="1"/>
  <c r="E1254" i="1" s="1"/>
  <c r="D1253" i="1"/>
  <c r="E1253" i="1" s="1"/>
  <c r="E1252" i="1"/>
  <c r="D1252" i="1"/>
  <c r="D1251" i="1"/>
  <c r="E1251" i="1" s="1"/>
  <c r="E1250" i="1"/>
  <c r="D1250" i="1"/>
  <c r="D1249" i="1"/>
  <c r="E1249" i="1" s="1"/>
  <c r="E1248" i="1"/>
  <c r="D1248" i="1"/>
  <c r="E1247" i="1"/>
  <c r="D1247" i="1"/>
  <c r="D1246" i="1"/>
  <c r="E1246" i="1" s="1"/>
  <c r="E1245" i="1"/>
  <c r="D1245" i="1"/>
  <c r="D1244" i="1"/>
  <c r="E1244" i="1" s="1"/>
  <c r="E1243" i="1"/>
  <c r="D1243" i="1"/>
  <c r="D1242" i="1"/>
  <c r="E1242" i="1" s="1"/>
  <c r="D1241" i="1"/>
  <c r="E1241" i="1" s="1"/>
  <c r="D1240" i="1"/>
  <c r="E1240" i="1" s="1"/>
  <c r="D1239" i="1"/>
  <c r="E1239" i="1" s="1"/>
  <c r="E1238" i="1"/>
  <c r="D1238" i="1"/>
  <c r="D1237" i="1"/>
  <c r="E1237" i="1" s="1"/>
  <c r="E1236" i="1"/>
  <c r="D1236" i="1"/>
  <c r="D1235" i="1"/>
  <c r="E1235" i="1" s="1"/>
  <c r="E1234" i="1"/>
  <c r="D1234" i="1"/>
  <c r="D1233" i="1"/>
  <c r="E1233" i="1" s="1"/>
  <c r="E1232" i="1"/>
  <c r="D1232" i="1"/>
  <c r="D1231" i="1"/>
  <c r="E1231" i="1" s="1"/>
  <c r="D1230" i="1"/>
  <c r="E1230" i="1" s="1"/>
  <c r="E1229" i="1"/>
  <c r="D1229" i="1"/>
  <c r="D1228" i="1"/>
  <c r="E1228" i="1" s="1"/>
  <c r="D1227" i="1"/>
  <c r="E1227" i="1" s="1"/>
  <c r="D1226" i="1"/>
  <c r="E1226" i="1" s="1"/>
  <c r="D1225" i="1"/>
  <c r="E1225" i="1" s="1"/>
  <c r="E1224" i="1"/>
  <c r="D1224" i="1"/>
  <c r="D1223" i="1"/>
  <c r="E1223" i="1" s="1"/>
  <c r="E1222" i="1"/>
  <c r="D1222" i="1"/>
  <c r="E1221" i="1"/>
  <c r="D1221" i="1"/>
  <c r="E1220" i="1"/>
  <c r="D1220" i="1"/>
  <c r="D1219" i="1"/>
  <c r="E1219" i="1" s="1"/>
  <c r="D1218" i="1"/>
  <c r="E1218" i="1" s="1"/>
  <c r="D1217" i="1"/>
  <c r="E1217" i="1" s="1"/>
  <c r="E1216" i="1"/>
  <c r="D1216" i="1"/>
  <c r="D1215" i="1"/>
  <c r="E1215" i="1" s="1"/>
  <c r="D1214" i="1"/>
  <c r="E1214" i="1" s="1"/>
  <c r="D1213" i="1"/>
  <c r="E1213" i="1" s="1"/>
  <c r="D1212" i="1"/>
  <c r="E1212" i="1" s="1"/>
  <c r="E1211" i="1"/>
  <c r="D1211" i="1"/>
  <c r="D1210" i="1"/>
  <c r="E1210" i="1" s="1"/>
  <c r="E1209" i="1"/>
  <c r="D1209" i="1"/>
  <c r="D1208" i="1"/>
  <c r="E1208" i="1" s="1"/>
  <c r="E1207" i="1"/>
  <c r="D1207" i="1"/>
  <c r="D1206" i="1"/>
  <c r="E1206" i="1" s="1"/>
  <c r="E1205" i="1"/>
  <c r="D1205" i="1"/>
  <c r="D1204" i="1"/>
  <c r="E1204" i="1" s="1"/>
  <c r="E1203" i="1"/>
  <c r="D1203" i="1"/>
  <c r="D1202" i="1"/>
  <c r="E1202" i="1" s="1"/>
  <c r="D1201" i="1"/>
  <c r="E1201" i="1" s="1"/>
  <c r="E1200" i="1"/>
  <c r="D1200" i="1"/>
  <c r="D1199" i="1"/>
  <c r="E1199" i="1" s="1"/>
  <c r="E1198" i="1"/>
  <c r="D1198" i="1"/>
  <c r="D1197" i="1"/>
  <c r="E1197" i="1" s="1"/>
  <c r="E1196" i="1"/>
  <c r="D1196" i="1"/>
  <c r="E1195" i="1"/>
  <c r="D1195" i="1"/>
  <c r="E1194" i="1"/>
  <c r="D1194" i="1"/>
  <c r="D1193" i="1"/>
  <c r="E1193" i="1" s="1"/>
  <c r="E1192" i="1"/>
  <c r="D1192" i="1"/>
  <c r="D1191" i="1"/>
  <c r="E1191" i="1" s="1"/>
  <c r="E1190" i="1"/>
  <c r="D1190" i="1"/>
  <c r="D1189" i="1"/>
  <c r="E1189" i="1" s="1"/>
  <c r="D1188" i="1"/>
  <c r="E1188" i="1" s="1"/>
  <c r="D1187" i="1"/>
  <c r="E1187" i="1" s="1"/>
  <c r="E1186" i="1"/>
  <c r="D1186" i="1"/>
  <c r="D1185" i="1"/>
  <c r="E1185" i="1" s="1"/>
  <c r="E1184" i="1"/>
  <c r="D1184" i="1"/>
  <c r="D1183" i="1"/>
  <c r="E1183" i="1" s="1"/>
  <c r="E1182" i="1"/>
  <c r="D1182" i="1"/>
  <c r="D1181" i="1"/>
  <c r="E1181" i="1" s="1"/>
  <c r="E1180" i="1"/>
  <c r="D1180" i="1"/>
  <c r="D1179" i="1"/>
  <c r="E1179" i="1" s="1"/>
  <c r="E1178" i="1"/>
  <c r="D1178" i="1"/>
  <c r="D1177" i="1"/>
  <c r="E1177" i="1" s="1"/>
  <c r="D1176" i="1"/>
  <c r="E1176" i="1" s="1"/>
  <c r="E1175" i="1"/>
  <c r="D1175" i="1"/>
  <c r="D1174" i="1"/>
  <c r="E1174" i="1" s="1"/>
  <c r="E1173" i="1"/>
  <c r="D1173" i="1"/>
  <c r="D1172" i="1"/>
  <c r="E1172" i="1" s="1"/>
  <c r="E1171" i="1"/>
  <c r="D1171" i="1"/>
  <c r="E1170" i="1"/>
  <c r="D1170" i="1"/>
  <c r="E1169" i="1"/>
  <c r="D1169" i="1"/>
  <c r="D1168" i="1"/>
  <c r="E1168" i="1" s="1"/>
  <c r="E1167" i="1"/>
  <c r="D1167" i="1"/>
  <c r="D1166" i="1"/>
  <c r="E1166" i="1" s="1"/>
  <c r="D1165" i="1"/>
  <c r="E1165" i="1" s="1"/>
  <c r="D1164" i="1"/>
  <c r="E1164" i="1" s="1"/>
  <c r="D1163" i="1"/>
  <c r="E1163" i="1" s="1"/>
  <c r="D1162" i="1"/>
  <c r="E1162" i="1" s="1"/>
  <c r="E1161" i="1"/>
  <c r="D1161" i="1"/>
  <c r="D1160" i="1"/>
  <c r="E1160" i="1" s="1"/>
  <c r="E1159" i="1"/>
  <c r="D1159" i="1"/>
  <c r="D1158" i="1"/>
  <c r="E1158" i="1" s="1"/>
  <c r="E1157" i="1"/>
  <c r="D1157" i="1"/>
  <c r="D1156" i="1"/>
  <c r="E1156" i="1" s="1"/>
  <c r="E1155" i="1"/>
  <c r="D1155" i="1"/>
  <c r="D1154" i="1"/>
  <c r="E1154" i="1" s="1"/>
  <c r="D1153" i="1"/>
  <c r="E1153" i="1" s="1"/>
  <c r="E1152" i="1"/>
  <c r="D1152" i="1"/>
  <c r="D1151" i="1"/>
  <c r="E1151" i="1" s="1"/>
  <c r="E1150" i="1"/>
  <c r="D1150" i="1"/>
  <c r="D1149" i="1"/>
  <c r="E1149" i="1" s="1"/>
  <c r="E1148" i="1"/>
  <c r="D1148" i="1"/>
  <c r="D1147" i="1"/>
  <c r="E1147" i="1" s="1"/>
  <c r="E1146" i="1"/>
  <c r="D1146" i="1"/>
  <c r="E1145" i="1"/>
  <c r="D1145" i="1"/>
  <c r="E1144" i="1"/>
  <c r="D1144" i="1"/>
  <c r="D1143" i="1"/>
  <c r="E1143" i="1" s="1"/>
  <c r="E1142" i="1"/>
  <c r="D1142" i="1"/>
  <c r="D1141" i="1"/>
  <c r="E1141" i="1" s="1"/>
  <c r="E1140" i="1"/>
  <c r="D1140" i="1"/>
  <c r="D1139" i="1"/>
  <c r="E1139" i="1" s="1"/>
  <c r="D1138" i="1"/>
  <c r="E1138" i="1" s="1"/>
  <c r="D1137" i="1"/>
  <c r="E1137" i="1" s="1"/>
  <c r="E1136" i="1"/>
  <c r="D1136" i="1"/>
  <c r="D1135" i="1"/>
  <c r="E1135" i="1" s="1"/>
  <c r="E1134" i="1"/>
  <c r="D1134" i="1"/>
  <c r="D1133" i="1"/>
  <c r="E1133" i="1" s="1"/>
  <c r="E1132" i="1"/>
  <c r="D1132" i="1"/>
  <c r="D1131" i="1"/>
  <c r="E1131" i="1" s="1"/>
  <c r="E1130" i="1"/>
  <c r="D1130" i="1"/>
  <c r="D1129" i="1"/>
  <c r="E1129" i="1" s="1"/>
  <c r="D1128" i="1"/>
  <c r="E1128" i="1" s="1"/>
  <c r="E1127" i="1"/>
  <c r="D1127" i="1"/>
  <c r="D1126" i="1"/>
  <c r="E1126" i="1" s="1"/>
  <c r="E1125" i="1"/>
  <c r="D1125" i="1"/>
  <c r="D1124" i="1"/>
  <c r="E1124" i="1" s="1"/>
  <c r="E1123" i="1"/>
  <c r="D1123" i="1"/>
  <c r="D1122" i="1"/>
  <c r="E1122" i="1" s="1"/>
  <c r="E1121" i="1"/>
  <c r="D1121" i="1"/>
  <c r="E1120" i="1"/>
  <c r="D1120" i="1"/>
  <c r="E1119" i="1"/>
  <c r="D1119" i="1"/>
  <c r="D1118" i="1"/>
  <c r="E1118" i="1" s="1"/>
  <c r="D1117" i="1"/>
  <c r="E1117" i="1" s="1"/>
  <c r="D1116" i="1"/>
  <c r="E1116" i="1" s="1"/>
  <c r="E1115" i="1"/>
  <c r="D1115" i="1"/>
  <c r="D1114" i="1"/>
  <c r="E1114" i="1" s="1"/>
  <c r="D1113" i="1"/>
  <c r="E1113" i="1" s="1"/>
  <c r="D1112" i="1"/>
  <c r="E1112" i="1" s="1"/>
  <c r="E1111" i="1"/>
  <c r="D1111" i="1"/>
  <c r="D1110" i="1"/>
  <c r="E1110" i="1" s="1"/>
  <c r="E1109" i="1"/>
  <c r="D1109" i="1"/>
  <c r="D1108" i="1"/>
  <c r="E1108" i="1" s="1"/>
  <c r="E1107" i="1"/>
  <c r="D1107" i="1"/>
  <c r="D1106" i="1"/>
  <c r="E1106" i="1" s="1"/>
  <c r="D1105" i="1"/>
  <c r="E1105" i="1" s="1"/>
  <c r="E1104" i="1"/>
  <c r="D1104" i="1"/>
  <c r="D1103" i="1"/>
  <c r="E1103" i="1" s="1"/>
  <c r="E1102" i="1"/>
  <c r="D1102" i="1"/>
  <c r="D1101" i="1"/>
  <c r="E1101" i="1" s="1"/>
  <c r="E1100" i="1"/>
  <c r="D1100" i="1"/>
  <c r="D1099" i="1"/>
  <c r="E1099" i="1" s="1"/>
  <c r="E1098" i="1"/>
  <c r="D1098" i="1"/>
  <c r="D1097" i="1"/>
  <c r="E1097" i="1" s="1"/>
  <c r="E1096" i="1"/>
  <c r="D1096" i="1"/>
  <c r="E1095" i="1"/>
  <c r="D1095" i="1"/>
  <c r="E1094" i="1"/>
  <c r="D1094" i="1"/>
  <c r="D1093" i="1"/>
  <c r="E1093" i="1" s="1"/>
  <c r="E1092" i="1"/>
  <c r="D1092" i="1"/>
  <c r="D1091" i="1"/>
  <c r="E1091" i="1" s="1"/>
  <c r="E1090" i="1"/>
  <c r="D1090" i="1"/>
  <c r="D1089" i="1"/>
  <c r="E1089" i="1" s="1"/>
  <c r="D1088" i="1"/>
  <c r="E1088" i="1" s="1"/>
  <c r="D1087" i="1"/>
  <c r="E1087" i="1" s="1"/>
  <c r="E1086" i="1"/>
  <c r="D1086" i="1"/>
  <c r="D1085" i="1"/>
  <c r="E1085" i="1" s="1"/>
  <c r="E1084" i="1"/>
  <c r="D1084" i="1"/>
  <c r="D1083" i="1"/>
  <c r="E1083" i="1" s="1"/>
  <c r="E1082" i="1"/>
  <c r="D1082" i="1"/>
  <c r="D1081" i="1"/>
  <c r="E1081" i="1" s="1"/>
  <c r="D1080" i="1"/>
  <c r="E1080" i="1" s="1"/>
  <c r="E1079" i="1"/>
  <c r="D1079" i="1"/>
  <c r="D1078" i="1"/>
  <c r="E1078" i="1" s="1"/>
  <c r="E1077" i="1"/>
  <c r="D1077" i="1"/>
  <c r="D1076" i="1"/>
  <c r="E1076" i="1" s="1"/>
  <c r="E1075" i="1"/>
  <c r="D1075" i="1"/>
  <c r="D1074" i="1"/>
  <c r="E1074" i="1" s="1"/>
  <c r="E1073" i="1"/>
  <c r="D1073" i="1"/>
  <c r="D1072" i="1"/>
  <c r="E1072" i="1" s="1"/>
  <c r="E1071" i="1"/>
  <c r="D1071" i="1"/>
  <c r="E1070" i="1"/>
  <c r="D1070" i="1"/>
  <c r="D1069" i="1"/>
  <c r="E1069" i="1" s="1"/>
  <c r="D1068" i="1"/>
  <c r="E1068" i="1" s="1"/>
  <c r="E1067" i="1"/>
  <c r="D1067" i="1"/>
  <c r="D1066" i="1"/>
  <c r="E1066" i="1" s="1"/>
  <c r="E1065" i="1"/>
  <c r="D1065" i="1"/>
  <c r="D1064" i="1"/>
  <c r="E1064" i="1" s="1"/>
  <c r="D1063" i="1"/>
  <c r="E1063" i="1" s="1"/>
  <c r="D1062" i="1"/>
  <c r="E1062" i="1" s="1"/>
  <c r="E1061" i="1"/>
  <c r="D1061" i="1"/>
  <c r="D1060" i="1"/>
  <c r="E1060" i="1" s="1"/>
  <c r="E1059" i="1"/>
  <c r="D1059" i="1"/>
  <c r="D1058" i="1"/>
  <c r="E1058" i="1" s="1"/>
  <c r="D1057" i="1"/>
  <c r="E1057" i="1" s="1"/>
  <c r="E1056" i="1"/>
  <c r="D1056" i="1"/>
  <c r="D1055" i="1"/>
  <c r="E1055" i="1" s="1"/>
  <c r="E1054" i="1"/>
  <c r="D1054" i="1"/>
  <c r="D1053" i="1"/>
  <c r="E1053" i="1" s="1"/>
  <c r="E1052" i="1"/>
  <c r="D1052" i="1"/>
  <c r="D1051" i="1"/>
  <c r="E1051" i="1" s="1"/>
  <c r="E1050" i="1"/>
  <c r="D1050" i="1"/>
  <c r="D1049" i="1"/>
  <c r="E1049" i="1" s="1"/>
  <c r="E1048" i="1"/>
  <c r="D1048" i="1"/>
  <c r="D1047" i="1"/>
  <c r="E1047" i="1" s="1"/>
  <c r="E1046" i="1"/>
  <c r="D1046" i="1"/>
  <c r="D1045" i="1"/>
  <c r="E1045" i="1" s="1"/>
  <c r="E1044" i="1"/>
  <c r="D1044" i="1"/>
  <c r="D1043" i="1"/>
  <c r="E1043" i="1" s="1"/>
  <c r="E1042" i="1"/>
  <c r="D1042" i="1"/>
  <c r="D1041" i="1"/>
  <c r="E1041" i="1" s="1"/>
  <c r="E1040" i="1"/>
  <c r="D1040" i="1"/>
  <c r="D1039" i="1"/>
  <c r="E1039" i="1" s="1"/>
  <c r="D1038" i="1"/>
  <c r="E1038" i="1" s="1"/>
  <c r="D1037" i="1"/>
  <c r="E1037" i="1" s="1"/>
  <c r="E1036" i="1"/>
  <c r="D1036" i="1"/>
  <c r="D1035" i="1"/>
  <c r="E1035" i="1" s="1"/>
  <c r="E1034" i="1"/>
  <c r="D1034" i="1"/>
  <c r="D1033" i="1"/>
  <c r="E1033" i="1" s="1"/>
  <c r="E1032" i="1"/>
  <c r="D1032" i="1"/>
  <c r="E1031" i="1"/>
  <c r="D1031" i="1"/>
  <c r="D1030" i="1"/>
  <c r="E1030" i="1" s="1"/>
  <c r="E1029" i="1"/>
  <c r="D1029" i="1"/>
  <c r="D1028" i="1"/>
  <c r="E1028" i="1" s="1"/>
  <c r="E1027" i="1"/>
  <c r="D1027" i="1"/>
  <c r="D1026" i="1"/>
  <c r="E1026" i="1" s="1"/>
  <c r="E1025" i="1"/>
  <c r="D1025" i="1"/>
  <c r="D1024" i="1"/>
  <c r="E1024" i="1" s="1"/>
  <c r="E1023" i="1"/>
  <c r="D1023" i="1"/>
  <c r="D1022" i="1"/>
  <c r="E1022" i="1" s="1"/>
  <c r="D1021" i="1"/>
  <c r="E1021" i="1" s="1"/>
  <c r="D1020" i="1"/>
  <c r="E1020" i="1" s="1"/>
  <c r="E1019" i="1"/>
  <c r="D1019" i="1"/>
  <c r="D1018" i="1"/>
  <c r="E1018" i="1" s="1"/>
  <c r="E1017" i="1"/>
  <c r="D1017" i="1"/>
  <c r="D1016" i="1"/>
  <c r="E1016" i="1" s="1"/>
  <c r="E1015" i="1"/>
  <c r="D1015" i="1"/>
  <c r="D1014" i="1"/>
  <c r="E1014" i="1" s="1"/>
  <c r="D1013" i="1"/>
  <c r="E1013" i="1" s="1"/>
  <c r="D1012" i="1"/>
  <c r="E1012" i="1" s="1"/>
  <c r="E1011" i="1"/>
  <c r="D1011" i="1"/>
  <c r="D1010" i="1"/>
  <c r="E1010" i="1" s="1"/>
  <c r="D1009" i="1"/>
  <c r="E1009" i="1" s="1"/>
  <c r="E1008" i="1"/>
  <c r="D1008" i="1"/>
  <c r="E1007" i="1"/>
  <c r="D1007" i="1"/>
  <c r="E1006" i="1"/>
  <c r="D1006" i="1"/>
  <c r="D1005" i="1"/>
  <c r="E1005" i="1" s="1"/>
  <c r="E1004" i="1"/>
  <c r="D1004" i="1"/>
  <c r="D1003" i="1"/>
  <c r="E1003" i="1" s="1"/>
  <c r="E1002" i="1"/>
  <c r="D1002" i="1"/>
  <c r="D1001" i="1"/>
  <c r="E1001" i="1" s="1"/>
  <c r="E1000" i="1"/>
  <c r="D1000" i="1"/>
  <c r="D999" i="1"/>
  <c r="E999" i="1" s="1"/>
  <c r="E998" i="1"/>
  <c r="D998" i="1"/>
  <c r="D997" i="1"/>
  <c r="E997" i="1" s="1"/>
  <c r="E996" i="1"/>
  <c r="D996" i="1"/>
  <c r="D995" i="1"/>
  <c r="E995" i="1" s="1"/>
  <c r="E994" i="1"/>
  <c r="D994" i="1"/>
  <c r="D993" i="1"/>
  <c r="E993" i="1" s="1"/>
  <c r="E992" i="1"/>
  <c r="D992" i="1"/>
  <c r="D991" i="1"/>
  <c r="E991" i="1" s="1"/>
  <c r="D990" i="1"/>
  <c r="E990" i="1" s="1"/>
  <c r="D989" i="1"/>
  <c r="E989" i="1" s="1"/>
  <c r="D988" i="1"/>
  <c r="E988" i="1" s="1"/>
  <c r="D987" i="1"/>
  <c r="E987" i="1" s="1"/>
  <c r="E986" i="1"/>
  <c r="D986" i="1"/>
  <c r="D985" i="1"/>
  <c r="E985" i="1" s="1"/>
  <c r="D984" i="1"/>
  <c r="E984" i="1" s="1"/>
  <c r="E983" i="1"/>
  <c r="D983" i="1"/>
  <c r="E982" i="1"/>
  <c r="D982" i="1"/>
  <c r="E981" i="1"/>
  <c r="D981" i="1"/>
  <c r="D980" i="1"/>
  <c r="E980" i="1" s="1"/>
  <c r="E979" i="1"/>
  <c r="D979" i="1"/>
  <c r="D978" i="1"/>
  <c r="E978" i="1" s="1"/>
  <c r="E977" i="1"/>
  <c r="D977" i="1"/>
  <c r="D976" i="1"/>
  <c r="E976" i="1" s="1"/>
  <c r="E975" i="1"/>
  <c r="D975" i="1"/>
  <c r="D974" i="1"/>
  <c r="E974" i="1" s="1"/>
  <c r="D973" i="1"/>
  <c r="E973" i="1" s="1"/>
  <c r="D972" i="1"/>
  <c r="E972" i="1" s="1"/>
  <c r="E971" i="1"/>
  <c r="D971" i="1"/>
  <c r="D970" i="1"/>
  <c r="E970" i="1" s="1"/>
  <c r="E969" i="1"/>
  <c r="D969" i="1"/>
  <c r="D968" i="1"/>
  <c r="E968" i="1" s="1"/>
  <c r="E967" i="1"/>
  <c r="D967" i="1"/>
  <c r="D966" i="1"/>
  <c r="E966" i="1" s="1"/>
  <c r="E965" i="1"/>
  <c r="D965" i="1"/>
  <c r="D964" i="1"/>
  <c r="E964" i="1" s="1"/>
  <c r="D963" i="1"/>
  <c r="E963" i="1" s="1"/>
  <c r="D962" i="1"/>
  <c r="E962" i="1" s="1"/>
  <c r="D961" i="1"/>
  <c r="E961" i="1" s="1"/>
  <c r="E960" i="1"/>
  <c r="D960" i="1"/>
  <c r="D959" i="1"/>
  <c r="E959" i="1" s="1"/>
  <c r="E958" i="1"/>
  <c r="D958" i="1"/>
  <c r="E957" i="1"/>
  <c r="D957" i="1"/>
  <c r="E956" i="1"/>
  <c r="D956" i="1"/>
  <c r="D955" i="1"/>
  <c r="E955" i="1" s="1"/>
  <c r="E954" i="1"/>
  <c r="D954" i="1"/>
  <c r="D953" i="1"/>
  <c r="E953" i="1" s="1"/>
  <c r="E952" i="1"/>
  <c r="D952" i="1"/>
  <c r="D951" i="1"/>
  <c r="E951" i="1" s="1"/>
  <c r="E950" i="1"/>
  <c r="D950" i="1"/>
  <c r="D949" i="1"/>
  <c r="E949" i="1" s="1"/>
  <c r="E948" i="1"/>
  <c r="D948" i="1"/>
  <c r="D947" i="1"/>
  <c r="E947" i="1" s="1"/>
  <c r="E946" i="1"/>
  <c r="D946" i="1"/>
  <c r="D945" i="1"/>
  <c r="E945" i="1" s="1"/>
  <c r="E944" i="1"/>
  <c r="D944" i="1"/>
  <c r="D943" i="1"/>
  <c r="E943" i="1" s="1"/>
  <c r="E942" i="1"/>
  <c r="D942" i="1"/>
  <c r="D941" i="1"/>
  <c r="E941" i="1" s="1"/>
  <c r="E940" i="1"/>
  <c r="D940" i="1"/>
  <c r="D939" i="1"/>
  <c r="E939" i="1" s="1"/>
  <c r="D938" i="1"/>
  <c r="E938" i="1" s="1"/>
  <c r="D937" i="1"/>
  <c r="E937" i="1" s="1"/>
  <c r="D936" i="1"/>
  <c r="E936" i="1" s="1"/>
  <c r="E935" i="1"/>
  <c r="D935" i="1"/>
  <c r="D934" i="1"/>
  <c r="E934" i="1" s="1"/>
  <c r="E933" i="1"/>
  <c r="D933" i="1"/>
  <c r="E932" i="1"/>
  <c r="D932" i="1"/>
  <c r="E931" i="1"/>
  <c r="D931" i="1"/>
  <c r="D930" i="1"/>
  <c r="E930" i="1" s="1"/>
  <c r="E929" i="1"/>
  <c r="D929" i="1"/>
  <c r="D928" i="1"/>
  <c r="E928" i="1" s="1"/>
  <c r="E927" i="1"/>
  <c r="D927" i="1"/>
  <c r="D926" i="1"/>
  <c r="E926" i="1" s="1"/>
  <c r="D925" i="1"/>
  <c r="E925" i="1" s="1"/>
  <c r="D924" i="1"/>
  <c r="E924" i="1" s="1"/>
  <c r="E923" i="1"/>
  <c r="D923" i="1"/>
  <c r="D922" i="1"/>
  <c r="E922" i="1" s="1"/>
  <c r="E921" i="1"/>
  <c r="D921" i="1"/>
  <c r="D920" i="1"/>
  <c r="E920" i="1" s="1"/>
  <c r="E919" i="1"/>
  <c r="D919" i="1"/>
  <c r="D918" i="1"/>
  <c r="E918" i="1" s="1"/>
  <c r="E917" i="1"/>
  <c r="D917" i="1"/>
  <c r="D916" i="1"/>
  <c r="E916" i="1" s="1"/>
  <c r="D915" i="1"/>
  <c r="E915" i="1" s="1"/>
  <c r="D914" i="1"/>
  <c r="E914" i="1" s="1"/>
  <c r="E913" i="1"/>
  <c r="D913" i="1"/>
  <c r="D912" i="1"/>
  <c r="E912" i="1" s="1"/>
  <c r="E911" i="1"/>
  <c r="D911" i="1"/>
  <c r="D910" i="1"/>
  <c r="E910" i="1" s="1"/>
  <c r="E909" i="1"/>
  <c r="D909" i="1"/>
  <c r="D908" i="1"/>
  <c r="E908" i="1" s="1"/>
  <c r="E907" i="1"/>
  <c r="D907" i="1"/>
  <c r="D906" i="1"/>
  <c r="E906" i="1" s="1"/>
  <c r="E905" i="1"/>
  <c r="D905" i="1"/>
  <c r="D904" i="1"/>
  <c r="E904" i="1" s="1"/>
  <c r="E903" i="1"/>
  <c r="D903" i="1"/>
  <c r="D902" i="1"/>
  <c r="E902" i="1" s="1"/>
  <c r="E901" i="1"/>
  <c r="D901" i="1"/>
  <c r="D900" i="1"/>
  <c r="E900" i="1" s="1"/>
  <c r="E899" i="1"/>
  <c r="D899" i="1"/>
  <c r="D898" i="1"/>
  <c r="E898" i="1" s="1"/>
  <c r="E897" i="1"/>
  <c r="D897" i="1"/>
  <c r="D896" i="1"/>
  <c r="E896" i="1" s="1"/>
  <c r="E895" i="1"/>
  <c r="D895" i="1"/>
  <c r="D894" i="1"/>
  <c r="E894" i="1" s="1"/>
  <c r="E893" i="1"/>
  <c r="D893" i="1"/>
  <c r="D892" i="1"/>
  <c r="E892" i="1" s="1"/>
  <c r="E891" i="1"/>
  <c r="D891" i="1"/>
  <c r="D890" i="1"/>
  <c r="E890" i="1" s="1"/>
  <c r="E889" i="1"/>
  <c r="D889" i="1"/>
  <c r="D888" i="1"/>
  <c r="E888" i="1" s="1"/>
  <c r="E887" i="1"/>
  <c r="D887" i="1"/>
  <c r="D886" i="1"/>
  <c r="E886" i="1" s="1"/>
  <c r="E885" i="1"/>
  <c r="D885" i="1"/>
  <c r="D884" i="1"/>
  <c r="E884" i="1" s="1"/>
  <c r="E883" i="1"/>
  <c r="D883" i="1"/>
  <c r="D882" i="1"/>
  <c r="E882" i="1" s="1"/>
  <c r="E881" i="1"/>
  <c r="D881" i="1"/>
  <c r="D880" i="1"/>
  <c r="E880" i="1" s="1"/>
  <c r="E879" i="1"/>
  <c r="D879" i="1"/>
  <c r="D878" i="1"/>
  <c r="E878" i="1" s="1"/>
  <c r="E877" i="1"/>
  <c r="D877" i="1"/>
  <c r="D876" i="1"/>
  <c r="E876" i="1" s="1"/>
  <c r="E875" i="1"/>
  <c r="D875" i="1"/>
  <c r="D874" i="1"/>
  <c r="E874" i="1" s="1"/>
  <c r="E873" i="1"/>
  <c r="D873" i="1"/>
  <c r="D872" i="1"/>
  <c r="E872" i="1" s="1"/>
  <c r="E871" i="1"/>
  <c r="D871" i="1"/>
  <c r="D870" i="1"/>
  <c r="E870" i="1" s="1"/>
  <c r="E869" i="1"/>
  <c r="D869" i="1"/>
  <c r="D868" i="1"/>
  <c r="E868" i="1" s="1"/>
  <c r="D867" i="1"/>
  <c r="E867" i="1" s="1"/>
  <c r="D866" i="1"/>
  <c r="E866" i="1" s="1"/>
  <c r="E865" i="1"/>
  <c r="D865" i="1"/>
  <c r="D864" i="1"/>
  <c r="E864" i="1" s="1"/>
  <c r="E863" i="1"/>
  <c r="D863" i="1"/>
  <c r="D862" i="1"/>
  <c r="E862" i="1" s="1"/>
  <c r="E861" i="1"/>
  <c r="D861" i="1"/>
  <c r="D860" i="1"/>
  <c r="E860" i="1" s="1"/>
  <c r="E859" i="1"/>
  <c r="D859" i="1"/>
  <c r="D858" i="1"/>
  <c r="E858" i="1" s="1"/>
  <c r="E857" i="1"/>
  <c r="D857" i="1"/>
  <c r="D856" i="1"/>
  <c r="E856" i="1" s="1"/>
  <c r="E855" i="1"/>
  <c r="D855" i="1"/>
  <c r="D854" i="1"/>
  <c r="E854" i="1" s="1"/>
  <c r="E853" i="1"/>
  <c r="D853" i="1"/>
  <c r="D852" i="1"/>
  <c r="E852" i="1" s="1"/>
  <c r="E851" i="1"/>
  <c r="D851" i="1"/>
  <c r="D850" i="1"/>
  <c r="E850" i="1" s="1"/>
  <c r="E849" i="1"/>
  <c r="D849" i="1"/>
  <c r="D848" i="1"/>
  <c r="E848" i="1" s="1"/>
  <c r="E847" i="1"/>
  <c r="D847" i="1"/>
  <c r="D846" i="1"/>
  <c r="E846" i="1" s="1"/>
  <c r="E845" i="1"/>
  <c r="D845" i="1"/>
  <c r="D844" i="1"/>
  <c r="E844" i="1" s="1"/>
  <c r="E843" i="1"/>
  <c r="D843" i="1"/>
  <c r="D842" i="1"/>
  <c r="E842" i="1" s="1"/>
  <c r="E841" i="1"/>
  <c r="D841" i="1"/>
  <c r="D840" i="1"/>
  <c r="E840" i="1" s="1"/>
  <c r="E839" i="1"/>
  <c r="D839" i="1"/>
  <c r="D838" i="1"/>
  <c r="E838" i="1" s="1"/>
  <c r="E837" i="1"/>
  <c r="D837" i="1"/>
  <c r="D836" i="1"/>
  <c r="E836" i="1" s="1"/>
  <c r="E835" i="1"/>
  <c r="D835" i="1"/>
  <c r="D834" i="1"/>
  <c r="E834" i="1" s="1"/>
  <c r="E833" i="1"/>
  <c r="D833" i="1"/>
  <c r="D832" i="1"/>
  <c r="E832" i="1" s="1"/>
  <c r="E831" i="1"/>
  <c r="D831" i="1"/>
  <c r="D830" i="1"/>
  <c r="E830" i="1" s="1"/>
  <c r="E829" i="1"/>
  <c r="D829" i="1"/>
  <c r="D828" i="1"/>
  <c r="E828" i="1" s="1"/>
  <c r="E827" i="1"/>
  <c r="D827" i="1"/>
  <c r="D826" i="1"/>
  <c r="E826" i="1" s="1"/>
  <c r="E825" i="1"/>
  <c r="D825" i="1"/>
  <c r="D824" i="1"/>
  <c r="E824" i="1" s="1"/>
  <c r="E823" i="1"/>
  <c r="D823" i="1"/>
  <c r="D822" i="1"/>
  <c r="E822" i="1" s="1"/>
  <c r="E821" i="1"/>
  <c r="D821" i="1"/>
  <c r="D820" i="1"/>
  <c r="E820" i="1" s="1"/>
  <c r="D819" i="1"/>
  <c r="E819" i="1" s="1"/>
  <c r="D818" i="1"/>
  <c r="E818" i="1" s="1"/>
  <c r="E817" i="1"/>
  <c r="D817" i="1"/>
  <c r="D816" i="1"/>
  <c r="E816" i="1" s="1"/>
  <c r="E815" i="1"/>
  <c r="D815" i="1"/>
  <c r="D814" i="1"/>
  <c r="E814" i="1" s="1"/>
  <c r="E813" i="1"/>
  <c r="D813" i="1"/>
  <c r="D812" i="1"/>
  <c r="E812" i="1" s="1"/>
  <c r="E811" i="1"/>
  <c r="D811" i="1"/>
  <c r="D810" i="1"/>
  <c r="E810" i="1" s="1"/>
  <c r="E809" i="1"/>
  <c r="D809" i="1"/>
  <c r="D808" i="1"/>
  <c r="E808" i="1" s="1"/>
  <c r="E807" i="1"/>
  <c r="D807" i="1"/>
  <c r="D806" i="1"/>
  <c r="E806" i="1" s="1"/>
  <c r="E805" i="1"/>
  <c r="D805" i="1"/>
  <c r="D804" i="1"/>
  <c r="E804" i="1" s="1"/>
  <c r="E803" i="1"/>
  <c r="D803" i="1"/>
  <c r="D802" i="1"/>
  <c r="E802" i="1" s="1"/>
  <c r="E801" i="1"/>
  <c r="D801" i="1"/>
  <c r="D800" i="1"/>
  <c r="E800" i="1" s="1"/>
  <c r="E799" i="1"/>
  <c r="D799" i="1"/>
  <c r="D798" i="1"/>
  <c r="E798" i="1" s="1"/>
  <c r="E797" i="1"/>
  <c r="D797" i="1"/>
  <c r="D796" i="1"/>
  <c r="E796" i="1" s="1"/>
  <c r="E795" i="1"/>
  <c r="D795" i="1"/>
  <c r="D794" i="1"/>
  <c r="E794" i="1" s="1"/>
  <c r="E793" i="1"/>
  <c r="D793" i="1"/>
  <c r="D792" i="1"/>
  <c r="E792" i="1" s="1"/>
  <c r="E791" i="1"/>
  <c r="D791" i="1"/>
  <c r="D790" i="1"/>
  <c r="E790" i="1" s="1"/>
  <c r="E789" i="1"/>
  <c r="D789" i="1"/>
  <c r="D788" i="1"/>
  <c r="E788" i="1" s="1"/>
  <c r="E787" i="1"/>
  <c r="D787" i="1"/>
  <c r="D786" i="1"/>
  <c r="E786" i="1" s="1"/>
  <c r="E785" i="1"/>
  <c r="D785" i="1"/>
  <c r="D784" i="1"/>
  <c r="E784" i="1" s="1"/>
  <c r="E783" i="1"/>
  <c r="D783" i="1"/>
  <c r="D782" i="1"/>
  <c r="E782" i="1" s="1"/>
  <c r="E781" i="1"/>
  <c r="D781" i="1"/>
  <c r="D780" i="1"/>
  <c r="E780" i="1" s="1"/>
  <c r="E779" i="1"/>
  <c r="D779" i="1"/>
  <c r="D778" i="1"/>
  <c r="E778" i="1" s="1"/>
  <c r="E777" i="1"/>
  <c r="D777" i="1"/>
  <c r="D776" i="1"/>
  <c r="E776" i="1" s="1"/>
  <c r="E775" i="1"/>
  <c r="D775" i="1"/>
  <c r="D774" i="1"/>
  <c r="E774" i="1" s="1"/>
  <c r="E773" i="1"/>
  <c r="D773" i="1"/>
  <c r="D772" i="1"/>
  <c r="E772" i="1" s="1"/>
  <c r="D771" i="1"/>
  <c r="E771" i="1" s="1"/>
  <c r="D770" i="1"/>
  <c r="E770" i="1" s="1"/>
  <c r="E769" i="1"/>
  <c r="D769" i="1"/>
  <c r="D768" i="1"/>
  <c r="E768" i="1" s="1"/>
  <c r="E767" i="1"/>
  <c r="D767" i="1"/>
  <c r="D766" i="1"/>
  <c r="E766" i="1" s="1"/>
  <c r="E765" i="1"/>
  <c r="D765" i="1"/>
  <c r="D764" i="1"/>
  <c r="E764" i="1" s="1"/>
  <c r="E763" i="1"/>
  <c r="D763" i="1"/>
  <c r="D762" i="1"/>
  <c r="E762" i="1" s="1"/>
  <c r="E761" i="1"/>
  <c r="D761" i="1"/>
  <c r="D760" i="1"/>
  <c r="E760" i="1" s="1"/>
  <c r="E759" i="1"/>
  <c r="D759" i="1"/>
  <c r="D758" i="1"/>
  <c r="E758" i="1" s="1"/>
  <c r="E757" i="1"/>
  <c r="D757" i="1"/>
  <c r="D756" i="1"/>
  <c r="E756" i="1" s="1"/>
  <c r="E755" i="1"/>
  <c r="D755" i="1"/>
  <c r="D754" i="1"/>
  <c r="E754" i="1" s="1"/>
  <c r="E753" i="1"/>
  <c r="D753" i="1"/>
  <c r="D752" i="1"/>
  <c r="E752" i="1" s="1"/>
  <c r="E751" i="1"/>
  <c r="D751" i="1"/>
  <c r="D750" i="1"/>
  <c r="E750" i="1" s="1"/>
  <c r="E749" i="1"/>
  <c r="D749" i="1"/>
  <c r="D748" i="1"/>
  <c r="E748" i="1" s="1"/>
  <c r="E747" i="1"/>
  <c r="D747" i="1"/>
  <c r="D746" i="1"/>
  <c r="E746" i="1" s="1"/>
  <c r="E745" i="1"/>
  <c r="D745" i="1"/>
  <c r="D744" i="1"/>
  <c r="E744" i="1" s="1"/>
  <c r="E743" i="1"/>
  <c r="D743" i="1"/>
  <c r="D742" i="1"/>
  <c r="E742" i="1" s="1"/>
  <c r="E741" i="1"/>
  <c r="D741" i="1"/>
  <c r="D740" i="1"/>
  <c r="E740" i="1" s="1"/>
  <c r="D739" i="1"/>
  <c r="E739" i="1" s="1"/>
  <c r="D738" i="1"/>
  <c r="E738" i="1" s="1"/>
  <c r="E737" i="1"/>
  <c r="D737" i="1"/>
  <c r="D736" i="1"/>
  <c r="E736" i="1" s="1"/>
  <c r="E735" i="1"/>
  <c r="D735" i="1"/>
  <c r="D734" i="1"/>
  <c r="E734" i="1" s="1"/>
  <c r="E733" i="1"/>
  <c r="D733" i="1"/>
  <c r="D732" i="1"/>
  <c r="E732" i="1" s="1"/>
  <c r="E731" i="1"/>
  <c r="D731" i="1"/>
  <c r="D730" i="1"/>
  <c r="E730" i="1" s="1"/>
  <c r="E729" i="1"/>
  <c r="D729" i="1"/>
  <c r="D728" i="1"/>
  <c r="E728" i="1" s="1"/>
  <c r="E727" i="1"/>
  <c r="D727" i="1"/>
  <c r="D726" i="1"/>
  <c r="E726" i="1" s="1"/>
  <c r="E725" i="1"/>
  <c r="D725" i="1"/>
  <c r="D724" i="1"/>
  <c r="E724" i="1" s="1"/>
  <c r="D723" i="1"/>
  <c r="E723" i="1" s="1"/>
  <c r="D722" i="1"/>
  <c r="E722" i="1" s="1"/>
  <c r="E721" i="1"/>
  <c r="D721" i="1"/>
  <c r="D720" i="1"/>
  <c r="E720" i="1" s="1"/>
  <c r="E719" i="1"/>
  <c r="D719" i="1"/>
  <c r="D718" i="1"/>
  <c r="E718" i="1" s="1"/>
  <c r="E717" i="1"/>
  <c r="D717" i="1"/>
  <c r="D716" i="1"/>
  <c r="E716" i="1" s="1"/>
  <c r="E715" i="1"/>
  <c r="D715" i="1"/>
  <c r="D714" i="1"/>
  <c r="E714" i="1" s="1"/>
  <c r="E713" i="1"/>
  <c r="D713" i="1"/>
  <c r="D712" i="1"/>
  <c r="E712" i="1" s="1"/>
  <c r="E711" i="1"/>
  <c r="D711" i="1"/>
  <c r="D710" i="1"/>
  <c r="E710" i="1" s="1"/>
  <c r="E709" i="1"/>
  <c r="D709" i="1"/>
  <c r="D708" i="1"/>
  <c r="E708" i="1" s="1"/>
  <c r="D707" i="1"/>
  <c r="E707" i="1" s="1"/>
  <c r="D706" i="1"/>
  <c r="E706" i="1" s="1"/>
  <c r="E705" i="1"/>
  <c r="D705" i="1"/>
  <c r="D704" i="1"/>
  <c r="E704" i="1" s="1"/>
  <c r="E703" i="1"/>
  <c r="D703" i="1"/>
  <c r="D702" i="1"/>
  <c r="E702" i="1" s="1"/>
  <c r="E701" i="1"/>
  <c r="D701" i="1"/>
  <c r="D700" i="1"/>
  <c r="E700" i="1" s="1"/>
  <c r="E699" i="1"/>
  <c r="D699" i="1"/>
  <c r="D698" i="1"/>
  <c r="E698" i="1" s="1"/>
  <c r="E697" i="1"/>
  <c r="D697" i="1"/>
  <c r="D696" i="1"/>
  <c r="E696" i="1" s="1"/>
  <c r="E695" i="1"/>
  <c r="D695" i="1"/>
  <c r="D694" i="1"/>
  <c r="E694" i="1" s="1"/>
  <c r="E693" i="1"/>
  <c r="D693" i="1"/>
  <c r="D692" i="1"/>
  <c r="E692" i="1" s="1"/>
  <c r="D691" i="1"/>
  <c r="E691" i="1" s="1"/>
  <c r="D690" i="1"/>
  <c r="E690" i="1" s="1"/>
  <c r="E689" i="1"/>
  <c r="D689" i="1"/>
  <c r="D688" i="1"/>
  <c r="E688" i="1" s="1"/>
  <c r="E687" i="1"/>
  <c r="D687" i="1"/>
  <c r="D686" i="1"/>
  <c r="E686" i="1" s="1"/>
  <c r="E685" i="1"/>
  <c r="D685" i="1"/>
  <c r="D684" i="1"/>
  <c r="E684" i="1" s="1"/>
  <c r="E683" i="1"/>
  <c r="D683" i="1"/>
  <c r="D682" i="1"/>
  <c r="E682" i="1" s="1"/>
  <c r="E681" i="1"/>
  <c r="D681" i="1"/>
  <c r="D680" i="1"/>
  <c r="E680" i="1" s="1"/>
  <c r="E679" i="1"/>
  <c r="D679" i="1"/>
  <c r="D678" i="1"/>
  <c r="E678" i="1" s="1"/>
  <c r="E677" i="1"/>
  <c r="D677" i="1"/>
  <c r="D676" i="1"/>
  <c r="E676" i="1" s="1"/>
  <c r="D675" i="1"/>
  <c r="E675" i="1" s="1"/>
  <c r="D674" i="1"/>
  <c r="E674" i="1" s="1"/>
  <c r="E673" i="1"/>
  <c r="D673" i="1"/>
  <c r="D672" i="1"/>
  <c r="E672" i="1" s="1"/>
  <c r="E671" i="1"/>
  <c r="D671" i="1"/>
  <c r="D670" i="1"/>
  <c r="E670" i="1" s="1"/>
  <c r="E669" i="1"/>
  <c r="D669" i="1"/>
  <c r="D668" i="1"/>
  <c r="E668" i="1" s="1"/>
  <c r="E667" i="1"/>
  <c r="D667" i="1"/>
  <c r="D666" i="1"/>
  <c r="E666" i="1" s="1"/>
  <c r="E665" i="1"/>
  <c r="D665" i="1"/>
  <c r="D664" i="1"/>
  <c r="E664" i="1" s="1"/>
  <c r="E663" i="1"/>
  <c r="D663" i="1"/>
  <c r="D662" i="1"/>
  <c r="E662" i="1" s="1"/>
  <c r="E661" i="1"/>
  <c r="D661" i="1"/>
  <c r="D660" i="1"/>
  <c r="E660" i="1" s="1"/>
  <c r="D659" i="1"/>
  <c r="E659" i="1" s="1"/>
  <c r="D658" i="1"/>
  <c r="E658" i="1" s="1"/>
  <c r="E657" i="1"/>
  <c r="D657" i="1"/>
  <c r="D656" i="1"/>
  <c r="E656" i="1" s="1"/>
  <c r="E655" i="1"/>
  <c r="D655" i="1"/>
  <c r="D654" i="1"/>
  <c r="E654" i="1" s="1"/>
  <c r="E653" i="1"/>
  <c r="D653" i="1"/>
  <c r="D652" i="1"/>
  <c r="E652" i="1" s="1"/>
  <c r="E651" i="1"/>
  <c r="D651" i="1"/>
  <c r="D650" i="1"/>
  <c r="E650" i="1" s="1"/>
  <c r="E649" i="1"/>
  <c r="D649" i="1"/>
  <c r="D648" i="1"/>
  <c r="E648" i="1" s="1"/>
  <c r="E647" i="1"/>
  <c r="D647" i="1"/>
  <c r="D646" i="1"/>
  <c r="E646" i="1" s="1"/>
  <c r="E645" i="1"/>
  <c r="D645" i="1"/>
  <c r="D644" i="1"/>
  <c r="E644" i="1" s="1"/>
  <c r="D643" i="1"/>
  <c r="E643" i="1" s="1"/>
  <c r="D642" i="1"/>
  <c r="E642" i="1" s="1"/>
  <c r="E641" i="1"/>
  <c r="D641" i="1"/>
  <c r="D640" i="1"/>
  <c r="E640" i="1" s="1"/>
  <c r="E639" i="1"/>
  <c r="D639" i="1"/>
  <c r="D638" i="1"/>
  <c r="E638" i="1" s="1"/>
  <c r="E637" i="1"/>
  <c r="D637" i="1"/>
  <c r="D636" i="1"/>
  <c r="E636" i="1" s="1"/>
  <c r="E635" i="1"/>
  <c r="D635" i="1"/>
  <c r="D634" i="1"/>
  <c r="E634" i="1" s="1"/>
  <c r="E633" i="1"/>
  <c r="D633" i="1"/>
  <c r="D632" i="1"/>
  <c r="E632" i="1" s="1"/>
  <c r="E631" i="1"/>
  <c r="D631" i="1"/>
  <c r="D630" i="1"/>
  <c r="E630" i="1" s="1"/>
  <c r="E629" i="1"/>
  <c r="D629" i="1"/>
  <c r="D628" i="1"/>
  <c r="E628" i="1" s="1"/>
  <c r="D627" i="1"/>
  <c r="E627" i="1" s="1"/>
  <c r="D626" i="1"/>
  <c r="E626" i="1" s="1"/>
  <c r="E625" i="1"/>
  <c r="D625" i="1"/>
  <c r="D624" i="1"/>
  <c r="E624" i="1" s="1"/>
  <c r="E623" i="1"/>
  <c r="D623" i="1"/>
  <c r="D622" i="1"/>
  <c r="E622" i="1" s="1"/>
  <c r="E621" i="1"/>
  <c r="D621" i="1"/>
  <c r="D620" i="1"/>
  <c r="E620" i="1" s="1"/>
  <c r="E619" i="1"/>
  <c r="D619" i="1"/>
  <c r="D618" i="1"/>
  <c r="E618" i="1" s="1"/>
  <c r="E617" i="1"/>
  <c r="D617" i="1"/>
  <c r="D616" i="1"/>
  <c r="E616" i="1" s="1"/>
  <c r="E615" i="1"/>
  <c r="D615" i="1"/>
  <c r="D614" i="1"/>
  <c r="E614" i="1" s="1"/>
  <c r="E613" i="1"/>
  <c r="D613" i="1"/>
  <c r="D612" i="1"/>
  <c r="E612" i="1" s="1"/>
  <c r="D611" i="1"/>
  <c r="E611" i="1" s="1"/>
  <c r="D610" i="1"/>
  <c r="E610" i="1" s="1"/>
  <c r="E609" i="1"/>
  <c r="D609" i="1"/>
  <c r="D608" i="1"/>
  <c r="E608" i="1" s="1"/>
  <c r="E607" i="1"/>
  <c r="D607" i="1"/>
  <c r="D606" i="1"/>
  <c r="E606" i="1" s="1"/>
  <c r="E605" i="1"/>
  <c r="D605" i="1"/>
  <c r="D604" i="1"/>
  <c r="E604" i="1" s="1"/>
  <c r="E603" i="1"/>
  <c r="D603" i="1"/>
  <c r="D602" i="1"/>
  <c r="E602" i="1" s="1"/>
  <c r="E601" i="1"/>
  <c r="D601" i="1"/>
  <c r="D600" i="1"/>
  <c r="E600" i="1" s="1"/>
  <c r="E599" i="1"/>
  <c r="D599" i="1"/>
  <c r="D598" i="1"/>
  <c r="E598" i="1" s="1"/>
  <c r="E597" i="1"/>
  <c r="D597" i="1"/>
  <c r="D596" i="1"/>
  <c r="E596" i="1" s="1"/>
  <c r="D595" i="1"/>
  <c r="E595" i="1" s="1"/>
  <c r="D594" i="1"/>
  <c r="E594" i="1" s="1"/>
  <c r="E593" i="1"/>
  <c r="D593" i="1"/>
  <c r="D592" i="1"/>
  <c r="E592" i="1" s="1"/>
  <c r="E591" i="1"/>
  <c r="D591" i="1"/>
  <c r="D590" i="1"/>
  <c r="E590" i="1" s="1"/>
  <c r="E589" i="1"/>
  <c r="D589" i="1"/>
  <c r="D588" i="1"/>
  <c r="E588" i="1" s="1"/>
  <c r="E587" i="1"/>
  <c r="D587" i="1"/>
  <c r="D586" i="1"/>
  <c r="E586" i="1" s="1"/>
  <c r="E585" i="1"/>
  <c r="D585" i="1"/>
  <c r="D584" i="1"/>
  <c r="E584" i="1" s="1"/>
  <c r="E583" i="1"/>
  <c r="D583" i="1"/>
  <c r="D582" i="1"/>
  <c r="E582" i="1" s="1"/>
  <c r="E581" i="1"/>
  <c r="D581" i="1"/>
  <c r="D580" i="1"/>
  <c r="E580" i="1" s="1"/>
  <c r="D579" i="1"/>
  <c r="E579" i="1" s="1"/>
  <c r="D578" i="1"/>
  <c r="E578" i="1" s="1"/>
  <c r="E577" i="1"/>
  <c r="D577" i="1"/>
  <c r="D576" i="1"/>
  <c r="E576" i="1" s="1"/>
  <c r="E575" i="1"/>
  <c r="D575" i="1"/>
  <c r="D574" i="1"/>
  <c r="E574" i="1" s="1"/>
  <c r="E573" i="1"/>
  <c r="D573" i="1"/>
  <c r="D572" i="1"/>
  <c r="E572" i="1" s="1"/>
  <c r="E571" i="1"/>
  <c r="D571" i="1"/>
  <c r="D570" i="1"/>
  <c r="E570" i="1" s="1"/>
  <c r="E569" i="1"/>
  <c r="D569" i="1"/>
  <c r="D568" i="1"/>
  <c r="E568" i="1" s="1"/>
  <c r="E567" i="1"/>
  <c r="D567" i="1"/>
  <c r="D566" i="1"/>
  <c r="E566" i="1" s="1"/>
  <c r="E565" i="1"/>
  <c r="D565" i="1"/>
  <c r="D564" i="1"/>
  <c r="E564" i="1" s="1"/>
  <c r="D563" i="1"/>
  <c r="E563" i="1" s="1"/>
  <c r="D562" i="1"/>
  <c r="E562" i="1" s="1"/>
  <c r="E561" i="1"/>
  <c r="D561" i="1"/>
  <c r="D560" i="1"/>
  <c r="E560" i="1" s="1"/>
  <c r="E559" i="1"/>
  <c r="D559" i="1"/>
  <c r="D558" i="1"/>
  <c r="E558" i="1" s="1"/>
  <c r="E557" i="1"/>
  <c r="D557" i="1"/>
  <c r="D556" i="1"/>
  <c r="E556" i="1" s="1"/>
  <c r="E555" i="1"/>
  <c r="D555" i="1"/>
  <c r="D554" i="1"/>
  <c r="E554" i="1" s="1"/>
  <c r="E553" i="1"/>
  <c r="D553" i="1"/>
  <c r="D552" i="1"/>
  <c r="E552" i="1" s="1"/>
  <c r="E551" i="1"/>
  <c r="D551" i="1"/>
  <c r="D550" i="1"/>
  <c r="E550" i="1" s="1"/>
  <c r="E549" i="1"/>
  <c r="D549" i="1"/>
  <c r="D548" i="1"/>
  <c r="E548" i="1" s="1"/>
  <c r="D547" i="1"/>
  <c r="E547" i="1" s="1"/>
  <c r="D546" i="1"/>
  <c r="E546" i="1" s="1"/>
  <c r="E545" i="1"/>
  <c r="D545" i="1"/>
  <c r="D544" i="1"/>
  <c r="E544" i="1" s="1"/>
  <c r="E543" i="1"/>
  <c r="D543" i="1"/>
  <c r="D542" i="1"/>
  <c r="E542" i="1" s="1"/>
  <c r="E541" i="1"/>
  <c r="D541" i="1"/>
  <c r="D540" i="1"/>
  <c r="E540" i="1" s="1"/>
  <c r="E539" i="1"/>
  <c r="D539" i="1"/>
  <c r="D538" i="1"/>
  <c r="E538" i="1" s="1"/>
  <c r="E537" i="1"/>
  <c r="D537" i="1"/>
  <c r="D536" i="1"/>
  <c r="E536" i="1" s="1"/>
  <c r="E535" i="1"/>
  <c r="D535" i="1"/>
  <c r="D534" i="1"/>
  <c r="E534" i="1" s="1"/>
  <c r="E533" i="1"/>
  <c r="D533" i="1"/>
  <c r="D532" i="1"/>
  <c r="E532" i="1" s="1"/>
  <c r="D531" i="1"/>
  <c r="E531" i="1" s="1"/>
  <c r="D530" i="1"/>
  <c r="E530" i="1" s="1"/>
  <c r="E529" i="1"/>
  <c r="D529" i="1"/>
  <c r="D528" i="1"/>
  <c r="E528" i="1" s="1"/>
  <c r="E527" i="1"/>
  <c r="D527" i="1"/>
  <c r="D526" i="1"/>
  <c r="E526" i="1" s="1"/>
  <c r="E525" i="1"/>
  <c r="D525" i="1"/>
  <c r="D524" i="1"/>
  <c r="E524" i="1" s="1"/>
  <c r="E523" i="1"/>
  <c r="D523" i="1"/>
  <c r="D522" i="1"/>
  <c r="E522" i="1" s="1"/>
  <c r="E521" i="1"/>
  <c r="D521" i="1"/>
  <c r="D520" i="1"/>
  <c r="E520" i="1" s="1"/>
  <c r="E519" i="1"/>
  <c r="D519" i="1"/>
  <c r="D518" i="1"/>
  <c r="E518" i="1" s="1"/>
  <c r="E517" i="1"/>
  <c r="D517" i="1"/>
  <c r="D516" i="1"/>
  <c r="E516" i="1" s="1"/>
  <c r="D515" i="1"/>
  <c r="E515" i="1" s="1"/>
  <c r="D514" i="1"/>
  <c r="E514" i="1" s="1"/>
  <c r="E513" i="1"/>
  <c r="D513" i="1"/>
  <c r="D512" i="1"/>
  <c r="E512" i="1" s="1"/>
  <c r="E511" i="1"/>
  <c r="D511" i="1"/>
  <c r="D510" i="1"/>
  <c r="E510" i="1" s="1"/>
  <c r="E509" i="1"/>
  <c r="D509" i="1"/>
  <c r="D508" i="1"/>
  <c r="E508" i="1" s="1"/>
  <c r="E507" i="1"/>
  <c r="D507" i="1"/>
  <c r="D506" i="1"/>
  <c r="E506" i="1" s="1"/>
  <c r="E505" i="1"/>
  <c r="D505" i="1"/>
  <c r="D504" i="1"/>
  <c r="E504" i="1" s="1"/>
  <c r="E503" i="1"/>
  <c r="D503" i="1"/>
  <c r="D502" i="1"/>
  <c r="E502" i="1" s="1"/>
  <c r="E501" i="1"/>
  <c r="D501" i="1"/>
  <c r="D500" i="1"/>
  <c r="E500" i="1" s="1"/>
  <c r="D499" i="1"/>
  <c r="E499" i="1" s="1"/>
  <c r="D498" i="1"/>
  <c r="E498" i="1" s="1"/>
  <c r="E497" i="1"/>
  <c r="D497" i="1"/>
  <c r="D496" i="1"/>
  <c r="E496" i="1" s="1"/>
  <c r="E495" i="1"/>
  <c r="D495" i="1"/>
  <c r="D494" i="1"/>
  <c r="E494" i="1" s="1"/>
  <c r="E493" i="1"/>
  <c r="D493" i="1"/>
  <c r="D492" i="1"/>
  <c r="E492" i="1" s="1"/>
  <c r="E491" i="1"/>
  <c r="D491" i="1"/>
  <c r="D490" i="1"/>
  <c r="E490" i="1" s="1"/>
  <c r="E489" i="1"/>
  <c r="D489" i="1"/>
  <c r="D488" i="1"/>
  <c r="E488" i="1" s="1"/>
  <c r="E487" i="1"/>
  <c r="D487" i="1"/>
  <c r="D486" i="1"/>
  <c r="E486" i="1" s="1"/>
  <c r="E485" i="1"/>
  <c r="D485" i="1"/>
  <c r="D484" i="1"/>
  <c r="E484" i="1" s="1"/>
  <c r="D483" i="1"/>
  <c r="E483" i="1" s="1"/>
  <c r="D482" i="1"/>
  <c r="E482" i="1" s="1"/>
  <c r="E481" i="1"/>
  <c r="D481" i="1"/>
  <c r="D480" i="1"/>
  <c r="E480" i="1" s="1"/>
  <c r="E479" i="1"/>
  <c r="D479" i="1"/>
  <c r="D478" i="1"/>
  <c r="E478" i="1" s="1"/>
  <c r="E477" i="1"/>
  <c r="D477" i="1"/>
  <c r="D476" i="1"/>
  <c r="E476" i="1" s="1"/>
  <c r="E475" i="1"/>
  <c r="D475" i="1"/>
  <c r="D474" i="1"/>
  <c r="E474" i="1" s="1"/>
  <c r="E473" i="1"/>
  <c r="D473" i="1"/>
  <c r="D472" i="1"/>
  <c r="E472" i="1" s="1"/>
  <c r="E471" i="1"/>
  <c r="D471" i="1"/>
  <c r="D470" i="1"/>
  <c r="E470" i="1" s="1"/>
  <c r="E469" i="1"/>
  <c r="D469" i="1"/>
  <c r="D468" i="1"/>
  <c r="E468" i="1" s="1"/>
  <c r="D467" i="1"/>
  <c r="E467" i="1" s="1"/>
  <c r="D466" i="1"/>
  <c r="E466" i="1" s="1"/>
  <c r="E465" i="1"/>
  <c r="D465" i="1"/>
  <c r="D464" i="1"/>
  <c r="E464" i="1" s="1"/>
  <c r="E463" i="1"/>
  <c r="D463" i="1"/>
  <c r="D462" i="1"/>
  <c r="E462" i="1" s="1"/>
  <c r="E461" i="1"/>
  <c r="D461" i="1"/>
  <c r="D460" i="1"/>
  <c r="E460" i="1" s="1"/>
  <c r="E459" i="1"/>
  <c r="D459" i="1"/>
  <c r="D458" i="1"/>
  <c r="E458" i="1" s="1"/>
  <c r="E457" i="1"/>
  <c r="D457" i="1"/>
  <c r="D456" i="1"/>
  <c r="E456" i="1" s="1"/>
  <c r="E455" i="1"/>
  <c r="D455" i="1"/>
  <c r="D454" i="1"/>
  <c r="E454" i="1" s="1"/>
  <c r="E453" i="1"/>
  <c r="D453" i="1"/>
  <c r="D452" i="1"/>
  <c r="E452" i="1" s="1"/>
  <c r="D451" i="1"/>
  <c r="E451" i="1" s="1"/>
  <c r="D450" i="1"/>
  <c r="E450" i="1" s="1"/>
  <c r="E449" i="1"/>
  <c r="D449" i="1"/>
  <c r="D448" i="1"/>
  <c r="E448" i="1" s="1"/>
  <c r="E447" i="1"/>
  <c r="D447" i="1"/>
  <c r="D446" i="1"/>
  <c r="E446" i="1" s="1"/>
  <c r="E445" i="1"/>
  <c r="D445" i="1"/>
  <c r="D444" i="1"/>
  <c r="E444" i="1" s="1"/>
  <c r="E443" i="1"/>
  <c r="D443" i="1"/>
  <c r="D442" i="1"/>
  <c r="E442" i="1" s="1"/>
  <c r="E441" i="1"/>
  <c r="D441" i="1"/>
  <c r="D440" i="1"/>
  <c r="E440" i="1" s="1"/>
  <c r="E439" i="1"/>
  <c r="D439" i="1"/>
  <c r="D438" i="1"/>
  <c r="E438" i="1" s="1"/>
  <c r="E437" i="1"/>
  <c r="D437" i="1"/>
  <c r="D436" i="1"/>
  <c r="E436" i="1" s="1"/>
  <c r="D435" i="1"/>
  <c r="E435" i="1" s="1"/>
  <c r="D434" i="1"/>
  <c r="E434" i="1" s="1"/>
  <c r="E433" i="1"/>
  <c r="D433" i="1"/>
  <c r="D432" i="1"/>
  <c r="E432" i="1" s="1"/>
  <c r="E431" i="1"/>
  <c r="D431" i="1"/>
  <c r="D430" i="1"/>
  <c r="E430" i="1" s="1"/>
  <c r="E429" i="1"/>
  <c r="D429" i="1"/>
  <c r="D428" i="1"/>
  <c r="E428" i="1" s="1"/>
  <c r="E427" i="1"/>
  <c r="D427" i="1"/>
  <c r="D426" i="1"/>
  <c r="E426" i="1" s="1"/>
  <c r="E425" i="1"/>
  <c r="D425" i="1"/>
  <c r="D424" i="1"/>
  <c r="E424" i="1" s="1"/>
  <c r="E423" i="1"/>
  <c r="D423" i="1"/>
  <c r="D422" i="1"/>
  <c r="E422" i="1" s="1"/>
  <c r="E421" i="1"/>
  <c r="D421" i="1"/>
  <c r="D420" i="1"/>
  <c r="E420" i="1" s="1"/>
  <c r="D419" i="1"/>
  <c r="E419" i="1" s="1"/>
  <c r="D418" i="1"/>
  <c r="E418" i="1" s="1"/>
  <c r="E417" i="1"/>
  <c r="D417" i="1"/>
  <c r="D416" i="1"/>
  <c r="E416" i="1" s="1"/>
  <c r="E415" i="1"/>
  <c r="D415" i="1"/>
  <c r="D414" i="1"/>
  <c r="E414" i="1" s="1"/>
  <c r="E413" i="1"/>
  <c r="D413" i="1"/>
  <c r="D412" i="1"/>
  <c r="E412" i="1" s="1"/>
  <c r="E411" i="1"/>
  <c r="D411" i="1"/>
  <c r="D410" i="1"/>
  <c r="E410" i="1" s="1"/>
  <c r="E409" i="1"/>
  <c r="D409" i="1"/>
  <c r="D408" i="1"/>
  <c r="E408" i="1" s="1"/>
  <c r="E407" i="1"/>
  <c r="D407" i="1"/>
  <c r="D406" i="1"/>
  <c r="E406" i="1" s="1"/>
  <c r="E405" i="1"/>
  <c r="D405" i="1"/>
  <c r="D404" i="1"/>
  <c r="E404" i="1" s="1"/>
  <c r="D403" i="1"/>
  <c r="E403" i="1" s="1"/>
  <c r="D402" i="1"/>
  <c r="E402" i="1" s="1"/>
  <c r="E401" i="1"/>
  <c r="D401" i="1"/>
  <c r="D400" i="1"/>
  <c r="E400" i="1" s="1"/>
  <c r="E399" i="1"/>
  <c r="D399" i="1"/>
  <c r="D398" i="1"/>
  <c r="E398" i="1" s="1"/>
  <c r="E397" i="1"/>
  <c r="D397" i="1"/>
  <c r="D396" i="1"/>
  <c r="E396" i="1" s="1"/>
  <c r="E395" i="1"/>
  <c r="D395" i="1"/>
  <c r="D394" i="1"/>
  <c r="E394" i="1" s="1"/>
  <c r="E393" i="1"/>
  <c r="D393" i="1"/>
  <c r="D392" i="1"/>
  <c r="E392" i="1" s="1"/>
  <c r="E391" i="1"/>
  <c r="D391" i="1"/>
  <c r="D390" i="1"/>
  <c r="E390" i="1" s="1"/>
  <c r="E389" i="1"/>
  <c r="D389" i="1"/>
  <c r="D388" i="1"/>
  <c r="E388" i="1" s="1"/>
  <c r="D387" i="1"/>
  <c r="E387" i="1" s="1"/>
  <c r="D386" i="1"/>
  <c r="E386" i="1" s="1"/>
  <c r="E385" i="1"/>
  <c r="D385" i="1"/>
  <c r="D384" i="1"/>
  <c r="E384" i="1" s="1"/>
  <c r="E383" i="1"/>
  <c r="D383" i="1"/>
  <c r="D382" i="1"/>
  <c r="E382" i="1" s="1"/>
  <c r="E381" i="1"/>
  <c r="D381" i="1"/>
  <c r="D380" i="1"/>
  <c r="E380" i="1" s="1"/>
  <c r="E379" i="1"/>
  <c r="D379" i="1"/>
  <c r="D378" i="1"/>
  <c r="E378" i="1" s="1"/>
  <c r="E377" i="1"/>
  <c r="D377" i="1"/>
  <c r="D376" i="1"/>
  <c r="E376" i="1" s="1"/>
  <c r="E375" i="1"/>
  <c r="D375" i="1"/>
  <c r="D374" i="1"/>
  <c r="E374" i="1" s="1"/>
  <c r="E373" i="1"/>
  <c r="D373" i="1"/>
  <c r="D372" i="1"/>
  <c r="E372" i="1" s="1"/>
  <c r="D371" i="1"/>
  <c r="E371" i="1" s="1"/>
  <c r="D370" i="1"/>
  <c r="E370" i="1" s="1"/>
  <c r="E369" i="1"/>
  <c r="D369" i="1"/>
  <c r="D368" i="1"/>
  <c r="E368" i="1" s="1"/>
  <c r="E367" i="1"/>
  <c r="D367" i="1"/>
  <c r="D366" i="1"/>
  <c r="E366" i="1" s="1"/>
  <c r="E365" i="1"/>
  <c r="D365" i="1"/>
  <c r="D364" i="1"/>
  <c r="E364" i="1" s="1"/>
  <c r="E363" i="1"/>
  <c r="D363" i="1"/>
  <c r="D362" i="1"/>
  <c r="E362" i="1" s="1"/>
  <c r="E361" i="1"/>
  <c r="D361" i="1"/>
  <c r="D360" i="1"/>
  <c r="E360" i="1" s="1"/>
  <c r="E359" i="1"/>
  <c r="D359" i="1"/>
  <c r="D358" i="1"/>
  <c r="E358" i="1" s="1"/>
  <c r="E357" i="1"/>
  <c r="D357" i="1"/>
  <c r="D356" i="1"/>
  <c r="E356" i="1" s="1"/>
  <c r="D355" i="1"/>
  <c r="E355" i="1" s="1"/>
  <c r="D354" i="1"/>
  <c r="E354" i="1" s="1"/>
  <c r="E353" i="1"/>
  <c r="D353" i="1"/>
  <c r="D352" i="1"/>
  <c r="E352" i="1" s="1"/>
  <c r="E351" i="1"/>
  <c r="D351" i="1"/>
  <c r="D350" i="1"/>
  <c r="E350" i="1" s="1"/>
  <c r="E349" i="1"/>
  <c r="D349" i="1"/>
  <c r="D348" i="1"/>
  <c r="E348" i="1" s="1"/>
  <c r="E347" i="1"/>
  <c r="D347" i="1"/>
  <c r="D346" i="1"/>
  <c r="E346" i="1" s="1"/>
  <c r="E345" i="1"/>
  <c r="D345" i="1"/>
  <c r="D344" i="1"/>
  <c r="E344" i="1" s="1"/>
  <c r="E343" i="1"/>
  <c r="D343" i="1"/>
  <c r="D342" i="1"/>
  <c r="E342" i="1" s="1"/>
  <c r="E341" i="1"/>
  <c r="D341" i="1"/>
  <c r="D340" i="1"/>
  <c r="E340" i="1" s="1"/>
  <c r="D339" i="1"/>
  <c r="E339" i="1" s="1"/>
  <c r="D338" i="1"/>
  <c r="E338" i="1" s="1"/>
  <c r="E337" i="1"/>
  <c r="D337" i="1"/>
  <c r="D336" i="1"/>
  <c r="E336" i="1" s="1"/>
  <c r="E335" i="1"/>
  <c r="D335" i="1"/>
  <c r="D334" i="1"/>
  <c r="E334" i="1" s="1"/>
  <c r="E333" i="1"/>
  <c r="D333" i="1"/>
  <c r="D332" i="1"/>
  <c r="E332" i="1" s="1"/>
  <c r="E331" i="1"/>
  <c r="D331" i="1"/>
  <c r="D330" i="1"/>
  <c r="E330" i="1" s="1"/>
  <c r="E329" i="1"/>
  <c r="D329" i="1"/>
  <c r="D328" i="1"/>
  <c r="E328" i="1" s="1"/>
  <c r="E327" i="1"/>
  <c r="D327" i="1"/>
  <c r="D326" i="1"/>
  <c r="E326" i="1" s="1"/>
  <c r="E325" i="1"/>
  <c r="D325" i="1"/>
  <c r="D324" i="1"/>
  <c r="E324" i="1" s="1"/>
  <c r="D323" i="1"/>
  <c r="E323" i="1" s="1"/>
  <c r="D322" i="1"/>
  <c r="E322" i="1" s="1"/>
  <c r="E321" i="1"/>
  <c r="D321" i="1"/>
  <c r="D320" i="1"/>
  <c r="E320" i="1" s="1"/>
  <c r="E319" i="1"/>
  <c r="D319" i="1"/>
  <c r="D318" i="1"/>
  <c r="E318" i="1" s="1"/>
  <c r="E317" i="1"/>
  <c r="D317" i="1"/>
  <c r="D316" i="1"/>
  <c r="E316" i="1" s="1"/>
  <c r="E315" i="1"/>
  <c r="D315" i="1"/>
  <c r="D314" i="1"/>
  <c r="E314" i="1" s="1"/>
  <c r="E313" i="1"/>
  <c r="D313" i="1"/>
  <c r="D312" i="1"/>
  <c r="E312" i="1" s="1"/>
  <c r="E311" i="1"/>
  <c r="D311" i="1"/>
  <c r="D310" i="1"/>
  <c r="E310" i="1" s="1"/>
  <c r="E309" i="1"/>
  <c r="D309" i="1"/>
  <c r="D308" i="1"/>
  <c r="E308" i="1" s="1"/>
  <c r="D307" i="1"/>
  <c r="E307" i="1" s="1"/>
  <c r="D306" i="1"/>
  <c r="E306" i="1" s="1"/>
  <c r="E305" i="1"/>
  <c r="D305" i="1"/>
  <c r="D304" i="1"/>
  <c r="E304" i="1" s="1"/>
  <c r="E303" i="1"/>
  <c r="D303" i="1"/>
  <c r="D302" i="1"/>
  <c r="E302" i="1" s="1"/>
  <c r="E301" i="1"/>
  <c r="D301" i="1"/>
  <c r="D300" i="1"/>
  <c r="E300" i="1" s="1"/>
  <c r="E299" i="1"/>
  <c r="D299" i="1"/>
  <c r="D298" i="1"/>
  <c r="E298" i="1" s="1"/>
  <c r="E297" i="1"/>
  <c r="D297" i="1"/>
  <c r="D296" i="1"/>
  <c r="E296" i="1" s="1"/>
  <c r="E295" i="1"/>
  <c r="D295" i="1"/>
  <c r="D294" i="1"/>
  <c r="E294" i="1" s="1"/>
  <c r="E293" i="1"/>
  <c r="D293" i="1"/>
  <c r="D292" i="1"/>
  <c r="E292" i="1" s="1"/>
  <c r="D291" i="1"/>
  <c r="E291" i="1" s="1"/>
  <c r="D290" i="1"/>
  <c r="E290" i="1" s="1"/>
  <c r="E289" i="1"/>
  <c r="D289" i="1"/>
  <c r="D288" i="1"/>
  <c r="E288" i="1" s="1"/>
  <c r="E287" i="1"/>
  <c r="D287" i="1"/>
  <c r="D286" i="1"/>
  <c r="E286" i="1" s="1"/>
  <c r="E285" i="1"/>
  <c r="D285" i="1"/>
  <c r="D284" i="1"/>
  <c r="E284" i="1" s="1"/>
  <c r="E283" i="1"/>
  <c r="D283" i="1"/>
  <c r="D282" i="1"/>
  <c r="E282" i="1" s="1"/>
  <c r="E281" i="1"/>
  <c r="D281" i="1"/>
  <c r="D280" i="1"/>
  <c r="E280" i="1" s="1"/>
  <c r="E279" i="1"/>
  <c r="D279" i="1"/>
  <c r="D278" i="1"/>
  <c r="E278" i="1" s="1"/>
  <c r="E277" i="1"/>
  <c r="D277" i="1"/>
  <c r="D276" i="1"/>
  <c r="E276" i="1" s="1"/>
  <c r="D275" i="1"/>
  <c r="E275" i="1" s="1"/>
  <c r="D274" i="1"/>
  <c r="E274" i="1" s="1"/>
  <c r="E273" i="1"/>
  <c r="D273" i="1"/>
  <c r="D272" i="1"/>
  <c r="E272" i="1" s="1"/>
  <c r="E271" i="1"/>
  <c r="D271" i="1"/>
  <c r="D270" i="1"/>
  <c r="E270" i="1" s="1"/>
  <c r="E269" i="1"/>
  <c r="D269" i="1"/>
  <c r="D268" i="1"/>
  <c r="E268" i="1" s="1"/>
  <c r="E267" i="1"/>
  <c r="D267" i="1"/>
  <c r="D266" i="1"/>
  <c r="E266" i="1" s="1"/>
  <c r="E265" i="1"/>
  <c r="D265" i="1"/>
  <c r="D264" i="1"/>
  <c r="E264" i="1" s="1"/>
  <c r="E263" i="1"/>
  <c r="D263" i="1"/>
  <c r="D262" i="1"/>
  <c r="E262" i="1" s="1"/>
  <c r="E261" i="1"/>
  <c r="D261" i="1"/>
  <c r="D260" i="1"/>
  <c r="E260" i="1" s="1"/>
  <c r="D259" i="1"/>
  <c r="E259" i="1" s="1"/>
  <c r="D258" i="1"/>
  <c r="E258" i="1" s="1"/>
  <c r="E257" i="1"/>
  <c r="D257" i="1"/>
  <c r="D256" i="1"/>
  <c r="E256" i="1" s="1"/>
  <c r="E255" i="1"/>
  <c r="D255" i="1"/>
  <c r="D254" i="1"/>
  <c r="E254" i="1" s="1"/>
  <c r="E253" i="1"/>
  <c r="D253" i="1"/>
  <c r="D252" i="1"/>
  <c r="E252" i="1" s="1"/>
  <c r="E251" i="1"/>
  <c r="D251" i="1"/>
  <c r="D250" i="1"/>
  <c r="E250" i="1" s="1"/>
  <c r="E249" i="1"/>
  <c r="D249" i="1"/>
  <c r="D248" i="1"/>
  <c r="E248" i="1" s="1"/>
  <c r="E247" i="1"/>
  <c r="D247" i="1"/>
  <c r="D246" i="1"/>
  <c r="E246" i="1" s="1"/>
  <c r="E245" i="1"/>
  <c r="D245" i="1"/>
  <c r="D244" i="1"/>
  <c r="E244" i="1" s="1"/>
  <c r="D243" i="1"/>
  <c r="E243" i="1" s="1"/>
  <c r="D242" i="1"/>
  <c r="E242" i="1" s="1"/>
  <c r="E241" i="1"/>
  <c r="D241" i="1"/>
  <c r="D240" i="1"/>
  <c r="E240" i="1" s="1"/>
  <c r="E239" i="1"/>
  <c r="D239" i="1"/>
  <c r="D238" i="1"/>
  <c r="E238" i="1" s="1"/>
  <c r="E237" i="1"/>
  <c r="D237" i="1"/>
  <c r="D236" i="1"/>
  <c r="E236" i="1" s="1"/>
  <c r="E235" i="1"/>
  <c r="D235" i="1"/>
  <c r="D234" i="1"/>
  <c r="E234" i="1" s="1"/>
  <c r="E233" i="1"/>
  <c r="D233" i="1"/>
  <c r="D232" i="1"/>
  <c r="E232" i="1" s="1"/>
  <c r="E231" i="1"/>
  <c r="D231" i="1"/>
  <c r="D230" i="1"/>
  <c r="E230" i="1" s="1"/>
  <c r="E229" i="1"/>
  <c r="D229" i="1"/>
  <c r="D228" i="1"/>
  <c r="E228" i="1" s="1"/>
  <c r="D227" i="1"/>
  <c r="E227" i="1" s="1"/>
  <c r="D226" i="1"/>
  <c r="E226" i="1" s="1"/>
  <c r="E225" i="1"/>
  <c r="D225" i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E211" i="1"/>
  <c r="D211" i="1"/>
  <c r="D210" i="1"/>
  <c r="E210" i="1" s="1"/>
  <c r="D209" i="1"/>
  <c r="E209" i="1" s="1"/>
  <c r="D208" i="1"/>
  <c r="E208" i="1" s="1"/>
  <c r="E207" i="1"/>
  <c r="D207" i="1"/>
  <c r="D206" i="1"/>
  <c r="E206" i="1" s="1"/>
  <c r="E205" i="1"/>
  <c r="D205" i="1"/>
  <c r="D204" i="1"/>
  <c r="E204" i="1" s="1"/>
  <c r="E203" i="1"/>
  <c r="D203" i="1"/>
  <c r="D202" i="1"/>
  <c r="E202" i="1" s="1"/>
  <c r="E201" i="1"/>
  <c r="D201" i="1"/>
  <c r="D200" i="1"/>
  <c r="E200" i="1" s="1"/>
  <c r="D199" i="1"/>
  <c r="E199" i="1" s="1"/>
  <c r="D198" i="1"/>
  <c r="E198" i="1" s="1"/>
  <c r="E197" i="1"/>
  <c r="D197" i="1"/>
  <c r="D196" i="1"/>
  <c r="E196" i="1" s="1"/>
  <c r="D195" i="1"/>
  <c r="E195" i="1" s="1"/>
  <c r="E194" i="1"/>
  <c r="D194" i="1"/>
  <c r="E193" i="1"/>
  <c r="D193" i="1"/>
  <c r="D192" i="1"/>
  <c r="E192" i="1" s="1"/>
  <c r="E191" i="1"/>
  <c r="D191" i="1"/>
  <c r="D190" i="1"/>
  <c r="E190" i="1" s="1"/>
  <c r="E189" i="1"/>
  <c r="D189" i="1"/>
  <c r="D188" i="1"/>
  <c r="E188" i="1" s="1"/>
  <c r="E187" i="1"/>
  <c r="D187" i="1"/>
  <c r="D186" i="1"/>
  <c r="E186" i="1" s="1"/>
  <c r="E185" i="1"/>
  <c r="D185" i="1"/>
  <c r="D184" i="1"/>
  <c r="E184" i="1" s="1"/>
  <c r="D183" i="1"/>
  <c r="E183" i="1" s="1"/>
  <c r="E182" i="1"/>
  <c r="D182" i="1"/>
  <c r="D181" i="1"/>
  <c r="E181" i="1" s="1"/>
  <c r="D180" i="1"/>
  <c r="E180" i="1" s="1"/>
  <c r="D179" i="1"/>
  <c r="E179" i="1" s="1"/>
  <c r="D178" i="1"/>
  <c r="E178" i="1" s="1"/>
  <c r="D177" i="1"/>
  <c r="E177" i="1" s="1"/>
  <c r="E176" i="1"/>
  <c r="D176" i="1"/>
  <c r="E175" i="1"/>
  <c r="D175" i="1"/>
  <c r="D174" i="1"/>
  <c r="E174" i="1" s="1"/>
  <c r="E173" i="1"/>
  <c r="D173" i="1"/>
  <c r="D172" i="1"/>
  <c r="E172" i="1" s="1"/>
  <c r="D171" i="1"/>
  <c r="E171" i="1" s="1"/>
  <c r="D170" i="1"/>
  <c r="E170" i="1" s="1"/>
  <c r="D169" i="1"/>
  <c r="E169" i="1" s="1"/>
  <c r="D168" i="1"/>
  <c r="E168" i="1" s="1"/>
  <c r="E167" i="1"/>
  <c r="D167" i="1"/>
  <c r="D166" i="1"/>
  <c r="E166" i="1" s="1"/>
  <c r="E165" i="1"/>
  <c r="D165" i="1"/>
  <c r="E164" i="1"/>
  <c r="D164" i="1"/>
  <c r="D163" i="1"/>
  <c r="E163" i="1" s="1"/>
  <c r="D162" i="1"/>
  <c r="E162" i="1" s="1"/>
  <c r="D161" i="1"/>
  <c r="E161" i="1" s="1"/>
  <c r="D160" i="1"/>
  <c r="E160" i="1" s="1"/>
  <c r="D159" i="1"/>
  <c r="E159" i="1" s="1"/>
  <c r="E158" i="1"/>
  <c r="D158" i="1"/>
  <c r="D157" i="1"/>
  <c r="E157" i="1" s="1"/>
  <c r="D156" i="1"/>
  <c r="E156" i="1" s="1"/>
  <c r="E155" i="1"/>
  <c r="D155" i="1"/>
  <c r="D154" i="1"/>
  <c r="E154" i="1" s="1"/>
  <c r="E153" i="1"/>
  <c r="D153" i="1"/>
  <c r="D152" i="1"/>
  <c r="E152" i="1" s="1"/>
  <c r="E151" i="1"/>
  <c r="D151" i="1"/>
  <c r="D150" i="1"/>
  <c r="E150" i="1" s="1"/>
  <c r="E149" i="1"/>
  <c r="D149" i="1"/>
  <c r="D148" i="1"/>
  <c r="E148" i="1" s="1"/>
  <c r="E147" i="1"/>
  <c r="D147" i="1"/>
  <c r="E146" i="1"/>
  <c r="D146" i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E139" i="1"/>
  <c r="D139" i="1"/>
  <c r="D138" i="1"/>
  <c r="E138" i="1" s="1"/>
  <c r="D137" i="1"/>
  <c r="E137" i="1" s="1"/>
  <c r="D136" i="1"/>
  <c r="E136" i="1" s="1"/>
  <c r="E135" i="1"/>
  <c r="D135" i="1"/>
  <c r="D134" i="1"/>
  <c r="E134" i="1" s="1"/>
  <c r="E133" i="1"/>
  <c r="D133" i="1"/>
  <c r="D132" i="1"/>
  <c r="E132" i="1" s="1"/>
  <c r="E131" i="1"/>
  <c r="D131" i="1"/>
  <c r="D130" i="1"/>
  <c r="E130" i="1" s="1"/>
  <c r="E129" i="1"/>
  <c r="D129" i="1"/>
  <c r="D128" i="1"/>
  <c r="E128" i="1" s="1"/>
  <c r="D127" i="1"/>
  <c r="E127" i="1" s="1"/>
  <c r="D126" i="1"/>
  <c r="E126" i="1" s="1"/>
  <c r="E125" i="1"/>
  <c r="D125" i="1"/>
  <c r="D124" i="1"/>
  <c r="E124" i="1" s="1"/>
  <c r="D123" i="1"/>
  <c r="E123" i="1" s="1"/>
  <c r="E122" i="1"/>
  <c r="D122" i="1"/>
  <c r="E121" i="1"/>
  <c r="D121" i="1"/>
  <c r="D120" i="1"/>
  <c r="E120" i="1" s="1"/>
  <c r="E119" i="1"/>
  <c r="D119" i="1"/>
  <c r="D118" i="1"/>
  <c r="E118" i="1" s="1"/>
  <c r="E117" i="1"/>
  <c r="D117" i="1"/>
  <c r="D116" i="1"/>
  <c r="E116" i="1" s="1"/>
  <c r="E115" i="1"/>
  <c r="D115" i="1"/>
  <c r="D114" i="1"/>
  <c r="E114" i="1" s="1"/>
  <c r="E113" i="1"/>
  <c r="D113" i="1"/>
  <c r="D112" i="1"/>
  <c r="E112" i="1" s="1"/>
  <c r="D111" i="1"/>
  <c r="E111" i="1" s="1"/>
  <c r="E110" i="1"/>
  <c r="D110" i="1"/>
  <c r="D109" i="1"/>
  <c r="E109" i="1" s="1"/>
  <c r="D108" i="1"/>
  <c r="E108" i="1" s="1"/>
  <c r="D107" i="1"/>
  <c r="E107" i="1" s="1"/>
  <c r="D106" i="1"/>
  <c r="E106" i="1" s="1"/>
  <c r="D105" i="1"/>
  <c r="E105" i="1" s="1"/>
  <c r="E104" i="1"/>
  <c r="D104" i="1"/>
  <c r="E103" i="1"/>
  <c r="D103" i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E95" i="1"/>
  <c r="D95" i="1"/>
  <c r="D94" i="1"/>
  <c r="E94" i="1" s="1"/>
  <c r="E93" i="1"/>
  <c r="D93" i="1"/>
  <c r="E92" i="1"/>
  <c r="D92" i="1"/>
  <c r="D91" i="1"/>
  <c r="E91" i="1" s="1"/>
  <c r="D90" i="1"/>
  <c r="E90" i="1" s="1"/>
  <c r="D89" i="1"/>
  <c r="E89" i="1" s="1"/>
  <c r="D88" i="1"/>
  <c r="E88" i="1" s="1"/>
  <c r="D87" i="1"/>
  <c r="E87" i="1" s="1"/>
  <c r="E86" i="1"/>
  <c r="D86" i="1"/>
  <c r="D85" i="1"/>
  <c r="E85" i="1" s="1"/>
  <c r="D84" i="1"/>
  <c r="E84" i="1" s="1"/>
  <c r="E83" i="1"/>
  <c r="D83" i="1"/>
  <c r="D82" i="1"/>
  <c r="E82" i="1" s="1"/>
  <c r="E81" i="1"/>
  <c r="D81" i="1"/>
  <c r="D80" i="1"/>
  <c r="E80" i="1" s="1"/>
  <c r="E79" i="1"/>
  <c r="D79" i="1"/>
  <c r="D78" i="1"/>
  <c r="E78" i="1" s="1"/>
  <c r="E77" i="1"/>
  <c r="D77" i="1"/>
  <c r="D76" i="1"/>
  <c r="E76" i="1" s="1"/>
  <c r="E75" i="1"/>
  <c r="D75" i="1"/>
  <c r="E74" i="1"/>
  <c r="D74" i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E67" i="1"/>
  <c r="D67" i="1"/>
  <c r="D66" i="1"/>
  <c r="E66" i="1" s="1"/>
  <c r="D65" i="1"/>
  <c r="E65" i="1" s="1"/>
  <c r="D64" i="1"/>
  <c r="E64" i="1" s="1"/>
  <c r="E63" i="1"/>
  <c r="D63" i="1"/>
  <c r="D62" i="1"/>
  <c r="E62" i="1" s="1"/>
  <c r="E61" i="1"/>
  <c r="D61" i="1"/>
  <c r="D60" i="1"/>
  <c r="E60" i="1" s="1"/>
  <c r="E59" i="1"/>
  <c r="D59" i="1"/>
  <c r="D58" i="1"/>
  <c r="E58" i="1" s="1"/>
  <c r="E57" i="1"/>
  <c r="D57" i="1"/>
  <c r="D56" i="1"/>
  <c r="E56" i="1" s="1"/>
  <c r="D55" i="1"/>
  <c r="E55" i="1" s="1"/>
  <c r="D54" i="1"/>
  <c r="E54" i="1" s="1"/>
  <c r="E53" i="1"/>
  <c r="D53" i="1"/>
  <c r="D52" i="1"/>
  <c r="E52" i="1" s="1"/>
  <c r="D51" i="1"/>
  <c r="E51" i="1" s="1"/>
  <c r="E50" i="1"/>
  <c r="D50" i="1"/>
  <c r="E49" i="1"/>
  <c r="D49" i="1"/>
  <c r="D48" i="1"/>
  <c r="E48" i="1" s="1"/>
  <c r="E47" i="1"/>
  <c r="D47" i="1"/>
  <c r="D46" i="1"/>
  <c r="E46" i="1" s="1"/>
  <c r="E45" i="1"/>
  <c r="D45" i="1"/>
  <c r="D44" i="1"/>
  <c r="E44" i="1" s="1"/>
  <c r="D43" i="1"/>
  <c r="E43" i="1" s="1"/>
  <c r="D42" i="1"/>
  <c r="E42" i="1" s="1"/>
  <c r="D41" i="1"/>
  <c r="E41" i="1" s="1"/>
  <c r="D40" i="1"/>
  <c r="E40" i="1" s="1"/>
  <c r="E39" i="1"/>
  <c r="D39" i="1"/>
  <c r="E38" i="1"/>
  <c r="D38" i="1"/>
  <c r="D37" i="1"/>
  <c r="E37" i="1" s="1"/>
  <c r="D36" i="1"/>
  <c r="E36" i="1" s="1"/>
  <c r="E35" i="1"/>
  <c r="D35" i="1"/>
  <c r="D34" i="1"/>
  <c r="E34" i="1" s="1"/>
  <c r="E33" i="1"/>
  <c r="D33" i="1"/>
  <c r="E32" i="1"/>
  <c r="D32" i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E25" i="1"/>
  <c r="D25" i="1"/>
  <c r="D24" i="1"/>
  <c r="E24" i="1" s="1"/>
  <c r="D23" i="1"/>
  <c r="E23" i="1" s="1"/>
  <c r="D22" i="1"/>
  <c r="E22" i="1" s="1"/>
  <c r="E21" i="1"/>
  <c r="D21" i="1"/>
  <c r="E20" i="1"/>
  <c r="D20" i="1"/>
  <c r="D19" i="1"/>
  <c r="E19" i="1" s="1"/>
  <c r="D18" i="1"/>
  <c r="E18" i="1" s="1"/>
  <c r="D17" i="1"/>
  <c r="E17" i="1" s="1"/>
  <c r="D16" i="1"/>
  <c r="E16" i="1" s="1"/>
  <c r="D15" i="1"/>
  <c r="E15" i="1" s="1"/>
  <c r="E14" i="1"/>
  <c r="D14" i="1"/>
  <c r="E13" i="1"/>
  <c r="D13" i="1"/>
  <c r="D12" i="1"/>
  <c r="E12" i="1" s="1"/>
  <c r="E11" i="1"/>
  <c r="D11" i="1"/>
  <c r="D10" i="1"/>
  <c r="E10" i="1" s="1"/>
  <c r="E9" i="1"/>
  <c r="D9" i="1"/>
  <c r="D8" i="1"/>
  <c r="E8" i="1" s="1"/>
  <c r="D7" i="1"/>
  <c r="E7" i="1" s="1"/>
  <c r="D6" i="1"/>
  <c r="D5" i="1"/>
  <c r="E5" i="1" s="1"/>
  <c r="D4" i="1"/>
  <c r="E4" i="1" s="1"/>
  <c r="D3" i="1"/>
  <c r="E3" i="1" s="1"/>
  <c r="E2" i="1"/>
  <c r="D2" i="1"/>
  <c r="E6" i="1" l="1"/>
</calcChain>
</file>

<file path=xl/sharedStrings.xml><?xml version="1.0" encoding="utf-8"?>
<sst xmlns="http://schemas.openxmlformats.org/spreadsheetml/2006/main" count="88936" uniqueCount="4801">
  <si>
    <t>SOP Type</t>
  </si>
  <si>
    <t>Customer Number</t>
  </si>
  <si>
    <t>Document Date</t>
  </si>
  <si>
    <t>Year</t>
  </si>
  <si>
    <t>Customer Name</t>
  </si>
  <si>
    <t>Document Amount</t>
  </si>
  <si>
    <t>Master Number</t>
  </si>
  <si>
    <t>Invoice</t>
  </si>
  <si>
    <t>AGI001</t>
  </si>
  <si>
    <t>A &amp; G INDUSTRIAL SERVICES INC</t>
  </si>
  <si>
    <t>ACC001</t>
  </si>
  <si>
    <t>A/C POWER - COLVER OPERATIONS</t>
  </si>
  <si>
    <t>AAR001</t>
  </si>
  <si>
    <t>AARHUS UNITED USA INC</t>
  </si>
  <si>
    <t>BRO005</t>
  </si>
  <si>
    <t>AB BROWN GENERATING STATION</t>
  </si>
  <si>
    <t>Return</t>
  </si>
  <si>
    <t>ABB004</t>
  </si>
  <si>
    <t>ABBOTT POWER PLANT</t>
  </si>
  <si>
    <t>ABS001</t>
  </si>
  <si>
    <t>ABSOLUTE</t>
  </si>
  <si>
    <t>ABSOLUTE USA</t>
  </si>
  <si>
    <t>ABU002</t>
  </si>
  <si>
    <t>ABU DHABI OILFIELD SUPPLY CENTRE</t>
  </si>
  <si>
    <t>ACC003</t>
  </si>
  <si>
    <t>ACCURATE MACHINE &amp; TOOL</t>
  </si>
  <si>
    <t>ACE001</t>
  </si>
  <si>
    <t>ACE COGEN FACILITY</t>
  </si>
  <si>
    <t>ACE COGENERATION FACILITY</t>
  </si>
  <si>
    <t>ACU001</t>
  </si>
  <si>
    <t>ACUREN</t>
  </si>
  <si>
    <t>ADA001</t>
  </si>
  <si>
    <t>ADA CARBON SOLUTIONS (RED RIVER), LLC</t>
  </si>
  <si>
    <t>ADR001</t>
  </si>
  <si>
    <t>ADRICK MARINE GROUP</t>
  </si>
  <si>
    <t>ADV003</t>
  </si>
  <si>
    <t>ADVANCED CLEANUP TECHNOLOGIES</t>
  </si>
  <si>
    <t>ADV006</t>
  </si>
  <si>
    <t>ADVANCED SEALING &amp; SUPPLY CO INC</t>
  </si>
  <si>
    <t>AES017</t>
  </si>
  <si>
    <t>AE SERVICE LITD</t>
  </si>
  <si>
    <t>AEC003</t>
  </si>
  <si>
    <t>AECON INDUSTRIAL</t>
  </si>
  <si>
    <t>AES001</t>
  </si>
  <si>
    <t>AES ALAMITOS LLC</t>
  </si>
  <si>
    <t>AND004</t>
  </si>
  <si>
    <t>AES ANDRES</t>
  </si>
  <si>
    <t>AES005</t>
  </si>
  <si>
    <t>AES ARGENTINA GENERACION S.A.</t>
  </si>
  <si>
    <t>AES003</t>
  </si>
  <si>
    <t>AES BEAVER VALLEY</t>
  </si>
  <si>
    <t>AES BEAVER VALLEY INC</t>
  </si>
  <si>
    <t>AES BEAVER VALLEY LLC</t>
  </si>
  <si>
    <t>AES004</t>
  </si>
  <si>
    <t>AES CAYUGA</t>
  </si>
  <si>
    <t>AES CAYUGA LLC</t>
  </si>
  <si>
    <t>AES007</t>
  </si>
  <si>
    <t>AES DEEPWATER INC</t>
  </si>
  <si>
    <t>VEN002</t>
  </si>
  <si>
    <t>AES GENER S.A.</t>
  </si>
  <si>
    <t>AES013</t>
  </si>
  <si>
    <t>AES HAWAII INC</t>
  </si>
  <si>
    <t>AES014</t>
  </si>
  <si>
    <t>AES IRONWOOD LLC</t>
  </si>
  <si>
    <t>MEN002</t>
  </si>
  <si>
    <t>AES MENDOTA LP</t>
  </si>
  <si>
    <t>SOM001</t>
  </si>
  <si>
    <t>AES SOMERSET LLC</t>
  </si>
  <si>
    <t>AES011</t>
  </si>
  <si>
    <t>AES WARRIOR RUN INC</t>
  </si>
  <si>
    <t>AES WARRIOR RUN LLC</t>
  </si>
  <si>
    <t>WOO002</t>
  </si>
  <si>
    <t>AES WOODLAND LLC</t>
  </si>
  <si>
    <t>AFT002</t>
  </si>
  <si>
    <t>AFTON GENERATING STATION</t>
  </si>
  <si>
    <t>AGR004</t>
  </si>
  <si>
    <t>AGRIFOS FERTILIZER INC</t>
  </si>
  <si>
    <t>AGR003</t>
  </si>
  <si>
    <t>AGRILECTRIC POWER INC</t>
  </si>
  <si>
    <t>AGU001</t>
  </si>
  <si>
    <t>AGUA FRIA STATION</t>
  </si>
  <si>
    <t>AID001</t>
  </si>
  <si>
    <t>AIDLIN PLANT</t>
  </si>
  <si>
    <t>AIR006</t>
  </si>
  <si>
    <t>AIR FORCE ONE</t>
  </si>
  <si>
    <t>AIR FORCE ONE INC</t>
  </si>
  <si>
    <t>AIR020</t>
  </si>
  <si>
    <t>AIR LIQUIDE - NEDERLAND</t>
  </si>
  <si>
    <t>AIR005</t>
  </si>
  <si>
    <t>AIR LIQUIDE LARGE INDUSTRIES</t>
  </si>
  <si>
    <t>AIR LIQUIDE LARGE INDUSTRIES US LP</t>
  </si>
  <si>
    <t>AIR010</t>
  </si>
  <si>
    <t>AIR PRODUCTS &amp; CHEMICALS</t>
  </si>
  <si>
    <t>AIR019</t>
  </si>
  <si>
    <t>AIR PRODUCTS &amp; CHEMICALS - ASHLAND</t>
  </si>
  <si>
    <t>AIR003</t>
  </si>
  <si>
    <t>AIR PRODUCTS &amp; CHEMICALS - GLENMONT</t>
  </si>
  <si>
    <t>AIR018</t>
  </si>
  <si>
    <t>AIR PRODUCTS &amp; CHEMICALS - LANCASTER</t>
  </si>
  <si>
    <t>AIR PRODUCTS &amp; CHEMICALS INC.</t>
  </si>
  <si>
    <t>AIR015</t>
  </si>
  <si>
    <t>AIR PRODUCTS AND CHEMICALS INC.</t>
  </si>
  <si>
    <t>AIR PRODUCTS AND CHEMICALS, INC.</t>
  </si>
  <si>
    <t>AIR004</t>
  </si>
  <si>
    <t>AIR PRODUCTS LP (TX)</t>
  </si>
  <si>
    <t>AIR011</t>
  </si>
  <si>
    <t>AIR SPECIALTY &amp; EQUIPMENT COMPANY</t>
  </si>
  <si>
    <t>AIR009</t>
  </si>
  <si>
    <t>AIR TEMP HEATING &amp; AIR CONDITIONING, INC.</t>
  </si>
  <si>
    <t>AIR013</t>
  </si>
  <si>
    <t>AIRGAS - BOZRAH</t>
  </si>
  <si>
    <t>AIR016</t>
  </si>
  <si>
    <t>AIRGAS - WAUKESHA</t>
  </si>
  <si>
    <t>AIR007</t>
  </si>
  <si>
    <t>AIRGAS MERCHANT GASES</t>
  </si>
  <si>
    <t>AIR008</t>
  </si>
  <si>
    <t>AIRTOOL EQUIPMENT RENTAL INC</t>
  </si>
  <si>
    <t>AIT001</t>
  </si>
  <si>
    <t>AITMADI TRADING OIL &amp; GAS</t>
  </si>
  <si>
    <t>AKZ002</t>
  </si>
  <si>
    <t>AKZO NOBEL POLYMER CHEMICALS LLC</t>
  </si>
  <si>
    <t>AKZ001</t>
  </si>
  <si>
    <t>AKZO NOBEL SURFACE CHEMISTRY LLC</t>
  </si>
  <si>
    <t>ALS002</t>
  </si>
  <si>
    <t>AL SAMIR ENTERPRISES</t>
  </si>
  <si>
    <t>ALA004</t>
  </si>
  <si>
    <t>ALABAMA PINE PULP</t>
  </si>
  <si>
    <t>ALA002</t>
  </si>
  <si>
    <t>ALABAMA RIVER CELLULOSE, LLC</t>
  </si>
  <si>
    <t>ALABAMA RIVER PULP</t>
  </si>
  <si>
    <t>ALA008</t>
  </si>
  <si>
    <t>ALAMO IRON WORK</t>
  </si>
  <si>
    <t>ALB002</t>
  </si>
  <si>
    <t>ALBEMARLE CORP</t>
  </si>
  <si>
    <t>ALC001</t>
  </si>
  <si>
    <t>ALCAN ELECTRICAL &amp; ENGINEERING, INC.</t>
  </si>
  <si>
    <t>ALC005</t>
  </si>
  <si>
    <t>ALCOA ALUMINO S A - BRAZIL</t>
  </si>
  <si>
    <t>POI002</t>
  </si>
  <si>
    <t>ALCOA INC</t>
  </si>
  <si>
    <t>ALCOA WORLD ALUMINA BRAZIL LTDA</t>
  </si>
  <si>
    <t>ALC004</t>
  </si>
  <si>
    <t>ALCOA WORLD ALUMINA LLC</t>
  </si>
  <si>
    <t>ALC002</t>
  </si>
  <si>
    <t>ALC006</t>
  </si>
  <si>
    <t>ALCOSAN</t>
  </si>
  <si>
    <t>ALE002</t>
  </si>
  <si>
    <t>ALEXANDRIA PLANT</t>
  </si>
  <si>
    <t>COV008</t>
  </si>
  <si>
    <t>ALEXANDRIA STATION</t>
  </si>
  <si>
    <t>ALEXANDRIA/ARLINGTON STATION</t>
  </si>
  <si>
    <t>ALG001</t>
  </si>
  <si>
    <t>ALGAN INTERNACIONAL SA</t>
  </si>
  <si>
    <t>ALL003</t>
  </si>
  <si>
    <t>ALLEN FOSSIL PLANT (TN)</t>
  </si>
  <si>
    <t>ALL005</t>
  </si>
  <si>
    <t>ALLEN S KING GENERATING PLANT</t>
  </si>
  <si>
    <t>ALLEN S KING PLANT</t>
  </si>
  <si>
    <t>ALL002</t>
  </si>
  <si>
    <t>ALLENDALE BIOMASS, LLC</t>
  </si>
  <si>
    <t>ALM001</t>
  </si>
  <si>
    <t>ALMA STATION</t>
  </si>
  <si>
    <t>ALM002</t>
  </si>
  <si>
    <t>ALMOND POWER PLANT</t>
  </si>
  <si>
    <t>ALS004</t>
  </si>
  <si>
    <t>ALSTOM POWER INC</t>
  </si>
  <si>
    <t>ALS005</t>
  </si>
  <si>
    <t>ALSTOM POWER INC (HI)</t>
  </si>
  <si>
    <t>ALS003</t>
  </si>
  <si>
    <t>ALSTOM POWER INC (PA)</t>
  </si>
  <si>
    <t>ALSTOM POWER INC (VA)</t>
  </si>
  <si>
    <t>ALT002</t>
  </si>
  <si>
    <t>ALTAVISTA POWER STATION</t>
  </si>
  <si>
    <t>ALT003</t>
  </si>
  <si>
    <t>ALTINGUL IMPORT-EXPORT</t>
  </si>
  <si>
    <t>ALU001</t>
  </si>
  <si>
    <t>ALUMINA PARTNERS OF JAMAICA</t>
  </si>
  <si>
    <t>ALV001</t>
  </si>
  <si>
    <t>ALVIN COMMUNITY COLLEGE</t>
  </si>
  <si>
    <t>AME002</t>
  </si>
  <si>
    <t>AMERICAN EFFICIENCY SERVICES</t>
  </si>
  <si>
    <t>AME021</t>
  </si>
  <si>
    <t>AMERICAN NATIONAL CARBIDE CO</t>
  </si>
  <si>
    <t>AME009</t>
  </si>
  <si>
    <t>AMERICAN POWER SERVICES</t>
  </si>
  <si>
    <t>DEL003</t>
  </si>
  <si>
    <t>AMERICAN REF-FUEL DE VALLEY</t>
  </si>
  <si>
    <t>AME015</t>
  </si>
  <si>
    <t>AMES POWER PLANT</t>
  </si>
  <si>
    <t>FRE005</t>
  </si>
  <si>
    <t>AMP FREMONT ENERGY CENTER</t>
  </si>
  <si>
    <t>ANA004</t>
  </si>
  <si>
    <t>ANADARKO INDUSTRIES LLC</t>
  </si>
  <si>
    <t>ANC004</t>
  </si>
  <si>
    <t>ANCLOTE GENERATING STATION</t>
  </si>
  <si>
    <t>ANCLOTE PLANT</t>
  </si>
  <si>
    <t>ANH001</t>
  </si>
  <si>
    <t>ANHEUSER BUSCH INC (NJ)</t>
  </si>
  <si>
    <t>ANI001</t>
  </si>
  <si>
    <t>ANIMAS POWER PLANT</t>
  </si>
  <si>
    <t>ANT003</t>
  </si>
  <si>
    <t>ANTELOPE ELK ENERGY CENTER</t>
  </si>
  <si>
    <t>ANT001</t>
  </si>
  <si>
    <t>ANTELOPE VALLEY STATION</t>
  </si>
  <si>
    <t>ANT002</t>
  </si>
  <si>
    <t>ANTIOCH STATION</t>
  </si>
  <si>
    <t>APA001</t>
  </si>
  <si>
    <t>APACHE STATION</t>
  </si>
  <si>
    <t>APE001</t>
  </si>
  <si>
    <t>APEX GENERATING STATION</t>
  </si>
  <si>
    <t>APP002</t>
  </si>
  <si>
    <t>APPLETON PAPERS INC</t>
  </si>
  <si>
    <t>APP005</t>
  </si>
  <si>
    <t>APPLIED CRYOGENIC SOLUTIONS</t>
  </si>
  <si>
    <t>APP003</t>
  </si>
  <si>
    <t>APPLIED INDUSTRIAL TECHNOLOGIES</t>
  </si>
  <si>
    <t>APPLIED LNG, LLC</t>
  </si>
  <si>
    <t>AQU002</t>
  </si>
  <si>
    <t>AQUA DYNAMICS INC</t>
  </si>
  <si>
    <t>AQU001</t>
  </si>
  <si>
    <t>AQUA-CHEM INC</t>
  </si>
  <si>
    <t>ARC001</t>
  </si>
  <si>
    <t>ARCH CHEMICALS INC</t>
  </si>
  <si>
    <t>ARC003</t>
  </si>
  <si>
    <t>ARCHER DANIELS MIDLAND</t>
  </si>
  <si>
    <t>ARC002</t>
  </si>
  <si>
    <t>ARCLIN USA INC - DODSON</t>
  </si>
  <si>
    <t>WIL016</t>
  </si>
  <si>
    <t>ARCO CQC KILN STATION</t>
  </si>
  <si>
    <t>ARD001</t>
  </si>
  <si>
    <t>ARDUINI S.A.</t>
  </si>
  <si>
    <t>ARE001</t>
  </si>
  <si>
    <t>AREVA NP INC</t>
  </si>
  <si>
    <t>ARE002</t>
  </si>
  <si>
    <t>AREVA SOLAR, INC.</t>
  </si>
  <si>
    <t>ARI001</t>
  </si>
  <si>
    <t>ARIZONA SOLAR ONE</t>
  </si>
  <si>
    <t>ARK002</t>
  </si>
  <si>
    <t>ARKANSAS NUCLEAR ONE</t>
  </si>
  <si>
    <t>ARK007</t>
  </si>
  <si>
    <t>ARKEMA - HAHNVILLE</t>
  </si>
  <si>
    <t>ARK005</t>
  </si>
  <si>
    <t>ARKEMA INC</t>
  </si>
  <si>
    <t>ARK006</t>
  </si>
  <si>
    <t>ARKEMA INC (BEAUMONT)</t>
  </si>
  <si>
    <t>ARKEMA INC (HOUSTON)</t>
  </si>
  <si>
    <t>ARL001</t>
  </si>
  <si>
    <t>ARLINGTON VALLEY ENERGY FACILITY</t>
  </si>
  <si>
    <t>ARM002</t>
  </si>
  <si>
    <t>ARMSTRONG STATION</t>
  </si>
  <si>
    <t>ARS001</t>
  </si>
  <si>
    <t>ARSENAL HILL POWER PLANT</t>
  </si>
  <si>
    <t>ARSENAL HILL POWER STATION</t>
  </si>
  <si>
    <t>ART002</t>
  </si>
  <si>
    <t>ARTHUR KILL POWER</t>
  </si>
  <si>
    <t>ARTHUR KILL POWER LLC</t>
  </si>
  <si>
    <t>ART003</t>
  </si>
  <si>
    <t>ARTISAN TOOLS &amp; EQUIPMENT CO WLL</t>
  </si>
  <si>
    <t>ASC001</t>
  </si>
  <si>
    <t>ASCEND CHOCOLATE BAYOU</t>
  </si>
  <si>
    <t>SOL005</t>
  </si>
  <si>
    <t>ASCEND PERFORMANCE MATERIALS LLC</t>
  </si>
  <si>
    <t>ASH002</t>
  </si>
  <si>
    <t>ASHEVILLE GENERATING STATION</t>
  </si>
  <si>
    <t>ASHEVILLE PLANT</t>
  </si>
  <si>
    <t>ASH005</t>
  </si>
  <si>
    <t>ASHTABULA PLANT</t>
  </si>
  <si>
    <t>ATS001</t>
  </si>
  <si>
    <t>ASSOCIATED TOOL SPECIALTIES CO</t>
  </si>
  <si>
    <t>AST003</t>
  </si>
  <si>
    <t>ASTORIA ENERGY LLC</t>
  </si>
  <si>
    <t>AST002</t>
  </si>
  <si>
    <t>ASTORIA STATION</t>
  </si>
  <si>
    <t>ATH001</t>
  </si>
  <si>
    <t>ATHENS GENERATING LP</t>
  </si>
  <si>
    <t>ATHENS GENERATING PROJECT</t>
  </si>
  <si>
    <t>ATI001</t>
  </si>
  <si>
    <t>ATIKOKAN GS</t>
  </si>
  <si>
    <t>ATL003</t>
  </si>
  <si>
    <t>ATLASCOPCO</t>
  </si>
  <si>
    <t>ATOFINA CHEMICALS INC</t>
  </si>
  <si>
    <t>ATOFINA CHEMICALS INC (HOUSTON)</t>
  </si>
  <si>
    <t>ATO003</t>
  </si>
  <si>
    <t>ATOFINA PETROCHEMICALS INC</t>
  </si>
  <si>
    <t>ATT001</t>
  </si>
  <si>
    <t>ATTALA PLANT</t>
  </si>
  <si>
    <t>AUG001</t>
  </si>
  <si>
    <t>AUGUSTA COATED PAPERBOARD MILL</t>
  </si>
  <si>
    <t>AUX001</t>
  </si>
  <si>
    <t>AUXILIARY SYSTEMS SOLEC INC</t>
  </si>
  <si>
    <t>AVA001</t>
  </si>
  <si>
    <t>AVALOTIS CORPORATION</t>
  </si>
  <si>
    <t>AVO002</t>
  </si>
  <si>
    <t>AVON LAKE GENERATING STATION</t>
  </si>
  <si>
    <t>AVON LAKE PLANT</t>
  </si>
  <si>
    <t>AVON LAKE STATION</t>
  </si>
  <si>
    <t>DUP004</t>
  </si>
  <si>
    <t>AXALTA - FRONT ROYAL</t>
  </si>
  <si>
    <t>AXA001</t>
  </si>
  <si>
    <t>AXALTA COATING SYSTEMS - MT. CLEMENS</t>
  </si>
  <si>
    <t>AXALTA COATING SYSTEMS-FRONT ROYAL</t>
  </si>
  <si>
    <t>AXI001</t>
  </si>
  <si>
    <t>AXIALL - WESTLAKE SOUTH</t>
  </si>
  <si>
    <t>AXIALL CORPORATION</t>
  </si>
  <si>
    <t>AXI002</t>
  </si>
  <si>
    <t>AXIALL PLAQUEMINE VCM</t>
  </si>
  <si>
    <t>GLO003</t>
  </si>
  <si>
    <t>AXIS INSPECTION LTD</t>
  </si>
  <si>
    <t>BHA001</t>
  </si>
  <si>
    <t>B &amp; H AIR TOOLS INC</t>
  </si>
  <si>
    <t>B &amp; H AIR TOOLS LLC</t>
  </si>
  <si>
    <t>BLE001</t>
  </si>
  <si>
    <t>B L ENGLAND PLANT</t>
  </si>
  <si>
    <t>B L ENGLAND STATION</t>
  </si>
  <si>
    <t>BPW001</t>
  </si>
  <si>
    <t>B P WHITNEY PLANT</t>
  </si>
  <si>
    <t>BPC001</t>
  </si>
  <si>
    <t>B&amp;P CONSORT INC</t>
  </si>
  <si>
    <t>BAB001</t>
  </si>
  <si>
    <t>BABCOCK &amp; WILCOX</t>
  </si>
  <si>
    <t>BAD001</t>
  </si>
  <si>
    <t>BADGER DAYLIGHTING CORP - PASADENA</t>
  </si>
  <si>
    <t>BLM001</t>
  </si>
  <si>
    <t>BAHIA LAS MINAS CORPORATION</t>
  </si>
  <si>
    <t>BAHIA LAS MINAS CORPORATION (BLM)</t>
  </si>
  <si>
    <t>BAI002</t>
  </si>
  <si>
    <t>BAILLY STATION (IN)</t>
  </si>
  <si>
    <t>BAI001</t>
  </si>
  <si>
    <t>BAINUNA MECH. ELECT. EQUIP. &amp; OIL FIELD SERVICES</t>
  </si>
  <si>
    <t>BAL001</t>
  </si>
  <si>
    <t>BALDWIN ENERGY COMPLEX</t>
  </si>
  <si>
    <t>BAL002</t>
  </si>
  <si>
    <t>BALTIMORE RESCO</t>
  </si>
  <si>
    <t>BARBERS POINT</t>
  </si>
  <si>
    <t>BAR002</t>
  </si>
  <si>
    <t>BARNEY M DAVIS STATION</t>
  </si>
  <si>
    <t>BAR006</t>
  </si>
  <si>
    <t>BARRY ELECTRIC GENERATING PLT</t>
  </si>
  <si>
    <t>BARRY STEAM PLANT</t>
  </si>
  <si>
    <t>BAR007</t>
  </si>
  <si>
    <t>BARTOW PLANT</t>
  </si>
  <si>
    <t>BAS008</t>
  </si>
  <si>
    <t>BASF - GEISMAR CHEMICALS</t>
  </si>
  <si>
    <t>BAS006</t>
  </si>
  <si>
    <t>BASF CORPORATION</t>
  </si>
  <si>
    <t>BAS007</t>
  </si>
  <si>
    <t>BAS009</t>
  </si>
  <si>
    <t>BASF FREEPORT</t>
  </si>
  <si>
    <t>BASF GEISMAR CHEMICALS</t>
  </si>
  <si>
    <t>BAS005</t>
  </si>
  <si>
    <t>BASHA USA, INC.</t>
  </si>
  <si>
    <t>BAS004</t>
  </si>
  <si>
    <t>BASTROP ENERGY CENTER</t>
  </si>
  <si>
    <t>BAT003</t>
  </si>
  <si>
    <t>BATESVILLE GENERATING STATION</t>
  </si>
  <si>
    <t>BATESVILLE GENERATION FACILITY</t>
  </si>
  <si>
    <t>BAT002</t>
  </si>
  <si>
    <t>BATH COUNTY STATION</t>
  </si>
  <si>
    <t>BAT006</t>
  </si>
  <si>
    <t>BATTLE CREEK PLANT</t>
  </si>
  <si>
    <t>BAX001</t>
  </si>
  <si>
    <t>BAXTER WILSON PLANT</t>
  </si>
  <si>
    <t>BAXTER WILSON STATION</t>
  </si>
  <si>
    <t>BAY001</t>
  </si>
  <si>
    <t>BAY COUNTY ENERGY SYSTEMS INC</t>
  </si>
  <si>
    <t>BAY COUNTY WASTE TO ENERGY</t>
  </si>
  <si>
    <t>BAY COUNTY WTE TO ENERGY</t>
  </si>
  <si>
    <t>BAY005</t>
  </si>
  <si>
    <t>BAY SHORE PLANT</t>
  </si>
  <si>
    <t>BAY SHORE STATION</t>
  </si>
  <si>
    <t>BAY006</t>
  </si>
  <si>
    <t>BAYONNE PLANT</t>
  </si>
  <si>
    <t>BAY009</t>
  </si>
  <si>
    <t>BAYSIDE POWER</t>
  </si>
  <si>
    <t>BAY015</t>
  </si>
  <si>
    <t>BAYSIDE STATION</t>
  </si>
  <si>
    <t>BAY012</t>
  </si>
  <si>
    <t>BAYWAY REFINERY</t>
  </si>
  <si>
    <t>COB001</t>
  </si>
  <si>
    <t>BC COBB GENERATING STATION</t>
  </si>
  <si>
    <t>MAX002</t>
  </si>
  <si>
    <t>BEAIRD COMPANY LTD</t>
  </si>
  <si>
    <t>BEAIRD INDUSTRIES INC</t>
  </si>
  <si>
    <t>BEA006</t>
  </si>
  <si>
    <t>BEAR GARDEN POWER STATION</t>
  </si>
  <si>
    <t>BEA010</t>
  </si>
  <si>
    <t>BEATRICE STATION</t>
  </si>
  <si>
    <t>BEA007</t>
  </si>
  <si>
    <t>BEAUMONT METHANOL PLANT</t>
  </si>
  <si>
    <t>BEA005</t>
  </si>
  <si>
    <t>BEAVER GENERATING PLANT</t>
  </si>
  <si>
    <t>BEA009</t>
  </si>
  <si>
    <t>BEAVER OIL CO INC</t>
  </si>
  <si>
    <t>BEA008</t>
  </si>
  <si>
    <t>BEAVER VALLEY POWER STATION</t>
  </si>
  <si>
    <t>BEAVER VALLEY STATION</t>
  </si>
  <si>
    <t>BEC001</t>
  </si>
  <si>
    <t>BECHTEL POWER  CORPORATION</t>
  </si>
  <si>
    <t>BEC002</t>
  </si>
  <si>
    <t>BECHTEL POWER CORP</t>
  </si>
  <si>
    <t>BECHTEL POWER CORPORATION</t>
  </si>
  <si>
    <t>BEC003</t>
  </si>
  <si>
    <t>BECKJORD STATION</t>
  </si>
  <si>
    <t>BEI001</t>
  </si>
  <si>
    <t>BEIJING CHINA CONS FRE FW CO</t>
  </si>
  <si>
    <t>BEI002</t>
  </si>
  <si>
    <t>BEIJING CLEAN WORLD AEROTECHNICS CO., LTD.</t>
  </si>
  <si>
    <t>BEL001</t>
  </si>
  <si>
    <t>BELEWS CREEK STATION</t>
  </si>
  <si>
    <t>BEL008</t>
  </si>
  <si>
    <t>BELL MEADE POWER STATION</t>
  </si>
  <si>
    <t>BEL002</t>
  </si>
  <si>
    <t>BELLE RIVER POWER PLANT</t>
  </si>
  <si>
    <t>BELLEMEADE POWER STATION</t>
  </si>
  <si>
    <t>BEL007</t>
  </si>
  <si>
    <t>BELLINGHAM ENERGY FACILITY</t>
  </si>
  <si>
    <t>BEL004</t>
  </si>
  <si>
    <t>BELLINGHAM PROJECT</t>
  </si>
  <si>
    <t>BEL006</t>
  </si>
  <si>
    <t>BELUGA STATION</t>
  </si>
  <si>
    <t>BEN003</t>
  </si>
  <si>
    <t>BENNING STATION</t>
  </si>
  <si>
    <t>BER001</t>
  </si>
  <si>
    <t>BERAKO</t>
  </si>
  <si>
    <t>BER002</t>
  </si>
  <si>
    <t>BERGEN STATION</t>
  </si>
  <si>
    <t>BES001</t>
  </si>
  <si>
    <t>BEST EQUIPMENT PUMP WORKS</t>
  </si>
  <si>
    <t>BET005</t>
  </si>
  <si>
    <t>BETHLEHEM RENEWABLE ENERGY LLC</t>
  </si>
  <si>
    <t>BGI003</t>
  </si>
  <si>
    <t>BGI Energy Services Ltd</t>
  </si>
  <si>
    <t>BIA001</t>
  </si>
  <si>
    <t>BIAJANTE MANUTENCAO LTDA - EPP</t>
  </si>
  <si>
    <t>BIG002</t>
  </si>
  <si>
    <t>BIG BEND STATION</t>
  </si>
  <si>
    <t>BIG003</t>
  </si>
  <si>
    <t>BIG BROWN STATION</t>
  </si>
  <si>
    <t>BIG005</t>
  </si>
  <si>
    <t>BIG CAJUN TWO STATION</t>
  </si>
  <si>
    <t>BIG008</t>
  </si>
  <si>
    <t>BIG SANDY PLANT</t>
  </si>
  <si>
    <t>BIG011</t>
  </si>
  <si>
    <t>BIGHORN POWER PLANT</t>
  </si>
  <si>
    <t>BIN001</t>
  </si>
  <si>
    <t>BINDEWALD MAINTENANCE - SLIDELL</t>
  </si>
  <si>
    <t>BIO002</t>
  </si>
  <si>
    <t>BIOMASS ONE</t>
  </si>
  <si>
    <t>BIR001</t>
  </si>
  <si>
    <t>BIRCHWOOD POWER FACILITY</t>
  </si>
  <si>
    <t>BIRCHWOOD STATION</t>
  </si>
  <si>
    <t>BIR003</t>
  </si>
  <si>
    <t>BIRDSALL GENERATING STATION</t>
  </si>
  <si>
    <t>BIS002</t>
  </si>
  <si>
    <t>BISCO OF FLORIDA, INC.</t>
  </si>
  <si>
    <t>BIT001</t>
  </si>
  <si>
    <t>BITTNER COMPANY</t>
  </si>
  <si>
    <t>BL ENGLAND GENERATING STATION</t>
  </si>
  <si>
    <t>BLA006</t>
  </si>
  <si>
    <t>BLACK &amp; COMPANY</t>
  </si>
  <si>
    <t>BLA001</t>
  </si>
  <si>
    <t>BLACK &amp; VEATCH INTERNATIONAL</t>
  </si>
  <si>
    <t>BLA002</t>
  </si>
  <si>
    <t>BLACK DOG GENERATING PLANT</t>
  </si>
  <si>
    <t>BLACK DOG GENERATION PLANT</t>
  </si>
  <si>
    <t>BLA004</t>
  </si>
  <si>
    <t>BLACKHAWK STATION</t>
  </si>
  <si>
    <t>BLA005</t>
  </si>
  <si>
    <t>BLACKSTONE STATION</t>
  </si>
  <si>
    <t>BLA010</t>
  </si>
  <si>
    <t>BLASTINGMAR S.A.S.</t>
  </si>
  <si>
    <t>BLA007</t>
  </si>
  <si>
    <t>BLASTLINE USA INC</t>
  </si>
  <si>
    <t>BLE002</t>
  </si>
  <si>
    <t>BLENHEIM-GILBOA POWER PROJECT</t>
  </si>
  <si>
    <t>BLM SUEZ</t>
  </si>
  <si>
    <t>BLM SUEZ (GDF SUEZ)</t>
  </si>
  <si>
    <t>BLO002</t>
  </si>
  <si>
    <t>BLOMMER CHOCOLATE</t>
  </si>
  <si>
    <t>BLO001</t>
  </si>
  <si>
    <t>BLOUNT STREET STATION</t>
  </si>
  <si>
    <t>BLU005</t>
  </si>
  <si>
    <t>BLUE INDUSTRIALS</t>
  </si>
  <si>
    <t>BLU004</t>
  </si>
  <si>
    <t>BLUE PLAINS ADVANCED WASTEWATER TREATMENT PLANT</t>
  </si>
  <si>
    <t>BLU003</t>
  </si>
  <si>
    <t>BLUE SKIES ENERGY, LLC</t>
  </si>
  <si>
    <t>BLU001</t>
  </si>
  <si>
    <t>BLUE VALLEY PLANT</t>
  </si>
  <si>
    <t>BLY001</t>
  </si>
  <si>
    <t>BLYTHE ENERGY LLC</t>
  </si>
  <si>
    <t>BMC001</t>
  </si>
  <si>
    <t>BMC HOLDINGS INC</t>
  </si>
  <si>
    <t>BOA002</t>
  </si>
  <si>
    <t>BOARDMAN PLANT</t>
  </si>
  <si>
    <t>BOC002</t>
  </si>
  <si>
    <t>BOC GAS</t>
  </si>
  <si>
    <t>BOD001</t>
  </si>
  <si>
    <t>BODINE SERVICES</t>
  </si>
  <si>
    <t>BODINE SERVICES OF EVANSVILLE LLC</t>
  </si>
  <si>
    <t>BON002</t>
  </si>
  <si>
    <t>BONIN STATION</t>
  </si>
  <si>
    <t>BOR001</t>
  </si>
  <si>
    <t>BORAX-BORON</t>
  </si>
  <si>
    <t>BOS003</t>
  </si>
  <si>
    <t>BOSQUE COUNTY GENERATING PLANT</t>
  </si>
  <si>
    <t>BOS004</t>
  </si>
  <si>
    <t>BOSWELL ENERGY CENTER</t>
  </si>
  <si>
    <t>BOW001</t>
  </si>
  <si>
    <t>BOWEN PLANT</t>
  </si>
  <si>
    <t>BOW002</t>
  </si>
  <si>
    <t>BOWLINE POINT STATION</t>
  </si>
  <si>
    <t>BOW003</t>
  </si>
  <si>
    <t>BOWMAN ANDROS PRODUCTS - MT JACKSON</t>
  </si>
  <si>
    <t>CHE008</t>
  </si>
  <si>
    <t>BP - CHERRY POINT REFINERY</t>
  </si>
  <si>
    <t>BPA001</t>
  </si>
  <si>
    <t>BP PRODUCTS NORTH AMERICA INC</t>
  </si>
  <si>
    <t>BPS001</t>
  </si>
  <si>
    <t>BP SOUTH HOUSTON GREEN POWER</t>
  </si>
  <si>
    <t>BP0001</t>
  </si>
  <si>
    <t>BP WEST COAST PRODUCTS  LLC</t>
  </si>
  <si>
    <t>BP WHITNEY PLANT</t>
  </si>
  <si>
    <t>BRA001</t>
  </si>
  <si>
    <t>BRAIDWOOD STATION</t>
  </si>
  <si>
    <t>BRA004</t>
  </si>
  <si>
    <t>BRANDON SHORES GENERATING STATION</t>
  </si>
  <si>
    <t>BRANDON SHORES PLANT</t>
  </si>
  <si>
    <t>BRANDON SHORES STATION</t>
  </si>
  <si>
    <t>BRA007</t>
  </si>
  <si>
    <t>BRANDY BRANCH GENERATING STATION</t>
  </si>
  <si>
    <t>BRA005</t>
  </si>
  <si>
    <t>BRAUNIG STATION</t>
  </si>
  <si>
    <t>BRA006</t>
  </si>
  <si>
    <t>BRAYTON POINT STATION</t>
  </si>
  <si>
    <t>BRA002</t>
  </si>
  <si>
    <t>BRAZOS VALLEY ELECTRIC GENERATION FACILITY</t>
  </si>
  <si>
    <t>BRE002</t>
  </si>
  <si>
    <t>BREMO POWER STATION</t>
  </si>
  <si>
    <t>BRE004</t>
  </si>
  <si>
    <t>BREWSTER PROCUREMENT GROUP, INC</t>
  </si>
  <si>
    <t>BRE003</t>
  </si>
  <si>
    <t>BREWTON MILL POWER PLANT</t>
  </si>
  <si>
    <t>BRI001</t>
  </si>
  <si>
    <t>BRIDGEPORT ENERGY FACILITY</t>
  </si>
  <si>
    <t>BRIDGEPORT ENERGY LLC</t>
  </si>
  <si>
    <t>BRI002</t>
  </si>
  <si>
    <t>BRIDGEPORT HARBOR STATION</t>
  </si>
  <si>
    <t>BRI003</t>
  </si>
  <si>
    <t>BRIDGEPORT RESCO</t>
  </si>
  <si>
    <t>BRI004</t>
  </si>
  <si>
    <t>BRIDGEWATER POWER PLANT</t>
  </si>
  <si>
    <t>BRO003</t>
  </si>
  <si>
    <t>BROOKLYN BREWERY</t>
  </si>
  <si>
    <t>BROWN GENERATING STATION (IN)</t>
  </si>
  <si>
    <t>BROWN STATION (IN)</t>
  </si>
  <si>
    <t>BRO006</t>
  </si>
  <si>
    <t>BROWNS FERRY NUCLEAR PLANT</t>
  </si>
  <si>
    <t>BRU001</t>
  </si>
  <si>
    <t>BRUCE MANSFIELD PLANT</t>
  </si>
  <si>
    <t>BRU002</t>
  </si>
  <si>
    <t>BRUCE NUCLEAR PLANT</t>
  </si>
  <si>
    <t>BRUCE POWER</t>
  </si>
  <si>
    <t>BRUCE POWER L P</t>
  </si>
  <si>
    <t>BRU007</t>
  </si>
  <si>
    <t>BRUCKNER SUPPLY COMPANY INC</t>
  </si>
  <si>
    <t>BRU003</t>
  </si>
  <si>
    <t>BRUNNER ISLAND STATION</t>
  </si>
  <si>
    <t>BRU004</t>
  </si>
  <si>
    <t>BRUNOT ISLAND POWER STATION</t>
  </si>
  <si>
    <t>BRU006</t>
  </si>
  <si>
    <t>BRUNSWICK COUNTY POWER STATION</t>
  </si>
  <si>
    <t>BRU005</t>
  </si>
  <si>
    <t>BRUNSWICK NUCLEAR PLANT</t>
  </si>
  <si>
    <t>BRUNSWICK PLANT</t>
  </si>
  <si>
    <t>BUC002</t>
  </si>
  <si>
    <t>BUCHANAN HYDROELECTRIC PLANT</t>
  </si>
  <si>
    <t>BUC001</t>
  </si>
  <si>
    <t>BUCK GENERATING STATION</t>
  </si>
  <si>
    <t>BUCK STEAM STATION</t>
  </si>
  <si>
    <t>BUN001</t>
  </si>
  <si>
    <t>BUENA VISTA BIOMASS POWER</t>
  </si>
  <si>
    <t>BUL001</t>
  </si>
  <si>
    <t>BULL RUN FOSSIL PLANT</t>
  </si>
  <si>
    <t>BULL RUN PLANT (TN)</t>
  </si>
  <si>
    <t>BUR011</t>
  </si>
  <si>
    <t>BURBANK OPERABLE UNIT</t>
  </si>
  <si>
    <t>BUR005</t>
  </si>
  <si>
    <t>BURLINGTON GENERATING STATION (IA)</t>
  </si>
  <si>
    <t>BURLINGTON STATION (IA)</t>
  </si>
  <si>
    <t>BUR009</t>
  </si>
  <si>
    <t>BURNABY REFINERY</t>
  </si>
  <si>
    <t>BUR007</t>
  </si>
  <si>
    <t>BURNEY FOREST POWER</t>
  </si>
  <si>
    <t>BUS001</t>
  </si>
  <si>
    <t>BUSHY PARK LIQUIFIED NATURAL GAS</t>
  </si>
  <si>
    <t>BUT001</t>
  </si>
  <si>
    <t>BUTLER WARNER GENERATION PLANT</t>
  </si>
  <si>
    <t>BYR001</t>
  </si>
  <si>
    <t>BYRON STATION</t>
  </si>
  <si>
    <t>CIT014</t>
  </si>
  <si>
    <t>C I T C  USA</t>
  </si>
  <si>
    <t>CHS001</t>
  </si>
  <si>
    <t>C&amp;H SUGAR CO</t>
  </si>
  <si>
    <t>CAI001</t>
  </si>
  <si>
    <t>CAITHNESS ENERGY, LLC</t>
  </si>
  <si>
    <t>CAL015</t>
  </si>
  <si>
    <t>CALCASIEU REFINING COMPANY</t>
  </si>
  <si>
    <t>CAL006</t>
  </si>
  <si>
    <t>CALEDONIA COMBINED CYCLE</t>
  </si>
  <si>
    <t>SAL005</t>
  </si>
  <si>
    <t>CALENERGY OPERATING CO</t>
  </si>
  <si>
    <t>CAL014</t>
  </si>
  <si>
    <t>CALENERGY OPERATING CORP</t>
  </si>
  <si>
    <t>CAL004</t>
  </si>
  <si>
    <t>CALLAWAY NUCLEAR PLANT</t>
  </si>
  <si>
    <t>CALLAWAY PLANT</t>
  </si>
  <si>
    <t>CAL001</t>
  </si>
  <si>
    <t>CALLERY CHEMICAL (BASF)</t>
  </si>
  <si>
    <t>HER004</t>
  </si>
  <si>
    <t>CALPINE HERMISTON PLANT</t>
  </si>
  <si>
    <t>CAL009</t>
  </si>
  <si>
    <t>CALPINE NEWARK STATION</t>
  </si>
  <si>
    <t>ONT002</t>
  </si>
  <si>
    <t>CALPINE ONTELAUNEE</t>
  </si>
  <si>
    <t>CAL012</t>
  </si>
  <si>
    <t>CALPINE WESTBROOK</t>
  </si>
  <si>
    <t>CAL011</t>
  </si>
  <si>
    <t>CALVERT CLIFFS NUCLEAR PLANT</t>
  </si>
  <si>
    <t>CAM003</t>
  </si>
  <si>
    <t>CAMBRIA COGEN COMPANY</t>
  </si>
  <si>
    <t>CAMBRIA COGENERATION COMPANY</t>
  </si>
  <si>
    <t>CAMBRIA COUNTY COGEN</t>
  </si>
  <si>
    <t>CAM004</t>
  </si>
  <si>
    <t>CAMDEN COGEN PLANT</t>
  </si>
  <si>
    <t>CAM005</t>
  </si>
  <si>
    <t>CAMDEN COUNTY ENERGY</t>
  </si>
  <si>
    <t>CAM006</t>
  </si>
  <si>
    <t>CAMEO STATION</t>
  </si>
  <si>
    <t>CAN001</t>
  </si>
  <si>
    <t>CANADAY POWER STATION</t>
  </si>
  <si>
    <t>CANADAYS STATION</t>
  </si>
  <si>
    <t>CANADAYS STATION (NE)</t>
  </si>
  <si>
    <t>CAN002</t>
  </si>
  <si>
    <t>CANADYS GENERATING STATION</t>
  </si>
  <si>
    <t>CANADYS STATION</t>
  </si>
  <si>
    <t>CANADYS STATION (SC)</t>
  </si>
  <si>
    <t>CAN005</t>
  </si>
  <si>
    <t>CANE RUN STATION</t>
  </si>
  <si>
    <t>CAN006</t>
  </si>
  <si>
    <t>CAN-EURO ENTERPRISES LTD</t>
  </si>
  <si>
    <t>CAN003</t>
  </si>
  <si>
    <t>CANLINESTECH</t>
  </si>
  <si>
    <t>CAN007</t>
  </si>
  <si>
    <t>CANNON BOILER WORKS INC</t>
  </si>
  <si>
    <t>CAP001</t>
  </si>
  <si>
    <t>CAPE CANAVERAL PLANT</t>
  </si>
  <si>
    <t>CAP002</t>
  </si>
  <si>
    <t>CAPE FEAR PLANT</t>
  </si>
  <si>
    <t>CAP004</t>
  </si>
  <si>
    <t>CAPITAL TECHNOLOGIES INC - MCKEESPORT</t>
  </si>
  <si>
    <t>CAR001</t>
  </si>
  <si>
    <t>CARBON GENERATING STATION</t>
  </si>
  <si>
    <t>CARBON PLANT</t>
  </si>
  <si>
    <t>CAR018</t>
  </si>
  <si>
    <t>CARBON PLANT AT RODEO</t>
  </si>
  <si>
    <t>CAR002</t>
  </si>
  <si>
    <t>CARBON STEEL INSPECTION</t>
  </si>
  <si>
    <t>CAR003</t>
  </si>
  <si>
    <t>CARDINAL OPERATING CO</t>
  </si>
  <si>
    <t>CARDINAL PLANT</t>
  </si>
  <si>
    <t>CAR006</t>
  </si>
  <si>
    <t>CARGILL DE MEXICO, SA DE CV</t>
  </si>
  <si>
    <t>CAR025</t>
  </si>
  <si>
    <t>CARGILL GRAIN &amp; OILSEEDS (NANTONG) LTD</t>
  </si>
  <si>
    <t>CAR012</t>
  </si>
  <si>
    <t>CARGILL INC., DRESSINGS, SAUCES &amp; OILS</t>
  </si>
  <si>
    <t>CAR004</t>
  </si>
  <si>
    <t>CARGILL INC., REFINED OILS BUSINESS UNIT</t>
  </si>
  <si>
    <t>CAR026</t>
  </si>
  <si>
    <t>CARGILL LIMITED, OILSEEDS DIVISION</t>
  </si>
  <si>
    <t>CAR010</t>
  </si>
  <si>
    <t>CARGILL REFINERY DES MOINES</t>
  </si>
  <si>
    <t>CAR005</t>
  </si>
  <si>
    <t>CARGILL SALT-AKRON</t>
  </si>
  <si>
    <t>CAR011</t>
  </si>
  <si>
    <t>CARGILL, INC. OILSEEDS REFINERY</t>
  </si>
  <si>
    <t>CAR021</t>
  </si>
  <si>
    <t>CARGILL,INC-OIL SEEDS DIVISION</t>
  </si>
  <si>
    <t>CAR007</t>
  </si>
  <si>
    <t>CARNEYS POINT GENERATING PLANT</t>
  </si>
  <si>
    <t>CAR008</t>
  </si>
  <si>
    <t>CARNEYS POINT, NJ</t>
  </si>
  <si>
    <t>CAR017</t>
  </si>
  <si>
    <t>CARRIER COMMERCIAL SERVICE</t>
  </si>
  <si>
    <t>CAR014</t>
  </si>
  <si>
    <t>CARRIER COMMERCIAL SERVICES</t>
  </si>
  <si>
    <t>CAR027</t>
  </si>
  <si>
    <t>CARROLL COUNTY ENERGY</t>
  </si>
  <si>
    <t>CAR013</t>
  </si>
  <si>
    <t>CARSON ICE GEN</t>
  </si>
  <si>
    <t>CAR015</t>
  </si>
  <si>
    <t>CARUS CHEMICAL</t>
  </si>
  <si>
    <t>CARUS CHEMICAL CO</t>
  </si>
  <si>
    <t>CAR016</t>
  </si>
  <si>
    <t>CARVILLE ENERGY LLC</t>
  </si>
  <si>
    <t>CAS001</t>
  </si>
  <si>
    <t>CASCO BAY ENERGY COMPANY</t>
  </si>
  <si>
    <t>CAS002</t>
  </si>
  <si>
    <t>CASTLETON ENERGY SERVICES, LLC</t>
  </si>
  <si>
    <t>CAT006</t>
  </si>
  <si>
    <t>CATALYST HANDLING SERVICE CO</t>
  </si>
  <si>
    <t>SNO001</t>
  </si>
  <si>
    <t>CATALYST PAPER COMPANY</t>
  </si>
  <si>
    <t>CAT001</t>
  </si>
  <si>
    <t>CATALYST SERVICES INC</t>
  </si>
  <si>
    <t>CATOO7</t>
  </si>
  <si>
    <t>CATALYST SERVICES INC.</t>
  </si>
  <si>
    <t>CAT002</t>
  </si>
  <si>
    <t>CATALYST TECHNOLOGIES INC</t>
  </si>
  <si>
    <t>CAT005</t>
  </si>
  <si>
    <t>CATAWBA NUCLEAR STATION</t>
  </si>
  <si>
    <t>CAY001</t>
  </si>
  <si>
    <t>CAYUGA GENERATING STATION</t>
  </si>
  <si>
    <t>CAYUGA STEAM STATION</t>
  </si>
  <si>
    <t>CBR001</t>
  </si>
  <si>
    <t>CB RICHARD ELLIS</t>
  </si>
  <si>
    <t>CCC001</t>
  </si>
  <si>
    <t>CCC GROUP INC</t>
  </si>
  <si>
    <t>CED003</t>
  </si>
  <si>
    <t>CEDAR BAYOU STATION</t>
  </si>
  <si>
    <t>CED006</t>
  </si>
  <si>
    <t>CEDA-REACTOR LTD</t>
  </si>
  <si>
    <t>CEL001</t>
  </si>
  <si>
    <t>CELANESE</t>
  </si>
  <si>
    <t>CEL003</t>
  </si>
  <si>
    <t>CELANESE - BAY CITY</t>
  </si>
  <si>
    <t>CELANESE - BAY CITY VINYL ACETATE</t>
  </si>
  <si>
    <t>CEL002</t>
  </si>
  <si>
    <t>CELANESE - PASADENA CLEAR LAKE ORGANIC CHEMICALS AND ETHANOL</t>
  </si>
  <si>
    <t>CELANESE CHEMICAL GROUP</t>
  </si>
  <si>
    <t>CEL004</t>
  </si>
  <si>
    <t>CELSIA S.A. ESP</t>
  </si>
  <si>
    <t>CEN021</t>
  </si>
  <si>
    <t>CENTAURI TECHNOLOGIES LP</t>
  </si>
  <si>
    <t>CEN019</t>
  </si>
  <si>
    <t>CENTRAL ARIZONA PROJECT</t>
  </si>
  <si>
    <t>ENE001</t>
  </si>
  <si>
    <t>CENTRAL EP WAREHOUSE</t>
  </si>
  <si>
    <t>CEN010</t>
  </si>
  <si>
    <t>CENTRAL INDUSTRIAL CLEANERS</t>
  </si>
  <si>
    <t>CEN022</t>
  </si>
  <si>
    <t>CENTRAL LA ROSITA (INTERGEN)</t>
  </si>
  <si>
    <t>CEN023</t>
  </si>
  <si>
    <t>CENTRAL PROPERTY SERVICES</t>
  </si>
  <si>
    <t>CEN018</t>
  </si>
  <si>
    <t>CENTRALIA PLANT</t>
  </si>
  <si>
    <t>CEN024</t>
  </si>
  <si>
    <t>CENTURYVALLEN-EASTGATE</t>
  </si>
  <si>
    <t>CER001</t>
  </si>
  <si>
    <t>CERONI PIPING CO</t>
  </si>
  <si>
    <t>CFI001</t>
  </si>
  <si>
    <t>CF INDUSTRIES  - WOODWARD</t>
  </si>
  <si>
    <t>CHA001</t>
  </si>
  <si>
    <t>CHALK POINT STATION</t>
  </si>
  <si>
    <t>CHA003</t>
  </si>
  <si>
    <t>CHALMETTE PLANT</t>
  </si>
  <si>
    <t>DUP011</t>
  </si>
  <si>
    <t>CHAMBER WORKS - DUPONT</t>
  </si>
  <si>
    <t>CHA002</t>
  </si>
  <si>
    <t>CHAMOIS STATION</t>
  </si>
  <si>
    <t>LYO001</t>
  </si>
  <si>
    <t>CHANNELVIEW CHEMICALS CVO SOUTH - LYONDELLBASELL INDUSTRIES</t>
  </si>
  <si>
    <t>CHA009</t>
  </si>
  <si>
    <t>CHANNELVIEW COGEN PLANT</t>
  </si>
  <si>
    <t>CHANNELVIEW LYONDELL</t>
  </si>
  <si>
    <t>LYO003</t>
  </si>
  <si>
    <t>CHANNELVIEW OLEFINS CVO NORTH - LYONDELLBASELL INDUSTRIES</t>
  </si>
  <si>
    <t>CHA006</t>
  </si>
  <si>
    <t>CHARLES JONES INDUSTRIAL LTD</t>
  </si>
  <si>
    <t>CHA005</t>
  </si>
  <si>
    <t>CHAS D. WEST COMPANY</t>
  </si>
  <si>
    <t>CHA008</t>
  </si>
  <si>
    <t>CHATTAHOOCHEE ENERGY FACILITY</t>
  </si>
  <si>
    <t>CHE017</t>
  </si>
  <si>
    <t>CHEHALIS POWER GENERATING LLC</t>
  </si>
  <si>
    <t>CHE024</t>
  </si>
  <si>
    <t>CHEMCLEAN SERVICES</t>
  </si>
  <si>
    <t>CHE003</t>
  </si>
  <si>
    <t>CHEMCORR, INC.</t>
  </si>
  <si>
    <t>DUP002</t>
  </si>
  <si>
    <t>CHEMOURS -  BELLE</t>
  </si>
  <si>
    <t>CHE026</t>
  </si>
  <si>
    <t>CHEMOURS - BURNSIDE</t>
  </si>
  <si>
    <t>CHEMOURS-BELLE</t>
  </si>
  <si>
    <t>CHE004</t>
  </si>
  <si>
    <t>CHENA POWER PLANT</t>
  </si>
  <si>
    <t>CHE005</t>
  </si>
  <si>
    <t>CHEROKEE GENERATING STATION</t>
  </si>
  <si>
    <t>CHEROKEE PLANT</t>
  </si>
  <si>
    <t>CHERRY POINT REFINERY</t>
  </si>
  <si>
    <t>CHE009</t>
  </si>
  <si>
    <t>CHESAPEAKE ENERGY CENTER</t>
  </si>
  <si>
    <t>CHE018</t>
  </si>
  <si>
    <t>CHESTER MANUFACTURING MILL</t>
  </si>
  <si>
    <t>CHE011</t>
  </si>
  <si>
    <t>CHESTERFIELD (VA)</t>
  </si>
  <si>
    <t>CHE012</t>
  </si>
  <si>
    <t>CHESTERFIELD STATION</t>
  </si>
  <si>
    <t>CHESTERFIELD STATION (DOMINION)</t>
  </si>
  <si>
    <t>CHESTERFIELD STATION (VA)</t>
  </si>
  <si>
    <t>CHE013</t>
  </si>
  <si>
    <t>CHESWICK STATION</t>
  </si>
  <si>
    <t>ELS001</t>
  </si>
  <si>
    <t>CHEVRON - EL SEGUNDO REFINERY</t>
  </si>
  <si>
    <t>CHE022</t>
  </si>
  <si>
    <t>CHEVRON CANADA LIMITED</t>
  </si>
  <si>
    <t>CHE002</t>
  </si>
  <si>
    <t>CHEVRON CORP - RICHMOND REFINERY</t>
  </si>
  <si>
    <t>FEL001</t>
  </si>
  <si>
    <t>CHEVRON NA - FELLOWS PLANT</t>
  </si>
  <si>
    <t>CHE019</t>
  </si>
  <si>
    <t>CHEVRON ORONITE CO - BELLE CHASSE</t>
  </si>
  <si>
    <t>CHEVRON ORONITE COMPANY LLC</t>
  </si>
  <si>
    <t>CHE023</t>
  </si>
  <si>
    <t>CHEVRON PHILLIPS - CEDAR BAYOU</t>
  </si>
  <si>
    <t>CHE020</t>
  </si>
  <si>
    <t>CHEVRON PHILLIPS - PASADENA PLASTICS COMPLEX</t>
  </si>
  <si>
    <t>CPC002</t>
  </si>
  <si>
    <t>CHEVRON PHILLIPS - PORT ARTHUR</t>
  </si>
  <si>
    <t>CHE010</t>
  </si>
  <si>
    <t>CHEVRON PHILLIPS - SWEENY</t>
  </si>
  <si>
    <t>SWE001</t>
  </si>
  <si>
    <t>CHEVRON PHILLIPS CHEMICAL</t>
  </si>
  <si>
    <t>CHEVRON PHILLIPS CHEMICAL CO</t>
  </si>
  <si>
    <t>CHEVRON PHILLIPS CHEMICAL CO- SWEENY</t>
  </si>
  <si>
    <t>CHE007</t>
  </si>
  <si>
    <t>CHEVRON PHILLIPS/BORGER</t>
  </si>
  <si>
    <t>CHEVRON PHILLIPS-PASADENA PLASTICS</t>
  </si>
  <si>
    <t>CHE015</t>
  </si>
  <si>
    <t>CHEVRON PRODUCTS CO INC</t>
  </si>
  <si>
    <t>CHE025</t>
  </si>
  <si>
    <t>CHEVRON USA, INC.</t>
  </si>
  <si>
    <t>TIM002</t>
  </si>
  <si>
    <t>CHEVRON-CARTER CREEK</t>
  </si>
  <si>
    <t>CHI008</t>
  </si>
  <si>
    <t>CHILLCO INC</t>
  </si>
  <si>
    <t>CHI005</t>
  </si>
  <si>
    <t>CHINA STEEL CORPORATION</t>
  </si>
  <si>
    <t>CHI007</t>
  </si>
  <si>
    <t>CHINESE STATION</t>
  </si>
  <si>
    <t>CHO005</t>
  </si>
  <si>
    <t>CHOCTAW GAS GENERATION LLC</t>
  </si>
  <si>
    <t>CHO003</t>
  </si>
  <si>
    <t>CHOCTAW STATION</t>
  </si>
  <si>
    <t>CHO004</t>
  </si>
  <si>
    <t>CHOCTAW-KAUL DISTRIBUTION CO</t>
  </si>
  <si>
    <t>CHO001</t>
  </si>
  <si>
    <t>CHOLLA GENERATING STATION</t>
  </si>
  <si>
    <t>CHOLLA POWER PLANT</t>
  </si>
  <si>
    <t>CHO002</t>
  </si>
  <si>
    <t>CHOTEAU</t>
  </si>
  <si>
    <t>CHOUTEAU - SIEMENS WESTINGHOUSE</t>
  </si>
  <si>
    <t>CHOUTEAU POWER PLANT</t>
  </si>
  <si>
    <t>CHU002</t>
  </si>
  <si>
    <t>CHUCK LENZIE GENERATING PLANT</t>
  </si>
  <si>
    <t>CHUCK LENZIE GENERATING STATION</t>
  </si>
  <si>
    <t>CHU001</t>
  </si>
  <si>
    <t>CHUGACH ELECTRIC ASSOC INC</t>
  </si>
  <si>
    <t>CIM002</t>
  </si>
  <si>
    <t>CIMALTEC SA DE CV</t>
  </si>
  <si>
    <t>CIM001</t>
  </si>
  <si>
    <t>CIMARRON RIVER STATION</t>
  </si>
  <si>
    <t>CIN003</t>
  </si>
  <si>
    <t>CINERGY SOLUTIONS OF MONACA</t>
  </si>
  <si>
    <t>CIT006</t>
  </si>
  <si>
    <t>CITRUS COUNTY COMBINED CYCLE PLANT</t>
  </si>
  <si>
    <t>CIT004</t>
  </si>
  <si>
    <t>CITY OF GARLAND</t>
  </si>
  <si>
    <t>CIT005</t>
  </si>
  <si>
    <t>CITY OF GLENDALE (CA)</t>
  </si>
  <si>
    <t>CIT016</t>
  </si>
  <si>
    <t>CITY OF ORLANDO</t>
  </si>
  <si>
    <t>CIT008</t>
  </si>
  <si>
    <t>CITY OF PASADENA</t>
  </si>
  <si>
    <t>CIT013</t>
  </si>
  <si>
    <t>CITY UTIL OF SPRINGFIELD MO</t>
  </si>
  <si>
    <t>CLC001</t>
  </si>
  <si>
    <t>CL COATINGS</t>
  </si>
  <si>
    <t>CL COATINGS LLC</t>
  </si>
  <si>
    <t>WHE001</t>
  </si>
  <si>
    <t>CLAREMONT (NH) WTE PLANT</t>
  </si>
  <si>
    <t>CLA004</t>
  </si>
  <si>
    <t>CLARK PUBLIC UTILITIES</t>
  </si>
  <si>
    <t>CLA006</t>
  </si>
  <si>
    <t>CLARK STATION (NV)</t>
  </si>
  <si>
    <t>CLE006</t>
  </si>
  <si>
    <t>CLEANTECH</t>
  </si>
  <si>
    <t>CLE002</t>
  </si>
  <si>
    <t>CLEAR LAKE- ARKEMA INC</t>
  </si>
  <si>
    <t>CLE001</t>
  </si>
  <si>
    <t>CLEARY-FLOOD GENERATING PLANT</t>
  </si>
  <si>
    <t>CLE008</t>
  </si>
  <si>
    <t>CLEMSON UNIVERSITY</t>
  </si>
  <si>
    <t>CLI001</t>
  </si>
  <si>
    <t>CLIFFSIDE STEAM STATION</t>
  </si>
  <si>
    <t>CLI005</t>
  </si>
  <si>
    <t>CLINCH RIVER PLANT</t>
  </si>
  <si>
    <t>CLI007</t>
  </si>
  <si>
    <t>CLINTON NUCLEAR STATION</t>
  </si>
  <si>
    <t>CLINTON POWER STATION</t>
  </si>
  <si>
    <t>CLO002</t>
  </si>
  <si>
    <t>CLOQUET MILL PLANT</t>
  </si>
  <si>
    <t>CLO001</t>
  </si>
  <si>
    <t>CLOVER STATION</t>
  </si>
  <si>
    <t>COA001</t>
  </si>
  <si>
    <t>COAL CREEK STATION</t>
  </si>
  <si>
    <t>COAL CREEK STATION PLANT</t>
  </si>
  <si>
    <t>EAG002</t>
  </si>
  <si>
    <t>COASTAL EAGLE POINT OIL CO</t>
  </si>
  <si>
    <t>COA003</t>
  </si>
  <si>
    <t>COASTAL INDUSTRIAL SERVICES</t>
  </si>
  <si>
    <t>COBB GENERATING PLANT</t>
  </si>
  <si>
    <t>COF001</t>
  </si>
  <si>
    <t>COFFEEN GENERATING STATION</t>
  </si>
  <si>
    <t>COFFEEN PLANT</t>
  </si>
  <si>
    <t>COF003</t>
  </si>
  <si>
    <t>COFFEYVILLE STATION</t>
  </si>
  <si>
    <t>COK001</t>
  </si>
  <si>
    <t>COKENERGY LLC</t>
  </si>
  <si>
    <t>COL001</t>
  </si>
  <si>
    <t>COLBERT FOSSIL PLANT</t>
  </si>
  <si>
    <t>COL005</t>
  </si>
  <si>
    <t>COLESON COVE STATION</t>
  </si>
  <si>
    <t>COL006</t>
  </si>
  <si>
    <t>COLETO CREEK POWER PLANT</t>
  </si>
  <si>
    <t>COL025</t>
  </si>
  <si>
    <t>COLLINS PIPE &amp; SUPPLY CO, INC</t>
  </si>
  <si>
    <t>COL008</t>
  </si>
  <si>
    <t>COLLINS STATION</t>
  </si>
  <si>
    <t>COL010</t>
  </si>
  <si>
    <t>COLORADO BEND ENERGY CENTER</t>
  </si>
  <si>
    <t>COLORADO BEND I ENERGY CENTER</t>
  </si>
  <si>
    <t>COL026</t>
  </si>
  <si>
    <t>COLORADO BEND II</t>
  </si>
  <si>
    <t>COLORADO BEND II STATION</t>
  </si>
  <si>
    <t>COL012</t>
  </si>
  <si>
    <t>COLSTRIP PROJECT</t>
  </si>
  <si>
    <t>COLSTRIP STEAM ELEC STATION</t>
  </si>
  <si>
    <t>COLSTRIP STEAM ELECTRIC STATION</t>
  </si>
  <si>
    <t>COL013</t>
  </si>
  <si>
    <t>COLUMBIA ENERGY CENTER</t>
  </si>
  <si>
    <t>COLUMBIA ENERGY CENTER (WI)</t>
  </si>
  <si>
    <t>COL002</t>
  </si>
  <si>
    <t>COLUMBIA ENERGY LLC</t>
  </si>
  <si>
    <t>COL021</t>
  </si>
  <si>
    <t>COLUMBIA GAS TRANSMISSION CORP</t>
  </si>
  <si>
    <t>COL015</t>
  </si>
  <si>
    <t>COLUMBIA GENERATING STATION</t>
  </si>
  <si>
    <t>COLUMBIA GENERATING STATION (WA)</t>
  </si>
  <si>
    <t>COLUMBIA STATION (WA)</t>
  </si>
  <si>
    <t>COL024</t>
  </si>
  <si>
    <t>COLUMBIAN CHEMICALS COMPANY</t>
  </si>
  <si>
    <t>COL003</t>
  </si>
  <si>
    <t>COLUSA GENERATING STATION</t>
  </si>
  <si>
    <t>COLVER STATION</t>
  </si>
  <si>
    <t>COM002</t>
  </si>
  <si>
    <t>COMANCHE GENERATING STATION</t>
  </si>
  <si>
    <t>COM001</t>
  </si>
  <si>
    <t>COMANCHE PEAK SES</t>
  </si>
  <si>
    <t>COMANCHE PEAK SES (TX)</t>
  </si>
  <si>
    <t>COMANCHE PEAK STEAM ELECTRIC STATION</t>
  </si>
  <si>
    <t>COMANCHE PLANT (CO)</t>
  </si>
  <si>
    <t>COM003</t>
  </si>
  <si>
    <t>COMANCHE STATION (OK)</t>
  </si>
  <si>
    <t>FOU002</t>
  </si>
  <si>
    <t>COMERCIAL FOURWAY SERVICOS LTDA</t>
  </si>
  <si>
    <t>COM006</t>
  </si>
  <si>
    <t>COMMERCE REFUSE-TO-ENERGY</t>
  </si>
  <si>
    <t>COM011</t>
  </si>
  <si>
    <t>COMPRESSOR SYSTEMS INC</t>
  </si>
  <si>
    <t>COM012</t>
  </si>
  <si>
    <t>COMPRESSOR SYSTEMS INC (CO)</t>
  </si>
  <si>
    <t>COM004</t>
  </si>
  <si>
    <t>COMPUTER TO PLATE DIGITAL PVT LTD</t>
  </si>
  <si>
    <t>CON002</t>
  </si>
  <si>
    <t>CONCO EAST</t>
  </si>
  <si>
    <t>CONCO EAST SP Z O O</t>
  </si>
  <si>
    <t>CON011</t>
  </si>
  <si>
    <t>CONCO INDUSTRIESERVICE GMBH</t>
  </si>
  <si>
    <t>CON005</t>
  </si>
  <si>
    <t>CONCO SYSTEMS PTY LTD</t>
  </si>
  <si>
    <t>CONCO SYSTEMS PTY LTD.</t>
  </si>
  <si>
    <t>CON028</t>
  </si>
  <si>
    <t>CONCO SYSTEMS SPRL</t>
  </si>
  <si>
    <t>CON007</t>
  </si>
  <si>
    <t>CONCORDIA THEOLOGICAL SEMINARY</t>
  </si>
  <si>
    <t>CON006</t>
  </si>
  <si>
    <t>CONDENSER &amp; HEAT EXCHANGER SERVICES, INC.</t>
  </si>
  <si>
    <t>CON014</t>
  </si>
  <si>
    <t>CONDENSER AND BOILER TOOLS</t>
  </si>
  <si>
    <t>CON008</t>
  </si>
  <si>
    <t>CONEMAUGH STATION</t>
  </si>
  <si>
    <t>CON009</t>
  </si>
  <si>
    <t>CONESVILLE</t>
  </si>
  <si>
    <t>CONESVILLE PLANT</t>
  </si>
  <si>
    <t>CON010</t>
  </si>
  <si>
    <t>CONEX INTERNATIONAL CORP</t>
  </si>
  <si>
    <t>CON013</t>
  </si>
  <si>
    <t>CONNERS CREEK PLANT</t>
  </si>
  <si>
    <t>CONNERS CREEK STATION</t>
  </si>
  <si>
    <t>CON032</t>
  </si>
  <si>
    <t>CONOCO PHILLIPS</t>
  </si>
  <si>
    <t>CON003</t>
  </si>
  <si>
    <t>CONOCO PHILLIPS - LAKE CHARLES</t>
  </si>
  <si>
    <t>LOS006</t>
  </si>
  <si>
    <t>CONOCOPHILLIPS - LOST CABIN GAS PLANT</t>
  </si>
  <si>
    <t>CON029</t>
  </si>
  <si>
    <t>CONSOLIDATED PIPE &amp; SUPPLY CO</t>
  </si>
  <si>
    <t>COP003</t>
  </si>
  <si>
    <t>CONSORCIO PIASA S.A. DE C.V.</t>
  </si>
  <si>
    <t>CONSORCIO PIASA SA DE CV</t>
  </si>
  <si>
    <t>WAG001</t>
  </si>
  <si>
    <t>CONSTELLATION POWER SOURCE GEN</t>
  </si>
  <si>
    <t>CON031</t>
  </si>
  <si>
    <t>CONSTRUCTION &amp; CONSUMABLE SUPPLIES, LLC</t>
  </si>
  <si>
    <t>CON030</t>
  </si>
  <si>
    <t>CONTINENTAL REALTY</t>
  </si>
  <si>
    <t>CON024</t>
  </si>
  <si>
    <t>CONTRA COSTA GENERATING STATION</t>
  </si>
  <si>
    <t>CONTRA COSTA POWER PLANT</t>
  </si>
  <si>
    <t>COO001</t>
  </si>
  <si>
    <t>COOK NUCLEAR PLANT</t>
  </si>
  <si>
    <t>COO004</t>
  </si>
  <si>
    <t>COOPER</t>
  </si>
  <si>
    <t>COO005</t>
  </si>
  <si>
    <t>COOPER NUCLEAR STATION</t>
  </si>
  <si>
    <t>COOPER NUCLEAR STATION (NE)</t>
  </si>
  <si>
    <t>COOPER STATION (KY)</t>
  </si>
  <si>
    <t>COP001</t>
  </si>
  <si>
    <t>COPE STATION</t>
  </si>
  <si>
    <t>COR001</t>
  </si>
  <si>
    <t>CORETTE STEAM PLANT</t>
  </si>
  <si>
    <t>WES016</t>
  </si>
  <si>
    <t>CORNERSTONE CHEMICAL CO - WAGGAMAN</t>
  </si>
  <si>
    <t>CORNERSTONE CHEMICAL CO - WESTWEGO</t>
  </si>
  <si>
    <t>COR003</t>
  </si>
  <si>
    <t>CORONADO GENERATING STATION</t>
  </si>
  <si>
    <t>COR005</t>
  </si>
  <si>
    <t>CORPORACION DE INDUSTRIAS DE SER</t>
  </si>
  <si>
    <t>COR006</t>
  </si>
  <si>
    <t>CORPORACION ENERGIAS DE GUATEMALA</t>
  </si>
  <si>
    <t>LYO010</t>
  </si>
  <si>
    <t>CORPUS CHRISTI OLEFINS CCO - LYONDELLBASELL INDUSTRIES</t>
  </si>
  <si>
    <t>COT002</t>
  </si>
  <si>
    <t>COTTONWOOD ENERGY CO LP</t>
  </si>
  <si>
    <t>WAL004</t>
  </si>
  <si>
    <t>COUNCIL BLUFFS ENERGY CENTER</t>
  </si>
  <si>
    <t>COU006</t>
  </si>
  <si>
    <t>COUNTY OF ROCKLAND</t>
  </si>
  <si>
    <t>COU005</t>
  </si>
  <si>
    <t>COURTENAY BAY STATION</t>
  </si>
  <si>
    <t>COU003</t>
  </si>
  <si>
    <t>COURTLAND MILL</t>
  </si>
  <si>
    <t>COURTNEY BAY STATION</t>
  </si>
  <si>
    <t>COV001</t>
  </si>
  <si>
    <t>COVANTA BABYLON INC</t>
  </si>
  <si>
    <t>COV002</t>
  </si>
  <si>
    <t>COVANTA BRISTOL INC</t>
  </si>
  <si>
    <t>COV011</t>
  </si>
  <si>
    <t>COVANTA HARRISBURG</t>
  </si>
  <si>
    <t>LAK004</t>
  </si>
  <si>
    <t>COVANTA LAKE INC</t>
  </si>
  <si>
    <t>COV010</t>
  </si>
  <si>
    <t>COVANTA MID CONN  INC</t>
  </si>
  <si>
    <t>COVANTA MID-CONN INC</t>
  </si>
  <si>
    <t>COV004</t>
  </si>
  <si>
    <t>COVANTA SPRINGFIELD, LLC</t>
  </si>
  <si>
    <t>COV009</t>
  </si>
  <si>
    <t>COVANTA UNION INC</t>
  </si>
  <si>
    <t>COVANTA UNION LLC</t>
  </si>
  <si>
    <t>COV012</t>
  </si>
  <si>
    <t>COVE POINT</t>
  </si>
  <si>
    <t>COVE POINT LNG LP</t>
  </si>
  <si>
    <t>COV006</t>
  </si>
  <si>
    <t>COVESTRO LLC</t>
  </si>
  <si>
    <t>COX001</t>
  </si>
  <si>
    <t>COX TRUCKNG SERVICES INC.</t>
  </si>
  <si>
    <t>COY002</t>
  </si>
  <si>
    <t>COYOTE STATION (ND)</t>
  </si>
  <si>
    <t>CPCHEM CEDAR BAYOU</t>
  </si>
  <si>
    <t>CPCHEM PORT ARTHUR</t>
  </si>
  <si>
    <t>CPS001</t>
  </si>
  <si>
    <t>CPS INDUSTRIAL</t>
  </si>
  <si>
    <t>CRA002</t>
  </si>
  <si>
    <t>CRAIG STATION (CO)</t>
  </si>
  <si>
    <t>CRA003</t>
  </si>
  <si>
    <t>CRANE POWER PLANT</t>
  </si>
  <si>
    <t>CRA004</t>
  </si>
  <si>
    <t>CRAVEN COUNTY WOOD ENERGY</t>
  </si>
  <si>
    <t>CRA005</t>
  </si>
  <si>
    <t>CRAWFORD STATION</t>
  </si>
  <si>
    <t>CRA007</t>
  </si>
  <si>
    <t>CRAWFORDSVILLE STATION</t>
  </si>
  <si>
    <t>CRE001</t>
  </si>
  <si>
    <t>CREIGHTON AIR PRODUCTS</t>
  </si>
  <si>
    <t>CRE002</t>
  </si>
  <si>
    <t>CRESCENT DUNES SOLAR ENERGY PROJECT</t>
  </si>
  <si>
    <t>CRI003</t>
  </si>
  <si>
    <t>CRIST GENERATING STATION</t>
  </si>
  <si>
    <t>CRIST PLANT</t>
  </si>
  <si>
    <t>CRIST STATION</t>
  </si>
  <si>
    <t>CRO001</t>
  </si>
  <si>
    <t>CROCKETT COGENERATION</t>
  </si>
  <si>
    <t>CRO002</t>
  </si>
  <si>
    <t>CROMBY STATION</t>
  </si>
  <si>
    <t>CRO003</t>
  </si>
  <si>
    <t>CROSS STATION</t>
  </si>
  <si>
    <t>CRO005</t>
  </si>
  <si>
    <t>CROSSTEX ENERGY SERVICES INC</t>
  </si>
  <si>
    <t>PAS007</t>
  </si>
  <si>
    <t>CROWN CENTRAL</t>
  </si>
  <si>
    <t>CROWN CENTRAL PETROLEUM CORP</t>
  </si>
  <si>
    <t>CRO006</t>
  </si>
  <si>
    <t>CROWN INDUSTRIAL &amp; PETROLEUM EST</t>
  </si>
  <si>
    <t>CRY001</t>
  </si>
  <si>
    <t>CRYSTAL RIVER NUCLEAR UNIT 3</t>
  </si>
  <si>
    <t>CRY002</t>
  </si>
  <si>
    <t>CRYSTAL RIVER PLANT 1 &amp; 2</t>
  </si>
  <si>
    <t>CRY003</t>
  </si>
  <si>
    <t>CRYSTAL RIVER PLANT 4 &amp; 5</t>
  </si>
  <si>
    <t>CRYSTAL RIVER UNIT 3</t>
  </si>
  <si>
    <t>CSC001</t>
  </si>
  <si>
    <t>CSC APPLIED TECHNOLOGIES LLC</t>
  </si>
  <si>
    <t>CUL001</t>
  </si>
  <si>
    <t>CULLEY STATION</t>
  </si>
  <si>
    <t>CUM001</t>
  </si>
  <si>
    <t>CUMBERLAND FOSSIL PLANT (TN)</t>
  </si>
  <si>
    <t>CUR001</t>
  </si>
  <si>
    <t>CURRAN INTERNATIONAL</t>
  </si>
  <si>
    <t>CUR003</t>
  </si>
  <si>
    <t>CURRANT CREEK PLANT</t>
  </si>
  <si>
    <t>CURRENT CREEK PLANT</t>
  </si>
  <si>
    <t>CUR004</t>
  </si>
  <si>
    <t>CURTISS-WRIGHT ELECTRO MECHANICAL CORP</t>
  </si>
  <si>
    <t>CUT001</t>
  </si>
  <si>
    <t>CUTLER PLANT</t>
  </si>
  <si>
    <t>CYR005</t>
  </si>
  <si>
    <t>CYROTEC LTD</t>
  </si>
  <si>
    <t>CYROTEC LTD.</t>
  </si>
  <si>
    <t>CYROTEC, LTD (CORSA MARKETING)</t>
  </si>
  <si>
    <t>CYROTEC, LTD.</t>
  </si>
  <si>
    <t>DAB001</t>
  </si>
  <si>
    <t>D &amp; A BUILDING SERVICES INC</t>
  </si>
  <si>
    <t>DSC001</t>
  </si>
  <si>
    <t>D &amp; S CONSTRUCTION, LLC</t>
  </si>
  <si>
    <t>DBW001</t>
  </si>
  <si>
    <t>D B WILSON STATION</t>
  </si>
  <si>
    <t>DAD001</t>
  </si>
  <si>
    <t>DADE COUNTY PLANT</t>
  </si>
  <si>
    <t>DADE COUNTY RESOURCE RECOVERY</t>
  </si>
  <si>
    <t>DAH001</t>
  </si>
  <si>
    <t>DAHLBERG PLANT</t>
  </si>
  <si>
    <t>DAI003</t>
  </si>
  <si>
    <t>DAIRYLAND POWER COOP</t>
  </si>
  <si>
    <t>DAL002</t>
  </si>
  <si>
    <t>DALHOUSIE GENERATING STATION</t>
  </si>
  <si>
    <t>DAL005</t>
  </si>
  <si>
    <t>DALLAS CHEMICAL TECHNOLOGIES</t>
  </si>
  <si>
    <t>DALLAS CHEMICAL TECHNOLOGIES INC</t>
  </si>
  <si>
    <t>DAL004</t>
  </si>
  <si>
    <t>DALLMAN POWER STATION</t>
  </si>
  <si>
    <t>DAN001</t>
  </si>
  <si>
    <t>DAN RIVER STATION</t>
  </si>
  <si>
    <t>DAN RIVER STEAM STATION</t>
  </si>
  <si>
    <t>DAN002</t>
  </si>
  <si>
    <t>DANIEL PLANT</t>
  </si>
  <si>
    <t>DAN004</t>
  </si>
  <si>
    <t>DANSBY PLANT</t>
  </si>
  <si>
    <t>DAN005</t>
  </si>
  <si>
    <t>DANSKAMMER PLANT</t>
  </si>
  <si>
    <t>DAR002</t>
  </si>
  <si>
    <t>DARAMIC LLC</t>
  </si>
  <si>
    <t>DAR001</t>
  </si>
  <si>
    <t>DARLINGTON NGD</t>
  </si>
  <si>
    <t>DAR003</t>
  </si>
  <si>
    <t>DARTMOUTH POWER PLANT</t>
  </si>
  <si>
    <t>DAV001</t>
  </si>
  <si>
    <t>DAVE JOHNSTON</t>
  </si>
  <si>
    <t>DAVE JOHNSTON PLANT</t>
  </si>
  <si>
    <t>DAV002</t>
  </si>
  <si>
    <t>DAVIS-BESSE NUCLEAR PLANT</t>
  </si>
  <si>
    <t>DAY003</t>
  </si>
  <si>
    <t>DAY &amp; ZIMMERMANN NPS INC</t>
  </si>
  <si>
    <t>DC COOK NUCLEAR PLANT</t>
  </si>
  <si>
    <t>DCC001</t>
  </si>
  <si>
    <t>DCC YEMEN OILFIED SUPPLIER</t>
  </si>
  <si>
    <t>DEA001</t>
  </si>
  <si>
    <t>DEARBORN INDUSTRIAL GENERATION</t>
  </si>
  <si>
    <t>DEB001</t>
  </si>
  <si>
    <t>DEBUSK INDUSTRIAL</t>
  </si>
  <si>
    <t>DEBUSK INDUSTRIAL SERVICES CO</t>
  </si>
  <si>
    <t>DEC001</t>
  </si>
  <si>
    <t>DE-CAL INC.</t>
  </si>
  <si>
    <t>DEC002</t>
  </si>
  <si>
    <t>DECATUR PLANT</t>
  </si>
  <si>
    <t>DEC005</t>
  </si>
  <si>
    <t>DECKER MECHANICAL IND</t>
  </si>
  <si>
    <t>DEC003</t>
  </si>
  <si>
    <t>DECKER STATION</t>
  </si>
  <si>
    <t>DEC004</t>
  </si>
  <si>
    <t>DECORDOVA PLANT</t>
  </si>
  <si>
    <t>DEE002</t>
  </si>
  <si>
    <t>DEELY STATION</t>
  </si>
  <si>
    <t>DEELY STATION (TX)</t>
  </si>
  <si>
    <t>DEE007</t>
  </si>
  <si>
    <t>DEEPWATER STATION (NJ)</t>
  </si>
  <si>
    <t>DEE009</t>
  </si>
  <si>
    <t>DEER CREEK GENERATING STATION</t>
  </si>
  <si>
    <t>DEE001</t>
  </si>
  <si>
    <t>DEER PARK ACRYLIC RESINS - DOW CHEMICAL COMPANY</t>
  </si>
  <si>
    <t>DEE008</t>
  </si>
  <si>
    <t>DEER PARK CHEMICAL PLT (Shell)</t>
  </si>
  <si>
    <t>DEE011</t>
  </si>
  <si>
    <t>DEERHAVEN STATION</t>
  </si>
  <si>
    <t>DEG001</t>
  </si>
  <si>
    <t>DEGUSSA ENGINEERED CARBONS L P</t>
  </si>
  <si>
    <t>DEGUSSA ENGINEERED CARBONS LP</t>
  </si>
  <si>
    <t>DEL006</t>
  </si>
  <si>
    <t>DELANO POWER PLANT</t>
  </si>
  <si>
    <t>DELAWARE CITY</t>
  </si>
  <si>
    <t>DEL004</t>
  </si>
  <si>
    <t>DELAWARE CITY  PLANT - CONECTIV</t>
  </si>
  <si>
    <t>DELAWARE CITY PLANT - CONECTIV</t>
  </si>
  <si>
    <t>DEL005</t>
  </si>
  <si>
    <t>DELAWARE CITY PLANT - MOTIVA</t>
  </si>
  <si>
    <t>DELAWARE CITY REFINERY - MOTIVA</t>
  </si>
  <si>
    <t>DELAWARE CITY REFINERY - VALERO</t>
  </si>
  <si>
    <t>DEL012</t>
  </si>
  <si>
    <t>DELAWARE CITY REFINING COMPANY</t>
  </si>
  <si>
    <t>DEL007</t>
  </si>
  <si>
    <t>DELAWARE VALLEY</t>
  </si>
  <si>
    <t>DELAWARE VALLEY RESOURCE RECOVERY FACILITY</t>
  </si>
  <si>
    <t>DEL015</t>
  </si>
  <si>
    <t>DELEK REFINERY - TYLER</t>
  </si>
  <si>
    <t>DEL011</t>
  </si>
  <si>
    <t>DELL POWER PLANT</t>
  </si>
  <si>
    <t>DEL014</t>
  </si>
  <si>
    <t>DELTA AIRLINES</t>
  </si>
  <si>
    <t>DEL008</t>
  </si>
  <si>
    <t>DELTA ENERGY CENTER</t>
  </si>
  <si>
    <t>DELTA RIGGING &amp; TOOLS</t>
  </si>
  <si>
    <t>DEL010</t>
  </si>
  <si>
    <t>DELUXE INDUSTRIAL SERVICES</t>
  </si>
  <si>
    <t>DEM001</t>
  </si>
  <si>
    <t>DEMENNO/KERDOON</t>
  </si>
  <si>
    <t>DES001</t>
  </si>
  <si>
    <t>DESCON ENGINEERING LIMITED</t>
  </si>
  <si>
    <t>DES004</t>
  </si>
  <si>
    <t>DESERT BASIN STATION</t>
  </si>
  <si>
    <t>ELD001</t>
  </si>
  <si>
    <t>DESERT STAR ENERGY CENTER</t>
  </si>
  <si>
    <t>DIA001</t>
  </si>
  <si>
    <t>DIABLO CANYON NUCLEAR STATION</t>
  </si>
  <si>
    <t>DIABLO CANYON PLANT</t>
  </si>
  <si>
    <t>DIABLO CANYON POWER PLANT</t>
  </si>
  <si>
    <t>DIC001</t>
  </si>
  <si>
    <t>DICKERSON STATION</t>
  </si>
  <si>
    <t>DID002</t>
  </si>
  <si>
    <t>DIDION ETHANOL</t>
  </si>
  <si>
    <t>DIL001</t>
  </si>
  <si>
    <t>DILLON SUPPLY</t>
  </si>
  <si>
    <t>DOG001</t>
  </si>
  <si>
    <t>DOGFISH HEAD CRAFT BREWERY</t>
  </si>
  <si>
    <t>DOL001</t>
  </si>
  <si>
    <t>DOLET HILLS POWER STATION</t>
  </si>
  <si>
    <t>DOM003</t>
  </si>
  <si>
    <t>DOMTAR</t>
  </si>
  <si>
    <t>HAR003</t>
  </si>
  <si>
    <t>DORCHESTER BIOMASS LLC</t>
  </si>
  <si>
    <t>DORCHESTER BIOMASS, LLC (HARLEYVILLE)</t>
  </si>
  <si>
    <t>DOS002</t>
  </si>
  <si>
    <t>DOSWELL LTD  PARTNERSHIP</t>
  </si>
  <si>
    <t>DOSWELL LTD PARTNERSHIP</t>
  </si>
  <si>
    <t>DOW008</t>
  </si>
  <si>
    <t>DOW - CORTEVA MIDLAND</t>
  </si>
  <si>
    <t>DOW - DEER PARK REFINING</t>
  </si>
  <si>
    <t>DOW003</t>
  </si>
  <si>
    <t>DOW - FREEPORT</t>
  </si>
  <si>
    <t>DOW007</t>
  </si>
  <si>
    <t>DOW - PITTSBURG</t>
  </si>
  <si>
    <t>DOW - PITTSBURG, CA</t>
  </si>
  <si>
    <t>PLA009</t>
  </si>
  <si>
    <t>DOW - PLAQUEMINE LAO CHEMICALS</t>
  </si>
  <si>
    <t>SCO002</t>
  </si>
  <si>
    <t>DOW - SCO</t>
  </si>
  <si>
    <t>SEA003</t>
  </si>
  <si>
    <t>DOW - SEADRIFT</t>
  </si>
  <si>
    <t>SEA001</t>
  </si>
  <si>
    <t>DOW - SEADRIFT OPERATIONS</t>
  </si>
  <si>
    <t>DOW - ST CHARLES OPERATIONS</t>
  </si>
  <si>
    <t>DOW005</t>
  </si>
  <si>
    <t>DOW - TEXAS CITY</t>
  </si>
  <si>
    <t>DOW011</t>
  </si>
  <si>
    <t>DOW BRASIL INDUSTRIA &amp; COMERCIO DE PRODUCTOS</t>
  </si>
  <si>
    <t>DOW CHEMICAL</t>
  </si>
  <si>
    <t>DOW002</t>
  </si>
  <si>
    <t>DOW CHEMICAL - NORCO, LA</t>
  </si>
  <si>
    <t>DOW009</t>
  </si>
  <si>
    <t>DOW CHEMICAL CANADA INC</t>
  </si>
  <si>
    <t>DOW CHEMICAL CORPORAITON - PLAQUEMINE</t>
  </si>
  <si>
    <t>DOW CHEMICAL CORPORATION - PLAQUEMINE</t>
  </si>
  <si>
    <t>DOW FREEPORT</t>
  </si>
  <si>
    <t>DOW USA  TEXAS OPERATIONS</t>
  </si>
  <si>
    <t>DOW-SEA DRIFT</t>
  </si>
  <si>
    <t>DOW-ST CHARLES</t>
  </si>
  <si>
    <t>DRE002</t>
  </si>
  <si>
    <t>DRESDEN</t>
  </si>
  <si>
    <t>DRE001</t>
  </si>
  <si>
    <t>DRESDEN NUCLEAR STATION</t>
  </si>
  <si>
    <t>DRE006</t>
  </si>
  <si>
    <t>DRESSER-RAND CO</t>
  </si>
  <si>
    <t>DSL001</t>
  </si>
  <si>
    <t>DSL S A</t>
  </si>
  <si>
    <t>DSL S. A.</t>
  </si>
  <si>
    <t>DSL S. A. / Kinetics</t>
  </si>
  <si>
    <t>DSL S.A.</t>
  </si>
  <si>
    <t>DSM001</t>
  </si>
  <si>
    <t>DSM CHEMICALS NORTH AMERICA</t>
  </si>
  <si>
    <t>POR016</t>
  </si>
  <si>
    <t>DTE STOCKTON LLC</t>
  </si>
  <si>
    <t>DUA001</t>
  </si>
  <si>
    <t>DUANE ARNOLD ENERGY CENTER</t>
  </si>
  <si>
    <t>DUB001</t>
  </si>
  <si>
    <t>DUBUQUE STATION</t>
  </si>
  <si>
    <t>DUC001</t>
  </si>
  <si>
    <t>DUCK CREEK PLANT</t>
  </si>
  <si>
    <t>DUCK CREEK STATION</t>
  </si>
  <si>
    <t>DUN005</t>
  </si>
  <si>
    <t>DUNDALK PUMPING STATION</t>
  </si>
  <si>
    <t>DUN002</t>
  </si>
  <si>
    <t>DUNKIRK POWER LLC</t>
  </si>
  <si>
    <t>DUNKIRK STEAM STATION</t>
  </si>
  <si>
    <t>DUN003</t>
  </si>
  <si>
    <t>DUNN HEAT EXCHANGERS INC</t>
  </si>
  <si>
    <t>DUPONT - BELL PLANT</t>
  </si>
  <si>
    <t>DUPONT - BELLE PLANT</t>
  </si>
  <si>
    <t>DUP014</t>
  </si>
  <si>
    <t>DUPONT - LAPLACE</t>
  </si>
  <si>
    <t>DUP009</t>
  </si>
  <si>
    <t>DUPONT - NEW JOHNSONVILLE</t>
  </si>
  <si>
    <t>DUP012</t>
  </si>
  <si>
    <t>DUPONT - SABINE RIVER WORKS</t>
  </si>
  <si>
    <t>YER001</t>
  </si>
  <si>
    <t>DUPONT - YERKES PLANT</t>
  </si>
  <si>
    <t>DUPONT CHAMBERS WORKS</t>
  </si>
  <si>
    <t>EID002</t>
  </si>
  <si>
    <t>DUPONT CHEM SOLU- BORDERLAND PLANT</t>
  </si>
  <si>
    <t>DUP007</t>
  </si>
  <si>
    <t>DUPONT CHEM SOLUTIONS ENT.- RED LION ACID PLANT</t>
  </si>
  <si>
    <t>DUP008</t>
  </si>
  <si>
    <t>DUPONT CHEMICAL - BURNSIDE</t>
  </si>
  <si>
    <t>DUP006</t>
  </si>
  <si>
    <t>DUPONT CHEMICAL SOLUTIONS ENTERPRISE</t>
  </si>
  <si>
    <t>DUP005</t>
  </si>
  <si>
    <t>DUPONT LAPORTE</t>
  </si>
  <si>
    <t>DUPONT PERFORMANCE COATINGS</t>
  </si>
  <si>
    <t>DUP003</t>
  </si>
  <si>
    <t>DUPONT SA</t>
  </si>
  <si>
    <t>DUT001</t>
  </si>
  <si>
    <t>DUTCHESS COUNTY WTE PLANT</t>
  </si>
  <si>
    <t>DYN004</t>
  </si>
  <si>
    <t>DYNAMAC CORPORATION</t>
  </si>
  <si>
    <t>DYN005</t>
  </si>
  <si>
    <t>DYNAMIC FUELS LLC</t>
  </si>
  <si>
    <t>DYN011</t>
  </si>
  <si>
    <t>DYNAMIC SYSTEMS</t>
  </si>
  <si>
    <t>DYN001</t>
  </si>
  <si>
    <t>DYNCORP TECHNICAL SERVICES LLC</t>
  </si>
  <si>
    <t>DYN003</t>
  </si>
  <si>
    <t>DYNO NOBEL INC</t>
  </si>
  <si>
    <t>EBP001</t>
  </si>
  <si>
    <t>E BARRETT PRETTYMAN COURTHOUSE</t>
  </si>
  <si>
    <t>EID001</t>
  </si>
  <si>
    <t>E I DU PONT DE NEMOURS &amp; CO</t>
  </si>
  <si>
    <t>EWB001</t>
  </si>
  <si>
    <t>E W BROWN GENERATING STATION</t>
  </si>
  <si>
    <t>EAG004</t>
  </si>
  <si>
    <t>EAGLE INDUSTRIES</t>
  </si>
  <si>
    <t>EAGLE POINT COGEN PARTNERSHIP</t>
  </si>
  <si>
    <t>EAGLE POINT COGENERATION</t>
  </si>
  <si>
    <t>EAG003</t>
  </si>
  <si>
    <t>EAGLE VALLEY PLANT</t>
  </si>
  <si>
    <t>EAS001</t>
  </si>
  <si>
    <t>EAST BEND STATION</t>
  </si>
  <si>
    <t>EAS005</t>
  </si>
  <si>
    <t>EAST MESA GEOTHERMAL</t>
  </si>
  <si>
    <t>EAS007</t>
  </si>
  <si>
    <t>EAST RIVER STATION</t>
  </si>
  <si>
    <t>EAS002</t>
  </si>
  <si>
    <t>EASTERN LANDFILL</t>
  </si>
  <si>
    <t>EAS014</t>
  </si>
  <si>
    <t>EASTLAKE PLANT</t>
  </si>
  <si>
    <t>EAS015</t>
  </si>
  <si>
    <t>EASTMAN CHEMICAL</t>
  </si>
  <si>
    <t>JEF002</t>
  </si>
  <si>
    <t>EASTMAN CHEMICAL - JEFFERSON</t>
  </si>
  <si>
    <t>EAS003</t>
  </si>
  <si>
    <t>EASTMAN CHEMICAL - PACE</t>
  </si>
  <si>
    <t>EASTMAN CHEMICAL CO</t>
  </si>
  <si>
    <t>EASTMAN CHEMICAL COGEN</t>
  </si>
  <si>
    <t>EASTMAN CHEMICAL COMPANY</t>
  </si>
  <si>
    <t>EAS019</t>
  </si>
  <si>
    <t>EASTOVER MILL</t>
  </si>
  <si>
    <t>EBE001</t>
  </si>
  <si>
    <t>EBENSBURG PLANT</t>
  </si>
  <si>
    <t>EBENSBURG POWER COMPANY</t>
  </si>
  <si>
    <t>ECK001</t>
  </si>
  <si>
    <t>ECKERT STATION</t>
  </si>
  <si>
    <t>ECO005</t>
  </si>
  <si>
    <t>ECO SERVICES - DOMINGUEZ PLANT</t>
  </si>
  <si>
    <t>ECO001</t>
  </si>
  <si>
    <t>ECO SERVICES OPERATIONS</t>
  </si>
  <si>
    <t>ECO003</t>
  </si>
  <si>
    <t>ECO SOLUTIONS &amp; ALTERNATIVE TECH</t>
  </si>
  <si>
    <t>ECO004</t>
  </si>
  <si>
    <t>ECODYNE HEAT EXCHANGERS</t>
  </si>
  <si>
    <t>ECO-SOLUTIONS &amp; ALTERNATIVE TECH</t>
  </si>
  <si>
    <t>EDD001</t>
  </si>
  <si>
    <t>EDDY POTASH</t>
  </si>
  <si>
    <t>EDD002</t>
  </si>
  <si>
    <t>EDDYSTONE STATION</t>
  </si>
  <si>
    <t>EDG001</t>
  </si>
  <si>
    <t>EDGE MOOR (DUPONT)</t>
  </si>
  <si>
    <t>EDG004</t>
  </si>
  <si>
    <t>EDGEWATER STATION (WI)</t>
  </si>
  <si>
    <t>EDW003</t>
  </si>
  <si>
    <t>EDWARDSPORT STATION</t>
  </si>
  <si>
    <t>EGE001</t>
  </si>
  <si>
    <t>EGE HAINA</t>
  </si>
  <si>
    <t>EGE HAINA S A</t>
  </si>
  <si>
    <t>EHB001</t>
  </si>
  <si>
    <t>EHB SUPPLY</t>
  </si>
  <si>
    <t>EI DU PONT DE NEMOURS AND COMPANY</t>
  </si>
  <si>
    <t>WAS001</t>
  </si>
  <si>
    <t>EI DUPONT DE NEMOURS AND COMPANY</t>
  </si>
  <si>
    <t>ELC001</t>
  </si>
  <si>
    <t>EL CENTRO STEAM</t>
  </si>
  <si>
    <t>EL DORADO ENERGY LLC</t>
  </si>
  <si>
    <t>ELS002</t>
  </si>
  <si>
    <t>EL SEGUNDO STATION</t>
  </si>
  <si>
    <t>ELE007</t>
  </si>
  <si>
    <t>ELECTRABEL</t>
  </si>
  <si>
    <t>ELECTRABEL N V</t>
  </si>
  <si>
    <t>JOP001</t>
  </si>
  <si>
    <t>ELECTRIC ENERGY INC</t>
  </si>
  <si>
    <t>ELE002</t>
  </si>
  <si>
    <t>ELECTRIC POWER RESEARCH INST</t>
  </si>
  <si>
    <t>ELI001</t>
  </si>
  <si>
    <t>ELIZABETHTOWN POWER</t>
  </si>
  <si>
    <t>ELIZABETHTOWN POWER LLC</t>
  </si>
  <si>
    <t>ELK001</t>
  </si>
  <si>
    <t>ELK HILLS POWER LLC</t>
  </si>
  <si>
    <t>ELK002</t>
  </si>
  <si>
    <t>ELK RIVER ENERGY RECOVERY STATION</t>
  </si>
  <si>
    <t>ELL003</t>
  </si>
  <si>
    <t>ELLIOTT CO - CHICAGO SERV SHOP</t>
  </si>
  <si>
    <t>ELL002</t>
  </si>
  <si>
    <t>ELLIOTT COMPANY</t>
  </si>
  <si>
    <t>ELLIOTT ON-SITE SERVICES</t>
  </si>
  <si>
    <t>ELL001</t>
  </si>
  <si>
    <t>ELLIOTT TOOL</t>
  </si>
  <si>
    <t>ELLIOTT TOOL  TECHNOLOGIES LTD</t>
  </si>
  <si>
    <t>ELLIOTT TOOL TECHNOLOGIES LTD</t>
  </si>
  <si>
    <t>ELLIOTT TURBOMACHINERY CO INC</t>
  </si>
  <si>
    <t>ELM002</t>
  </si>
  <si>
    <t>ELM ROAD GENERATING STATION</t>
  </si>
  <si>
    <t>ELM001</t>
  </si>
  <si>
    <t>ELMER SMITH STATION</t>
  </si>
  <si>
    <t>ELR001</t>
  </si>
  <si>
    <t>ELRAMA GENERATING STATION</t>
  </si>
  <si>
    <t>ELRAMA POWER PLANT</t>
  </si>
  <si>
    <t>ELRAMA STATION</t>
  </si>
  <si>
    <t>EOS001</t>
  </si>
  <si>
    <t>EMISSA OILFIELDS SUPPLY CENTRE</t>
  </si>
  <si>
    <t>EMP001</t>
  </si>
  <si>
    <t>EMPIRE GENERATING CO LLC</t>
  </si>
  <si>
    <t>EMP003</t>
  </si>
  <si>
    <t>EMPRESA GENARADORA DE ELECTRIC</t>
  </si>
  <si>
    <t>ENC001</t>
  </si>
  <si>
    <t>ENCINA POWER STATION</t>
  </si>
  <si>
    <t>ENC002</t>
  </si>
  <si>
    <t>ENCOGEN NORTHWEST LP</t>
  </si>
  <si>
    <t>END001</t>
  </si>
  <si>
    <t>ENDICOTT STATION</t>
  </si>
  <si>
    <t>ENE002</t>
  </si>
  <si>
    <t>ENEL SALT WELLS GEOTHERMAL FACILITY</t>
  </si>
  <si>
    <t>ENERGY DEVELOPMENT CENTER</t>
  </si>
  <si>
    <t>ENE008</t>
  </si>
  <si>
    <t>ENERGY PIPING WV INC</t>
  </si>
  <si>
    <t>ENF001</t>
  </si>
  <si>
    <t>ENFAB INC</t>
  </si>
  <si>
    <t>ENF002</t>
  </si>
  <si>
    <t>ENFIELD POWER STATION</t>
  </si>
  <si>
    <t>ENG003</t>
  </si>
  <si>
    <t>ENGINEERED POLYMER SOLUTIONS</t>
  </si>
  <si>
    <t>ENN001</t>
  </si>
  <si>
    <t>ENNIS POWER PLANT</t>
  </si>
  <si>
    <t>ENR001</t>
  </si>
  <si>
    <t>ENRICO FERMI</t>
  </si>
  <si>
    <t>ENRICO FERMI 2 PLANT</t>
  </si>
  <si>
    <t>GRA005</t>
  </si>
  <si>
    <t>ENTERGY OPERATIONS INC</t>
  </si>
  <si>
    <t>EQU001</t>
  </si>
  <si>
    <t>EQUIPMENT GROUP</t>
  </si>
  <si>
    <t>EQUIPMENT GROUP INC</t>
  </si>
  <si>
    <t>EQUIPMENT GROUP INVESTMENTS</t>
  </si>
  <si>
    <t>EQUIPMENT GROUP INVESTMENTS LTD</t>
  </si>
  <si>
    <t>ERI001</t>
  </si>
  <si>
    <t>ERICKSON STATION</t>
  </si>
  <si>
    <t>ESC001</t>
  </si>
  <si>
    <t>ESCALANTE GENERATING STATION</t>
  </si>
  <si>
    <t>ESC002</t>
  </si>
  <si>
    <t>ESCONDIDO PLANT</t>
  </si>
  <si>
    <t>ESS002</t>
  </si>
  <si>
    <t>ESSEX COUNTY WTE</t>
  </si>
  <si>
    <t>ESSEX FACILITY</t>
  </si>
  <si>
    <t>ETH001</t>
  </si>
  <si>
    <t>ETHYL CORPORATION</t>
  </si>
  <si>
    <t>ETI001</t>
  </si>
  <si>
    <t>ETIWANDA STATION</t>
  </si>
  <si>
    <t>EUR004</t>
  </si>
  <si>
    <t>EUREKA RESOURCES</t>
  </si>
  <si>
    <t>EUR001</t>
  </si>
  <si>
    <t>EURO CORPEX</t>
  </si>
  <si>
    <t>EUR002</t>
  </si>
  <si>
    <t>EURO MECHANICAL &amp; ELECTRICAL</t>
  </si>
  <si>
    <t>EURO MECHANICAL &amp; ELECTRICAL CONTRACTING COMPANY LLC</t>
  </si>
  <si>
    <t>EVA002</t>
  </si>
  <si>
    <t>EVADALE MILL</t>
  </si>
  <si>
    <t>EVA001</t>
  </si>
  <si>
    <t>EVAPCO-BLCT DRY COOLING INC</t>
  </si>
  <si>
    <t>EVE002</t>
  </si>
  <si>
    <t>EVERGREEN COMMUNITY POWER</t>
  </si>
  <si>
    <t>EVE001</t>
  </si>
  <si>
    <t>EVERGREEN PACKAGING INC</t>
  </si>
  <si>
    <t>EVO001</t>
  </si>
  <si>
    <t>EVONIK GOLDSCHMIDT CORPORATION</t>
  </si>
  <si>
    <t>EXC001</t>
  </si>
  <si>
    <t>EXCELENCIA EN BOMBAS Y SISTEMAS SA DE CV</t>
  </si>
  <si>
    <t>EXE002</t>
  </si>
  <si>
    <t>EXELON NUCLEAR GENERATION CO</t>
  </si>
  <si>
    <t>EXE004</t>
  </si>
  <si>
    <t>EXETER POWER PROJECT</t>
  </si>
  <si>
    <t>EXP002</t>
  </si>
  <si>
    <t>EXPANDER MANUTENCAO LTDA</t>
  </si>
  <si>
    <t>THI002</t>
  </si>
  <si>
    <t>EXPERA SPECIALTY SOLUTIONS</t>
  </si>
  <si>
    <t>EXP003</t>
  </si>
  <si>
    <t>EXPERTISE CONTRACTING CO LTD</t>
  </si>
  <si>
    <t>EXPERTISE CONTRACTING CO. LTD</t>
  </si>
  <si>
    <t>EXP001</t>
  </si>
  <si>
    <t>EXPES INC</t>
  </si>
  <si>
    <t>EXP004</t>
  </si>
  <si>
    <t>EXPRESS GRAIN OIL MILL - GREENWOOD</t>
  </si>
  <si>
    <t>EXXOO3</t>
  </si>
  <si>
    <t>EXXON MOBIL CHEMICAL COMPANY</t>
  </si>
  <si>
    <t>EXX004</t>
  </si>
  <si>
    <t>EXXON MOBIL CHEMICAL COMPANY- BATON ROUGE</t>
  </si>
  <si>
    <t>EXX005</t>
  </si>
  <si>
    <t>EXXON MOBIL OIL CORP</t>
  </si>
  <si>
    <t>MON023</t>
  </si>
  <si>
    <t>EXXON MOBILE CHEMICAL CO</t>
  </si>
  <si>
    <t>EXXON MOBIL-MONT BELVIEU PLASTICS PLANT</t>
  </si>
  <si>
    <t>EXXON-MOBIL</t>
  </si>
  <si>
    <t>EXX006</t>
  </si>
  <si>
    <t>EXXONMOBIL - BAYTOWN REFINERY</t>
  </si>
  <si>
    <t>EXX007</t>
  </si>
  <si>
    <t>EXXONMOBIL - BEAUMONT REFINERY</t>
  </si>
  <si>
    <t>EXX009</t>
  </si>
  <si>
    <t>EXXONMOBIL - JOLIET REFINERY</t>
  </si>
  <si>
    <t>LAP003</t>
  </si>
  <si>
    <t>EXXONMOBIL CHEMICALS - BRPP</t>
  </si>
  <si>
    <t>EXXONMOBIL CORPORATION - BEAUMONT REFINERY</t>
  </si>
  <si>
    <t>EXXONMOBIL REFINING &amp; SUPPLY-BAYTOWN</t>
  </si>
  <si>
    <t>EXX0004</t>
  </si>
  <si>
    <t>EXXONMOBIL TORRANCE REFINERY</t>
  </si>
  <si>
    <t>FFI001</t>
  </si>
  <si>
    <t>F &amp; F INDUSTRIAL EQUIPMENT</t>
  </si>
  <si>
    <t>FBW001</t>
  </si>
  <si>
    <t>F B WRIGHT CO OF PGH</t>
  </si>
  <si>
    <t>FAI001</t>
  </si>
  <si>
    <t>FAIR STATION</t>
  </si>
  <si>
    <t>FAI002</t>
  </si>
  <si>
    <t>FAIRBANKS - ZEHNDER GT PLANT</t>
  </si>
  <si>
    <t>FAI012</t>
  </si>
  <si>
    <t>FAIRFIELD WORKS</t>
  </si>
  <si>
    <t>FAI009</t>
  </si>
  <si>
    <t>FAIRLESS HILLS PLANT</t>
  </si>
  <si>
    <t>FAIRLESS HILLS STATION</t>
  </si>
  <si>
    <t>FAL003</t>
  </si>
  <si>
    <t>FALCON POWER OPERATING</t>
  </si>
  <si>
    <t>FAL002</t>
  </si>
  <si>
    <t>FALCONBRIDGE DOMINICANA C X A</t>
  </si>
  <si>
    <t>FAL001</t>
  </si>
  <si>
    <t>FALLS TOWNSHIP PLANT</t>
  </si>
  <si>
    <t>FAR006</t>
  </si>
  <si>
    <t>FARIS INTERNATIONAL</t>
  </si>
  <si>
    <t>FAR003</t>
  </si>
  <si>
    <t>FARLEY NUCLEAR PLANT</t>
  </si>
  <si>
    <t>FAS001</t>
  </si>
  <si>
    <t>FASTENAL COMPANY</t>
  </si>
  <si>
    <t>FAU001</t>
  </si>
  <si>
    <t>FAUJI FERTILIZER COMPANY LTD</t>
  </si>
  <si>
    <t>FAY003</t>
  </si>
  <si>
    <t>FAYETTE ENERGY FACILITY</t>
  </si>
  <si>
    <t>FAY001</t>
  </si>
  <si>
    <t>FAYETTE POWER PROJECT</t>
  </si>
  <si>
    <t>FED002</t>
  </si>
  <si>
    <t>FEDERAL CARBIDE COMPANY - TYRONE PLANT</t>
  </si>
  <si>
    <t>FED001</t>
  </si>
  <si>
    <t>FEDERAL CORRECTIONAL COMPLEX</t>
  </si>
  <si>
    <t>FELLOWS PLANT- CHEVRON NA E&amp;P</t>
  </si>
  <si>
    <t>FEN001</t>
  </si>
  <si>
    <t>FENIX POWER</t>
  </si>
  <si>
    <t>FER001</t>
  </si>
  <si>
    <t>FERGUSON ENTERPRISES INC</t>
  </si>
  <si>
    <t>FERGUSON ENTERPRISES INC #1184</t>
  </si>
  <si>
    <t>FER004</t>
  </si>
  <si>
    <t>FERGUSON ENTERPRISES, INC.</t>
  </si>
  <si>
    <t>FER002</t>
  </si>
  <si>
    <t>FERGUSON POWER PLANT</t>
  </si>
  <si>
    <t>FER003</t>
  </si>
  <si>
    <t>FERRO CORPORATION</t>
  </si>
  <si>
    <t>FIB002</t>
  </si>
  <si>
    <t>FIBREK</t>
  </si>
  <si>
    <t>FIB001</t>
  </si>
  <si>
    <t>FIBROMINN LLC</t>
  </si>
  <si>
    <t>FIC001</t>
  </si>
  <si>
    <t>FIC CONTRACTORS</t>
  </si>
  <si>
    <t>FIR001</t>
  </si>
  <si>
    <t>FIRE &amp; ICE</t>
  </si>
  <si>
    <t>FIR002</t>
  </si>
  <si>
    <t>FIRESTONE BUILDING PRODUCTS CO, LLC</t>
  </si>
  <si>
    <t>FIS001</t>
  </si>
  <si>
    <t>FISK STATION</t>
  </si>
  <si>
    <t>FIT001</t>
  </si>
  <si>
    <t>FITCHBURG POWER STATION</t>
  </si>
  <si>
    <t>FLI001</t>
  </si>
  <si>
    <t>FLINT CREEK POWER PLANT</t>
  </si>
  <si>
    <t>FLINT CREEK POWER STATION</t>
  </si>
  <si>
    <t>PET007</t>
  </si>
  <si>
    <t>FLINT HILLS - HOUSTON</t>
  </si>
  <si>
    <t>FLINT HILLS - HOUSTON CHEMICAL PLANT</t>
  </si>
  <si>
    <t>FLI002</t>
  </si>
  <si>
    <t>FLINT HILLS CORPUS CHRISTI</t>
  </si>
  <si>
    <t>FLI003</t>
  </si>
  <si>
    <t>FLINT HILLS RESOURCES</t>
  </si>
  <si>
    <t>FLINT HILLS RESOURCES - LONGVIEW POLYPROPYLENE</t>
  </si>
  <si>
    <t>FLO002</t>
  </si>
  <si>
    <t>FLORIDA POWER &amp; LIGHT CO (FPL)</t>
  </si>
  <si>
    <t>FLU004</t>
  </si>
  <si>
    <t>FLUOR ENTERPRISES INC</t>
  </si>
  <si>
    <t>FLU005</t>
  </si>
  <si>
    <t>FLUOR GLOBAL SERVICES</t>
  </si>
  <si>
    <t>FOR003</t>
  </si>
  <si>
    <t>FORMOSA PLASTICS CORP TEXAS</t>
  </si>
  <si>
    <t>FOR002</t>
  </si>
  <si>
    <t>FORMOSA PLASTICS CORPORATION - BATON ROUGE</t>
  </si>
  <si>
    <t>FORMOSA PLASTICS CORPORATION- BATON ROUGE</t>
  </si>
  <si>
    <t>FOR019</t>
  </si>
  <si>
    <t>FORNEY ENERGY CENTER</t>
  </si>
  <si>
    <t>FORNEY ENERGY CENTER LLC</t>
  </si>
  <si>
    <t>FORNEY L P</t>
  </si>
  <si>
    <t>FORNEY LP</t>
  </si>
  <si>
    <t>FOR005</t>
  </si>
  <si>
    <t>FORT CALHOUN STATION</t>
  </si>
  <si>
    <t>FOR006</t>
  </si>
  <si>
    <t>FORT CHURCHILL STATION</t>
  </si>
  <si>
    <t>FOR007</t>
  </si>
  <si>
    <t>FORT DODGE STATION</t>
  </si>
  <si>
    <t>FOR022</t>
  </si>
  <si>
    <t>FORT FAIRFIELD BORALEX</t>
  </si>
  <si>
    <t>FOR021</t>
  </si>
  <si>
    <t>FORT LAUDERDALE PLANT</t>
  </si>
  <si>
    <t>FOR011</t>
  </si>
  <si>
    <t>FORT MARTIN STATION</t>
  </si>
  <si>
    <t>FOR014</t>
  </si>
  <si>
    <t>FORT MYERS STATION</t>
  </si>
  <si>
    <t>FOR020</t>
  </si>
  <si>
    <t>FORT RANDALL HYDROELECTRIC PLANT</t>
  </si>
  <si>
    <t>FOR017</t>
  </si>
  <si>
    <t>FORT SMALLWOOD</t>
  </si>
  <si>
    <t>FORT SMALLWOOD CTR WHSE</t>
  </si>
  <si>
    <t>FORT SMALLWOOD WAREHOUSE</t>
  </si>
  <si>
    <t>FOR018</t>
  </si>
  <si>
    <t>FORT ST VRAIN STATION</t>
  </si>
  <si>
    <t>FOR004</t>
  </si>
  <si>
    <t>FORT WAINWRIGHT CHPP</t>
  </si>
  <si>
    <t>FOS001</t>
  </si>
  <si>
    <t>FOSTER WHEELER (NJ)</t>
  </si>
  <si>
    <t>FOS004</t>
  </si>
  <si>
    <t>FOSTER WHEELER ENERGIA SA</t>
  </si>
  <si>
    <t>FOSTER WHEELER IBERIA SA</t>
  </si>
  <si>
    <t>FOS006</t>
  </si>
  <si>
    <t>FOSTER WHEELER LIMITED</t>
  </si>
  <si>
    <t>FOS002</t>
  </si>
  <si>
    <t>FOSTER WHEELER MARTINEZ  INC</t>
  </si>
  <si>
    <t>FOSTER WHEELER MARTINEZ INC</t>
  </si>
  <si>
    <t>FOU001</t>
  </si>
  <si>
    <t>FOUR CORNERS GENERATING STATION</t>
  </si>
  <si>
    <t>FOUR CORNERS POWER PLANT</t>
  </si>
  <si>
    <t>KJC001</t>
  </si>
  <si>
    <t>FPL ENERGY KRAMER JUNCTION</t>
  </si>
  <si>
    <t>FRA001</t>
  </si>
  <si>
    <t>FRACKVILLE (WHEELABRATOR) ENERGY CO</t>
  </si>
  <si>
    <t>FRACKVILLE STATION</t>
  </si>
  <si>
    <t>FRA002</t>
  </si>
  <si>
    <t>FRAMATOME ANP INC</t>
  </si>
  <si>
    <t>FRA003</t>
  </si>
  <si>
    <t>FRANK E RATTS STATION</t>
  </si>
  <si>
    <t>FRA004</t>
  </si>
  <si>
    <t>FRANKLIN PLANT</t>
  </si>
  <si>
    <t>FREEPORT - DOW CHEMICAL COMPANY</t>
  </si>
  <si>
    <t>TXO001</t>
  </si>
  <si>
    <t>FREEPORT - TEXAS OPERATIONS</t>
  </si>
  <si>
    <t>FREEPORT DOW</t>
  </si>
  <si>
    <t>FRE006</t>
  </si>
  <si>
    <t>FREEPORT-MCMORAN INC.</t>
  </si>
  <si>
    <t>FRE001</t>
  </si>
  <si>
    <t>FREMONT DEPT OF UTILITIES</t>
  </si>
  <si>
    <t>FREMONT ENERGY CENTER</t>
  </si>
  <si>
    <t>FRE003</t>
  </si>
  <si>
    <t>FRESNO COGENERATION PARTNERS</t>
  </si>
  <si>
    <t>FRO001</t>
  </si>
  <si>
    <t>FRONT RANGE POWER CO LLC</t>
  </si>
  <si>
    <t>FRONT ROYAL - AXALTA COATING SYSTEMS LLC</t>
  </si>
  <si>
    <t>FRO002</t>
  </si>
  <si>
    <t>FRONTERA  ENERGY CENTER</t>
  </si>
  <si>
    <t>FRONTERA GENERATION FACILITY</t>
  </si>
  <si>
    <t>FRO003</t>
  </si>
  <si>
    <t>FRONTIER EL DORADO REFINING CO</t>
  </si>
  <si>
    <t>FUC001</t>
  </si>
  <si>
    <t>FUCICH LLC</t>
  </si>
  <si>
    <t>FUE001</t>
  </si>
  <si>
    <t>FUELWORKS INC.</t>
  </si>
  <si>
    <t>FUT001</t>
  </si>
  <si>
    <t>FUTRON PERFORMANCE MONITORING CC</t>
  </si>
  <si>
    <t>FUT002</t>
  </si>
  <si>
    <t>FUTURE FUEL CHEMICAL COMPANY</t>
  </si>
  <si>
    <t>GEE001</t>
  </si>
  <si>
    <t>G E ENVIRONMENTAL SERVICES</t>
  </si>
  <si>
    <t>G&amp;J001</t>
  </si>
  <si>
    <t>G&amp;J INTERNATIONAL</t>
  </si>
  <si>
    <t>GAD001</t>
  </si>
  <si>
    <t>GADSBY PLANT</t>
  </si>
  <si>
    <t>GAD002</t>
  </si>
  <si>
    <t>GADSDEN STEAM PLANT</t>
  </si>
  <si>
    <t>GAI002</t>
  </si>
  <si>
    <t>GAINSVILLE OILSEEDS</t>
  </si>
  <si>
    <t>GAL001</t>
  </si>
  <si>
    <t>GALLAGHER STATION</t>
  </si>
  <si>
    <t>GAL002</t>
  </si>
  <si>
    <t>GALLATIN FOSSIL PLANT</t>
  </si>
  <si>
    <t>GAL003</t>
  </si>
  <si>
    <t>GALLO MECHANICAL - NEW ORLEANS</t>
  </si>
  <si>
    <t>GANNON STATION</t>
  </si>
  <si>
    <t>GAN002</t>
  </si>
  <si>
    <t>GANSU LIGHT INDUSTRIAL PRODUCTS IMP &amp; EXP CORP</t>
  </si>
  <si>
    <t>GAR001</t>
  </si>
  <si>
    <t>GARDEN CITY STATION</t>
  </si>
  <si>
    <t>GAR004</t>
  </si>
  <si>
    <t>GARY WORKS</t>
  </si>
  <si>
    <t>GAS001</t>
  </si>
  <si>
    <t>GAS RECOVERY SERVICE OF IL</t>
  </si>
  <si>
    <t>GAS003</t>
  </si>
  <si>
    <t>GAS RECOVERY SERVICES OF MN</t>
  </si>
  <si>
    <t>GAS002</t>
  </si>
  <si>
    <t>GASTON STEAM PLANT</t>
  </si>
  <si>
    <t>GAT002</t>
  </si>
  <si>
    <t>GATEWAY CENTER</t>
  </si>
  <si>
    <t>GATEWAY CENTER #2</t>
  </si>
  <si>
    <t>GAV001</t>
  </si>
  <si>
    <t>GAVIN PLANT</t>
  </si>
  <si>
    <t>GEP002</t>
  </si>
  <si>
    <t>GE POWER SYSTEMS (IL)</t>
  </si>
  <si>
    <t>GRE012</t>
  </si>
  <si>
    <t>GEN CHEMICAL SODA ASH PARTNERS</t>
  </si>
  <si>
    <t>GEN001</t>
  </si>
  <si>
    <t>GENERACION ROSARIO S. A.</t>
  </si>
  <si>
    <t>GEN005</t>
  </si>
  <si>
    <t>GENERAL ELECTRIC (IL)</t>
  </si>
  <si>
    <t>GEN008</t>
  </si>
  <si>
    <t>GENERAL ENGINEERS LTD</t>
  </si>
  <si>
    <t>GEN015</t>
  </si>
  <si>
    <t>GENEVA ENERGY</t>
  </si>
  <si>
    <t>GEN012</t>
  </si>
  <si>
    <t>GENOA STATION</t>
  </si>
  <si>
    <t>GEO001</t>
  </si>
  <si>
    <t>GEOD DRILLING EQUIP &amp; SUPPLY</t>
  </si>
  <si>
    <t>GEO002</t>
  </si>
  <si>
    <t>GEORGE M. SULLIVAN PLANT 2</t>
  </si>
  <si>
    <t>GEO004</t>
  </si>
  <si>
    <t>GEORGE NEAL NORTH STATION</t>
  </si>
  <si>
    <t>GEORGE NEAL SOUTH STATION</t>
  </si>
  <si>
    <t>GEORGE NEAL STATION</t>
  </si>
  <si>
    <t>GEO012</t>
  </si>
  <si>
    <t>GEORGE T WALDEN INC</t>
  </si>
  <si>
    <t>GEO006</t>
  </si>
  <si>
    <t>GEORGES MILL STATION</t>
  </si>
  <si>
    <t>GEO011</t>
  </si>
  <si>
    <t>GEORGIA GULF</t>
  </si>
  <si>
    <t>GEORGIA GULF CHEMICALS &amp; VINYLS LLC</t>
  </si>
  <si>
    <t>SAV001</t>
  </si>
  <si>
    <t>GEORGIA-PACIFIC</t>
  </si>
  <si>
    <t>GEO015</t>
  </si>
  <si>
    <t>GEOSCAPE LTD</t>
  </si>
  <si>
    <t>GER001</t>
  </si>
  <si>
    <t>GERALD ANDRUS PLANT</t>
  </si>
  <si>
    <t>GERALD ANDRUS S E S</t>
  </si>
  <si>
    <t>GER002</t>
  </si>
  <si>
    <t>GERALD GENTLEMAN STATION</t>
  </si>
  <si>
    <t>GEY001</t>
  </si>
  <si>
    <t>GEYSERS STATION</t>
  </si>
  <si>
    <t>GFC001</t>
  </si>
  <si>
    <t>GFC &amp; LAW CO INC</t>
  </si>
  <si>
    <t>GFC INC</t>
  </si>
  <si>
    <t>GHE001</t>
  </si>
  <si>
    <t>GHENT GENERATING STATION</t>
  </si>
  <si>
    <t>GIB001</t>
  </si>
  <si>
    <t>GIBBONS CREEK STATION</t>
  </si>
  <si>
    <t>GIB0003</t>
  </si>
  <si>
    <t>GIBSON GENERATING STATION</t>
  </si>
  <si>
    <t>GIL001</t>
  </si>
  <si>
    <t>GILBERT POWER PLANT</t>
  </si>
  <si>
    <t>GIN001</t>
  </si>
  <si>
    <t>GINNA NUCLEAR POWER PLANT</t>
  </si>
  <si>
    <t>GLA001</t>
  </si>
  <si>
    <t>GLATFELTER - SPRING GROVE</t>
  </si>
  <si>
    <t>GLE001</t>
  </si>
  <si>
    <t>GLEN LYN PLANT</t>
  </si>
  <si>
    <t>GLE002</t>
  </si>
  <si>
    <t>GLEN PARK HYDROELECTRIC PLANT</t>
  </si>
  <si>
    <t>GLE003</t>
  </si>
  <si>
    <t>GLENWOOD STATION (NY)</t>
  </si>
  <si>
    <t>GLOBAL CONTROL COMMERCIAL COMPANY</t>
  </si>
  <si>
    <t>GOGOLOK INDUSTRIESERVICE GMBH</t>
  </si>
  <si>
    <t>GOL001</t>
  </si>
  <si>
    <t>GOLDEN ERA PRODUCTIONS - CALIFORNIA</t>
  </si>
  <si>
    <t>GOO002</t>
  </si>
  <si>
    <t>GOODWAY TECHNOLOGIES CORP</t>
  </si>
  <si>
    <t>GOR001</t>
  </si>
  <si>
    <t>GORDON EVANS STATION</t>
  </si>
  <si>
    <t>GOR005</t>
  </si>
  <si>
    <t>GORDONSVILLE POWER STATION</t>
  </si>
  <si>
    <t>GOR002</t>
  </si>
  <si>
    <t>GORGAS STEAM PLANT</t>
  </si>
  <si>
    <t>GOR004</t>
  </si>
  <si>
    <t>GORSUCH GENERATING PLANT</t>
  </si>
  <si>
    <t>GRA002</t>
  </si>
  <si>
    <t>GRAHAM CORPORATION</t>
  </si>
  <si>
    <t>GRA001</t>
  </si>
  <si>
    <t>GRAHAM GENERATING STATION</t>
  </si>
  <si>
    <t>GRA003</t>
  </si>
  <si>
    <t>GRAHAM INDUSTRIAL SERVICES, A JV</t>
  </si>
  <si>
    <t>GRAHAM S E S</t>
  </si>
  <si>
    <t>GRA019</t>
  </si>
  <si>
    <t>GRAINGER SOURCING</t>
  </si>
  <si>
    <t>GRA020</t>
  </si>
  <si>
    <t>GRAND BAHAMA POWER CO</t>
  </si>
  <si>
    <t>GRAND GULF NUCLEAR STATION</t>
  </si>
  <si>
    <t>GRA008</t>
  </si>
  <si>
    <t>GRAND LAKE GS</t>
  </si>
  <si>
    <t>GRD001</t>
  </si>
  <si>
    <t>GRAND RIVER DAM AUTHORITY</t>
  </si>
  <si>
    <t>Grand River Dam Authority</t>
  </si>
  <si>
    <t>GRA012</t>
  </si>
  <si>
    <t>GRAND TOWER STATION</t>
  </si>
  <si>
    <t>GRA007</t>
  </si>
  <si>
    <t>GRANITE CITY NSP PEAKING PLANT</t>
  </si>
  <si>
    <t>GRA018</t>
  </si>
  <si>
    <t>GRANITE RIDGE ENERGY</t>
  </si>
  <si>
    <t>GRA014</t>
  </si>
  <si>
    <t>GRANT TOWN POWER PLANT</t>
  </si>
  <si>
    <t>GRA021</t>
  </si>
  <si>
    <t>GRANTLEY FACILITY</t>
  </si>
  <si>
    <t>GRA017</t>
  </si>
  <si>
    <t>GRAYBAR</t>
  </si>
  <si>
    <t>GRA016</t>
  </si>
  <si>
    <t>GRAYCOR INDUSTRIAL CONSTRUCTORS INC</t>
  </si>
  <si>
    <t>GRA015</t>
  </si>
  <si>
    <t>GRAYS FERRY COGEN PARTNERSHIP</t>
  </si>
  <si>
    <t>GRDA #1</t>
  </si>
  <si>
    <t>GRE002</t>
  </si>
  <si>
    <t>GREAT PLAINS SYNFUELS PLANT</t>
  </si>
  <si>
    <t>GRE026</t>
  </si>
  <si>
    <t>GREATER DES MOINES ENERGY</t>
  </si>
  <si>
    <t>GREATER DES MOINES ENERGY CENTER</t>
  </si>
  <si>
    <t>GREATER DES MOINES ENERGY CTR</t>
  </si>
  <si>
    <t>GRE028</t>
  </si>
  <si>
    <t>GREATER OHIO ETHANOL LIMA LLC</t>
  </si>
  <si>
    <t>GRE008</t>
  </si>
  <si>
    <t>GREEN COUNTRY ENERGY LLC</t>
  </si>
  <si>
    <t>GRE014</t>
  </si>
  <si>
    <t>GREEN GENERATING STATION</t>
  </si>
  <si>
    <t>GREEN RIVER SODA ASH PLANT</t>
  </si>
  <si>
    <t>GRE013</t>
  </si>
  <si>
    <t>GREEN RIVER STATION (KY)</t>
  </si>
  <si>
    <t>GRE009</t>
  </si>
  <si>
    <t>GREENE COUNTY STEAM PLANT</t>
  </si>
  <si>
    <t>GRE015</t>
  </si>
  <si>
    <t>GREENIDGE STATION</t>
  </si>
  <si>
    <t>GRE029</t>
  </si>
  <si>
    <t>GREENLIGHT BIOFUELS PRINCESS ANNE</t>
  </si>
  <si>
    <t>GRE016</t>
  </si>
  <si>
    <t>GREENS BAYOU STATION</t>
  </si>
  <si>
    <t>GRE018</t>
  </si>
  <si>
    <t>GREENSBURG THERMAL</t>
  </si>
  <si>
    <t>GRE006</t>
  </si>
  <si>
    <t>GREENSVILLE COUNTY POWER STATION</t>
  </si>
  <si>
    <t>GRE021</t>
  </si>
  <si>
    <t>GREENVILLE STATION</t>
  </si>
  <si>
    <t>GREENVILLE STATION (TX)</t>
  </si>
  <si>
    <t>GRE023</t>
  </si>
  <si>
    <t>GREENVILLE STEAM STATION</t>
  </si>
  <si>
    <t>GREENVILLE STEAM STATION (ME)</t>
  </si>
  <si>
    <t>GRE024</t>
  </si>
  <si>
    <t>GREENWOOD</t>
  </si>
  <si>
    <t>GREENWOOD STATION (MI)</t>
  </si>
  <si>
    <t>HEN001</t>
  </si>
  <si>
    <t>GREENWOOD STATION (MS)</t>
  </si>
  <si>
    <t>GRE005</t>
  </si>
  <si>
    <t>GREERS FERRY POWER PLANT</t>
  </si>
  <si>
    <t>GRI001</t>
  </si>
  <si>
    <t>GRIFFITH ENERGY</t>
  </si>
  <si>
    <t>GRU001</t>
  </si>
  <si>
    <t>GRUBB &amp; ELLIS MGT SERVICES LLC</t>
  </si>
  <si>
    <t>GUA001</t>
  </si>
  <si>
    <t>GUADALUPE POWER PARTNERS L P</t>
  </si>
  <si>
    <t>GUADALUPE POWER PARTNERS LP</t>
  </si>
  <si>
    <t>GUL003</t>
  </si>
  <si>
    <t>GULF COAST FILTERS, INC</t>
  </si>
  <si>
    <t>GUP001</t>
  </si>
  <si>
    <t>GUPTA BROTHERS TRADING CO</t>
  </si>
  <si>
    <t>GWF001</t>
  </si>
  <si>
    <t>GWF POWER SYSTEMS L P</t>
  </si>
  <si>
    <t>HMB001</t>
  </si>
  <si>
    <t>H &amp; M BOILER SERVICE INC</t>
  </si>
  <si>
    <t>HBR003</t>
  </si>
  <si>
    <t>H B ROBINSON FOSSIL PLANT</t>
  </si>
  <si>
    <t>HBR002</t>
  </si>
  <si>
    <t>H B ROBINSON PLANT (SC)</t>
  </si>
  <si>
    <t>H B ROBINSON TWO</t>
  </si>
  <si>
    <t>HAB002</t>
  </si>
  <si>
    <t>HABSHAN TRADING CO</t>
  </si>
  <si>
    <t>HAG003</t>
  </si>
  <si>
    <t>HAGEMEYER NORTH AMERICA</t>
  </si>
  <si>
    <t>HAGEMEYER NORTH AMERICA INC</t>
  </si>
  <si>
    <t>HAJ001</t>
  </si>
  <si>
    <t>HAJOCA CORPORATION</t>
  </si>
  <si>
    <t>HAJOCA RICHMOND</t>
  </si>
  <si>
    <t>HAL002</t>
  </si>
  <si>
    <t>HALDOR TOPSOE INC</t>
  </si>
  <si>
    <t>HAM002</t>
  </si>
  <si>
    <t>HAMILL MANUFACTURING COMPANY</t>
  </si>
  <si>
    <t>HAM003</t>
  </si>
  <si>
    <t>HAMILTON POWER PLANT</t>
  </si>
  <si>
    <t>HAMILTON STATION</t>
  </si>
  <si>
    <t>HAM005</t>
  </si>
  <si>
    <t>HAMMOND PLANT</t>
  </si>
  <si>
    <t>HAN001</t>
  </si>
  <si>
    <t>HANDLEY ELECTRIC STEAM PLANT</t>
  </si>
  <si>
    <t>HANDLEY GENERATING STATION</t>
  </si>
  <si>
    <t>HANDLEY PLANT</t>
  </si>
  <si>
    <t>HANDLEY STEAM ELECTRIC PLANT</t>
  </si>
  <si>
    <t>HANDLEY STEAM PLANT</t>
  </si>
  <si>
    <t>HAR017</t>
  </si>
  <si>
    <t>HARDEEVILLE STATION</t>
  </si>
  <si>
    <t>HAR020</t>
  </si>
  <si>
    <t>HARDING STREET STATION</t>
  </si>
  <si>
    <t>HAR004</t>
  </si>
  <si>
    <t>HARFORD REFRIGERATION COMPANY</t>
  </si>
  <si>
    <t>HAR005</t>
  </si>
  <si>
    <t>HARFST AND ASSOCIATES, INC</t>
  </si>
  <si>
    <t>HAR008</t>
  </si>
  <si>
    <t>HARLLEE BRANCH PLANT</t>
  </si>
  <si>
    <t>HAR010</t>
  </si>
  <si>
    <t>HARPER LAKE STATION</t>
  </si>
  <si>
    <t>HAR018</t>
  </si>
  <si>
    <t>HARQUAHALA VALLEY GENERATING STATION</t>
  </si>
  <si>
    <t>HAR011</t>
  </si>
  <si>
    <t>HARRINGTON STATION</t>
  </si>
  <si>
    <t>HAR016</t>
  </si>
  <si>
    <t>HARRISON COUNTY POWER PROJECT</t>
  </si>
  <si>
    <t>HAR013</t>
  </si>
  <si>
    <t>HARRISON STATION</t>
  </si>
  <si>
    <t>HARRISON STATION (WV)</t>
  </si>
  <si>
    <t>HAR014</t>
  </si>
  <si>
    <t>HARRY ALLEN GENERATING STATION</t>
  </si>
  <si>
    <t>HAS001</t>
  </si>
  <si>
    <t>HASTINGS STATION</t>
  </si>
  <si>
    <t>HASTINGS STATION (PLANT)</t>
  </si>
  <si>
    <t>HAT001</t>
  </si>
  <si>
    <t>HATCH ELECTRIC GENERATING PLT</t>
  </si>
  <si>
    <t>HATCH NUCLEAR PLANT</t>
  </si>
  <si>
    <t>HATCH PLANT</t>
  </si>
  <si>
    <t>HAT002</t>
  </si>
  <si>
    <t>HATFIELDS FERRY STATION</t>
  </si>
  <si>
    <t>HAU001</t>
  </si>
  <si>
    <t>HAUN WELDING SUPPLY</t>
  </si>
  <si>
    <t>HAV002</t>
  </si>
  <si>
    <t>HAVERHILL</t>
  </si>
  <si>
    <t>HAV001</t>
  </si>
  <si>
    <t>HAVERHILL NORTH COKE COMPANY</t>
  </si>
  <si>
    <t>HAW001</t>
  </si>
  <si>
    <t>HAWAII ELECTRIC LIGHT CO INC</t>
  </si>
  <si>
    <t>HAW003</t>
  </si>
  <si>
    <t>HAWAIIAN ELECTRIC CO INC</t>
  </si>
  <si>
    <t>HAW005</t>
  </si>
  <si>
    <t>HAWTHORN STATION</t>
  </si>
  <si>
    <t>HAW002</t>
  </si>
  <si>
    <t>HAWTHORNE CAT</t>
  </si>
  <si>
    <t>HAY001</t>
  </si>
  <si>
    <t>HAY ROAD POWER COMPLEX</t>
  </si>
  <si>
    <t>HAY002</t>
  </si>
  <si>
    <t>HAYDEN PLANT</t>
  </si>
  <si>
    <t>HAY003</t>
  </si>
  <si>
    <t>HAYES MECHANICAL INC</t>
  </si>
  <si>
    <t>HAY005</t>
  </si>
  <si>
    <t>HAYNES GENERATING STATION</t>
  </si>
  <si>
    <t>HAY006</t>
  </si>
  <si>
    <t>HAYS ENERGY PROJECT</t>
  </si>
  <si>
    <t>HDS001</t>
  </si>
  <si>
    <t>HD SUPPLY  INC</t>
  </si>
  <si>
    <t>HD SUPPLY INC</t>
  </si>
  <si>
    <t>HEA001</t>
  </si>
  <si>
    <t>HEALY STATION</t>
  </si>
  <si>
    <t>HEA005</t>
  </si>
  <si>
    <t>HEAT INTERNATIONAL LTD</t>
  </si>
  <si>
    <t>HEB004</t>
  </si>
  <si>
    <t>HEBER FACILITY</t>
  </si>
  <si>
    <t>HEBER STATION</t>
  </si>
  <si>
    <t>HEM003</t>
  </si>
  <si>
    <t>HEMAC TELEINFORMATICA SA DE CV</t>
  </si>
  <si>
    <t>HEM002</t>
  </si>
  <si>
    <t>HEMPSTEAD STATION</t>
  </si>
  <si>
    <t>HENDERSON GENERATING PLANT</t>
  </si>
  <si>
    <t>HENDERSON POWER PLANT</t>
  </si>
  <si>
    <t>HEN005</t>
  </si>
  <si>
    <t>HENDERSON TWO GENERATING STATION</t>
  </si>
  <si>
    <t>HEN006</t>
  </si>
  <si>
    <t>HENNEPIN COUNTY</t>
  </si>
  <si>
    <t>HEN007</t>
  </si>
  <si>
    <t>HENNIGAN ENGINEERING CO</t>
  </si>
  <si>
    <t>HER003</t>
  </si>
  <si>
    <t>HERMISTON GENERATING PLANT</t>
  </si>
  <si>
    <t>HEX001</t>
  </si>
  <si>
    <t>HEXION CHEMICAL</t>
  </si>
  <si>
    <t>HIB002</t>
  </si>
  <si>
    <t>HIBBING POWER PLANT</t>
  </si>
  <si>
    <t>HID002</t>
  </si>
  <si>
    <t>HIDALGO ENERGY CENTER LP</t>
  </si>
  <si>
    <t>HIGGINS POWER PLANT</t>
  </si>
  <si>
    <t>HIG002</t>
  </si>
  <si>
    <t>HIGH BRIDGE GENERATING PLANT</t>
  </si>
  <si>
    <t>HIGH BRIDGE GENERATING STATION</t>
  </si>
  <si>
    <t>HIGH BRIDGE STATION</t>
  </si>
  <si>
    <t>HIG005</t>
  </si>
  <si>
    <t>HIGH DESERT POWER PROJECT LLC</t>
  </si>
  <si>
    <t>HIL001</t>
  </si>
  <si>
    <t>HILL STATION</t>
  </si>
  <si>
    <t>HIL002</t>
  </si>
  <si>
    <t>HILLABEE POWER PLANT</t>
  </si>
  <si>
    <t>HIM002</t>
  </si>
  <si>
    <t>HIMEC MECHANICAL</t>
  </si>
  <si>
    <t>HIM001</t>
  </si>
  <si>
    <t>HIMEJI ECO TECH CO LTD</t>
  </si>
  <si>
    <t>HIMEJI ECO TECH CO LTD.</t>
  </si>
  <si>
    <t>HIMEJI ECO TECH CO., LTD</t>
  </si>
  <si>
    <t>HIMEJI KISHO CO LTD</t>
  </si>
  <si>
    <t>HIMEJI-ECOTECH CO LTD</t>
  </si>
  <si>
    <t>HIN001</t>
  </si>
  <si>
    <t>HINDS ENERGY FACILITY</t>
  </si>
  <si>
    <t>HIN002</t>
  </si>
  <si>
    <t>HINES COMBINED CYCLE PLANT</t>
  </si>
  <si>
    <t>HINES ENERGY COMPLEX</t>
  </si>
  <si>
    <t>HMP001</t>
  </si>
  <si>
    <t>HMPL STATION TWO</t>
  </si>
  <si>
    <t>HOB001</t>
  </si>
  <si>
    <t>HOBBS PLANT</t>
  </si>
  <si>
    <t>HOB002</t>
  </si>
  <si>
    <t>HOBBS POWER PROJECT</t>
  </si>
  <si>
    <t>HOG001</t>
  </si>
  <si>
    <t>HOG BAYOU ENERGY PLANT</t>
  </si>
  <si>
    <t>HOL001</t>
  </si>
  <si>
    <t>HOLCOMB STATION</t>
  </si>
  <si>
    <t>HOL003</t>
  </si>
  <si>
    <t>HOLLAND BOARD OF PUBLIC WORKS</t>
  </si>
  <si>
    <t>HOLLY FRONTIER - EL DORADO REFINING</t>
  </si>
  <si>
    <t>HOL008</t>
  </si>
  <si>
    <t>HOLTEC INTERNATIONAL</t>
  </si>
  <si>
    <t>HOL009</t>
  </si>
  <si>
    <t>HOLYROOD GENERATING STATION</t>
  </si>
  <si>
    <t>HOM001</t>
  </si>
  <si>
    <t>HOMER CITY STATION</t>
  </si>
  <si>
    <t>HON001</t>
  </si>
  <si>
    <t>HONOLULU PLANT</t>
  </si>
  <si>
    <t>HOL010</t>
  </si>
  <si>
    <t>HOOSIER ENERGY</t>
  </si>
  <si>
    <t>HOP001</t>
  </si>
  <si>
    <t>HOPE CREEK STATION</t>
  </si>
  <si>
    <t>HOP004</t>
  </si>
  <si>
    <t>HOPEWELL COGEN FACILITY</t>
  </si>
  <si>
    <t>HOPEWELL COGENERATION</t>
  </si>
  <si>
    <t>HOP002</t>
  </si>
  <si>
    <t>HOPEWELL STATION</t>
  </si>
  <si>
    <t>HOP006</t>
  </si>
  <si>
    <t>HOPKINS STATION</t>
  </si>
  <si>
    <t>HOR004</t>
  </si>
  <si>
    <t>HORIZON LINES</t>
  </si>
  <si>
    <t>HOR001</t>
  </si>
  <si>
    <t>HORSEHEAD CORP POWER PLANT</t>
  </si>
  <si>
    <t>HOR002</t>
  </si>
  <si>
    <t>HORSESHOE LAKE</t>
  </si>
  <si>
    <t>HORSESHOE LAKE PLANT</t>
  </si>
  <si>
    <t>TPC002</t>
  </si>
  <si>
    <t>HOUSTON - TPC GROUP</t>
  </si>
  <si>
    <t>HOUSTON, TX (TPC)</t>
  </si>
  <si>
    <t>HUB001</t>
  </si>
  <si>
    <t>HUBEI JINDA TECHNICAL CO LTD</t>
  </si>
  <si>
    <t>HUC001</t>
  </si>
  <si>
    <t>HUCKESTEIN MECHANICAL SERVICES INC</t>
  </si>
  <si>
    <t>HUD003</t>
  </si>
  <si>
    <t>HUDSON GENERATING STATION</t>
  </si>
  <si>
    <t>HUD002</t>
  </si>
  <si>
    <t>HUDSON RANCH POWER I LLC</t>
  </si>
  <si>
    <t>HUGHES ELECTRIC SUPPLY LTD</t>
  </si>
  <si>
    <t>HUGHES SUPPLY INC</t>
  </si>
  <si>
    <t>HUG002</t>
  </si>
  <si>
    <t>HUGO STATION</t>
  </si>
  <si>
    <t>HUN001</t>
  </si>
  <si>
    <t>HUNLOCK CREEK ENERGY CENTER</t>
  </si>
  <si>
    <t>HUNLOCK CREEK STATION</t>
  </si>
  <si>
    <t>HUNLOCK POWER STATION</t>
  </si>
  <si>
    <t>HUN003</t>
  </si>
  <si>
    <t>HUNTER PLANT (UT)</t>
  </si>
  <si>
    <t>HUNTER POWER STATION</t>
  </si>
  <si>
    <t>HUN004</t>
  </si>
  <si>
    <t>HUNTERS POINT PLANT</t>
  </si>
  <si>
    <t>HUN011</t>
  </si>
  <si>
    <t>HUNTERSTOWN GENERATING STATION</t>
  </si>
  <si>
    <t>HUN005</t>
  </si>
  <si>
    <t>HUNTINGTON BEACH STATION</t>
  </si>
  <si>
    <t>HUN006</t>
  </si>
  <si>
    <t>HUNTINGTON CANYON PLANT</t>
  </si>
  <si>
    <t>HUN007</t>
  </si>
  <si>
    <t>HUNTLEY GENERATING STATION</t>
  </si>
  <si>
    <t>HUN010</t>
  </si>
  <si>
    <t>HUNTSMAN - CONROE PLANT</t>
  </si>
  <si>
    <t>HUN009</t>
  </si>
  <si>
    <t>HUNTSMAN - PORT NECHES OPERATIONS</t>
  </si>
  <si>
    <t>HUNTSMAN PNO</t>
  </si>
  <si>
    <t>HUNTSMAN-CONROE PLANT</t>
  </si>
  <si>
    <t>HUS001</t>
  </si>
  <si>
    <t>HUSKY ENERGY - LIMA REFINERY</t>
  </si>
  <si>
    <t>HUT001</t>
  </si>
  <si>
    <t>HUTCHINGS STATION</t>
  </si>
  <si>
    <t>HUT002</t>
  </si>
  <si>
    <t>HUTCHINSON ENERGY CENTER</t>
  </si>
  <si>
    <t>HUT005</t>
  </si>
  <si>
    <t>HUTSONVILLE PLANT</t>
  </si>
  <si>
    <t>HYA001</t>
  </si>
  <si>
    <t>HYATT REGENCY GUAM</t>
  </si>
  <si>
    <t>HYD009</t>
  </si>
  <si>
    <t>HYDRO-CHEM</t>
  </si>
  <si>
    <t>HYD008</t>
  </si>
  <si>
    <t>HYDROCHEM INC</t>
  </si>
  <si>
    <t>HYDROCHEM INC (TX)</t>
  </si>
  <si>
    <t>HYDRO-CHEM SERVICES INC</t>
  </si>
  <si>
    <t>IAT001</t>
  </si>
  <si>
    <t>IATAN</t>
  </si>
  <si>
    <t>IATAN STATION</t>
  </si>
  <si>
    <t>IEA001</t>
  </si>
  <si>
    <t>IEA INC</t>
  </si>
  <si>
    <t>IFS001</t>
  </si>
  <si>
    <t>IFS GLOBAL SYSTEMS LLC</t>
  </si>
  <si>
    <t>IMC001</t>
  </si>
  <si>
    <t>IMC POTASH COMPANY</t>
  </si>
  <si>
    <t>IMP003</t>
  </si>
  <si>
    <t>IMPERIAL OIL</t>
  </si>
  <si>
    <t>IND003</t>
  </si>
  <si>
    <t>INDEMECA</t>
  </si>
  <si>
    <t>IND004</t>
  </si>
  <si>
    <t>INDEPENDENCE PLANT</t>
  </si>
  <si>
    <t>IND002</t>
  </si>
  <si>
    <t>INDEPENDENCE STATION (NY)</t>
  </si>
  <si>
    <t>IND005</t>
  </si>
  <si>
    <t>INDIAN POINT NUCLEAR STATION</t>
  </si>
  <si>
    <t>IND008</t>
  </si>
  <si>
    <t>INDIAN RIVER PLANT (DE)</t>
  </si>
  <si>
    <t>IND009</t>
  </si>
  <si>
    <t>INDIAN RIVER PLANT (FL)</t>
  </si>
  <si>
    <t>INDIAN RIVER STATION (FL)</t>
  </si>
  <si>
    <t>IND014</t>
  </si>
  <si>
    <t>INDIANTOWN COGENERATION L P</t>
  </si>
  <si>
    <t>IND028</t>
  </si>
  <si>
    <t>INDUSTRIAL DISTRIBUTORS INTL CO</t>
  </si>
  <si>
    <t>IND001</t>
  </si>
  <si>
    <t>INDUSTRIAL ENGINEERING CO</t>
  </si>
  <si>
    <t>IND020</t>
  </si>
  <si>
    <t>INDUSTRIAL GROUP</t>
  </si>
  <si>
    <t>IND021</t>
  </si>
  <si>
    <t>INDUSTRIAL PARTS &amp; EQUIPMENT</t>
  </si>
  <si>
    <t>IND026</t>
  </si>
  <si>
    <t>INDUSTRIAL VALVES &amp; FITTINGS INC</t>
  </si>
  <si>
    <t>ISG001</t>
  </si>
  <si>
    <t>INDUSTRIESERVICE</t>
  </si>
  <si>
    <t>BAT004</t>
  </si>
  <si>
    <t>INEOS - BATTLEGROUND MANUFACTURING - LAPORTE</t>
  </si>
  <si>
    <t>INEOS OLEFINS &amp; POLYMERS-BATTLEGROUND MANUFACTURING</t>
  </si>
  <si>
    <t>INN002</t>
  </si>
  <si>
    <t>INEOS USA LLC</t>
  </si>
  <si>
    <t>INE001</t>
  </si>
  <si>
    <t>INEOS-ABS</t>
  </si>
  <si>
    <t>INEOS-CHOCOLATE BAYOU</t>
  </si>
  <si>
    <t>INI001</t>
  </si>
  <si>
    <t>INITEC ENERGIA, S.A.</t>
  </si>
  <si>
    <t>INL001</t>
  </si>
  <si>
    <t>INLAND INDUSTRIAL SERVICES GROUP LLC</t>
  </si>
  <si>
    <t>INN003</t>
  </si>
  <si>
    <t>INNOVATIVE PLASTICS-BURKVILLE</t>
  </si>
  <si>
    <t>INNOVENE USA LLC</t>
  </si>
  <si>
    <t>INS001</t>
  </si>
  <si>
    <t>INSULATION TECHNOLOGY COMPANY</t>
  </si>
  <si>
    <t>INT003</t>
  </si>
  <si>
    <t>INTECH INC</t>
  </si>
  <si>
    <t>INT001</t>
  </si>
  <si>
    <t>INTELK INC</t>
  </si>
  <si>
    <t>INT004</t>
  </si>
  <si>
    <t>INTERMOUNTAIN POWER SER CORP</t>
  </si>
  <si>
    <t>INTERMOUNTAIN STATION</t>
  </si>
  <si>
    <t>INT006</t>
  </si>
  <si>
    <t>INTERNATIONAL PAPER COMPANY</t>
  </si>
  <si>
    <t>VIC002</t>
  </si>
  <si>
    <t>INTERNATIONAL PAPER VICKSBURG MILL</t>
  </si>
  <si>
    <t>INT010</t>
  </si>
  <si>
    <t>INTERNATIONAL PAPER-CAMPTI</t>
  </si>
  <si>
    <t>INTERNATIONAL PAPER-RED RIVER MILL</t>
  </si>
  <si>
    <t>INT011</t>
  </si>
  <si>
    <t>INTERNATIONAL PROCUREMENT</t>
  </si>
  <si>
    <t>INT009</t>
  </si>
  <si>
    <t>INTERSTATE POWER &amp; LIGHT CO</t>
  </si>
  <si>
    <t>INV001</t>
  </si>
  <si>
    <t>INVISTA</t>
  </si>
  <si>
    <t>INV002</t>
  </si>
  <si>
    <t>INVISTA- VICTORIA</t>
  </si>
  <si>
    <t>IOW002</t>
  </si>
  <si>
    <t>IOWA MEDICAL AND CLASSIFICATION CENTER</t>
  </si>
  <si>
    <t>IPA001</t>
  </si>
  <si>
    <t>IPA OPERATIONS INC</t>
  </si>
  <si>
    <t>SUN011</t>
  </si>
  <si>
    <t>IRVINGTON STATION</t>
  </si>
  <si>
    <t>ISC001</t>
  </si>
  <si>
    <t>IS CHILE</t>
  </si>
  <si>
    <t>ISG GMBH CO KG</t>
  </si>
  <si>
    <t>ISG INDUSTRIESERVICE GOGOLOK</t>
  </si>
  <si>
    <t>ISQ001</t>
  </si>
  <si>
    <t>ISQ COOLCO, LLC</t>
  </si>
  <si>
    <t>J&amp;M001</t>
  </si>
  <si>
    <t>J &amp; M ENTERPRISE</t>
  </si>
  <si>
    <t>J &amp; M SUPPLY</t>
  </si>
  <si>
    <t>J&amp;W001</t>
  </si>
  <si>
    <t>J &amp; W</t>
  </si>
  <si>
    <t>J &amp; W REINIGUNGSSYSTEME</t>
  </si>
  <si>
    <t>JAF001</t>
  </si>
  <si>
    <t>J A FITZPATRICK STATION</t>
  </si>
  <si>
    <t>JBS001</t>
  </si>
  <si>
    <t>J B SIMS GENERATING STATION</t>
  </si>
  <si>
    <t>JBR001</t>
  </si>
  <si>
    <t>J BRODIE SMITH HYDROELECTRIC GENERATING STATION</t>
  </si>
  <si>
    <t>JCW001</t>
  </si>
  <si>
    <t>J C WEADOCK PLANT</t>
  </si>
  <si>
    <t>JHC001</t>
  </si>
  <si>
    <t>J H CAMPBELL COMPLEX</t>
  </si>
  <si>
    <t>J H CAMPBELL PLANT (MI)</t>
  </si>
  <si>
    <t>JJE001</t>
  </si>
  <si>
    <t>J J ELMORE PLANT</t>
  </si>
  <si>
    <t>JLB001</t>
  </si>
  <si>
    <t>J L BATES POWER STATION</t>
  </si>
  <si>
    <t>JMS001</t>
  </si>
  <si>
    <t>J M STUART STATION</t>
  </si>
  <si>
    <t>JPS001</t>
  </si>
  <si>
    <t>J P SALMINI CO INC</t>
  </si>
  <si>
    <t>JRS001</t>
  </si>
  <si>
    <t>J R SIMPLOT- LATHROP</t>
  </si>
  <si>
    <t>JRW001</t>
  </si>
  <si>
    <t>J R WHITING GENERATING STATION</t>
  </si>
  <si>
    <t>JOG001</t>
  </si>
  <si>
    <t>J.O. GALLOUP COMPANY</t>
  </si>
  <si>
    <t>JAM009</t>
  </si>
  <si>
    <t>JAMAICA PUBLIC SERVICE COMPANY LTD</t>
  </si>
  <si>
    <t>JAM008</t>
  </si>
  <si>
    <t>JAMALCO LLC</t>
  </si>
  <si>
    <t>JAM002</t>
  </si>
  <si>
    <t>JAMES A. VANN JR. POWER PLANT</t>
  </si>
  <si>
    <t>JAM001</t>
  </si>
  <si>
    <t>JAMES DEYOUNG STATION</t>
  </si>
  <si>
    <t>HOP003</t>
  </si>
  <si>
    <t>JAMES RIVER COGENERATION CO</t>
  </si>
  <si>
    <t>JAM006</t>
  </si>
  <si>
    <t>JAMES RIVER STATION</t>
  </si>
  <si>
    <t>JAM007</t>
  </si>
  <si>
    <t>JAMES STYRON FISH CO</t>
  </si>
  <si>
    <t>JAX001</t>
  </si>
  <si>
    <t>JAX REFRIGERATION</t>
  </si>
  <si>
    <t>JDM001</t>
  </si>
  <si>
    <t>JDM TECHNOLOGIES INC</t>
  </si>
  <si>
    <t>JEF001</t>
  </si>
  <si>
    <t>JEFFERIES GENERATING STATION</t>
  </si>
  <si>
    <t>JEFFERSON - EASTMAN CHEMICAL RESINS</t>
  </si>
  <si>
    <t>JEF004</t>
  </si>
  <si>
    <t>JEFFREY ENERGY CENTER</t>
  </si>
  <si>
    <t>JEW001</t>
  </si>
  <si>
    <t>JEWOO ENC CORPORATION</t>
  </si>
  <si>
    <t>JFK001</t>
  </si>
  <si>
    <t>JFK ENERGY CENTER</t>
  </si>
  <si>
    <t>JFK INTERNATIONAL AIRPORT POWER PLANT</t>
  </si>
  <si>
    <t>JIM001</t>
  </si>
  <si>
    <t>JIM BRIDGER PLANT</t>
  </si>
  <si>
    <t>JIR001</t>
  </si>
  <si>
    <t>JIREH SPECIALTY</t>
  </si>
  <si>
    <t>AMO002</t>
  </si>
  <si>
    <t>JOHN AMOS PLANT</t>
  </si>
  <si>
    <t>JOH001</t>
  </si>
  <si>
    <t>JOHN B RICH PLANT</t>
  </si>
  <si>
    <t>JOH004</t>
  </si>
  <si>
    <t>JOHN DEERE HARVESTER WORKS</t>
  </si>
  <si>
    <t>JOHN E AMOS PLANT</t>
  </si>
  <si>
    <t>JOH002</t>
  </si>
  <si>
    <t>JOHN R ROBINSON INC</t>
  </si>
  <si>
    <t>JOH003</t>
  </si>
  <si>
    <t>JOHN SEVIER FOSSIL PLANT</t>
  </si>
  <si>
    <t>SOU027</t>
  </si>
  <si>
    <t>JOHN TWITTY ENERGY CENTER</t>
  </si>
  <si>
    <t>JOH010</t>
  </si>
  <si>
    <t>JOHNSON CONTROLS INC</t>
  </si>
  <si>
    <t>JOH011</t>
  </si>
  <si>
    <t>JOHNSON COUNTY FACILITY</t>
  </si>
  <si>
    <t>JOH006</t>
  </si>
  <si>
    <t>JOHNSON MATTHEY CATALYST</t>
  </si>
  <si>
    <t>JOH007</t>
  </si>
  <si>
    <t>JOHNSON SPACE CENTER</t>
  </si>
  <si>
    <t>JOH008</t>
  </si>
  <si>
    <t>JOHNSONVILLE FOSSIL PLANT</t>
  </si>
  <si>
    <t>JOL001</t>
  </si>
  <si>
    <t>JOLIET STATION</t>
  </si>
  <si>
    <t>JOLIET STATION #1 &amp; #6</t>
  </si>
  <si>
    <t>JOLIET STATION #29</t>
  </si>
  <si>
    <t>JOLIET STATION #6</t>
  </si>
  <si>
    <t>JOLIET STATION #7 &amp; #8</t>
  </si>
  <si>
    <t>JOLIET STATION 9</t>
  </si>
  <si>
    <t>JOL004</t>
  </si>
  <si>
    <t>JOLIET STATION UNIT 7/8</t>
  </si>
  <si>
    <t>JON006</t>
  </si>
  <si>
    <t>JONES LANG LASALLE INC</t>
  </si>
  <si>
    <t>JOPPA STEAM ELECTRIC STATION</t>
  </si>
  <si>
    <t>JOR001</t>
  </si>
  <si>
    <t>JORGE LACERDA THERMELECTRIC POWER PLANT</t>
  </si>
  <si>
    <t>JOS002</t>
  </si>
  <si>
    <t>JOSEPH AGNEW</t>
  </si>
  <si>
    <t>JR ENDICOTT PLANT</t>
  </si>
  <si>
    <t>JUDSON LARGE STATION</t>
  </si>
  <si>
    <t>KLG001</t>
  </si>
  <si>
    <t>K &amp; L GATES CENTER</t>
  </si>
  <si>
    <t>KAH001</t>
  </si>
  <si>
    <t>KAHALGAON SUPER THERM PWR STA</t>
  </si>
  <si>
    <t>KAH002</t>
  </si>
  <si>
    <t>KAHE POWER PLANT</t>
  </si>
  <si>
    <t>KAHE STATION</t>
  </si>
  <si>
    <t>KAH003</t>
  </si>
  <si>
    <t>KAHULUI POWER PLANT</t>
  </si>
  <si>
    <t>KAL001</t>
  </si>
  <si>
    <t>KALAELOA COGENERATION PLANT</t>
  </si>
  <si>
    <t>KAL002</t>
  </si>
  <si>
    <t>KALAMAZOO RIVER GENERATING STATION</t>
  </si>
  <si>
    <t>KAM003</t>
  </si>
  <si>
    <t>KAMAN INDUSTRIAL TECHNOLOGIES</t>
  </si>
  <si>
    <t>KAM001</t>
  </si>
  <si>
    <t>KAMMER PLANT</t>
  </si>
  <si>
    <t>KAM002</t>
  </si>
  <si>
    <t>KAMTECH INC</t>
  </si>
  <si>
    <t>KAN001</t>
  </si>
  <si>
    <t>KANAWHA RIVER PLANT</t>
  </si>
  <si>
    <t>KAR001</t>
  </si>
  <si>
    <t>KARN STATION</t>
  </si>
  <si>
    <t>KEE001</t>
  </si>
  <si>
    <t>KEESHAN &amp; BOST CHEMICAL CO INC</t>
  </si>
  <si>
    <t>KEL001</t>
  </si>
  <si>
    <t>KELCO PLANT</t>
  </si>
  <si>
    <t>KEL004</t>
  </si>
  <si>
    <t>KELLOGG BROWN &amp; ROOT INC</t>
  </si>
  <si>
    <t>KEN001</t>
  </si>
  <si>
    <t>KENANSVILLE PLANT</t>
  </si>
  <si>
    <t>KEN008</t>
  </si>
  <si>
    <t>KENDALL COUNTY GEN FACILITY</t>
  </si>
  <si>
    <t>KENDALL ENERGY LLC</t>
  </si>
  <si>
    <t>KEN002</t>
  </si>
  <si>
    <t>KENDALL PLANT</t>
  </si>
  <si>
    <t>KENNECOTT UTAH COPPER</t>
  </si>
  <si>
    <t>KEN003</t>
  </si>
  <si>
    <t>KENNECOTT UTAH COPPER CORP</t>
  </si>
  <si>
    <t>KEN005</t>
  </si>
  <si>
    <t>KENNETH C COLEMAN STATION</t>
  </si>
  <si>
    <t>KENNETH COLEMAN STATION</t>
  </si>
  <si>
    <t>KEN004</t>
  </si>
  <si>
    <t>KENNETH CROSBY</t>
  </si>
  <si>
    <t>KEN012</t>
  </si>
  <si>
    <t>KENT STATE UNIVERSITY</t>
  </si>
  <si>
    <t>KEW001</t>
  </si>
  <si>
    <t>KEWAUNEE NUCLEAR POWER PLANT</t>
  </si>
  <si>
    <t>KEY003</t>
  </si>
  <si>
    <t>KEYS ENERGY CENTER</t>
  </si>
  <si>
    <t>KEY005</t>
  </si>
  <si>
    <t>KEYSTONE SPECIALTY SERVICES CO</t>
  </si>
  <si>
    <t>KEY004</t>
  </si>
  <si>
    <t>KEYSTONE STATION</t>
  </si>
  <si>
    <t>KIE002</t>
  </si>
  <si>
    <t>KIEWIT CORPORATION</t>
  </si>
  <si>
    <t>KIN001</t>
  </si>
  <si>
    <t>KINCAID STATION</t>
  </si>
  <si>
    <t>KIN002</t>
  </si>
  <si>
    <t>KINDER MORGAN - INDIANOLA</t>
  </si>
  <si>
    <t>KINDER MORGAN ENERGY PARTNERS</t>
  </si>
  <si>
    <t>KIN003</t>
  </si>
  <si>
    <t>KINETIC S.A.</t>
  </si>
  <si>
    <t>KINETIC S.A. ARGENTINA</t>
  </si>
  <si>
    <t>KIN004</t>
  </si>
  <si>
    <t>KINGSTON FOSSIL PLANT</t>
  </si>
  <si>
    <t>KJC OPERATING COMPANY</t>
  </si>
  <si>
    <t>KLE001</t>
  </si>
  <si>
    <t>KLEEN ENERGY SYSTEMS LLC</t>
  </si>
  <si>
    <t>KMA001</t>
  </si>
  <si>
    <t>KMAC SPECIALTY SERVICES, INC.</t>
  </si>
  <si>
    <t>KNO001</t>
  </si>
  <si>
    <t>KNOX LEE PLANT</t>
  </si>
  <si>
    <t>KNOX LEE POWER PLANT</t>
  </si>
  <si>
    <t>KNOX LEE POWER STATION</t>
  </si>
  <si>
    <t>KOP002</t>
  </si>
  <si>
    <t>KOPPERS INC - STICKNEY PLANT</t>
  </si>
  <si>
    <t>KOP001</t>
  </si>
  <si>
    <t>KOPPERS INC.</t>
  </si>
  <si>
    <t>KOPPERS INDUSTRIES</t>
  </si>
  <si>
    <t>KOPPERS INDUSTRIES INC</t>
  </si>
  <si>
    <t>KOP004</t>
  </si>
  <si>
    <t>KOPPERS-SUQUEHANNA</t>
  </si>
  <si>
    <t>KOR002</t>
  </si>
  <si>
    <t>KORBA SUPER THERMAL PWR STA</t>
  </si>
  <si>
    <t>KOS001</t>
  </si>
  <si>
    <t>KOSA</t>
  </si>
  <si>
    <t>KRA001</t>
  </si>
  <si>
    <t>KRAFT PLANT</t>
  </si>
  <si>
    <t>KRAMER JUNCTION STATION</t>
  </si>
  <si>
    <t>KRAMER JUNCTION STATION - FPL ENERGY</t>
  </si>
  <si>
    <t>KRU001</t>
  </si>
  <si>
    <t>KRUE INDUSTRIAL</t>
  </si>
  <si>
    <t>AKE001</t>
  </si>
  <si>
    <t>KVAERNER SONGER INC</t>
  </si>
  <si>
    <t>KYG001</t>
  </si>
  <si>
    <t>KYGER CREEK STATION</t>
  </si>
  <si>
    <t>KYR002</t>
  </si>
  <si>
    <t>KYRENE STATION</t>
  </si>
  <si>
    <t>LAM001</t>
  </si>
  <si>
    <t>LA MAXE STATION</t>
  </si>
  <si>
    <t>LAP001</t>
  </si>
  <si>
    <t>LA PALMA POWER PLANT</t>
  </si>
  <si>
    <t>LAP002</t>
  </si>
  <si>
    <t>LA PORTE PLANT</t>
  </si>
  <si>
    <t>AIR012</t>
  </si>
  <si>
    <t>LA PORTE TEXAS PRODUCTION</t>
  </si>
  <si>
    <t>LOU003</t>
  </si>
  <si>
    <t>LA SUGAR REFINING - GRAMERCY</t>
  </si>
  <si>
    <t>LAB001</t>
  </si>
  <si>
    <t>LABADIE PLANT</t>
  </si>
  <si>
    <t>LAC005</t>
  </si>
  <si>
    <t>LACYGNE STATION</t>
  </si>
  <si>
    <t>LAG002</t>
  </si>
  <si>
    <t>LAGOON CREEK POWER PLANT</t>
  </si>
  <si>
    <t>LAK001</t>
  </si>
  <si>
    <t>LAKE CATHERINE STATION</t>
  </si>
  <si>
    <t>LAK016</t>
  </si>
  <si>
    <t>LAKE COUNTY PIPE &amp; SUPPLY CO</t>
  </si>
  <si>
    <t>LAKE COUNTY RESOURCE RECOVERY FACILITY</t>
  </si>
  <si>
    <t>LAK002</t>
  </si>
  <si>
    <t>LAKE CREEK PLANT</t>
  </si>
  <si>
    <t>LAK015</t>
  </si>
  <si>
    <t>LAKE PRESTON IC PLANT SITE</t>
  </si>
  <si>
    <t>LAK006</t>
  </si>
  <si>
    <t>LAKE ROAD GENERATING STATION</t>
  </si>
  <si>
    <t>LAKE ROAD PLANT</t>
  </si>
  <si>
    <t>LAKE ROAD PLANT (MO)</t>
  </si>
  <si>
    <t>LAK014</t>
  </si>
  <si>
    <t>LAKE ROAD STATION</t>
  </si>
  <si>
    <t>LAKE ROAD STATION (CT)</t>
  </si>
  <si>
    <t>LAK007</t>
  </si>
  <si>
    <t>LAKE SHORE PLANT</t>
  </si>
  <si>
    <t>LAK010</t>
  </si>
  <si>
    <t>LAKE SIDE POWER PLANT</t>
  </si>
  <si>
    <t>LAK011</t>
  </si>
  <si>
    <t>LAKESIDE STATION</t>
  </si>
  <si>
    <t>LAK012</t>
  </si>
  <si>
    <t>LAKEVIEW STATION</t>
  </si>
  <si>
    <t>LAK013</t>
  </si>
  <si>
    <t>LAKEWOOD COGENERATION</t>
  </si>
  <si>
    <t>LAM004</t>
  </si>
  <si>
    <t>LAMAN-LOESCHE SUPPLY CO INC</t>
  </si>
  <si>
    <t>LAM005</t>
  </si>
  <si>
    <t>LAMAR POWER PARTNERS LP</t>
  </si>
  <si>
    <t>LAM003</t>
  </si>
  <si>
    <t>LAMBTON GS</t>
  </si>
  <si>
    <t>LAMBTON TGS</t>
  </si>
  <si>
    <t>LAN009</t>
  </si>
  <si>
    <t>LANCASTER COUNTY RESOURCE RECOVERY PLANT</t>
  </si>
  <si>
    <t>LAN003</t>
  </si>
  <si>
    <t>LANCO SALES COMPANY</t>
  </si>
  <si>
    <t>LAN004</t>
  </si>
  <si>
    <t>L'ANSE WARDEN ELECTRIC CO INC</t>
  </si>
  <si>
    <t>L'ANSE WARDEN ELECTRIC CO LLC</t>
  </si>
  <si>
    <t>LANSING BOARD OF WATER &amp; LIGHT</t>
  </si>
  <si>
    <t>LAN007</t>
  </si>
  <si>
    <t>LANSING SMITH PLANT</t>
  </si>
  <si>
    <t>LAN008</t>
  </si>
  <si>
    <t>LANSING STATION</t>
  </si>
  <si>
    <t>LAN029</t>
  </si>
  <si>
    <t>LANXESS CORPORATION</t>
  </si>
  <si>
    <t>LAO001</t>
  </si>
  <si>
    <t>LAOR ENGINEERING LTD.</t>
  </si>
  <si>
    <t>LAR001</t>
  </si>
  <si>
    <t>LARAMIE RIVER STATION</t>
  </si>
  <si>
    <t>LAS002</t>
  </si>
  <si>
    <t>LAS VEGAS GENERATING STATION</t>
  </si>
  <si>
    <t>LAS001</t>
  </si>
  <si>
    <t>LASALLE COUNTY STATION</t>
  </si>
  <si>
    <t>LAUDERDALE GENERATING STATION</t>
  </si>
  <si>
    <t>LAUDERDALE PLANT</t>
  </si>
  <si>
    <t>LAV001</t>
  </si>
  <si>
    <t>LAVRION SES</t>
  </si>
  <si>
    <t>LAW001</t>
  </si>
  <si>
    <t>LAWRENCE ENERGY CENTER</t>
  </si>
  <si>
    <t>LEA001</t>
  </si>
  <si>
    <t>LEACHATE TREATMENT FACILITY</t>
  </si>
  <si>
    <t>LEA002</t>
  </si>
  <si>
    <t>LEATHER PLANT</t>
  </si>
  <si>
    <t>LEE002</t>
  </si>
  <si>
    <t>LEE STEAM STATION (SC)</t>
  </si>
  <si>
    <t>LEL001</t>
  </si>
  <si>
    <t>LELAND OLDS STATION</t>
  </si>
  <si>
    <t>LES001</t>
  </si>
  <si>
    <t>LESEDI NUCLEAR SERVICES (PTY) LTD</t>
  </si>
  <si>
    <t>LET001</t>
  </si>
  <si>
    <t>LETAMENS ENGINEERING</t>
  </si>
  <si>
    <t>LEW002</t>
  </si>
  <si>
    <t>LEWIS CREEK PLANT</t>
  </si>
  <si>
    <t>LIA001</t>
  </si>
  <si>
    <t>LIAISON DE MEXICO S.A. DE C.V.</t>
  </si>
  <si>
    <t>LIAISON DE MEXICO SA DE CV</t>
  </si>
  <si>
    <t>LIAISON DE MEXICO, S.A. DE C.V.</t>
  </si>
  <si>
    <t>LIAISON SERVICES INC</t>
  </si>
  <si>
    <t>LIB003</t>
  </si>
  <si>
    <t>LIBERTY CC STATION PLANT</t>
  </si>
  <si>
    <t>LIBERTY ELECTRIC POWER LLC</t>
  </si>
  <si>
    <t>LIB004</t>
  </si>
  <si>
    <t>LIBERTY MARINE SERVICES</t>
  </si>
  <si>
    <t>LIE001</t>
  </si>
  <si>
    <t>LIEBERMAN POWER PLANT</t>
  </si>
  <si>
    <t>LIG001</t>
  </si>
  <si>
    <t>LIGHTNING BAY PNEU-DRAULICS</t>
  </si>
  <si>
    <t>LIM004</t>
  </si>
  <si>
    <t>LIMA REFINING COMPANY</t>
  </si>
  <si>
    <t>LIM002</t>
  </si>
  <si>
    <t>LIMERICK GENERATING STATION</t>
  </si>
  <si>
    <t>LIMERICK STATION</t>
  </si>
  <si>
    <t>LIM003</t>
  </si>
  <si>
    <t>LIMESTONE STATION</t>
  </si>
  <si>
    <t>LIN009</t>
  </si>
  <si>
    <t>LINDE - EL SEGUNDO</t>
  </si>
  <si>
    <t>MUS003</t>
  </si>
  <si>
    <t>LINDE - MUSCATINE</t>
  </si>
  <si>
    <t>LIN010</t>
  </si>
  <si>
    <t>LINDE - SOUTH BEND</t>
  </si>
  <si>
    <t>LIN006</t>
  </si>
  <si>
    <t>LINDE CLAYMONT</t>
  </si>
  <si>
    <t>LINDE EL SEGUNDO</t>
  </si>
  <si>
    <t>LIN005</t>
  </si>
  <si>
    <t>LINDE LLC</t>
  </si>
  <si>
    <t>LIN007</t>
  </si>
  <si>
    <t>LINDE LLC- BRANDON</t>
  </si>
  <si>
    <t>LIN003</t>
  </si>
  <si>
    <t>LINDEN COGENERATION PLANT</t>
  </si>
  <si>
    <t>LIN002</t>
  </si>
  <si>
    <t>LINDEN CONBINED CYCLE</t>
  </si>
  <si>
    <t>LINDEN STATION</t>
  </si>
  <si>
    <t>LIN008</t>
  </si>
  <si>
    <t>LINDE-TORRANCE</t>
  </si>
  <si>
    <t>LIN004</t>
  </si>
  <si>
    <t>LINDSAY HILL STATION</t>
  </si>
  <si>
    <t>LIT002</t>
  </si>
  <si>
    <t>LITTLE GYPSY STATION</t>
  </si>
  <si>
    <t>LOC002</t>
  </si>
  <si>
    <t>LOCKHEED MARTIN AERONAUTICS CO.</t>
  </si>
  <si>
    <t>LOD001</t>
  </si>
  <si>
    <t>LODI GAS STORAGE LLC</t>
  </si>
  <si>
    <t>LOG001</t>
  </si>
  <si>
    <t>LOGAN GENERATING PLANT</t>
  </si>
  <si>
    <t>LON003</t>
  </si>
  <si>
    <t>LON D WRIGHT POWER PLANT</t>
  </si>
  <si>
    <t>LON009</t>
  </si>
  <si>
    <t>LONE WOLF RESOURCES</t>
  </si>
  <si>
    <t>LON005</t>
  </si>
  <si>
    <t>LONG BEACH STATION</t>
  </si>
  <si>
    <t>LON001</t>
  </si>
  <si>
    <t>LONG ISLAND ENERGY CENTER</t>
  </si>
  <si>
    <t>LON008</t>
  </si>
  <si>
    <t>LONGHORN GLASS CORP</t>
  </si>
  <si>
    <t>LONGHORN GLASS MFG LP</t>
  </si>
  <si>
    <t>LON010</t>
  </si>
  <si>
    <t>LONGVIEW POWER LLC</t>
  </si>
  <si>
    <t>COV005</t>
  </si>
  <si>
    <t>LORTON STATION</t>
  </si>
  <si>
    <t>LOS005</t>
  </si>
  <si>
    <t>LOS ANGELES ATHLETIC CLUB</t>
  </si>
  <si>
    <t>LOS003</t>
  </si>
  <si>
    <t>LOS ANGELES BREWERY</t>
  </si>
  <si>
    <t>LOS001</t>
  </si>
  <si>
    <t>LOS MEDANOS ENERGY CENTER</t>
  </si>
  <si>
    <t>LOST CABIN GAS PLANT- CONOCOPHILLIPS</t>
  </si>
  <si>
    <t>LOU002</t>
  </si>
  <si>
    <t>LOUIS DREYFUS AGRICULTURAL INDUSTRIES LLC</t>
  </si>
  <si>
    <t>LOU001</t>
  </si>
  <si>
    <t>LOUISA GENERATING STATION</t>
  </si>
  <si>
    <t>LOV001</t>
  </si>
  <si>
    <t>LOVETT GENERATING STATION</t>
  </si>
  <si>
    <t>LOW003</t>
  </si>
  <si>
    <t>LOWER MOUNT BETHEL ENERGY</t>
  </si>
  <si>
    <t>LOW002</t>
  </si>
  <si>
    <t>LOWMAN POWER PLANT</t>
  </si>
  <si>
    <t>LSP001</t>
  </si>
  <si>
    <t>LSP ENERGY</t>
  </si>
  <si>
    <t>LUB001</t>
  </si>
  <si>
    <t>LUBRIZOL DEER PARK</t>
  </si>
  <si>
    <t>LUC002</t>
  </si>
  <si>
    <t>LUCITE INTERNATIONAL</t>
  </si>
  <si>
    <t>LUC001</t>
  </si>
  <si>
    <t>LUCKNOW</t>
  </si>
  <si>
    <t>LUD001</t>
  </si>
  <si>
    <t>LUDINGTON PUMPED STORAGE PLANT</t>
  </si>
  <si>
    <t>LUF001</t>
  </si>
  <si>
    <t>LUFKIN GENERATING FACILITY</t>
  </si>
  <si>
    <t>LUFKIN GENERATING FACILITY - DO NOT QUOTE THIS CUSTOMER</t>
  </si>
  <si>
    <t>LUM001</t>
  </si>
  <si>
    <t>LUMBERTON POWER LLC</t>
  </si>
  <si>
    <t>MON017</t>
  </si>
  <si>
    <t>LUMINANT</t>
  </si>
  <si>
    <t>LUS001</t>
  </si>
  <si>
    <t>LUS POWER PRODUCTION  (LAFAYETTE UTILITIES SYSTEM)</t>
  </si>
  <si>
    <t>LYO005</t>
  </si>
  <si>
    <t>LYONDELL BASELL-CHOCOLATE BAYOU</t>
  </si>
  <si>
    <t>BAY013</t>
  </si>
  <si>
    <t>LYONDELL CHEMICAL COMPANY</t>
  </si>
  <si>
    <t>LYO007</t>
  </si>
  <si>
    <t>LYONDELLBASELL - BCO BAYPORT ETHYLENE OXIDE</t>
  </si>
  <si>
    <t>LYONDELLBASELL - CORPUS CHRISTI</t>
  </si>
  <si>
    <t>LYONDELLBASELL - CVO NORTH  CHANNELVIEW CHEMICALS</t>
  </si>
  <si>
    <t>LYONDELLBASELL - CVO NORTH CHANNELVIEW OLEFINS</t>
  </si>
  <si>
    <t>LYO004</t>
  </si>
  <si>
    <t>LYONDELLBASELL - HRO HOUSTON REFINERY</t>
  </si>
  <si>
    <t>LYO006</t>
  </si>
  <si>
    <t>LYONDELLBASELL - LPO LA PORTE COMPLEX</t>
  </si>
  <si>
    <t>LYO008</t>
  </si>
  <si>
    <t>LYONDELLBASELL - MIO MORRIS COMPLEX</t>
  </si>
  <si>
    <t>LYONDELLBASELL- BCO BAYPORT</t>
  </si>
  <si>
    <t>LYONDELLBASELL- CHANNELVIEW NORTH PLANT</t>
  </si>
  <si>
    <t>LYONDELLBASELL CHANNELVIEW SOUTH PLANT</t>
  </si>
  <si>
    <t>LYONDELLBASELL HOUSTON REFINING</t>
  </si>
  <si>
    <t>LYONDELLBASELL INDUSTRIES- MIO COMPLEX</t>
  </si>
  <si>
    <t>LYONDELLBASELL-LAPORTE</t>
  </si>
  <si>
    <t>LYO011</t>
  </si>
  <si>
    <t>LYONDELLBASELL-MATAGORDA SITE</t>
  </si>
  <si>
    <t>LYO012</t>
  </si>
  <si>
    <t>LYONDELLBASELL-VICTORIA PLANT</t>
  </si>
  <si>
    <t>LYONDELLBASSELL- CHANNELVIEW NORTH PLANT</t>
  </si>
  <si>
    <t>MLK001</t>
  </si>
  <si>
    <t>M L KAPP POWER STATION</t>
  </si>
  <si>
    <t>MAA001</t>
  </si>
  <si>
    <t>MAALAEA POWER PLANT</t>
  </si>
  <si>
    <t>MAC001</t>
  </si>
  <si>
    <t>MACARTHUR WTE PLANT</t>
  </si>
  <si>
    <t>MAD003</t>
  </si>
  <si>
    <t>MADGETT GENERATING STATION</t>
  </si>
  <si>
    <t>MADGETT PLANT</t>
  </si>
  <si>
    <t>MAG006</t>
  </si>
  <si>
    <t>MAGIC VALLEY GENERATING STATION</t>
  </si>
  <si>
    <t>MAGIC VALLEY O&amp;M COMPANY</t>
  </si>
  <si>
    <t>MAGNA STATION</t>
  </si>
  <si>
    <t>MAG001</t>
  </si>
  <si>
    <t>MAGNOLIA COMBINED CYCLE</t>
  </si>
  <si>
    <t>MAL004</t>
  </si>
  <si>
    <t>MALBURG GENERATING STATION</t>
  </si>
  <si>
    <t>MAL003</t>
  </si>
  <si>
    <t>MALLARD LAKE</t>
  </si>
  <si>
    <t>MAN001</t>
  </si>
  <si>
    <t>MANATEE GENERATING STATION</t>
  </si>
  <si>
    <t>MANATEE PLANT</t>
  </si>
  <si>
    <t>MAN003</t>
  </si>
  <si>
    <t>MANDALAY GENERATING STATION</t>
  </si>
  <si>
    <t>AND005</t>
  </si>
  <si>
    <t>MARATHON - CARSON</t>
  </si>
  <si>
    <t>AND003</t>
  </si>
  <si>
    <t>MARATHON - WILMINGTON</t>
  </si>
  <si>
    <t>MAR007</t>
  </si>
  <si>
    <t>MARATHON DETROIT</t>
  </si>
  <si>
    <t>GAR002</t>
  </si>
  <si>
    <t>MARATHON GARYVILLE</t>
  </si>
  <si>
    <t>MAR027</t>
  </si>
  <si>
    <t>MARATHON OIL,LLC</t>
  </si>
  <si>
    <t>MAR028</t>
  </si>
  <si>
    <t>MARATHON OIL-CATLETTSBURG REFINING</t>
  </si>
  <si>
    <t>MAR014</t>
  </si>
  <si>
    <t>MARATHON PETROLEUM - CINCINNATI</t>
  </si>
  <si>
    <t>MARATHON PETROLEUM - CINCINNATI RENEWABLE FUELS</t>
  </si>
  <si>
    <t>MARATHON PETROLEUM - DETROIT REFINERY</t>
  </si>
  <si>
    <t>MAR004</t>
  </si>
  <si>
    <t>MARATHON PETROLEUM - ROBINSON REFINERY</t>
  </si>
  <si>
    <t>MAR005</t>
  </si>
  <si>
    <t>MARATHON PETROLEUM CO. LLC</t>
  </si>
  <si>
    <t>MARATHON PETROLEUM COMPANY</t>
  </si>
  <si>
    <t>MARATHON PETROLEUM COMPANY,LLC</t>
  </si>
  <si>
    <t>MARATHON SOUTH HOUSTON GREEN POWER</t>
  </si>
  <si>
    <t>MARATHON-ROBINSON</t>
  </si>
  <si>
    <t>MAR025</t>
  </si>
  <si>
    <t>MARCON INTERNATIONAL INC</t>
  </si>
  <si>
    <t>MAR026</t>
  </si>
  <si>
    <t>MARCUS HOOK (FPL)</t>
  </si>
  <si>
    <t>MAR001</t>
  </si>
  <si>
    <t>MARCUS HOOK REFINERY</t>
  </si>
  <si>
    <t>MARCUS HOOK STATION</t>
  </si>
  <si>
    <t>MAR003</t>
  </si>
  <si>
    <t>MARION GENERATING STATION</t>
  </si>
  <si>
    <t>MARION STEAM PLANT</t>
  </si>
  <si>
    <t>MAR009</t>
  </si>
  <si>
    <t>MARKLAND STATION</t>
  </si>
  <si>
    <t>MAR008</t>
  </si>
  <si>
    <t>MARQUETTE BOARD OF LIGHT &amp; PWR</t>
  </si>
  <si>
    <t>MAR012</t>
  </si>
  <si>
    <t>MARSHALL GENERATING STATION (NC)</t>
  </si>
  <si>
    <t>MAR011</t>
  </si>
  <si>
    <t>MARSHALL MUNICIPAL UTILITIES</t>
  </si>
  <si>
    <t>MARSHALL PLANT (MO)</t>
  </si>
  <si>
    <t>MAR018</t>
  </si>
  <si>
    <t>MARSHALLTOWN POWER PLANT</t>
  </si>
  <si>
    <t>MAR017</t>
  </si>
  <si>
    <t>MARTIN COUNTY PLANT</t>
  </si>
  <si>
    <t>MARTIN COUNTY PLANT (FL)</t>
  </si>
  <si>
    <t>MAR015</t>
  </si>
  <si>
    <t>MARTIN DRAKE PLANT</t>
  </si>
  <si>
    <t>MARTIN DRAKE POWER PLANT</t>
  </si>
  <si>
    <t>MAR016</t>
  </si>
  <si>
    <t>MARTIN LAKE PLANT</t>
  </si>
  <si>
    <t>MARTIN PLANT (FL)</t>
  </si>
  <si>
    <t>MAR023</t>
  </si>
  <si>
    <t>MARTINS CREEK</t>
  </si>
  <si>
    <t>MAS005</t>
  </si>
  <si>
    <t>MASONIC VILLAGES OF SEWICKLEY</t>
  </si>
  <si>
    <t>MIT002</t>
  </si>
  <si>
    <t>MASSACHUSETTS INSTITUTE OF TECHNOLOGY</t>
  </si>
  <si>
    <t>MAS006</t>
  </si>
  <si>
    <t>MASSPOWER ENERGY FACILITY</t>
  </si>
  <si>
    <t>MAS003</t>
  </si>
  <si>
    <t>MASTER-LEE ENERGY SERVICE</t>
  </si>
  <si>
    <t>MASTER-LEE ENERGY SERVICES CORP</t>
  </si>
  <si>
    <t>MAU001</t>
  </si>
  <si>
    <t>MAURY A. MCWILLIAMS STEAM POWER PLANT</t>
  </si>
  <si>
    <t>MAXIM EVAPORATORS INC</t>
  </si>
  <si>
    <t>MAXIM EVAPORATORS OF AMERICA</t>
  </si>
  <si>
    <t>MAY002</t>
  </si>
  <si>
    <t>MAYO S E PLANT</t>
  </si>
  <si>
    <t>MAYO STEAM PLANT</t>
  </si>
  <si>
    <t>MCC001</t>
  </si>
  <si>
    <t>MCCARL'S INC</t>
  </si>
  <si>
    <t>MCG001</t>
  </si>
  <si>
    <t>MCGUIRE NUCLEAR STATION</t>
  </si>
  <si>
    <t>MCI002</t>
  </si>
  <si>
    <t>MCINTOSH STATION (FL)</t>
  </si>
  <si>
    <t>MCI003</t>
  </si>
  <si>
    <t>MCINTOSH STATION (GA)</t>
  </si>
  <si>
    <t>MCJ001</t>
  </si>
  <si>
    <t>MCJUNKIN RED MAN CORPORATION</t>
  </si>
  <si>
    <t>MCK001</t>
  </si>
  <si>
    <t>MCKAY BAY STATION</t>
  </si>
  <si>
    <t>MCK004</t>
  </si>
  <si>
    <t>MCKEE REFINERY - VALERO</t>
  </si>
  <si>
    <t>MCN002</t>
  </si>
  <si>
    <t>MCNEIL GENERATING STATION</t>
  </si>
  <si>
    <t>MCR001</t>
  </si>
  <si>
    <t>MCRD</t>
  </si>
  <si>
    <t>MEC002</t>
  </si>
  <si>
    <t>MECHANICAL OPERATIONS</t>
  </si>
  <si>
    <t>MEC003</t>
  </si>
  <si>
    <t>MECHANICAL OPERATIONS CO</t>
  </si>
  <si>
    <t>MECHANICAL OPERATIONS CO INC</t>
  </si>
  <si>
    <t>MEL001</t>
  </si>
  <si>
    <t>MELLON ARENA</t>
  </si>
  <si>
    <t>MEL002</t>
  </si>
  <si>
    <t>MELLON BANK</t>
  </si>
  <si>
    <t>MEL003</t>
  </si>
  <si>
    <t>MELLON CENTER</t>
  </si>
  <si>
    <t>MELLON CENTER THREE</t>
  </si>
  <si>
    <t>MEM001</t>
  </si>
  <si>
    <t>MEM CONTRACTING INC</t>
  </si>
  <si>
    <t>MENDOTA POWER PLANT</t>
  </si>
  <si>
    <t>MER001</t>
  </si>
  <si>
    <t>MERAMEC PLANT</t>
  </si>
  <si>
    <t>MER002</t>
  </si>
  <si>
    <t>MERCER GENERATING STATION</t>
  </si>
  <si>
    <t>MER004</t>
  </si>
  <si>
    <t>MERIDIAN</t>
  </si>
  <si>
    <t>MER006</t>
  </si>
  <si>
    <t>MEROM STATION</t>
  </si>
  <si>
    <t>MER009</t>
  </si>
  <si>
    <t>MERRICK'S HYDROLAZING &amp; WATERBLASTING INC</t>
  </si>
  <si>
    <t>MER007</t>
  </si>
  <si>
    <t>MERRIMACK STATION</t>
  </si>
  <si>
    <t>MES005</t>
  </si>
  <si>
    <t>MESAIEED POWER COMPANY LIMITED</t>
  </si>
  <si>
    <t>MESAIEED POWER COMPANY LTD.</t>
  </si>
  <si>
    <t>MES002</t>
  </si>
  <si>
    <t>MESQUITE POWER GENERATING STATION</t>
  </si>
  <si>
    <t>MESQUITE POWER LLC</t>
  </si>
  <si>
    <t>MET003</t>
  </si>
  <si>
    <t>METALCOAT INC</t>
  </si>
  <si>
    <t>METALCOATS INC</t>
  </si>
  <si>
    <t>MET002</t>
  </si>
  <si>
    <t>METLIFE</t>
  </si>
  <si>
    <t>MIA001</t>
  </si>
  <si>
    <t>MIAMI FORT STATION</t>
  </si>
  <si>
    <t>MIC005</t>
  </si>
  <si>
    <t>MICHIGAN WASTE ENERGY INC</t>
  </si>
  <si>
    <t>MIC006</t>
  </si>
  <si>
    <t>MICHOUD GENERATING STATION</t>
  </si>
  <si>
    <t>MID013</t>
  </si>
  <si>
    <t>MID CENTRAL CONTRACT SERVICES, INC.</t>
  </si>
  <si>
    <t>MID004</t>
  </si>
  <si>
    <t>MIDDLETOWN GENERATING STATION</t>
  </si>
  <si>
    <t>MIDDLETOWN POWER LLC</t>
  </si>
  <si>
    <t>MIDDLETOWN STATION</t>
  </si>
  <si>
    <t>MID005</t>
  </si>
  <si>
    <t>MID-GEORGIA COGEN</t>
  </si>
  <si>
    <t>MID006</t>
  </si>
  <si>
    <t>MIDLAND CASTING PLANT</t>
  </si>
  <si>
    <t>MID007</t>
  </si>
  <si>
    <t>MIDLAND COGENERATION VENTURE</t>
  </si>
  <si>
    <t>MIDLAND POWER PLANT</t>
  </si>
  <si>
    <t>MID012</t>
  </si>
  <si>
    <t>MIDLOTHIAN ENERGY LP</t>
  </si>
  <si>
    <t>MID010</t>
  </si>
  <si>
    <t>MIDULA GENERATING STATION</t>
  </si>
  <si>
    <t>MIDULLA GENERATING STATION</t>
  </si>
  <si>
    <t>MID011</t>
  </si>
  <si>
    <t>MIDWEST RENEWABLE ENERGY</t>
  </si>
  <si>
    <t>MIL003</t>
  </si>
  <si>
    <t>MILFORD STATION</t>
  </si>
  <si>
    <t>MIL004</t>
  </si>
  <si>
    <t>MILL CREEK GENERATING STATION</t>
  </si>
  <si>
    <t>MILL CREEK GENERATION STATION</t>
  </si>
  <si>
    <t>MILL CREEK STATION</t>
  </si>
  <si>
    <t>MIL006</t>
  </si>
  <si>
    <t>MILLBURY STATION</t>
  </si>
  <si>
    <t>MIL008</t>
  </si>
  <si>
    <t>MILLER STEAM PLANT</t>
  </si>
  <si>
    <t>MIL016</t>
  </si>
  <si>
    <t>MILLSDALE PLANT</t>
  </si>
  <si>
    <t>MIL012</t>
  </si>
  <si>
    <t>MILLSTONE NUCLEAR POWER STA</t>
  </si>
  <si>
    <t>MILLSTONE POINT #2</t>
  </si>
  <si>
    <t>MILLSTONE POWER STATION</t>
  </si>
  <si>
    <t>MIL002</t>
  </si>
  <si>
    <t>MILTON PRODUCTION PLANT</t>
  </si>
  <si>
    <t>MIN008</t>
  </si>
  <si>
    <t>MINNESOTA METHANE LLC</t>
  </si>
  <si>
    <t>MIN006</t>
  </si>
  <si>
    <t>MINNKOTA POWER COOPERATIVE</t>
  </si>
  <si>
    <t>MIN010</t>
  </si>
  <si>
    <t>MINT FARM ENERGY CENTER</t>
  </si>
  <si>
    <t>MIR003</t>
  </si>
  <si>
    <t>MIRANT ZEELAND LLC</t>
  </si>
  <si>
    <t>MIS001</t>
  </si>
  <si>
    <t>MISSISYSTEMS, INC</t>
  </si>
  <si>
    <t>MIS009</t>
  </si>
  <si>
    <t>MISSOURI-KANSAS SUPPLY CO INC</t>
  </si>
  <si>
    <t>MIT004</t>
  </si>
  <si>
    <t>MITCHELL GENERATING STATION  (WV)</t>
  </si>
  <si>
    <t>MITCHELL GENERATING STATION (WV)</t>
  </si>
  <si>
    <t>MIT001</t>
  </si>
  <si>
    <t>MITCHELL PLANT (GA)</t>
  </si>
  <si>
    <t>MITCHELL PLANT (WV)</t>
  </si>
  <si>
    <t>MITCHELL PLANT(WV)</t>
  </si>
  <si>
    <t>MIT003</t>
  </si>
  <si>
    <t>MITCHELL STATION (PA)</t>
  </si>
  <si>
    <t>MIT005</t>
  </si>
  <si>
    <t>MITSUBISHI POLYESTER FILM INC</t>
  </si>
  <si>
    <t>MITSUBISHI POLYESTER FILM LLC</t>
  </si>
  <si>
    <t>MLM002</t>
  </si>
  <si>
    <t>MLM INDUSTRIES, INC.</t>
  </si>
  <si>
    <t>MOB004</t>
  </si>
  <si>
    <t>MOBILE ENERGY SERVICES CO LLC</t>
  </si>
  <si>
    <t>MOH001</t>
  </si>
  <si>
    <t>MOHAVE GENERATING STATION</t>
  </si>
  <si>
    <t>MOHAVE STATION</t>
  </si>
  <si>
    <t>MOJ001</t>
  </si>
  <si>
    <t>MOJAVE COGEN</t>
  </si>
  <si>
    <t>MOJ002</t>
  </si>
  <si>
    <t>MOJAVE SOLAR</t>
  </si>
  <si>
    <t>MOM001</t>
  </si>
  <si>
    <t>MOMENTIVE - TEXAS CITY</t>
  </si>
  <si>
    <t>MONACA PLANT</t>
  </si>
  <si>
    <t>MON007</t>
  </si>
  <si>
    <t>MONARCH WELDING &amp; ENGINEERING, INC</t>
  </si>
  <si>
    <t>MON005</t>
  </si>
  <si>
    <t>MONROE POWER PLANT</t>
  </si>
  <si>
    <t>MONROE POWER PLANT (MI)</t>
  </si>
  <si>
    <t>MONROE STATION (MI)</t>
  </si>
  <si>
    <t>MON024</t>
  </si>
  <si>
    <t>MONSANTO - SODA SPRINGS</t>
  </si>
  <si>
    <t>MON004</t>
  </si>
  <si>
    <t>MONSANTO COMPANY - LULING CHEM</t>
  </si>
  <si>
    <t>MONT BELVIEU PLASTICS PLANT</t>
  </si>
  <si>
    <t>MON003</t>
  </si>
  <si>
    <t>MONTAUK ENERGY CAPITAL</t>
  </si>
  <si>
    <t>BAY011</t>
  </si>
  <si>
    <t>MONTENAY BAY LLC</t>
  </si>
  <si>
    <t>MON012</t>
  </si>
  <si>
    <t>MONTENAY PACIFIC POWER</t>
  </si>
  <si>
    <t>MONTENAY PACIFIC POWER CORP</t>
  </si>
  <si>
    <t>MONTENAY POWER CORP</t>
  </si>
  <si>
    <t>MONTENAY STATION</t>
  </si>
  <si>
    <t>MON010</t>
  </si>
  <si>
    <t>MONTENAY YORK RESOURCE ENERGY</t>
  </si>
  <si>
    <t>MON016</t>
  </si>
  <si>
    <t>MONTGOMERY COUNTY RESOURCE REC</t>
  </si>
  <si>
    <t>MONTGOMERY COUNTY RESOURCE RECOVERY</t>
  </si>
  <si>
    <t>MONTICELLO GENERATING STATION (TX)</t>
  </si>
  <si>
    <t>MON018</t>
  </si>
  <si>
    <t>MONTICELLO NUCLEAR PLANT</t>
  </si>
  <si>
    <t>MONTICELLO NUCLEAR PLANT (MN)</t>
  </si>
  <si>
    <t>MONTICELLO PLANT (TX)</t>
  </si>
  <si>
    <t>MON019</t>
  </si>
  <si>
    <t>MONTOUR STATION</t>
  </si>
  <si>
    <t>MON021</t>
  </si>
  <si>
    <t>MONTROSE STATION</t>
  </si>
  <si>
    <t>MON022</t>
  </si>
  <si>
    <t>MONTVILLE STATION</t>
  </si>
  <si>
    <t>MOR001</t>
  </si>
  <si>
    <t>MORGAN ENERGY CENTER</t>
  </si>
  <si>
    <t>MOR005</t>
  </si>
  <si>
    <t>MORGANTOWN STATION (MD)</t>
  </si>
  <si>
    <t>MOR006</t>
  </si>
  <si>
    <t>MORGANTOWN STATION (WV)</t>
  </si>
  <si>
    <t>MOR009</t>
  </si>
  <si>
    <t>MORROW STATION</t>
  </si>
  <si>
    <t>MOS001</t>
  </si>
  <si>
    <t>MOSELLE GENERATING STATION</t>
  </si>
  <si>
    <t>MOS002</t>
  </si>
  <si>
    <t>MOSS LANDING PLANT</t>
  </si>
  <si>
    <t>MOSS LANDING POWER PLANT</t>
  </si>
  <si>
    <t>MOT003</t>
  </si>
  <si>
    <t>MOTION INDUSTRIES INC</t>
  </si>
  <si>
    <t>MOT002</t>
  </si>
  <si>
    <t>MOTIVA ENTERPRISES (TX)</t>
  </si>
  <si>
    <t>MOT004</t>
  </si>
  <si>
    <t>MOTIVA ENTERPRISES LLC</t>
  </si>
  <si>
    <t>MOT001</t>
  </si>
  <si>
    <t>MOU001</t>
  </si>
  <si>
    <t>MOUNT CARMEL STATION</t>
  </si>
  <si>
    <t>MOU004</t>
  </si>
  <si>
    <t>MOUNT STORM POWER STATION</t>
  </si>
  <si>
    <t>MOU005</t>
  </si>
  <si>
    <t>MOUNT TOM GENERATING CO LLC</t>
  </si>
  <si>
    <t>MOUNT TOM STATION</t>
  </si>
  <si>
    <t>MOU006</t>
  </si>
  <si>
    <t>MOUNTAIN CREEK STATION</t>
  </si>
  <si>
    <t>MOU007</t>
  </si>
  <si>
    <t>MOUNTAIN SERVICE &amp; SUPPLY INC</t>
  </si>
  <si>
    <t>MOU002</t>
  </si>
  <si>
    <t>MOUNTAIN VIEW GENERATING STATION</t>
  </si>
  <si>
    <t>MOU008</t>
  </si>
  <si>
    <t>MOUNTAINEER PLANT</t>
  </si>
  <si>
    <t>MOUNTAINVIEW GENERATING STATION</t>
  </si>
  <si>
    <t>MPW001</t>
  </si>
  <si>
    <t>MPW INDUSTRIAL SERVICE INC</t>
  </si>
  <si>
    <t>MPW INDUSTRIAL SERVICES</t>
  </si>
  <si>
    <t>MTP001</t>
  </si>
  <si>
    <t>MT. POSO COGENERATION</t>
  </si>
  <si>
    <t>MUL001</t>
  </si>
  <si>
    <t>MULLERGREN STATION</t>
  </si>
  <si>
    <t>MUL004</t>
  </si>
  <si>
    <t>MULTILINE TECHNICAL CO W.L.L.</t>
  </si>
  <si>
    <t>PIT009</t>
  </si>
  <si>
    <t>MULTITRADE OF PITTSYLVANIA COUNTY LP</t>
  </si>
  <si>
    <t>MUL002</t>
  </si>
  <si>
    <t>MULTITRADE RABUN GAP</t>
  </si>
  <si>
    <t>MUNOO3</t>
  </si>
  <si>
    <t>MUN SIONG ENGINEERING PTE LTD</t>
  </si>
  <si>
    <t>MUN001</t>
  </si>
  <si>
    <t>MUNROE INC</t>
  </si>
  <si>
    <t>MUR003</t>
  </si>
  <si>
    <t>MURRAY ENERGY FACILITY</t>
  </si>
  <si>
    <t>MUR002</t>
  </si>
  <si>
    <t>MURRAY GILL STATION</t>
  </si>
  <si>
    <t>MURRAY PLANT (GA)</t>
  </si>
  <si>
    <t>MUSCATINE - LINDE</t>
  </si>
  <si>
    <t>MUS001</t>
  </si>
  <si>
    <t>MUSCATINE GENERATING STATION</t>
  </si>
  <si>
    <t>MUSCATINE GENERATION STATION</t>
  </si>
  <si>
    <t>MUS002</t>
  </si>
  <si>
    <t>MUSCATINE POWER &amp; WATER</t>
  </si>
  <si>
    <t>MUS005</t>
  </si>
  <si>
    <t>MUSKINGUM RIVER PLANT</t>
  </si>
  <si>
    <t>MUS008</t>
  </si>
  <si>
    <t>MUSKOGEE MILL</t>
  </si>
  <si>
    <t>MUS006</t>
  </si>
  <si>
    <t>MUSKOGEE PLANT</t>
  </si>
  <si>
    <t>MUSKOGEE POWER PLANT</t>
  </si>
  <si>
    <t>MUS007</t>
  </si>
  <si>
    <t>MUSTANG PLANT</t>
  </si>
  <si>
    <t>MYO001</t>
  </si>
  <si>
    <t>MYOCO PIPELINE EQUIPMENT CO</t>
  </si>
  <si>
    <t>MYR001</t>
  </si>
  <si>
    <t>MYRTLE SPRINGS CONDENSATE PLANT</t>
  </si>
  <si>
    <t>NAES MID-CONN INC</t>
  </si>
  <si>
    <t>NAL001</t>
  </si>
  <si>
    <t>NALCO CHEMICAL COMPANY</t>
  </si>
  <si>
    <t>NALCO COMPANY</t>
  </si>
  <si>
    <t>NAN001</t>
  </si>
  <si>
    <t>NANTICOKE GENERATING STATION</t>
  </si>
  <si>
    <t>NAP002</t>
  </si>
  <si>
    <t>NAPLES INSTRUMENTS, INC.</t>
  </si>
  <si>
    <t>NAS002</t>
  </si>
  <si>
    <t>NASSAU ENERGY COGEN PLANT</t>
  </si>
  <si>
    <t>NAT001</t>
  </si>
  <si>
    <t>NATIONAL COOPERATIVE REFINERY ASSOCIATION</t>
  </si>
  <si>
    <t>NAT014</t>
  </si>
  <si>
    <t>NATIONAL GRID - ALBANY</t>
  </si>
  <si>
    <t>NAT013</t>
  </si>
  <si>
    <t>NATIONAL HEAT EXCHANGE CLEANING CORP</t>
  </si>
  <si>
    <t>NATIONAL HEAT EXCHANGE CLEANING CORPORATION</t>
  </si>
  <si>
    <t>NAT010</t>
  </si>
  <si>
    <t>NATIONAL THERMAL PWR CORP LTD</t>
  </si>
  <si>
    <t>NAT011</t>
  </si>
  <si>
    <t>NATIONAL TUBE DRILLING</t>
  </si>
  <si>
    <t>NAU001</t>
  </si>
  <si>
    <t>NAUGHTON PLANT</t>
  </si>
  <si>
    <t>NAV001</t>
  </si>
  <si>
    <t>NAVAJO GENERATING STATION</t>
  </si>
  <si>
    <t>NAV003</t>
  </si>
  <si>
    <t>NAVAL SURFACE WARFARE CENTER</t>
  </si>
  <si>
    <t>NDE001</t>
  </si>
  <si>
    <t>NDE TECHNOLOGY</t>
  </si>
  <si>
    <t>NEA002</t>
  </si>
  <si>
    <t>NEARMAN CREEK STATION</t>
  </si>
  <si>
    <t>NEB002</t>
  </si>
  <si>
    <t>NEBO POWER STATION</t>
  </si>
  <si>
    <t>NEB001</t>
  </si>
  <si>
    <t>NEBRASKA CITY STATION</t>
  </si>
  <si>
    <t>NEE001</t>
  </si>
  <si>
    <t>NEENAH PAPER MICHIGAN, INC.</t>
  </si>
  <si>
    <t>NEI001</t>
  </si>
  <si>
    <t>NEIL SIMPSON PLANT</t>
  </si>
  <si>
    <t>NEIL SIMPSON POWER PLANT (WYODAK ENERGY CENTER)</t>
  </si>
  <si>
    <t>NEIL SIMPSON STATION</t>
  </si>
  <si>
    <t>NEL002</t>
  </si>
  <si>
    <t>NELSON PLANT</t>
  </si>
  <si>
    <t>NELSON PLANT #6</t>
  </si>
  <si>
    <t>NELSON PLANT (LA)</t>
  </si>
  <si>
    <t>NEV003</t>
  </si>
  <si>
    <t>NEVADA SOLAR ONE</t>
  </si>
  <si>
    <t>NEW002</t>
  </si>
  <si>
    <t>NEW BRUNSWICK POWER CORP</t>
  </si>
  <si>
    <t>NEW003</t>
  </si>
  <si>
    <t>NEW CASTLE GENERATING STATION</t>
  </si>
  <si>
    <t>NEW CASTLE PLANT</t>
  </si>
  <si>
    <t>NEW CASTLE STATION</t>
  </si>
  <si>
    <t>NEW008</t>
  </si>
  <si>
    <t>NEW HAVEN HARBOR STATION</t>
  </si>
  <si>
    <t>NEW010</t>
  </si>
  <si>
    <t>NEW MADRID POWER PLANT</t>
  </si>
  <si>
    <t>NEW027</t>
  </si>
  <si>
    <t>NEW PAGE CORPORATION</t>
  </si>
  <si>
    <t>NEW025</t>
  </si>
  <si>
    <t>NEWARK BAY COGENERATION L P</t>
  </si>
  <si>
    <t>NEW001</t>
  </si>
  <si>
    <t>NEWARK ENERGY CENTER</t>
  </si>
  <si>
    <t>NEW004</t>
  </si>
  <si>
    <t>NEWINGTON ENERGY LLC</t>
  </si>
  <si>
    <t>NEW019</t>
  </si>
  <si>
    <t>NEWINGTON STATION</t>
  </si>
  <si>
    <t>NEWMARK GRUBB KNIGHT FRANK</t>
  </si>
  <si>
    <t>NEW023</t>
  </si>
  <si>
    <t>NEWPORT NEWS SHIPBUILDING</t>
  </si>
  <si>
    <t>NEX001</t>
  </si>
  <si>
    <t>NEXXO S A</t>
  </si>
  <si>
    <t>NEXXO S.A.</t>
  </si>
  <si>
    <t>NIA004</t>
  </si>
  <si>
    <t>NIAGARA FALLS (COVANTA) LP</t>
  </si>
  <si>
    <t>NIAGARA STATION</t>
  </si>
  <si>
    <t>NIL001</t>
  </si>
  <si>
    <t>NILES PLANT</t>
  </si>
  <si>
    <t>NIN002</t>
  </si>
  <si>
    <t>NINE MILE POINT #1 (NY)</t>
  </si>
  <si>
    <t>NINE MILE POINT #2 (NY)</t>
  </si>
  <si>
    <t>NIN003</t>
  </si>
  <si>
    <t>NINEMILE POINT PLANT</t>
  </si>
  <si>
    <t>NINEMILE POINT PLANT (LA)</t>
  </si>
  <si>
    <t>NIT002</t>
  </si>
  <si>
    <t>NITROCISION LLC</t>
  </si>
  <si>
    <t>Nitrocision, LLC</t>
  </si>
  <si>
    <t>NIT001</t>
  </si>
  <si>
    <t>NITROGENO DE CANTARELL</t>
  </si>
  <si>
    <t>NIX001</t>
  </si>
  <si>
    <t>NIXON ELECTRIC POWER PLANT</t>
  </si>
  <si>
    <t>NOI001</t>
  </si>
  <si>
    <t>NO INDIANA PUBLIC SERVICE CO</t>
  </si>
  <si>
    <t>NOB001</t>
  </si>
  <si>
    <t>NOBLESVILLE GENERATING STATION</t>
  </si>
  <si>
    <t>NOR009</t>
  </si>
  <si>
    <t>NORANDA ALUMINA</t>
  </si>
  <si>
    <t>NOR003</t>
  </si>
  <si>
    <t>NORFOLK NAVAL SHIPYARD</t>
  </si>
  <si>
    <t>NOR001</t>
  </si>
  <si>
    <t>NORIS</t>
  </si>
  <si>
    <t>NOR004</t>
  </si>
  <si>
    <t>NORTH AMERICAN SALT-LYONS, KS</t>
  </si>
  <si>
    <t>NOR006</t>
  </si>
  <si>
    <t>NORTH ANDOVER RESCO</t>
  </si>
  <si>
    <t>NOR007</t>
  </si>
  <si>
    <t>NORTH ANNA STATION</t>
  </si>
  <si>
    <t>NOR017</t>
  </si>
  <si>
    <t>NORTH OMAHA STATION</t>
  </si>
  <si>
    <t>NOR022</t>
  </si>
  <si>
    <t>NORTH VALMY STATION</t>
  </si>
  <si>
    <t>NOR023</t>
  </si>
  <si>
    <t>NORTHAMPTON GENERATING CO L P</t>
  </si>
  <si>
    <t>NOR024</t>
  </si>
  <si>
    <t>NORTHEAST PIPE &amp; IRON INC</t>
  </si>
  <si>
    <t>NOR025</t>
  </si>
  <si>
    <t>NORTHEAST PLANT</t>
  </si>
  <si>
    <t>NORTHEAST PLANT (MN)</t>
  </si>
  <si>
    <t>NOR040</t>
  </si>
  <si>
    <t>NORTHEAST STATION (MI)</t>
  </si>
  <si>
    <t>NOR027</t>
  </si>
  <si>
    <t>NORTHEAST STATION 1 &amp; 2</t>
  </si>
  <si>
    <t>NOR028</t>
  </si>
  <si>
    <t>NORTHEAST STATION 3 &amp; 4</t>
  </si>
  <si>
    <t>NORTHEASTERN STATION 1 &amp; 2</t>
  </si>
  <si>
    <t>NOR031</t>
  </si>
  <si>
    <t>NORTHERN ILLINOIS UNIVERSITY</t>
  </si>
  <si>
    <t>NORTHERN PLANT SERVICESS</t>
  </si>
  <si>
    <t>NOR033</t>
  </si>
  <si>
    <t>NORTHPORT GENERATING  STATION</t>
  </si>
  <si>
    <t>NORTHPORT POWER STATION</t>
  </si>
  <si>
    <t>NORTHPORT STATION</t>
  </si>
  <si>
    <t>NOR034</t>
  </si>
  <si>
    <t>NORTHSHORE MINING COMPANY</t>
  </si>
  <si>
    <t>NOR035</t>
  </si>
  <si>
    <t>NORTHSIDE STATION</t>
  </si>
  <si>
    <t>NOR036</t>
  </si>
  <si>
    <t>NORTHUMBERLAND STATION</t>
  </si>
  <si>
    <t>NOR039</t>
  </si>
  <si>
    <t>NORWALK HARBOR STATION</t>
  </si>
  <si>
    <t>NOV001</t>
  </si>
  <si>
    <t>NOVA SCOTIA INC</t>
  </si>
  <si>
    <t>NOVA SCOTIA POWER, INC</t>
  </si>
  <si>
    <t>SAI003</t>
  </si>
  <si>
    <t>NTPC/KUDGI</t>
  </si>
  <si>
    <t>NUC001</t>
  </si>
  <si>
    <t>NUCLA STATION</t>
  </si>
  <si>
    <t>PCS003</t>
  </si>
  <si>
    <t>NUTRIEN - GEISMAR</t>
  </si>
  <si>
    <t>NUTRIEN - GEISMAR (PCS)</t>
  </si>
  <si>
    <t>OAK001</t>
  </si>
  <si>
    <t>OAK CREEK PLANT (WI)</t>
  </si>
  <si>
    <t>OAK CREEK POWER PLANT</t>
  </si>
  <si>
    <t>OAK002</t>
  </si>
  <si>
    <t>OAK GROVE</t>
  </si>
  <si>
    <t>OAK GROVE MANAGEMENT CO LLC</t>
  </si>
  <si>
    <t>OAK POINT - CHEVRON ORONITE COMPANY LLC</t>
  </si>
  <si>
    <t>OCE004</t>
  </si>
  <si>
    <t>OCEAN PEAKING POWER L P</t>
  </si>
  <si>
    <t>OCE001</t>
  </si>
  <si>
    <t>OCEAN STATE POWER</t>
  </si>
  <si>
    <t>OCO001</t>
  </si>
  <si>
    <t>OCONEE NUCLEAR GENERATING STATION</t>
  </si>
  <si>
    <t>OCONEE NUCLEAR STATION</t>
  </si>
  <si>
    <t>OCO003</t>
  </si>
  <si>
    <t>O'CONNELL JETTING SYSTEMS</t>
  </si>
  <si>
    <t>OCO002</t>
  </si>
  <si>
    <t>OCOTILLO POWER PLANT</t>
  </si>
  <si>
    <t>OHI003</t>
  </si>
  <si>
    <t>OHIO STATE UNIVERSITY</t>
  </si>
  <si>
    <t>OHI004</t>
  </si>
  <si>
    <t>OHIO VALLEY GENERAL HOSPITAL</t>
  </si>
  <si>
    <t>OHM001</t>
  </si>
  <si>
    <t>OHMSTEDE INC</t>
  </si>
  <si>
    <t>OIL003</t>
  </si>
  <si>
    <t>OILSEEDS FAYETTEVILLE REFINING PLANT</t>
  </si>
  <si>
    <t>OIL002</t>
  </si>
  <si>
    <t>OILSOURCE, INC.</t>
  </si>
  <si>
    <t>OKL004</t>
  </si>
  <si>
    <t>OKLAUNION POWER STATION</t>
  </si>
  <si>
    <t>OLI033</t>
  </si>
  <si>
    <t>OLIN - ST GABRIEL</t>
  </si>
  <si>
    <t>OLI001</t>
  </si>
  <si>
    <t>OLIN BLUE CUBE</t>
  </si>
  <si>
    <t>OLIN BLUE CUBE - FREEPORT</t>
  </si>
  <si>
    <t>OLI002</t>
  </si>
  <si>
    <t>OLIN BLUE CUBE - LAO PLAQUEMINE</t>
  </si>
  <si>
    <t>OLIN BLUE CUBE OPERATIONS LAO - PLAQUEMINE</t>
  </si>
  <si>
    <t>OLM001</t>
  </si>
  <si>
    <t>OLMSTED WASTE TO ENERGY</t>
  </si>
  <si>
    <t>OMN001</t>
  </si>
  <si>
    <t>OMNOVA SOLUTIONS INC</t>
  </si>
  <si>
    <t>ONE001</t>
  </si>
  <si>
    <t>ONEOK HYDROCARBON SW LLC</t>
  </si>
  <si>
    <t>ONT001</t>
  </si>
  <si>
    <t>ONTARIO POWER GENERATION INC</t>
  </si>
  <si>
    <t>ONTELAUNEE ENERGY CENTER</t>
  </si>
  <si>
    <t>ONY002</t>
  </si>
  <si>
    <t>ONYX ENVIRONMENTAL SERVICES</t>
  </si>
  <si>
    <t>ONY005</t>
  </si>
  <si>
    <t>ONYX ENVIRONMENTAL SERVICES (CA)</t>
  </si>
  <si>
    <t>ONY004</t>
  </si>
  <si>
    <t>ONYX INDUSTRIAL - BATON ROUGE</t>
  </si>
  <si>
    <t>ONY006</t>
  </si>
  <si>
    <t>ONYX INDUSTRIAL SERVICES</t>
  </si>
  <si>
    <t>ONY003</t>
  </si>
  <si>
    <t>ONYX INDUSTRIAL SERVICES LTD</t>
  </si>
  <si>
    <t>ONY001</t>
  </si>
  <si>
    <t>ONYX PORT ARTHUR MANUFACTURING</t>
  </si>
  <si>
    <t>PUE002</t>
  </si>
  <si>
    <t>OPERADORA SAN FELIPE LP</t>
  </si>
  <si>
    <t>OPT001</t>
  </si>
  <si>
    <t>OPTCO</t>
  </si>
  <si>
    <t>ORA002</t>
  </si>
  <si>
    <t>ORANGE COGENERATION FACILITY</t>
  </si>
  <si>
    <t>ORF001</t>
  </si>
  <si>
    <t>ORGANIC FUELS LTD</t>
  </si>
  <si>
    <t>ORGANICFUELS</t>
  </si>
  <si>
    <t>ORL001</t>
  </si>
  <si>
    <t>ORLANDO COGEN LIMITED</t>
  </si>
  <si>
    <t>ORLANDO COGEN LIMITED L P</t>
  </si>
  <si>
    <t>ORM002</t>
  </si>
  <si>
    <t>ORMESA GEOTHERMAL PLANTS l, ll, lE &amp; lH</t>
  </si>
  <si>
    <t>ORM001</t>
  </si>
  <si>
    <t>ORMOND BEACH STATION</t>
  </si>
  <si>
    <t>PER010</t>
  </si>
  <si>
    <t>ORRVILLE POWER PLANT</t>
  </si>
  <si>
    <t>OSA001</t>
  </si>
  <si>
    <t>OSAGE PLANT</t>
  </si>
  <si>
    <t>OSAGE POWER PLANT</t>
  </si>
  <si>
    <t>OSP001</t>
  </si>
  <si>
    <t>OSPREY ENERGY CENTER</t>
  </si>
  <si>
    <t>OSW002</t>
  </si>
  <si>
    <t>OSWALD GENERATING STATION</t>
  </si>
  <si>
    <t>OSW001</t>
  </si>
  <si>
    <t>OSWEGO GENERATING STATION</t>
  </si>
  <si>
    <t>OTA001</t>
  </si>
  <si>
    <t>OTAY MES ENERGY CENTER</t>
  </si>
  <si>
    <t>OTAY MESA ENERGY CENTER</t>
  </si>
  <si>
    <t>OTAY MESA ENERGY CENTER LLC</t>
  </si>
  <si>
    <t>OTT005</t>
  </si>
  <si>
    <t>OTTUMWA STATION</t>
  </si>
  <si>
    <t>QUC001</t>
  </si>
  <si>
    <t>OUACHITA POWER LLC</t>
  </si>
  <si>
    <t>OVE002</t>
  </si>
  <si>
    <t>OVERLAND CONTRACTING INC</t>
  </si>
  <si>
    <t>OVE001</t>
  </si>
  <si>
    <t>OVERSEAS OIL FIELD EQP &amp; SVS</t>
  </si>
  <si>
    <t>OXE001</t>
  </si>
  <si>
    <t>OXEA CHEMICAL, LLC</t>
  </si>
  <si>
    <t>OXI001</t>
  </si>
  <si>
    <t>OXID L P</t>
  </si>
  <si>
    <t>OXY0033</t>
  </si>
  <si>
    <t>OXYCHEM - GEISMAR</t>
  </si>
  <si>
    <t>OYS001</t>
  </si>
  <si>
    <t>OYSTER CREEK NUCLEAR GENERATING STATION</t>
  </si>
  <si>
    <t>OYSTER CREEK NUCLEAR STATION</t>
  </si>
  <si>
    <t>PHR001</t>
  </si>
  <si>
    <t>P H ROBINSON STATION (TX)</t>
  </si>
  <si>
    <t>PAC006</t>
  </si>
  <si>
    <t>PACIFIC MECHANICAL SUPPLY</t>
  </si>
  <si>
    <t>PAC001</t>
  </si>
  <si>
    <t>PACIFIC STAR CORPORATION</t>
  </si>
  <si>
    <t>PAE APPLIED TECHNOLOGIES LLC</t>
  </si>
  <si>
    <t>PAI002</t>
  </si>
  <si>
    <t>PAINESVILLE STATION</t>
  </si>
  <si>
    <t>SEM004</t>
  </si>
  <si>
    <t>PALATKA STATION</t>
  </si>
  <si>
    <t>PAL002</t>
  </si>
  <si>
    <t>PALISADES GENERATING PLANT</t>
  </si>
  <si>
    <t>PALISADES GENERATING STATION</t>
  </si>
  <si>
    <t>PALISADES NUCLEAR PLANT</t>
  </si>
  <si>
    <t>PAL004</t>
  </si>
  <si>
    <t>PALM BEACH RESOURCE RECOVERY CORP</t>
  </si>
  <si>
    <t>PAL003</t>
  </si>
  <si>
    <t>PALO VERDE STATION</t>
  </si>
  <si>
    <t>PAN001</t>
  </si>
  <si>
    <t>PANDA LIBERTY LLC</t>
  </si>
  <si>
    <t>PAN002</t>
  </si>
  <si>
    <t>PANDA PATRIOT LLC</t>
  </si>
  <si>
    <t>PAN005</t>
  </si>
  <si>
    <t>PANTHER CREEK ENERGY FACILITY</t>
  </si>
  <si>
    <t>PAR002</t>
  </si>
  <si>
    <t>PARADISE FOSSIL PLANT</t>
  </si>
  <si>
    <t>PAR003</t>
  </si>
  <si>
    <t>PARAMOUNT SUPPLY CO</t>
  </si>
  <si>
    <t>PAR007</t>
  </si>
  <si>
    <t>PARISH STATION</t>
  </si>
  <si>
    <t>PAS006</t>
  </si>
  <si>
    <t>PASADENA PLANT(TX)</t>
  </si>
  <si>
    <t>PASADENA PLASTICS COMPLEX - CHEVRON PHILLIPS CHEMICAL COMPANY LL</t>
  </si>
  <si>
    <t>PASADENA REFINING SYSTEM INC</t>
  </si>
  <si>
    <t>PAS003</t>
  </si>
  <si>
    <t>PASADENA-PHILLIPS</t>
  </si>
  <si>
    <t>PAS004</t>
  </si>
  <si>
    <t>PASCAGOULA REFINERY</t>
  </si>
  <si>
    <t>PAS008</t>
  </si>
  <si>
    <t>PASCO COUNTY RESOURCE RECOVERY FACILITY</t>
  </si>
  <si>
    <t>PAS005</t>
  </si>
  <si>
    <t>PASSCO INC</t>
  </si>
  <si>
    <t>PAW001</t>
  </si>
  <si>
    <t>PAWNEE STATION</t>
  </si>
  <si>
    <t>PAYNE CREEK GENERATING STATION</t>
  </si>
  <si>
    <t>PAU002</t>
  </si>
  <si>
    <t>PBF ENERGY - PAULSBORO REFINERY</t>
  </si>
  <si>
    <t>PCS NITROGEN - GEISMAR PLANT</t>
  </si>
  <si>
    <t>PCS002</t>
  </si>
  <si>
    <t>PCS NITROGEN FERTILIZER LP- AUGUSTA PLANT</t>
  </si>
  <si>
    <t>PCS001</t>
  </si>
  <si>
    <t>PCS PHOSPHATE - WHITE SPRINGS</t>
  </si>
  <si>
    <t>PEA001</t>
  </si>
  <si>
    <t>PEACH BOTTOM STATION</t>
  </si>
  <si>
    <t>PED001</t>
  </si>
  <si>
    <t>PEDRICKTOWN COGENERATION LP</t>
  </si>
  <si>
    <t>PEDRICKTOWN COGENERATION PLANT</t>
  </si>
  <si>
    <t>PEL002</t>
  </si>
  <si>
    <t>PELLA POWER PLANT</t>
  </si>
  <si>
    <t>POW005</t>
  </si>
  <si>
    <t>PENAL POWER STATION</t>
  </si>
  <si>
    <t>PEN002</t>
  </si>
  <si>
    <t>PENOBSCOT ENERGY RECOVERY COMPANY</t>
  </si>
  <si>
    <t>PEN001</t>
  </si>
  <si>
    <t>PENTAGON HEATING &amp; REFRIGERATION PLANT</t>
  </si>
  <si>
    <t>PER012</t>
  </si>
  <si>
    <t>PERFORMANCE CONTRACTING INC</t>
  </si>
  <si>
    <t>PER002</t>
  </si>
  <si>
    <t>PERRY NUCLEAR PLANT (OH)</t>
  </si>
  <si>
    <t>PERRY STREET STATION</t>
  </si>
  <si>
    <t>PER011</t>
  </si>
  <si>
    <t>PERRYVILLE PLANT</t>
  </si>
  <si>
    <t>PER008</t>
  </si>
  <si>
    <t>PERU STATION (IN)</t>
  </si>
  <si>
    <t>PES001</t>
  </si>
  <si>
    <t>PESS - POWER ENGINEERING SERVICES &amp; SOLUTIONS SA DE CV</t>
  </si>
  <si>
    <t>PET001</t>
  </si>
  <si>
    <t>PETERSBURG GENERATING STATION</t>
  </si>
  <si>
    <t>PETERSBURG PLANT</t>
  </si>
  <si>
    <t>PET003</t>
  </si>
  <si>
    <t>PETERSBURG PLUMBING &amp; HEATING CO</t>
  </si>
  <si>
    <t>PET008</t>
  </si>
  <si>
    <t>PETROBRAS ARGENTINA S.A.</t>
  </si>
  <si>
    <t>PETROBRAS GENELBA</t>
  </si>
  <si>
    <t>PETROLOGISTICS HOUSTON</t>
  </si>
  <si>
    <t>PET005</t>
  </si>
  <si>
    <t>PETROMAX LTD</t>
  </si>
  <si>
    <t>LEE001</t>
  </si>
  <si>
    <t>PGN H F LEE PLANT (NC)</t>
  </si>
  <si>
    <t>PGN LEE PLANT</t>
  </si>
  <si>
    <t>PGN LEE PLANT (NC)</t>
  </si>
  <si>
    <t>PHI011</t>
  </si>
  <si>
    <t>PHILIP SERVICES/NORTH CENTRAL</t>
  </si>
  <si>
    <t>PHI005</t>
  </si>
  <si>
    <t>PHILIP SPORN PLANT</t>
  </si>
  <si>
    <t>PHILLIPS 66 - LAKE CHARLES REFINERY</t>
  </si>
  <si>
    <t>PHI012</t>
  </si>
  <si>
    <t>PHILLIPS 66  REFINERY - BELLE CHASSE</t>
  </si>
  <si>
    <t>PHI008</t>
  </si>
  <si>
    <t>PHILLIPS 66- FERNDALE REFINERY</t>
  </si>
  <si>
    <t>PHI007</t>
  </si>
  <si>
    <t>PHILLIPS 66-BORGER REFINERY</t>
  </si>
  <si>
    <t>PIC001</t>
  </si>
  <si>
    <t>PICKERING NUCLEAR STATION</t>
  </si>
  <si>
    <t>PIC002</t>
  </si>
  <si>
    <t>PICWAY STATION</t>
  </si>
  <si>
    <t>PIL001</t>
  </si>
  <si>
    <t>PILGRIM NUCLEAR STATION</t>
  </si>
  <si>
    <t>PIL002</t>
  </si>
  <si>
    <t>PILOT CHEMICAL</t>
  </si>
  <si>
    <t>PILOT CHEMICAL COMPANY</t>
  </si>
  <si>
    <t>PILOT CHEMICAL-HOUSTON</t>
  </si>
  <si>
    <t>PIN006</t>
  </si>
  <si>
    <t>PINE  HILL MILL PLANT</t>
  </si>
  <si>
    <t>PIN001</t>
  </si>
  <si>
    <t>PINE BLUFF ENERGY CENTER</t>
  </si>
  <si>
    <t>PIN002</t>
  </si>
  <si>
    <t>PINELAWN POWER FACILITY</t>
  </si>
  <si>
    <t>PINELAWN POWER PLANT</t>
  </si>
  <si>
    <t>PIN003</t>
  </si>
  <si>
    <t>PINELLAS ENERGY</t>
  </si>
  <si>
    <t>PINELLAS ENERGY COVANTA</t>
  </si>
  <si>
    <t>PINELLAS GCS ENERGY</t>
  </si>
  <si>
    <t>PIN004</t>
  </si>
  <si>
    <t>PINNACLE PARTS &amp; SERVICE CORP</t>
  </si>
  <si>
    <t>PIR001</t>
  </si>
  <si>
    <t>PIRKEY GENERATING STATION</t>
  </si>
  <si>
    <t>PIRKEY POWER PLANT</t>
  </si>
  <si>
    <t>PIT010</t>
  </si>
  <si>
    <t>PITO INVESTMENTS (PVT) LTD.</t>
  </si>
  <si>
    <t>PIT007</t>
  </si>
  <si>
    <t>PITTSBURGH INTERNATIONAL AIRPORT</t>
  </si>
  <si>
    <t>PIT003</t>
  </si>
  <si>
    <t>PITTSBURGH MARRIOT CITY CENTER</t>
  </si>
  <si>
    <t>PIT005</t>
  </si>
  <si>
    <t>PITTSBURGH THERMAL</t>
  </si>
  <si>
    <t>PITTSYLVANIA POWER STATION</t>
  </si>
  <si>
    <t>PLA004</t>
  </si>
  <si>
    <t>PLAINFIELD RENEWABLE ENERGY, LLC</t>
  </si>
  <si>
    <t>PLA015</t>
  </si>
  <si>
    <t>PLANT MAINTENANCE SERVICES</t>
  </si>
  <si>
    <t>PLA001</t>
  </si>
  <si>
    <t>PLANT RATCLIFFE</t>
  </si>
  <si>
    <t>PLAQUEMINE - DOW CHEMICAL CORPORATION</t>
  </si>
  <si>
    <t>PLAQUEMINE CHEMICALS - DOW CHEMICAL CORPORATION</t>
  </si>
  <si>
    <t>PLA002</t>
  </si>
  <si>
    <t>PLAQUEMINE DOW COGENERATION PLANT</t>
  </si>
  <si>
    <t>PLA011</t>
  </si>
  <si>
    <t>PLASTOCOR INC</t>
  </si>
  <si>
    <t>PLA014</t>
  </si>
  <si>
    <t>PLATTE GENERATING STATION</t>
  </si>
  <si>
    <t>RAW001</t>
  </si>
  <si>
    <t>PLATTE RIVER POWER AUTHORITY</t>
  </si>
  <si>
    <t>PLE001</t>
  </si>
  <si>
    <t>PLEASANT GAP - GRAYMONT INC</t>
  </si>
  <si>
    <t>PLE002</t>
  </si>
  <si>
    <t>PLEASANT PRAIRIE STATION</t>
  </si>
  <si>
    <t>PLI001</t>
  </si>
  <si>
    <t>PLIBRISA CONSTRUCCIONES S A DE C V</t>
  </si>
  <si>
    <t>PLIBRISA CONSTRUCCIONES SA DE CV</t>
  </si>
  <si>
    <t>PLY001</t>
  </si>
  <si>
    <t>PLYMOUTH TUBE COMPANY</t>
  </si>
  <si>
    <t>POI001</t>
  </si>
  <si>
    <t>POINT BEACH NUCLEAR PLANT</t>
  </si>
  <si>
    <t>POINT COMFORT FORMOSA PLANT</t>
  </si>
  <si>
    <t>POINT COMFORT OPERATIONS</t>
  </si>
  <si>
    <t>POINT COMFORT OPRATIONS</t>
  </si>
  <si>
    <t>POI003</t>
  </si>
  <si>
    <t>POINT LEPREAU GS</t>
  </si>
  <si>
    <t>POL002</t>
  </si>
  <si>
    <t>POLAR ICE HOUSE</t>
  </si>
  <si>
    <t>POL004</t>
  </si>
  <si>
    <t>POLOCHEMIE INC - SNF HOLDING COMPANY</t>
  </si>
  <si>
    <t>POL001</t>
  </si>
  <si>
    <t>POLY SERVICES INC.</t>
  </si>
  <si>
    <t>POLYCHEMIE  INC - SNF HOLDING COMPANY</t>
  </si>
  <si>
    <t>PON001</t>
  </si>
  <si>
    <t>PONCA CITY REFINERY</t>
  </si>
  <si>
    <t>POO002</t>
  </si>
  <si>
    <t>POONG SUNG INC</t>
  </si>
  <si>
    <t>POR002</t>
  </si>
  <si>
    <t>PORT ARTHUR REFINERY</t>
  </si>
  <si>
    <t>POR003</t>
  </si>
  <si>
    <t>PORT EVERGLADES PLANT</t>
  </si>
  <si>
    <t>PORT EVERGLADES STATION</t>
  </si>
  <si>
    <t>POW002</t>
  </si>
  <si>
    <t>PORT OF SPAIN POWER STATION</t>
  </si>
  <si>
    <t>PORT OF STOCKTON ENERGY FACILITY</t>
  </si>
  <si>
    <t>POR005</t>
  </si>
  <si>
    <t>PORT SAID EAST POWER|PowerTek Energy Sdn Bhd</t>
  </si>
  <si>
    <t>POR007</t>
  </si>
  <si>
    <t>PORT WASHINGTON STATION</t>
  </si>
  <si>
    <t>POR006</t>
  </si>
  <si>
    <t>PORT WENTWORTH MILL</t>
  </si>
  <si>
    <t>POR008</t>
  </si>
  <si>
    <t>PORT WESTWARD GENERATING PLANT</t>
  </si>
  <si>
    <t>POR009</t>
  </si>
  <si>
    <t>PORTAGE CURLING CLUB</t>
  </si>
  <si>
    <t>POR011</t>
  </si>
  <si>
    <t>PORTER-WALKER INC</t>
  </si>
  <si>
    <t>PORTER-WALKER LLC</t>
  </si>
  <si>
    <t>POR013</t>
  </si>
  <si>
    <t>PORTLAND POWER PLANT</t>
  </si>
  <si>
    <t>PORTLAND STATION</t>
  </si>
  <si>
    <t>POR015</t>
  </si>
  <si>
    <t>PORTSMOUTH NAVAL SHIPYARD</t>
  </si>
  <si>
    <t>POR014</t>
  </si>
  <si>
    <t>PORTSMOUTH STATION</t>
  </si>
  <si>
    <t>POS001</t>
  </si>
  <si>
    <t>POSSUM POINT POWER STATION</t>
  </si>
  <si>
    <t>POSSUM POINT STATION</t>
  </si>
  <si>
    <t>POSSUM POWER STATION</t>
  </si>
  <si>
    <t>PCC001</t>
  </si>
  <si>
    <t>POTASH CORPORATION</t>
  </si>
  <si>
    <t>POT004</t>
  </si>
  <si>
    <t>POTOMAC RIVER STATION</t>
  </si>
  <si>
    <t>POW014</t>
  </si>
  <si>
    <t>POWER EQUIPMENT MAINTENANCE</t>
  </si>
  <si>
    <t>POWER GEN OF TRINIDAD &amp; TOBAGO</t>
  </si>
  <si>
    <t>POW013</t>
  </si>
  <si>
    <t>POWER GENERATION SERVICE INC</t>
  </si>
  <si>
    <t>POW009</t>
  </si>
  <si>
    <t>POWER SMITH COGENERATION LLC</t>
  </si>
  <si>
    <t>POW015</t>
  </si>
  <si>
    <t>POWER SYSTEMS RECOVERY</t>
  </si>
  <si>
    <t>POW011</t>
  </si>
  <si>
    <t>POWERTON STATION</t>
  </si>
  <si>
    <t>PPG001</t>
  </si>
  <si>
    <t>PPG</t>
  </si>
  <si>
    <t>PPG007</t>
  </si>
  <si>
    <t>PPG INDUSTRIES INC</t>
  </si>
  <si>
    <t>PPG006</t>
  </si>
  <si>
    <t>PRA001</t>
  </si>
  <si>
    <t>PRAIRIE CREEK STATION</t>
  </si>
  <si>
    <t>PRA002</t>
  </si>
  <si>
    <t>PRAIRIE ISLAND NUCLEAR GENERATING PLANT</t>
  </si>
  <si>
    <t>PRAIRIE ISLAND NUCLEAR STATION</t>
  </si>
  <si>
    <t>PRAIRIE ISLAND STATION</t>
  </si>
  <si>
    <t>PRA003</t>
  </si>
  <si>
    <t>PRAIRIE STATE ENERGY CAMPUS</t>
  </si>
  <si>
    <t>PRAIRIE STATE GENERATING CO</t>
  </si>
  <si>
    <t>PRA009</t>
  </si>
  <si>
    <t>PRATTVILLE MILL POWER PLANT</t>
  </si>
  <si>
    <t>PRA006</t>
  </si>
  <si>
    <t>PRAXAIR - ASHTABULA</t>
  </si>
  <si>
    <t>PRA007</t>
  </si>
  <si>
    <t>PRAXAIR , INC.</t>
  </si>
  <si>
    <t>PRAXAIR INC.</t>
  </si>
  <si>
    <t>PRA008</t>
  </si>
  <si>
    <t>PRAXAIR INC.-SAYREVILLE</t>
  </si>
  <si>
    <t>PRA004</t>
  </si>
  <si>
    <t>PRAXAIR-CANTON</t>
  </si>
  <si>
    <t>PRE002</t>
  </si>
  <si>
    <t>PREFERRED MECHANICAL SERVICES</t>
  </si>
  <si>
    <t>PRE001</t>
  </si>
  <si>
    <t>PRESQUE ISLE POWER PLANT</t>
  </si>
  <si>
    <t>PRE003</t>
  </si>
  <si>
    <t>PRESTON (CT) POWER PLANT</t>
  </si>
  <si>
    <t>PRESTON STATION</t>
  </si>
  <si>
    <t>PRIMARY ENERGY COKENERGY LLC</t>
  </si>
  <si>
    <t>PRO010</t>
  </si>
  <si>
    <t>PRO SERVICES INC</t>
  </si>
  <si>
    <t>PRO002</t>
  </si>
  <si>
    <t>PROCTER AND GAMBLE - CINCINNATI</t>
  </si>
  <si>
    <t>PROCTER AND GAMBLE-CINCINNATI</t>
  </si>
  <si>
    <t>PRO009</t>
  </si>
  <si>
    <t>PROTECTALL</t>
  </si>
  <si>
    <t>PSB001</t>
  </si>
  <si>
    <t>PSB INDUSTRIES - PENNSYLVANIA</t>
  </si>
  <si>
    <t>PSC003</t>
  </si>
  <si>
    <t>PSC</t>
  </si>
  <si>
    <t>PSC002</t>
  </si>
  <si>
    <t>PSC OKLAHOMA INC</t>
  </si>
  <si>
    <t>PSE001</t>
  </si>
  <si>
    <t>PSEG NUCLEAR MATERIALS CENTER</t>
  </si>
  <si>
    <t>PUE003</t>
  </si>
  <si>
    <t>PUEBLO AIRPORT GENERATION STATION</t>
  </si>
  <si>
    <t>PUERTO PLATA ENRON PLANT</t>
  </si>
  <si>
    <t>PUERTO PLATA PLANT</t>
  </si>
  <si>
    <t>PUG002</t>
  </si>
  <si>
    <t>PUGET SOUND NAVAL SHIPYARD</t>
  </si>
  <si>
    <t>PUR002</t>
  </si>
  <si>
    <t>PURDOM GENERATING STATION</t>
  </si>
  <si>
    <t>PURDOM PLANT</t>
  </si>
  <si>
    <t>PUR001</t>
  </si>
  <si>
    <t>PURDUE UNIVERSITY</t>
  </si>
  <si>
    <t>PUT001</t>
  </si>
  <si>
    <t>PUTNAM STATION</t>
  </si>
  <si>
    <t>QCT001</t>
  </si>
  <si>
    <t>QCTL INC</t>
  </si>
  <si>
    <t>QUA001</t>
  </si>
  <si>
    <t>QUAD CITIES STATION</t>
  </si>
  <si>
    <t>QUA002</t>
  </si>
  <si>
    <t>QUATE INDUSTRIAL SERVICE, INC.</t>
  </si>
  <si>
    <t>QUI001</t>
  </si>
  <si>
    <t>QUICKSOURCE INC</t>
  </si>
  <si>
    <t>QUI003</t>
  </si>
  <si>
    <t>QUINDARO THREE STATION</t>
  </si>
  <si>
    <t>QUINDARO TWO STATION</t>
  </si>
  <si>
    <t>QUI004</t>
  </si>
  <si>
    <t>QUINTA RADDISON, INC.</t>
  </si>
  <si>
    <t>REB001</t>
  </si>
  <si>
    <t>R E BURGER PLANT</t>
  </si>
  <si>
    <t>RMP001</t>
  </si>
  <si>
    <t>R M PONTEROSSO S P A</t>
  </si>
  <si>
    <t>RMS001</t>
  </si>
  <si>
    <t>R M SCHAHFER STATION</t>
  </si>
  <si>
    <t>RPA001</t>
  </si>
  <si>
    <t>R PAUL SMITH POWER STATION (MD)</t>
  </si>
  <si>
    <t>R PAUL SMITH STATION (MD)</t>
  </si>
  <si>
    <t>RWM001</t>
  </si>
  <si>
    <t>R W MILLER PLANT (TX)</t>
  </si>
  <si>
    <t>RGB001</t>
  </si>
  <si>
    <t>R.G. BREWTON INC.</t>
  </si>
  <si>
    <t>RAD001</t>
  </si>
  <si>
    <t>RADFORD ARMY ARSENAL</t>
  </si>
  <si>
    <t>RAI001</t>
  </si>
  <si>
    <t>RAINEY GENERATING STATION</t>
  </si>
  <si>
    <t>WES026</t>
  </si>
  <si>
    <t>RAUSCH CREEK GENERATION LLC</t>
  </si>
  <si>
    <t>RAV001</t>
  </si>
  <si>
    <t>RAVENSWOOD STATION</t>
  </si>
  <si>
    <t>RAWHIDE ENERGY STATION</t>
  </si>
  <si>
    <t>RAY001</t>
  </si>
  <si>
    <t>RAY OLINGER POWER PLANT</t>
  </si>
  <si>
    <t>RD MORROW GENERATING PLANT</t>
  </si>
  <si>
    <t>REA001</t>
  </si>
  <si>
    <t>REAXIS</t>
  </si>
  <si>
    <t>REA002</t>
  </si>
  <si>
    <t>REAXIS - MCDONALD</t>
  </si>
  <si>
    <t>REC001</t>
  </si>
  <si>
    <t>RECOMESA</t>
  </si>
  <si>
    <t>RED004</t>
  </si>
  <si>
    <t>RED ARROW PRODUCTS COMPANY LLC</t>
  </si>
  <si>
    <t>RED006</t>
  </si>
  <si>
    <t>RED GOLD INC</t>
  </si>
  <si>
    <t>RED005</t>
  </si>
  <si>
    <t>RED HAWK POWER PLANT</t>
  </si>
  <si>
    <t>RED001</t>
  </si>
  <si>
    <t>RED HILLS POWER PLANT</t>
  </si>
  <si>
    <t>RED002</t>
  </si>
  <si>
    <t>RED OAK POWER LLC</t>
  </si>
  <si>
    <t>RED007</t>
  </si>
  <si>
    <t>REDBUD POWER PLANT</t>
  </si>
  <si>
    <t>RED003</t>
  </si>
  <si>
    <t>REDDING POWER PLANT</t>
  </si>
  <si>
    <t>REDHAWK GENERATING STATION</t>
  </si>
  <si>
    <t>REDHAWK POWER PLANT</t>
  </si>
  <si>
    <t>REE005</t>
  </si>
  <si>
    <t>REENERGY ASHLAND</t>
  </si>
  <si>
    <t>REE003</t>
  </si>
  <si>
    <t>REENERGY BLACK RIVER</t>
  </si>
  <si>
    <t>REE006</t>
  </si>
  <si>
    <t>REENERGY FORT FAIRFIELD</t>
  </si>
  <si>
    <t>REN001</t>
  </si>
  <si>
    <t>REENERGY STRATTON</t>
  </si>
  <si>
    <t>REE002</t>
  </si>
  <si>
    <t>REEVES GENERATING STATION</t>
  </si>
  <si>
    <t>REF002</t>
  </si>
  <si>
    <t>REFINERIA ISLA CURACAO</t>
  </si>
  <si>
    <t>REG002</t>
  </si>
  <si>
    <t>REGENCO LLC</t>
  </si>
  <si>
    <t>REG003</t>
  </si>
  <si>
    <t>REGENT ELECTRO-MECH PVT LDT</t>
  </si>
  <si>
    <t>REI001</t>
  </si>
  <si>
    <t>REID GARDNER STATION</t>
  </si>
  <si>
    <t>REL005</t>
  </si>
  <si>
    <t>RELIANCE MECHANICAL SERVICES CORP</t>
  </si>
  <si>
    <t>REM001</t>
  </si>
  <si>
    <t>REMCO EQUIPMENT &amp; SUPPLY INC</t>
  </si>
  <si>
    <t>REN003</t>
  </si>
  <si>
    <t>RENSSELAER COGENERATION PLANT</t>
  </si>
  <si>
    <t>REP001</t>
  </si>
  <si>
    <t>REPCON INC</t>
  </si>
  <si>
    <t>RES002</t>
  </si>
  <si>
    <t>RESEARCH &amp; DEV SOLUTIONS LLC</t>
  </si>
  <si>
    <t>RES001</t>
  </si>
  <si>
    <t>RESEARCH AND TESTING LAB</t>
  </si>
  <si>
    <t>RET001</t>
  </si>
  <si>
    <t>RETUBECO INC</t>
  </si>
  <si>
    <t>REV001</t>
  </si>
  <si>
    <t>REVELL SUPPLY GROUP</t>
  </si>
  <si>
    <t>REX001</t>
  </si>
  <si>
    <t>REX BROWN PLANT</t>
  </si>
  <si>
    <t>RHO003</t>
  </si>
  <si>
    <t>RHODE ISLAND ENERGY CENTER</t>
  </si>
  <si>
    <t>RHO006</t>
  </si>
  <si>
    <t>RHODE ISLAND LFG GENCO LLC</t>
  </si>
  <si>
    <t>RHO004</t>
  </si>
  <si>
    <t>RHODIA INC.</t>
  </si>
  <si>
    <t>RHO001</t>
  </si>
  <si>
    <t>RHODIA-BAYTOWN</t>
  </si>
  <si>
    <t>RID001</t>
  </si>
  <si>
    <t>RIDLEY INC</t>
  </si>
  <si>
    <t>RIDLEY INC.</t>
  </si>
  <si>
    <t>AME001</t>
  </si>
  <si>
    <t>RIFLE GENERATING STATION</t>
  </si>
  <si>
    <t>RIG002</t>
  </si>
  <si>
    <t>RIGGS DISTLER &amp; COMPANY INC</t>
  </si>
  <si>
    <t>RIH001</t>
  </si>
  <si>
    <t>RIHAND SUPER THERMAL PWR PROJ</t>
  </si>
  <si>
    <t>RIN001</t>
  </si>
  <si>
    <t>RINECO CHEMICAL INDUSTRIES, INC.</t>
  </si>
  <si>
    <t>RIO001</t>
  </si>
  <si>
    <t>RIO BRAVO JASMIN</t>
  </si>
  <si>
    <t>RIO BRAVO JASMIN POWER PLANT</t>
  </si>
  <si>
    <t>RIO005</t>
  </si>
  <si>
    <t>RIO NOGALES POWER PROJECT</t>
  </si>
  <si>
    <t>RIO NOGALES POWER PROJECT L P</t>
  </si>
  <si>
    <t>RIT002</t>
  </si>
  <si>
    <t>RITE AID DRUGS</t>
  </si>
  <si>
    <t>RIV001</t>
  </si>
  <si>
    <t>RIVER BEND STATION</t>
  </si>
  <si>
    <t>RIV003</t>
  </si>
  <si>
    <t>RIVER ROAD PLANT</t>
  </si>
  <si>
    <t>RIVER ROAD POWER PLANT</t>
  </si>
  <si>
    <t>RIV004</t>
  </si>
  <si>
    <t>RIVER ROUGE POWER PLANT</t>
  </si>
  <si>
    <t>RIVER ROUGE STATION</t>
  </si>
  <si>
    <t>RIV006</t>
  </si>
  <si>
    <t>RIVERBAY POWER PLANT</t>
  </si>
  <si>
    <t>RIV002</t>
  </si>
  <si>
    <t>RIVERS CASINO</t>
  </si>
  <si>
    <t>RIV008</t>
  </si>
  <si>
    <t>RIVERSIDE (MD)</t>
  </si>
  <si>
    <t>RIV009</t>
  </si>
  <si>
    <t>RIVERSIDE ENERGY CENTER</t>
  </si>
  <si>
    <t>RIV010</t>
  </si>
  <si>
    <t>RIVERSIDE GENERATING PLANT (MN)</t>
  </si>
  <si>
    <t>RIV011</t>
  </si>
  <si>
    <t>RIVERSIDE GENERATING STATION (IA)</t>
  </si>
  <si>
    <t>RIVERSIDE PLANT (MN)</t>
  </si>
  <si>
    <t>RIV012</t>
  </si>
  <si>
    <t>RIVERSIDE STATION (OK)</t>
  </si>
  <si>
    <t>RIVERSIDE STEAM PLANT</t>
  </si>
  <si>
    <t>RIVERSIDE STEAM PLANT (MN)</t>
  </si>
  <si>
    <t>RIV016</t>
  </si>
  <si>
    <t>RIVIERA STATION</t>
  </si>
  <si>
    <t>ROA003</t>
  </si>
  <si>
    <t>ROANOKE RAPIDS PLANT</t>
  </si>
  <si>
    <t>ROA001</t>
  </si>
  <si>
    <t>ROANOKE VALLEY ENERGY FACILITY</t>
  </si>
  <si>
    <t>ROA002</t>
  </si>
  <si>
    <t>ROARING SPRING MILL</t>
  </si>
  <si>
    <t>ROARING SPRINGS MILL</t>
  </si>
  <si>
    <t>ROB001</t>
  </si>
  <si>
    <t>ROBINS AIR FORCE BASE</t>
  </si>
  <si>
    <t>ROC005</t>
  </si>
  <si>
    <t>ROCK RIVER STATION</t>
  </si>
  <si>
    <t>ROC006</t>
  </si>
  <si>
    <t>ROCKDALE POWER PLANT</t>
  </si>
  <si>
    <t>ROC007</t>
  </si>
  <si>
    <t>ROCKPORT GENERATING STATION</t>
  </si>
  <si>
    <t>ROCKPORT PLANT</t>
  </si>
  <si>
    <t>ROCKPORT PLANT (IN)</t>
  </si>
  <si>
    <t>ROC011</t>
  </si>
  <si>
    <t>ROCKY MOUNT PLANT</t>
  </si>
  <si>
    <t>ROC008</t>
  </si>
  <si>
    <t>ROCKY MOUNTAIN STATION</t>
  </si>
  <si>
    <t>ROD001</t>
  </si>
  <si>
    <t>RODEMACHER POWER STATION</t>
  </si>
  <si>
    <t>RODEMACHER STATION</t>
  </si>
  <si>
    <t>ROH002</t>
  </si>
  <si>
    <t>ROHM AND HAAS</t>
  </si>
  <si>
    <t>ROHM AND HAAS COMPANY</t>
  </si>
  <si>
    <t>ROH001</t>
  </si>
  <si>
    <t>ROHMAX USA LP</t>
  </si>
  <si>
    <t>ROM001</t>
  </si>
  <si>
    <t>ROME MILL</t>
  </si>
  <si>
    <t>ROS001</t>
  </si>
  <si>
    <t>ROSEBUD OPERATING</t>
  </si>
  <si>
    <t>ROSEBUD OPERATING/YELLOWSTONE</t>
  </si>
  <si>
    <t>ROSEBUD POWER PLANT</t>
  </si>
  <si>
    <t>ROS000</t>
  </si>
  <si>
    <t>ROSEBUD/COLSTRIP ENERGY LP</t>
  </si>
  <si>
    <t>ROSEBUD/ROSEBUD PLANT</t>
  </si>
  <si>
    <t>ROSEBUD/YELLOWSTONE</t>
  </si>
  <si>
    <t>ROS002</t>
  </si>
  <si>
    <t>ROSEBURG FOREST PRODUCTS</t>
  </si>
  <si>
    <t>ROS003</t>
  </si>
  <si>
    <t>ROSEMARY POWER STATION</t>
  </si>
  <si>
    <t>ROS005</t>
  </si>
  <si>
    <t>ROSETON GENERATING STATION</t>
  </si>
  <si>
    <t>ROS006</t>
  </si>
  <si>
    <t>ROSS HAINER HENRY TECHNOLOGIES LTD.</t>
  </si>
  <si>
    <t>ROT001</t>
  </si>
  <si>
    <t>ROTHSCHILD MILL COGEN PLANT</t>
  </si>
  <si>
    <t>ROX002</t>
  </si>
  <si>
    <t>ROXBORO COGEN POWER PLANT</t>
  </si>
  <si>
    <t>ROX001</t>
  </si>
  <si>
    <t>ROXBORO ELECTRIC GENERATING PLANT</t>
  </si>
  <si>
    <t>ROXBORO STEAM PLANT</t>
  </si>
  <si>
    <t>ROY003</t>
  </si>
  <si>
    <t>ROYAL INSTRUMENTS INC</t>
  </si>
  <si>
    <t>RUB001</t>
  </si>
  <si>
    <t>RUBICON INC - GEISMAR</t>
  </si>
  <si>
    <t>RUBICON INC - HUNTSMAN POLYURETHANES</t>
  </si>
  <si>
    <t>RUBICON-GEISMER, LA</t>
  </si>
  <si>
    <t>RUM001</t>
  </si>
  <si>
    <t>RUMFORD MILL</t>
  </si>
  <si>
    <t>RUM002</t>
  </si>
  <si>
    <t>RUMFORD POWER</t>
  </si>
  <si>
    <t>RUS001</t>
  </si>
  <si>
    <t>RUSH ISLAND PLANT</t>
  </si>
  <si>
    <t>RUS003</t>
  </si>
  <si>
    <t>RUSSELL CITY ENERGY CENTER</t>
  </si>
  <si>
    <t>RUS005</t>
  </si>
  <si>
    <t>RUSSELL STOVER CANDIES</t>
  </si>
  <si>
    <t>RYE001</t>
  </si>
  <si>
    <t>RYEGATE POWER</t>
  </si>
  <si>
    <t>SNN001</t>
  </si>
  <si>
    <t>S N N - C N E PROD</t>
  </si>
  <si>
    <t>SAM002</t>
  </si>
  <si>
    <t>S.A.M. CONTRACTING EST</t>
  </si>
  <si>
    <t>SOM002</t>
  </si>
  <si>
    <t>S2 O&amp;M CO. W.L.L.</t>
  </si>
  <si>
    <t>SAB002</t>
  </si>
  <si>
    <t>SABINE PLANT</t>
  </si>
  <si>
    <t>SABINE STATION</t>
  </si>
  <si>
    <t>SAG002</t>
  </si>
  <si>
    <t>SAGUARO PLANT</t>
  </si>
  <si>
    <t>SAGUARO PLANT (NV)</t>
  </si>
  <si>
    <t>SAGUARO POWER CO</t>
  </si>
  <si>
    <t>SAG003</t>
  </si>
  <si>
    <t>SAGUARO POWER PLANT</t>
  </si>
  <si>
    <t>SAI002</t>
  </si>
  <si>
    <t>SAI ELECTRICALS</t>
  </si>
  <si>
    <t>SAI001</t>
  </si>
  <si>
    <t>SAIC</t>
  </si>
  <si>
    <t>SAIL POWER CO PVT LTD</t>
  </si>
  <si>
    <t>SAA001</t>
  </si>
  <si>
    <t>SALEH &amp; ABDULAZIZ ABAHSAIN CO</t>
  </si>
  <si>
    <t>SALEH &amp; ABDULAZIZ ABAHSAIN CO LTD</t>
  </si>
  <si>
    <t>SAL001</t>
  </si>
  <si>
    <t>SALEM HARBOR STATION</t>
  </si>
  <si>
    <t>SAL002</t>
  </si>
  <si>
    <t>SALEM NUCLEAR STATION</t>
  </si>
  <si>
    <t>SAL006</t>
  </si>
  <si>
    <t>SALT VALLEY GENERATING STATION</t>
  </si>
  <si>
    <t>SALTAN SEA</t>
  </si>
  <si>
    <t>SAM001</t>
  </si>
  <si>
    <t>SAM BERTRON STATION</t>
  </si>
  <si>
    <t>SAM003</t>
  </si>
  <si>
    <t>SAMUEL ADAMS BREWERY COMPANY</t>
  </si>
  <si>
    <t>SAN005</t>
  </si>
  <si>
    <t>SAN JOSE POWER STATION</t>
  </si>
  <si>
    <t>SAN006</t>
  </si>
  <si>
    <t>SAN JUAN GENERATING STATION (NM)</t>
  </si>
  <si>
    <t>SAN008</t>
  </si>
  <si>
    <t>SAN MIGUEL ELECTRIC COOP INC</t>
  </si>
  <si>
    <t>SAN010</t>
  </si>
  <si>
    <t>SAN ONOFRE NUCLEAR STATION</t>
  </si>
  <si>
    <t>SAN011</t>
  </si>
  <si>
    <t>SANDOW PLANT</t>
  </si>
  <si>
    <t>SANDOW STATION</t>
  </si>
  <si>
    <t>SAN020</t>
  </si>
  <si>
    <t>SANDVIK MATERIALS TECHNOLOGY</t>
  </si>
  <si>
    <t>SAN012</t>
  </si>
  <si>
    <t>SANFORD PLANT</t>
  </si>
  <si>
    <t>SAN019</t>
  </si>
  <si>
    <t>SANTA ROSA ENERGY CENTER</t>
  </si>
  <si>
    <t>SAN017</t>
  </si>
  <si>
    <t>SANTAN GENERATING STATION</t>
  </si>
  <si>
    <t>SAN018</t>
  </si>
  <si>
    <t>SANTEE COOPER</t>
  </si>
  <si>
    <t>SAP001</t>
  </si>
  <si>
    <t>SAPPI FINE PAPER NORTH AMERICA</t>
  </si>
  <si>
    <t>SAPPI FINE PAPERS NA</t>
  </si>
  <si>
    <t>SAR002</t>
  </si>
  <si>
    <t>SARANAC POWER PARTNERS L P</t>
  </si>
  <si>
    <t>SAS003</t>
  </si>
  <si>
    <t>SAS CONSTRUCTION INC</t>
  </si>
  <si>
    <t>SAS002</t>
  </si>
  <si>
    <t>SASOL NORTH AMERICA INC</t>
  </si>
  <si>
    <t>SASOL NORTH AMERICA INC - WESTLAKE</t>
  </si>
  <si>
    <t>SAT001</t>
  </si>
  <si>
    <t>SATCO INC</t>
  </si>
  <si>
    <t>SAU003</t>
  </si>
  <si>
    <t>SAUDER WOODWORKING CO</t>
  </si>
  <si>
    <t>SAU001</t>
  </si>
  <si>
    <t>SAUGUS</t>
  </si>
  <si>
    <t>SAV002</t>
  </si>
  <si>
    <t>SAVANNAH MILL</t>
  </si>
  <si>
    <t>SAY001</t>
  </si>
  <si>
    <t>SAYREVILLE ENERGY CENTER</t>
  </si>
  <si>
    <t>SCA002</t>
  </si>
  <si>
    <t>SBS SCANDINAVIAN BOILER SERVICE INC.</t>
  </si>
  <si>
    <t>SCA003</t>
  </si>
  <si>
    <t>SCAIFE HALL</t>
  </si>
  <si>
    <t>SCA004</t>
  </si>
  <si>
    <t>SCALISE INDUSTRIES</t>
  </si>
  <si>
    <t>SCH001</t>
  </si>
  <si>
    <t>SCHERER PLANT</t>
  </si>
  <si>
    <t>SCH006</t>
  </si>
  <si>
    <t>SCHUYLKILL ENERGY RESOURCES INC.</t>
  </si>
  <si>
    <t>SCI001</t>
  </si>
  <si>
    <t>SCI CORPORATION</t>
  </si>
  <si>
    <t>SCI002</t>
  </si>
  <si>
    <t>SCIENTIFIC SALES INC</t>
  </si>
  <si>
    <t>SCO003</t>
  </si>
  <si>
    <t>SCOTTISH &amp; SOUTHERN ENERGY</t>
  </si>
  <si>
    <t>SCR001</t>
  </si>
  <si>
    <t>SCRUBGRASS POWER PLANT</t>
  </si>
  <si>
    <t>SEB001</t>
  </si>
  <si>
    <t>SEBREE STATION</t>
  </si>
  <si>
    <t>SEM001</t>
  </si>
  <si>
    <t>SEMASS FACILITY</t>
  </si>
  <si>
    <t>SEM002</t>
  </si>
  <si>
    <t>SEMINOLE ELECTRIC COOPERATIVE</t>
  </si>
  <si>
    <t>SEMINOLE GENERATING STATION</t>
  </si>
  <si>
    <t>SEMINOLE GENERATING STATION (FL)</t>
  </si>
  <si>
    <t>SEM003</t>
  </si>
  <si>
    <t>SEMINOLE POWER PLANT (OK)</t>
  </si>
  <si>
    <t>SEN001</t>
  </si>
  <si>
    <t>SENECA PLANT</t>
  </si>
  <si>
    <t>SEQ001</t>
  </si>
  <si>
    <t>SEQUOYAH NUCLEAR PLANT</t>
  </si>
  <si>
    <t>SER005</t>
  </si>
  <si>
    <t>SERPAGA INC</t>
  </si>
  <si>
    <t>SERPAGA INC.</t>
  </si>
  <si>
    <t>SER002</t>
  </si>
  <si>
    <t>SERVICE EQUIPMENT COMPANY</t>
  </si>
  <si>
    <t>SEV002</t>
  </si>
  <si>
    <t>SEVERSTAL NORTH AMERICA</t>
  </si>
  <si>
    <t>SEVERSTAL NORTH AMERICA INC</t>
  </si>
  <si>
    <t>SEW002</t>
  </si>
  <si>
    <t>SEWARD STATION</t>
  </si>
  <si>
    <t>SEW003</t>
  </si>
  <si>
    <t>SEWAREN GENERATING STATION</t>
  </si>
  <si>
    <t>SHA001</t>
  </si>
  <si>
    <t>SHADY POINT 1 &amp; 2</t>
  </si>
  <si>
    <t>SHA006</t>
  </si>
  <si>
    <t>SHAMBAUGH &amp; SON LP</t>
  </si>
  <si>
    <t>SHA002</t>
  </si>
  <si>
    <t>SHAMROCK SUPPLY COMPANY</t>
  </si>
  <si>
    <t>SHA003</t>
  </si>
  <si>
    <t>SHAW CONSTRUCTORS INC.</t>
  </si>
  <si>
    <t>SHA004</t>
  </si>
  <si>
    <t>SHAWNEE FOSSIL PLANT</t>
  </si>
  <si>
    <t>SHA005</t>
  </si>
  <si>
    <t>SHAWVILLE STATION</t>
  </si>
  <si>
    <t>SHE001</t>
  </si>
  <si>
    <t>SHEARON HARRIS NUCLEAR PLANT</t>
  </si>
  <si>
    <t>SHEARON HARRIS PLANT</t>
  </si>
  <si>
    <t>SHE002</t>
  </si>
  <si>
    <t>SHEBOYGAN FALLS ENERGY FACILITY</t>
  </si>
  <si>
    <t>SHEBOYGAN PLANT</t>
  </si>
  <si>
    <t>SHE004</t>
  </si>
  <si>
    <t>SHELBY MUNICIPAL LIGHT PLANT</t>
  </si>
  <si>
    <t>SHE005</t>
  </si>
  <si>
    <t>SHELDON STATION</t>
  </si>
  <si>
    <t>SHE015</t>
  </si>
  <si>
    <t>SHELL - CONVENT</t>
  </si>
  <si>
    <t>SHE012</t>
  </si>
  <si>
    <t>SHELL OIL</t>
  </si>
  <si>
    <t>SHE011</t>
  </si>
  <si>
    <t>SHE014</t>
  </si>
  <si>
    <t>SHELL OIL - SEWAREN</t>
  </si>
  <si>
    <t>SHELL OIL CO DEER PARK REFINERY</t>
  </si>
  <si>
    <t>SHELL OIL PRODUCTS US</t>
  </si>
  <si>
    <t>SHELL OIL-MARTINEZ REFINERY</t>
  </si>
  <si>
    <t>SHE013</t>
  </si>
  <si>
    <t>SHELL PUGET SOUND REFINERY</t>
  </si>
  <si>
    <t>SHE008</t>
  </si>
  <si>
    <t>SHERBURNE COUNTY GENERATING STATION</t>
  </si>
  <si>
    <t>SHERBURNE COUNTY PLANT</t>
  </si>
  <si>
    <t>SHERBURNE COUNTY STATION</t>
  </si>
  <si>
    <t>SHE009</t>
  </si>
  <si>
    <t>SHERMAN &amp; SCHRODER EQP CO INC</t>
  </si>
  <si>
    <t>SHE010</t>
  </si>
  <si>
    <t>SHERWIN ALUMINA</t>
  </si>
  <si>
    <t>SHI001</t>
  </si>
  <si>
    <t>SHIPMAN STATION</t>
  </si>
  <si>
    <t>SHI002</t>
  </si>
  <si>
    <t>SHIRAS POWER PLANT</t>
  </si>
  <si>
    <t>SHI003</t>
  </si>
  <si>
    <t>SHIRIN CONSTRUCTION INC</t>
  </si>
  <si>
    <t>SID001</t>
  </si>
  <si>
    <t>SIDI KRIR GENERATING COMPANY</t>
  </si>
  <si>
    <t>SIE007</t>
  </si>
  <si>
    <t>SIEMENS ENERGY, INC.</t>
  </si>
  <si>
    <t>SIEMENS WESTINGHOUSE POWER</t>
  </si>
  <si>
    <t>SIK002</t>
  </si>
  <si>
    <t>SIKESTON POWER STATION</t>
  </si>
  <si>
    <t>SIL005</t>
  </si>
  <si>
    <t>SILVER BAY PLANT</t>
  </si>
  <si>
    <t>SIL004</t>
  </si>
  <si>
    <t>SILVER LAKE PLANT</t>
  </si>
  <si>
    <t>SIL006</t>
  </si>
  <si>
    <t>SILVERHAWK POWER PLANT</t>
  </si>
  <si>
    <t>SIM001</t>
  </si>
  <si>
    <t>SIM GIDEON POWER PLANT</t>
  </si>
  <si>
    <t>SIN001</t>
  </si>
  <si>
    <t>SINCLAIR MATERIAL HANDLING INC</t>
  </si>
  <si>
    <t>SINCLAIR SUPPLY</t>
  </si>
  <si>
    <t>SIN003</t>
  </si>
  <si>
    <t>SINOR ENGINE COMPANY</t>
  </si>
  <si>
    <t>SIO001</t>
  </si>
  <si>
    <t>SIOUX PLANT</t>
  </si>
  <si>
    <t>SIP001</t>
  </si>
  <si>
    <t>SIPAT SUPER THERMAL POWER PROJECT</t>
  </si>
  <si>
    <t>SIT005</t>
  </si>
  <si>
    <t>SIT CORP</t>
  </si>
  <si>
    <t>SME001</t>
  </si>
  <si>
    <t>SMELTER STATION</t>
  </si>
  <si>
    <t>SMU002</t>
  </si>
  <si>
    <t>SMURFIT-STONE CONTAINER CORP</t>
  </si>
  <si>
    <t>SNC001</t>
  </si>
  <si>
    <t>SNC-LAVALIN CONSTRUCTORS INC</t>
  </si>
  <si>
    <t>SOLANA GENERATING STATION</t>
  </si>
  <si>
    <t>SOL004</t>
  </si>
  <si>
    <t>SOLUTIA</t>
  </si>
  <si>
    <t>SOLUTIA INC</t>
  </si>
  <si>
    <t>SOLUTIA INC.</t>
  </si>
  <si>
    <t>SOL002</t>
  </si>
  <si>
    <t>SOLVAY SPECIALTY POLYMER - MARIETTA</t>
  </si>
  <si>
    <t>SOMERSET GENERATING STATION</t>
  </si>
  <si>
    <t>SOM004</t>
  </si>
  <si>
    <t>SOMERSET MILL PLANT</t>
  </si>
  <si>
    <t>SOM003</t>
  </si>
  <si>
    <t>SOMMERS STATION</t>
  </si>
  <si>
    <t>SON002</t>
  </si>
  <si>
    <t>SONNEBORN - PETROLIA</t>
  </si>
  <si>
    <t>SMU001</t>
  </si>
  <si>
    <t>SONOMA POWER PLANT</t>
  </si>
  <si>
    <t>SOO001</t>
  </si>
  <si>
    <t>SOONER POWER PLANT</t>
  </si>
  <si>
    <t>SOU035</t>
  </si>
  <si>
    <t>SOURCE ONE SUPPLY</t>
  </si>
  <si>
    <t>SOU001</t>
  </si>
  <si>
    <t>SOUTH BAY PLANT</t>
  </si>
  <si>
    <t>SOUTH BAY STATION</t>
  </si>
  <si>
    <t>SOU007</t>
  </si>
  <si>
    <t>SOUTH HAMPTON STATION</t>
  </si>
  <si>
    <t>SOUTH HOUSTON GREEN POWER LLC</t>
  </si>
  <si>
    <t>SOUTH HOUSTON GREEN POWER, LLC</t>
  </si>
  <si>
    <t>SOU034</t>
  </si>
  <si>
    <t>SOUTH POINT ENERGY CENTER</t>
  </si>
  <si>
    <t>SOU013</t>
  </si>
  <si>
    <t>SOUTH TEXAS PROJECT</t>
  </si>
  <si>
    <t>SOU036</t>
  </si>
  <si>
    <t>SOUTHAVEN COMBINED CYCLE PLANT</t>
  </si>
  <si>
    <t>SOU37</t>
  </si>
  <si>
    <t>SOUTHCENTRAL POWER PROJECT</t>
  </si>
  <si>
    <t>SOUTHPOINT ENERGY CENTER</t>
  </si>
  <si>
    <t>SOU024</t>
  </si>
  <si>
    <t>SOUTHPORT POWER PLANT</t>
  </si>
  <si>
    <t>SOUTHPORT STATION</t>
  </si>
  <si>
    <t>SOU026</t>
  </si>
  <si>
    <t>SOUTHWEST COMPRESSOR &amp; PUMPING PACKAGES INC</t>
  </si>
  <si>
    <t>SOUTHWEST STATION</t>
  </si>
  <si>
    <t>SOU033</t>
  </si>
  <si>
    <t>SOUTHWESTERN STATION</t>
  </si>
  <si>
    <t>SPA002</t>
  </si>
  <si>
    <t>SPA COGENERATION PLANT</t>
  </si>
  <si>
    <t>SPA001</t>
  </si>
  <si>
    <t>SPARROWS POINT DIVISION</t>
  </si>
  <si>
    <t>SPARROWS POINT PLANT</t>
  </si>
  <si>
    <t>SPE005</t>
  </si>
  <si>
    <t>SPECIAL METALS INC</t>
  </si>
  <si>
    <t>SPE003</t>
  </si>
  <si>
    <t>SPECIALTY TOOL &amp; SUPPLY INC</t>
  </si>
  <si>
    <t>SPEED INDUSTRIAL SERVICE OF LAKE CHARLES</t>
  </si>
  <si>
    <t>SPI001</t>
  </si>
  <si>
    <t>SPIRITWOOD STATION</t>
  </si>
  <si>
    <t>SPR005</t>
  </si>
  <si>
    <t>SPRING GROVE GLATFELTER COGENERATION PLANT</t>
  </si>
  <si>
    <t>SPR001</t>
  </si>
  <si>
    <t>SPRINGDALE PLANT</t>
  </si>
  <si>
    <t>SPR002</t>
  </si>
  <si>
    <t>SPRINGERVILLE STATION</t>
  </si>
  <si>
    <t>SPR006</t>
  </si>
  <si>
    <t>SPRUCE GENERATING STATION</t>
  </si>
  <si>
    <t>SPS001</t>
  </si>
  <si>
    <t>SPSA POWER PLANT (VA)</t>
  </si>
  <si>
    <t>SPU001</t>
  </si>
  <si>
    <t>SPURLOCK GENERATING STATION</t>
  </si>
  <si>
    <t>SPURLOCK STATION</t>
  </si>
  <si>
    <t>YUB002</t>
  </si>
  <si>
    <t>SPX HEAT TRANSFER</t>
  </si>
  <si>
    <t>SPX HEAT TRANSFER INC</t>
  </si>
  <si>
    <t>SPX001</t>
  </si>
  <si>
    <t>SPX HEAT TRANSFER LLC</t>
  </si>
  <si>
    <t>ST CHARLES OPERATION - DOW CHEM</t>
  </si>
  <si>
    <t>ST CHARLES OPERATION-DOW CHEM</t>
  </si>
  <si>
    <t>ST CHARLES OPERATIONS - DOW CHEMICAL COMPANY</t>
  </si>
  <si>
    <t>STC002</t>
  </si>
  <si>
    <t>ST CHARLES REFINERY</t>
  </si>
  <si>
    <t>ST CHARLES-VALERO REFINERY</t>
  </si>
  <si>
    <t>STC001</t>
  </si>
  <si>
    <t>ST CLAIR GENERATING STATION</t>
  </si>
  <si>
    <t>ST CLAIR POWER PLANT</t>
  </si>
  <si>
    <t>ST CLAIR STATION</t>
  </si>
  <si>
    <t>STE007</t>
  </si>
  <si>
    <t>ST ELIZABETH HOSPITAL</t>
  </si>
  <si>
    <t>STJ004</t>
  </si>
  <si>
    <t>ST JOE RIDGE PLANT</t>
  </si>
  <si>
    <t>STJ002</t>
  </si>
  <si>
    <t>ST JOHNS RIVER POWER PARK</t>
  </si>
  <si>
    <t>STL003</t>
  </si>
  <si>
    <t>ST LUCIE NUCLEAR PLANT</t>
  </si>
  <si>
    <t>ST LUCIE NUCLEAR POWER PLANT</t>
  </si>
  <si>
    <t>ST LUCIE STATION</t>
  </si>
  <si>
    <t>STA002</t>
  </si>
  <si>
    <t>STANISLAUS COUNTY</t>
  </si>
  <si>
    <t>STA004</t>
  </si>
  <si>
    <t>STANTON ENERGY CENTER</t>
  </si>
  <si>
    <t>STANTON ENERGY CENTER (FL)</t>
  </si>
  <si>
    <t>STA005</t>
  </si>
  <si>
    <t>STANTON GENERATING STATION</t>
  </si>
  <si>
    <t>STANTON STATION</t>
  </si>
  <si>
    <t>STANTON STATION (ND)</t>
  </si>
  <si>
    <t>STA006</t>
  </si>
  <si>
    <t>STATE LINE STATION</t>
  </si>
  <si>
    <t>STE001</t>
  </si>
  <si>
    <t>STEEL CITY NDT</t>
  </si>
  <si>
    <t>STE006</t>
  </si>
  <si>
    <t>STEPAN COMPANY</t>
  </si>
  <si>
    <t>STE012</t>
  </si>
  <si>
    <t>STERICYCLE</t>
  </si>
  <si>
    <t>STERICYCLE - CONROE</t>
  </si>
  <si>
    <t>STE008</t>
  </si>
  <si>
    <t>STERLING BOILER &amp; MECHANICAL</t>
  </si>
  <si>
    <t>STE004</t>
  </si>
  <si>
    <t>STERLINGTON GENERATING STATION</t>
  </si>
  <si>
    <t>STERLINGTON PLANT</t>
  </si>
  <si>
    <t>STERLINGTON STATION</t>
  </si>
  <si>
    <t>STI001</t>
  </si>
  <si>
    <t>STILLWATER  GEOTHERMAL POWER PLANT (NV)</t>
  </si>
  <si>
    <t>STO002</t>
  </si>
  <si>
    <t>STOCKTON COGEN COMPANY</t>
  </si>
  <si>
    <t>STOCKTON COGEN PLANT</t>
  </si>
  <si>
    <t>STO010</t>
  </si>
  <si>
    <t>STONE &amp; WEBSTER CONSTRUCTION INC</t>
  </si>
  <si>
    <t>STO003</t>
  </si>
  <si>
    <t>STONEMAN POWER PLANT</t>
  </si>
  <si>
    <t>STR001</t>
  </si>
  <si>
    <t>STRONGHOLD INSPECTION</t>
  </si>
  <si>
    <t>STR002</t>
  </si>
  <si>
    <t>STRYKER CREEK PLANT</t>
  </si>
  <si>
    <t>STU001</t>
  </si>
  <si>
    <t>STUDER INDUSTRIAL TOOL</t>
  </si>
  <si>
    <t>SUG001</t>
  </si>
  <si>
    <t>SUGAR CREEK PLANT</t>
  </si>
  <si>
    <t>SUL001</t>
  </si>
  <si>
    <t>SULZER TURBO SERVICES NEW ORLEANS INC</t>
  </si>
  <si>
    <t>SUM001</t>
  </si>
  <si>
    <t>SUMAS COGENERATION PLANT</t>
  </si>
  <si>
    <t>SUM002</t>
  </si>
  <si>
    <t>SUMMIT LAKE STATION</t>
  </si>
  <si>
    <t>SUN002</t>
  </si>
  <si>
    <t>SUNBURY STATION</t>
  </si>
  <si>
    <t>SUN006</t>
  </si>
  <si>
    <t>SUNCOKE - HAVERHILL</t>
  </si>
  <si>
    <t>SUN003</t>
  </si>
  <si>
    <t>SUNCOKE - MIDDLETOWN</t>
  </si>
  <si>
    <t>SUNCOKE ENERGY-MIDDLETOWN</t>
  </si>
  <si>
    <t>SUNCOKE- HAVERHILL</t>
  </si>
  <si>
    <t>SUNDT STATION</t>
  </si>
  <si>
    <t>SUN004</t>
  </si>
  <si>
    <t>SUNFLOWER ELECTRIC POWER CORP</t>
  </si>
  <si>
    <t>SUN007</t>
  </si>
  <si>
    <t>SUNNYSIDE COGENERATION</t>
  </si>
  <si>
    <t>SUNNYSIDE CO-GENERATION</t>
  </si>
  <si>
    <t>SUN005</t>
  </si>
  <si>
    <t>SUNRISE GENERATING STATION</t>
  </si>
  <si>
    <t>SUNRISE POWER CO LLC</t>
  </si>
  <si>
    <t>SUP004</t>
  </si>
  <si>
    <t>SUPERIOR STATION</t>
  </si>
  <si>
    <t>SUP001</t>
  </si>
  <si>
    <t>SUPERWATER SOLUTIONS, INC</t>
  </si>
  <si>
    <t>SUP002</t>
  </si>
  <si>
    <t>SUPPLYCORE INC.</t>
  </si>
  <si>
    <t>SUR002</t>
  </si>
  <si>
    <t>SURALCO LLC</t>
  </si>
  <si>
    <t>SUR001</t>
  </si>
  <si>
    <t>SURRY POWER STATION</t>
  </si>
  <si>
    <t>SUS002</t>
  </si>
  <si>
    <t>SUSQUEHANNA PLANT</t>
  </si>
  <si>
    <t>SUS001</t>
  </si>
  <si>
    <t>SUSQUEHANNA SES</t>
  </si>
  <si>
    <t>SUT002</t>
  </si>
  <si>
    <t>SUTHERLAND STATION</t>
  </si>
  <si>
    <t>SUT001</t>
  </si>
  <si>
    <t>SUTTER ENERGY CENTER</t>
  </si>
  <si>
    <t>SUT003</t>
  </si>
  <si>
    <t>SUTTON PLANT</t>
  </si>
  <si>
    <t>SYS001</t>
  </si>
  <si>
    <t>SYSTEM ONE</t>
  </si>
  <si>
    <t>THW001</t>
  </si>
  <si>
    <t>T H WHARTON STATION</t>
  </si>
  <si>
    <t>TAC001</t>
  </si>
  <si>
    <t>TACONITE HARBOR ENERGY CENTER</t>
  </si>
  <si>
    <t>TAL001</t>
  </si>
  <si>
    <t>TALCHER SUPER THERMAL PWR PROJ</t>
  </si>
  <si>
    <t>TAL002</t>
  </si>
  <si>
    <t>TALLERES INDUSTRIALES</t>
  </si>
  <si>
    <t>TAN003</t>
  </si>
  <si>
    <t>TANDA SUPPLY</t>
  </si>
  <si>
    <t>TAN001</t>
  </si>
  <si>
    <t>TANDA THERMAL POWER STATION</t>
  </si>
  <si>
    <t>TAN004</t>
  </si>
  <si>
    <t>TANNER STREET GENERATING STATION</t>
  </si>
  <si>
    <t>TAN002</t>
  </si>
  <si>
    <t>TANNERS CREEK PLANT</t>
  </si>
  <si>
    <t>TAR001</t>
  </si>
  <si>
    <t>TARGA RESOURCES</t>
  </si>
  <si>
    <t>TATA CHEMICALS - GREEN RIVER SODA ASH PLANT</t>
  </si>
  <si>
    <t>TAT002</t>
  </si>
  <si>
    <t>TATE &amp; LYLE</t>
  </si>
  <si>
    <t>TAT001</t>
  </si>
  <si>
    <t>TATLEE ENG  &amp; TRAD (M) SDN BHD</t>
  </si>
  <si>
    <t>TAU001</t>
  </si>
  <si>
    <t>TAUNTON MUNICIPAL LIGHTING PLANT</t>
  </si>
  <si>
    <t>TCB001</t>
  </si>
  <si>
    <t>TC BOILER INC</t>
  </si>
  <si>
    <t>THO002</t>
  </si>
  <si>
    <t>TC WILSON INC</t>
  </si>
  <si>
    <t>TEA001</t>
  </si>
  <si>
    <t>TEAM INDUSTRIAL</t>
  </si>
  <si>
    <t>TEC002</t>
  </si>
  <si>
    <t>TECHE POWER STATION</t>
  </si>
  <si>
    <t>TEC010</t>
  </si>
  <si>
    <t>TECHMAN INDUSTRIE</t>
  </si>
  <si>
    <t>TEC009</t>
  </si>
  <si>
    <t>TECHNICAL OILFIELD SUPPLIES</t>
  </si>
  <si>
    <t>TEC001</t>
  </si>
  <si>
    <t>TECHNICAL OVERSEAS EST</t>
  </si>
  <si>
    <t>TEC013</t>
  </si>
  <si>
    <t>TECHNICAL PARTS ESTABLISHMENT</t>
  </si>
  <si>
    <t>TEC004</t>
  </si>
  <si>
    <t>TECHTOOLS (MORDEN) LTD</t>
  </si>
  <si>
    <t>TEC008</t>
  </si>
  <si>
    <t>TECNATOM SA</t>
  </si>
  <si>
    <t>TEC011</t>
  </si>
  <si>
    <t>TECNIMARSE</t>
  </si>
  <si>
    <t>TEC007</t>
  </si>
  <si>
    <t>TECNO FINK</t>
  </si>
  <si>
    <t>TEC012</t>
  </si>
  <si>
    <t>TECNOLOGIA &amp;  MANTENIMIENTO PREDICTIVO</t>
  </si>
  <si>
    <t>TECNOLOGIA &amp; MANTENIMIENTO PREDICTIVO</t>
  </si>
  <si>
    <t>TECNOLOGIA Y  MANTENIMIENTO PREDICTIVO</t>
  </si>
  <si>
    <t>TEC005</t>
  </si>
  <si>
    <t>TECTRAD INC</t>
  </si>
  <si>
    <t>TEC006</t>
  </si>
  <si>
    <t>TECUMSEH ENERGY CENTER</t>
  </si>
  <si>
    <t>TEC003</t>
  </si>
  <si>
    <t>TEHPRIBOR LTD</t>
  </si>
  <si>
    <t>TEHPRIBOR LTD.</t>
  </si>
  <si>
    <t>TEI001</t>
  </si>
  <si>
    <t>TEI SERVICES</t>
  </si>
  <si>
    <t>TEL001</t>
  </si>
  <si>
    <t>TELOGIA POWER</t>
  </si>
  <si>
    <t>TEN002</t>
  </si>
  <si>
    <t>TENASKA GATEWAY PARTNERS LTD</t>
  </si>
  <si>
    <t>TEN008</t>
  </si>
  <si>
    <t>TENASKA KIAMICHI STATION</t>
  </si>
  <si>
    <t>TEN005</t>
  </si>
  <si>
    <t>TENASKA VIRGINIA GENERATING STATION</t>
  </si>
  <si>
    <t>TENNESSEE EASTMAN DIVISION</t>
  </si>
  <si>
    <t>TEN006</t>
  </si>
  <si>
    <t>TENNESSEE VALLEY AUTHORITY</t>
  </si>
  <si>
    <t>TER005</t>
  </si>
  <si>
    <t>TERMOBARRANQUILLA SA</t>
  </si>
  <si>
    <t>TEX001</t>
  </si>
  <si>
    <t>TEXAS A &amp; M UNIVERSITY</t>
  </si>
  <si>
    <t>TEX009</t>
  </si>
  <si>
    <t>TEXAS CONTROLS S L</t>
  </si>
  <si>
    <t>TEXAS CONTROLS S.L.</t>
  </si>
  <si>
    <t>TEX006</t>
  </si>
  <si>
    <t>TEXAS INDEPENDENT ENERGY</t>
  </si>
  <si>
    <t>ATL001</t>
  </si>
  <si>
    <t>THE ATLANTIC GROUP</t>
  </si>
  <si>
    <t>THE009</t>
  </si>
  <si>
    <t>THE BARBADOS LIGHT &amp; PWR CO LTD</t>
  </si>
  <si>
    <t>THE004</t>
  </si>
  <si>
    <t>THE CONKLIN SHERMAN COMPANY</t>
  </si>
  <si>
    <t>THE008</t>
  </si>
  <si>
    <t>THE ENTERPRISE CORP</t>
  </si>
  <si>
    <t>ISR001</t>
  </si>
  <si>
    <t>THE ISRAEL ELECTRIC CORP LTD</t>
  </si>
  <si>
    <t>THE001</t>
  </si>
  <si>
    <t>THE KISKI SCHOOL</t>
  </si>
  <si>
    <t>THE006</t>
  </si>
  <si>
    <t>THE LION BREWERY, INC - WILKES BARRE</t>
  </si>
  <si>
    <t>THE MERRICK GROUP</t>
  </si>
  <si>
    <t>THE OHIO STATE UNIVERSITY</t>
  </si>
  <si>
    <t>WAT014</t>
  </si>
  <si>
    <t>THE WATERMAKER CO INC</t>
  </si>
  <si>
    <t>WAY001</t>
  </si>
  <si>
    <t>THE WAYLIN CORPORATION</t>
  </si>
  <si>
    <t>THE005</t>
  </si>
  <si>
    <t>THE WESTIN PHILADELPHIA</t>
  </si>
  <si>
    <t>THE002</t>
  </si>
  <si>
    <t>THERMAL ENGINEERING INT'L</t>
  </si>
  <si>
    <t>THE003</t>
  </si>
  <si>
    <t>THERMETRICS CORP</t>
  </si>
  <si>
    <t>THE007</t>
  </si>
  <si>
    <t>THERMO FISHER SCIENTIFIC BLDG</t>
  </si>
  <si>
    <t>THI001</t>
  </si>
  <si>
    <t>THIELSCH ENGINEERING INC</t>
  </si>
  <si>
    <t>THILMANY LLC</t>
  </si>
  <si>
    <t>THOMAS A SMITH ENERGY FACILITY</t>
  </si>
  <si>
    <t>THOMAS A. SMITH ENERGY FACILITY</t>
  </si>
  <si>
    <t>THOMAS C WILSON INC</t>
  </si>
  <si>
    <t>THOMAS C WILSON LLC</t>
  </si>
  <si>
    <t>THO001</t>
  </si>
  <si>
    <t>THOMAS HILL ENERGY CENTER</t>
  </si>
  <si>
    <t>THOMAS WILSON</t>
  </si>
  <si>
    <t>THO004</t>
  </si>
  <si>
    <t>THOMPSON RIVER POWER LLC</t>
  </si>
  <si>
    <t>THR001</t>
  </si>
  <si>
    <t>THREE MILE ISLAND STATION</t>
  </si>
  <si>
    <t>TIG002</t>
  </si>
  <si>
    <t>TIGER BAY COGEN</t>
  </si>
  <si>
    <t>TIG001</t>
  </si>
  <si>
    <t>TIGER CONTROLS INC</t>
  </si>
  <si>
    <t>TIMEC</t>
  </si>
  <si>
    <t>TIT001</t>
  </si>
  <si>
    <t>TITUS GENERATING STATION</t>
  </si>
  <si>
    <t>TITUS POWER PLANT</t>
  </si>
  <si>
    <t>TIV001</t>
  </si>
  <si>
    <t>TIVERTON POWER</t>
  </si>
  <si>
    <t>TNP001</t>
  </si>
  <si>
    <t>TNP ONE STATION</t>
  </si>
  <si>
    <t>TOL002</t>
  </si>
  <si>
    <t>TOLEDO REFINING COMPANY LLC</t>
  </si>
  <si>
    <t>TOO001</t>
  </si>
  <si>
    <t>TOOL CENTER INC</t>
  </si>
  <si>
    <t>TOO002</t>
  </si>
  <si>
    <t>TOOLS FOR INDUSTRY INC</t>
  </si>
  <si>
    <t>TOP001</t>
  </si>
  <si>
    <t>TOPP'S MECHANICAL INC</t>
  </si>
  <si>
    <t>TOT002</t>
  </si>
  <si>
    <t>TOTAL INDUSTRIAL SERVICES</t>
  </si>
  <si>
    <t>TOT004</t>
  </si>
  <si>
    <t>TOTAL MAINTENANCE INC</t>
  </si>
  <si>
    <t>TOT003</t>
  </si>
  <si>
    <t>TOTAL PETROCHEMICALS - CARVILLE STYRENICS</t>
  </si>
  <si>
    <t>TOTAL PETROCHEMICALS-CARVILLE STYRENICS</t>
  </si>
  <si>
    <t>TOW001</t>
  </si>
  <si>
    <t>TOWANDA PLANT</t>
  </si>
  <si>
    <t>TOY001</t>
  </si>
  <si>
    <t>TOYOTA BOSHOKU AMERICA, INC.</t>
  </si>
  <si>
    <t>TPC GROUP - HOUSTON</t>
  </si>
  <si>
    <t>TPC001</t>
  </si>
  <si>
    <t>TPC SUGAR FACTORY</t>
  </si>
  <si>
    <t>TRA004</t>
  </si>
  <si>
    <t>TRACY BIOMASS PLANT</t>
  </si>
  <si>
    <t>TRA005</t>
  </si>
  <si>
    <t>TRACY POWER STATION</t>
  </si>
  <si>
    <t>TRA007</t>
  </si>
  <si>
    <t>TRADINGHOUSE PLANT</t>
  </si>
  <si>
    <t>TRA014</t>
  </si>
  <si>
    <t>TRAEGER BROTHERS &amp; ASSOCIATES INC</t>
  </si>
  <si>
    <t>TRA001</t>
  </si>
  <si>
    <t>TRANE SUPPLY</t>
  </si>
  <si>
    <t>TRA013</t>
  </si>
  <si>
    <t>TRANS WORLD OIL SOURCES EST</t>
  </si>
  <si>
    <t>TRC001</t>
  </si>
  <si>
    <t>TRC LIMITED</t>
  </si>
  <si>
    <t>TRC LTD</t>
  </si>
  <si>
    <t>TRE002</t>
  </si>
  <si>
    <t>TRENTON CHANNEL GENERATING STATION</t>
  </si>
  <si>
    <t>TRENTON CHANNEL POWER PLANT</t>
  </si>
  <si>
    <t>TRE003</t>
  </si>
  <si>
    <t>TRENTON GENERATING STATION</t>
  </si>
  <si>
    <t>TRI007</t>
  </si>
  <si>
    <t>TRICAN INDUSTRIAL P/L SERVICES</t>
  </si>
  <si>
    <t>TRICAN PIPELINE AND INDUSTRIAL SERVICES LTD</t>
  </si>
  <si>
    <t>TRI010</t>
  </si>
  <si>
    <t>TRICAN SSOC WELL SERVICE (S)</t>
  </si>
  <si>
    <t>TRICAN SSOC WELL SERVICE LTD.  (S)</t>
  </si>
  <si>
    <t>TRICAN SSOC WELL SERVICE LTD. (S)</t>
  </si>
  <si>
    <t>TRICAN WELL SERVICE LTD</t>
  </si>
  <si>
    <t>TRICAN WELL SERVICE LTD (C)</t>
  </si>
  <si>
    <t>TRICAN WELL SERVICE LTD (S)</t>
  </si>
  <si>
    <t>TRICAN WELL SERVICE LTD(C)</t>
  </si>
  <si>
    <t>TRICAN WELL SERVICE LTD(S)</t>
  </si>
  <si>
    <t>TRICAN WELL SERVICE LTD. -  (C)</t>
  </si>
  <si>
    <t>TRICAN WELL SERVICE LTD.  (C)</t>
  </si>
  <si>
    <t>TRICAN WELL SERVICES LTD</t>
  </si>
  <si>
    <t>TRI002</t>
  </si>
  <si>
    <t>TRICEN TECHNOLOGIES FLORIDA, LLC</t>
  </si>
  <si>
    <t>TRI003</t>
  </si>
  <si>
    <t>TRIMBLE COUNTY POWER PLANT</t>
  </si>
  <si>
    <t>TRI009</t>
  </si>
  <si>
    <t>TRIPLE H SPECIALTY CO INC</t>
  </si>
  <si>
    <t>TRU002</t>
  </si>
  <si>
    <t>TRUST BUILDING &amp; ELECTRICAL MATERIALS</t>
  </si>
  <si>
    <t>TSP001</t>
  </si>
  <si>
    <t>TS POWER PLANT</t>
  </si>
  <si>
    <t>TSI001</t>
  </si>
  <si>
    <t>TSI ENGINEERING INC</t>
  </si>
  <si>
    <t>TUB001</t>
  </si>
  <si>
    <t>TUBE TECH LTD</t>
  </si>
  <si>
    <t>TUB003</t>
  </si>
  <si>
    <t>TUBES, INC.</t>
  </si>
  <si>
    <t>TUB002</t>
  </si>
  <si>
    <t>TUBULAR CLEANING SERVICES INC</t>
  </si>
  <si>
    <t>TUF001</t>
  </si>
  <si>
    <t>TUFTS COVE GENERATION STATION</t>
  </si>
  <si>
    <t>TUL001</t>
  </si>
  <si>
    <t>TULSA POWER STATION</t>
  </si>
  <si>
    <t>TULSA STATION</t>
  </si>
  <si>
    <t>TUR005</t>
  </si>
  <si>
    <t>TURBINE GENERATOR</t>
  </si>
  <si>
    <t>TUR001</t>
  </si>
  <si>
    <t>TURKEY POINT 1 - 2 - 5</t>
  </si>
  <si>
    <t>TURKEY POINT 1 &amp; 2</t>
  </si>
  <si>
    <t>TUR002</t>
  </si>
  <si>
    <t>TURKEY POINT 3 &amp; 4</t>
  </si>
  <si>
    <t>TURKEY POINT 3 &amp; 4 NUCLEAR PLANT</t>
  </si>
  <si>
    <t>TURKEY POINT NUCLEAR 3 &amp; 4</t>
  </si>
  <si>
    <t>TUR004</t>
  </si>
  <si>
    <t>TURNER INDUSTRIAL SERVICES LLC</t>
  </si>
  <si>
    <t>TUR006</t>
  </si>
  <si>
    <t>TURNER INDUSTRIES - NEDERLAND</t>
  </si>
  <si>
    <t>TWIN OAKS POWER</t>
  </si>
  <si>
    <t>TYN001</t>
  </si>
  <si>
    <t>TYNES BAY WASTE TREATMENT FACILITY</t>
  </si>
  <si>
    <t>TYNES BAY WASTE TREATMENT FACILTY</t>
  </si>
  <si>
    <t>TYR001</t>
  </si>
  <si>
    <t>TYRONE GENERATING STATION</t>
  </si>
  <si>
    <t>USA001</t>
  </si>
  <si>
    <t>U S AIRWAYS</t>
  </si>
  <si>
    <t>UNC001</t>
  </si>
  <si>
    <t>UNCHAHAR THERMAL POWER PROJECT</t>
  </si>
  <si>
    <t>UNI027</t>
  </si>
  <si>
    <t>UNIFIRST CORPORATION</t>
  </si>
  <si>
    <t>UNI002</t>
  </si>
  <si>
    <t>UNION ENGINEERING, INC.</t>
  </si>
  <si>
    <t>UNI019</t>
  </si>
  <si>
    <t>UNION POWER PROJECT</t>
  </si>
  <si>
    <t>UNI008</t>
  </si>
  <si>
    <t>UNITED CORPORATION LTD</t>
  </si>
  <si>
    <t>UNI006</t>
  </si>
  <si>
    <t>UNITED STATES COAST GUARD</t>
  </si>
  <si>
    <t>USS002</t>
  </si>
  <si>
    <t>UNITED STATES STEEL CORPORATION</t>
  </si>
  <si>
    <t>UNI021</t>
  </si>
  <si>
    <t>UNIVERSAL ENTERPRISE USA</t>
  </si>
  <si>
    <t>UPS023</t>
  </si>
  <si>
    <t>UNIVERSAL PLANT SERVICES - DEERPARK</t>
  </si>
  <si>
    <t>UNI001</t>
  </si>
  <si>
    <t>UNIVERSITY OF CALIFORNIA - IRVINE</t>
  </si>
  <si>
    <t>UNI007</t>
  </si>
  <si>
    <t>UNIVERSITY OF CINCINNATI - CENTRAL UTILITY PLANT</t>
  </si>
  <si>
    <t>UNI010</t>
  </si>
  <si>
    <t>UNIVERSITY OF ILLINOIS</t>
  </si>
  <si>
    <t>UNI004</t>
  </si>
  <si>
    <t>UNIVERSITY OF MICHIGAN</t>
  </si>
  <si>
    <t>UNI013</t>
  </si>
  <si>
    <t>UNIVERSITY OF NORTH CAROLINA</t>
  </si>
  <si>
    <t>UNI028</t>
  </si>
  <si>
    <t>UNIVERSITY OF NOTRE DAME</t>
  </si>
  <si>
    <t>UNI023</t>
  </si>
  <si>
    <t>UNIVERSITY OF PITTSBURGH</t>
  </si>
  <si>
    <t>UNI016</t>
  </si>
  <si>
    <t>UNIVERSITY OF PITTSBURGH (PGH)</t>
  </si>
  <si>
    <t>UPM001</t>
  </si>
  <si>
    <t>UPMC SHADYSIDE</t>
  </si>
  <si>
    <t>UNI005</t>
  </si>
  <si>
    <t>US ARMY RESERVE CENTER</t>
  </si>
  <si>
    <t>US BORAX AND CHEMICAL CORP</t>
  </si>
  <si>
    <t>US STEEL - CLAIRTON WORKS</t>
  </si>
  <si>
    <t>US STEEL - GARY WORKS</t>
  </si>
  <si>
    <t>USN003</t>
  </si>
  <si>
    <t>USNS HENSON</t>
  </si>
  <si>
    <t>USN004</t>
  </si>
  <si>
    <t>USNS MARY SEARS</t>
  </si>
  <si>
    <t>USN001</t>
  </si>
  <si>
    <t>USNS SUMNER</t>
  </si>
  <si>
    <t>UTC21112</t>
  </si>
  <si>
    <t>UTI001</t>
  </si>
  <si>
    <t>UTILITY INVESTMENT RECOVERY, LLC</t>
  </si>
  <si>
    <t>VCS001</t>
  </si>
  <si>
    <t>V C SUMMER STATION</t>
  </si>
  <si>
    <t>VAL009</t>
  </si>
  <si>
    <t>VALERO - CORPUS CHRISTI REFINERY</t>
  </si>
  <si>
    <t>VALERO - MCKEE REFINERY</t>
  </si>
  <si>
    <t>VAL006</t>
  </si>
  <si>
    <t>VALERO - THREE RIVERS REFINERY</t>
  </si>
  <si>
    <t>VALERO CORPUS CHRISTI REFINERY</t>
  </si>
  <si>
    <t>VAL003</t>
  </si>
  <si>
    <t>VALERO HOUSTON REFINERY</t>
  </si>
  <si>
    <t>VAL010</t>
  </si>
  <si>
    <t>VALERO MEMPHIS REFINERY</t>
  </si>
  <si>
    <t>VAL011</t>
  </si>
  <si>
    <t>VALERO REFINERY - MERAUX</t>
  </si>
  <si>
    <t>VALERO REFINING COMPANY</t>
  </si>
  <si>
    <t>VAL007</t>
  </si>
  <si>
    <t>VALERO TEXAS CITY REFINERY</t>
  </si>
  <si>
    <t>VALERO THREE RIVERS REFINERY</t>
  </si>
  <si>
    <t>HAG004</t>
  </si>
  <si>
    <t>VALLEN DISTRIBUTION INC</t>
  </si>
  <si>
    <t>VALLEN DISTRIBUTION, INC.</t>
  </si>
  <si>
    <t>VAL001</t>
  </si>
  <si>
    <t>VALLEY ENERGY CENTER</t>
  </si>
  <si>
    <t>VAL004</t>
  </si>
  <si>
    <t>VALLEY GENERATING STATION (WI)</t>
  </si>
  <si>
    <t>VAL002</t>
  </si>
  <si>
    <t>VALLEY PLANT (TX)</t>
  </si>
  <si>
    <t>VAL005</t>
  </si>
  <si>
    <t>VALMONT STATION</t>
  </si>
  <si>
    <t>VAL008</t>
  </si>
  <si>
    <t>VALUTECH INC</t>
  </si>
  <si>
    <t>VEN006</t>
  </si>
  <si>
    <t>VENETIAN HOTEL &amp; CASINO POWER PLANT</t>
  </si>
  <si>
    <t>VEN003</t>
  </si>
  <si>
    <t>VENMAR INC</t>
  </si>
  <si>
    <t>VEN004</t>
  </si>
  <si>
    <t>VENTANILLA PLANT</t>
  </si>
  <si>
    <t>VEN005</t>
  </si>
  <si>
    <t>Ventech Engineers</t>
  </si>
  <si>
    <t>VEOLIA - BURNSIDE</t>
  </si>
  <si>
    <t>VEOLIA - RED LION PLANT</t>
  </si>
  <si>
    <t>VEO002</t>
  </si>
  <si>
    <t>VEOLIA DISTRICT ENERGY</t>
  </si>
  <si>
    <t>VEO001</t>
  </si>
  <si>
    <t>VEOLIA ENVIRONMENTAL SERVICES</t>
  </si>
  <si>
    <t>VEOLIA ES PINELLAS INC</t>
  </si>
  <si>
    <t>VEOLIA PINELLAS INC</t>
  </si>
  <si>
    <t>VEOLIA RED LION PLANT</t>
  </si>
  <si>
    <t>VER003</t>
  </si>
  <si>
    <t>VERMONT YANKEE NUCLEAR PLANT</t>
  </si>
  <si>
    <t>VER006</t>
  </si>
  <si>
    <t>VERO BEACH STATION</t>
  </si>
  <si>
    <t>VES001</t>
  </si>
  <si>
    <t>VES COMPANY, INC.</t>
  </si>
  <si>
    <t>VET001</t>
  </si>
  <si>
    <t>VETERAN SALES AND SERVICE LOGISTICS</t>
  </si>
  <si>
    <t>VIC001</t>
  </si>
  <si>
    <t>VICKSBURG MILL</t>
  </si>
  <si>
    <t>VICKSBURG MILL PLANT</t>
  </si>
  <si>
    <t>VIC003</t>
  </si>
  <si>
    <t>VICTORIA POWER STATION</t>
  </si>
  <si>
    <t>VIE001</t>
  </si>
  <si>
    <t>VIENNA POWER LLC</t>
  </si>
  <si>
    <t>VIN001</t>
  </si>
  <si>
    <t>VINDHYACHAL SUP THERM PWR PROJ</t>
  </si>
  <si>
    <t>VIR003</t>
  </si>
  <si>
    <t>VIRGINIA CITY HYBRID ENERGY CENTER</t>
  </si>
  <si>
    <t>VIR002</t>
  </si>
  <si>
    <t>VIRGINIA MUNICIPAL POWER PLANT</t>
  </si>
  <si>
    <t>VOG001</t>
  </si>
  <si>
    <t>VOGTLE PLANT</t>
  </si>
  <si>
    <t>VUL002</t>
  </si>
  <si>
    <t>VULCAN PLANT</t>
  </si>
  <si>
    <t>VWR001</t>
  </si>
  <si>
    <t>VWR INTERNATIONAL INC</t>
  </si>
  <si>
    <t>WAM001</t>
  </si>
  <si>
    <t>W A MOORE &amp; ASSOCIATES</t>
  </si>
  <si>
    <t>WFW001</t>
  </si>
  <si>
    <t>W F WYMAN STEAM STATION</t>
  </si>
  <si>
    <t>WHS001</t>
  </si>
  <si>
    <t>W H SAMMIS PLANT</t>
  </si>
  <si>
    <t>TAG001</t>
  </si>
  <si>
    <t>W.C. Taggart Compressor Station</t>
  </si>
  <si>
    <t>WAB002</t>
  </si>
  <si>
    <t>WABASH GASIFICATION FACILITY</t>
  </si>
  <si>
    <t>WAB001</t>
  </si>
  <si>
    <t>WABASH RIVER STATION</t>
  </si>
  <si>
    <t>WAD001</t>
  </si>
  <si>
    <t>WADHAM ENERGY</t>
  </si>
  <si>
    <t>WAGNER PLANT</t>
  </si>
  <si>
    <t>WAH001</t>
  </si>
  <si>
    <t>WAHA OIL COMPANY</t>
  </si>
  <si>
    <t>WAI001</t>
  </si>
  <si>
    <t>WAIAU POWER PLANT</t>
  </si>
  <si>
    <t>WAL002</t>
  </si>
  <si>
    <t>WALCO MIDDLE EAST</t>
  </si>
  <si>
    <t>WAL001</t>
  </si>
  <si>
    <t>WALLINGFORD</t>
  </si>
  <si>
    <t>WAL005</t>
  </si>
  <si>
    <t>WALNUT ENERGY CENTER</t>
  </si>
  <si>
    <t>WALTER SCOTT JR ENERGY CENTER</t>
  </si>
  <si>
    <t>WAL006</t>
  </si>
  <si>
    <t>WALTZ MILL EAST SITE</t>
  </si>
  <si>
    <t>WAR004</t>
  </si>
  <si>
    <t>WARREN COUNTY POWER STATION</t>
  </si>
  <si>
    <t>WAR005</t>
  </si>
  <si>
    <t>WARREN COUNTY RESOURCE RECOVERY FACILITY</t>
  </si>
  <si>
    <t>WARREN ENERGY RESOURCE</t>
  </si>
  <si>
    <t>WARREN ENERGY RESOURCE CO</t>
  </si>
  <si>
    <t>WAR009</t>
  </si>
  <si>
    <t>WARRICK GENERATING STATION</t>
  </si>
  <si>
    <t>WARRICK POWER PLANT</t>
  </si>
  <si>
    <t>WAS004</t>
  </si>
  <si>
    <t>WASHINGTON DEMILITARIZED CO LLC (Pine Bluff Oper)</t>
  </si>
  <si>
    <t>WAS007</t>
  </si>
  <si>
    <t>WASHINGTON ENERGY FACILITY</t>
  </si>
  <si>
    <t>WAS002</t>
  </si>
  <si>
    <t>WASHINGTON GAS-VA</t>
  </si>
  <si>
    <t>WAS005</t>
  </si>
  <si>
    <t>WASTEWATER SPECIALTIES, INC.</t>
  </si>
  <si>
    <t>WAT002</t>
  </si>
  <si>
    <t>WATERBURY STATION</t>
  </si>
  <si>
    <t>WAT003</t>
  </si>
  <si>
    <t>WATEREE STATION</t>
  </si>
  <si>
    <t>WAT004</t>
  </si>
  <si>
    <t>WATERFORD 1&amp;2 SES (LA)</t>
  </si>
  <si>
    <t>WATERFORD 1&amp;2 STATION</t>
  </si>
  <si>
    <t>WATERFORD 1&amp;2 STATION (LA)</t>
  </si>
  <si>
    <t>WAT005</t>
  </si>
  <si>
    <t>WATERFORD 3 SES</t>
  </si>
  <si>
    <t>WATERFORD 3 SES (LA)</t>
  </si>
  <si>
    <t>WATERFORD NUC 3 SES (LA)</t>
  </si>
  <si>
    <t>WAT013</t>
  </si>
  <si>
    <t>WATERFORD PLANT (OH)</t>
  </si>
  <si>
    <t>WATERFORD STATION (OH)</t>
  </si>
  <si>
    <t>WAT008</t>
  </si>
  <si>
    <t>WATSON PLANT</t>
  </si>
  <si>
    <t>WAT015</t>
  </si>
  <si>
    <t>WATSON REFRIGERATION CO., INC.</t>
  </si>
  <si>
    <t>WAT012</t>
  </si>
  <si>
    <t>WATTS BAR NUCLEAR PLANT</t>
  </si>
  <si>
    <t>WAU001</t>
  </si>
  <si>
    <t>WAUKEGAN STATION</t>
  </si>
  <si>
    <t>WEA001</t>
  </si>
  <si>
    <t>WEATHERSPOON PLANT</t>
  </si>
  <si>
    <t>WEL002</t>
  </si>
  <si>
    <t>WELSH POWER PLANT</t>
  </si>
  <si>
    <t>WES030</t>
  </si>
  <si>
    <t>WESCO (FL)</t>
  </si>
  <si>
    <t>WES034</t>
  </si>
  <si>
    <t>WESCO DISTRIBUTION INC</t>
  </si>
  <si>
    <t>WES033</t>
  </si>
  <si>
    <t>WES029</t>
  </si>
  <si>
    <t>WESCO LEESBURG</t>
  </si>
  <si>
    <t>WES001</t>
  </si>
  <si>
    <t>WESCO SPS</t>
  </si>
  <si>
    <t>WES032</t>
  </si>
  <si>
    <t>WEST CAMPUS COGEN FACILITY</t>
  </si>
  <si>
    <t>WES002</t>
  </si>
  <si>
    <t>WEST COUNTY ENERGY CENTER</t>
  </si>
  <si>
    <t>WES011</t>
  </si>
  <si>
    <t>WEST DEPTFORD ENERGY STATION</t>
  </si>
  <si>
    <t>WES003</t>
  </si>
  <si>
    <t>WEST PHOENIX POWER PLANT</t>
  </si>
  <si>
    <t>WES007</t>
  </si>
  <si>
    <t>WEST SPRINGFIELD STATION</t>
  </si>
  <si>
    <t>WES014</t>
  </si>
  <si>
    <t>WESTAR ENERGY INC</t>
  </si>
  <si>
    <t>WES031</t>
  </si>
  <si>
    <t>WESTBROOK PLANT</t>
  </si>
  <si>
    <t>WESTBROOK PLANT (ME)</t>
  </si>
  <si>
    <t>WES009</t>
  </si>
  <si>
    <t>WESTCHESTER SITE</t>
  </si>
  <si>
    <t>WES012</t>
  </si>
  <si>
    <t>WESTERN REFINING</t>
  </si>
  <si>
    <t>WES027</t>
  </si>
  <si>
    <t>WESTERN RESERVE MECHANICAL</t>
  </si>
  <si>
    <t>WES017</t>
  </si>
  <si>
    <t>WESTINGHOUSE ANNISTON</t>
  </si>
  <si>
    <t>WESTLAKE - AXIALL SOUTH</t>
  </si>
  <si>
    <t>WES010</t>
  </si>
  <si>
    <t>WESTLAKE CHEMICAL - GEISMAR</t>
  </si>
  <si>
    <t>WES006</t>
  </si>
  <si>
    <t>WESTLAKE CHEMICAL - LONGVIEW</t>
  </si>
  <si>
    <t>WES036</t>
  </si>
  <si>
    <t>WESTLAKE CHEMICAL CORP</t>
  </si>
  <si>
    <t>WES037</t>
  </si>
  <si>
    <t>WESTLAKE CHEMICAL CORPORATION - PARENT</t>
  </si>
  <si>
    <t>WESTLAKE CHEMICAL SULPHUR</t>
  </si>
  <si>
    <t>WESTLAKE CHEMICAL, GEISMAR LA</t>
  </si>
  <si>
    <t>WESTLAKE CHEMICAL-LONGVIEW</t>
  </si>
  <si>
    <t>WESTLAKE PETROCHEMICALS</t>
  </si>
  <si>
    <t>WES005</t>
  </si>
  <si>
    <t>WESTLAKE POLYMERS</t>
  </si>
  <si>
    <t>WES022</t>
  </si>
  <si>
    <t>WESTOVER STATION</t>
  </si>
  <si>
    <t>WESTVACO TEXAS</t>
  </si>
  <si>
    <t>WESTWOOD GENERATING STATION</t>
  </si>
  <si>
    <t>WEY003</t>
  </si>
  <si>
    <t>WEYERHAEUSER COMPANY</t>
  </si>
  <si>
    <t>WHA001</t>
  </si>
  <si>
    <t>WHAYNE CAT</t>
  </si>
  <si>
    <t>WHEELABRATOR BRIDGEPORT L P</t>
  </si>
  <si>
    <t>WHEELABRATOR CLAREMONT CO L P</t>
  </si>
  <si>
    <t>WHEELABRATOR FALLS WTE</t>
  </si>
  <si>
    <t>WHE004</t>
  </si>
  <si>
    <t>WHEELABRATOR GLOUCESTER CO L P</t>
  </si>
  <si>
    <t>WHE011</t>
  </si>
  <si>
    <t>WHEELABRATOR HUDSON FALLS LLC</t>
  </si>
  <si>
    <t>WHE009</t>
  </si>
  <si>
    <t>WHEELABRATOR LISBON INC</t>
  </si>
  <si>
    <t>WHE012</t>
  </si>
  <si>
    <t>WHEELABRATOR NORTH BROWARD</t>
  </si>
  <si>
    <t>WHEELABRATOR PINELLAS INC</t>
  </si>
  <si>
    <t>WHE010</t>
  </si>
  <si>
    <t>WHEELABRATOR RIDGE STATION</t>
  </si>
  <si>
    <t>WHE006</t>
  </si>
  <si>
    <t>WHEELABRATOR SHASTA ENERGY CO</t>
  </si>
  <si>
    <t>WHE002</t>
  </si>
  <si>
    <t>WHEELABRATOR SOUTH BROWARD</t>
  </si>
  <si>
    <t>WHEELABRATOR WESTCHESTER L P</t>
  </si>
  <si>
    <t>WHI001</t>
  </si>
  <si>
    <t>WHITE BLUFF PLANT</t>
  </si>
  <si>
    <t>WHITE BLUFF STATION</t>
  </si>
  <si>
    <t>WHI006</t>
  </si>
  <si>
    <t>WHITE PINE ELECTRIC POWER LLC</t>
  </si>
  <si>
    <t>WHI005</t>
  </si>
  <si>
    <t>WHITEWATER L P</t>
  </si>
  <si>
    <t>WHI003</t>
  </si>
  <si>
    <t>WHITEWATER VALLEY PLANT</t>
  </si>
  <si>
    <t>WHI004</t>
  </si>
  <si>
    <t>WHITING BUSINESS UNIT</t>
  </si>
  <si>
    <t>WID001</t>
  </si>
  <si>
    <t>WIDOWS CREEK FOSSIL PLANT</t>
  </si>
  <si>
    <t>WIG001</t>
  </si>
  <si>
    <t>WIG FRANCE ENTERPRISES</t>
  </si>
  <si>
    <t>WIL007</t>
  </si>
  <si>
    <t>WILDCAT POINT GENERATION FACILITY</t>
  </si>
  <si>
    <t>WIL002</t>
  </si>
  <si>
    <t>WILKES POWER PLANT</t>
  </si>
  <si>
    <t>WIL004</t>
  </si>
  <si>
    <t>WILL COUNTY STATION</t>
  </si>
  <si>
    <t>WIL017</t>
  </si>
  <si>
    <t>WILLIAMS INDUSTRIAL SERVICES LLC</t>
  </si>
  <si>
    <t>WIL001</t>
  </si>
  <si>
    <t>WILLMAR POWER PLANT</t>
  </si>
  <si>
    <t>WIL011</t>
  </si>
  <si>
    <t>WIL012</t>
  </si>
  <si>
    <t>WILLOW GLEN PLANT</t>
  </si>
  <si>
    <t>WIL013</t>
  </si>
  <si>
    <t>WILLOW ISLAND POWER STATION</t>
  </si>
  <si>
    <t>WILMARTH POWER PLANT</t>
  </si>
  <si>
    <t>WILMARTH RDF PLANT</t>
  </si>
  <si>
    <t>WILMINGTON CALCINER</t>
  </si>
  <si>
    <t>WIL019</t>
  </si>
  <si>
    <t>WILSON SUPPLY</t>
  </si>
  <si>
    <t>WIN002</t>
  </si>
  <si>
    <t>WINDWALKER INDUSTRIAL SERVICES</t>
  </si>
  <si>
    <t>WINDWALKER INDUSTRIAL SERVICES INC</t>
  </si>
  <si>
    <t>WIN004</t>
  </si>
  <si>
    <t>WINFIELD STATION</t>
  </si>
  <si>
    <t>WIN008</t>
  </si>
  <si>
    <t>WINTHROP MANAGEMENT LLC</t>
  </si>
  <si>
    <t>WIN010</t>
  </si>
  <si>
    <t>WINYAH GENERATING STATION</t>
  </si>
  <si>
    <t>WIS001</t>
  </si>
  <si>
    <t>WISCONSIN POWER &amp; LIGHT CO</t>
  </si>
  <si>
    <t>WIS002</t>
  </si>
  <si>
    <t>WISE COUNTY POWER COMPANY</t>
  </si>
  <si>
    <t>WOL001</t>
  </si>
  <si>
    <t>WOLF CREEK NUCLEAR GENERATING STATION</t>
  </si>
  <si>
    <t>WOL004</t>
  </si>
  <si>
    <t>WOLF HOLLOW I L P</t>
  </si>
  <si>
    <t>WOLF HOLLOW I LP</t>
  </si>
  <si>
    <t>WOLF HOLLOW POWER PROJECT</t>
  </si>
  <si>
    <t>WOLF HOLLOW STATION</t>
  </si>
  <si>
    <t>WOLSELEY INDUSTRIAL GROUP</t>
  </si>
  <si>
    <t>WOO001</t>
  </si>
  <si>
    <t>WOOD RIVER STATION</t>
  </si>
  <si>
    <t>WOO005</t>
  </si>
  <si>
    <t>WOODBRIDGE  ENERGY CENTER</t>
  </si>
  <si>
    <t>WOODLAND BIOMASS POWER PLANT</t>
  </si>
  <si>
    <t>WOODLAND BIOMASS POWER, LTD</t>
  </si>
  <si>
    <t>WRI002</t>
  </si>
  <si>
    <t>WRIGHT &amp; CO</t>
  </si>
  <si>
    <t>WRIGHT &amp; COMPANY</t>
  </si>
  <si>
    <t>WS LEE STEAM STATION (SC)</t>
  </si>
  <si>
    <t>WUH001</t>
  </si>
  <si>
    <t>WUHAN JINDA TECH CO LTD</t>
  </si>
  <si>
    <t>WYA002</t>
  </si>
  <si>
    <t>WYANDOTTE STEAM STATION</t>
  </si>
  <si>
    <t>WYG001</t>
  </si>
  <si>
    <t>WYGEN l POWER PLANT (WYODAK ENERGY CENTER)</t>
  </si>
  <si>
    <t>WYG002</t>
  </si>
  <si>
    <t>WYGEN ll POWER PLANT (WYODAK ENERGY CENTER)</t>
  </si>
  <si>
    <t>WYG003</t>
  </si>
  <si>
    <t>WYGEN lll POWER PLANT (WYODAK ENERGY CENTER)</t>
  </si>
  <si>
    <t>WYGEN POWER PLANT</t>
  </si>
  <si>
    <t>WYO002</t>
  </si>
  <si>
    <t>WYODAK</t>
  </si>
  <si>
    <t>WYODAK PLANT</t>
  </si>
  <si>
    <t>WYO001</t>
  </si>
  <si>
    <t>WYOMING VALLEY SANITARY AUTHORITY</t>
  </si>
  <si>
    <t>XCE002</t>
  </si>
  <si>
    <t>XCEL ENERGY - MATERIAL DISTRIBUTION CENTER</t>
  </si>
  <si>
    <t>YAT001</t>
  </si>
  <si>
    <t>YATES PLANT</t>
  </si>
  <si>
    <t>YEL001</t>
  </si>
  <si>
    <t>YELLOWSTONE POWER PLANT</t>
  </si>
  <si>
    <t>YOR003</t>
  </si>
  <si>
    <t>YORK COUNTY RESOURCE RECOVERY PLANT</t>
  </si>
  <si>
    <t>YORK RESOURCE ENERGY SYSTEMS</t>
  </si>
  <si>
    <t>YOR002</t>
  </si>
  <si>
    <t>YORKTOWN STATION</t>
  </si>
  <si>
    <t>YOU001</t>
  </si>
  <si>
    <t>YOUNG STATION</t>
  </si>
  <si>
    <t>YUBA HEAT TRANSFER LLC</t>
  </si>
  <si>
    <t>YUC001</t>
  </si>
  <si>
    <t>YUCCA POWER PLANT</t>
  </si>
  <si>
    <t>ZAC002</t>
  </si>
  <si>
    <t>ZACHRY CONSTRUCTION CORP</t>
  </si>
  <si>
    <t>ZACHRY CONSTRUCTION CORP (TX)</t>
  </si>
  <si>
    <t>ZHE001</t>
  </si>
  <si>
    <t>ZHEJIANG RUNFENG ENERGY ENG</t>
  </si>
  <si>
    <t>ZHEJIANG UNIVERSITY ENERGY TECHNOLOGY CO LTD</t>
  </si>
  <si>
    <t>ZIM001</t>
  </si>
  <si>
    <t>ZIMMER POWER PLANT</t>
  </si>
  <si>
    <t>ZIMMER STATION</t>
  </si>
  <si>
    <t>ZIO001</t>
  </si>
  <si>
    <t>ZION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</si>
</sst>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3" x14ac:knownFonts="1">
    <font>
      <sz val="9"/>
      <name val="Segoe UI"/>
    </font>
    <font>
      <b/>
      <sz val="9"/>
      <name val="Segoe UI"/>
      <family val="2"/>
    </font>
    <font>
      <sz val="9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4" fontId="2" fillId="0" borderId="0" applyFont="0" applyFill="0" applyBorder="0" applyAlignment="0" applyProtection="0"/>
    <xf numFmtId="0" fontId="2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44" fontId="1" fillId="0" borderId="0" xfId="1" applyFont="1" applyAlignment="1">
      <alignment vertical="center"/>
    </xf>
    <xf numFmtId="0" fontId="2" fillId="0" borderId="0" xfId="2">
      <alignment vertical="center"/>
    </xf>
    <xf numFmtId="14" fontId="2" fillId="0" borderId="0" xfId="2" applyNumberFormat="1">
      <alignment vertical="center"/>
    </xf>
    <xf numFmtId="1" fontId="2" fillId="0" borderId="0" xfId="2" applyNumberFormat="1">
      <alignment vertical="center"/>
    </xf>
    <xf numFmtId="42" fontId="2" fillId="0" borderId="0" xfId="1" applyNumberFormat="1" applyFont="1" applyAlignment="1">
      <alignment vertical="center"/>
    </xf>
    <xf numFmtId="14" fontId="0" fillId="0" borderId="0" xfId="0" applyNumberFormat="1">
      <alignment vertical="center"/>
    </xf>
    <xf numFmtId="1" fontId="0" fillId="0" borderId="0" xfId="0" applyNumberFormat="1">
      <alignment vertical="center"/>
    </xf>
    <xf numFmtId="42" fontId="0" fillId="0" borderId="0" xfId="1" applyNumberFormat="1" applyFont="1" applyAlignment="1">
      <alignment vertical="center"/>
    </xf>
    <xf numFmtId="44" fontId="0" fillId="0" borderId="0" xfId="1" applyFont="1" applyAlignment="1">
      <alignment vertical="center"/>
    </xf>
  </cellXfs>
  <cellStyles count="3">
    <cellStyle name="Currency" xfId="1" builtinId="4"/>
    <cellStyle name="Normal" xfId="0" builtinId="0"/>
    <cellStyle name="Normal 2" xfId="2" xr:uid="{4522F8B4-D5D6-4CBC-91A5-21645632DD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5060-7812-47EF-9B40-EE5FDD264945}">
  <dimension ref="B1:H29644"/>
  <sheetViews>
    <sheetView tabSelected="1" topLeftCell="A29607" zoomScale="85" zoomScaleNormal="85" workbookViewId="0">
      <selection activeCell="C29629" sqref="C29629"/>
    </sheetView>
  </sheetViews>
  <sheetFormatPr defaultRowHeight="14" x14ac:dyDescent="0.4"/>
  <cols>
    <col min="1" max="1" width="1" customWidth="1"/>
    <col min="2" max="2" width="9.69921875" bestFit="1" customWidth="1"/>
    <col min="3" max="3" width="18" bestFit="1" customWidth="1"/>
    <col min="4" max="4" width="15.19921875" style="7" bestFit="1" customWidth="1"/>
    <col min="5" max="5" width="15.19921875" style="7" customWidth="1"/>
    <col min="6" max="6" width="74.69921875" bestFit="1" customWidth="1"/>
    <col min="7" max="7" width="20" style="10" bestFit="1" customWidth="1"/>
    <col min="8" max="8" width="15.19921875" style="8" bestFit="1" customWidth="1"/>
  </cols>
  <sheetData>
    <row r="1" spans="2:8" ht="17.5" customHeight="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</row>
    <row r="2" spans="2:8" ht="17.5" customHeight="1" x14ac:dyDescent="0.4">
      <c r="B2" s="3" t="s">
        <v>7</v>
      </c>
      <c r="C2" s="3" t="s">
        <v>8</v>
      </c>
      <c r="D2" s="4">
        <f>DATE(2006,12,18)</f>
        <v>39069</v>
      </c>
      <c r="E2" s="5">
        <f>YEAR(D2)</f>
        <v>2006</v>
      </c>
      <c r="F2" s="3" t="s">
        <v>9</v>
      </c>
      <c r="G2" s="6">
        <v>789.21</v>
      </c>
      <c r="H2" s="5">
        <v>7667</v>
      </c>
    </row>
    <row r="3" spans="2:8" ht="17.5" customHeight="1" x14ac:dyDescent="0.4">
      <c r="B3" t="s">
        <v>7</v>
      </c>
      <c r="C3" t="s">
        <v>10</v>
      </c>
      <c r="D3" s="7">
        <f>DATE(2007,2,15)</f>
        <v>39128</v>
      </c>
      <c r="E3" s="8">
        <f t="shared" ref="E3:E66" si="0">YEAR(D3)</f>
        <v>2007</v>
      </c>
      <c r="F3" t="s">
        <v>11</v>
      </c>
      <c r="G3" s="9">
        <v>2528.77</v>
      </c>
      <c r="H3" s="8">
        <v>5521</v>
      </c>
    </row>
    <row r="4" spans="2:8" ht="17.5" customHeight="1" x14ac:dyDescent="0.4">
      <c r="B4" t="s">
        <v>7</v>
      </c>
      <c r="C4" t="s">
        <v>10</v>
      </c>
      <c r="D4" s="7">
        <f>DATE(2007,5,1)</f>
        <v>39203</v>
      </c>
      <c r="E4" s="8">
        <f t="shared" si="0"/>
        <v>2007</v>
      </c>
      <c r="F4" t="s">
        <v>11</v>
      </c>
      <c r="G4" s="9">
        <v>12494.76</v>
      </c>
      <c r="H4" s="8">
        <v>5209</v>
      </c>
    </row>
    <row r="5" spans="2:8" ht="17.5" customHeight="1" x14ac:dyDescent="0.4">
      <c r="B5" t="s">
        <v>7</v>
      </c>
      <c r="C5" t="s">
        <v>10</v>
      </c>
      <c r="D5" s="7">
        <f>DATE(2007,5,1)</f>
        <v>39203</v>
      </c>
      <c r="E5" s="8">
        <f t="shared" si="0"/>
        <v>2007</v>
      </c>
      <c r="F5" t="s">
        <v>11</v>
      </c>
      <c r="G5" s="9">
        <v>6797.5</v>
      </c>
      <c r="H5" s="8">
        <v>5210</v>
      </c>
    </row>
    <row r="6" spans="2:8" ht="17.5" customHeight="1" x14ac:dyDescent="0.4">
      <c r="B6" t="s">
        <v>7</v>
      </c>
      <c r="C6" t="s">
        <v>12</v>
      </c>
      <c r="D6" s="7">
        <f>DATE(2005,3,2)</f>
        <v>38413</v>
      </c>
      <c r="E6" s="8">
        <f t="shared" si="0"/>
        <v>2005</v>
      </c>
      <c r="F6" t="s">
        <v>13</v>
      </c>
      <c r="G6" s="9">
        <v>2259.83</v>
      </c>
      <c r="H6" s="8">
        <v>2859</v>
      </c>
    </row>
    <row r="7" spans="2:8" ht="17.5" customHeight="1" x14ac:dyDescent="0.4">
      <c r="B7" t="s">
        <v>7</v>
      </c>
      <c r="C7" t="s">
        <v>12</v>
      </c>
      <c r="D7" s="7">
        <f>DATE(2007,1,6)</f>
        <v>39088</v>
      </c>
      <c r="E7" s="8">
        <f t="shared" si="0"/>
        <v>2007</v>
      </c>
      <c r="F7" t="s">
        <v>13</v>
      </c>
      <c r="G7" s="9">
        <v>4249.8999999999996</v>
      </c>
      <c r="H7" s="8">
        <v>5344</v>
      </c>
    </row>
    <row r="8" spans="2:8" ht="17.5" customHeight="1" x14ac:dyDescent="0.4">
      <c r="B8" t="s">
        <v>7</v>
      </c>
      <c r="C8" t="s">
        <v>12</v>
      </c>
      <c r="D8" s="7">
        <f>DATE(2007,4,1)</f>
        <v>39173</v>
      </c>
      <c r="E8" s="8">
        <f t="shared" si="0"/>
        <v>2007</v>
      </c>
      <c r="F8" t="s">
        <v>13</v>
      </c>
      <c r="G8" s="9">
        <v>3688.91</v>
      </c>
      <c r="H8" s="8">
        <v>5773</v>
      </c>
    </row>
    <row r="9" spans="2:8" ht="17.5" customHeight="1" x14ac:dyDescent="0.4">
      <c r="B9" t="s">
        <v>7</v>
      </c>
      <c r="C9" t="s">
        <v>12</v>
      </c>
      <c r="D9" s="7">
        <f>DATE(2008,10,8)</f>
        <v>39729</v>
      </c>
      <c r="E9" s="8">
        <f t="shared" si="0"/>
        <v>2008</v>
      </c>
      <c r="F9" t="s">
        <v>13</v>
      </c>
      <c r="G9" s="9">
        <v>4657.34</v>
      </c>
      <c r="H9" s="8">
        <v>7906</v>
      </c>
    </row>
    <row r="10" spans="2:8" ht="17.5" customHeight="1" x14ac:dyDescent="0.4">
      <c r="B10" t="s">
        <v>7</v>
      </c>
      <c r="C10" t="s">
        <v>12</v>
      </c>
      <c r="D10" s="7">
        <f>DATE(2009,3,24)</f>
        <v>39896</v>
      </c>
      <c r="E10" s="8">
        <f t="shared" si="0"/>
        <v>2009</v>
      </c>
      <c r="F10" t="s">
        <v>13</v>
      </c>
      <c r="G10" s="9">
        <v>5732.95</v>
      </c>
      <c r="H10" s="8">
        <v>8496</v>
      </c>
    </row>
    <row r="11" spans="2:8" ht="17.5" customHeight="1" x14ac:dyDescent="0.4">
      <c r="B11" t="s">
        <v>7</v>
      </c>
      <c r="C11" t="s">
        <v>12</v>
      </c>
      <c r="D11" s="7">
        <f>DATE(2010,10,18)</f>
        <v>40469</v>
      </c>
      <c r="E11" s="8">
        <f t="shared" si="0"/>
        <v>2010</v>
      </c>
      <c r="F11" t="s">
        <v>13</v>
      </c>
      <c r="G11" s="9">
        <v>4557.25</v>
      </c>
      <c r="H11" s="8">
        <v>10202</v>
      </c>
    </row>
    <row r="12" spans="2:8" ht="17.5" customHeight="1" x14ac:dyDescent="0.4">
      <c r="B12" t="s">
        <v>7</v>
      </c>
      <c r="C12" t="s">
        <v>12</v>
      </c>
      <c r="D12" s="7">
        <f>DATE(2011,11,15)</f>
        <v>40862</v>
      </c>
      <c r="E12" s="8">
        <f t="shared" si="0"/>
        <v>2011</v>
      </c>
      <c r="F12" t="s">
        <v>13</v>
      </c>
      <c r="G12" s="9">
        <v>5351.4</v>
      </c>
      <c r="H12" s="8">
        <v>11124</v>
      </c>
    </row>
    <row r="13" spans="2:8" ht="17.5" customHeight="1" x14ac:dyDescent="0.4">
      <c r="B13" t="s">
        <v>7</v>
      </c>
      <c r="C13" t="s">
        <v>12</v>
      </c>
      <c r="D13" s="7">
        <f>DATE(2011,12,8)</f>
        <v>40885</v>
      </c>
      <c r="E13" s="8">
        <f t="shared" si="0"/>
        <v>2011</v>
      </c>
      <c r="F13" t="s">
        <v>13</v>
      </c>
      <c r="G13" s="9">
        <v>12773.09</v>
      </c>
      <c r="H13" s="8">
        <v>11169</v>
      </c>
    </row>
    <row r="14" spans="2:8" ht="17.5" customHeight="1" x14ac:dyDescent="0.4">
      <c r="B14" t="s">
        <v>7</v>
      </c>
      <c r="C14" t="s">
        <v>12</v>
      </c>
      <c r="D14" s="7">
        <f>DATE(2012,2,6)</f>
        <v>40945</v>
      </c>
      <c r="E14" s="8">
        <f t="shared" si="0"/>
        <v>2012</v>
      </c>
      <c r="F14" t="s">
        <v>13</v>
      </c>
      <c r="G14" s="9">
        <v>4871.0200000000004</v>
      </c>
      <c r="H14" s="8">
        <v>11193</v>
      </c>
    </row>
    <row r="15" spans="2:8" ht="17.5" customHeight="1" x14ac:dyDescent="0.4">
      <c r="B15" t="s">
        <v>7</v>
      </c>
      <c r="C15" t="s">
        <v>14</v>
      </c>
      <c r="D15" s="7">
        <f>DATE(2015,1,27)</f>
        <v>42031</v>
      </c>
      <c r="E15" s="8">
        <f t="shared" si="0"/>
        <v>2015</v>
      </c>
      <c r="F15" t="s">
        <v>15</v>
      </c>
      <c r="G15" s="9">
        <v>664</v>
      </c>
      <c r="H15" s="8">
        <v>8</v>
      </c>
    </row>
    <row r="16" spans="2:8" ht="17.5" customHeight="1" x14ac:dyDescent="0.4">
      <c r="B16" t="s">
        <v>7</v>
      </c>
      <c r="C16" t="s">
        <v>14</v>
      </c>
      <c r="D16" s="7">
        <f>DATE(2016,5,26)</f>
        <v>42516</v>
      </c>
      <c r="E16" s="8">
        <f t="shared" si="0"/>
        <v>2016</v>
      </c>
      <c r="F16" t="s">
        <v>15</v>
      </c>
      <c r="G16" s="9">
        <v>10432.27</v>
      </c>
      <c r="H16" s="8">
        <v>22887</v>
      </c>
    </row>
    <row r="17" spans="2:8" ht="17.5" customHeight="1" x14ac:dyDescent="0.4">
      <c r="B17" t="s">
        <v>7</v>
      </c>
      <c r="C17" t="s">
        <v>14</v>
      </c>
      <c r="D17" s="7">
        <f>DATE(2017,11,20)</f>
        <v>43059</v>
      </c>
      <c r="E17" s="8">
        <f t="shared" si="0"/>
        <v>2017</v>
      </c>
      <c r="F17" t="s">
        <v>15</v>
      </c>
      <c r="G17" s="9">
        <v>8364.6</v>
      </c>
      <c r="H17" s="8">
        <v>25906</v>
      </c>
    </row>
    <row r="18" spans="2:8" ht="17.5" customHeight="1" x14ac:dyDescent="0.4">
      <c r="B18" t="s">
        <v>7</v>
      </c>
      <c r="C18" t="s">
        <v>14</v>
      </c>
      <c r="D18" s="7">
        <f>DATE(2010,7,27)</f>
        <v>40386</v>
      </c>
      <c r="E18" s="8">
        <f t="shared" si="0"/>
        <v>2010</v>
      </c>
      <c r="F18" t="s">
        <v>15</v>
      </c>
      <c r="G18" s="9">
        <v>5388</v>
      </c>
      <c r="H18" s="8">
        <v>10007</v>
      </c>
    </row>
    <row r="19" spans="2:8" ht="17.5" customHeight="1" x14ac:dyDescent="0.4">
      <c r="B19" t="s">
        <v>7</v>
      </c>
      <c r="C19" t="s">
        <v>14</v>
      </c>
      <c r="D19" s="7">
        <f>DATE(2012,1,13)</f>
        <v>40921</v>
      </c>
      <c r="E19" s="8">
        <f t="shared" si="0"/>
        <v>2012</v>
      </c>
      <c r="F19" t="s">
        <v>15</v>
      </c>
      <c r="G19" s="9">
        <v>7692.9</v>
      </c>
      <c r="H19" s="8">
        <v>11221</v>
      </c>
    </row>
    <row r="20" spans="2:8" ht="17.5" customHeight="1" x14ac:dyDescent="0.4">
      <c r="B20" s="3" t="s">
        <v>7</v>
      </c>
      <c r="C20" s="3" t="s">
        <v>14</v>
      </c>
      <c r="D20" s="4">
        <f>DATE(2009,1,15)</f>
        <v>39828</v>
      </c>
      <c r="E20" s="5">
        <f t="shared" si="0"/>
        <v>2009</v>
      </c>
      <c r="F20" s="3" t="s">
        <v>15</v>
      </c>
      <c r="G20" s="6">
        <v>534</v>
      </c>
      <c r="H20" s="5">
        <v>11808</v>
      </c>
    </row>
    <row r="21" spans="2:8" ht="17.5" customHeight="1" x14ac:dyDescent="0.4">
      <c r="B21" s="3" t="s">
        <v>7</v>
      </c>
      <c r="C21" s="3" t="s">
        <v>14</v>
      </c>
      <c r="D21" s="4">
        <f>DATE(2011,4,14)</f>
        <v>40647</v>
      </c>
      <c r="E21" s="5">
        <f t="shared" si="0"/>
        <v>2011</v>
      </c>
      <c r="F21" s="3" t="s">
        <v>15</v>
      </c>
      <c r="G21" s="6">
        <v>3222.33</v>
      </c>
      <c r="H21" s="5">
        <v>15407</v>
      </c>
    </row>
    <row r="22" spans="2:8" ht="17.5" customHeight="1" x14ac:dyDescent="0.4">
      <c r="B22" s="3" t="s">
        <v>7</v>
      </c>
      <c r="C22" s="3" t="s">
        <v>14</v>
      </c>
      <c r="D22" s="4">
        <f>DATE(2011,5,24)</f>
        <v>40687</v>
      </c>
      <c r="E22" s="5">
        <f t="shared" si="0"/>
        <v>2011</v>
      </c>
      <c r="F22" s="3" t="s">
        <v>15</v>
      </c>
      <c r="G22" s="6">
        <v>3650.29</v>
      </c>
      <c r="H22" s="5">
        <v>15569</v>
      </c>
    </row>
    <row r="23" spans="2:8" ht="17.5" customHeight="1" x14ac:dyDescent="0.4">
      <c r="B23" s="3" t="s">
        <v>16</v>
      </c>
      <c r="C23" s="3" t="s">
        <v>14</v>
      </c>
      <c r="D23" s="4">
        <f>DATE(2011,4,14)</f>
        <v>40647</v>
      </c>
      <c r="E23" s="5">
        <f t="shared" si="0"/>
        <v>2011</v>
      </c>
      <c r="F23" s="3" t="s">
        <v>15</v>
      </c>
      <c r="G23" s="6">
        <v>2092</v>
      </c>
      <c r="H23" s="5">
        <v>15570</v>
      </c>
    </row>
    <row r="24" spans="2:8" ht="17.5" customHeight="1" x14ac:dyDescent="0.4">
      <c r="B24" s="3" t="s">
        <v>7</v>
      </c>
      <c r="C24" s="3" t="s">
        <v>17</v>
      </c>
      <c r="D24" s="4">
        <f>DATE(2003,5,9)</f>
        <v>37750</v>
      </c>
      <c r="E24" s="5">
        <f t="shared" si="0"/>
        <v>2003</v>
      </c>
      <c r="F24" s="3" t="s">
        <v>18</v>
      </c>
      <c r="G24" s="6">
        <v>95</v>
      </c>
      <c r="H24" s="5">
        <v>910</v>
      </c>
    </row>
    <row r="25" spans="2:8" ht="17.5" customHeight="1" x14ac:dyDescent="0.4">
      <c r="B25" s="3" t="s">
        <v>7</v>
      </c>
      <c r="C25" s="3" t="s">
        <v>17</v>
      </c>
      <c r="D25" s="4">
        <f>DATE(2003,10,23)</f>
        <v>37917</v>
      </c>
      <c r="E25" s="5">
        <f t="shared" si="0"/>
        <v>2003</v>
      </c>
      <c r="F25" s="3" t="s">
        <v>18</v>
      </c>
      <c r="G25" s="6">
        <v>727</v>
      </c>
      <c r="H25" s="5">
        <v>1683</v>
      </c>
    </row>
    <row r="26" spans="2:8" ht="17.5" customHeight="1" x14ac:dyDescent="0.4">
      <c r="B26" s="3" t="s">
        <v>7</v>
      </c>
      <c r="C26" s="3" t="s">
        <v>17</v>
      </c>
      <c r="D26" s="4">
        <f>DATE(2003,12,15)</f>
        <v>37970</v>
      </c>
      <c r="E26" s="5">
        <f t="shared" si="0"/>
        <v>2003</v>
      </c>
      <c r="F26" s="3" t="s">
        <v>18</v>
      </c>
      <c r="G26" s="6">
        <v>366</v>
      </c>
      <c r="H26" s="5">
        <v>1900</v>
      </c>
    </row>
    <row r="27" spans="2:8" ht="17.5" customHeight="1" x14ac:dyDescent="0.4">
      <c r="B27" s="3" t="s">
        <v>7</v>
      </c>
      <c r="C27" s="3" t="s">
        <v>19</v>
      </c>
      <c r="D27" s="4">
        <f>DATE(2014,11,20)</f>
        <v>41963</v>
      </c>
      <c r="E27" s="5">
        <f t="shared" si="0"/>
        <v>2014</v>
      </c>
      <c r="F27" s="3" t="s">
        <v>20</v>
      </c>
      <c r="G27" s="6">
        <v>635.49</v>
      </c>
      <c r="H27" s="5">
        <v>20585</v>
      </c>
    </row>
    <row r="28" spans="2:8" ht="17.5" customHeight="1" x14ac:dyDescent="0.4">
      <c r="B28" s="3" t="s">
        <v>7</v>
      </c>
      <c r="C28" s="3" t="s">
        <v>19</v>
      </c>
      <c r="D28" s="4">
        <f>DATE(2012,9,11)</f>
        <v>41163</v>
      </c>
      <c r="E28" s="5">
        <f t="shared" si="0"/>
        <v>2012</v>
      </c>
      <c r="F28" s="3" t="s">
        <v>21</v>
      </c>
      <c r="G28" s="6">
        <v>7105</v>
      </c>
      <c r="H28" s="5">
        <v>17505</v>
      </c>
    </row>
    <row r="29" spans="2:8" ht="17.5" customHeight="1" x14ac:dyDescent="0.4">
      <c r="B29" s="3" t="s">
        <v>7</v>
      </c>
      <c r="C29" s="3" t="s">
        <v>19</v>
      </c>
      <c r="D29" s="4">
        <f>DATE(2012,10,3)</f>
        <v>41185</v>
      </c>
      <c r="E29" s="5">
        <f t="shared" si="0"/>
        <v>2012</v>
      </c>
      <c r="F29" s="3" t="s">
        <v>21</v>
      </c>
      <c r="G29" s="6">
        <v>309.83999999999997</v>
      </c>
      <c r="H29" s="5">
        <v>17623</v>
      </c>
    </row>
    <row r="30" spans="2:8" ht="17.5" customHeight="1" x14ac:dyDescent="0.4">
      <c r="B30" s="3" t="s">
        <v>7</v>
      </c>
      <c r="C30" s="3" t="s">
        <v>19</v>
      </c>
      <c r="D30" s="4">
        <f>DATE(2012,10,3)</f>
        <v>41185</v>
      </c>
      <c r="E30" s="5">
        <f t="shared" si="0"/>
        <v>2012</v>
      </c>
      <c r="F30" s="3" t="s">
        <v>21</v>
      </c>
      <c r="G30" s="6">
        <v>1158</v>
      </c>
      <c r="H30" s="5">
        <v>17577</v>
      </c>
    </row>
    <row r="31" spans="2:8" ht="17.5" customHeight="1" x14ac:dyDescent="0.4">
      <c r="B31" s="3" t="s">
        <v>7</v>
      </c>
      <c r="C31" s="3" t="s">
        <v>19</v>
      </c>
      <c r="D31" s="4">
        <f>DATE(2012,10,3)</f>
        <v>41185</v>
      </c>
      <c r="E31" s="5">
        <f t="shared" si="0"/>
        <v>2012</v>
      </c>
      <c r="F31" s="3" t="s">
        <v>21</v>
      </c>
      <c r="G31" s="6">
        <v>55307.8</v>
      </c>
      <c r="H31" s="5">
        <v>17490</v>
      </c>
    </row>
    <row r="32" spans="2:8" ht="17.5" customHeight="1" x14ac:dyDescent="0.4">
      <c r="B32" s="3" t="s">
        <v>7</v>
      </c>
      <c r="C32" s="3" t="s">
        <v>19</v>
      </c>
      <c r="D32" s="4">
        <f>DATE(2012,10,25)</f>
        <v>41207</v>
      </c>
      <c r="E32" s="5">
        <f t="shared" si="0"/>
        <v>2012</v>
      </c>
      <c r="F32" s="3" t="s">
        <v>21</v>
      </c>
      <c r="G32" s="6">
        <v>1394.4</v>
      </c>
      <c r="H32" s="5">
        <v>17630</v>
      </c>
    </row>
    <row r="33" spans="2:8" ht="17.5" customHeight="1" x14ac:dyDescent="0.4">
      <c r="B33" s="3" t="s">
        <v>7</v>
      </c>
      <c r="C33" s="3" t="s">
        <v>19</v>
      </c>
      <c r="D33" s="4">
        <f>DATE(2014,9,4)</f>
        <v>41886</v>
      </c>
      <c r="E33" s="5">
        <f t="shared" si="0"/>
        <v>2014</v>
      </c>
      <c r="F33" s="3" t="s">
        <v>21</v>
      </c>
      <c r="G33" s="6">
        <v>67.52</v>
      </c>
      <c r="H33" s="5">
        <v>20178</v>
      </c>
    </row>
    <row r="34" spans="2:8" ht="17.5" customHeight="1" x14ac:dyDescent="0.4">
      <c r="B34" s="3" t="s">
        <v>7</v>
      </c>
      <c r="C34" s="3" t="s">
        <v>19</v>
      </c>
      <c r="D34" s="4">
        <f>DATE(2014,12,11)</f>
        <v>41984</v>
      </c>
      <c r="E34" s="5">
        <f t="shared" si="0"/>
        <v>2014</v>
      </c>
      <c r="F34" s="3" t="s">
        <v>21</v>
      </c>
      <c r="G34" s="6">
        <v>80.900000000000006</v>
      </c>
      <c r="H34" s="5">
        <v>20638</v>
      </c>
    </row>
    <row r="35" spans="2:8" ht="17.5" customHeight="1" x14ac:dyDescent="0.4">
      <c r="B35" s="3" t="s">
        <v>7</v>
      </c>
      <c r="C35" s="3" t="s">
        <v>22</v>
      </c>
      <c r="D35" s="4">
        <f>DATE(2003,3,31)</f>
        <v>37711</v>
      </c>
      <c r="E35" s="5">
        <f t="shared" si="0"/>
        <v>2003</v>
      </c>
      <c r="F35" s="3" t="s">
        <v>23</v>
      </c>
      <c r="G35" s="6">
        <v>440.27</v>
      </c>
      <c r="H35" s="5">
        <v>40</v>
      </c>
    </row>
    <row r="36" spans="2:8" ht="17.5" customHeight="1" x14ac:dyDescent="0.4">
      <c r="B36" s="3" t="s">
        <v>7</v>
      </c>
      <c r="C36" s="3" t="s">
        <v>22</v>
      </c>
      <c r="D36" s="4">
        <f>DATE(2003,5,28)</f>
        <v>37769</v>
      </c>
      <c r="E36" s="5">
        <f t="shared" si="0"/>
        <v>2003</v>
      </c>
      <c r="F36" s="3" t="s">
        <v>23</v>
      </c>
      <c r="G36" s="6">
        <v>458.9</v>
      </c>
      <c r="H36" s="5">
        <v>141</v>
      </c>
    </row>
    <row r="37" spans="2:8" ht="17.5" customHeight="1" x14ac:dyDescent="0.4">
      <c r="B37" s="3" t="s">
        <v>7</v>
      </c>
      <c r="C37" s="3" t="s">
        <v>22</v>
      </c>
      <c r="D37" s="4">
        <f>DATE(2003,10,31)</f>
        <v>37925</v>
      </c>
      <c r="E37" s="5">
        <f t="shared" si="0"/>
        <v>2003</v>
      </c>
      <c r="F37" s="3" t="s">
        <v>23</v>
      </c>
      <c r="G37" s="6">
        <v>418.92</v>
      </c>
      <c r="H37" s="5">
        <v>359</v>
      </c>
    </row>
    <row r="38" spans="2:8" ht="17.5" customHeight="1" x14ac:dyDescent="0.4">
      <c r="B38" s="3" t="s">
        <v>7</v>
      </c>
      <c r="C38" s="3" t="s">
        <v>22</v>
      </c>
      <c r="D38" s="4">
        <f>DATE(2004,4,7)</f>
        <v>38084</v>
      </c>
      <c r="E38" s="5">
        <f t="shared" si="0"/>
        <v>2004</v>
      </c>
      <c r="F38" s="3" t="s">
        <v>23</v>
      </c>
      <c r="G38" s="6">
        <v>581.5</v>
      </c>
      <c r="H38" s="5">
        <v>574</v>
      </c>
    </row>
    <row r="39" spans="2:8" ht="17.5" customHeight="1" x14ac:dyDescent="0.4">
      <c r="B39" s="3" t="s">
        <v>7</v>
      </c>
      <c r="C39" s="3" t="s">
        <v>22</v>
      </c>
      <c r="D39" s="4">
        <f>DATE(2004,4,8)</f>
        <v>38085</v>
      </c>
      <c r="E39" s="5">
        <f t="shared" si="0"/>
        <v>2004</v>
      </c>
      <c r="F39" s="3" t="s">
        <v>23</v>
      </c>
      <c r="G39" s="6">
        <v>73.34</v>
      </c>
      <c r="H39" s="5">
        <v>604</v>
      </c>
    </row>
    <row r="40" spans="2:8" ht="17.5" customHeight="1" x14ac:dyDescent="0.4">
      <c r="B40" s="3" t="s">
        <v>7</v>
      </c>
      <c r="C40" s="3" t="s">
        <v>22</v>
      </c>
      <c r="D40" s="4">
        <f>DATE(2004,9,27)</f>
        <v>38257</v>
      </c>
      <c r="E40" s="5">
        <f t="shared" si="0"/>
        <v>2004</v>
      </c>
      <c r="F40" s="3" t="s">
        <v>23</v>
      </c>
      <c r="G40" s="6">
        <v>4508.6499999999996</v>
      </c>
      <c r="H40" s="5">
        <v>802</v>
      </c>
    </row>
    <row r="41" spans="2:8" ht="17.5" customHeight="1" x14ac:dyDescent="0.4">
      <c r="B41" s="3" t="s">
        <v>7</v>
      </c>
      <c r="C41" s="3" t="s">
        <v>22</v>
      </c>
      <c r="D41" s="4">
        <f>DATE(2004,11,24)</f>
        <v>38315</v>
      </c>
      <c r="E41" s="5">
        <f t="shared" si="0"/>
        <v>2004</v>
      </c>
      <c r="F41" s="3" t="s">
        <v>23</v>
      </c>
      <c r="G41" s="6">
        <v>2136.4</v>
      </c>
      <c r="H41" s="5">
        <v>869</v>
      </c>
    </row>
    <row r="42" spans="2:8" ht="17.5" customHeight="1" x14ac:dyDescent="0.4">
      <c r="B42" s="3" t="s">
        <v>7</v>
      </c>
      <c r="C42" s="3" t="s">
        <v>22</v>
      </c>
      <c r="D42" s="4">
        <f>DATE(2005,3,24)</f>
        <v>38435</v>
      </c>
      <c r="E42" s="5">
        <f t="shared" si="0"/>
        <v>2005</v>
      </c>
      <c r="F42" s="3" t="s">
        <v>23</v>
      </c>
      <c r="G42" s="6">
        <v>808.85</v>
      </c>
      <c r="H42" s="5">
        <v>1008</v>
      </c>
    </row>
    <row r="43" spans="2:8" ht="17.5" customHeight="1" x14ac:dyDescent="0.4">
      <c r="B43" s="3" t="s">
        <v>7</v>
      </c>
      <c r="C43" s="3" t="s">
        <v>22</v>
      </c>
      <c r="D43" s="4">
        <f>DATE(2005,5,19)</f>
        <v>38491</v>
      </c>
      <c r="E43" s="5">
        <f t="shared" si="0"/>
        <v>2005</v>
      </c>
      <c r="F43" s="3" t="s">
        <v>23</v>
      </c>
      <c r="G43" s="6">
        <v>2006.05</v>
      </c>
      <c r="H43" s="5">
        <v>1089</v>
      </c>
    </row>
    <row r="44" spans="2:8" ht="17.5" customHeight="1" x14ac:dyDescent="0.4">
      <c r="B44" s="3" t="s">
        <v>7</v>
      </c>
      <c r="C44" s="3" t="s">
        <v>22</v>
      </c>
      <c r="D44" s="4">
        <f>DATE(2005,5,31)</f>
        <v>38503</v>
      </c>
      <c r="E44" s="5">
        <f t="shared" si="0"/>
        <v>2005</v>
      </c>
      <c r="F44" s="3" t="s">
        <v>23</v>
      </c>
      <c r="G44" s="6">
        <v>17814.439999999999</v>
      </c>
      <c r="H44" s="5">
        <v>1091</v>
      </c>
    </row>
    <row r="45" spans="2:8" ht="17.5" customHeight="1" x14ac:dyDescent="0.4">
      <c r="B45" s="3" t="s">
        <v>7</v>
      </c>
      <c r="C45" s="3" t="s">
        <v>22</v>
      </c>
      <c r="D45" s="4">
        <f>DATE(2005,9,14)</f>
        <v>38609</v>
      </c>
      <c r="E45" s="5">
        <f t="shared" si="0"/>
        <v>2005</v>
      </c>
      <c r="F45" s="3" t="s">
        <v>23</v>
      </c>
      <c r="G45" s="6">
        <v>1578</v>
      </c>
      <c r="H45" s="5">
        <v>1232</v>
      </c>
    </row>
    <row r="46" spans="2:8" ht="17.5" customHeight="1" x14ac:dyDescent="0.4">
      <c r="B46" s="3" t="s">
        <v>7</v>
      </c>
      <c r="C46" s="3" t="s">
        <v>22</v>
      </c>
      <c r="D46" s="4">
        <f>DATE(2006,2,20)</f>
        <v>38768</v>
      </c>
      <c r="E46" s="5">
        <f t="shared" si="0"/>
        <v>2006</v>
      </c>
      <c r="F46" s="3" t="s">
        <v>23</v>
      </c>
      <c r="G46" s="6">
        <v>2250</v>
      </c>
      <c r="H46" s="5">
        <v>1420</v>
      </c>
    </row>
    <row r="47" spans="2:8" ht="17.5" customHeight="1" x14ac:dyDescent="0.4">
      <c r="B47" s="3" t="s">
        <v>7</v>
      </c>
      <c r="C47" s="3" t="s">
        <v>22</v>
      </c>
      <c r="D47" s="4">
        <f>DATE(2006,3,21)</f>
        <v>38797</v>
      </c>
      <c r="E47" s="5">
        <f t="shared" si="0"/>
        <v>2006</v>
      </c>
      <c r="F47" s="3" t="s">
        <v>23</v>
      </c>
      <c r="G47" s="6">
        <v>2325</v>
      </c>
      <c r="H47" s="5">
        <v>1454</v>
      </c>
    </row>
    <row r="48" spans="2:8" ht="17.5" customHeight="1" x14ac:dyDescent="0.4">
      <c r="B48" s="3" t="s">
        <v>7</v>
      </c>
      <c r="C48" s="3" t="s">
        <v>22</v>
      </c>
      <c r="D48" s="4">
        <f>DATE(2006,12,19)</f>
        <v>39070</v>
      </c>
      <c r="E48" s="5">
        <f t="shared" si="0"/>
        <v>2006</v>
      </c>
      <c r="F48" s="3" t="s">
        <v>23</v>
      </c>
      <c r="G48" s="6">
        <v>3400</v>
      </c>
      <c r="H48" s="5">
        <v>1897</v>
      </c>
    </row>
    <row r="49" spans="2:8" ht="17.5" customHeight="1" x14ac:dyDescent="0.4">
      <c r="B49" s="3" t="s">
        <v>7</v>
      </c>
      <c r="C49" s="3" t="s">
        <v>22</v>
      </c>
      <c r="D49" s="4">
        <f>DATE(2007,1,19)</f>
        <v>39101</v>
      </c>
      <c r="E49" s="5">
        <f t="shared" si="0"/>
        <v>2007</v>
      </c>
      <c r="F49" s="3" t="s">
        <v>23</v>
      </c>
      <c r="G49" s="6">
        <v>16878.02</v>
      </c>
      <c r="H49" s="5">
        <v>1917</v>
      </c>
    </row>
    <row r="50" spans="2:8" ht="17.5" customHeight="1" x14ac:dyDescent="0.4">
      <c r="B50" s="3" t="s">
        <v>7</v>
      </c>
      <c r="C50" s="3" t="s">
        <v>22</v>
      </c>
      <c r="D50" s="4">
        <f>DATE(2008,11,4)</f>
        <v>39756</v>
      </c>
      <c r="E50" s="5">
        <f t="shared" si="0"/>
        <v>2008</v>
      </c>
      <c r="F50" s="3" t="s">
        <v>23</v>
      </c>
      <c r="G50" s="6">
        <v>1194.8800000000001</v>
      </c>
      <c r="H50" s="5">
        <v>3128</v>
      </c>
    </row>
    <row r="51" spans="2:8" ht="17.5" customHeight="1" x14ac:dyDescent="0.4">
      <c r="B51" s="3" t="s">
        <v>7</v>
      </c>
      <c r="C51" s="3" t="s">
        <v>22</v>
      </c>
      <c r="D51" s="4">
        <f>DATE(2010,6,17)</f>
        <v>40346</v>
      </c>
      <c r="E51" s="5">
        <f t="shared" si="0"/>
        <v>2010</v>
      </c>
      <c r="F51" s="3" t="s">
        <v>23</v>
      </c>
      <c r="G51" s="6">
        <v>135.07</v>
      </c>
      <c r="H51" s="5">
        <v>3877</v>
      </c>
    </row>
    <row r="52" spans="2:8" ht="17.5" customHeight="1" x14ac:dyDescent="0.4">
      <c r="B52" s="3" t="s">
        <v>7</v>
      </c>
      <c r="C52" s="3" t="s">
        <v>22</v>
      </c>
      <c r="D52" s="4">
        <f>DATE(2011,3,10)</f>
        <v>40612</v>
      </c>
      <c r="E52" s="5">
        <f t="shared" si="0"/>
        <v>2011</v>
      </c>
      <c r="F52" s="3" t="s">
        <v>23</v>
      </c>
      <c r="G52" s="6">
        <v>431.54</v>
      </c>
      <c r="H52" s="5">
        <v>4106</v>
      </c>
    </row>
    <row r="53" spans="2:8" ht="17.5" customHeight="1" x14ac:dyDescent="0.4">
      <c r="B53" s="3" t="s">
        <v>7</v>
      </c>
      <c r="C53" s="3" t="s">
        <v>22</v>
      </c>
      <c r="D53" s="4">
        <f>DATE(2011,3,10)</f>
        <v>40612</v>
      </c>
      <c r="E53" s="5">
        <f t="shared" si="0"/>
        <v>2011</v>
      </c>
      <c r="F53" s="3" t="s">
        <v>23</v>
      </c>
      <c r="G53" s="6">
        <v>15660</v>
      </c>
      <c r="H53" s="5">
        <v>4161</v>
      </c>
    </row>
    <row r="54" spans="2:8" ht="17.5" customHeight="1" x14ac:dyDescent="0.4">
      <c r="B54" s="3" t="s">
        <v>7</v>
      </c>
      <c r="C54" s="3" t="s">
        <v>22</v>
      </c>
      <c r="D54" s="4">
        <f>DATE(2011,10,17)</f>
        <v>40833</v>
      </c>
      <c r="E54" s="5">
        <f t="shared" si="0"/>
        <v>2011</v>
      </c>
      <c r="F54" s="3" t="s">
        <v>23</v>
      </c>
      <c r="G54" s="6">
        <v>5398.57</v>
      </c>
      <c r="H54" s="5">
        <v>4549</v>
      </c>
    </row>
    <row r="55" spans="2:8" ht="17.5" customHeight="1" x14ac:dyDescent="0.4">
      <c r="B55" s="3" t="s">
        <v>7</v>
      </c>
      <c r="C55" s="3" t="s">
        <v>22</v>
      </c>
      <c r="D55" s="4">
        <f>DATE(2012,3,14)</f>
        <v>40982</v>
      </c>
      <c r="E55" s="5">
        <f t="shared" si="0"/>
        <v>2012</v>
      </c>
      <c r="F55" s="3" t="s">
        <v>23</v>
      </c>
      <c r="G55" s="6">
        <v>2908.92</v>
      </c>
      <c r="H55" s="5">
        <v>4802</v>
      </c>
    </row>
    <row r="56" spans="2:8" ht="17.5" customHeight="1" x14ac:dyDescent="0.4">
      <c r="B56" s="3" t="s">
        <v>7</v>
      </c>
      <c r="C56" s="3" t="s">
        <v>22</v>
      </c>
      <c r="D56" s="4">
        <f>DATE(2012,3,16)</f>
        <v>40984</v>
      </c>
      <c r="E56" s="5">
        <f t="shared" si="0"/>
        <v>2012</v>
      </c>
      <c r="F56" s="3" t="s">
        <v>23</v>
      </c>
      <c r="G56" s="6">
        <v>465.26</v>
      </c>
      <c r="H56" s="5">
        <v>4803</v>
      </c>
    </row>
    <row r="57" spans="2:8" ht="17.5" customHeight="1" x14ac:dyDescent="0.4">
      <c r="B57" s="3" t="s">
        <v>16</v>
      </c>
      <c r="C57" s="3" t="s">
        <v>22</v>
      </c>
      <c r="D57" s="4">
        <f>DATE(2006,2,27)</f>
        <v>38775</v>
      </c>
      <c r="E57" s="5">
        <f t="shared" si="0"/>
        <v>2006</v>
      </c>
      <c r="F57" s="3" t="s">
        <v>23</v>
      </c>
      <c r="G57" s="6">
        <v>1578</v>
      </c>
      <c r="H57" s="5">
        <v>1473</v>
      </c>
    </row>
    <row r="58" spans="2:8" ht="17.5" customHeight="1" x14ac:dyDescent="0.4">
      <c r="B58" s="3" t="s">
        <v>16</v>
      </c>
      <c r="C58" s="3" t="s">
        <v>22</v>
      </c>
      <c r="D58" s="4">
        <f>DATE(2007,6,26)</f>
        <v>39259</v>
      </c>
      <c r="E58" s="5">
        <f t="shared" si="0"/>
        <v>2007</v>
      </c>
      <c r="F58" s="3" t="s">
        <v>23</v>
      </c>
      <c r="G58" s="6">
        <v>16878.02</v>
      </c>
      <c r="H58" s="5">
        <v>2319</v>
      </c>
    </row>
    <row r="59" spans="2:8" ht="17.5" customHeight="1" x14ac:dyDescent="0.4">
      <c r="B59" t="s">
        <v>7</v>
      </c>
      <c r="C59" t="s">
        <v>24</v>
      </c>
      <c r="D59" s="7">
        <f>DATE(2017,1,25)</f>
        <v>42760</v>
      </c>
      <c r="E59" s="8">
        <f t="shared" si="0"/>
        <v>2017</v>
      </c>
      <c r="F59" t="s">
        <v>25</v>
      </c>
      <c r="G59" s="9">
        <v>8201.4599999999991</v>
      </c>
      <c r="H59" s="8">
        <v>24008</v>
      </c>
    </row>
    <row r="60" spans="2:8" ht="17.5" customHeight="1" x14ac:dyDescent="0.4">
      <c r="B60" t="s">
        <v>7</v>
      </c>
      <c r="C60" t="s">
        <v>26</v>
      </c>
      <c r="D60" s="7">
        <f>DATE(2003,5,21)</f>
        <v>37762</v>
      </c>
      <c r="E60" s="8">
        <f t="shared" si="0"/>
        <v>2003</v>
      </c>
      <c r="F60" t="s">
        <v>27</v>
      </c>
      <c r="G60" s="9">
        <v>4473.53</v>
      </c>
      <c r="H60" s="8">
        <v>620</v>
      </c>
    </row>
    <row r="61" spans="2:8" ht="17.5" customHeight="1" x14ac:dyDescent="0.4">
      <c r="B61" t="s">
        <v>7</v>
      </c>
      <c r="C61" t="s">
        <v>26</v>
      </c>
      <c r="D61" s="7">
        <f>DATE(2003,5,6)</f>
        <v>37747</v>
      </c>
      <c r="E61" s="8">
        <f t="shared" si="0"/>
        <v>2003</v>
      </c>
      <c r="F61" t="s">
        <v>27</v>
      </c>
      <c r="G61" s="9">
        <v>40596.67</v>
      </c>
      <c r="H61" s="8">
        <v>542</v>
      </c>
    </row>
    <row r="62" spans="2:8" ht="17.5" customHeight="1" x14ac:dyDescent="0.4">
      <c r="B62" t="s">
        <v>7</v>
      </c>
      <c r="C62" t="s">
        <v>26</v>
      </c>
      <c r="D62" s="7">
        <f>DATE(2003,5,8)</f>
        <v>37749</v>
      </c>
      <c r="E62" s="8">
        <f t="shared" si="0"/>
        <v>2003</v>
      </c>
      <c r="F62" t="s">
        <v>27</v>
      </c>
      <c r="G62" s="9">
        <v>12458.1</v>
      </c>
      <c r="H62" s="8">
        <v>534</v>
      </c>
    </row>
    <row r="63" spans="2:8" ht="17.5" customHeight="1" x14ac:dyDescent="0.4">
      <c r="B63" t="s">
        <v>7</v>
      </c>
      <c r="C63" t="s">
        <v>26</v>
      </c>
      <c r="D63" s="7">
        <f>DATE(2007,3,25)</f>
        <v>39166</v>
      </c>
      <c r="E63" s="8">
        <f t="shared" si="0"/>
        <v>2007</v>
      </c>
      <c r="F63" t="s">
        <v>28</v>
      </c>
      <c r="G63" s="9">
        <v>28864.49</v>
      </c>
      <c r="H63" s="8">
        <v>5579</v>
      </c>
    </row>
    <row r="64" spans="2:8" ht="17.5" customHeight="1" x14ac:dyDescent="0.4">
      <c r="B64" t="s">
        <v>7</v>
      </c>
      <c r="C64" t="s">
        <v>26</v>
      </c>
      <c r="D64" s="7">
        <f>DATE(2008,3,13)</f>
        <v>39520</v>
      </c>
      <c r="E64" s="8">
        <f t="shared" si="0"/>
        <v>2008</v>
      </c>
      <c r="F64" t="s">
        <v>28</v>
      </c>
      <c r="G64" s="9">
        <v>15913.09</v>
      </c>
      <c r="H64" s="8">
        <v>6341</v>
      </c>
    </row>
    <row r="65" spans="2:8" ht="17.5" customHeight="1" x14ac:dyDescent="0.4">
      <c r="B65" t="s">
        <v>7</v>
      </c>
      <c r="C65" t="s">
        <v>26</v>
      </c>
      <c r="D65" s="7">
        <f>DATE(2008,3,13)</f>
        <v>39520</v>
      </c>
      <c r="E65" s="8">
        <f t="shared" si="0"/>
        <v>2008</v>
      </c>
      <c r="F65" t="s">
        <v>28</v>
      </c>
      <c r="G65" s="9">
        <v>2783</v>
      </c>
      <c r="H65" s="8">
        <v>7056</v>
      </c>
    </row>
    <row r="66" spans="2:8" ht="17.5" customHeight="1" x14ac:dyDescent="0.4">
      <c r="B66" t="s">
        <v>7</v>
      </c>
      <c r="C66" t="s">
        <v>26</v>
      </c>
      <c r="D66" s="7">
        <f>DATE(2008,3,12)</f>
        <v>39519</v>
      </c>
      <c r="E66" s="8">
        <f t="shared" si="0"/>
        <v>2008</v>
      </c>
      <c r="F66" t="s">
        <v>28</v>
      </c>
      <c r="G66" s="9">
        <v>11974</v>
      </c>
      <c r="H66" s="8">
        <v>6742</v>
      </c>
    </row>
    <row r="67" spans="2:8" ht="17.5" customHeight="1" x14ac:dyDescent="0.4">
      <c r="B67" t="s">
        <v>7</v>
      </c>
      <c r="C67" t="s">
        <v>26</v>
      </c>
      <c r="D67" s="7">
        <f>DATE(2008,4,1)</f>
        <v>39539</v>
      </c>
      <c r="E67" s="8">
        <f t="shared" ref="E67:E130" si="1">YEAR(D67)</f>
        <v>2008</v>
      </c>
      <c r="F67" t="s">
        <v>28</v>
      </c>
      <c r="G67" s="9">
        <v>14080.01</v>
      </c>
      <c r="H67" s="8">
        <v>7386</v>
      </c>
    </row>
    <row r="68" spans="2:8" ht="17.5" customHeight="1" x14ac:dyDescent="0.4">
      <c r="B68" t="s">
        <v>7</v>
      </c>
      <c r="C68" t="s">
        <v>26</v>
      </c>
      <c r="D68" s="7">
        <f>DATE(2008,4,1)</f>
        <v>39539</v>
      </c>
      <c r="E68" s="8">
        <f t="shared" si="1"/>
        <v>2008</v>
      </c>
      <c r="F68" t="s">
        <v>28</v>
      </c>
      <c r="G68" s="9">
        <v>1310</v>
      </c>
      <c r="H68" s="8">
        <v>7385</v>
      </c>
    </row>
    <row r="69" spans="2:8" ht="17.5" customHeight="1" x14ac:dyDescent="0.4">
      <c r="B69" t="s">
        <v>7</v>
      </c>
      <c r="C69" t="s">
        <v>26</v>
      </c>
      <c r="D69" s="7">
        <f>DATE(2008,4,1)</f>
        <v>39539</v>
      </c>
      <c r="E69" s="8">
        <f t="shared" si="1"/>
        <v>2008</v>
      </c>
      <c r="F69" t="s">
        <v>28</v>
      </c>
      <c r="G69" s="9">
        <v>11357.13</v>
      </c>
      <c r="H69" s="8">
        <v>7387</v>
      </c>
    </row>
    <row r="70" spans="2:8" ht="17.5" customHeight="1" x14ac:dyDescent="0.4">
      <c r="B70" t="s">
        <v>7</v>
      </c>
      <c r="C70" t="s">
        <v>26</v>
      </c>
      <c r="D70" s="7">
        <f>DATE(2009,3,25)</f>
        <v>39897</v>
      </c>
      <c r="E70" s="8">
        <f t="shared" si="1"/>
        <v>2009</v>
      </c>
      <c r="F70" t="s">
        <v>28</v>
      </c>
      <c r="G70" s="9">
        <v>21338.2</v>
      </c>
      <c r="H70" s="8">
        <v>7917</v>
      </c>
    </row>
    <row r="71" spans="2:8" ht="17.5" customHeight="1" x14ac:dyDescent="0.4">
      <c r="B71" t="s">
        <v>7</v>
      </c>
      <c r="C71" t="s">
        <v>26</v>
      </c>
      <c r="D71" s="7">
        <f>DATE(2009,3,25)</f>
        <v>39897</v>
      </c>
      <c r="E71" s="8">
        <f t="shared" si="1"/>
        <v>2009</v>
      </c>
      <c r="F71" t="s">
        <v>28</v>
      </c>
      <c r="G71" s="9">
        <v>8321</v>
      </c>
      <c r="H71" s="8">
        <v>8323</v>
      </c>
    </row>
    <row r="72" spans="2:8" ht="17.5" customHeight="1" x14ac:dyDescent="0.4">
      <c r="B72" t="s">
        <v>7</v>
      </c>
      <c r="C72" t="s">
        <v>26</v>
      </c>
      <c r="D72" s="7">
        <f>DATE(2009,3,25)</f>
        <v>39897</v>
      </c>
      <c r="E72" s="8">
        <f t="shared" si="1"/>
        <v>2009</v>
      </c>
      <c r="F72" t="s">
        <v>28</v>
      </c>
      <c r="G72" s="9">
        <v>1462.5</v>
      </c>
      <c r="H72" s="8">
        <v>8494</v>
      </c>
    </row>
    <row r="73" spans="2:8" ht="17.5" customHeight="1" x14ac:dyDescent="0.4">
      <c r="B73" t="s">
        <v>7</v>
      </c>
      <c r="C73" t="s">
        <v>26</v>
      </c>
      <c r="D73" s="7">
        <f>DATE(2009,3,25)</f>
        <v>39897</v>
      </c>
      <c r="E73" s="8">
        <f t="shared" si="1"/>
        <v>2009</v>
      </c>
      <c r="F73" t="s">
        <v>28</v>
      </c>
      <c r="G73" s="9">
        <v>2051.27</v>
      </c>
      <c r="H73" s="8">
        <v>8493</v>
      </c>
    </row>
    <row r="74" spans="2:8" ht="17.5" customHeight="1" x14ac:dyDescent="0.4">
      <c r="B74" t="s">
        <v>7</v>
      </c>
      <c r="C74" t="s">
        <v>26</v>
      </c>
      <c r="D74" s="7">
        <f>DATE(2009,7,1)</f>
        <v>39995</v>
      </c>
      <c r="E74" s="8">
        <f t="shared" si="1"/>
        <v>2009</v>
      </c>
      <c r="F74" t="s">
        <v>28</v>
      </c>
      <c r="G74" s="9">
        <v>7266.89</v>
      </c>
      <c r="H74" s="8">
        <v>8797</v>
      </c>
    </row>
    <row r="75" spans="2:8" ht="17.5" customHeight="1" x14ac:dyDescent="0.4">
      <c r="B75" t="s">
        <v>7</v>
      </c>
      <c r="C75" t="s">
        <v>26</v>
      </c>
      <c r="D75" s="7">
        <f>DATE(2009,8,7)</f>
        <v>40032</v>
      </c>
      <c r="E75" s="8">
        <f t="shared" si="1"/>
        <v>2009</v>
      </c>
      <c r="F75" t="s">
        <v>28</v>
      </c>
      <c r="G75" s="9">
        <v>10561.11</v>
      </c>
      <c r="H75" s="8">
        <v>8942</v>
      </c>
    </row>
    <row r="76" spans="2:8" ht="17.5" customHeight="1" x14ac:dyDescent="0.4">
      <c r="B76" t="s">
        <v>7</v>
      </c>
      <c r="C76" t="s">
        <v>26</v>
      </c>
      <c r="D76" s="7">
        <f>DATE(2010,4,12)</f>
        <v>40280</v>
      </c>
      <c r="E76" s="8">
        <f t="shared" si="1"/>
        <v>2010</v>
      </c>
      <c r="F76" t="s">
        <v>28</v>
      </c>
      <c r="G76" s="9">
        <v>103458.34</v>
      </c>
      <c r="H76" s="8">
        <v>8998</v>
      </c>
    </row>
    <row r="77" spans="2:8" ht="17.5" customHeight="1" x14ac:dyDescent="0.4">
      <c r="B77" t="s">
        <v>16</v>
      </c>
      <c r="C77" t="s">
        <v>26</v>
      </c>
      <c r="D77" s="7">
        <f>DATE(2008,4,1)</f>
        <v>39539</v>
      </c>
      <c r="E77" s="8">
        <f t="shared" si="1"/>
        <v>2008</v>
      </c>
      <c r="F77" t="s">
        <v>28</v>
      </c>
      <c r="G77" s="9">
        <v>2783</v>
      </c>
      <c r="H77" s="8">
        <v>7377</v>
      </c>
    </row>
    <row r="78" spans="2:8" ht="17.5" customHeight="1" x14ac:dyDescent="0.4">
      <c r="B78" t="s">
        <v>16</v>
      </c>
      <c r="C78" t="s">
        <v>26</v>
      </c>
      <c r="D78" s="7">
        <f>DATE(2008,4,1)</f>
        <v>39539</v>
      </c>
      <c r="E78" s="8">
        <f t="shared" si="1"/>
        <v>2008</v>
      </c>
      <c r="F78" t="s">
        <v>28</v>
      </c>
      <c r="G78" s="9">
        <v>11974</v>
      </c>
      <c r="H78" s="8">
        <v>7378</v>
      </c>
    </row>
    <row r="79" spans="2:8" ht="17.5" customHeight="1" x14ac:dyDescent="0.4">
      <c r="B79" t="s">
        <v>16</v>
      </c>
      <c r="C79" t="s">
        <v>26</v>
      </c>
      <c r="D79" s="7">
        <f>DATE(2008,4,1)</f>
        <v>39539</v>
      </c>
      <c r="E79" s="8">
        <f t="shared" si="1"/>
        <v>2008</v>
      </c>
      <c r="F79" t="s">
        <v>28</v>
      </c>
      <c r="G79" s="9">
        <v>15913.09</v>
      </c>
      <c r="H79" s="8">
        <v>7379</v>
      </c>
    </row>
    <row r="80" spans="2:8" ht="17.5" customHeight="1" x14ac:dyDescent="0.4">
      <c r="B80" t="s">
        <v>16</v>
      </c>
      <c r="C80" t="s">
        <v>26</v>
      </c>
      <c r="D80" s="7">
        <f>DATE(2010,6,10)</f>
        <v>40339</v>
      </c>
      <c r="E80" s="8">
        <f t="shared" si="1"/>
        <v>2010</v>
      </c>
      <c r="F80" t="s">
        <v>28</v>
      </c>
      <c r="G80" s="9">
        <v>5188.33</v>
      </c>
      <c r="H80" s="8">
        <v>9924</v>
      </c>
    </row>
    <row r="81" spans="2:8" ht="17.5" customHeight="1" x14ac:dyDescent="0.4">
      <c r="B81" t="s">
        <v>16</v>
      </c>
      <c r="C81" t="s">
        <v>26</v>
      </c>
      <c r="D81" s="7">
        <f>DATE(2010,12,17)</f>
        <v>40529</v>
      </c>
      <c r="E81" s="8">
        <f t="shared" si="1"/>
        <v>2010</v>
      </c>
      <c r="F81" t="s">
        <v>28</v>
      </c>
      <c r="G81" s="9">
        <v>5530</v>
      </c>
      <c r="H81" s="8">
        <v>10325</v>
      </c>
    </row>
    <row r="82" spans="2:8" ht="17.5" customHeight="1" x14ac:dyDescent="0.4">
      <c r="B82" s="3" t="s">
        <v>7</v>
      </c>
      <c r="C82" s="3" t="s">
        <v>26</v>
      </c>
      <c r="D82" s="4">
        <f>DATE(2009,7,29)</f>
        <v>40023</v>
      </c>
      <c r="E82" s="5">
        <f t="shared" si="1"/>
        <v>2009</v>
      </c>
      <c r="F82" s="3" t="s">
        <v>28</v>
      </c>
      <c r="G82" s="6">
        <v>1080.3599999999999</v>
      </c>
      <c r="H82" s="5">
        <v>12850</v>
      </c>
    </row>
    <row r="83" spans="2:8" ht="17.5" customHeight="1" x14ac:dyDescent="0.4">
      <c r="B83" s="3" t="s">
        <v>7</v>
      </c>
      <c r="C83" s="3" t="s">
        <v>26</v>
      </c>
      <c r="D83" s="4">
        <f>DATE(2009,12,9)</f>
        <v>40156</v>
      </c>
      <c r="E83" s="5">
        <f t="shared" si="1"/>
        <v>2009</v>
      </c>
      <c r="F83" s="3" t="s">
        <v>28</v>
      </c>
      <c r="G83" s="6">
        <v>2479.5</v>
      </c>
      <c r="H83" s="5">
        <v>13297</v>
      </c>
    </row>
    <row r="84" spans="2:8" ht="17.5" customHeight="1" x14ac:dyDescent="0.4">
      <c r="B84" s="3" t="s">
        <v>16</v>
      </c>
      <c r="C84" s="3" t="s">
        <v>26</v>
      </c>
      <c r="D84" s="4">
        <f>DATE(2009,7,30)</f>
        <v>40024</v>
      </c>
      <c r="E84" s="5">
        <f t="shared" si="1"/>
        <v>2009</v>
      </c>
      <c r="F84" s="3" t="s">
        <v>28</v>
      </c>
      <c r="G84" s="6">
        <v>1080.3599999999999</v>
      </c>
      <c r="H84" s="5">
        <v>12866</v>
      </c>
    </row>
    <row r="85" spans="2:8" ht="17.5" customHeight="1" x14ac:dyDescent="0.4">
      <c r="B85" s="3" t="s">
        <v>16</v>
      </c>
      <c r="C85" s="3" t="s">
        <v>26</v>
      </c>
      <c r="D85" s="4">
        <f>DATE(2010,1,27)</f>
        <v>40205</v>
      </c>
      <c r="E85" s="5">
        <f t="shared" si="1"/>
        <v>2010</v>
      </c>
      <c r="F85" s="3" t="s">
        <v>28</v>
      </c>
      <c r="G85" s="6">
        <v>2479.5</v>
      </c>
      <c r="H85" s="5">
        <v>13524</v>
      </c>
    </row>
    <row r="86" spans="2:8" ht="17.5" customHeight="1" x14ac:dyDescent="0.4">
      <c r="B86" t="s">
        <v>7</v>
      </c>
      <c r="C86" t="s">
        <v>29</v>
      </c>
      <c r="D86" s="7">
        <f>DATE(2019,5,6)</f>
        <v>43591</v>
      </c>
      <c r="E86" s="8">
        <f t="shared" si="1"/>
        <v>2019</v>
      </c>
      <c r="F86" t="s">
        <v>30</v>
      </c>
      <c r="G86" s="9">
        <v>17735.28</v>
      </c>
      <c r="H86" s="8">
        <v>28380</v>
      </c>
    </row>
    <row r="87" spans="2:8" ht="17.5" customHeight="1" x14ac:dyDescent="0.4">
      <c r="B87" t="s">
        <v>7</v>
      </c>
      <c r="C87" t="s">
        <v>31</v>
      </c>
      <c r="D87" s="7">
        <f>DATE(2012,8,16)</f>
        <v>41137</v>
      </c>
      <c r="E87" s="8">
        <f t="shared" si="1"/>
        <v>2012</v>
      </c>
      <c r="F87" t="s">
        <v>32</v>
      </c>
      <c r="G87" s="9">
        <v>5439.96</v>
      </c>
      <c r="H87" s="8">
        <v>11791</v>
      </c>
    </row>
    <row r="88" spans="2:8" ht="17.5" customHeight="1" x14ac:dyDescent="0.4">
      <c r="B88" t="s">
        <v>7</v>
      </c>
      <c r="C88" t="s">
        <v>31</v>
      </c>
      <c r="D88" s="7">
        <f>DATE(2014,9,24)</f>
        <v>41906</v>
      </c>
      <c r="E88" s="8">
        <f t="shared" si="1"/>
        <v>2014</v>
      </c>
      <c r="F88" t="s">
        <v>32</v>
      </c>
      <c r="G88" s="9">
        <v>6278.75</v>
      </c>
      <c r="H88" s="8">
        <v>13476</v>
      </c>
    </row>
    <row r="89" spans="2:8" ht="17.5" customHeight="1" x14ac:dyDescent="0.4">
      <c r="B89" t="s">
        <v>7</v>
      </c>
      <c r="C89" t="s">
        <v>33</v>
      </c>
      <c r="D89" s="7">
        <f>DATE(2016,8,1)</f>
        <v>42583</v>
      </c>
      <c r="E89" s="8">
        <f t="shared" si="1"/>
        <v>2016</v>
      </c>
      <c r="F89" t="s">
        <v>34</v>
      </c>
      <c r="G89" s="9">
        <v>560</v>
      </c>
      <c r="H89" s="8">
        <v>23204</v>
      </c>
    </row>
    <row r="90" spans="2:8" ht="17.5" customHeight="1" x14ac:dyDescent="0.4">
      <c r="B90" s="3" t="s">
        <v>7</v>
      </c>
      <c r="C90" s="3" t="s">
        <v>35</v>
      </c>
      <c r="D90" s="4">
        <f>DATE(2005,3,10)</f>
        <v>38421</v>
      </c>
      <c r="E90" s="5">
        <f t="shared" si="1"/>
        <v>2005</v>
      </c>
      <c r="F90" s="3" t="s">
        <v>36</v>
      </c>
      <c r="G90" s="6">
        <v>272.86</v>
      </c>
      <c r="H90" s="5">
        <v>4294</v>
      </c>
    </row>
    <row r="91" spans="2:8" ht="17.5" customHeight="1" x14ac:dyDescent="0.4">
      <c r="B91" s="3" t="s">
        <v>7</v>
      </c>
      <c r="C91" s="3" t="s">
        <v>37</v>
      </c>
      <c r="D91" s="4">
        <f>DATE(2004,2,23)</f>
        <v>38040</v>
      </c>
      <c r="E91" s="5">
        <f t="shared" si="1"/>
        <v>2004</v>
      </c>
      <c r="F91" s="3" t="s">
        <v>38</v>
      </c>
      <c r="G91" s="6">
        <v>97.5</v>
      </c>
      <c r="H91" s="5">
        <v>2197</v>
      </c>
    </row>
    <row r="92" spans="2:8" ht="17.5" customHeight="1" x14ac:dyDescent="0.4">
      <c r="B92" t="s">
        <v>7</v>
      </c>
      <c r="C92" t="s">
        <v>39</v>
      </c>
      <c r="D92" s="7">
        <f>DATE(2011,7,21)</f>
        <v>40745</v>
      </c>
      <c r="E92" s="8">
        <f t="shared" si="1"/>
        <v>2011</v>
      </c>
      <c r="F92" t="s">
        <v>40</v>
      </c>
      <c r="G92" s="9">
        <v>34735.35</v>
      </c>
      <c r="H92" s="8">
        <v>10682</v>
      </c>
    </row>
    <row r="93" spans="2:8" ht="17.5" customHeight="1" x14ac:dyDescent="0.4">
      <c r="B93" s="3" t="s">
        <v>7</v>
      </c>
      <c r="C93" s="3" t="s">
        <v>41</v>
      </c>
      <c r="D93" s="4">
        <f>DATE(2004,2,17)</f>
        <v>38034</v>
      </c>
      <c r="E93" s="5">
        <f t="shared" si="1"/>
        <v>2004</v>
      </c>
      <c r="F93" s="3" t="s">
        <v>42</v>
      </c>
      <c r="G93" s="6">
        <v>392.5</v>
      </c>
      <c r="H93" s="5">
        <v>2183</v>
      </c>
    </row>
    <row r="94" spans="2:8" ht="17.5" customHeight="1" x14ac:dyDescent="0.4">
      <c r="B94" t="s">
        <v>7</v>
      </c>
      <c r="C94" t="s">
        <v>43</v>
      </c>
      <c r="D94" s="7">
        <f>DATE(2017,8,22)</f>
        <v>42969</v>
      </c>
      <c r="E94" s="8">
        <f t="shared" si="1"/>
        <v>2017</v>
      </c>
      <c r="F94" t="s">
        <v>44</v>
      </c>
      <c r="G94" s="9">
        <v>1250</v>
      </c>
      <c r="H94" s="8">
        <v>24172</v>
      </c>
    </row>
    <row r="95" spans="2:8" ht="17.5" customHeight="1" x14ac:dyDescent="0.4">
      <c r="B95" s="3" t="s">
        <v>7</v>
      </c>
      <c r="C95" s="3" t="s">
        <v>43</v>
      </c>
      <c r="D95" s="4">
        <f>DATE(2004,3,31)</f>
        <v>38077</v>
      </c>
      <c r="E95" s="5">
        <f t="shared" si="1"/>
        <v>2004</v>
      </c>
      <c r="F95" s="3" t="s">
        <v>44</v>
      </c>
      <c r="G95" s="6">
        <v>6978.8</v>
      </c>
      <c r="H95" s="5">
        <v>2471</v>
      </c>
    </row>
    <row r="96" spans="2:8" ht="17.5" customHeight="1" x14ac:dyDescent="0.4">
      <c r="B96" s="3" t="s">
        <v>7</v>
      </c>
      <c r="C96" s="3" t="s">
        <v>43</v>
      </c>
      <c r="D96" s="4">
        <f>DATE(2004,4,2)</f>
        <v>38079</v>
      </c>
      <c r="E96" s="5">
        <f t="shared" si="1"/>
        <v>2004</v>
      </c>
      <c r="F96" s="3" t="s">
        <v>44</v>
      </c>
      <c r="G96" s="6">
        <v>3483.5</v>
      </c>
      <c r="H96" s="5">
        <v>2581</v>
      </c>
    </row>
    <row r="97" spans="2:8" ht="17.5" customHeight="1" x14ac:dyDescent="0.4">
      <c r="B97" s="3" t="s">
        <v>7</v>
      </c>
      <c r="C97" s="3" t="s">
        <v>43</v>
      </c>
      <c r="D97" s="4">
        <f>DATE(2004,4,6)</f>
        <v>38083</v>
      </c>
      <c r="E97" s="5">
        <f t="shared" si="1"/>
        <v>2004</v>
      </c>
      <c r="F97" s="3" t="s">
        <v>44</v>
      </c>
      <c r="G97" s="6">
        <v>8360.4</v>
      </c>
      <c r="H97" s="5">
        <v>2538</v>
      </c>
    </row>
    <row r="98" spans="2:8" ht="17.5" customHeight="1" x14ac:dyDescent="0.4">
      <c r="B98" s="3" t="s">
        <v>7</v>
      </c>
      <c r="C98" s="3" t="s">
        <v>43</v>
      </c>
      <c r="D98" s="4">
        <f>DATE(2005,8,17)</f>
        <v>38581</v>
      </c>
      <c r="E98" s="5">
        <f t="shared" si="1"/>
        <v>2005</v>
      </c>
      <c r="F98" s="3" t="s">
        <v>44</v>
      </c>
      <c r="G98" s="6">
        <v>1476.38</v>
      </c>
      <c r="H98" s="5">
        <v>5126</v>
      </c>
    </row>
    <row r="99" spans="2:8" ht="17.5" customHeight="1" x14ac:dyDescent="0.4">
      <c r="B99" s="3" t="s">
        <v>7</v>
      </c>
      <c r="C99" s="3" t="s">
        <v>43</v>
      </c>
      <c r="D99" s="4">
        <f>DATE(2005,8,19)</f>
        <v>38583</v>
      </c>
      <c r="E99" s="5">
        <f t="shared" si="1"/>
        <v>2005</v>
      </c>
      <c r="F99" s="3" t="s">
        <v>44</v>
      </c>
      <c r="G99" s="6">
        <v>1473.38</v>
      </c>
      <c r="H99" s="5">
        <v>5145</v>
      </c>
    </row>
    <row r="100" spans="2:8" ht="17.5" customHeight="1" x14ac:dyDescent="0.4">
      <c r="B100" s="3" t="s">
        <v>7</v>
      </c>
      <c r="C100" s="3" t="s">
        <v>43</v>
      </c>
      <c r="D100" s="4">
        <f>DATE(2007,8,8)</f>
        <v>39302</v>
      </c>
      <c r="E100" s="5">
        <f t="shared" si="1"/>
        <v>2007</v>
      </c>
      <c r="F100" s="3" t="s">
        <v>44</v>
      </c>
      <c r="G100" s="6">
        <v>3819.67</v>
      </c>
      <c r="H100" s="5">
        <v>8993</v>
      </c>
    </row>
    <row r="101" spans="2:8" ht="17.5" customHeight="1" x14ac:dyDescent="0.4">
      <c r="B101" s="3" t="s">
        <v>7</v>
      </c>
      <c r="C101" s="3" t="s">
        <v>43</v>
      </c>
      <c r="D101" s="4">
        <f>DATE(2007,12,10)</f>
        <v>39426</v>
      </c>
      <c r="E101" s="5">
        <f t="shared" si="1"/>
        <v>2007</v>
      </c>
      <c r="F101" s="3" t="s">
        <v>44</v>
      </c>
      <c r="G101" s="6">
        <v>1280.3699999999999</v>
      </c>
      <c r="H101" s="5">
        <v>9580</v>
      </c>
    </row>
    <row r="102" spans="2:8" ht="17.5" customHeight="1" x14ac:dyDescent="0.4">
      <c r="B102" s="3" t="s">
        <v>7</v>
      </c>
      <c r="C102" s="3" t="s">
        <v>43</v>
      </c>
      <c r="D102" s="4">
        <f>DATE(2008,9,4)</f>
        <v>39695</v>
      </c>
      <c r="E102" s="5">
        <f t="shared" si="1"/>
        <v>2008</v>
      </c>
      <c r="F102" s="3" t="s">
        <v>44</v>
      </c>
      <c r="G102" s="6">
        <v>2764.73</v>
      </c>
      <c r="H102" s="5">
        <v>11119</v>
      </c>
    </row>
    <row r="103" spans="2:8" ht="17.5" customHeight="1" x14ac:dyDescent="0.4">
      <c r="B103" s="3" t="s">
        <v>16</v>
      </c>
      <c r="C103" s="3" t="s">
        <v>43</v>
      </c>
      <c r="D103" s="4">
        <f>DATE(2004,4,2)</f>
        <v>38079</v>
      </c>
      <c r="E103" s="5">
        <f t="shared" si="1"/>
        <v>2004</v>
      </c>
      <c r="F103" s="3" t="s">
        <v>44</v>
      </c>
      <c r="G103" s="6">
        <v>3483.5</v>
      </c>
      <c r="H103" s="5">
        <v>2583</v>
      </c>
    </row>
    <row r="104" spans="2:8" ht="17.5" customHeight="1" x14ac:dyDescent="0.4">
      <c r="B104" s="3" t="s">
        <v>7</v>
      </c>
      <c r="C104" s="3" t="s">
        <v>45</v>
      </c>
      <c r="D104" s="4">
        <f>DATE(2004,3,5)</f>
        <v>38051</v>
      </c>
      <c r="E104" s="5">
        <f t="shared" si="1"/>
        <v>2004</v>
      </c>
      <c r="F104" s="3" t="s">
        <v>46</v>
      </c>
      <c r="G104" s="6">
        <v>4618</v>
      </c>
      <c r="H104" s="5">
        <v>2308</v>
      </c>
    </row>
    <row r="105" spans="2:8" ht="17.5" customHeight="1" x14ac:dyDescent="0.4">
      <c r="B105" s="3" t="s">
        <v>7</v>
      </c>
      <c r="C105" s="3" t="s">
        <v>45</v>
      </c>
      <c r="D105" s="4">
        <f>DATE(2005,12,8)</f>
        <v>38694</v>
      </c>
      <c r="E105" s="5">
        <f t="shared" si="1"/>
        <v>2005</v>
      </c>
      <c r="F105" s="3" t="s">
        <v>46</v>
      </c>
      <c r="G105" s="6">
        <v>7143.9</v>
      </c>
      <c r="H105" s="5">
        <v>5534</v>
      </c>
    </row>
    <row r="106" spans="2:8" ht="17.5" customHeight="1" x14ac:dyDescent="0.4">
      <c r="B106" t="s">
        <v>7</v>
      </c>
      <c r="C106" t="s">
        <v>47</v>
      </c>
      <c r="D106" s="7">
        <f>DATE(2016,1,15)</f>
        <v>42384</v>
      </c>
      <c r="E106" s="8">
        <f t="shared" si="1"/>
        <v>2016</v>
      </c>
      <c r="F106" t="s">
        <v>48</v>
      </c>
      <c r="G106" s="9">
        <v>11750</v>
      </c>
      <c r="H106" s="8">
        <v>20900</v>
      </c>
    </row>
    <row r="107" spans="2:8" ht="17.5" customHeight="1" x14ac:dyDescent="0.4">
      <c r="B107" s="3" t="s">
        <v>7</v>
      </c>
      <c r="C107" s="3" t="s">
        <v>47</v>
      </c>
      <c r="D107" s="4">
        <f>DATE(2014,7,22)</f>
        <v>41842</v>
      </c>
      <c r="E107" s="5">
        <f t="shared" si="1"/>
        <v>2014</v>
      </c>
      <c r="F107" s="3" t="s">
        <v>48</v>
      </c>
      <c r="G107" s="6">
        <v>30550</v>
      </c>
      <c r="H107" s="5">
        <v>20144</v>
      </c>
    </row>
    <row r="108" spans="2:8" ht="17.5" customHeight="1" x14ac:dyDescent="0.4">
      <c r="B108" s="3" t="s">
        <v>7</v>
      </c>
      <c r="C108" s="3" t="s">
        <v>49</v>
      </c>
      <c r="D108" s="4">
        <f>DATE(2003,4,14)</f>
        <v>37725</v>
      </c>
      <c r="E108" s="5">
        <f t="shared" si="1"/>
        <v>2003</v>
      </c>
      <c r="F108" s="3" t="s">
        <v>50</v>
      </c>
      <c r="G108" s="6">
        <v>12801</v>
      </c>
      <c r="H108" s="5">
        <v>760</v>
      </c>
    </row>
    <row r="109" spans="2:8" ht="17.5" customHeight="1" x14ac:dyDescent="0.4">
      <c r="B109" s="3" t="s">
        <v>7</v>
      </c>
      <c r="C109" s="3" t="s">
        <v>49</v>
      </c>
      <c r="D109" s="4">
        <f>DATE(2005,4,29)</f>
        <v>38471</v>
      </c>
      <c r="E109" s="5">
        <f t="shared" si="1"/>
        <v>2005</v>
      </c>
      <c r="F109" s="3" t="s">
        <v>50</v>
      </c>
      <c r="G109" s="6">
        <v>80</v>
      </c>
      <c r="H109" s="5">
        <v>4654</v>
      </c>
    </row>
    <row r="110" spans="2:8" ht="17.5" customHeight="1" x14ac:dyDescent="0.4">
      <c r="B110" s="3" t="s">
        <v>7</v>
      </c>
      <c r="C110" s="3" t="s">
        <v>49</v>
      </c>
      <c r="D110" s="4">
        <f>DATE(2005,5,4)</f>
        <v>38476</v>
      </c>
      <c r="E110" s="5">
        <f t="shared" si="1"/>
        <v>2005</v>
      </c>
      <c r="F110" s="3" t="s">
        <v>51</v>
      </c>
      <c r="G110" s="6">
        <v>181</v>
      </c>
      <c r="H110" s="5">
        <v>4697</v>
      </c>
    </row>
    <row r="111" spans="2:8" ht="17.5" customHeight="1" x14ac:dyDescent="0.4">
      <c r="B111" s="3" t="s">
        <v>7</v>
      </c>
      <c r="C111" s="3" t="s">
        <v>49</v>
      </c>
      <c r="D111" s="4">
        <f>DATE(2005,5,7)</f>
        <v>38479</v>
      </c>
      <c r="E111" s="5">
        <f t="shared" si="1"/>
        <v>2005</v>
      </c>
      <c r="F111" s="3" t="s">
        <v>51</v>
      </c>
      <c r="G111" s="6">
        <v>338.4</v>
      </c>
      <c r="H111" s="5">
        <v>4719</v>
      </c>
    </row>
    <row r="112" spans="2:8" ht="17.5" customHeight="1" x14ac:dyDescent="0.4">
      <c r="B112" s="3" t="s">
        <v>7</v>
      </c>
      <c r="C112" s="3" t="s">
        <v>49</v>
      </c>
      <c r="D112" s="4">
        <f>DATE(2006,4,11)</f>
        <v>38818</v>
      </c>
      <c r="E112" s="5">
        <f t="shared" si="1"/>
        <v>2006</v>
      </c>
      <c r="F112" s="3" t="s">
        <v>51</v>
      </c>
      <c r="G112" s="6">
        <v>13517.13</v>
      </c>
      <c r="H112" s="5">
        <v>6452</v>
      </c>
    </row>
    <row r="113" spans="2:8" ht="17.5" customHeight="1" x14ac:dyDescent="0.4">
      <c r="B113" s="3" t="s">
        <v>7</v>
      </c>
      <c r="C113" s="3" t="s">
        <v>49</v>
      </c>
      <c r="D113" s="4">
        <f>DATE(2006,5,5)</f>
        <v>38842</v>
      </c>
      <c r="E113" s="5">
        <f t="shared" si="1"/>
        <v>2006</v>
      </c>
      <c r="F113" s="3" t="s">
        <v>51</v>
      </c>
      <c r="G113" s="6">
        <v>418.2</v>
      </c>
      <c r="H113" s="5">
        <v>6671</v>
      </c>
    </row>
    <row r="114" spans="2:8" ht="17.5" customHeight="1" x14ac:dyDescent="0.4">
      <c r="B114" s="3" t="s">
        <v>7</v>
      </c>
      <c r="C114" s="3" t="s">
        <v>49</v>
      </c>
      <c r="D114" s="4">
        <f>DATE(2007,5,11)</f>
        <v>39213</v>
      </c>
      <c r="E114" s="5">
        <f t="shared" si="1"/>
        <v>2007</v>
      </c>
      <c r="F114" s="3" t="s">
        <v>51</v>
      </c>
      <c r="G114" s="6">
        <v>769.4</v>
      </c>
      <c r="H114" s="5">
        <v>8556</v>
      </c>
    </row>
    <row r="115" spans="2:8" ht="17.5" customHeight="1" x14ac:dyDescent="0.4">
      <c r="B115" t="s">
        <v>7</v>
      </c>
      <c r="C115" t="s">
        <v>49</v>
      </c>
      <c r="D115" s="7">
        <f>DATE(2007,5,18)</f>
        <v>39220</v>
      </c>
      <c r="E115" s="8">
        <f t="shared" si="1"/>
        <v>2007</v>
      </c>
      <c r="F115" t="s">
        <v>52</v>
      </c>
      <c r="G115" s="9">
        <v>500</v>
      </c>
      <c r="H115" s="8">
        <v>6001</v>
      </c>
    </row>
    <row r="116" spans="2:8" ht="17.5" customHeight="1" x14ac:dyDescent="0.4">
      <c r="B116" t="s">
        <v>7</v>
      </c>
      <c r="C116" t="s">
        <v>49</v>
      </c>
      <c r="D116" s="7">
        <f>DATE(2008,6,11)</f>
        <v>39610</v>
      </c>
      <c r="E116" s="8">
        <f t="shared" si="1"/>
        <v>2008</v>
      </c>
      <c r="F116" t="s">
        <v>52</v>
      </c>
      <c r="G116" s="9">
        <v>805.35</v>
      </c>
      <c r="H116" s="8">
        <v>7522</v>
      </c>
    </row>
    <row r="117" spans="2:8" ht="17.5" customHeight="1" x14ac:dyDescent="0.4">
      <c r="B117" s="3" t="s">
        <v>7</v>
      </c>
      <c r="C117" s="3" t="s">
        <v>49</v>
      </c>
      <c r="D117" s="4">
        <f>DATE(2007,5,18)</f>
        <v>39220</v>
      </c>
      <c r="E117" s="5">
        <f t="shared" si="1"/>
        <v>2007</v>
      </c>
      <c r="F117" s="3" t="s">
        <v>52</v>
      </c>
      <c r="G117" s="6">
        <v>1045.5</v>
      </c>
      <c r="H117" s="5">
        <v>8599</v>
      </c>
    </row>
    <row r="118" spans="2:8" ht="17.5" customHeight="1" x14ac:dyDescent="0.4">
      <c r="B118" s="3" t="s">
        <v>7</v>
      </c>
      <c r="C118" s="3" t="s">
        <v>49</v>
      </c>
      <c r="D118" s="4">
        <f>DATE(2008,8,26)</f>
        <v>39686</v>
      </c>
      <c r="E118" s="5">
        <f t="shared" si="1"/>
        <v>2008</v>
      </c>
      <c r="F118" s="3" t="s">
        <v>52</v>
      </c>
      <c r="G118" s="6">
        <v>855</v>
      </c>
      <c r="H118" s="5">
        <v>11161</v>
      </c>
    </row>
    <row r="119" spans="2:8" ht="17.5" customHeight="1" x14ac:dyDescent="0.4">
      <c r="B119" s="3" t="s">
        <v>7</v>
      </c>
      <c r="C119" s="3" t="s">
        <v>49</v>
      </c>
      <c r="D119" s="4">
        <f>DATE(2008,10,6)</f>
        <v>39727</v>
      </c>
      <c r="E119" s="5">
        <f t="shared" si="1"/>
        <v>2008</v>
      </c>
      <c r="F119" s="3" t="s">
        <v>52</v>
      </c>
      <c r="G119" s="6">
        <v>2115</v>
      </c>
      <c r="H119" s="5">
        <v>11366</v>
      </c>
    </row>
    <row r="120" spans="2:8" ht="17.5" customHeight="1" x14ac:dyDescent="0.4">
      <c r="B120" s="3" t="s">
        <v>7</v>
      </c>
      <c r="C120" s="3" t="s">
        <v>49</v>
      </c>
      <c r="D120" s="4">
        <f>DATE(2009,6,11)</f>
        <v>39975</v>
      </c>
      <c r="E120" s="5">
        <f t="shared" si="1"/>
        <v>2009</v>
      </c>
      <c r="F120" s="3" t="s">
        <v>52</v>
      </c>
      <c r="G120" s="6">
        <v>431</v>
      </c>
      <c r="H120" s="5">
        <v>12671</v>
      </c>
    </row>
    <row r="121" spans="2:8" ht="17.5" customHeight="1" x14ac:dyDescent="0.4">
      <c r="B121" s="3" t="s">
        <v>7</v>
      </c>
      <c r="C121" s="3" t="s">
        <v>49</v>
      </c>
      <c r="D121" s="4">
        <f>DATE(2010,3,9)</f>
        <v>40246</v>
      </c>
      <c r="E121" s="5">
        <f t="shared" si="1"/>
        <v>2010</v>
      </c>
      <c r="F121" s="3" t="s">
        <v>52</v>
      </c>
      <c r="G121" s="6">
        <v>622.5</v>
      </c>
      <c r="H121" s="5">
        <v>13702</v>
      </c>
    </row>
    <row r="122" spans="2:8" ht="17.5" customHeight="1" x14ac:dyDescent="0.4">
      <c r="B122" s="3" t="s">
        <v>7</v>
      </c>
      <c r="C122" s="3" t="s">
        <v>49</v>
      </c>
      <c r="D122" s="4">
        <f>DATE(2010,3,18)</f>
        <v>40255</v>
      </c>
      <c r="E122" s="5">
        <f t="shared" si="1"/>
        <v>2010</v>
      </c>
      <c r="F122" s="3" t="s">
        <v>52</v>
      </c>
      <c r="G122" s="6">
        <v>213.5</v>
      </c>
      <c r="H122" s="5">
        <v>13732</v>
      </c>
    </row>
    <row r="123" spans="2:8" ht="17.5" customHeight="1" x14ac:dyDescent="0.4">
      <c r="B123" s="3" t="s">
        <v>7</v>
      </c>
      <c r="C123" s="3" t="s">
        <v>49</v>
      </c>
      <c r="D123" s="4">
        <f>DATE(2011,5,12)</f>
        <v>40675</v>
      </c>
      <c r="E123" s="5">
        <f t="shared" si="1"/>
        <v>2011</v>
      </c>
      <c r="F123" s="3" t="s">
        <v>52</v>
      </c>
      <c r="G123" s="6">
        <v>421</v>
      </c>
      <c r="H123" s="5">
        <v>15553</v>
      </c>
    </row>
    <row r="124" spans="2:8" ht="17.5" customHeight="1" x14ac:dyDescent="0.4">
      <c r="B124" s="3" t="s">
        <v>7</v>
      </c>
      <c r="C124" s="3" t="s">
        <v>49</v>
      </c>
      <c r="D124" s="4">
        <f>DATE(2011,10,21)</f>
        <v>40837</v>
      </c>
      <c r="E124" s="5">
        <f t="shared" si="1"/>
        <v>2011</v>
      </c>
      <c r="F124" s="3" t="s">
        <v>52</v>
      </c>
      <c r="G124" s="6">
        <v>633.5</v>
      </c>
      <c r="H124" s="5">
        <v>16082</v>
      </c>
    </row>
    <row r="125" spans="2:8" ht="17.5" customHeight="1" x14ac:dyDescent="0.4">
      <c r="B125" s="3" t="s">
        <v>7</v>
      </c>
      <c r="C125" s="3" t="s">
        <v>49</v>
      </c>
      <c r="D125" s="4">
        <f>DATE(2013,5,23)</f>
        <v>41417</v>
      </c>
      <c r="E125" s="5">
        <f t="shared" si="1"/>
        <v>2013</v>
      </c>
      <c r="F125" s="3" t="s">
        <v>52</v>
      </c>
      <c r="G125" s="6">
        <v>834</v>
      </c>
      <c r="H125" s="5">
        <v>18612</v>
      </c>
    </row>
    <row r="126" spans="2:8" ht="17.5" customHeight="1" x14ac:dyDescent="0.4">
      <c r="B126" s="3" t="s">
        <v>7</v>
      </c>
      <c r="C126" s="3" t="s">
        <v>49</v>
      </c>
      <c r="D126" s="4">
        <f>DATE(2013,6,7)</f>
        <v>41432</v>
      </c>
      <c r="E126" s="5">
        <f t="shared" si="1"/>
        <v>2013</v>
      </c>
      <c r="F126" s="3" t="s">
        <v>52</v>
      </c>
      <c r="G126" s="6">
        <v>622.5</v>
      </c>
      <c r="H126" s="5">
        <v>18652</v>
      </c>
    </row>
    <row r="127" spans="2:8" ht="17.5" customHeight="1" x14ac:dyDescent="0.4">
      <c r="B127" t="s">
        <v>7</v>
      </c>
      <c r="C127" t="s">
        <v>53</v>
      </c>
      <c r="D127" s="7">
        <f>DATE(2003,8,17)</f>
        <v>37850</v>
      </c>
      <c r="E127" s="8">
        <f t="shared" si="1"/>
        <v>2003</v>
      </c>
      <c r="F127" t="s">
        <v>54</v>
      </c>
      <c r="G127" s="9">
        <v>4966.83</v>
      </c>
      <c r="H127" s="8">
        <v>818</v>
      </c>
    </row>
    <row r="128" spans="2:8" ht="17.5" customHeight="1" x14ac:dyDescent="0.4">
      <c r="B128" t="s">
        <v>7</v>
      </c>
      <c r="C128" t="s">
        <v>53</v>
      </c>
      <c r="D128" s="7">
        <f>DATE(2003,8,13)</f>
        <v>37846</v>
      </c>
      <c r="E128" s="8">
        <f t="shared" si="1"/>
        <v>2003</v>
      </c>
      <c r="F128" t="s">
        <v>54</v>
      </c>
      <c r="G128" s="9">
        <v>3526.76</v>
      </c>
      <c r="H128" s="8">
        <v>823</v>
      </c>
    </row>
    <row r="129" spans="2:8" ht="17.5" customHeight="1" x14ac:dyDescent="0.4">
      <c r="B129" t="s">
        <v>7</v>
      </c>
      <c r="C129" t="s">
        <v>53</v>
      </c>
      <c r="D129" s="7">
        <f>DATE(2004,6,10)</f>
        <v>38148</v>
      </c>
      <c r="E129" s="8">
        <f t="shared" si="1"/>
        <v>2004</v>
      </c>
      <c r="F129" t="s">
        <v>54</v>
      </c>
      <c r="G129" s="9">
        <v>3963.37</v>
      </c>
      <c r="H129" s="8">
        <v>1876</v>
      </c>
    </row>
    <row r="130" spans="2:8" ht="17.5" customHeight="1" x14ac:dyDescent="0.4">
      <c r="B130" t="s">
        <v>7</v>
      </c>
      <c r="C130" t="s">
        <v>53</v>
      </c>
      <c r="D130" s="7">
        <f>DATE(2005,6,18)</f>
        <v>38521</v>
      </c>
      <c r="E130" s="8">
        <f t="shared" si="1"/>
        <v>2005</v>
      </c>
      <c r="F130" t="s">
        <v>55</v>
      </c>
      <c r="G130" s="9">
        <v>4524.6099999999997</v>
      </c>
      <c r="H130" s="8">
        <v>3290</v>
      </c>
    </row>
    <row r="131" spans="2:8" ht="17.5" customHeight="1" x14ac:dyDescent="0.4">
      <c r="B131" t="s">
        <v>7</v>
      </c>
      <c r="C131" t="s">
        <v>53</v>
      </c>
      <c r="D131" s="7">
        <f>DATE(2005,10,29)</f>
        <v>38654</v>
      </c>
      <c r="E131" s="8">
        <f t="shared" ref="E131:E194" si="2">YEAR(D131)</f>
        <v>2005</v>
      </c>
      <c r="F131" t="s">
        <v>55</v>
      </c>
      <c r="G131" s="9">
        <v>6410.56</v>
      </c>
      <c r="H131" s="8">
        <v>3725</v>
      </c>
    </row>
    <row r="132" spans="2:8" ht="17.5" customHeight="1" x14ac:dyDescent="0.4">
      <c r="B132" t="s">
        <v>7</v>
      </c>
      <c r="C132" t="s">
        <v>53</v>
      </c>
      <c r="D132" s="7">
        <f>DATE(2006,4,25)</f>
        <v>38832</v>
      </c>
      <c r="E132" s="8">
        <f t="shared" si="2"/>
        <v>2006</v>
      </c>
      <c r="F132" t="s">
        <v>55</v>
      </c>
      <c r="G132" s="9">
        <v>4313.54</v>
      </c>
      <c r="H132" s="8">
        <v>4527</v>
      </c>
    </row>
    <row r="133" spans="2:8" ht="17.5" customHeight="1" x14ac:dyDescent="0.4">
      <c r="B133" t="s">
        <v>7</v>
      </c>
      <c r="C133" t="s">
        <v>53</v>
      </c>
      <c r="D133" s="7">
        <f>DATE(2007,5,4)</f>
        <v>39206</v>
      </c>
      <c r="E133" s="8">
        <f t="shared" si="2"/>
        <v>2007</v>
      </c>
      <c r="F133" t="s">
        <v>55</v>
      </c>
      <c r="G133" s="9">
        <v>5361.38</v>
      </c>
      <c r="H133" s="8">
        <v>5586</v>
      </c>
    </row>
    <row r="134" spans="2:8" ht="17.5" customHeight="1" x14ac:dyDescent="0.4">
      <c r="B134" t="s">
        <v>7</v>
      </c>
      <c r="C134" t="s">
        <v>53</v>
      </c>
      <c r="D134" s="7">
        <f>DATE(2008,10,16)</f>
        <v>39737</v>
      </c>
      <c r="E134" s="8">
        <f t="shared" si="2"/>
        <v>2008</v>
      </c>
      <c r="F134" t="s">
        <v>55</v>
      </c>
      <c r="G134" s="9">
        <v>6973.3</v>
      </c>
      <c r="H134" s="8">
        <v>7931</v>
      </c>
    </row>
    <row r="135" spans="2:8" ht="17.5" customHeight="1" x14ac:dyDescent="0.4">
      <c r="B135" s="3" t="s">
        <v>7</v>
      </c>
      <c r="C135" s="3" t="s">
        <v>56</v>
      </c>
      <c r="D135" s="4">
        <f>DATE(2004,2,28)</f>
        <v>38045</v>
      </c>
      <c r="E135" s="5">
        <f t="shared" si="2"/>
        <v>2004</v>
      </c>
      <c r="F135" s="3" t="s">
        <v>57</v>
      </c>
      <c r="G135" s="6">
        <v>48171.25</v>
      </c>
      <c r="H135" s="5">
        <v>545</v>
      </c>
    </row>
    <row r="136" spans="2:8" ht="17.5" customHeight="1" x14ac:dyDescent="0.4">
      <c r="B136" s="3" t="s">
        <v>7</v>
      </c>
      <c r="C136" s="3" t="s">
        <v>58</v>
      </c>
      <c r="D136" s="4">
        <f>DATE(2006,11,10)</f>
        <v>39031</v>
      </c>
      <c r="E136" s="5">
        <f t="shared" si="2"/>
        <v>2006</v>
      </c>
      <c r="F136" s="3" t="s">
        <v>59</v>
      </c>
      <c r="G136" s="6">
        <v>12652.56</v>
      </c>
      <c r="H136" s="5">
        <v>7278</v>
      </c>
    </row>
    <row r="137" spans="2:8" ht="17.5" customHeight="1" x14ac:dyDescent="0.4">
      <c r="B137" t="s">
        <v>7</v>
      </c>
      <c r="C137" t="s">
        <v>60</v>
      </c>
      <c r="D137" s="7">
        <f>DATE(2012,4,26)</f>
        <v>41025</v>
      </c>
      <c r="E137" s="8">
        <f t="shared" si="2"/>
        <v>2012</v>
      </c>
      <c r="F137" t="s">
        <v>61</v>
      </c>
      <c r="G137" s="9">
        <v>6172.98</v>
      </c>
      <c r="H137" s="8">
        <v>11524</v>
      </c>
    </row>
    <row r="138" spans="2:8" ht="17.5" customHeight="1" x14ac:dyDescent="0.4">
      <c r="B138" t="s">
        <v>7</v>
      </c>
      <c r="C138" t="s">
        <v>60</v>
      </c>
      <c r="D138" s="7">
        <f>DATE(2013,1,31)</f>
        <v>41305</v>
      </c>
      <c r="E138" s="8">
        <f t="shared" si="2"/>
        <v>2013</v>
      </c>
      <c r="F138" t="s">
        <v>61</v>
      </c>
      <c r="G138" s="9">
        <v>5364.53</v>
      </c>
      <c r="H138" s="8">
        <v>12137</v>
      </c>
    </row>
    <row r="139" spans="2:8" ht="17.5" customHeight="1" x14ac:dyDescent="0.4">
      <c r="B139" t="s">
        <v>7</v>
      </c>
      <c r="C139" t="s">
        <v>60</v>
      </c>
      <c r="D139" s="7">
        <f>DATE(2014,6,9)</f>
        <v>41799</v>
      </c>
      <c r="E139" s="8">
        <f t="shared" si="2"/>
        <v>2014</v>
      </c>
      <c r="F139" t="s">
        <v>61</v>
      </c>
      <c r="G139" s="9">
        <v>3302.64</v>
      </c>
      <c r="H139" s="8">
        <v>13228</v>
      </c>
    </row>
    <row r="140" spans="2:8" ht="17.5" customHeight="1" x14ac:dyDescent="0.4">
      <c r="B140" t="s">
        <v>7</v>
      </c>
      <c r="C140" t="s">
        <v>62</v>
      </c>
      <c r="D140" s="7">
        <f>DATE(2017,4,24)</f>
        <v>42849</v>
      </c>
      <c r="E140" s="8">
        <f t="shared" si="2"/>
        <v>2017</v>
      </c>
      <c r="F140" t="s">
        <v>63</v>
      </c>
      <c r="G140" s="9">
        <v>5002.1099999999997</v>
      </c>
      <c r="H140" s="8">
        <v>24684</v>
      </c>
    </row>
    <row r="141" spans="2:8" ht="17.5" customHeight="1" x14ac:dyDescent="0.4">
      <c r="B141" t="s">
        <v>7</v>
      </c>
      <c r="C141" t="s">
        <v>64</v>
      </c>
      <c r="D141" s="7">
        <f>DATE(2005,7,18)</f>
        <v>38551</v>
      </c>
      <c r="E141" s="8">
        <f t="shared" si="2"/>
        <v>2005</v>
      </c>
      <c r="F141" t="s">
        <v>65</v>
      </c>
      <c r="G141" s="9">
        <v>10921.77</v>
      </c>
      <c r="H141" s="8">
        <v>3390</v>
      </c>
    </row>
    <row r="142" spans="2:8" ht="17.5" customHeight="1" x14ac:dyDescent="0.4">
      <c r="B142" t="s">
        <v>7</v>
      </c>
      <c r="C142" t="s">
        <v>64</v>
      </c>
      <c r="D142" s="7">
        <f>DATE(2005,8,15)</f>
        <v>38579</v>
      </c>
      <c r="E142" s="8">
        <f t="shared" si="2"/>
        <v>2005</v>
      </c>
      <c r="F142" t="s">
        <v>65</v>
      </c>
      <c r="G142" s="9">
        <v>11250</v>
      </c>
      <c r="H142" s="8">
        <v>3449</v>
      </c>
    </row>
    <row r="143" spans="2:8" ht="17.5" customHeight="1" x14ac:dyDescent="0.4">
      <c r="B143" t="s">
        <v>7</v>
      </c>
      <c r="C143" t="s">
        <v>64</v>
      </c>
      <c r="D143" s="7">
        <f>DATE(2007,5,17)</f>
        <v>39219</v>
      </c>
      <c r="E143" s="8">
        <f t="shared" si="2"/>
        <v>2007</v>
      </c>
      <c r="F143" t="s">
        <v>65</v>
      </c>
      <c r="G143" s="9">
        <v>13224</v>
      </c>
      <c r="H143" s="8">
        <v>5613</v>
      </c>
    </row>
    <row r="144" spans="2:8" ht="17.5" customHeight="1" x14ac:dyDescent="0.4">
      <c r="B144" t="s">
        <v>7</v>
      </c>
      <c r="C144" t="s">
        <v>66</v>
      </c>
      <c r="D144" s="7">
        <f>DATE(2017,4,20)</f>
        <v>42845</v>
      </c>
      <c r="E144" s="8">
        <f t="shared" si="2"/>
        <v>2017</v>
      </c>
      <c r="F144" t="s">
        <v>67</v>
      </c>
      <c r="G144" s="9">
        <v>74</v>
      </c>
      <c r="H144" s="8">
        <v>24796</v>
      </c>
    </row>
    <row r="145" spans="2:8" ht="17.5" customHeight="1" x14ac:dyDescent="0.4">
      <c r="B145" s="3" t="s">
        <v>7</v>
      </c>
      <c r="C145" s="3" t="s">
        <v>66</v>
      </c>
      <c r="D145" s="4">
        <f>DATE(2009,3,18)</f>
        <v>39890</v>
      </c>
      <c r="E145" s="5">
        <f t="shared" si="2"/>
        <v>2009</v>
      </c>
      <c r="F145" s="3" t="s">
        <v>67</v>
      </c>
      <c r="G145" s="6">
        <v>3315.61</v>
      </c>
      <c r="H145" s="5">
        <v>12125</v>
      </c>
    </row>
    <row r="146" spans="2:8" ht="17.5" customHeight="1" x14ac:dyDescent="0.4">
      <c r="B146" s="3" t="s">
        <v>7</v>
      </c>
      <c r="C146" s="3" t="s">
        <v>66</v>
      </c>
      <c r="D146" s="4">
        <f>DATE(2013,3,5)</f>
        <v>41338</v>
      </c>
      <c r="E146" s="5">
        <f t="shared" si="2"/>
        <v>2013</v>
      </c>
      <c r="F146" s="3" t="s">
        <v>67</v>
      </c>
      <c r="G146" s="6">
        <v>1662</v>
      </c>
      <c r="H146" s="5">
        <v>18175</v>
      </c>
    </row>
    <row r="147" spans="2:8" ht="17.5" customHeight="1" x14ac:dyDescent="0.4">
      <c r="B147" t="s">
        <v>7</v>
      </c>
      <c r="C147" t="s">
        <v>68</v>
      </c>
      <c r="D147" s="7">
        <f>DATE(2006,3,10)</f>
        <v>38786</v>
      </c>
      <c r="E147" s="8">
        <f t="shared" si="2"/>
        <v>2006</v>
      </c>
      <c r="F147" t="s">
        <v>69</v>
      </c>
      <c r="G147" s="9">
        <v>8588.9</v>
      </c>
      <c r="H147" s="8">
        <v>4220</v>
      </c>
    </row>
    <row r="148" spans="2:8" ht="17.5" customHeight="1" x14ac:dyDescent="0.4">
      <c r="B148" s="3" t="s">
        <v>7</v>
      </c>
      <c r="C148" s="3" t="s">
        <v>68</v>
      </c>
      <c r="D148" s="4">
        <f>DATE(2006,3,10)</f>
        <v>38786</v>
      </c>
      <c r="E148" s="5">
        <f t="shared" si="2"/>
        <v>2006</v>
      </c>
      <c r="F148" s="3" t="s">
        <v>69</v>
      </c>
      <c r="G148" s="6">
        <v>3772</v>
      </c>
      <c r="H148" s="5">
        <v>6141</v>
      </c>
    </row>
    <row r="149" spans="2:8" ht="17.5" customHeight="1" x14ac:dyDescent="0.4">
      <c r="B149" t="s">
        <v>7</v>
      </c>
      <c r="C149" t="s">
        <v>68</v>
      </c>
      <c r="D149" s="7">
        <f>DATE(2017,5,10)</f>
        <v>42865</v>
      </c>
      <c r="E149" s="8">
        <f t="shared" si="2"/>
        <v>2017</v>
      </c>
      <c r="F149" t="s">
        <v>70</v>
      </c>
      <c r="G149" s="9">
        <v>12364.26</v>
      </c>
      <c r="H149" s="8">
        <v>24428</v>
      </c>
    </row>
    <row r="150" spans="2:8" ht="17.5" customHeight="1" x14ac:dyDescent="0.4">
      <c r="B150" t="s">
        <v>7</v>
      </c>
      <c r="C150" t="s">
        <v>68</v>
      </c>
      <c r="D150" s="7">
        <f>DATE(2017,5,15)</f>
        <v>42870</v>
      </c>
      <c r="E150" s="8">
        <f t="shared" si="2"/>
        <v>2017</v>
      </c>
      <c r="F150" t="s">
        <v>70</v>
      </c>
      <c r="G150" s="9">
        <v>6382.13</v>
      </c>
      <c r="H150" s="8">
        <v>24530</v>
      </c>
    </row>
    <row r="151" spans="2:8" ht="17.5" customHeight="1" x14ac:dyDescent="0.4">
      <c r="B151" t="s">
        <v>7</v>
      </c>
      <c r="C151" t="s">
        <v>68</v>
      </c>
      <c r="D151" s="7">
        <f>DATE(2018,10,29)</f>
        <v>43402</v>
      </c>
      <c r="E151" s="8">
        <f t="shared" si="2"/>
        <v>2018</v>
      </c>
      <c r="F151" t="s">
        <v>70</v>
      </c>
      <c r="G151" s="9">
        <v>13502.1</v>
      </c>
      <c r="H151" s="8">
        <v>27778</v>
      </c>
    </row>
    <row r="152" spans="2:8" ht="17.5" customHeight="1" x14ac:dyDescent="0.4">
      <c r="B152" t="s">
        <v>7</v>
      </c>
      <c r="C152" t="s">
        <v>68</v>
      </c>
      <c r="D152" s="7">
        <f>DATE(2017,5,10)</f>
        <v>42865</v>
      </c>
      <c r="E152" s="8">
        <f t="shared" si="2"/>
        <v>2017</v>
      </c>
      <c r="F152" t="s">
        <v>70</v>
      </c>
      <c r="G152" s="9">
        <v>14000</v>
      </c>
      <c r="H152" s="8">
        <v>24529</v>
      </c>
    </row>
    <row r="153" spans="2:8" ht="17.5" customHeight="1" x14ac:dyDescent="0.4">
      <c r="B153" t="s">
        <v>7</v>
      </c>
      <c r="C153" t="s">
        <v>68</v>
      </c>
      <c r="D153" s="7">
        <f>DATE(2018,10,29)</f>
        <v>43402</v>
      </c>
      <c r="E153" s="8">
        <f t="shared" si="2"/>
        <v>2018</v>
      </c>
      <c r="F153" t="s">
        <v>70</v>
      </c>
      <c r="G153" s="9">
        <v>17900</v>
      </c>
      <c r="H153" s="8">
        <v>27779</v>
      </c>
    </row>
    <row r="154" spans="2:8" ht="17.5" customHeight="1" x14ac:dyDescent="0.4">
      <c r="B154" t="s">
        <v>7</v>
      </c>
      <c r="C154" t="s">
        <v>68</v>
      </c>
      <c r="D154" s="7">
        <f>DATE(2017,5,19)</f>
        <v>42874</v>
      </c>
      <c r="E154" s="8">
        <f t="shared" si="2"/>
        <v>2017</v>
      </c>
      <c r="F154" t="s">
        <v>70</v>
      </c>
      <c r="G154" s="9">
        <v>165.63</v>
      </c>
      <c r="H154" s="8">
        <v>24952</v>
      </c>
    </row>
    <row r="155" spans="2:8" ht="17.5" customHeight="1" x14ac:dyDescent="0.4">
      <c r="B155" t="s">
        <v>7</v>
      </c>
      <c r="C155" t="s">
        <v>68</v>
      </c>
      <c r="D155" s="7">
        <f>DATE(2016,9,27)</f>
        <v>42640</v>
      </c>
      <c r="E155" s="8">
        <f t="shared" si="2"/>
        <v>2016</v>
      </c>
      <c r="F155" t="s">
        <v>70</v>
      </c>
      <c r="G155" s="9">
        <v>3353.4</v>
      </c>
      <c r="H155" s="8">
        <v>23503</v>
      </c>
    </row>
    <row r="156" spans="2:8" ht="17.5" customHeight="1" x14ac:dyDescent="0.4">
      <c r="B156" t="s">
        <v>7</v>
      </c>
      <c r="C156" t="s">
        <v>68</v>
      </c>
      <c r="D156" s="7">
        <f>DATE(2017,5,15)</f>
        <v>42870</v>
      </c>
      <c r="E156" s="8">
        <f t="shared" si="2"/>
        <v>2017</v>
      </c>
      <c r="F156" t="s">
        <v>70</v>
      </c>
      <c r="G156" s="9">
        <v>7900</v>
      </c>
      <c r="H156" s="8">
        <v>24531</v>
      </c>
    </row>
    <row r="157" spans="2:8" ht="17.5" customHeight="1" x14ac:dyDescent="0.4">
      <c r="B157" t="s">
        <v>7</v>
      </c>
      <c r="C157" t="s">
        <v>68</v>
      </c>
      <c r="D157" s="7">
        <f>DATE(2014,5,7)</f>
        <v>41766</v>
      </c>
      <c r="E157" s="8">
        <f t="shared" si="2"/>
        <v>2014</v>
      </c>
      <c r="F157" t="s">
        <v>70</v>
      </c>
      <c r="G157" s="9">
        <v>7590.78</v>
      </c>
      <c r="H157" s="8">
        <v>13125</v>
      </c>
    </row>
    <row r="158" spans="2:8" ht="17.5" customHeight="1" x14ac:dyDescent="0.4">
      <c r="B158" t="s">
        <v>7</v>
      </c>
      <c r="C158" t="s">
        <v>68</v>
      </c>
      <c r="D158" s="7">
        <f>DATE(2009,5,13)</f>
        <v>39946</v>
      </c>
      <c r="E158" s="8">
        <f t="shared" si="2"/>
        <v>2009</v>
      </c>
      <c r="F158" t="s">
        <v>70</v>
      </c>
      <c r="G158" s="9">
        <v>12492</v>
      </c>
      <c r="H158" s="8">
        <v>8682</v>
      </c>
    </row>
    <row r="159" spans="2:8" ht="17.5" customHeight="1" x14ac:dyDescent="0.4">
      <c r="B159" t="s">
        <v>7</v>
      </c>
      <c r="C159" t="s">
        <v>68</v>
      </c>
      <c r="D159" s="7">
        <f>DATE(2011,4,25)</f>
        <v>40658</v>
      </c>
      <c r="E159" s="8">
        <f t="shared" si="2"/>
        <v>2011</v>
      </c>
      <c r="F159" t="s">
        <v>70</v>
      </c>
      <c r="G159" s="9">
        <v>14787.74</v>
      </c>
      <c r="H159" s="8">
        <v>10637</v>
      </c>
    </row>
    <row r="160" spans="2:8" ht="17.5" customHeight="1" x14ac:dyDescent="0.4">
      <c r="B160" t="s">
        <v>7</v>
      </c>
      <c r="C160" t="s">
        <v>68</v>
      </c>
      <c r="D160" s="7">
        <f>DATE(2011,11,11)</f>
        <v>40858</v>
      </c>
      <c r="E160" s="8">
        <f t="shared" si="2"/>
        <v>2011</v>
      </c>
      <c r="F160" t="s">
        <v>70</v>
      </c>
      <c r="G160" s="9">
        <v>2858.22</v>
      </c>
      <c r="H160" s="8">
        <v>11086</v>
      </c>
    </row>
    <row r="161" spans="2:8" ht="17.5" customHeight="1" x14ac:dyDescent="0.4">
      <c r="B161" t="s">
        <v>7</v>
      </c>
      <c r="C161" t="s">
        <v>68</v>
      </c>
      <c r="D161" s="7">
        <f>DATE(2014,5,12)</f>
        <v>41771</v>
      </c>
      <c r="E161" s="8">
        <f t="shared" si="2"/>
        <v>2014</v>
      </c>
      <c r="F161" t="s">
        <v>70</v>
      </c>
      <c r="G161" s="9">
        <v>13360.4</v>
      </c>
      <c r="H161" s="8">
        <v>13124</v>
      </c>
    </row>
    <row r="162" spans="2:8" ht="17.5" customHeight="1" x14ac:dyDescent="0.4">
      <c r="B162" s="3" t="s">
        <v>7</v>
      </c>
      <c r="C162" s="3" t="s">
        <v>68</v>
      </c>
      <c r="D162" s="4">
        <f>DATE(2012,8,29)</f>
        <v>41150</v>
      </c>
      <c r="E162" s="5">
        <f t="shared" si="2"/>
        <v>2012</v>
      </c>
      <c r="F162" s="3" t="s">
        <v>70</v>
      </c>
      <c r="G162" s="6">
        <v>379.1</v>
      </c>
      <c r="H162" s="5">
        <v>17532</v>
      </c>
    </row>
    <row r="163" spans="2:8" ht="17.5" customHeight="1" x14ac:dyDescent="0.4">
      <c r="B163" s="3" t="s">
        <v>7</v>
      </c>
      <c r="C163" s="3" t="s">
        <v>68</v>
      </c>
      <c r="D163" s="4">
        <f>DATE(2012,8,30)</f>
        <v>41151</v>
      </c>
      <c r="E163" s="5">
        <f t="shared" si="2"/>
        <v>2012</v>
      </c>
      <c r="F163" s="3" t="s">
        <v>70</v>
      </c>
      <c r="G163" s="6">
        <v>379.1</v>
      </c>
      <c r="H163" s="5">
        <v>17532</v>
      </c>
    </row>
    <row r="164" spans="2:8" ht="17.5" customHeight="1" x14ac:dyDescent="0.4">
      <c r="B164" s="3" t="s">
        <v>7</v>
      </c>
      <c r="C164" s="3" t="s">
        <v>71</v>
      </c>
      <c r="D164" s="4">
        <f>DATE(2009,5,20)</f>
        <v>39953</v>
      </c>
      <c r="E164" s="5">
        <f t="shared" si="2"/>
        <v>2009</v>
      </c>
      <c r="F164" s="3" t="s">
        <v>72</v>
      </c>
      <c r="G164" s="6">
        <v>119.86</v>
      </c>
      <c r="H164" s="5">
        <v>12550</v>
      </c>
    </row>
    <row r="165" spans="2:8" ht="17.5" customHeight="1" x14ac:dyDescent="0.4">
      <c r="B165" t="s">
        <v>7</v>
      </c>
      <c r="C165" t="s">
        <v>73</v>
      </c>
      <c r="D165" s="7">
        <f>DATE(2017,4,27)</f>
        <v>42852</v>
      </c>
      <c r="E165" s="8">
        <f t="shared" si="2"/>
        <v>2017</v>
      </c>
      <c r="F165" t="s">
        <v>74</v>
      </c>
      <c r="G165" s="9">
        <v>48513.09</v>
      </c>
      <c r="H165" s="8">
        <v>24524</v>
      </c>
    </row>
    <row r="166" spans="2:8" ht="17.5" customHeight="1" x14ac:dyDescent="0.4">
      <c r="B166" s="3" t="s">
        <v>7</v>
      </c>
      <c r="C166" s="3" t="s">
        <v>75</v>
      </c>
      <c r="D166" s="4">
        <f>DATE(2007,9,21)</f>
        <v>39346</v>
      </c>
      <c r="E166" s="5">
        <f t="shared" si="2"/>
        <v>2007</v>
      </c>
      <c r="F166" s="3" t="s">
        <v>76</v>
      </c>
      <c r="G166" s="6">
        <v>4104.8</v>
      </c>
      <c r="H166" s="5">
        <v>2405</v>
      </c>
    </row>
    <row r="167" spans="2:8" ht="17.5" customHeight="1" x14ac:dyDescent="0.4">
      <c r="B167" s="3" t="s">
        <v>7</v>
      </c>
      <c r="C167" s="3" t="s">
        <v>75</v>
      </c>
      <c r="D167" s="4">
        <f>DATE(2010,11,10)</f>
        <v>40492</v>
      </c>
      <c r="E167" s="5">
        <f t="shared" si="2"/>
        <v>2010</v>
      </c>
      <c r="F167" s="3" t="s">
        <v>76</v>
      </c>
      <c r="G167" s="6">
        <v>3040.75</v>
      </c>
      <c r="H167" s="5">
        <v>4206</v>
      </c>
    </row>
    <row r="168" spans="2:8" ht="17.5" customHeight="1" x14ac:dyDescent="0.4">
      <c r="B168" s="3" t="s">
        <v>7</v>
      </c>
      <c r="C168" s="3" t="s">
        <v>75</v>
      </c>
      <c r="D168" s="4">
        <f>DATE(2011,12,7)</f>
        <v>40884</v>
      </c>
      <c r="E168" s="5">
        <f t="shared" si="2"/>
        <v>2011</v>
      </c>
      <c r="F168" s="3" t="s">
        <v>76</v>
      </c>
      <c r="G168" s="6">
        <v>2505.6</v>
      </c>
      <c r="H168" s="5">
        <v>4743</v>
      </c>
    </row>
    <row r="169" spans="2:8" ht="17.5" customHeight="1" x14ac:dyDescent="0.4">
      <c r="B169" t="s">
        <v>7</v>
      </c>
      <c r="C169" t="s">
        <v>77</v>
      </c>
      <c r="D169" s="7">
        <f>DATE(2009,5,29)</f>
        <v>39962</v>
      </c>
      <c r="E169" s="8">
        <f t="shared" si="2"/>
        <v>2009</v>
      </c>
      <c r="F169" t="s">
        <v>78</v>
      </c>
      <c r="G169" s="9">
        <v>2500</v>
      </c>
      <c r="H169" s="8">
        <v>8726</v>
      </c>
    </row>
    <row r="170" spans="2:8" ht="17.5" customHeight="1" x14ac:dyDescent="0.4">
      <c r="B170" t="s">
        <v>7</v>
      </c>
      <c r="C170" t="s">
        <v>77</v>
      </c>
      <c r="D170" s="7">
        <f>DATE(2009,6,5)</f>
        <v>39969</v>
      </c>
      <c r="E170" s="8">
        <f t="shared" si="2"/>
        <v>2009</v>
      </c>
      <c r="F170" t="s">
        <v>78</v>
      </c>
      <c r="G170" s="9">
        <v>10856</v>
      </c>
      <c r="H170" s="8">
        <v>8747</v>
      </c>
    </row>
    <row r="171" spans="2:8" ht="17.5" customHeight="1" x14ac:dyDescent="0.4">
      <c r="B171" s="3" t="s">
        <v>7</v>
      </c>
      <c r="C171" s="3" t="s">
        <v>77</v>
      </c>
      <c r="D171" s="4">
        <f>DATE(2012,5,29)</f>
        <v>41058</v>
      </c>
      <c r="E171" s="5">
        <f t="shared" si="2"/>
        <v>2012</v>
      </c>
      <c r="F171" s="3" t="s">
        <v>78</v>
      </c>
      <c r="G171" s="6">
        <v>6356.98</v>
      </c>
      <c r="H171" s="5">
        <v>17194</v>
      </c>
    </row>
    <row r="172" spans="2:8" ht="17.5" customHeight="1" x14ac:dyDescent="0.4">
      <c r="B172" s="3" t="s">
        <v>7</v>
      </c>
      <c r="C172" s="3" t="s">
        <v>77</v>
      </c>
      <c r="D172" s="4">
        <f>DATE(2012,7,27)</f>
        <v>41117</v>
      </c>
      <c r="E172" s="5">
        <f t="shared" si="2"/>
        <v>2012</v>
      </c>
      <c r="F172" s="3" t="s">
        <v>78</v>
      </c>
      <c r="G172" s="6">
        <v>3057</v>
      </c>
      <c r="H172" s="5">
        <v>17403</v>
      </c>
    </row>
    <row r="173" spans="2:8" ht="17.5" customHeight="1" x14ac:dyDescent="0.4">
      <c r="B173" s="3" t="s">
        <v>7</v>
      </c>
      <c r="C173" s="3" t="s">
        <v>77</v>
      </c>
      <c r="D173" s="4">
        <f>DATE(2012,9,4)</f>
        <v>41156</v>
      </c>
      <c r="E173" s="5">
        <f t="shared" si="2"/>
        <v>2012</v>
      </c>
      <c r="F173" s="3" t="s">
        <v>78</v>
      </c>
      <c r="G173" s="6">
        <v>1515</v>
      </c>
      <c r="H173" s="5">
        <v>17536</v>
      </c>
    </row>
    <row r="174" spans="2:8" ht="17.5" customHeight="1" x14ac:dyDescent="0.4">
      <c r="B174" s="3" t="s">
        <v>7</v>
      </c>
      <c r="C174" s="3" t="s">
        <v>77</v>
      </c>
      <c r="D174" s="4">
        <f>DATE(2012,11,8)</f>
        <v>41221</v>
      </c>
      <c r="E174" s="5">
        <f t="shared" si="2"/>
        <v>2012</v>
      </c>
      <c r="F174" s="3" t="s">
        <v>78</v>
      </c>
      <c r="G174" s="6">
        <v>1643.13</v>
      </c>
      <c r="H174" s="5">
        <v>17809</v>
      </c>
    </row>
    <row r="175" spans="2:8" ht="17.5" customHeight="1" x14ac:dyDescent="0.4">
      <c r="B175" s="3" t="s">
        <v>7</v>
      </c>
      <c r="C175" s="3" t="s">
        <v>77</v>
      </c>
      <c r="D175" s="4">
        <f>DATE(2012,11,21)</f>
        <v>41234</v>
      </c>
      <c r="E175" s="5">
        <f t="shared" si="2"/>
        <v>2012</v>
      </c>
      <c r="F175" s="3" t="s">
        <v>78</v>
      </c>
      <c r="G175" s="6">
        <v>761</v>
      </c>
      <c r="H175" s="5">
        <v>17851</v>
      </c>
    </row>
    <row r="176" spans="2:8" ht="17.5" customHeight="1" x14ac:dyDescent="0.4">
      <c r="B176" s="3" t="s">
        <v>7</v>
      </c>
      <c r="C176" s="3" t="s">
        <v>77</v>
      </c>
      <c r="D176" s="4">
        <f>DATE(2013,3,27)</f>
        <v>41360</v>
      </c>
      <c r="E176" s="5">
        <f t="shared" si="2"/>
        <v>2013</v>
      </c>
      <c r="F176" s="3" t="s">
        <v>78</v>
      </c>
      <c r="G176" s="6">
        <v>2043.09</v>
      </c>
      <c r="H176" s="5">
        <v>18368</v>
      </c>
    </row>
    <row r="177" spans="2:8" ht="17.5" customHeight="1" x14ac:dyDescent="0.4">
      <c r="B177" s="3" t="s">
        <v>7</v>
      </c>
      <c r="C177" s="3" t="s">
        <v>77</v>
      </c>
      <c r="D177" s="4">
        <f>DATE(2014,9,17)</f>
        <v>41899</v>
      </c>
      <c r="E177" s="5">
        <f t="shared" si="2"/>
        <v>2014</v>
      </c>
      <c r="F177" s="3" t="s">
        <v>78</v>
      </c>
      <c r="G177" s="6">
        <v>6150</v>
      </c>
      <c r="H177" s="5">
        <v>20413</v>
      </c>
    </row>
    <row r="178" spans="2:8" ht="17.5" customHeight="1" x14ac:dyDescent="0.4">
      <c r="B178" t="s">
        <v>7</v>
      </c>
      <c r="C178" t="s">
        <v>79</v>
      </c>
      <c r="D178" s="7">
        <f>DATE(2014,11,26)</f>
        <v>41969</v>
      </c>
      <c r="E178" s="8">
        <f t="shared" si="2"/>
        <v>2014</v>
      </c>
      <c r="F178" t="s">
        <v>80</v>
      </c>
      <c r="G178" s="9">
        <v>7669.44</v>
      </c>
      <c r="H178" s="8">
        <v>13347</v>
      </c>
    </row>
    <row r="179" spans="2:8" ht="17.5" customHeight="1" x14ac:dyDescent="0.4">
      <c r="B179" s="3" t="s">
        <v>7</v>
      </c>
      <c r="C179" s="3" t="s">
        <v>79</v>
      </c>
      <c r="D179" s="4">
        <f>DATE(2005,1,20)</f>
        <v>38372</v>
      </c>
      <c r="E179" s="5">
        <f t="shared" si="2"/>
        <v>2005</v>
      </c>
      <c r="F179" s="3" t="s">
        <v>80</v>
      </c>
      <c r="G179" s="6">
        <v>2550.4</v>
      </c>
      <c r="H179" s="5">
        <v>3991</v>
      </c>
    </row>
    <row r="180" spans="2:8" ht="17.5" customHeight="1" x14ac:dyDescent="0.4">
      <c r="B180" s="3" t="s">
        <v>7</v>
      </c>
      <c r="C180" s="3" t="s">
        <v>79</v>
      </c>
      <c r="D180" s="4">
        <f>DATE(2005,11,1)</f>
        <v>38657</v>
      </c>
      <c r="E180" s="5">
        <f t="shared" si="2"/>
        <v>2005</v>
      </c>
      <c r="F180" s="3" t="s">
        <v>80</v>
      </c>
      <c r="G180" s="6">
        <v>4650.24</v>
      </c>
      <c r="H180" s="5">
        <v>5515</v>
      </c>
    </row>
    <row r="181" spans="2:8" ht="17.5" customHeight="1" x14ac:dyDescent="0.4">
      <c r="B181" s="3" t="s">
        <v>7</v>
      </c>
      <c r="C181" s="3" t="s">
        <v>79</v>
      </c>
      <c r="D181" s="4">
        <f>DATE(2013,11,21)</f>
        <v>41599</v>
      </c>
      <c r="E181" s="5">
        <f t="shared" si="2"/>
        <v>2013</v>
      </c>
      <c r="F181" s="3" t="s">
        <v>80</v>
      </c>
      <c r="G181" s="6">
        <v>278.2</v>
      </c>
      <c r="H181" s="5">
        <v>19254</v>
      </c>
    </row>
    <row r="182" spans="2:8" ht="17.5" customHeight="1" x14ac:dyDescent="0.4">
      <c r="B182" t="s">
        <v>7</v>
      </c>
      <c r="C182" t="s">
        <v>81</v>
      </c>
      <c r="D182" s="7">
        <f>DATE(2015,6,8)</f>
        <v>42163</v>
      </c>
      <c r="E182" s="8">
        <f t="shared" si="2"/>
        <v>2015</v>
      </c>
      <c r="F182" t="s">
        <v>82</v>
      </c>
      <c r="G182" s="9">
        <v>27410.080000000002</v>
      </c>
      <c r="H182" s="8">
        <v>20023</v>
      </c>
    </row>
    <row r="183" spans="2:8" ht="17.5" customHeight="1" x14ac:dyDescent="0.4">
      <c r="B183" t="s">
        <v>7</v>
      </c>
      <c r="C183" t="s">
        <v>81</v>
      </c>
      <c r="D183" s="7">
        <f>DATE(2016,3,21)</f>
        <v>42450</v>
      </c>
      <c r="E183" s="8">
        <f t="shared" si="2"/>
        <v>2016</v>
      </c>
      <c r="F183" t="s">
        <v>82</v>
      </c>
      <c r="G183" s="9">
        <v>18076.48</v>
      </c>
      <c r="H183" s="8">
        <v>22367</v>
      </c>
    </row>
    <row r="184" spans="2:8" ht="17.5" customHeight="1" x14ac:dyDescent="0.4">
      <c r="B184" t="s">
        <v>7</v>
      </c>
      <c r="C184" t="s">
        <v>81</v>
      </c>
      <c r="D184" s="7">
        <f>DATE(2016,5,12)</f>
        <v>42502</v>
      </c>
      <c r="E184" s="8">
        <f t="shared" si="2"/>
        <v>2016</v>
      </c>
      <c r="F184" t="s">
        <v>82</v>
      </c>
      <c r="G184" s="9">
        <v>21528.29</v>
      </c>
      <c r="H184" s="8">
        <v>22442</v>
      </c>
    </row>
    <row r="185" spans="2:8" ht="17.5" customHeight="1" x14ac:dyDescent="0.4">
      <c r="B185" t="s">
        <v>7</v>
      </c>
      <c r="C185" t="s">
        <v>81</v>
      </c>
      <c r="D185" s="7">
        <f>DATE(2017,4,27)</f>
        <v>42852</v>
      </c>
      <c r="E185" s="8">
        <f t="shared" si="2"/>
        <v>2017</v>
      </c>
      <c r="F185" t="s">
        <v>82</v>
      </c>
      <c r="G185" s="9">
        <v>25000</v>
      </c>
      <c r="H185" s="8">
        <v>24546</v>
      </c>
    </row>
    <row r="186" spans="2:8" ht="17.5" customHeight="1" x14ac:dyDescent="0.4">
      <c r="B186" t="s">
        <v>7</v>
      </c>
      <c r="C186" t="s">
        <v>81</v>
      </c>
      <c r="D186" s="7">
        <f>DATE(2018,11,30)</f>
        <v>43434</v>
      </c>
      <c r="E186" s="8">
        <f t="shared" si="2"/>
        <v>2018</v>
      </c>
      <c r="F186" t="s">
        <v>82</v>
      </c>
      <c r="G186" s="9">
        <v>25000</v>
      </c>
      <c r="H186" s="8">
        <v>27441</v>
      </c>
    </row>
    <row r="187" spans="2:8" ht="17.5" customHeight="1" x14ac:dyDescent="0.4">
      <c r="B187" t="s">
        <v>7</v>
      </c>
      <c r="C187" t="s">
        <v>81</v>
      </c>
      <c r="D187" s="7">
        <f>DATE(2013,10,22)</f>
        <v>41569</v>
      </c>
      <c r="E187" s="8">
        <f t="shared" si="2"/>
        <v>2013</v>
      </c>
      <c r="F187" t="s">
        <v>82</v>
      </c>
      <c r="G187" s="9">
        <v>21698.07</v>
      </c>
      <c r="H187" s="8">
        <v>12631</v>
      </c>
    </row>
    <row r="188" spans="2:8" ht="17.5" customHeight="1" x14ac:dyDescent="0.4">
      <c r="B188" t="s">
        <v>7</v>
      </c>
      <c r="C188" t="s">
        <v>81</v>
      </c>
      <c r="D188" s="7">
        <f>DATE(2013,10,22)</f>
        <v>41569</v>
      </c>
      <c r="E188" s="8">
        <f t="shared" si="2"/>
        <v>2013</v>
      </c>
      <c r="F188" t="s">
        <v>82</v>
      </c>
      <c r="G188" s="9">
        <v>34738.54</v>
      </c>
      <c r="H188" s="8">
        <v>12630</v>
      </c>
    </row>
    <row r="189" spans="2:8" ht="17.5" customHeight="1" x14ac:dyDescent="0.4">
      <c r="B189" t="s">
        <v>7</v>
      </c>
      <c r="C189" t="s">
        <v>81</v>
      </c>
      <c r="D189" s="7">
        <f>DATE(2014,6,17)</f>
        <v>41807</v>
      </c>
      <c r="E189" s="8">
        <f t="shared" si="2"/>
        <v>2014</v>
      </c>
      <c r="F189" t="s">
        <v>82</v>
      </c>
      <c r="G189" s="9">
        <v>23917.34</v>
      </c>
      <c r="H189" s="8">
        <v>13238</v>
      </c>
    </row>
    <row r="190" spans="2:8" ht="17.5" customHeight="1" x14ac:dyDescent="0.4">
      <c r="B190" t="s">
        <v>7</v>
      </c>
      <c r="C190" t="s">
        <v>81</v>
      </c>
      <c r="D190" s="7">
        <f>DATE(2014,7,22)</f>
        <v>41842</v>
      </c>
      <c r="E190" s="8">
        <f t="shared" si="2"/>
        <v>2014</v>
      </c>
      <c r="F190" t="s">
        <v>82</v>
      </c>
      <c r="G190" s="9">
        <v>14200.76</v>
      </c>
      <c r="H190" s="8">
        <v>13305</v>
      </c>
    </row>
    <row r="191" spans="2:8" ht="17.5" customHeight="1" x14ac:dyDescent="0.4">
      <c r="B191" s="3" t="s">
        <v>7</v>
      </c>
      <c r="C191" s="3" t="s">
        <v>81</v>
      </c>
      <c r="D191" s="4">
        <f>DATE(2014,6,23)</f>
        <v>41813</v>
      </c>
      <c r="E191" s="5">
        <f t="shared" si="2"/>
        <v>2014</v>
      </c>
      <c r="F191" s="3" t="s">
        <v>82</v>
      </c>
      <c r="G191" s="6">
        <v>491</v>
      </c>
      <c r="H191" s="5">
        <v>20044</v>
      </c>
    </row>
    <row r="192" spans="2:8" ht="17.5" customHeight="1" x14ac:dyDescent="0.4">
      <c r="B192" s="3" t="s">
        <v>7</v>
      </c>
      <c r="C192" s="3" t="s">
        <v>83</v>
      </c>
      <c r="D192" s="4">
        <f>DATE(2007,4,18)</f>
        <v>39190</v>
      </c>
      <c r="E192" s="5">
        <f t="shared" si="2"/>
        <v>2007</v>
      </c>
      <c r="F192" s="3" t="s">
        <v>84</v>
      </c>
      <c r="G192" s="6">
        <v>161.4</v>
      </c>
      <c r="H192" s="5">
        <v>8391</v>
      </c>
    </row>
    <row r="193" spans="2:8" ht="17.5" customHeight="1" x14ac:dyDescent="0.4">
      <c r="B193" t="s">
        <v>7</v>
      </c>
      <c r="C193" t="s">
        <v>83</v>
      </c>
      <c r="D193" s="7">
        <f>DATE(2007,4,12)</f>
        <v>39184</v>
      </c>
      <c r="E193" s="8">
        <f t="shared" si="2"/>
        <v>2007</v>
      </c>
      <c r="F193" t="s">
        <v>85</v>
      </c>
      <c r="G193" s="9">
        <v>927</v>
      </c>
      <c r="H193" s="8">
        <v>5847</v>
      </c>
    </row>
    <row r="194" spans="2:8" ht="17.5" customHeight="1" x14ac:dyDescent="0.4">
      <c r="B194" t="s">
        <v>7</v>
      </c>
      <c r="C194" t="s">
        <v>86</v>
      </c>
      <c r="D194" s="7">
        <f>DATE(2018,12,18)</f>
        <v>43452</v>
      </c>
      <c r="E194" s="8">
        <f t="shared" si="2"/>
        <v>2018</v>
      </c>
      <c r="F194" t="s">
        <v>87</v>
      </c>
      <c r="G194" s="9">
        <v>26980.66</v>
      </c>
      <c r="H194" s="8">
        <v>28067</v>
      </c>
    </row>
    <row r="195" spans="2:8" ht="17.5" customHeight="1" x14ac:dyDescent="0.4">
      <c r="B195" s="3" t="s">
        <v>7</v>
      </c>
      <c r="C195" s="3" t="s">
        <v>88</v>
      </c>
      <c r="D195" s="4">
        <f>DATE(2005,11,11)</f>
        <v>38667</v>
      </c>
      <c r="E195" s="5">
        <f t="shared" ref="E195:E258" si="3">YEAR(D195)</f>
        <v>2005</v>
      </c>
      <c r="F195" s="3" t="s">
        <v>89</v>
      </c>
      <c r="G195" s="6">
        <v>4469.93</v>
      </c>
      <c r="H195" s="5">
        <v>1298</v>
      </c>
    </row>
    <row r="196" spans="2:8" ht="17.5" customHeight="1" x14ac:dyDescent="0.4">
      <c r="B196" s="3" t="s">
        <v>7</v>
      </c>
      <c r="C196" s="3" t="s">
        <v>88</v>
      </c>
      <c r="D196" s="4">
        <f>DATE(2005,11,11)</f>
        <v>38667</v>
      </c>
      <c r="E196" s="5">
        <f t="shared" si="3"/>
        <v>2005</v>
      </c>
      <c r="F196" s="3" t="s">
        <v>90</v>
      </c>
      <c r="G196" s="6">
        <v>4333.51</v>
      </c>
      <c r="H196" s="5">
        <v>1297</v>
      </c>
    </row>
    <row r="197" spans="2:8" ht="17.5" customHeight="1" x14ac:dyDescent="0.4">
      <c r="B197" s="3" t="s">
        <v>7</v>
      </c>
      <c r="C197" s="3" t="s">
        <v>88</v>
      </c>
      <c r="D197" s="4">
        <f>DATE(2006,4,3)</f>
        <v>38810</v>
      </c>
      <c r="E197" s="5">
        <f t="shared" si="3"/>
        <v>2006</v>
      </c>
      <c r="F197" s="3" t="s">
        <v>90</v>
      </c>
      <c r="G197" s="6">
        <v>80121.919999999998</v>
      </c>
      <c r="H197" s="5">
        <v>1496</v>
      </c>
    </row>
    <row r="198" spans="2:8" ht="17.5" customHeight="1" x14ac:dyDescent="0.4">
      <c r="B198" s="3" t="s">
        <v>7</v>
      </c>
      <c r="C198" s="3" t="s">
        <v>91</v>
      </c>
      <c r="D198" s="4">
        <f>DATE(2009,4,23)</f>
        <v>39926</v>
      </c>
      <c r="E198" s="5">
        <f t="shared" si="3"/>
        <v>2009</v>
      </c>
      <c r="F198" s="3" t="s">
        <v>92</v>
      </c>
      <c r="G198" s="6">
        <v>322.56</v>
      </c>
      <c r="H198" s="5">
        <v>3384</v>
      </c>
    </row>
    <row r="199" spans="2:8" ht="17.5" customHeight="1" x14ac:dyDescent="0.4">
      <c r="B199" t="s">
        <v>7</v>
      </c>
      <c r="C199" t="s">
        <v>93</v>
      </c>
      <c r="D199" s="7">
        <f>DATE(2015,4,29)</f>
        <v>42123</v>
      </c>
      <c r="E199" s="8">
        <f t="shared" si="3"/>
        <v>2015</v>
      </c>
      <c r="F199" t="s">
        <v>94</v>
      </c>
      <c r="G199" s="9">
        <v>22246.54</v>
      </c>
      <c r="H199" s="8">
        <v>20275</v>
      </c>
    </row>
    <row r="200" spans="2:8" ht="17.5" customHeight="1" x14ac:dyDescent="0.4">
      <c r="B200" s="3" t="s">
        <v>7</v>
      </c>
      <c r="C200" s="3" t="s">
        <v>93</v>
      </c>
      <c r="D200" s="4">
        <f>DATE(2014,11,24)</f>
        <v>41967</v>
      </c>
      <c r="E200" s="5">
        <f t="shared" si="3"/>
        <v>2014</v>
      </c>
      <c r="F200" s="3" t="s">
        <v>94</v>
      </c>
      <c r="G200" s="6">
        <v>12795.71</v>
      </c>
      <c r="H200" s="5">
        <v>6458</v>
      </c>
    </row>
    <row r="201" spans="2:8" ht="17.5" customHeight="1" x14ac:dyDescent="0.4">
      <c r="B201" t="s">
        <v>7</v>
      </c>
      <c r="C201" t="s">
        <v>95</v>
      </c>
      <c r="D201" s="7">
        <f>DATE(2016,4,25)</f>
        <v>42485</v>
      </c>
      <c r="E201" s="8">
        <f t="shared" si="3"/>
        <v>2016</v>
      </c>
      <c r="F201" t="s">
        <v>96</v>
      </c>
      <c r="G201" s="9">
        <v>20235.03</v>
      </c>
      <c r="H201" s="8">
        <v>22529</v>
      </c>
    </row>
    <row r="202" spans="2:8" ht="17.5" customHeight="1" x14ac:dyDescent="0.4">
      <c r="B202" s="3" t="s">
        <v>7</v>
      </c>
      <c r="C202" s="3" t="s">
        <v>95</v>
      </c>
      <c r="D202" s="4">
        <f>DATE(2014,12,3)</f>
        <v>41976</v>
      </c>
      <c r="E202" s="5">
        <f t="shared" si="3"/>
        <v>2014</v>
      </c>
      <c r="F202" s="3" t="s">
        <v>96</v>
      </c>
      <c r="G202" s="6">
        <v>20808.080000000002</v>
      </c>
      <c r="H202" s="5">
        <v>6474</v>
      </c>
    </row>
    <row r="203" spans="2:8" ht="17.5" customHeight="1" x14ac:dyDescent="0.4">
      <c r="B203" s="3" t="s">
        <v>7</v>
      </c>
      <c r="C203" s="3" t="s">
        <v>97</v>
      </c>
      <c r="D203" s="4">
        <f>DATE(2014,5,8)</f>
        <v>41767</v>
      </c>
      <c r="E203" s="5">
        <f t="shared" si="3"/>
        <v>2014</v>
      </c>
      <c r="F203" s="3" t="s">
        <v>98</v>
      </c>
      <c r="G203" s="6">
        <v>14495.69</v>
      </c>
      <c r="H203" s="5">
        <v>6161</v>
      </c>
    </row>
    <row r="204" spans="2:8" ht="17.5" customHeight="1" x14ac:dyDescent="0.4">
      <c r="B204" s="3" t="s">
        <v>7</v>
      </c>
      <c r="C204" s="3" t="s">
        <v>91</v>
      </c>
      <c r="D204" s="4">
        <f>DATE(2009,4,15)</f>
        <v>39918</v>
      </c>
      <c r="E204" s="5">
        <f t="shared" si="3"/>
        <v>2009</v>
      </c>
      <c r="F204" s="3" t="s">
        <v>99</v>
      </c>
      <c r="G204" s="6">
        <v>6293.9</v>
      </c>
      <c r="H204" s="5">
        <v>3324</v>
      </c>
    </row>
    <row r="205" spans="2:8" ht="17.5" customHeight="1" x14ac:dyDescent="0.4">
      <c r="B205" t="s">
        <v>7</v>
      </c>
      <c r="C205" t="s">
        <v>100</v>
      </c>
      <c r="D205" s="7">
        <f>DATE(2016,10,17)</f>
        <v>42660</v>
      </c>
      <c r="E205" s="8">
        <f t="shared" si="3"/>
        <v>2016</v>
      </c>
      <c r="F205" t="s">
        <v>101</v>
      </c>
      <c r="G205" s="9">
        <v>16456.37</v>
      </c>
      <c r="H205" s="8">
        <v>23492</v>
      </c>
    </row>
    <row r="206" spans="2:8" ht="17.5" customHeight="1" x14ac:dyDescent="0.4">
      <c r="B206" s="3" t="s">
        <v>7</v>
      </c>
      <c r="C206" s="3" t="s">
        <v>100</v>
      </c>
      <c r="D206" s="4">
        <f>DATE(2012,9,11)</f>
        <v>41163</v>
      </c>
      <c r="E206" s="5">
        <f t="shared" si="3"/>
        <v>2012</v>
      </c>
      <c r="F206" s="3" t="s">
        <v>101</v>
      </c>
      <c r="G206" s="6">
        <v>23022.73</v>
      </c>
      <c r="H206" s="5">
        <v>5036</v>
      </c>
    </row>
    <row r="207" spans="2:8" ht="17.5" customHeight="1" x14ac:dyDescent="0.4">
      <c r="B207" s="3" t="s">
        <v>7</v>
      </c>
      <c r="C207" s="3" t="s">
        <v>95</v>
      </c>
      <c r="D207" s="4">
        <f>DATE(2011,10,13)</f>
        <v>40829</v>
      </c>
      <c r="E207" s="5">
        <f t="shared" si="3"/>
        <v>2011</v>
      </c>
      <c r="F207" s="3" t="s">
        <v>102</v>
      </c>
      <c r="G207" s="6">
        <v>11467.8</v>
      </c>
      <c r="H207" s="5">
        <v>4614</v>
      </c>
    </row>
    <row r="208" spans="2:8" ht="17.5" customHeight="1" x14ac:dyDescent="0.4">
      <c r="B208" s="3" t="s">
        <v>7</v>
      </c>
      <c r="C208" s="3" t="s">
        <v>95</v>
      </c>
      <c r="D208" s="4">
        <f>DATE(2013,11,19)</f>
        <v>41597</v>
      </c>
      <c r="E208" s="5">
        <f t="shared" si="3"/>
        <v>2013</v>
      </c>
      <c r="F208" s="3" t="s">
        <v>102</v>
      </c>
      <c r="G208" s="6">
        <v>20267.48</v>
      </c>
      <c r="H208" s="5">
        <v>5525</v>
      </c>
    </row>
    <row r="209" spans="2:8" ht="17.5" customHeight="1" x14ac:dyDescent="0.4">
      <c r="B209" s="3" t="s">
        <v>7</v>
      </c>
      <c r="C209" s="3" t="s">
        <v>103</v>
      </c>
      <c r="D209" s="4">
        <f>DATE(2003,8,7)</f>
        <v>37840</v>
      </c>
      <c r="E209" s="5">
        <f t="shared" si="3"/>
        <v>2003</v>
      </c>
      <c r="F209" s="3" t="s">
        <v>104</v>
      </c>
      <c r="G209" s="6">
        <v>1350.96</v>
      </c>
      <c r="H209" s="5">
        <v>253</v>
      </c>
    </row>
    <row r="210" spans="2:8" ht="17.5" customHeight="1" x14ac:dyDescent="0.4">
      <c r="B210" s="3" t="s">
        <v>7</v>
      </c>
      <c r="C210" s="3" t="s">
        <v>103</v>
      </c>
      <c r="D210" s="4">
        <f>DATE(2003,10,21)</f>
        <v>37915</v>
      </c>
      <c r="E210" s="5">
        <f t="shared" si="3"/>
        <v>2003</v>
      </c>
      <c r="F210" s="3" t="s">
        <v>104</v>
      </c>
      <c r="G210" s="6">
        <v>947.15</v>
      </c>
      <c r="H210" s="5">
        <v>381</v>
      </c>
    </row>
    <row r="211" spans="2:8" ht="17.5" customHeight="1" x14ac:dyDescent="0.4">
      <c r="B211" s="3" t="s">
        <v>7</v>
      </c>
      <c r="C211" s="3" t="s">
        <v>103</v>
      </c>
      <c r="D211" s="4">
        <f>DATE(2004,5,20)</f>
        <v>38127</v>
      </c>
      <c r="E211" s="5">
        <f t="shared" si="3"/>
        <v>2004</v>
      </c>
      <c r="F211" s="3" t="s">
        <v>104</v>
      </c>
      <c r="G211" s="6">
        <v>1843.89</v>
      </c>
      <c r="H211" s="5">
        <v>653</v>
      </c>
    </row>
    <row r="212" spans="2:8" ht="17.5" customHeight="1" x14ac:dyDescent="0.4">
      <c r="B212" s="3" t="s">
        <v>7</v>
      </c>
      <c r="C212" s="3" t="s">
        <v>103</v>
      </c>
      <c r="D212" s="4">
        <f>DATE(2004,8,19)</f>
        <v>38218</v>
      </c>
      <c r="E212" s="5">
        <f t="shared" si="3"/>
        <v>2004</v>
      </c>
      <c r="F212" s="3" t="s">
        <v>104</v>
      </c>
      <c r="G212" s="6">
        <v>1940.34</v>
      </c>
      <c r="H212" s="5">
        <v>743</v>
      </c>
    </row>
    <row r="213" spans="2:8" ht="17.5" customHeight="1" x14ac:dyDescent="0.4">
      <c r="B213" s="3" t="s">
        <v>7</v>
      </c>
      <c r="C213" s="3" t="s">
        <v>103</v>
      </c>
      <c r="D213" s="4">
        <f>DATE(2004,9,1)</f>
        <v>38231</v>
      </c>
      <c r="E213" s="5">
        <f t="shared" si="3"/>
        <v>2004</v>
      </c>
      <c r="F213" s="3" t="s">
        <v>104</v>
      </c>
      <c r="G213" s="6">
        <v>2052.9499999999998</v>
      </c>
      <c r="H213" s="5">
        <v>756</v>
      </c>
    </row>
    <row r="214" spans="2:8" ht="17.5" customHeight="1" x14ac:dyDescent="0.4">
      <c r="B214" s="3" t="s">
        <v>7</v>
      </c>
      <c r="C214" s="3" t="s">
        <v>103</v>
      </c>
      <c r="D214" s="4">
        <f>DATE(2007,1,3)</f>
        <v>39085</v>
      </c>
      <c r="E214" s="5">
        <f t="shared" si="3"/>
        <v>2007</v>
      </c>
      <c r="F214" s="3" t="s">
        <v>104</v>
      </c>
      <c r="G214" s="6">
        <v>2331.4</v>
      </c>
      <c r="H214" s="5">
        <v>1980</v>
      </c>
    </row>
    <row r="215" spans="2:8" ht="17.5" customHeight="1" x14ac:dyDescent="0.4">
      <c r="B215" s="3" t="s">
        <v>7</v>
      </c>
      <c r="C215" s="3" t="s">
        <v>103</v>
      </c>
      <c r="D215" s="4">
        <f>DATE(2007,2,7)</f>
        <v>39120</v>
      </c>
      <c r="E215" s="5">
        <f t="shared" si="3"/>
        <v>2007</v>
      </c>
      <c r="F215" s="3" t="s">
        <v>104</v>
      </c>
      <c r="G215" s="6">
        <v>7224.9</v>
      </c>
      <c r="H215" s="5">
        <v>1987</v>
      </c>
    </row>
    <row r="216" spans="2:8" ht="17.5" customHeight="1" x14ac:dyDescent="0.4">
      <c r="B216" s="3" t="s">
        <v>7</v>
      </c>
      <c r="C216" s="3" t="s">
        <v>103</v>
      </c>
      <c r="D216" s="4">
        <f>DATE(2007,4,3)</f>
        <v>39175</v>
      </c>
      <c r="E216" s="5">
        <f t="shared" si="3"/>
        <v>2007</v>
      </c>
      <c r="F216" s="3" t="s">
        <v>104</v>
      </c>
      <c r="G216" s="6">
        <v>9868.1</v>
      </c>
      <c r="H216" s="5">
        <v>2159</v>
      </c>
    </row>
    <row r="217" spans="2:8" ht="17.5" customHeight="1" x14ac:dyDescent="0.4">
      <c r="B217" s="3" t="s">
        <v>7</v>
      </c>
      <c r="C217" s="3" t="s">
        <v>103</v>
      </c>
      <c r="D217" s="4">
        <f>DATE(2007,7,3)</f>
        <v>39266</v>
      </c>
      <c r="E217" s="5">
        <f t="shared" si="3"/>
        <v>2007</v>
      </c>
      <c r="F217" s="3" t="s">
        <v>104</v>
      </c>
      <c r="G217" s="6">
        <v>7239.81</v>
      </c>
      <c r="H217" s="5">
        <v>2322</v>
      </c>
    </row>
    <row r="218" spans="2:8" ht="17.5" customHeight="1" x14ac:dyDescent="0.4">
      <c r="B218" s="3" t="s">
        <v>7</v>
      </c>
      <c r="C218" s="3" t="s">
        <v>103</v>
      </c>
      <c r="D218" s="4">
        <f>DATE(2007,9,18)</f>
        <v>39343</v>
      </c>
      <c r="E218" s="5">
        <f t="shared" si="3"/>
        <v>2007</v>
      </c>
      <c r="F218" s="3" t="s">
        <v>104</v>
      </c>
      <c r="G218" s="6">
        <v>5495.1</v>
      </c>
      <c r="H218" s="5">
        <v>2397</v>
      </c>
    </row>
    <row r="219" spans="2:8" ht="17.5" customHeight="1" x14ac:dyDescent="0.4">
      <c r="B219" s="3" t="s">
        <v>7</v>
      </c>
      <c r="C219" s="3" t="s">
        <v>103</v>
      </c>
      <c r="D219" s="4">
        <f>DATE(2007,10,3)</f>
        <v>39358</v>
      </c>
      <c r="E219" s="5">
        <f t="shared" si="3"/>
        <v>2007</v>
      </c>
      <c r="F219" s="3" t="s">
        <v>104</v>
      </c>
      <c r="G219" s="6">
        <v>2023.9</v>
      </c>
      <c r="H219" s="5">
        <v>2422</v>
      </c>
    </row>
    <row r="220" spans="2:8" ht="17.5" customHeight="1" x14ac:dyDescent="0.4">
      <c r="B220" s="3" t="s">
        <v>7</v>
      </c>
      <c r="C220" s="3" t="s">
        <v>103</v>
      </c>
      <c r="D220" s="4">
        <f>DATE(2007,11,1)</f>
        <v>39387</v>
      </c>
      <c r="E220" s="5">
        <f t="shared" si="3"/>
        <v>2007</v>
      </c>
      <c r="F220" s="3" t="s">
        <v>104</v>
      </c>
      <c r="G220" s="6">
        <v>2539.1</v>
      </c>
      <c r="H220" s="5">
        <v>2468</v>
      </c>
    </row>
    <row r="221" spans="2:8" ht="17.5" customHeight="1" x14ac:dyDescent="0.4">
      <c r="B221" s="3" t="s">
        <v>7</v>
      </c>
      <c r="C221" s="3" t="s">
        <v>103</v>
      </c>
      <c r="D221" s="4">
        <f>DATE(2008,4,16)</f>
        <v>39554</v>
      </c>
      <c r="E221" s="5">
        <f t="shared" si="3"/>
        <v>2008</v>
      </c>
      <c r="F221" s="3" t="s">
        <v>104</v>
      </c>
      <c r="G221" s="6">
        <v>2377.6999999999998</v>
      </c>
      <c r="H221" s="5">
        <v>2778</v>
      </c>
    </row>
    <row r="222" spans="2:8" ht="17.5" customHeight="1" x14ac:dyDescent="0.4">
      <c r="B222" s="3" t="s">
        <v>7</v>
      </c>
      <c r="C222" s="3" t="s">
        <v>103</v>
      </c>
      <c r="D222" s="4">
        <f>DATE(2009,8,27)</f>
        <v>40052</v>
      </c>
      <c r="E222" s="5">
        <f t="shared" si="3"/>
        <v>2009</v>
      </c>
      <c r="F222" s="3" t="s">
        <v>104</v>
      </c>
      <c r="G222" s="6">
        <v>2470.6</v>
      </c>
      <c r="H222" s="5">
        <v>3552</v>
      </c>
    </row>
    <row r="223" spans="2:8" ht="17.5" customHeight="1" x14ac:dyDescent="0.4">
      <c r="B223" s="3" t="s">
        <v>7</v>
      </c>
      <c r="C223" s="3" t="s">
        <v>103</v>
      </c>
      <c r="D223" s="4">
        <f>DATE(2009,8,28)</f>
        <v>40053</v>
      </c>
      <c r="E223" s="5">
        <f t="shared" si="3"/>
        <v>2009</v>
      </c>
      <c r="F223" s="3" t="s">
        <v>104</v>
      </c>
      <c r="G223" s="6">
        <v>4464.7</v>
      </c>
      <c r="H223" s="5">
        <v>3560</v>
      </c>
    </row>
    <row r="224" spans="2:8" ht="17.5" customHeight="1" x14ac:dyDescent="0.4">
      <c r="B224" s="3" t="s">
        <v>7</v>
      </c>
      <c r="C224" s="3" t="s">
        <v>103</v>
      </c>
      <c r="D224" s="4">
        <f>DATE(2009,9,11)</f>
        <v>40067</v>
      </c>
      <c r="E224" s="5">
        <f t="shared" si="3"/>
        <v>2009</v>
      </c>
      <c r="F224" s="3" t="s">
        <v>104</v>
      </c>
      <c r="G224" s="6">
        <v>1697.2</v>
      </c>
      <c r="H224" s="5">
        <v>3575</v>
      </c>
    </row>
    <row r="225" spans="2:8" ht="17.5" customHeight="1" x14ac:dyDescent="0.4">
      <c r="B225" s="3" t="s">
        <v>7</v>
      </c>
      <c r="C225" s="3" t="s">
        <v>103</v>
      </c>
      <c r="D225" s="4">
        <f>DATE(2010,6,10)</f>
        <v>40339</v>
      </c>
      <c r="E225" s="5">
        <f t="shared" si="3"/>
        <v>2010</v>
      </c>
      <c r="F225" s="3" t="s">
        <v>104</v>
      </c>
      <c r="G225" s="6">
        <v>1702</v>
      </c>
      <c r="H225" s="5">
        <v>3976</v>
      </c>
    </row>
    <row r="226" spans="2:8" ht="17.5" customHeight="1" x14ac:dyDescent="0.4">
      <c r="B226" s="3" t="s">
        <v>7</v>
      </c>
      <c r="C226" s="3" t="s">
        <v>103</v>
      </c>
      <c r="D226" s="4">
        <f>DATE(2011,4,15)</f>
        <v>40648</v>
      </c>
      <c r="E226" s="5">
        <f t="shared" si="3"/>
        <v>2011</v>
      </c>
      <c r="F226" s="3" t="s">
        <v>104</v>
      </c>
      <c r="G226" s="6">
        <v>3247.39</v>
      </c>
      <c r="H226" s="5">
        <v>4368</v>
      </c>
    </row>
    <row r="227" spans="2:8" ht="17.5" customHeight="1" x14ac:dyDescent="0.4">
      <c r="B227" s="3" t="s">
        <v>16</v>
      </c>
      <c r="C227" s="3" t="s">
        <v>103</v>
      </c>
      <c r="D227" s="4">
        <f>DATE(2004,8,12)</f>
        <v>38211</v>
      </c>
      <c r="E227" s="5">
        <f t="shared" si="3"/>
        <v>2004</v>
      </c>
      <c r="F227" s="3" t="s">
        <v>104</v>
      </c>
      <c r="G227" s="6">
        <v>140.54</v>
      </c>
      <c r="H227" s="5">
        <v>760</v>
      </c>
    </row>
    <row r="228" spans="2:8" ht="17.5" customHeight="1" x14ac:dyDescent="0.4">
      <c r="B228" s="3" t="s">
        <v>7</v>
      </c>
      <c r="C228" s="3" t="s">
        <v>105</v>
      </c>
      <c r="D228" s="4">
        <f>DATE(2009,11,3)</f>
        <v>40120</v>
      </c>
      <c r="E228" s="5">
        <f t="shared" si="3"/>
        <v>2009</v>
      </c>
      <c r="F228" s="3" t="s">
        <v>106</v>
      </c>
      <c r="G228" s="6">
        <v>1560</v>
      </c>
      <c r="H228" s="5">
        <v>3626</v>
      </c>
    </row>
    <row r="229" spans="2:8" ht="17.5" customHeight="1" x14ac:dyDescent="0.4">
      <c r="B229" s="3" t="s">
        <v>7</v>
      </c>
      <c r="C229" s="3" t="s">
        <v>105</v>
      </c>
      <c r="D229" s="4">
        <f>DATE(2010,3,25)</f>
        <v>40262</v>
      </c>
      <c r="E229" s="5">
        <f t="shared" si="3"/>
        <v>2010</v>
      </c>
      <c r="F229" s="3" t="s">
        <v>106</v>
      </c>
      <c r="G229" s="6">
        <v>1548.8</v>
      </c>
      <c r="H229" s="5">
        <v>3858</v>
      </c>
    </row>
    <row r="230" spans="2:8" ht="17.5" customHeight="1" x14ac:dyDescent="0.4">
      <c r="B230" s="3" t="s">
        <v>7</v>
      </c>
      <c r="C230" s="3" t="s">
        <v>105</v>
      </c>
      <c r="D230" s="4">
        <f>DATE(2010,6,16)</f>
        <v>40345</v>
      </c>
      <c r="E230" s="5">
        <f t="shared" si="3"/>
        <v>2010</v>
      </c>
      <c r="F230" s="3" t="s">
        <v>106</v>
      </c>
      <c r="G230" s="6">
        <v>1936</v>
      </c>
      <c r="H230" s="5">
        <v>3990</v>
      </c>
    </row>
    <row r="231" spans="2:8" ht="17.5" customHeight="1" x14ac:dyDescent="0.4">
      <c r="B231" s="3" t="s">
        <v>7</v>
      </c>
      <c r="C231" s="3" t="s">
        <v>105</v>
      </c>
      <c r="D231" s="4">
        <f>DATE(2010,6,23)</f>
        <v>40352</v>
      </c>
      <c r="E231" s="5">
        <f t="shared" si="3"/>
        <v>2010</v>
      </c>
      <c r="F231" s="3" t="s">
        <v>106</v>
      </c>
      <c r="G231" s="6">
        <v>1936</v>
      </c>
      <c r="H231" s="5">
        <v>4003</v>
      </c>
    </row>
    <row r="232" spans="2:8" ht="17.5" customHeight="1" x14ac:dyDescent="0.4">
      <c r="B232" s="3" t="s">
        <v>7</v>
      </c>
      <c r="C232" s="3" t="s">
        <v>105</v>
      </c>
      <c r="D232" s="4">
        <f>DATE(2010,10,6)</f>
        <v>40457</v>
      </c>
      <c r="E232" s="5">
        <f t="shared" si="3"/>
        <v>2010</v>
      </c>
      <c r="F232" s="3" t="s">
        <v>106</v>
      </c>
      <c r="G232" s="6">
        <v>3872</v>
      </c>
      <c r="H232" s="5">
        <v>4169</v>
      </c>
    </row>
    <row r="233" spans="2:8" ht="17.5" customHeight="1" x14ac:dyDescent="0.4">
      <c r="B233" s="3" t="s">
        <v>7</v>
      </c>
      <c r="C233" s="3" t="s">
        <v>105</v>
      </c>
      <c r="D233" s="4">
        <f>DATE(2011,1,25)</f>
        <v>40568</v>
      </c>
      <c r="E233" s="5">
        <f t="shared" si="3"/>
        <v>2011</v>
      </c>
      <c r="F233" s="3" t="s">
        <v>106</v>
      </c>
      <c r="G233" s="6">
        <v>1936</v>
      </c>
      <c r="H233" s="5">
        <v>4284</v>
      </c>
    </row>
    <row r="234" spans="2:8" ht="17.5" customHeight="1" x14ac:dyDescent="0.4">
      <c r="B234" s="3" t="s">
        <v>7</v>
      </c>
      <c r="C234" s="3" t="s">
        <v>105</v>
      </c>
      <c r="D234" s="4">
        <f>DATE(2011,1,28)</f>
        <v>40571</v>
      </c>
      <c r="E234" s="5">
        <f t="shared" si="3"/>
        <v>2011</v>
      </c>
      <c r="F234" s="3" t="s">
        <v>106</v>
      </c>
      <c r="G234" s="6">
        <v>1936</v>
      </c>
      <c r="H234" s="5">
        <v>4302</v>
      </c>
    </row>
    <row r="235" spans="2:8" ht="17.5" customHeight="1" x14ac:dyDescent="0.4">
      <c r="B235" s="3" t="s">
        <v>7</v>
      </c>
      <c r="C235" s="3" t="s">
        <v>105</v>
      </c>
      <c r="D235" s="4">
        <f>DATE(2011,4,1)</f>
        <v>40634</v>
      </c>
      <c r="E235" s="5">
        <f t="shared" si="3"/>
        <v>2011</v>
      </c>
      <c r="F235" s="3" t="s">
        <v>106</v>
      </c>
      <c r="G235" s="6">
        <v>3872</v>
      </c>
      <c r="H235" s="5">
        <v>4381</v>
      </c>
    </row>
    <row r="236" spans="2:8" ht="17.5" customHeight="1" x14ac:dyDescent="0.4">
      <c r="B236" s="3" t="s">
        <v>7</v>
      </c>
      <c r="C236" s="3" t="s">
        <v>105</v>
      </c>
      <c r="D236" s="4">
        <f>DATE(2011,5,13)</f>
        <v>40676</v>
      </c>
      <c r="E236" s="5">
        <f t="shared" si="3"/>
        <v>2011</v>
      </c>
      <c r="F236" s="3" t="s">
        <v>106</v>
      </c>
      <c r="G236" s="6">
        <v>1936</v>
      </c>
      <c r="H236" s="5">
        <v>4446</v>
      </c>
    </row>
    <row r="237" spans="2:8" ht="17.5" customHeight="1" x14ac:dyDescent="0.4">
      <c r="B237" s="3" t="s">
        <v>7</v>
      </c>
      <c r="C237" s="3" t="s">
        <v>107</v>
      </c>
      <c r="D237" s="4">
        <f>DATE(2009,2,23)</f>
        <v>39867</v>
      </c>
      <c r="E237" s="5">
        <f t="shared" si="3"/>
        <v>2009</v>
      </c>
      <c r="F237" s="3" t="s">
        <v>108</v>
      </c>
      <c r="G237" s="6">
        <v>73.7</v>
      </c>
      <c r="H237" s="5">
        <v>11973</v>
      </c>
    </row>
    <row r="238" spans="2:8" ht="17.5" customHeight="1" x14ac:dyDescent="0.4">
      <c r="B238" s="3" t="s">
        <v>7</v>
      </c>
      <c r="C238" s="3" t="s">
        <v>109</v>
      </c>
      <c r="D238" s="4">
        <f>DATE(2012,2,24)</f>
        <v>40963</v>
      </c>
      <c r="E238" s="5">
        <f t="shared" si="3"/>
        <v>2012</v>
      </c>
      <c r="F238" s="3" t="s">
        <v>110</v>
      </c>
      <c r="G238" s="6">
        <v>34028.269999999997</v>
      </c>
      <c r="H238" s="5">
        <v>4819</v>
      </c>
    </row>
    <row r="239" spans="2:8" ht="17.5" customHeight="1" x14ac:dyDescent="0.4">
      <c r="B239" s="3" t="s">
        <v>7</v>
      </c>
      <c r="C239" s="3" t="s">
        <v>111</v>
      </c>
      <c r="D239" s="4">
        <f>DATE(2012,7,9)</f>
        <v>41099</v>
      </c>
      <c r="E239" s="5">
        <f t="shared" si="3"/>
        <v>2012</v>
      </c>
      <c r="F239" s="3" t="s">
        <v>112</v>
      </c>
      <c r="G239" s="6">
        <v>24125.42</v>
      </c>
      <c r="H239" s="5">
        <v>5144</v>
      </c>
    </row>
    <row r="240" spans="2:8" ht="17.5" customHeight="1" x14ac:dyDescent="0.4">
      <c r="B240" t="s">
        <v>7</v>
      </c>
      <c r="C240" t="s">
        <v>113</v>
      </c>
      <c r="D240" s="7">
        <f>DATE(2008,1,31)</f>
        <v>39478</v>
      </c>
      <c r="E240" s="8">
        <f t="shared" si="3"/>
        <v>2008</v>
      </c>
      <c r="F240" t="s">
        <v>114</v>
      </c>
      <c r="G240" s="9">
        <v>4569.62</v>
      </c>
      <c r="H240" s="8">
        <v>6893</v>
      </c>
    </row>
    <row r="241" spans="2:8" ht="17.5" customHeight="1" x14ac:dyDescent="0.4">
      <c r="B241" s="3" t="s">
        <v>7</v>
      </c>
      <c r="C241" s="3" t="s">
        <v>113</v>
      </c>
      <c r="D241" s="4">
        <f>DATE(2012,2,21)</f>
        <v>40960</v>
      </c>
      <c r="E241" s="5">
        <f t="shared" si="3"/>
        <v>2012</v>
      </c>
      <c r="F241" s="3" t="s">
        <v>114</v>
      </c>
      <c r="G241" s="6">
        <v>8446.26</v>
      </c>
      <c r="H241" s="5">
        <v>4789</v>
      </c>
    </row>
    <row r="242" spans="2:8" ht="17.5" customHeight="1" x14ac:dyDescent="0.4">
      <c r="B242" s="3" t="s">
        <v>7</v>
      </c>
      <c r="C242" s="3" t="s">
        <v>115</v>
      </c>
      <c r="D242" s="4">
        <f>DATE(2008,2,27)</f>
        <v>39505</v>
      </c>
      <c r="E242" s="5">
        <f t="shared" si="3"/>
        <v>2008</v>
      </c>
      <c r="F242" s="3" t="s">
        <v>116</v>
      </c>
      <c r="G242" s="6">
        <v>700.13</v>
      </c>
      <c r="H242" s="5">
        <v>2692</v>
      </c>
    </row>
    <row r="243" spans="2:8" ht="17.5" customHeight="1" x14ac:dyDescent="0.4">
      <c r="B243" s="3" t="s">
        <v>7</v>
      </c>
      <c r="C243" s="3" t="s">
        <v>115</v>
      </c>
      <c r="D243" s="4">
        <f>DATE(2008,4,11)</f>
        <v>39549</v>
      </c>
      <c r="E243" s="5">
        <f t="shared" si="3"/>
        <v>2008</v>
      </c>
      <c r="F243" s="3" t="s">
        <v>116</v>
      </c>
      <c r="G243" s="6">
        <v>291.72000000000003</v>
      </c>
      <c r="H243" s="5">
        <v>2763</v>
      </c>
    </row>
    <row r="244" spans="2:8" ht="17.5" customHeight="1" x14ac:dyDescent="0.4">
      <c r="B244" s="3" t="s">
        <v>7</v>
      </c>
      <c r="C244" s="3" t="s">
        <v>115</v>
      </c>
      <c r="D244" s="4">
        <f>DATE(2008,4,14)</f>
        <v>39552</v>
      </c>
      <c r="E244" s="5">
        <f t="shared" si="3"/>
        <v>2008</v>
      </c>
      <c r="F244" s="3" t="s">
        <v>116</v>
      </c>
      <c r="G244" s="6">
        <v>757.73</v>
      </c>
      <c r="H244" s="5">
        <v>2773</v>
      </c>
    </row>
    <row r="245" spans="2:8" ht="17.5" customHeight="1" x14ac:dyDescent="0.4">
      <c r="B245" t="s">
        <v>7</v>
      </c>
      <c r="C245" t="s">
        <v>117</v>
      </c>
      <c r="D245" s="7">
        <f>DATE(2016,1,8)</f>
        <v>42377</v>
      </c>
      <c r="E245" s="8">
        <f t="shared" si="3"/>
        <v>2016</v>
      </c>
      <c r="F245" t="s">
        <v>118</v>
      </c>
      <c r="G245" s="9">
        <v>1936</v>
      </c>
      <c r="H245" s="8">
        <v>21712</v>
      </c>
    </row>
    <row r="246" spans="2:8" ht="17.5" customHeight="1" x14ac:dyDescent="0.4">
      <c r="B246" t="s">
        <v>7</v>
      </c>
      <c r="C246" t="s">
        <v>117</v>
      </c>
      <c r="D246" s="7">
        <f>DATE(2017,8,23)</f>
        <v>42970</v>
      </c>
      <c r="E246" s="8">
        <f t="shared" si="3"/>
        <v>2017</v>
      </c>
      <c r="F246" t="s">
        <v>118</v>
      </c>
      <c r="G246" s="9">
        <v>2936</v>
      </c>
      <c r="H246" s="8">
        <v>25281</v>
      </c>
    </row>
    <row r="247" spans="2:8" ht="17.5" customHeight="1" x14ac:dyDescent="0.4">
      <c r="B247" t="s">
        <v>7</v>
      </c>
      <c r="C247" t="s">
        <v>117</v>
      </c>
      <c r="D247" s="7">
        <f>DATE(2018,12,18)</f>
        <v>43452</v>
      </c>
      <c r="E247" s="8">
        <f t="shared" si="3"/>
        <v>2018</v>
      </c>
      <c r="F247" t="s">
        <v>118</v>
      </c>
      <c r="G247" s="9">
        <v>3733.16</v>
      </c>
      <c r="H247" s="8">
        <v>27731</v>
      </c>
    </row>
    <row r="248" spans="2:8" ht="17.5" customHeight="1" x14ac:dyDescent="0.4">
      <c r="B248" t="s">
        <v>7</v>
      </c>
      <c r="C248" t="s">
        <v>117</v>
      </c>
      <c r="D248" s="7">
        <f>DATE(2019,1,15)</f>
        <v>43480</v>
      </c>
      <c r="E248" s="8">
        <f t="shared" si="3"/>
        <v>2019</v>
      </c>
      <c r="F248" t="s">
        <v>118</v>
      </c>
      <c r="G248" s="9">
        <v>2459.7399999999998</v>
      </c>
      <c r="H248" s="8">
        <v>27927</v>
      </c>
    </row>
    <row r="249" spans="2:8" ht="17.5" customHeight="1" x14ac:dyDescent="0.4">
      <c r="B249" s="3" t="s">
        <v>7</v>
      </c>
      <c r="C249" s="3" t="s">
        <v>117</v>
      </c>
      <c r="D249" s="4">
        <f>DATE(2006,12,5)</f>
        <v>39056</v>
      </c>
      <c r="E249" s="5">
        <f t="shared" si="3"/>
        <v>2006</v>
      </c>
      <c r="F249" s="3" t="s">
        <v>118</v>
      </c>
      <c r="G249" s="6">
        <v>3250</v>
      </c>
      <c r="H249" s="5">
        <v>1925</v>
      </c>
    </row>
    <row r="250" spans="2:8" ht="17.5" customHeight="1" x14ac:dyDescent="0.4">
      <c r="B250" s="3" t="s">
        <v>7</v>
      </c>
      <c r="C250" s="3" t="s">
        <v>117</v>
      </c>
      <c r="D250" s="4">
        <f>DATE(2010,6,2)</f>
        <v>40331</v>
      </c>
      <c r="E250" s="5">
        <f t="shared" si="3"/>
        <v>2010</v>
      </c>
      <c r="F250" s="3" t="s">
        <v>118</v>
      </c>
      <c r="G250" s="6">
        <v>1542.96</v>
      </c>
      <c r="H250" s="5">
        <v>3975</v>
      </c>
    </row>
    <row r="251" spans="2:8" ht="17.5" customHeight="1" x14ac:dyDescent="0.4">
      <c r="B251" s="3" t="s">
        <v>7</v>
      </c>
      <c r="C251" s="3" t="s">
        <v>117</v>
      </c>
      <c r="D251" s="4">
        <f>DATE(2014,3,24)</f>
        <v>41722</v>
      </c>
      <c r="E251" s="5">
        <f t="shared" si="3"/>
        <v>2014</v>
      </c>
      <c r="F251" s="3" t="s">
        <v>118</v>
      </c>
      <c r="G251" s="6">
        <v>3101.55</v>
      </c>
      <c r="H251" s="5">
        <v>5825</v>
      </c>
    </row>
    <row r="252" spans="2:8" ht="17.5" customHeight="1" x14ac:dyDescent="0.4">
      <c r="B252" s="3" t="s">
        <v>7</v>
      </c>
      <c r="C252" s="3" t="s">
        <v>119</v>
      </c>
      <c r="D252" s="4">
        <f>DATE(2008,4,4)</f>
        <v>39542</v>
      </c>
      <c r="E252" s="5">
        <f t="shared" si="3"/>
        <v>2008</v>
      </c>
      <c r="F252" s="3" t="s">
        <v>120</v>
      </c>
      <c r="G252" s="6">
        <v>10831.9</v>
      </c>
      <c r="H252" s="5">
        <v>2749</v>
      </c>
    </row>
    <row r="253" spans="2:8" ht="17.5" customHeight="1" x14ac:dyDescent="0.4">
      <c r="B253" s="3" t="s">
        <v>7</v>
      </c>
      <c r="C253" s="3" t="s">
        <v>119</v>
      </c>
      <c r="D253" s="4">
        <f>DATE(2010,8,25)</f>
        <v>40415</v>
      </c>
      <c r="E253" s="5">
        <f t="shared" si="3"/>
        <v>2010</v>
      </c>
      <c r="F253" s="3" t="s">
        <v>120</v>
      </c>
      <c r="G253" s="6">
        <v>14383.8</v>
      </c>
      <c r="H253" s="5">
        <v>4079</v>
      </c>
    </row>
    <row r="254" spans="2:8" ht="17.5" customHeight="1" x14ac:dyDescent="0.4">
      <c r="B254" s="3" t="s">
        <v>7</v>
      </c>
      <c r="C254" s="3" t="s">
        <v>121</v>
      </c>
      <c r="D254" s="4">
        <f>DATE(2003,9,16)</f>
        <v>37880</v>
      </c>
      <c r="E254" s="5">
        <f t="shared" si="3"/>
        <v>2003</v>
      </c>
      <c r="F254" s="3" t="s">
        <v>122</v>
      </c>
      <c r="G254" s="6">
        <v>428.69</v>
      </c>
      <c r="H254" s="5">
        <v>325</v>
      </c>
    </row>
    <row r="255" spans="2:8" ht="17.5" customHeight="1" x14ac:dyDescent="0.4">
      <c r="B255" t="s">
        <v>7</v>
      </c>
      <c r="C255" t="s">
        <v>123</v>
      </c>
      <c r="D255" s="7">
        <f>DATE(2016,1,15)</f>
        <v>42384</v>
      </c>
      <c r="E255" s="8">
        <f t="shared" si="3"/>
        <v>2016</v>
      </c>
      <c r="F255" t="s">
        <v>124</v>
      </c>
      <c r="G255" s="9">
        <v>2410.3200000000002</v>
      </c>
      <c r="H255" s="8">
        <v>21900</v>
      </c>
    </row>
    <row r="256" spans="2:8" ht="17.5" customHeight="1" x14ac:dyDescent="0.4">
      <c r="B256" t="s">
        <v>7</v>
      </c>
      <c r="C256" t="s">
        <v>123</v>
      </c>
      <c r="D256" s="7">
        <f>DATE(2016,2,25)</f>
        <v>42425</v>
      </c>
      <c r="E256" s="8">
        <f t="shared" si="3"/>
        <v>2016</v>
      </c>
      <c r="F256" t="s">
        <v>124</v>
      </c>
      <c r="G256" s="9">
        <v>690.31</v>
      </c>
      <c r="H256" s="8">
        <v>22129</v>
      </c>
    </row>
    <row r="257" spans="2:8" ht="17.5" customHeight="1" x14ac:dyDescent="0.4">
      <c r="B257" t="s">
        <v>7</v>
      </c>
      <c r="C257" t="s">
        <v>123</v>
      </c>
      <c r="D257" s="7">
        <f>DATE(2016,5,20)</f>
        <v>42510</v>
      </c>
      <c r="E257" s="8">
        <f t="shared" si="3"/>
        <v>2016</v>
      </c>
      <c r="F257" t="s">
        <v>124</v>
      </c>
      <c r="G257" s="9">
        <v>4638.08</v>
      </c>
      <c r="H257" s="8">
        <v>22703</v>
      </c>
    </row>
    <row r="258" spans="2:8" ht="17.5" customHeight="1" x14ac:dyDescent="0.4">
      <c r="B258" t="s">
        <v>7</v>
      </c>
      <c r="C258" t="s">
        <v>125</v>
      </c>
      <c r="D258" s="7">
        <f>DATE(2005,7,8)</f>
        <v>38541</v>
      </c>
      <c r="E258" s="8">
        <f t="shared" si="3"/>
        <v>2005</v>
      </c>
      <c r="F258" t="s">
        <v>126</v>
      </c>
      <c r="G258" s="9">
        <v>3637.84</v>
      </c>
      <c r="H258" s="8">
        <v>3357</v>
      </c>
    </row>
    <row r="259" spans="2:8" ht="17.5" customHeight="1" x14ac:dyDescent="0.4">
      <c r="B259" t="s">
        <v>7</v>
      </c>
      <c r="C259" t="s">
        <v>127</v>
      </c>
      <c r="D259" s="7">
        <f>DATE(2017,9,7)</f>
        <v>42985</v>
      </c>
      <c r="E259" s="8">
        <f t="shared" ref="E259:E322" si="4">YEAR(D259)</f>
        <v>2017</v>
      </c>
      <c r="F259" t="s">
        <v>128</v>
      </c>
      <c r="G259" s="9">
        <v>3838.9</v>
      </c>
      <c r="H259" s="8">
        <v>25460</v>
      </c>
    </row>
    <row r="260" spans="2:8" ht="17.5" customHeight="1" x14ac:dyDescent="0.4">
      <c r="B260" t="s">
        <v>7</v>
      </c>
      <c r="C260" t="s">
        <v>125</v>
      </c>
      <c r="D260" s="7">
        <f>DATE(2005,1,19)</f>
        <v>38371</v>
      </c>
      <c r="E260" s="8">
        <f t="shared" si="4"/>
        <v>2005</v>
      </c>
      <c r="F260" t="s">
        <v>129</v>
      </c>
      <c r="G260" s="9">
        <v>3677.88</v>
      </c>
      <c r="H260" s="8">
        <v>2468</v>
      </c>
    </row>
    <row r="261" spans="2:8" ht="17.5" customHeight="1" x14ac:dyDescent="0.4">
      <c r="B261" s="3" t="s">
        <v>7</v>
      </c>
      <c r="C261" s="3" t="s">
        <v>130</v>
      </c>
      <c r="D261" s="4">
        <f>DATE(2003,4,16)</f>
        <v>37727</v>
      </c>
      <c r="E261" s="5">
        <f t="shared" si="4"/>
        <v>2003</v>
      </c>
      <c r="F261" s="3" t="s">
        <v>131</v>
      </c>
      <c r="G261" s="6">
        <v>187.73</v>
      </c>
      <c r="H261" s="5">
        <v>772</v>
      </c>
    </row>
    <row r="262" spans="2:8" ht="17.5" customHeight="1" x14ac:dyDescent="0.4">
      <c r="B262" t="s">
        <v>7</v>
      </c>
      <c r="C262" t="s">
        <v>132</v>
      </c>
      <c r="D262" s="7">
        <f>DATE(2015,8,17)</f>
        <v>42233</v>
      </c>
      <c r="E262" s="8">
        <f t="shared" si="4"/>
        <v>2015</v>
      </c>
      <c r="F262" t="s">
        <v>133</v>
      </c>
      <c r="G262" s="9">
        <v>24552.78</v>
      </c>
      <c r="H262" s="8">
        <v>20597</v>
      </c>
    </row>
    <row r="263" spans="2:8" ht="17.5" customHeight="1" x14ac:dyDescent="0.4">
      <c r="B263" t="s">
        <v>7</v>
      </c>
      <c r="C263" t="s">
        <v>132</v>
      </c>
      <c r="D263" s="7">
        <f>DATE(2016,6,1)</f>
        <v>42522</v>
      </c>
      <c r="E263" s="8">
        <f t="shared" si="4"/>
        <v>2016</v>
      </c>
      <c r="F263" t="s">
        <v>133</v>
      </c>
      <c r="G263" s="9">
        <v>31236</v>
      </c>
      <c r="H263" s="8">
        <v>22882</v>
      </c>
    </row>
    <row r="264" spans="2:8" ht="17.5" customHeight="1" x14ac:dyDescent="0.4">
      <c r="B264" t="s">
        <v>7</v>
      </c>
      <c r="C264" t="s">
        <v>132</v>
      </c>
      <c r="D264" s="7">
        <f>DATE(2017,1,4)</f>
        <v>42739</v>
      </c>
      <c r="E264" s="8">
        <f t="shared" si="4"/>
        <v>2017</v>
      </c>
      <c r="F264" t="s">
        <v>133</v>
      </c>
      <c r="G264" s="9">
        <v>40992.22</v>
      </c>
      <c r="H264" s="8">
        <v>23738</v>
      </c>
    </row>
    <row r="265" spans="2:8" ht="17.5" customHeight="1" x14ac:dyDescent="0.4">
      <c r="B265" s="3" t="s">
        <v>7</v>
      </c>
      <c r="C265" s="3" t="s">
        <v>132</v>
      </c>
      <c r="D265" s="4">
        <f>DATE(2003,3,28)</f>
        <v>37708</v>
      </c>
      <c r="E265" s="5">
        <f t="shared" si="4"/>
        <v>2003</v>
      </c>
      <c r="F265" s="3" t="s">
        <v>133</v>
      </c>
      <c r="G265" s="6">
        <v>2417.91</v>
      </c>
      <c r="H265" s="5">
        <v>74</v>
      </c>
    </row>
    <row r="266" spans="2:8" ht="17.5" customHeight="1" x14ac:dyDescent="0.4">
      <c r="B266" s="3" t="s">
        <v>7</v>
      </c>
      <c r="C266" s="3" t="s">
        <v>132</v>
      </c>
      <c r="D266" s="4">
        <f>DATE(2003,8,6)</f>
        <v>37839</v>
      </c>
      <c r="E266" s="5">
        <f t="shared" si="4"/>
        <v>2003</v>
      </c>
      <c r="F266" s="3" t="s">
        <v>133</v>
      </c>
      <c r="G266" s="6">
        <v>2731.47</v>
      </c>
      <c r="H266" s="5">
        <v>251</v>
      </c>
    </row>
    <row r="267" spans="2:8" ht="17.5" customHeight="1" x14ac:dyDescent="0.4">
      <c r="B267" s="3" t="s">
        <v>7</v>
      </c>
      <c r="C267" s="3" t="s">
        <v>132</v>
      </c>
      <c r="D267" s="4">
        <f>DATE(2003,10,27)</f>
        <v>37921</v>
      </c>
      <c r="E267" s="5">
        <f t="shared" si="4"/>
        <v>2003</v>
      </c>
      <c r="F267" s="3" t="s">
        <v>133</v>
      </c>
      <c r="G267" s="6">
        <v>2555.11</v>
      </c>
      <c r="H267" s="5">
        <v>412</v>
      </c>
    </row>
    <row r="268" spans="2:8" ht="17.5" customHeight="1" x14ac:dyDescent="0.4">
      <c r="B268" s="3" t="s">
        <v>7</v>
      </c>
      <c r="C268" s="3" t="s">
        <v>132</v>
      </c>
      <c r="D268" s="4">
        <f>DATE(2004,3,31)</f>
        <v>38077</v>
      </c>
      <c r="E268" s="5">
        <f t="shared" si="4"/>
        <v>2004</v>
      </c>
      <c r="F268" s="3" t="s">
        <v>133</v>
      </c>
      <c r="G268" s="6">
        <v>3097.5</v>
      </c>
      <c r="H268" s="5">
        <v>585</v>
      </c>
    </row>
    <row r="269" spans="2:8" ht="17.5" customHeight="1" x14ac:dyDescent="0.4">
      <c r="B269" s="3" t="s">
        <v>7</v>
      </c>
      <c r="C269" s="3" t="s">
        <v>132</v>
      </c>
      <c r="D269" s="4">
        <f>DATE(2004,4,29)</f>
        <v>38106</v>
      </c>
      <c r="E269" s="5">
        <f t="shared" si="4"/>
        <v>2004</v>
      </c>
      <c r="F269" s="3" t="s">
        <v>133</v>
      </c>
      <c r="G269" s="6">
        <v>9548</v>
      </c>
      <c r="H269" s="5">
        <v>623</v>
      </c>
    </row>
    <row r="270" spans="2:8" ht="17.5" customHeight="1" x14ac:dyDescent="0.4">
      <c r="B270" s="3" t="s">
        <v>7</v>
      </c>
      <c r="C270" s="3" t="s">
        <v>132</v>
      </c>
      <c r="D270" s="4">
        <f>DATE(2004,7,15)</f>
        <v>38183</v>
      </c>
      <c r="E270" s="5">
        <f t="shared" si="4"/>
        <v>2004</v>
      </c>
      <c r="F270" s="3" t="s">
        <v>133</v>
      </c>
      <c r="G270" s="6">
        <v>6277.5</v>
      </c>
      <c r="H270" s="5">
        <v>714</v>
      </c>
    </row>
    <row r="271" spans="2:8" ht="17.5" customHeight="1" x14ac:dyDescent="0.4">
      <c r="B271" s="3" t="s">
        <v>7</v>
      </c>
      <c r="C271" s="3" t="s">
        <v>132</v>
      </c>
      <c r="D271" s="4">
        <f>DATE(2007,10,2)</f>
        <v>39357</v>
      </c>
      <c r="E271" s="5">
        <f t="shared" si="4"/>
        <v>2007</v>
      </c>
      <c r="F271" s="3" t="s">
        <v>133</v>
      </c>
      <c r="G271" s="6">
        <v>12146</v>
      </c>
      <c r="H271" s="5">
        <v>2407</v>
      </c>
    </row>
    <row r="272" spans="2:8" ht="17.5" customHeight="1" x14ac:dyDescent="0.4">
      <c r="B272" s="3" t="s">
        <v>7</v>
      </c>
      <c r="C272" s="3" t="s">
        <v>132</v>
      </c>
      <c r="D272" s="4">
        <f>DATE(2008,10,31)</f>
        <v>39752</v>
      </c>
      <c r="E272" s="5">
        <f t="shared" si="4"/>
        <v>2008</v>
      </c>
      <c r="F272" s="3" t="s">
        <v>133</v>
      </c>
      <c r="G272" s="6">
        <v>13669.83</v>
      </c>
      <c r="H272" s="5">
        <v>2911</v>
      </c>
    </row>
    <row r="273" spans="2:8" ht="17.5" customHeight="1" x14ac:dyDescent="0.4">
      <c r="B273" s="3" t="s">
        <v>7</v>
      </c>
      <c r="C273" s="3" t="s">
        <v>132</v>
      </c>
      <c r="D273" s="4">
        <f>DATE(2009,2,20)</f>
        <v>39864</v>
      </c>
      <c r="E273" s="5">
        <f t="shared" si="4"/>
        <v>2009</v>
      </c>
      <c r="F273" s="3" t="s">
        <v>133</v>
      </c>
      <c r="G273" s="6">
        <v>2000</v>
      </c>
      <c r="H273" s="5">
        <v>3273</v>
      </c>
    </row>
    <row r="274" spans="2:8" ht="17.5" customHeight="1" x14ac:dyDescent="0.4">
      <c r="B274" s="3" t="s">
        <v>7</v>
      </c>
      <c r="C274" s="3" t="s">
        <v>132</v>
      </c>
      <c r="D274" s="4">
        <f>DATE(2010,12,2)</f>
        <v>40514</v>
      </c>
      <c r="E274" s="5">
        <f t="shared" si="4"/>
        <v>2010</v>
      </c>
      <c r="F274" s="3" t="s">
        <v>133</v>
      </c>
      <c r="G274" s="6">
        <v>36401.5</v>
      </c>
      <c r="H274" s="5">
        <v>4080</v>
      </c>
    </row>
    <row r="275" spans="2:8" ht="17.5" customHeight="1" x14ac:dyDescent="0.4">
      <c r="B275" s="3" t="s">
        <v>7</v>
      </c>
      <c r="C275" s="3" t="s">
        <v>132</v>
      </c>
      <c r="D275" s="4">
        <f>DATE(2010,12,22)</f>
        <v>40534</v>
      </c>
      <c r="E275" s="5">
        <f t="shared" si="4"/>
        <v>2010</v>
      </c>
      <c r="F275" s="3" t="s">
        <v>133</v>
      </c>
      <c r="G275" s="6">
        <v>5380.1</v>
      </c>
      <c r="H275" s="5">
        <v>4251</v>
      </c>
    </row>
    <row r="276" spans="2:8" ht="17.5" customHeight="1" x14ac:dyDescent="0.4">
      <c r="B276" s="3" t="s">
        <v>7</v>
      </c>
      <c r="C276" s="3" t="s">
        <v>132</v>
      </c>
      <c r="D276" s="4">
        <f>DATE(2013,7,1)</f>
        <v>41456</v>
      </c>
      <c r="E276" s="5">
        <f t="shared" si="4"/>
        <v>2013</v>
      </c>
      <c r="F276" s="3" t="s">
        <v>133</v>
      </c>
      <c r="G276" s="6">
        <v>9924.98</v>
      </c>
      <c r="H276" s="5">
        <v>5619</v>
      </c>
    </row>
    <row r="277" spans="2:8" ht="17.5" customHeight="1" x14ac:dyDescent="0.4">
      <c r="B277" t="s">
        <v>7</v>
      </c>
      <c r="C277" t="s">
        <v>134</v>
      </c>
      <c r="D277" s="7">
        <f>DATE(2018,11,29)</f>
        <v>43433</v>
      </c>
      <c r="E277" s="8">
        <f t="shared" si="4"/>
        <v>2018</v>
      </c>
      <c r="F277" t="s">
        <v>135</v>
      </c>
      <c r="G277" s="9">
        <v>19564.47</v>
      </c>
      <c r="H277" s="8">
        <v>27547</v>
      </c>
    </row>
    <row r="278" spans="2:8" ht="17.5" customHeight="1" x14ac:dyDescent="0.4">
      <c r="B278" s="3" t="s">
        <v>7</v>
      </c>
      <c r="C278" s="3" t="s">
        <v>136</v>
      </c>
      <c r="D278" s="4">
        <f>DATE(2007,12,1)</f>
        <v>39417</v>
      </c>
      <c r="E278" s="5">
        <f t="shared" si="4"/>
        <v>2007</v>
      </c>
      <c r="F278" s="3" t="s">
        <v>137</v>
      </c>
      <c r="G278" s="6">
        <v>93517.94</v>
      </c>
      <c r="H278" s="5">
        <v>2373</v>
      </c>
    </row>
    <row r="279" spans="2:8" ht="17.5" customHeight="1" x14ac:dyDescent="0.4">
      <c r="B279" s="3" t="s">
        <v>7</v>
      </c>
      <c r="C279" s="3" t="s">
        <v>136</v>
      </c>
      <c r="D279" s="4">
        <f>DATE(2009,1,17)</f>
        <v>39830</v>
      </c>
      <c r="E279" s="5">
        <f t="shared" si="4"/>
        <v>2009</v>
      </c>
      <c r="F279" s="3" t="s">
        <v>137</v>
      </c>
      <c r="G279" s="6">
        <v>14837.89</v>
      </c>
      <c r="H279" s="5">
        <v>3084</v>
      </c>
    </row>
    <row r="280" spans="2:8" ht="17.5" customHeight="1" x14ac:dyDescent="0.4">
      <c r="B280" s="3" t="s">
        <v>7</v>
      </c>
      <c r="C280" s="3" t="s">
        <v>136</v>
      </c>
      <c r="D280" s="4">
        <f>DATE(2009,7,2)</f>
        <v>39996</v>
      </c>
      <c r="E280" s="5">
        <f t="shared" si="4"/>
        <v>2009</v>
      </c>
      <c r="F280" s="3" t="s">
        <v>137</v>
      </c>
      <c r="G280" s="6">
        <v>22717.5</v>
      </c>
      <c r="H280" s="5">
        <v>3500</v>
      </c>
    </row>
    <row r="281" spans="2:8" ht="17.5" customHeight="1" x14ac:dyDescent="0.4">
      <c r="B281" s="3" t="s">
        <v>7</v>
      </c>
      <c r="C281" s="3" t="s">
        <v>136</v>
      </c>
      <c r="D281" s="4">
        <f>DATE(2009,7,2)</f>
        <v>39996</v>
      </c>
      <c r="E281" s="5">
        <f t="shared" si="4"/>
        <v>2009</v>
      </c>
      <c r="F281" s="3" t="s">
        <v>137</v>
      </c>
      <c r="G281" s="6">
        <v>16727</v>
      </c>
      <c r="H281" s="5">
        <v>3500</v>
      </c>
    </row>
    <row r="282" spans="2:8" ht="17.5" customHeight="1" x14ac:dyDescent="0.4">
      <c r="B282" s="3" t="s">
        <v>16</v>
      </c>
      <c r="C282" s="3" t="s">
        <v>136</v>
      </c>
      <c r="D282" s="4">
        <f>DATE(2009,7,2)</f>
        <v>39996</v>
      </c>
      <c r="E282" s="5">
        <f t="shared" si="4"/>
        <v>2009</v>
      </c>
      <c r="F282" s="3" t="s">
        <v>137</v>
      </c>
      <c r="G282" s="6">
        <v>22717.5</v>
      </c>
      <c r="H282" s="5">
        <v>3751</v>
      </c>
    </row>
    <row r="283" spans="2:8" ht="17.5" customHeight="1" x14ac:dyDescent="0.4">
      <c r="B283" s="3" t="s">
        <v>7</v>
      </c>
      <c r="C283" s="3" t="s">
        <v>138</v>
      </c>
      <c r="D283" s="4">
        <f>DATE(2008,3,3)</f>
        <v>39510</v>
      </c>
      <c r="E283" s="5">
        <f t="shared" si="4"/>
        <v>2008</v>
      </c>
      <c r="F283" s="3" t="s">
        <v>139</v>
      </c>
      <c r="G283" s="6">
        <v>565.6</v>
      </c>
      <c r="H283" s="5">
        <v>2688</v>
      </c>
    </row>
    <row r="284" spans="2:8" ht="17.5" customHeight="1" x14ac:dyDescent="0.4">
      <c r="B284" s="3" t="s">
        <v>7</v>
      </c>
      <c r="C284" s="3" t="s">
        <v>136</v>
      </c>
      <c r="D284" s="4">
        <f>DATE(2010,8,12)</f>
        <v>40402</v>
      </c>
      <c r="E284" s="5">
        <f t="shared" si="4"/>
        <v>2010</v>
      </c>
      <c r="F284" s="3" t="s">
        <v>140</v>
      </c>
      <c r="G284" s="6">
        <v>13431.08</v>
      </c>
      <c r="H284" s="5">
        <v>3965</v>
      </c>
    </row>
    <row r="285" spans="2:8" ht="17.5" customHeight="1" x14ac:dyDescent="0.4">
      <c r="B285" s="3" t="s">
        <v>7</v>
      </c>
      <c r="C285" s="3" t="s">
        <v>136</v>
      </c>
      <c r="D285" s="4">
        <f>DATE(2010,8,12)</f>
        <v>40402</v>
      </c>
      <c r="E285" s="5">
        <f t="shared" si="4"/>
        <v>2010</v>
      </c>
      <c r="F285" s="3" t="s">
        <v>140</v>
      </c>
      <c r="G285" s="6">
        <v>4508</v>
      </c>
      <c r="H285" s="5">
        <v>4039</v>
      </c>
    </row>
    <row r="286" spans="2:8" ht="17.5" customHeight="1" x14ac:dyDescent="0.4">
      <c r="B286" s="3" t="s">
        <v>7</v>
      </c>
      <c r="C286" s="3" t="s">
        <v>136</v>
      </c>
      <c r="D286" s="4">
        <f>DATE(2010,8,26)</f>
        <v>40416</v>
      </c>
      <c r="E286" s="5">
        <f t="shared" si="4"/>
        <v>2010</v>
      </c>
      <c r="F286" s="3" t="s">
        <v>140</v>
      </c>
      <c r="G286" s="6">
        <v>1795.75</v>
      </c>
      <c r="H286" s="5">
        <v>4040</v>
      </c>
    </row>
    <row r="287" spans="2:8" ht="17.5" customHeight="1" x14ac:dyDescent="0.4">
      <c r="B287" s="3" t="s">
        <v>7</v>
      </c>
      <c r="C287" s="3" t="s">
        <v>136</v>
      </c>
      <c r="D287" s="4">
        <f>DATE(2011,4,29)</f>
        <v>40662</v>
      </c>
      <c r="E287" s="5">
        <f t="shared" si="4"/>
        <v>2011</v>
      </c>
      <c r="F287" s="3" t="s">
        <v>140</v>
      </c>
      <c r="G287" s="6">
        <v>17767.05</v>
      </c>
      <c r="H287" s="5">
        <v>4259</v>
      </c>
    </row>
    <row r="288" spans="2:8" ht="17.5" customHeight="1" x14ac:dyDescent="0.4">
      <c r="B288" s="3" t="s">
        <v>7</v>
      </c>
      <c r="C288" s="3" t="s">
        <v>136</v>
      </c>
      <c r="D288" s="4">
        <f>DATE(2011,4,1)</f>
        <v>40634</v>
      </c>
      <c r="E288" s="5">
        <f t="shared" si="4"/>
        <v>2011</v>
      </c>
      <c r="F288" s="3" t="s">
        <v>140</v>
      </c>
      <c r="G288" s="6">
        <v>22717.5</v>
      </c>
      <c r="H288" s="5">
        <v>4442</v>
      </c>
    </row>
    <row r="289" spans="2:8" ht="17.5" customHeight="1" x14ac:dyDescent="0.4">
      <c r="B289" s="3" t="s">
        <v>7</v>
      </c>
      <c r="C289" s="3" t="s">
        <v>136</v>
      </c>
      <c r="D289" s="4">
        <f>DATE(2011,10,21)</f>
        <v>40837</v>
      </c>
      <c r="E289" s="5">
        <f t="shared" si="4"/>
        <v>2011</v>
      </c>
      <c r="F289" s="3" t="s">
        <v>140</v>
      </c>
      <c r="G289" s="6">
        <v>21204.6</v>
      </c>
      <c r="H289" s="5">
        <v>4582</v>
      </c>
    </row>
    <row r="290" spans="2:8" ht="17.5" customHeight="1" x14ac:dyDescent="0.4">
      <c r="B290" s="3" t="s">
        <v>7</v>
      </c>
      <c r="C290" s="3" t="s">
        <v>136</v>
      </c>
      <c r="D290" s="4">
        <f>DATE(2011,12,7)</f>
        <v>40884</v>
      </c>
      <c r="E290" s="5">
        <f t="shared" si="4"/>
        <v>2011</v>
      </c>
      <c r="F290" s="3" t="s">
        <v>140</v>
      </c>
      <c r="G290" s="6">
        <v>19648.12</v>
      </c>
      <c r="H290" s="5">
        <v>4705</v>
      </c>
    </row>
    <row r="291" spans="2:8" ht="17.5" customHeight="1" x14ac:dyDescent="0.4">
      <c r="B291" s="3" t="s">
        <v>16</v>
      </c>
      <c r="C291" s="3" t="s">
        <v>136</v>
      </c>
      <c r="D291" s="4">
        <f>DATE(2011,4,1)</f>
        <v>40634</v>
      </c>
      <c r="E291" s="5">
        <f t="shared" si="4"/>
        <v>2011</v>
      </c>
      <c r="F291" s="3" t="s">
        <v>140</v>
      </c>
      <c r="G291" s="6">
        <v>16727</v>
      </c>
      <c r="H291" s="5">
        <v>4452</v>
      </c>
    </row>
    <row r="292" spans="2:8" ht="17.5" customHeight="1" x14ac:dyDescent="0.4">
      <c r="B292" t="s">
        <v>7</v>
      </c>
      <c r="C292" t="s">
        <v>141</v>
      </c>
      <c r="D292" s="7">
        <f>DATE(2016,12,14)</f>
        <v>42718</v>
      </c>
      <c r="E292" s="8">
        <f t="shared" si="4"/>
        <v>2016</v>
      </c>
      <c r="F292" t="s">
        <v>142</v>
      </c>
      <c r="G292" s="9">
        <v>4231.16</v>
      </c>
      <c r="H292" s="8">
        <v>23831</v>
      </c>
    </row>
    <row r="293" spans="2:8" ht="17.5" customHeight="1" x14ac:dyDescent="0.4">
      <c r="B293" t="s">
        <v>7</v>
      </c>
      <c r="C293" t="s">
        <v>141</v>
      </c>
      <c r="D293" s="7">
        <f>DATE(2016,12,15)</f>
        <v>42719</v>
      </c>
      <c r="E293" s="8">
        <f t="shared" si="4"/>
        <v>2016</v>
      </c>
      <c r="F293" t="s">
        <v>142</v>
      </c>
      <c r="G293" s="9">
        <v>102.86</v>
      </c>
      <c r="H293" s="8">
        <v>23937</v>
      </c>
    </row>
    <row r="294" spans="2:8" ht="17.5" customHeight="1" x14ac:dyDescent="0.4">
      <c r="B294" t="s">
        <v>7</v>
      </c>
      <c r="C294" t="s">
        <v>141</v>
      </c>
      <c r="D294" s="7">
        <f>DATE(2017,2,7)</f>
        <v>42773</v>
      </c>
      <c r="E294" s="8">
        <f t="shared" si="4"/>
        <v>2017</v>
      </c>
      <c r="F294" t="s">
        <v>142</v>
      </c>
      <c r="G294" s="9">
        <v>308.58</v>
      </c>
      <c r="H294" s="8">
        <v>24232</v>
      </c>
    </row>
    <row r="295" spans="2:8" ht="17.5" customHeight="1" x14ac:dyDescent="0.4">
      <c r="B295" t="s">
        <v>7</v>
      </c>
      <c r="C295" t="s">
        <v>141</v>
      </c>
      <c r="D295" s="7">
        <f>DATE(2017,2,7)</f>
        <v>42773</v>
      </c>
      <c r="E295" s="8">
        <f t="shared" si="4"/>
        <v>2017</v>
      </c>
      <c r="F295" t="s">
        <v>142</v>
      </c>
      <c r="G295" s="9">
        <v>515.04</v>
      </c>
      <c r="H295" s="8">
        <v>24251</v>
      </c>
    </row>
    <row r="296" spans="2:8" ht="17.5" customHeight="1" x14ac:dyDescent="0.4">
      <c r="B296" t="s">
        <v>7</v>
      </c>
      <c r="C296" t="s">
        <v>141</v>
      </c>
      <c r="D296" s="7">
        <f>DATE(2017,3,21)</f>
        <v>42815</v>
      </c>
      <c r="E296" s="8">
        <f t="shared" si="4"/>
        <v>2017</v>
      </c>
      <c r="F296" t="s">
        <v>142</v>
      </c>
      <c r="G296" s="9">
        <v>3605.28</v>
      </c>
      <c r="H296" s="8">
        <v>24461</v>
      </c>
    </row>
    <row r="297" spans="2:8" ht="17.5" customHeight="1" x14ac:dyDescent="0.4">
      <c r="B297" s="3" t="s">
        <v>7</v>
      </c>
      <c r="C297" s="3" t="s">
        <v>141</v>
      </c>
      <c r="D297" s="4">
        <f>DATE(2003,1,22)</f>
        <v>37643</v>
      </c>
      <c r="E297" s="5">
        <f t="shared" si="4"/>
        <v>2003</v>
      </c>
      <c r="F297" s="3" t="s">
        <v>142</v>
      </c>
      <c r="G297" s="6">
        <v>654.71</v>
      </c>
      <c r="H297" s="5">
        <v>3</v>
      </c>
    </row>
    <row r="298" spans="2:8" ht="17.5" customHeight="1" x14ac:dyDescent="0.4">
      <c r="B298" s="3" t="s">
        <v>7</v>
      </c>
      <c r="C298" s="3" t="s">
        <v>141</v>
      </c>
      <c r="D298" s="4">
        <f>DATE(2003,1,22)</f>
        <v>37643</v>
      </c>
      <c r="E298" s="5">
        <f t="shared" si="4"/>
        <v>2003</v>
      </c>
      <c r="F298" s="3" t="s">
        <v>142</v>
      </c>
      <c r="G298" s="6">
        <v>397.82</v>
      </c>
      <c r="H298" s="5">
        <v>4</v>
      </c>
    </row>
    <row r="299" spans="2:8" ht="17.5" customHeight="1" x14ac:dyDescent="0.4">
      <c r="B299" s="3" t="s">
        <v>7</v>
      </c>
      <c r="C299" s="3" t="s">
        <v>141</v>
      </c>
      <c r="D299" s="4">
        <f>DATE(2003,1,22)</f>
        <v>37643</v>
      </c>
      <c r="E299" s="5">
        <f t="shared" si="4"/>
        <v>2003</v>
      </c>
      <c r="F299" s="3" t="s">
        <v>142</v>
      </c>
      <c r="G299" s="6">
        <v>507.63</v>
      </c>
      <c r="H299" s="5">
        <v>6</v>
      </c>
    </row>
    <row r="300" spans="2:8" ht="17.5" customHeight="1" x14ac:dyDescent="0.4">
      <c r="B300" s="3" t="s">
        <v>7</v>
      </c>
      <c r="C300" s="3" t="s">
        <v>141</v>
      </c>
      <c r="D300" s="4">
        <f>DATE(2003,1,22)</f>
        <v>37643</v>
      </c>
      <c r="E300" s="5">
        <f t="shared" si="4"/>
        <v>2003</v>
      </c>
      <c r="F300" s="3" t="s">
        <v>142</v>
      </c>
      <c r="G300" s="6">
        <v>439.69</v>
      </c>
      <c r="H300" s="5">
        <v>7</v>
      </c>
    </row>
    <row r="301" spans="2:8" ht="17.5" customHeight="1" x14ac:dyDescent="0.4">
      <c r="B301" s="3" t="s">
        <v>7</v>
      </c>
      <c r="C301" s="3" t="s">
        <v>141</v>
      </c>
      <c r="D301" s="4">
        <f>DATE(2003,3,18)</f>
        <v>37698</v>
      </c>
      <c r="E301" s="5">
        <f t="shared" si="4"/>
        <v>2003</v>
      </c>
      <c r="F301" s="3" t="s">
        <v>142</v>
      </c>
      <c r="G301" s="6">
        <v>4581.7299999999996</v>
      </c>
      <c r="H301" s="5">
        <v>69</v>
      </c>
    </row>
    <row r="302" spans="2:8" ht="17.5" customHeight="1" x14ac:dyDescent="0.4">
      <c r="B302" s="3" t="s">
        <v>7</v>
      </c>
      <c r="C302" s="3" t="s">
        <v>141</v>
      </c>
      <c r="D302" s="4">
        <f>DATE(2003,3,21)</f>
        <v>37701</v>
      </c>
      <c r="E302" s="5">
        <f t="shared" si="4"/>
        <v>2003</v>
      </c>
      <c r="F302" s="3" t="s">
        <v>142</v>
      </c>
      <c r="G302" s="6">
        <v>1552.07</v>
      </c>
      <c r="H302" s="5">
        <v>84</v>
      </c>
    </row>
    <row r="303" spans="2:8" ht="17.5" customHeight="1" x14ac:dyDescent="0.4">
      <c r="B303" s="3" t="s">
        <v>7</v>
      </c>
      <c r="C303" s="3" t="s">
        <v>141</v>
      </c>
      <c r="D303" s="4">
        <f>DATE(2003,4,11)</f>
        <v>37722</v>
      </c>
      <c r="E303" s="5">
        <f t="shared" si="4"/>
        <v>2003</v>
      </c>
      <c r="F303" s="3" t="s">
        <v>142</v>
      </c>
      <c r="G303" s="6">
        <v>466.73</v>
      </c>
      <c r="H303" s="5">
        <v>114</v>
      </c>
    </row>
    <row r="304" spans="2:8" ht="17.5" customHeight="1" x14ac:dyDescent="0.4">
      <c r="B304" s="3" t="s">
        <v>7</v>
      </c>
      <c r="C304" s="3" t="s">
        <v>141</v>
      </c>
      <c r="D304" s="4">
        <f>DATE(2003,4,17)</f>
        <v>37728</v>
      </c>
      <c r="E304" s="5">
        <f t="shared" si="4"/>
        <v>2003</v>
      </c>
      <c r="F304" s="3" t="s">
        <v>142</v>
      </c>
      <c r="G304" s="6">
        <v>235.74</v>
      </c>
      <c r="H304" s="5">
        <v>121</v>
      </c>
    </row>
    <row r="305" spans="2:8" ht="17.5" customHeight="1" x14ac:dyDescent="0.4">
      <c r="B305" s="3" t="s">
        <v>7</v>
      </c>
      <c r="C305" s="3" t="s">
        <v>141</v>
      </c>
      <c r="D305" s="4">
        <f>DATE(2003,4,18)</f>
        <v>37729</v>
      </c>
      <c r="E305" s="5">
        <f t="shared" si="4"/>
        <v>2003</v>
      </c>
      <c r="F305" s="3" t="s">
        <v>142</v>
      </c>
      <c r="G305" s="6">
        <v>3245.58</v>
      </c>
      <c r="H305" s="5">
        <v>123</v>
      </c>
    </row>
    <row r="306" spans="2:8" ht="17.5" customHeight="1" x14ac:dyDescent="0.4">
      <c r="B306" s="3" t="s">
        <v>7</v>
      </c>
      <c r="C306" s="3" t="s">
        <v>141</v>
      </c>
      <c r="D306" s="4">
        <f>DATE(2003,5,14)</f>
        <v>37755</v>
      </c>
      <c r="E306" s="5">
        <f t="shared" si="4"/>
        <v>2003</v>
      </c>
      <c r="F306" s="3" t="s">
        <v>142</v>
      </c>
      <c r="G306" s="6">
        <v>97.5</v>
      </c>
      <c r="H306" s="5">
        <v>169</v>
      </c>
    </row>
    <row r="307" spans="2:8" ht="17.5" customHeight="1" x14ac:dyDescent="0.4">
      <c r="B307" s="3" t="s">
        <v>7</v>
      </c>
      <c r="C307" s="3" t="s">
        <v>141</v>
      </c>
      <c r="D307" s="4">
        <f>DATE(2003,5,31)</f>
        <v>37772</v>
      </c>
      <c r="E307" s="5">
        <f t="shared" si="4"/>
        <v>2003</v>
      </c>
      <c r="F307" s="3" t="s">
        <v>142</v>
      </c>
      <c r="G307" s="6">
        <v>6.82</v>
      </c>
      <c r="H307" s="5">
        <v>189</v>
      </c>
    </row>
    <row r="308" spans="2:8" ht="17.5" customHeight="1" x14ac:dyDescent="0.4">
      <c r="B308" s="3" t="s">
        <v>7</v>
      </c>
      <c r="C308" s="3" t="s">
        <v>141</v>
      </c>
      <c r="D308" s="4">
        <f>DATE(2003,6,11)</f>
        <v>37783</v>
      </c>
      <c r="E308" s="5">
        <f t="shared" si="4"/>
        <v>2003</v>
      </c>
      <c r="F308" s="3" t="s">
        <v>142</v>
      </c>
      <c r="G308" s="6">
        <v>9558</v>
      </c>
      <c r="H308" s="5">
        <v>202</v>
      </c>
    </row>
    <row r="309" spans="2:8" ht="17.5" customHeight="1" x14ac:dyDescent="0.4">
      <c r="B309" s="3" t="s">
        <v>7</v>
      </c>
      <c r="C309" s="3" t="s">
        <v>141</v>
      </c>
      <c r="D309" s="4">
        <f>DATE(2003,6,30)</f>
        <v>37802</v>
      </c>
      <c r="E309" s="5">
        <f t="shared" si="4"/>
        <v>2003</v>
      </c>
      <c r="F309" s="3" t="s">
        <v>142</v>
      </c>
      <c r="G309" s="6">
        <v>365.67</v>
      </c>
      <c r="H309" s="5">
        <v>236</v>
      </c>
    </row>
    <row r="310" spans="2:8" ht="17.5" customHeight="1" x14ac:dyDescent="0.4">
      <c r="B310" s="3" t="s">
        <v>7</v>
      </c>
      <c r="C310" s="3" t="s">
        <v>141</v>
      </c>
      <c r="D310" s="4">
        <f>DATE(2003,7,3)</f>
        <v>37805</v>
      </c>
      <c r="E310" s="5">
        <f t="shared" si="4"/>
        <v>2003</v>
      </c>
      <c r="F310" s="3" t="s">
        <v>142</v>
      </c>
      <c r="G310" s="6">
        <v>238.5</v>
      </c>
      <c r="H310" s="5">
        <v>233</v>
      </c>
    </row>
    <row r="311" spans="2:8" ht="17.5" customHeight="1" x14ac:dyDescent="0.4">
      <c r="B311" s="3" t="s">
        <v>7</v>
      </c>
      <c r="C311" s="3" t="s">
        <v>141</v>
      </c>
      <c r="D311" s="4">
        <f>DATE(2003,7,9)</f>
        <v>37811</v>
      </c>
      <c r="E311" s="5">
        <f t="shared" si="4"/>
        <v>2003</v>
      </c>
      <c r="F311" s="3" t="s">
        <v>142</v>
      </c>
      <c r="G311" s="6">
        <v>3401.25</v>
      </c>
      <c r="H311" s="5">
        <v>239</v>
      </c>
    </row>
    <row r="312" spans="2:8" ht="17.5" customHeight="1" x14ac:dyDescent="0.4">
      <c r="B312" s="3" t="s">
        <v>7</v>
      </c>
      <c r="C312" s="3" t="s">
        <v>141</v>
      </c>
      <c r="D312" s="4">
        <f>DATE(2003,7,31)</f>
        <v>37833</v>
      </c>
      <c r="E312" s="5">
        <f t="shared" si="4"/>
        <v>2003</v>
      </c>
      <c r="F312" s="3" t="s">
        <v>142</v>
      </c>
      <c r="G312" s="6">
        <v>95.68</v>
      </c>
      <c r="H312" s="5">
        <v>281</v>
      </c>
    </row>
    <row r="313" spans="2:8" ht="17.5" customHeight="1" x14ac:dyDescent="0.4">
      <c r="B313" s="3" t="s">
        <v>7</v>
      </c>
      <c r="C313" s="3" t="s">
        <v>141</v>
      </c>
      <c r="D313" s="4">
        <f>DATE(2003,10,6)</f>
        <v>37900</v>
      </c>
      <c r="E313" s="5">
        <f t="shared" si="4"/>
        <v>2003</v>
      </c>
      <c r="F313" s="3" t="s">
        <v>142</v>
      </c>
      <c r="G313" s="6">
        <v>554.9</v>
      </c>
      <c r="H313" s="5">
        <v>354</v>
      </c>
    </row>
    <row r="314" spans="2:8" ht="17.5" customHeight="1" x14ac:dyDescent="0.4">
      <c r="B314" s="3" t="s">
        <v>7</v>
      </c>
      <c r="C314" s="3" t="s">
        <v>141</v>
      </c>
      <c r="D314" s="4">
        <f>DATE(2003,10,15)</f>
        <v>37909</v>
      </c>
      <c r="E314" s="5">
        <f t="shared" si="4"/>
        <v>2003</v>
      </c>
      <c r="F314" s="3" t="s">
        <v>142</v>
      </c>
      <c r="G314" s="6">
        <v>3840</v>
      </c>
      <c r="H314" s="5">
        <v>376</v>
      </c>
    </row>
    <row r="315" spans="2:8" ht="17.5" customHeight="1" x14ac:dyDescent="0.4">
      <c r="B315" s="3" t="s">
        <v>7</v>
      </c>
      <c r="C315" s="3" t="s">
        <v>141</v>
      </c>
      <c r="D315" s="4">
        <f>DATE(2003,10,16)</f>
        <v>37910</v>
      </c>
      <c r="E315" s="5">
        <f t="shared" si="4"/>
        <v>2003</v>
      </c>
      <c r="F315" s="3" t="s">
        <v>142</v>
      </c>
      <c r="G315" s="6">
        <v>435</v>
      </c>
      <c r="H315" s="5">
        <v>387</v>
      </c>
    </row>
    <row r="316" spans="2:8" ht="17.5" customHeight="1" x14ac:dyDescent="0.4">
      <c r="B316" s="3" t="s">
        <v>7</v>
      </c>
      <c r="C316" s="3" t="s">
        <v>141</v>
      </c>
      <c r="D316" s="4">
        <f>DATE(2003,10,31)</f>
        <v>37925</v>
      </c>
      <c r="E316" s="5">
        <f t="shared" si="4"/>
        <v>2003</v>
      </c>
      <c r="F316" s="3" t="s">
        <v>142</v>
      </c>
      <c r="G316" s="6">
        <v>23.56</v>
      </c>
      <c r="H316" s="5">
        <v>441</v>
      </c>
    </row>
    <row r="317" spans="2:8" ht="17.5" customHeight="1" x14ac:dyDescent="0.4">
      <c r="B317" s="3" t="s">
        <v>7</v>
      </c>
      <c r="C317" s="3" t="s">
        <v>141</v>
      </c>
      <c r="D317" s="4">
        <f>DATE(2004,7,29)</f>
        <v>38197</v>
      </c>
      <c r="E317" s="5">
        <f t="shared" si="4"/>
        <v>2004</v>
      </c>
      <c r="F317" s="3" t="s">
        <v>142</v>
      </c>
      <c r="G317" s="6">
        <v>938</v>
      </c>
      <c r="H317" s="5">
        <v>736</v>
      </c>
    </row>
    <row r="318" spans="2:8" ht="17.5" customHeight="1" x14ac:dyDescent="0.4">
      <c r="B318" s="3" t="s">
        <v>7</v>
      </c>
      <c r="C318" s="3" t="s">
        <v>141</v>
      </c>
      <c r="D318" s="4">
        <f>DATE(2004,8,16)</f>
        <v>38215</v>
      </c>
      <c r="E318" s="5">
        <f t="shared" si="4"/>
        <v>2004</v>
      </c>
      <c r="F318" s="3" t="s">
        <v>142</v>
      </c>
      <c r="G318" s="6">
        <v>2020</v>
      </c>
      <c r="H318" s="5">
        <v>744</v>
      </c>
    </row>
    <row r="319" spans="2:8" ht="17.5" customHeight="1" x14ac:dyDescent="0.4">
      <c r="B319" s="3" t="s">
        <v>7</v>
      </c>
      <c r="C319" s="3" t="s">
        <v>141</v>
      </c>
      <c r="D319" s="4">
        <f>DATE(2004,8,16)</f>
        <v>38215</v>
      </c>
      <c r="E319" s="5">
        <f t="shared" si="4"/>
        <v>2004</v>
      </c>
      <c r="F319" s="3" t="s">
        <v>142</v>
      </c>
      <c r="G319" s="6">
        <v>1545</v>
      </c>
      <c r="H319" s="5">
        <v>745</v>
      </c>
    </row>
    <row r="320" spans="2:8" ht="17.5" customHeight="1" x14ac:dyDescent="0.4">
      <c r="B320" s="3" t="s">
        <v>7</v>
      </c>
      <c r="C320" s="3" t="s">
        <v>141</v>
      </c>
      <c r="D320" s="4">
        <f>DATE(2004,8,19)</f>
        <v>38218</v>
      </c>
      <c r="E320" s="5">
        <f t="shared" si="4"/>
        <v>2004</v>
      </c>
      <c r="F320" s="3" t="s">
        <v>142</v>
      </c>
      <c r="G320" s="6">
        <v>1687</v>
      </c>
      <c r="H320" s="5">
        <v>751</v>
      </c>
    </row>
    <row r="321" spans="2:8" ht="17.5" customHeight="1" x14ac:dyDescent="0.4">
      <c r="B321" s="3" t="s">
        <v>7</v>
      </c>
      <c r="C321" s="3" t="s">
        <v>141</v>
      </c>
      <c r="D321" s="4">
        <f>DATE(2004,8,31)</f>
        <v>38230</v>
      </c>
      <c r="E321" s="5">
        <f t="shared" si="4"/>
        <v>2004</v>
      </c>
      <c r="F321" s="3" t="s">
        <v>142</v>
      </c>
      <c r="G321" s="6">
        <v>55.9</v>
      </c>
      <c r="H321" s="5">
        <v>776</v>
      </c>
    </row>
    <row r="322" spans="2:8" ht="17.5" customHeight="1" x14ac:dyDescent="0.4">
      <c r="B322" s="3" t="s">
        <v>7</v>
      </c>
      <c r="C322" s="3" t="s">
        <v>141</v>
      </c>
      <c r="D322" s="4">
        <f>DATE(2004,12,21)</f>
        <v>38342</v>
      </c>
      <c r="E322" s="5">
        <f t="shared" si="4"/>
        <v>2004</v>
      </c>
      <c r="F322" s="3" t="s">
        <v>142</v>
      </c>
      <c r="G322" s="6">
        <v>242.39</v>
      </c>
      <c r="H322" s="5">
        <v>895</v>
      </c>
    </row>
    <row r="323" spans="2:8" ht="17.5" customHeight="1" x14ac:dyDescent="0.4">
      <c r="B323" s="3" t="s">
        <v>7</v>
      </c>
      <c r="C323" s="3" t="s">
        <v>141</v>
      </c>
      <c r="D323" s="4">
        <f>DATE(2005,1,27)</f>
        <v>38379</v>
      </c>
      <c r="E323" s="5">
        <f t="shared" ref="E323:E386" si="5">YEAR(D323)</f>
        <v>2005</v>
      </c>
      <c r="F323" s="3" t="s">
        <v>142</v>
      </c>
      <c r="G323" s="6">
        <v>5632</v>
      </c>
      <c r="H323" s="5">
        <v>927</v>
      </c>
    </row>
    <row r="324" spans="2:8" ht="17.5" customHeight="1" x14ac:dyDescent="0.4">
      <c r="B324" s="3" t="s">
        <v>7</v>
      </c>
      <c r="C324" s="3" t="s">
        <v>141</v>
      </c>
      <c r="D324" s="4">
        <f>DATE(2005,1,26)</f>
        <v>38378</v>
      </c>
      <c r="E324" s="5">
        <f t="shared" si="5"/>
        <v>2005</v>
      </c>
      <c r="F324" s="3" t="s">
        <v>142</v>
      </c>
      <c r="G324" s="6">
        <v>526.19000000000005</v>
      </c>
      <c r="H324" s="5">
        <v>928</v>
      </c>
    </row>
    <row r="325" spans="2:8" ht="17.5" customHeight="1" x14ac:dyDescent="0.4">
      <c r="B325" s="3" t="s">
        <v>7</v>
      </c>
      <c r="C325" s="3" t="s">
        <v>141</v>
      </c>
      <c r="D325" s="4">
        <f>DATE(2005,1,31)</f>
        <v>38383</v>
      </c>
      <c r="E325" s="5">
        <f t="shared" si="5"/>
        <v>2005</v>
      </c>
      <c r="F325" s="3" t="s">
        <v>142</v>
      </c>
      <c r="G325" s="6">
        <v>439.24</v>
      </c>
      <c r="H325" s="5">
        <v>933</v>
      </c>
    </row>
    <row r="326" spans="2:8" ht="17.5" customHeight="1" x14ac:dyDescent="0.4">
      <c r="B326" s="3" t="s">
        <v>7</v>
      </c>
      <c r="C326" s="3" t="s">
        <v>141</v>
      </c>
      <c r="D326" s="4">
        <f>DATE(2005,3,14)</f>
        <v>38425</v>
      </c>
      <c r="E326" s="5">
        <f t="shared" si="5"/>
        <v>2005</v>
      </c>
      <c r="F326" s="3" t="s">
        <v>142</v>
      </c>
      <c r="G326" s="6">
        <v>777.9</v>
      </c>
      <c r="H326" s="5">
        <v>988</v>
      </c>
    </row>
    <row r="327" spans="2:8" ht="17.5" customHeight="1" x14ac:dyDescent="0.4">
      <c r="B327" s="3" t="s">
        <v>7</v>
      </c>
      <c r="C327" s="3" t="s">
        <v>141</v>
      </c>
      <c r="D327" s="4">
        <f>DATE(2005,3,16)</f>
        <v>38427</v>
      </c>
      <c r="E327" s="5">
        <f t="shared" si="5"/>
        <v>2005</v>
      </c>
      <c r="F327" s="3" t="s">
        <v>142</v>
      </c>
      <c r="G327" s="6">
        <v>927</v>
      </c>
      <c r="H327" s="5">
        <v>991</v>
      </c>
    </row>
    <row r="328" spans="2:8" ht="17.5" customHeight="1" x14ac:dyDescent="0.4">
      <c r="B328" s="3" t="s">
        <v>7</v>
      </c>
      <c r="C328" s="3" t="s">
        <v>141</v>
      </c>
      <c r="D328" s="4">
        <f>DATE(2005,1,31)</f>
        <v>38383</v>
      </c>
      <c r="E328" s="5">
        <f t="shared" si="5"/>
        <v>2005</v>
      </c>
      <c r="F328" s="3" t="s">
        <v>142</v>
      </c>
      <c r="G328" s="6">
        <v>61.48</v>
      </c>
      <c r="H328" s="5">
        <v>1121</v>
      </c>
    </row>
    <row r="329" spans="2:8" ht="17.5" customHeight="1" x14ac:dyDescent="0.4">
      <c r="B329" s="3" t="s">
        <v>7</v>
      </c>
      <c r="C329" s="3" t="s">
        <v>141</v>
      </c>
      <c r="D329" s="4">
        <f>DATE(2005,7,13)</f>
        <v>38546</v>
      </c>
      <c r="E329" s="5">
        <f t="shared" si="5"/>
        <v>2005</v>
      </c>
      <c r="F329" s="3" t="s">
        <v>142</v>
      </c>
      <c r="G329" s="6">
        <v>589</v>
      </c>
      <c r="H329" s="5">
        <v>1159</v>
      </c>
    </row>
    <row r="330" spans="2:8" ht="17.5" customHeight="1" x14ac:dyDescent="0.4">
      <c r="B330" s="3" t="s">
        <v>7</v>
      </c>
      <c r="C330" s="3" t="s">
        <v>141</v>
      </c>
      <c r="D330" s="4">
        <f>DATE(2005,8,17)</f>
        <v>38581</v>
      </c>
      <c r="E330" s="5">
        <f t="shared" si="5"/>
        <v>2005</v>
      </c>
      <c r="F330" s="3" t="s">
        <v>142</v>
      </c>
      <c r="G330" s="6">
        <v>371.25</v>
      </c>
      <c r="H330" s="5">
        <v>1233</v>
      </c>
    </row>
    <row r="331" spans="2:8" ht="17.5" customHeight="1" x14ac:dyDescent="0.4">
      <c r="B331" s="3" t="s">
        <v>7</v>
      </c>
      <c r="C331" s="3" t="s">
        <v>141</v>
      </c>
      <c r="D331" s="4">
        <f>DATE(2005,11,22)</f>
        <v>38678</v>
      </c>
      <c r="E331" s="5">
        <f t="shared" si="5"/>
        <v>2005</v>
      </c>
      <c r="F331" s="3" t="s">
        <v>142</v>
      </c>
      <c r="G331" s="6">
        <v>281.25</v>
      </c>
      <c r="H331" s="5">
        <v>1305</v>
      </c>
    </row>
    <row r="332" spans="2:8" ht="17.5" customHeight="1" x14ac:dyDescent="0.4">
      <c r="B332" s="3" t="s">
        <v>7</v>
      </c>
      <c r="C332" s="3" t="s">
        <v>143</v>
      </c>
      <c r="D332" s="4">
        <f>DATE(2007,2,12)</f>
        <v>39125</v>
      </c>
      <c r="E332" s="5">
        <f t="shared" si="5"/>
        <v>2007</v>
      </c>
      <c r="F332" s="3" t="s">
        <v>142</v>
      </c>
      <c r="G332" s="6">
        <v>16452</v>
      </c>
      <c r="H332" s="5">
        <v>2009</v>
      </c>
    </row>
    <row r="333" spans="2:8" ht="17.5" customHeight="1" x14ac:dyDescent="0.4">
      <c r="B333" s="3" t="s">
        <v>7</v>
      </c>
      <c r="C333" s="3" t="s">
        <v>141</v>
      </c>
      <c r="D333" s="4">
        <f>DATE(2007,4,17)</f>
        <v>39189</v>
      </c>
      <c r="E333" s="5">
        <f t="shared" si="5"/>
        <v>2007</v>
      </c>
      <c r="F333" s="3" t="s">
        <v>142</v>
      </c>
      <c r="G333" s="6">
        <v>148.5</v>
      </c>
      <c r="H333" s="5">
        <v>2183</v>
      </c>
    </row>
    <row r="334" spans="2:8" ht="17.5" customHeight="1" x14ac:dyDescent="0.4">
      <c r="B334" s="3" t="s">
        <v>7</v>
      </c>
      <c r="C334" s="3" t="s">
        <v>141</v>
      </c>
      <c r="D334" s="4">
        <f>DATE(2007,5,4)</f>
        <v>39206</v>
      </c>
      <c r="E334" s="5">
        <f t="shared" si="5"/>
        <v>2007</v>
      </c>
      <c r="F334" s="3" t="s">
        <v>142</v>
      </c>
      <c r="G334" s="6">
        <v>1420.25</v>
      </c>
      <c r="H334" s="5">
        <v>2185</v>
      </c>
    </row>
    <row r="335" spans="2:8" ht="17.5" customHeight="1" x14ac:dyDescent="0.4">
      <c r="B335" s="3" t="s">
        <v>7</v>
      </c>
      <c r="C335" s="3" t="s">
        <v>141</v>
      </c>
      <c r="D335" s="4">
        <f>DATE(2007,5,24)</f>
        <v>39226</v>
      </c>
      <c r="E335" s="5">
        <f t="shared" si="5"/>
        <v>2007</v>
      </c>
      <c r="F335" s="3" t="s">
        <v>142</v>
      </c>
      <c r="G335" s="6">
        <v>89.7</v>
      </c>
      <c r="H335" s="5">
        <v>2185</v>
      </c>
    </row>
    <row r="336" spans="2:8" ht="17.5" customHeight="1" x14ac:dyDescent="0.4">
      <c r="B336" s="3" t="s">
        <v>7</v>
      </c>
      <c r="C336" s="3" t="s">
        <v>141</v>
      </c>
      <c r="D336" s="4">
        <f>DATE(2007,6,18)</f>
        <v>39251</v>
      </c>
      <c r="E336" s="5">
        <f t="shared" si="5"/>
        <v>2007</v>
      </c>
      <c r="F336" s="3" t="s">
        <v>142</v>
      </c>
      <c r="G336" s="6">
        <v>1552.5</v>
      </c>
      <c r="H336" s="5">
        <v>2306</v>
      </c>
    </row>
    <row r="337" spans="2:8" ht="17.5" customHeight="1" x14ac:dyDescent="0.4">
      <c r="B337" s="3" t="s">
        <v>7</v>
      </c>
      <c r="C337" s="3" t="s">
        <v>141</v>
      </c>
      <c r="D337" s="4">
        <f>DATE(2007,6,28)</f>
        <v>39261</v>
      </c>
      <c r="E337" s="5">
        <f t="shared" si="5"/>
        <v>2007</v>
      </c>
      <c r="F337" s="3" t="s">
        <v>142</v>
      </c>
      <c r="G337" s="6">
        <v>2816</v>
      </c>
      <c r="H337" s="5">
        <v>2310</v>
      </c>
    </row>
    <row r="338" spans="2:8" ht="17.5" customHeight="1" x14ac:dyDescent="0.4">
      <c r="B338" s="3" t="s">
        <v>7</v>
      </c>
      <c r="C338" s="3" t="s">
        <v>141</v>
      </c>
      <c r="D338" s="4">
        <f>DATE(2007,8,22)</f>
        <v>39316</v>
      </c>
      <c r="E338" s="5">
        <f t="shared" si="5"/>
        <v>2007</v>
      </c>
      <c r="F338" s="3" t="s">
        <v>142</v>
      </c>
      <c r="G338" s="6">
        <v>920</v>
      </c>
      <c r="H338" s="5">
        <v>2306</v>
      </c>
    </row>
    <row r="339" spans="2:8" ht="17.5" customHeight="1" x14ac:dyDescent="0.4">
      <c r="B339" s="3" t="s">
        <v>7</v>
      </c>
      <c r="C339" s="3" t="s">
        <v>141</v>
      </c>
      <c r="D339" s="4">
        <f>DATE(2007,11,16)</f>
        <v>39402</v>
      </c>
      <c r="E339" s="5">
        <f t="shared" si="5"/>
        <v>2007</v>
      </c>
      <c r="F339" s="3" t="s">
        <v>142</v>
      </c>
      <c r="G339" s="6">
        <v>507.5</v>
      </c>
      <c r="H339" s="5">
        <v>2497</v>
      </c>
    </row>
    <row r="340" spans="2:8" ht="17.5" customHeight="1" x14ac:dyDescent="0.4">
      <c r="B340" s="3" t="s">
        <v>7</v>
      </c>
      <c r="C340" s="3" t="s">
        <v>141</v>
      </c>
      <c r="D340" s="4">
        <f>DATE(2008,11,19)</f>
        <v>39771</v>
      </c>
      <c r="E340" s="5">
        <f t="shared" si="5"/>
        <v>2008</v>
      </c>
      <c r="F340" s="3" t="s">
        <v>142</v>
      </c>
      <c r="G340" s="6">
        <v>51552.83</v>
      </c>
      <c r="H340" s="5">
        <v>3112</v>
      </c>
    </row>
    <row r="341" spans="2:8" ht="17.5" customHeight="1" x14ac:dyDescent="0.4">
      <c r="B341" s="3" t="s">
        <v>7</v>
      </c>
      <c r="C341" s="3" t="s">
        <v>138</v>
      </c>
      <c r="D341" s="4">
        <f>DATE(2010,3,3)</f>
        <v>40240</v>
      </c>
      <c r="E341" s="5">
        <f t="shared" si="5"/>
        <v>2010</v>
      </c>
      <c r="F341" s="3" t="s">
        <v>142</v>
      </c>
      <c r="G341" s="6">
        <v>3016</v>
      </c>
      <c r="H341" s="5">
        <v>3811</v>
      </c>
    </row>
    <row r="342" spans="2:8" ht="17.5" customHeight="1" x14ac:dyDescent="0.4">
      <c r="B342" s="3" t="s">
        <v>7</v>
      </c>
      <c r="C342" s="3" t="s">
        <v>141</v>
      </c>
      <c r="D342" s="4">
        <f>DATE(2004,11,14)</f>
        <v>38305</v>
      </c>
      <c r="E342" s="5">
        <f t="shared" si="5"/>
        <v>2004</v>
      </c>
      <c r="F342" s="3" t="s">
        <v>142</v>
      </c>
      <c r="G342" s="6">
        <v>5137.3599999999997</v>
      </c>
      <c r="H342" s="5">
        <v>838</v>
      </c>
    </row>
    <row r="343" spans="2:8" ht="17.5" customHeight="1" x14ac:dyDescent="0.4">
      <c r="B343" s="3" t="s">
        <v>7</v>
      </c>
      <c r="C343" s="3" t="s">
        <v>141</v>
      </c>
      <c r="D343" s="4">
        <f>DATE(2004,12,1)</f>
        <v>38322</v>
      </c>
      <c r="E343" s="5">
        <f t="shared" si="5"/>
        <v>2004</v>
      </c>
      <c r="F343" s="3" t="s">
        <v>142</v>
      </c>
      <c r="G343" s="6">
        <v>14400</v>
      </c>
      <c r="H343" s="5">
        <v>920</v>
      </c>
    </row>
    <row r="344" spans="2:8" ht="17.5" customHeight="1" x14ac:dyDescent="0.4">
      <c r="B344" s="3" t="s">
        <v>7</v>
      </c>
      <c r="C344" s="3" t="s">
        <v>141</v>
      </c>
      <c r="D344" s="4">
        <f>DATE(2005,1,29)</f>
        <v>38381</v>
      </c>
      <c r="E344" s="5">
        <f t="shared" si="5"/>
        <v>2005</v>
      </c>
      <c r="F344" s="3" t="s">
        <v>142</v>
      </c>
      <c r="G344" s="6">
        <v>9087.89</v>
      </c>
      <c r="H344" s="5">
        <v>910</v>
      </c>
    </row>
    <row r="345" spans="2:8" ht="17.5" customHeight="1" x14ac:dyDescent="0.4">
      <c r="B345" s="3" t="s">
        <v>16</v>
      </c>
      <c r="C345" s="3" t="s">
        <v>141</v>
      </c>
      <c r="D345" s="4">
        <f>DATE(2005,11,22)</f>
        <v>38678</v>
      </c>
      <c r="E345" s="5">
        <f t="shared" si="5"/>
        <v>2005</v>
      </c>
      <c r="F345" s="3" t="s">
        <v>142</v>
      </c>
      <c r="G345" s="6">
        <v>371.25</v>
      </c>
      <c r="H345" s="5">
        <v>1303</v>
      </c>
    </row>
    <row r="346" spans="2:8" ht="17.5" customHeight="1" x14ac:dyDescent="0.4">
      <c r="B346" s="3" t="s">
        <v>16</v>
      </c>
      <c r="C346" s="3" t="s">
        <v>141</v>
      </c>
      <c r="D346" s="4">
        <f>DATE(2004,11,14)</f>
        <v>38305</v>
      </c>
      <c r="E346" s="5">
        <f t="shared" si="5"/>
        <v>2004</v>
      </c>
      <c r="F346" s="3" t="s">
        <v>142</v>
      </c>
      <c r="G346" s="6">
        <v>191.77</v>
      </c>
      <c r="H346" s="5">
        <v>1139</v>
      </c>
    </row>
    <row r="347" spans="2:8" ht="17.5" customHeight="1" x14ac:dyDescent="0.4">
      <c r="B347" t="s">
        <v>7</v>
      </c>
      <c r="C347" t="s">
        <v>144</v>
      </c>
      <c r="D347" s="7">
        <f>DATE(2009,7,14)</f>
        <v>40008</v>
      </c>
      <c r="E347" s="8">
        <f t="shared" si="5"/>
        <v>2009</v>
      </c>
      <c r="F347" t="s">
        <v>145</v>
      </c>
      <c r="G347" s="9">
        <v>3519.75</v>
      </c>
      <c r="H347" s="8">
        <v>8859</v>
      </c>
    </row>
    <row r="348" spans="2:8" ht="17.5" customHeight="1" x14ac:dyDescent="0.4">
      <c r="B348" s="3" t="s">
        <v>7</v>
      </c>
      <c r="C348" s="3" t="s">
        <v>146</v>
      </c>
      <c r="D348" s="4">
        <f>DATE(2003,3,28)</f>
        <v>37708</v>
      </c>
      <c r="E348" s="5">
        <f t="shared" si="5"/>
        <v>2003</v>
      </c>
      <c r="F348" s="3" t="s">
        <v>147</v>
      </c>
      <c r="G348" s="6">
        <v>7953.68</v>
      </c>
      <c r="H348" s="5">
        <v>49</v>
      </c>
    </row>
    <row r="349" spans="2:8" ht="17.5" customHeight="1" x14ac:dyDescent="0.4">
      <c r="B349" t="s">
        <v>7</v>
      </c>
      <c r="C349" t="s">
        <v>148</v>
      </c>
      <c r="D349" s="7">
        <f>DATE(2009,5,6)</f>
        <v>39939</v>
      </c>
      <c r="E349" s="8">
        <f t="shared" si="5"/>
        <v>2009</v>
      </c>
      <c r="F349" t="s">
        <v>149</v>
      </c>
      <c r="G349" s="9">
        <v>1800.48</v>
      </c>
      <c r="H349" s="8">
        <v>8639</v>
      </c>
    </row>
    <row r="350" spans="2:8" ht="17.5" customHeight="1" x14ac:dyDescent="0.4">
      <c r="B350" t="s">
        <v>7</v>
      </c>
      <c r="C350" t="s">
        <v>148</v>
      </c>
      <c r="D350" s="7">
        <f>DATE(2009,5,14)</f>
        <v>39947</v>
      </c>
      <c r="E350" s="8">
        <f t="shared" si="5"/>
        <v>2009</v>
      </c>
      <c r="F350" t="s">
        <v>149</v>
      </c>
      <c r="G350" s="9">
        <v>4984</v>
      </c>
      <c r="H350" s="8">
        <v>8629</v>
      </c>
    </row>
    <row r="351" spans="2:8" ht="17.5" customHeight="1" x14ac:dyDescent="0.4">
      <c r="B351" s="3" t="s">
        <v>7</v>
      </c>
      <c r="C351" s="3" t="s">
        <v>148</v>
      </c>
      <c r="D351" s="4">
        <f>DATE(2003,6,11)</f>
        <v>37783</v>
      </c>
      <c r="E351" s="5">
        <f t="shared" si="5"/>
        <v>2003</v>
      </c>
      <c r="F351" s="3" t="s">
        <v>149</v>
      </c>
      <c r="G351" s="6">
        <v>1211.5</v>
      </c>
      <c r="H351" s="5">
        <v>1091</v>
      </c>
    </row>
    <row r="352" spans="2:8" ht="17.5" customHeight="1" x14ac:dyDescent="0.4">
      <c r="B352" s="3" t="s">
        <v>7</v>
      </c>
      <c r="C352" s="3" t="s">
        <v>148</v>
      </c>
      <c r="D352" s="4">
        <f>DATE(2003,11,12)</f>
        <v>37937</v>
      </c>
      <c r="E352" s="5">
        <f t="shared" si="5"/>
        <v>2003</v>
      </c>
      <c r="F352" s="3" t="s">
        <v>149</v>
      </c>
      <c r="G352" s="6">
        <v>5915</v>
      </c>
      <c r="H352" s="5">
        <v>1693</v>
      </c>
    </row>
    <row r="353" spans="2:8" ht="17.5" customHeight="1" x14ac:dyDescent="0.4">
      <c r="B353" s="3" t="s">
        <v>7</v>
      </c>
      <c r="C353" s="3" t="s">
        <v>148</v>
      </c>
      <c r="D353" s="4">
        <f>DATE(2005,1,12)</f>
        <v>38364</v>
      </c>
      <c r="E353" s="5">
        <f t="shared" si="5"/>
        <v>2005</v>
      </c>
      <c r="F353" s="3" t="s">
        <v>149</v>
      </c>
      <c r="G353" s="6">
        <v>4439</v>
      </c>
      <c r="H353" s="5">
        <v>3929</v>
      </c>
    </row>
    <row r="354" spans="2:8" ht="17.5" customHeight="1" x14ac:dyDescent="0.4">
      <c r="B354" s="3" t="s">
        <v>7</v>
      </c>
      <c r="C354" s="3" t="s">
        <v>148</v>
      </c>
      <c r="D354" s="4">
        <f>DATE(2008,1,31)</f>
        <v>39478</v>
      </c>
      <c r="E354" s="5">
        <f t="shared" si="5"/>
        <v>2008</v>
      </c>
      <c r="F354" s="3" t="s">
        <v>149</v>
      </c>
      <c r="G354" s="6">
        <v>4666</v>
      </c>
      <c r="H354" s="5">
        <v>9698</v>
      </c>
    </row>
    <row r="355" spans="2:8" ht="17.5" customHeight="1" x14ac:dyDescent="0.4">
      <c r="B355" s="3" t="s">
        <v>7</v>
      </c>
      <c r="C355" s="3" t="s">
        <v>148</v>
      </c>
      <c r="D355" s="4">
        <f>DATE(2008,3,17)</f>
        <v>39524</v>
      </c>
      <c r="E355" s="5">
        <f t="shared" si="5"/>
        <v>2008</v>
      </c>
      <c r="F355" s="3" t="s">
        <v>149</v>
      </c>
      <c r="G355" s="6">
        <v>3174.66</v>
      </c>
      <c r="H355" s="5">
        <v>10218</v>
      </c>
    </row>
    <row r="356" spans="2:8" ht="17.5" customHeight="1" x14ac:dyDescent="0.4">
      <c r="B356" s="3" t="s">
        <v>7</v>
      </c>
      <c r="C356" s="3" t="s">
        <v>148</v>
      </c>
      <c r="D356" s="4">
        <f>DATE(2013,8,13)</f>
        <v>41499</v>
      </c>
      <c r="E356" s="5">
        <f t="shared" si="5"/>
        <v>2013</v>
      </c>
      <c r="F356" s="3" t="s">
        <v>150</v>
      </c>
      <c r="G356" s="6">
        <v>6200</v>
      </c>
      <c r="H356" s="5">
        <v>18825</v>
      </c>
    </row>
    <row r="357" spans="2:8" ht="17.5" customHeight="1" x14ac:dyDescent="0.4">
      <c r="B357" s="3" t="s">
        <v>7</v>
      </c>
      <c r="C357" s="3" t="s">
        <v>151</v>
      </c>
      <c r="D357" s="4">
        <f>DATE(2003,5,16)</f>
        <v>37757</v>
      </c>
      <c r="E357" s="5">
        <f t="shared" si="5"/>
        <v>2003</v>
      </c>
      <c r="F357" s="3" t="s">
        <v>152</v>
      </c>
      <c r="G357" s="6">
        <v>384.5</v>
      </c>
      <c r="H357" s="5">
        <v>159</v>
      </c>
    </row>
    <row r="358" spans="2:8" ht="17.5" customHeight="1" x14ac:dyDescent="0.4">
      <c r="B358" s="3" t="s">
        <v>7</v>
      </c>
      <c r="C358" s="3" t="s">
        <v>151</v>
      </c>
      <c r="D358" s="4">
        <f>DATE(2003,8,13)</f>
        <v>37846</v>
      </c>
      <c r="E358" s="5">
        <f t="shared" si="5"/>
        <v>2003</v>
      </c>
      <c r="F358" s="3" t="s">
        <v>152</v>
      </c>
      <c r="G358" s="6">
        <v>700</v>
      </c>
      <c r="H358" s="5">
        <v>267</v>
      </c>
    </row>
    <row r="359" spans="2:8" ht="17.5" customHeight="1" x14ac:dyDescent="0.4">
      <c r="B359" s="3" t="s">
        <v>7</v>
      </c>
      <c r="C359" s="3" t="s">
        <v>151</v>
      </c>
      <c r="D359" s="4">
        <f>DATE(2004,3,15)</f>
        <v>38061</v>
      </c>
      <c r="E359" s="5">
        <f t="shared" si="5"/>
        <v>2004</v>
      </c>
      <c r="F359" s="3" t="s">
        <v>152</v>
      </c>
      <c r="G359" s="6">
        <v>500.04</v>
      </c>
      <c r="H359" s="5">
        <v>558</v>
      </c>
    </row>
    <row r="360" spans="2:8" ht="17.5" customHeight="1" x14ac:dyDescent="0.4">
      <c r="B360" s="3" t="s">
        <v>7</v>
      </c>
      <c r="C360" s="3" t="s">
        <v>151</v>
      </c>
      <c r="D360" s="4">
        <f>DATE(2004,3,15)</f>
        <v>38061</v>
      </c>
      <c r="E360" s="5">
        <f t="shared" si="5"/>
        <v>2004</v>
      </c>
      <c r="F360" s="3" t="s">
        <v>152</v>
      </c>
      <c r="G360" s="6">
        <v>101.28</v>
      </c>
      <c r="H360" s="5">
        <v>618</v>
      </c>
    </row>
    <row r="361" spans="2:8" ht="17.5" customHeight="1" x14ac:dyDescent="0.4">
      <c r="B361" s="3" t="s">
        <v>7</v>
      </c>
      <c r="C361" s="3" t="s">
        <v>151</v>
      </c>
      <c r="D361" s="4">
        <f>DATE(2004,3,11)</f>
        <v>38057</v>
      </c>
      <c r="E361" s="5">
        <f t="shared" si="5"/>
        <v>2004</v>
      </c>
      <c r="F361" s="3" t="s">
        <v>152</v>
      </c>
      <c r="G361" s="6">
        <v>733.57</v>
      </c>
      <c r="H361" s="5">
        <v>552</v>
      </c>
    </row>
    <row r="362" spans="2:8" ht="17.5" customHeight="1" x14ac:dyDescent="0.4">
      <c r="B362" s="3" t="s">
        <v>16</v>
      </c>
      <c r="C362" s="3" t="s">
        <v>151</v>
      </c>
      <c r="D362" s="4">
        <f>DATE(2004,3,15)</f>
        <v>38061</v>
      </c>
      <c r="E362" s="5">
        <f t="shared" si="5"/>
        <v>2004</v>
      </c>
      <c r="F362" s="3" t="s">
        <v>152</v>
      </c>
      <c r="G362" s="6">
        <v>101.28</v>
      </c>
      <c r="H362" s="5">
        <v>761</v>
      </c>
    </row>
    <row r="363" spans="2:8" ht="17.5" customHeight="1" x14ac:dyDescent="0.4">
      <c r="B363" s="3" t="s">
        <v>7</v>
      </c>
      <c r="C363" s="3" t="s">
        <v>151</v>
      </c>
      <c r="D363" s="4">
        <f>DATE(2003,1,30)</f>
        <v>37651</v>
      </c>
      <c r="E363" s="5">
        <f t="shared" si="5"/>
        <v>2003</v>
      </c>
      <c r="F363" s="3" t="s">
        <v>152</v>
      </c>
      <c r="G363" s="6">
        <v>3901</v>
      </c>
      <c r="H363" s="5">
        <v>172</v>
      </c>
    </row>
    <row r="364" spans="2:8" ht="17.5" customHeight="1" x14ac:dyDescent="0.4">
      <c r="B364" s="3" t="s">
        <v>7</v>
      </c>
      <c r="C364" s="3" t="s">
        <v>151</v>
      </c>
      <c r="D364" s="4">
        <f>DATE(2003,3,27)</f>
        <v>37707</v>
      </c>
      <c r="E364" s="5">
        <f t="shared" si="5"/>
        <v>2003</v>
      </c>
      <c r="F364" s="3" t="s">
        <v>152</v>
      </c>
      <c r="G364" s="6">
        <v>1823.6</v>
      </c>
      <c r="H364" s="5">
        <v>637</v>
      </c>
    </row>
    <row r="365" spans="2:8" ht="17.5" customHeight="1" x14ac:dyDescent="0.4">
      <c r="B365" s="3" t="s">
        <v>7</v>
      </c>
      <c r="C365" s="3" t="s">
        <v>151</v>
      </c>
      <c r="D365" s="4">
        <f>DATE(2003,6,3)</f>
        <v>37775</v>
      </c>
      <c r="E365" s="5">
        <f t="shared" si="5"/>
        <v>2003</v>
      </c>
      <c r="F365" s="3" t="s">
        <v>152</v>
      </c>
      <c r="G365" s="6">
        <v>1680.5</v>
      </c>
      <c r="H365" s="5">
        <v>1044</v>
      </c>
    </row>
    <row r="366" spans="2:8" ht="17.5" customHeight="1" x14ac:dyDescent="0.4">
      <c r="B366" s="3" t="s">
        <v>7</v>
      </c>
      <c r="C366" s="3" t="s">
        <v>151</v>
      </c>
      <c r="D366" s="4">
        <f>DATE(2003,8,1)</f>
        <v>37834</v>
      </c>
      <c r="E366" s="5">
        <f t="shared" si="5"/>
        <v>2003</v>
      </c>
      <c r="F366" s="3" t="s">
        <v>152</v>
      </c>
      <c r="G366" s="6">
        <v>940</v>
      </c>
      <c r="H366" s="5">
        <v>1150</v>
      </c>
    </row>
    <row r="367" spans="2:8" ht="17.5" customHeight="1" x14ac:dyDescent="0.4">
      <c r="B367" s="3" t="s">
        <v>7</v>
      </c>
      <c r="C367" s="3" t="s">
        <v>151</v>
      </c>
      <c r="D367" s="4">
        <f>DATE(2004,1,30)</f>
        <v>38016</v>
      </c>
      <c r="E367" s="5">
        <f t="shared" si="5"/>
        <v>2004</v>
      </c>
      <c r="F367" s="3" t="s">
        <v>152</v>
      </c>
      <c r="G367" s="6">
        <v>3207.5</v>
      </c>
      <c r="H367" s="5">
        <v>2068</v>
      </c>
    </row>
    <row r="368" spans="2:8" ht="17.5" customHeight="1" x14ac:dyDescent="0.4">
      <c r="B368" s="3" t="s">
        <v>7</v>
      </c>
      <c r="C368" s="3" t="s">
        <v>151</v>
      </c>
      <c r="D368" s="4">
        <f>DATE(2004,3,2)</f>
        <v>38048</v>
      </c>
      <c r="E368" s="5">
        <f t="shared" si="5"/>
        <v>2004</v>
      </c>
      <c r="F368" s="3" t="s">
        <v>152</v>
      </c>
      <c r="G368" s="6">
        <v>12421.54</v>
      </c>
      <c r="H368" s="5">
        <v>2305</v>
      </c>
    </row>
    <row r="369" spans="2:8" ht="17.5" customHeight="1" x14ac:dyDescent="0.4">
      <c r="B369" s="3" t="s">
        <v>7</v>
      </c>
      <c r="C369" s="3" t="s">
        <v>151</v>
      </c>
      <c r="D369" s="4">
        <f>DATE(2004,6,23)</f>
        <v>38161</v>
      </c>
      <c r="E369" s="5">
        <f t="shared" si="5"/>
        <v>2004</v>
      </c>
      <c r="F369" s="3" t="s">
        <v>152</v>
      </c>
      <c r="G369" s="6">
        <v>796.5</v>
      </c>
      <c r="H369" s="5">
        <v>3057</v>
      </c>
    </row>
    <row r="370" spans="2:8" ht="17.5" customHeight="1" x14ac:dyDescent="0.4">
      <c r="B370" s="3" t="s">
        <v>7</v>
      </c>
      <c r="C370" s="3" t="s">
        <v>151</v>
      </c>
      <c r="D370" s="4">
        <f>DATE(2004,7,16)</f>
        <v>38184</v>
      </c>
      <c r="E370" s="5">
        <f t="shared" si="5"/>
        <v>2004</v>
      </c>
      <c r="F370" s="3" t="s">
        <v>152</v>
      </c>
      <c r="G370" s="6">
        <v>3626.5</v>
      </c>
      <c r="H370" s="5">
        <v>3125</v>
      </c>
    </row>
    <row r="371" spans="2:8" ht="17.5" customHeight="1" x14ac:dyDescent="0.4">
      <c r="B371" s="3" t="s">
        <v>7</v>
      </c>
      <c r="C371" s="3" t="s">
        <v>151</v>
      </c>
      <c r="D371" s="4">
        <f>DATE(2004,7,30)</f>
        <v>38198</v>
      </c>
      <c r="E371" s="5">
        <f t="shared" si="5"/>
        <v>2004</v>
      </c>
      <c r="F371" s="3" t="s">
        <v>152</v>
      </c>
      <c r="G371" s="6">
        <v>7328.59</v>
      </c>
      <c r="H371" s="5">
        <v>3199</v>
      </c>
    </row>
    <row r="372" spans="2:8" ht="17.5" customHeight="1" x14ac:dyDescent="0.4">
      <c r="B372" s="3" t="s">
        <v>7</v>
      </c>
      <c r="C372" s="3" t="s">
        <v>151</v>
      </c>
      <c r="D372" s="4">
        <f>DATE(2005,3,4)</f>
        <v>38415</v>
      </c>
      <c r="E372" s="5">
        <f t="shared" si="5"/>
        <v>2005</v>
      </c>
      <c r="F372" s="3" t="s">
        <v>152</v>
      </c>
      <c r="G372" s="6">
        <v>1764.07</v>
      </c>
      <c r="H372" s="5">
        <v>4248</v>
      </c>
    </row>
    <row r="373" spans="2:8" ht="17.5" customHeight="1" x14ac:dyDescent="0.4">
      <c r="B373" s="3" t="s">
        <v>7</v>
      </c>
      <c r="C373" s="3" t="s">
        <v>151</v>
      </c>
      <c r="D373" s="4">
        <f>DATE(2005,4,15)</f>
        <v>38457</v>
      </c>
      <c r="E373" s="5">
        <f t="shared" si="5"/>
        <v>2005</v>
      </c>
      <c r="F373" s="3" t="s">
        <v>152</v>
      </c>
      <c r="G373" s="6">
        <v>2462.8000000000002</v>
      </c>
      <c r="H373" s="5">
        <v>4581</v>
      </c>
    </row>
    <row r="374" spans="2:8" ht="17.5" customHeight="1" x14ac:dyDescent="0.4">
      <c r="B374" s="3" t="s">
        <v>7</v>
      </c>
      <c r="C374" s="3" t="s">
        <v>151</v>
      </c>
      <c r="D374" s="4">
        <f>DATE(2005,9,7)</f>
        <v>38602</v>
      </c>
      <c r="E374" s="5">
        <f t="shared" si="5"/>
        <v>2005</v>
      </c>
      <c r="F374" s="3" t="s">
        <v>152</v>
      </c>
      <c r="G374" s="6">
        <v>1735</v>
      </c>
      <c r="H374" s="5">
        <v>5218</v>
      </c>
    </row>
    <row r="375" spans="2:8" ht="17.5" customHeight="1" x14ac:dyDescent="0.4">
      <c r="B375" s="3" t="s">
        <v>7</v>
      </c>
      <c r="C375" s="3" t="s">
        <v>151</v>
      </c>
      <c r="D375" s="4">
        <f>DATE(2006,3,14)</f>
        <v>38790</v>
      </c>
      <c r="E375" s="5">
        <f t="shared" si="5"/>
        <v>2006</v>
      </c>
      <c r="F375" s="3" t="s">
        <v>152</v>
      </c>
      <c r="G375" s="6">
        <v>586</v>
      </c>
      <c r="H375" s="5">
        <v>6221</v>
      </c>
    </row>
    <row r="376" spans="2:8" ht="17.5" customHeight="1" x14ac:dyDescent="0.4">
      <c r="B376" s="3" t="s">
        <v>7</v>
      </c>
      <c r="C376" s="3" t="s">
        <v>151</v>
      </c>
      <c r="D376" s="4">
        <f>DATE(2006,7,21)</f>
        <v>38919</v>
      </c>
      <c r="E376" s="5">
        <f t="shared" si="5"/>
        <v>2006</v>
      </c>
      <c r="F376" s="3" t="s">
        <v>152</v>
      </c>
      <c r="G376" s="6">
        <v>2887.45</v>
      </c>
      <c r="H376" s="5">
        <v>6850</v>
      </c>
    </row>
    <row r="377" spans="2:8" ht="17.5" customHeight="1" x14ac:dyDescent="0.4">
      <c r="B377" s="3" t="s">
        <v>7</v>
      </c>
      <c r="C377" s="3" t="s">
        <v>151</v>
      </c>
      <c r="D377" s="4">
        <f>DATE(2007,1,29)</f>
        <v>39111</v>
      </c>
      <c r="E377" s="5">
        <f t="shared" si="5"/>
        <v>2007</v>
      </c>
      <c r="F377" s="3" t="s">
        <v>152</v>
      </c>
      <c r="G377" s="6">
        <v>376.02</v>
      </c>
      <c r="H377" s="5">
        <v>7839</v>
      </c>
    </row>
    <row r="378" spans="2:8" ht="17.5" customHeight="1" x14ac:dyDescent="0.4">
      <c r="B378" s="3" t="s">
        <v>7</v>
      </c>
      <c r="C378" s="3" t="s">
        <v>151</v>
      </c>
      <c r="D378" s="4">
        <f>DATE(2007,7,24)</f>
        <v>39287</v>
      </c>
      <c r="E378" s="5">
        <f t="shared" si="5"/>
        <v>2007</v>
      </c>
      <c r="F378" s="3" t="s">
        <v>152</v>
      </c>
      <c r="G378" s="6">
        <v>1884.9</v>
      </c>
      <c r="H378" s="5">
        <v>8871</v>
      </c>
    </row>
    <row r="379" spans="2:8" ht="17.5" customHeight="1" x14ac:dyDescent="0.4">
      <c r="B379" t="s">
        <v>7</v>
      </c>
      <c r="C379" t="s">
        <v>153</v>
      </c>
      <c r="D379" s="7">
        <f>DATE(2016,10,12)</f>
        <v>42655</v>
      </c>
      <c r="E379" s="8">
        <f t="shared" si="5"/>
        <v>2016</v>
      </c>
      <c r="F379" t="s">
        <v>154</v>
      </c>
      <c r="G379" s="9">
        <v>8420.7900000000009</v>
      </c>
      <c r="H379" s="8">
        <v>23584</v>
      </c>
    </row>
    <row r="380" spans="2:8" ht="17.5" customHeight="1" x14ac:dyDescent="0.4">
      <c r="B380" t="s">
        <v>7</v>
      </c>
      <c r="C380" t="s">
        <v>153</v>
      </c>
      <c r="D380" s="7">
        <f>DATE(2017,8,16)</f>
        <v>42963</v>
      </c>
      <c r="E380" s="8">
        <f t="shared" si="5"/>
        <v>2017</v>
      </c>
      <c r="F380" t="s">
        <v>154</v>
      </c>
      <c r="G380" s="9">
        <v>8753.5300000000007</v>
      </c>
      <c r="H380" s="8">
        <v>25372</v>
      </c>
    </row>
    <row r="381" spans="2:8" ht="17.5" customHeight="1" x14ac:dyDescent="0.4">
      <c r="B381" t="s">
        <v>7</v>
      </c>
      <c r="C381" t="s">
        <v>153</v>
      </c>
      <c r="D381" s="7">
        <f>DATE(2017,11,16)</f>
        <v>43055</v>
      </c>
      <c r="E381" s="8">
        <f t="shared" si="5"/>
        <v>2017</v>
      </c>
      <c r="F381" t="s">
        <v>154</v>
      </c>
      <c r="G381" s="9">
        <v>10458.93</v>
      </c>
      <c r="H381" s="8">
        <v>25845</v>
      </c>
    </row>
    <row r="382" spans="2:8" ht="17.5" customHeight="1" x14ac:dyDescent="0.4">
      <c r="B382" t="s">
        <v>7</v>
      </c>
      <c r="C382" t="s">
        <v>153</v>
      </c>
      <c r="D382" s="7">
        <f>DATE(2018,2,8)</f>
        <v>43139</v>
      </c>
      <c r="E382" s="8">
        <f t="shared" si="5"/>
        <v>2018</v>
      </c>
      <c r="F382" t="s">
        <v>154</v>
      </c>
      <c r="G382" s="9">
        <v>8570.75</v>
      </c>
      <c r="H382" s="8">
        <v>26383</v>
      </c>
    </row>
    <row r="383" spans="2:8" ht="17.5" customHeight="1" x14ac:dyDescent="0.4">
      <c r="B383" t="s">
        <v>7</v>
      </c>
      <c r="C383" t="s">
        <v>153</v>
      </c>
      <c r="D383" s="7">
        <f>DATE(2003,10,1)</f>
        <v>37895</v>
      </c>
      <c r="E383" s="8">
        <f t="shared" si="5"/>
        <v>2003</v>
      </c>
      <c r="F383" t="s">
        <v>154</v>
      </c>
      <c r="G383" s="9">
        <v>315</v>
      </c>
      <c r="H383" s="8">
        <v>902</v>
      </c>
    </row>
    <row r="384" spans="2:8" ht="17.5" customHeight="1" x14ac:dyDescent="0.4">
      <c r="B384" t="s">
        <v>7</v>
      </c>
      <c r="C384" t="s">
        <v>153</v>
      </c>
      <c r="D384" s="7">
        <f>DATE(2003,10,31)</f>
        <v>37925</v>
      </c>
      <c r="E384" s="8">
        <f t="shared" si="5"/>
        <v>2003</v>
      </c>
      <c r="F384" t="s">
        <v>154</v>
      </c>
      <c r="G384" s="9">
        <v>110</v>
      </c>
      <c r="H384" s="8">
        <v>985</v>
      </c>
    </row>
    <row r="385" spans="2:8" ht="17.5" customHeight="1" x14ac:dyDescent="0.4">
      <c r="B385" t="s">
        <v>7</v>
      </c>
      <c r="C385" t="s">
        <v>153</v>
      </c>
      <c r="D385" s="7">
        <f>DATE(2004,8,11)</f>
        <v>38210</v>
      </c>
      <c r="E385" s="8">
        <f t="shared" si="5"/>
        <v>2004</v>
      </c>
      <c r="F385" t="s">
        <v>154</v>
      </c>
      <c r="G385" s="9">
        <v>50</v>
      </c>
      <c r="H385" s="8">
        <v>2052</v>
      </c>
    </row>
    <row r="386" spans="2:8" ht="17.5" customHeight="1" x14ac:dyDescent="0.4">
      <c r="B386" t="s">
        <v>7</v>
      </c>
      <c r="C386" t="s">
        <v>153</v>
      </c>
      <c r="D386" s="7">
        <f>DATE(2006,11,28)</f>
        <v>39049</v>
      </c>
      <c r="E386" s="8">
        <f t="shared" si="5"/>
        <v>2006</v>
      </c>
      <c r="F386" t="s">
        <v>154</v>
      </c>
      <c r="G386" s="9">
        <v>350</v>
      </c>
      <c r="H386" s="8">
        <v>5212</v>
      </c>
    </row>
    <row r="387" spans="2:8" ht="17.5" customHeight="1" x14ac:dyDescent="0.4">
      <c r="B387" t="s">
        <v>7</v>
      </c>
      <c r="C387" t="s">
        <v>153</v>
      </c>
      <c r="D387" s="7">
        <f>DATE(2009,9,9)</f>
        <v>40065</v>
      </c>
      <c r="E387" s="8">
        <f t="shared" ref="E387:E450" si="6">YEAR(D387)</f>
        <v>2009</v>
      </c>
      <c r="F387" t="s">
        <v>154</v>
      </c>
      <c r="G387" s="9">
        <v>1500</v>
      </c>
      <c r="H387" s="8">
        <v>9036</v>
      </c>
    </row>
    <row r="388" spans="2:8" ht="17.5" customHeight="1" x14ac:dyDescent="0.4">
      <c r="B388" t="s">
        <v>7</v>
      </c>
      <c r="C388" t="s">
        <v>153</v>
      </c>
      <c r="D388" s="7">
        <f>DATE(2010,10,27)</f>
        <v>40478</v>
      </c>
      <c r="E388" s="8">
        <f t="shared" si="6"/>
        <v>2010</v>
      </c>
      <c r="F388" t="s">
        <v>154</v>
      </c>
      <c r="G388" s="9">
        <v>1268.8599999999999</v>
      </c>
      <c r="H388" s="8">
        <v>10135</v>
      </c>
    </row>
    <row r="389" spans="2:8" ht="17.5" customHeight="1" x14ac:dyDescent="0.4">
      <c r="B389" t="s">
        <v>7</v>
      </c>
      <c r="C389" t="s">
        <v>153</v>
      </c>
      <c r="D389" s="7">
        <f>DATE(2011,12,21)</f>
        <v>40898</v>
      </c>
      <c r="E389" s="8">
        <f t="shared" si="6"/>
        <v>2011</v>
      </c>
      <c r="F389" t="s">
        <v>154</v>
      </c>
      <c r="G389" s="9">
        <v>550</v>
      </c>
      <c r="H389" s="8">
        <v>11211</v>
      </c>
    </row>
    <row r="390" spans="2:8" ht="17.5" customHeight="1" x14ac:dyDescent="0.4">
      <c r="B390" t="s">
        <v>7</v>
      </c>
      <c r="C390" t="s">
        <v>153</v>
      </c>
      <c r="D390" s="7">
        <f>DATE(2014,2,21)</f>
        <v>41691</v>
      </c>
      <c r="E390" s="8">
        <f t="shared" si="6"/>
        <v>2014</v>
      </c>
      <c r="F390" t="s">
        <v>154</v>
      </c>
      <c r="G390" s="9">
        <v>2100</v>
      </c>
      <c r="H390" s="8">
        <v>12973</v>
      </c>
    </row>
    <row r="391" spans="2:8" ht="17.5" customHeight="1" x14ac:dyDescent="0.4">
      <c r="B391" t="s">
        <v>7</v>
      </c>
      <c r="C391" t="s">
        <v>153</v>
      </c>
      <c r="D391" s="7">
        <f>DATE(2014,7,23)</f>
        <v>41843</v>
      </c>
      <c r="E391" s="8">
        <f t="shared" si="6"/>
        <v>2014</v>
      </c>
      <c r="F391" t="s">
        <v>154</v>
      </c>
      <c r="G391" s="9">
        <v>28000</v>
      </c>
      <c r="H391" s="8">
        <v>12875</v>
      </c>
    </row>
    <row r="392" spans="2:8" ht="17.5" customHeight="1" x14ac:dyDescent="0.4">
      <c r="B392" t="s">
        <v>7</v>
      </c>
      <c r="C392" t="s">
        <v>153</v>
      </c>
      <c r="D392" s="7">
        <f>DATE(2003,10,5)</f>
        <v>37899</v>
      </c>
      <c r="E392" s="8">
        <f t="shared" si="6"/>
        <v>2003</v>
      </c>
      <c r="F392" t="s">
        <v>154</v>
      </c>
      <c r="G392" s="9">
        <v>8375.98</v>
      </c>
      <c r="H392" s="8">
        <v>900</v>
      </c>
    </row>
    <row r="393" spans="2:8" ht="17.5" customHeight="1" x14ac:dyDescent="0.4">
      <c r="B393" t="s">
        <v>7</v>
      </c>
      <c r="C393" t="s">
        <v>153</v>
      </c>
      <c r="D393" s="7">
        <f>DATE(2004,8,14)</f>
        <v>38213</v>
      </c>
      <c r="E393" s="8">
        <f t="shared" si="6"/>
        <v>2004</v>
      </c>
      <c r="F393" t="s">
        <v>154</v>
      </c>
      <c r="G393" s="9">
        <v>5419.48</v>
      </c>
      <c r="H393" s="8">
        <v>2063</v>
      </c>
    </row>
    <row r="394" spans="2:8" ht="17.5" customHeight="1" x14ac:dyDescent="0.4">
      <c r="B394" t="s">
        <v>7</v>
      </c>
      <c r="C394" t="s">
        <v>153</v>
      </c>
      <c r="D394" s="7">
        <f>DATE(2005,1,9)</f>
        <v>38361</v>
      </c>
      <c r="E394" s="8">
        <f t="shared" si="6"/>
        <v>2005</v>
      </c>
      <c r="F394" t="s">
        <v>154</v>
      </c>
      <c r="G394" s="9">
        <v>8522.56</v>
      </c>
      <c r="H394" s="8">
        <v>2530</v>
      </c>
    </row>
    <row r="395" spans="2:8" ht="17.5" customHeight="1" x14ac:dyDescent="0.4">
      <c r="B395" t="s">
        <v>7</v>
      </c>
      <c r="C395" t="s">
        <v>153</v>
      </c>
      <c r="D395" s="7">
        <f>DATE(2007,10,20)</f>
        <v>39375</v>
      </c>
      <c r="E395" s="8">
        <f t="shared" si="6"/>
        <v>2007</v>
      </c>
      <c r="F395" t="s">
        <v>154</v>
      </c>
      <c r="G395" s="9">
        <v>6383.76</v>
      </c>
      <c r="H395" s="8">
        <v>6428</v>
      </c>
    </row>
    <row r="396" spans="2:8" ht="17.5" customHeight="1" x14ac:dyDescent="0.4">
      <c r="B396" t="s">
        <v>7</v>
      </c>
      <c r="C396" t="s">
        <v>153</v>
      </c>
      <c r="D396" s="7">
        <f>DATE(2008,4,6)</f>
        <v>39544</v>
      </c>
      <c r="E396" s="8">
        <f t="shared" si="6"/>
        <v>2008</v>
      </c>
      <c r="F396" t="s">
        <v>154</v>
      </c>
      <c r="G396" s="9">
        <v>5888.96</v>
      </c>
      <c r="H396" s="8">
        <v>7284</v>
      </c>
    </row>
    <row r="397" spans="2:8" ht="17.5" customHeight="1" x14ac:dyDescent="0.4">
      <c r="B397" t="s">
        <v>7</v>
      </c>
      <c r="C397" t="s">
        <v>153</v>
      </c>
      <c r="D397" s="7">
        <f>DATE(2008,12,19)</f>
        <v>39801</v>
      </c>
      <c r="E397" s="8">
        <f t="shared" si="6"/>
        <v>2008</v>
      </c>
      <c r="F397" t="s">
        <v>154</v>
      </c>
      <c r="G397" s="9">
        <v>4813.4399999999996</v>
      </c>
      <c r="H397" s="8">
        <v>8126</v>
      </c>
    </row>
    <row r="398" spans="2:8" ht="17.5" customHeight="1" x14ac:dyDescent="0.4">
      <c r="B398" t="s">
        <v>7</v>
      </c>
      <c r="C398" t="s">
        <v>153</v>
      </c>
      <c r="D398" s="7">
        <f>DATE(2011,1,27)</f>
        <v>40570</v>
      </c>
      <c r="E398" s="8">
        <f t="shared" si="6"/>
        <v>2011</v>
      </c>
      <c r="F398" t="s">
        <v>154</v>
      </c>
      <c r="G398" s="9">
        <v>22429.360000000001</v>
      </c>
      <c r="H398" s="8">
        <v>10386</v>
      </c>
    </row>
    <row r="399" spans="2:8" ht="17.5" customHeight="1" x14ac:dyDescent="0.4">
      <c r="B399" t="s">
        <v>7</v>
      </c>
      <c r="C399" t="s">
        <v>153</v>
      </c>
      <c r="D399" s="7">
        <f>DATE(2011,7,29)</f>
        <v>40753</v>
      </c>
      <c r="E399" s="8">
        <f t="shared" si="6"/>
        <v>2011</v>
      </c>
      <c r="F399" t="s">
        <v>154</v>
      </c>
      <c r="G399" s="9">
        <v>10967.21</v>
      </c>
      <c r="H399" s="8">
        <v>10895</v>
      </c>
    </row>
    <row r="400" spans="2:8" ht="17.5" customHeight="1" x14ac:dyDescent="0.4">
      <c r="B400" t="s">
        <v>7</v>
      </c>
      <c r="C400" t="s">
        <v>153</v>
      </c>
      <c r="D400" s="7">
        <f>DATE(2011,11,22)</f>
        <v>40869</v>
      </c>
      <c r="E400" s="8">
        <f t="shared" si="6"/>
        <v>2011</v>
      </c>
      <c r="F400" t="s">
        <v>154</v>
      </c>
      <c r="G400" s="9">
        <v>12346.09</v>
      </c>
      <c r="H400" s="8">
        <v>11136</v>
      </c>
    </row>
    <row r="401" spans="2:8" ht="17.5" customHeight="1" x14ac:dyDescent="0.4">
      <c r="B401" t="s">
        <v>7</v>
      </c>
      <c r="C401" t="s">
        <v>155</v>
      </c>
      <c r="D401" s="7">
        <f>DATE(2015,3,3)</f>
        <v>42066</v>
      </c>
      <c r="E401" s="8">
        <f t="shared" si="6"/>
        <v>2015</v>
      </c>
      <c r="F401" t="s">
        <v>156</v>
      </c>
      <c r="G401" s="9">
        <v>17190.05</v>
      </c>
      <c r="H401" s="8">
        <v>172</v>
      </c>
    </row>
    <row r="402" spans="2:8" ht="17.5" customHeight="1" x14ac:dyDescent="0.4">
      <c r="B402" t="s">
        <v>7</v>
      </c>
      <c r="C402" t="s">
        <v>155</v>
      </c>
      <c r="D402" s="7">
        <f>DATE(2016,2,24)</f>
        <v>42424</v>
      </c>
      <c r="E402" s="8">
        <f t="shared" si="6"/>
        <v>2016</v>
      </c>
      <c r="F402" t="s">
        <v>156</v>
      </c>
      <c r="G402" s="9">
        <v>16409.849999999999</v>
      </c>
      <c r="H402" s="8">
        <v>22213</v>
      </c>
    </row>
    <row r="403" spans="2:8" ht="17.5" customHeight="1" x14ac:dyDescent="0.4">
      <c r="B403" t="s">
        <v>7</v>
      </c>
      <c r="C403" t="s">
        <v>155</v>
      </c>
      <c r="D403" s="7">
        <f>DATE(2016,4,26)</f>
        <v>42486</v>
      </c>
      <c r="E403" s="8">
        <f t="shared" si="6"/>
        <v>2016</v>
      </c>
      <c r="F403" t="s">
        <v>156</v>
      </c>
      <c r="G403" s="9">
        <v>112.7</v>
      </c>
      <c r="H403" s="8">
        <v>22731</v>
      </c>
    </row>
    <row r="404" spans="2:8" ht="17.5" customHeight="1" x14ac:dyDescent="0.4">
      <c r="B404" t="s">
        <v>7</v>
      </c>
      <c r="C404" t="s">
        <v>155</v>
      </c>
      <c r="D404" s="7">
        <f>DATE(2017,2,9)</f>
        <v>42775</v>
      </c>
      <c r="E404" s="8">
        <f t="shared" si="6"/>
        <v>2017</v>
      </c>
      <c r="F404" t="s">
        <v>156</v>
      </c>
      <c r="G404" s="9">
        <v>15328.85</v>
      </c>
      <c r="H404" s="8">
        <v>24173</v>
      </c>
    </row>
    <row r="405" spans="2:8" ht="17.5" customHeight="1" x14ac:dyDescent="0.4">
      <c r="B405" t="s">
        <v>7</v>
      </c>
      <c r="C405" t="s">
        <v>155</v>
      </c>
      <c r="D405" s="7">
        <f>DATE(2017,5,4)</f>
        <v>42859</v>
      </c>
      <c r="E405" s="8">
        <f t="shared" si="6"/>
        <v>2017</v>
      </c>
      <c r="F405" t="s">
        <v>156</v>
      </c>
      <c r="G405" s="9">
        <v>1135.06</v>
      </c>
      <c r="H405" s="8">
        <v>24800</v>
      </c>
    </row>
    <row r="406" spans="2:8" ht="17.5" customHeight="1" x14ac:dyDescent="0.4">
      <c r="B406" t="s">
        <v>7</v>
      </c>
      <c r="C406" t="s">
        <v>155</v>
      </c>
      <c r="D406" s="7">
        <f>DATE(2017,5,16)</f>
        <v>42871</v>
      </c>
      <c r="E406" s="8">
        <f t="shared" si="6"/>
        <v>2017</v>
      </c>
      <c r="F406" t="s">
        <v>156</v>
      </c>
      <c r="G406" s="9">
        <v>317.33999999999997</v>
      </c>
      <c r="H406" s="8">
        <v>24921</v>
      </c>
    </row>
    <row r="407" spans="2:8" ht="17.5" customHeight="1" x14ac:dyDescent="0.4">
      <c r="B407" t="s">
        <v>7</v>
      </c>
      <c r="C407" t="s">
        <v>155</v>
      </c>
      <c r="D407" s="7">
        <f>DATE(2018,2,16)</f>
        <v>43147</v>
      </c>
      <c r="E407" s="8">
        <f t="shared" si="6"/>
        <v>2018</v>
      </c>
      <c r="F407" t="s">
        <v>156</v>
      </c>
      <c r="G407" s="9">
        <v>16626.28</v>
      </c>
      <c r="H407" s="8">
        <v>26197</v>
      </c>
    </row>
    <row r="408" spans="2:8" ht="17.5" customHeight="1" x14ac:dyDescent="0.4">
      <c r="B408" t="s">
        <v>7</v>
      </c>
      <c r="C408" t="s">
        <v>155</v>
      </c>
      <c r="D408" s="7">
        <f>DATE(2018,5,23)</f>
        <v>43243</v>
      </c>
      <c r="E408" s="8">
        <f t="shared" si="6"/>
        <v>2018</v>
      </c>
      <c r="F408" t="s">
        <v>156</v>
      </c>
      <c r="G408" s="9">
        <v>2603.92</v>
      </c>
      <c r="H408" s="8">
        <v>27056</v>
      </c>
    </row>
    <row r="409" spans="2:8" ht="17.5" customHeight="1" x14ac:dyDescent="0.4">
      <c r="B409" t="s">
        <v>7</v>
      </c>
      <c r="C409" t="s">
        <v>155</v>
      </c>
      <c r="D409" s="7">
        <f>DATE(2018,9,13)</f>
        <v>43356</v>
      </c>
      <c r="E409" s="8">
        <f t="shared" si="6"/>
        <v>2018</v>
      </c>
      <c r="F409" t="s">
        <v>156</v>
      </c>
      <c r="G409" s="9">
        <v>1198.3800000000001</v>
      </c>
      <c r="H409" s="8">
        <v>27597</v>
      </c>
    </row>
    <row r="410" spans="2:8" ht="17.5" customHeight="1" x14ac:dyDescent="0.4">
      <c r="B410" t="s">
        <v>7</v>
      </c>
      <c r="C410" t="s">
        <v>155</v>
      </c>
      <c r="D410" s="7">
        <f>DATE(2019,3,18)</f>
        <v>43542</v>
      </c>
      <c r="E410" s="8">
        <f t="shared" si="6"/>
        <v>2019</v>
      </c>
      <c r="F410" t="s">
        <v>156</v>
      </c>
      <c r="G410" s="9">
        <v>15329.14</v>
      </c>
      <c r="H410" s="8">
        <v>28503</v>
      </c>
    </row>
    <row r="411" spans="2:8" ht="17.5" customHeight="1" x14ac:dyDescent="0.4">
      <c r="B411" t="s">
        <v>16</v>
      </c>
      <c r="C411" t="s">
        <v>155</v>
      </c>
      <c r="D411" s="7">
        <f>DATE(2016,5,31)</f>
        <v>42521</v>
      </c>
      <c r="E411" s="8">
        <f t="shared" si="6"/>
        <v>2016</v>
      </c>
      <c r="F411" t="s">
        <v>156</v>
      </c>
      <c r="G411" s="9">
        <v>1091.44</v>
      </c>
      <c r="H411" s="8">
        <v>22956</v>
      </c>
    </row>
    <row r="412" spans="2:8" ht="17.5" customHeight="1" x14ac:dyDescent="0.4">
      <c r="B412" s="3" t="s">
        <v>7</v>
      </c>
      <c r="C412" s="3" t="s">
        <v>155</v>
      </c>
      <c r="D412" s="4">
        <f>DATE(2006,2,17)</f>
        <v>38765</v>
      </c>
      <c r="E412" s="5">
        <f t="shared" si="6"/>
        <v>2006</v>
      </c>
      <c r="F412" s="3" t="s">
        <v>156</v>
      </c>
      <c r="G412" s="6">
        <v>16889.7</v>
      </c>
      <c r="H412" s="5">
        <v>6019</v>
      </c>
    </row>
    <row r="413" spans="2:8" ht="17.5" customHeight="1" x14ac:dyDescent="0.4">
      <c r="B413" s="3" t="s">
        <v>7</v>
      </c>
      <c r="C413" s="3" t="s">
        <v>155</v>
      </c>
      <c r="D413" s="4">
        <f>DATE(2006,2,17)</f>
        <v>38765</v>
      </c>
      <c r="E413" s="5">
        <f t="shared" si="6"/>
        <v>2006</v>
      </c>
      <c r="F413" s="3" t="s">
        <v>156</v>
      </c>
      <c r="G413" s="6">
        <v>5.98</v>
      </c>
      <c r="H413" s="5">
        <v>6573</v>
      </c>
    </row>
    <row r="414" spans="2:8" ht="17.5" customHeight="1" x14ac:dyDescent="0.4">
      <c r="B414" s="3" t="s">
        <v>7</v>
      </c>
      <c r="C414" s="3" t="s">
        <v>155</v>
      </c>
      <c r="D414" s="4">
        <f>DATE(2008,2,27)</f>
        <v>39505</v>
      </c>
      <c r="E414" s="5">
        <f t="shared" si="6"/>
        <v>2008</v>
      </c>
      <c r="F414" s="3" t="s">
        <v>156</v>
      </c>
      <c r="G414" s="6">
        <v>16277.27</v>
      </c>
      <c r="H414" s="5">
        <v>10072</v>
      </c>
    </row>
    <row r="415" spans="2:8" ht="17.5" customHeight="1" x14ac:dyDescent="0.4">
      <c r="B415" s="3" t="s">
        <v>7</v>
      </c>
      <c r="C415" s="3" t="s">
        <v>155</v>
      </c>
      <c r="D415" s="4">
        <f>DATE(2009,1,21)</f>
        <v>39834</v>
      </c>
      <c r="E415" s="5">
        <f t="shared" si="6"/>
        <v>2009</v>
      </c>
      <c r="F415" s="3" t="s">
        <v>156</v>
      </c>
      <c r="G415" s="6">
        <v>16313.86</v>
      </c>
      <c r="H415" s="5">
        <v>11820</v>
      </c>
    </row>
    <row r="416" spans="2:8" ht="17.5" customHeight="1" x14ac:dyDescent="0.4">
      <c r="B416" s="3" t="s">
        <v>7</v>
      </c>
      <c r="C416" s="3" t="s">
        <v>155</v>
      </c>
      <c r="D416" s="4">
        <f>DATE(2009,6,3)</f>
        <v>39967</v>
      </c>
      <c r="E416" s="5">
        <f t="shared" si="6"/>
        <v>2009</v>
      </c>
      <c r="F416" s="3" t="s">
        <v>156</v>
      </c>
      <c r="G416" s="6">
        <v>148.12</v>
      </c>
      <c r="H416" s="5">
        <v>12626</v>
      </c>
    </row>
    <row r="417" spans="2:8" ht="17.5" customHeight="1" x14ac:dyDescent="0.4">
      <c r="B417" s="3" t="s">
        <v>7</v>
      </c>
      <c r="C417" s="3" t="s">
        <v>155</v>
      </c>
      <c r="D417" s="4">
        <f>DATE(2010,2,11)</f>
        <v>40220</v>
      </c>
      <c r="E417" s="5">
        <f t="shared" si="6"/>
        <v>2010</v>
      </c>
      <c r="F417" s="3" t="s">
        <v>156</v>
      </c>
      <c r="G417" s="6">
        <v>16381.75</v>
      </c>
      <c r="H417" s="5">
        <v>13484</v>
      </c>
    </row>
    <row r="418" spans="2:8" ht="17.5" customHeight="1" x14ac:dyDescent="0.4">
      <c r="B418" s="3" t="s">
        <v>7</v>
      </c>
      <c r="C418" s="3" t="s">
        <v>155</v>
      </c>
      <c r="D418" s="4">
        <f>DATE(2010,4,15)</f>
        <v>40283</v>
      </c>
      <c r="E418" s="5">
        <f t="shared" si="6"/>
        <v>2010</v>
      </c>
      <c r="F418" s="3" t="s">
        <v>156</v>
      </c>
      <c r="G418" s="6">
        <v>143.04</v>
      </c>
      <c r="H418" s="5">
        <v>13891</v>
      </c>
    </row>
    <row r="419" spans="2:8" ht="17.5" customHeight="1" x14ac:dyDescent="0.4">
      <c r="B419" s="3" t="s">
        <v>7</v>
      </c>
      <c r="C419" s="3" t="s">
        <v>155</v>
      </c>
      <c r="D419" s="4">
        <f>DATE(2011,2,11)</f>
        <v>40585</v>
      </c>
      <c r="E419" s="5">
        <f t="shared" si="6"/>
        <v>2011</v>
      </c>
      <c r="F419" s="3" t="s">
        <v>156</v>
      </c>
      <c r="G419" s="6">
        <v>16380.21</v>
      </c>
      <c r="H419" s="5">
        <v>15002</v>
      </c>
    </row>
    <row r="420" spans="2:8" ht="17.5" customHeight="1" x14ac:dyDescent="0.4">
      <c r="B420" s="3" t="s">
        <v>7</v>
      </c>
      <c r="C420" s="3" t="s">
        <v>155</v>
      </c>
      <c r="D420" s="4">
        <f>DATE(2012,3,26)</f>
        <v>40994</v>
      </c>
      <c r="E420" s="5">
        <f t="shared" si="6"/>
        <v>2012</v>
      </c>
      <c r="F420" s="3" t="s">
        <v>156</v>
      </c>
      <c r="G420" s="6">
        <v>16394.759999999998</v>
      </c>
      <c r="H420" s="5">
        <v>16441</v>
      </c>
    </row>
    <row r="421" spans="2:8" ht="17.5" customHeight="1" x14ac:dyDescent="0.4">
      <c r="B421" s="3" t="s">
        <v>7</v>
      </c>
      <c r="C421" s="3" t="s">
        <v>155</v>
      </c>
      <c r="D421" s="4">
        <f>DATE(2013,1,30)</f>
        <v>41304</v>
      </c>
      <c r="E421" s="5">
        <f t="shared" si="6"/>
        <v>2013</v>
      </c>
      <c r="F421" s="3" t="s">
        <v>156</v>
      </c>
      <c r="G421" s="6">
        <v>16392.96</v>
      </c>
      <c r="H421" s="5">
        <v>18027</v>
      </c>
    </row>
    <row r="422" spans="2:8" ht="17.5" customHeight="1" x14ac:dyDescent="0.4">
      <c r="B422" s="3" t="s">
        <v>7</v>
      </c>
      <c r="C422" s="3" t="s">
        <v>155</v>
      </c>
      <c r="D422" s="4">
        <f>DATE(2013,4,29)</f>
        <v>41393</v>
      </c>
      <c r="E422" s="5">
        <f t="shared" si="6"/>
        <v>2013</v>
      </c>
      <c r="F422" s="3" t="s">
        <v>156</v>
      </c>
      <c r="G422" s="6">
        <v>653.92999999999995</v>
      </c>
      <c r="H422" s="5">
        <v>18500</v>
      </c>
    </row>
    <row r="423" spans="2:8" ht="17.5" customHeight="1" x14ac:dyDescent="0.4">
      <c r="B423" s="3" t="s">
        <v>7</v>
      </c>
      <c r="C423" s="3" t="s">
        <v>155</v>
      </c>
      <c r="D423" s="4">
        <f>DATE(2014,2,6)</f>
        <v>41676</v>
      </c>
      <c r="E423" s="5">
        <f t="shared" si="6"/>
        <v>2014</v>
      </c>
      <c r="F423" s="3" t="s">
        <v>156</v>
      </c>
      <c r="G423" s="6">
        <v>16398.27</v>
      </c>
      <c r="H423" s="5">
        <v>19478</v>
      </c>
    </row>
    <row r="424" spans="2:8" ht="17.5" customHeight="1" x14ac:dyDescent="0.4">
      <c r="B424" s="3" t="s">
        <v>7</v>
      </c>
      <c r="C424" s="3" t="s">
        <v>155</v>
      </c>
      <c r="D424" s="4">
        <f>DATE(2014,4,22)</f>
        <v>41751</v>
      </c>
      <c r="E424" s="5">
        <f t="shared" si="6"/>
        <v>2014</v>
      </c>
      <c r="F424" s="3" t="s">
        <v>156</v>
      </c>
      <c r="G424" s="6">
        <v>228.47</v>
      </c>
      <c r="H424" s="5">
        <v>19838</v>
      </c>
    </row>
    <row r="425" spans="2:8" ht="17.5" customHeight="1" x14ac:dyDescent="0.4">
      <c r="B425" s="3" t="s">
        <v>16</v>
      </c>
      <c r="C425" s="3" t="s">
        <v>155</v>
      </c>
      <c r="D425" s="4">
        <f>DATE(2006,11,17)</f>
        <v>39038</v>
      </c>
      <c r="E425" s="5">
        <f t="shared" si="6"/>
        <v>2006</v>
      </c>
      <c r="F425" s="3" t="s">
        <v>156</v>
      </c>
      <c r="G425" s="6">
        <v>5.98</v>
      </c>
      <c r="H425" s="5">
        <v>7561</v>
      </c>
    </row>
    <row r="426" spans="2:8" ht="17.5" customHeight="1" x14ac:dyDescent="0.4">
      <c r="B426" s="3" t="s">
        <v>7</v>
      </c>
      <c r="C426" s="3" t="s">
        <v>155</v>
      </c>
      <c r="D426" s="4">
        <f>DATE(2003,1,14)</f>
        <v>37635</v>
      </c>
      <c r="E426" s="5">
        <f t="shared" si="6"/>
        <v>2003</v>
      </c>
      <c r="F426" s="3" t="s">
        <v>157</v>
      </c>
      <c r="G426" s="6">
        <v>7352.5</v>
      </c>
      <c r="H426" s="5">
        <v>71</v>
      </c>
    </row>
    <row r="427" spans="2:8" ht="17.5" customHeight="1" x14ac:dyDescent="0.4">
      <c r="B427" s="3" t="s">
        <v>7</v>
      </c>
      <c r="C427" s="3" t="s">
        <v>155</v>
      </c>
      <c r="D427" s="4">
        <f>DATE(2003,4,23)</f>
        <v>37734</v>
      </c>
      <c r="E427" s="5">
        <f t="shared" si="6"/>
        <v>2003</v>
      </c>
      <c r="F427" s="3" t="s">
        <v>157</v>
      </c>
      <c r="G427" s="6">
        <v>550.75</v>
      </c>
      <c r="H427" s="5">
        <v>814</v>
      </c>
    </row>
    <row r="428" spans="2:8" ht="17.5" customHeight="1" x14ac:dyDescent="0.4">
      <c r="B428" s="3" t="s">
        <v>7</v>
      </c>
      <c r="C428" s="3" t="s">
        <v>155</v>
      </c>
      <c r="D428" s="4">
        <f>DATE(2003,5,9)</f>
        <v>37750</v>
      </c>
      <c r="E428" s="5">
        <f t="shared" si="6"/>
        <v>2003</v>
      </c>
      <c r="F428" s="3" t="s">
        <v>157</v>
      </c>
      <c r="G428" s="6">
        <v>311.8</v>
      </c>
      <c r="H428" s="5">
        <v>911</v>
      </c>
    </row>
    <row r="429" spans="2:8" ht="17.5" customHeight="1" x14ac:dyDescent="0.4">
      <c r="B429" s="3" t="s">
        <v>7</v>
      </c>
      <c r="C429" s="3" t="s">
        <v>155</v>
      </c>
      <c r="D429" s="4">
        <f>DATE(2004,3,8)</f>
        <v>38054</v>
      </c>
      <c r="E429" s="5">
        <f t="shared" si="6"/>
        <v>2004</v>
      </c>
      <c r="F429" s="3" t="s">
        <v>157</v>
      </c>
      <c r="G429" s="6">
        <v>14564.59</v>
      </c>
      <c r="H429" s="5">
        <v>2341</v>
      </c>
    </row>
    <row r="430" spans="2:8" ht="17.5" customHeight="1" x14ac:dyDescent="0.4">
      <c r="B430" t="s">
        <v>7</v>
      </c>
      <c r="C430" t="s">
        <v>158</v>
      </c>
      <c r="D430" s="7">
        <f>DATE(2014,1,30)</f>
        <v>41669</v>
      </c>
      <c r="E430" s="8">
        <f t="shared" si="6"/>
        <v>2014</v>
      </c>
      <c r="F430" t="s">
        <v>159</v>
      </c>
      <c r="G430" s="9">
        <v>7625.01</v>
      </c>
      <c r="H430" s="8">
        <v>12902</v>
      </c>
    </row>
    <row r="431" spans="2:8" ht="17.5" customHeight="1" x14ac:dyDescent="0.4">
      <c r="B431" t="s">
        <v>7</v>
      </c>
      <c r="C431" t="s">
        <v>160</v>
      </c>
      <c r="D431" s="7">
        <f>DATE(2018,3,2)</f>
        <v>43161</v>
      </c>
      <c r="E431" s="8">
        <f t="shared" si="6"/>
        <v>2018</v>
      </c>
      <c r="F431" t="s">
        <v>161</v>
      </c>
      <c r="G431" s="9">
        <v>475</v>
      </c>
      <c r="H431" s="8">
        <v>26586</v>
      </c>
    </row>
    <row r="432" spans="2:8" ht="17.5" customHeight="1" x14ac:dyDescent="0.4">
      <c r="B432" s="3" t="s">
        <v>7</v>
      </c>
      <c r="C432" s="3" t="s">
        <v>160</v>
      </c>
      <c r="D432" s="4">
        <f>DATE(2003,1,23)</f>
        <v>37644</v>
      </c>
      <c r="E432" s="5">
        <f t="shared" si="6"/>
        <v>2003</v>
      </c>
      <c r="F432" s="3" t="s">
        <v>161</v>
      </c>
      <c r="G432" s="6">
        <v>4650</v>
      </c>
      <c r="H432" s="5">
        <v>125</v>
      </c>
    </row>
    <row r="433" spans="2:8" ht="17.5" customHeight="1" x14ac:dyDescent="0.4">
      <c r="B433" s="3" t="s">
        <v>7</v>
      </c>
      <c r="C433" s="3" t="s">
        <v>160</v>
      </c>
      <c r="D433" s="4">
        <f>DATE(2003,1,22)</f>
        <v>37643</v>
      </c>
      <c r="E433" s="5">
        <f t="shared" si="6"/>
        <v>2003</v>
      </c>
      <c r="F433" s="3" t="s">
        <v>161</v>
      </c>
      <c r="G433" s="6">
        <v>3750</v>
      </c>
      <c r="H433" s="5">
        <v>428</v>
      </c>
    </row>
    <row r="434" spans="2:8" ht="17.5" customHeight="1" x14ac:dyDescent="0.4">
      <c r="B434" s="3" t="s">
        <v>7</v>
      </c>
      <c r="C434" s="3" t="s">
        <v>160</v>
      </c>
      <c r="D434" s="4">
        <f>DATE(2006,5,31)</f>
        <v>38868</v>
      </c>
      <c r="E434" s="5">
        <f t="shared" si="6"/>
        <v>2006</v>
      </c>
      <c r="F434" s="3" t="s">
        <v>161</v>
      </c>
      <c r="G434" s="6">
        <v>91.2</v>
      </c>
      <c r="H434" s="5">
        <v>6792</v>
      </c>
    </row>
    <row r="435" spans="2:8" ht="17.5" customHeight="1" x14ac:dyDescent="0.4">
      <c r="B435" s="3" t="s">
        <v>7</v>
      </c>
      <c r="C435" s="3" t="s">
        <v>160</v>
      </c>
      <c r="D435" s="4">
        <f>DATE(2006,8,17)</f>
        <v>38946</v>
      </c>
      <c r="E435" s="5">
        <f t="shared" si="6"/>
        <v>2006</v>
      </c>
      <c r="F435" s="3" t="s">
        <v>161</v>
      </c>
      <c r="G435" s="6">
        <v>336</v>
      </c>
      <c r="H435" s="5">
        <v>7118</v>
      </c>
    </row>
    <row r="436" spans="2:8" ht="17.5" customHeight="1" x14ac:dyDescent="0.4">
      <c r="B436" s="3" t="s">
        <v>7</v>
      </c>
      <c r="C436" s="3" t="s">
        <v>160</v>
      </c>
      <c r="D436" s="4">
        <f>DATE(2007,2,20)</f>
        <v>39133</v>
      </c>
      <c r="E436" s="5">
        <f t="shared" si="6"/>
        <v>2007</v>
      </c>
      <c r="F436" s="3" t="s">
        <v>161</v>
      </c>
      <c r="G436" s="6">
        <v>11723</v>
      </c>
      <c r="H436" s="5">
        <v>7978</v>
      </c>
    </row>
    <row r="437" spans="2:8" ht="17.5" customHeight="1" x14ac:dyDescent="0.4">
      <c r="B437" s="3" t="s">
        <v>7</v>
      </c>
      <c r="C437" s="3" t="s">
        <v>160</v>
      </c>
      <c r="D437" s="4">
        <f>DATE(2007,12,7)</f>
        <v>39423</v>
      </c>
      <c r="E437" s="5">
        <f t="shared" si="6"/>
        <v>2007</v>
      </c>
      <c r="F437" s="3" t="s">
        <v>161</v>
      </c>
      <c r="G437" s="6">
        <v>261.5</v>
      </c>
      <c r="H437" s="5">
        <v>9578</v>
      </c>
    </row>
    <row r="438" spans="2:8" ht="17.5" customHeight="1" x14ac:dyDescent="0.4">
      <c r="B438" s="3" t="s">
        <v>7</v>
      </c>
      <c r="C438" s="3" t="s">
        <v>160</v>
      </c>
      <c r="D438" s="4">
        <f>DATE(2008,2,21)</f>
        <v>39499</v>
      </c>
      <c r="E438" s="5">
        <f t="shared" si="6"/>
        <v>2008</v>
      </c>
      <c r="F438" s="3" t="s">
        <v>161</v>
      </c>
      <c r="G438" s="6">
        <v>923</v>
      </c>
      <c r="H438" s="5">
        <v>10011</v>
      </c>
    </row>
    <row r="439" spans="2:8" ht="17.5" customHeight="1" x14ac:dyDescent="0.4">
      <c r="B439" s="3" t="s">
        <v>7</v>
      </c>
      <c r="C439" s="3" t="s">
        <v>160</v>
      </c>
      <c r="D439" s="4">
        <f>DATE(2009,1,14)</f>
        <v>39827</v>
      </c>
      <c r="E439" s="5">
        <f t="shared" si="6"/>
        <v>2009</v>
      </c>
      <c r="F439" s="3" t="s">
        <v>161</v>
      </c>
      <c r="G439" s="6">
        <v>1323</v>
      </c>
      <c r="H439" s="5">
        <v>11823</v>
      </c>
    </row>
    <row r="440" spans="2:8" ht="17.5" customHeight="1" x14ac:dyDescent="0.4">
      <c r="B440" s="3" t="s">
        <v>7</v>
      </c>
      <c r="C440" s="3" t="s">
        <v>160</v>
      </c>
      <c r="D440" s="4">
        <f>DATE(2009,4,9)</f>
        <v>39912</v>
      </c>
      <c r="E440" s="5">
        <f t="shared" si="6"/>
        <v>2009</v>
      </c>
      <c r="F440" s="3" t="s">
        <v>161</v>
      </c>
      <c r="G440" s="6">
        <v>1099</v>
      </c>
      <c r="H440" s="5">
        <v>12321</v>
      </c>
    </row>
    <row r="441" spans="2:8" ht="17.5" customHeight="1" x14ac:dyDescent="0.4">
      <c r="B441" s="3" t="s">
        <v>7</v>
      </c>
      <c r="C441" s="3" t="s">
        <v>160</v>
      </c>
      <c r="D441" s="4">
        <f>DATE(2009,5,19)</f>
        <v>39952</v>
      </c>
      <c r="E441" s="5">
        <f t="shared" si="6"/>
        <v>2009</v>
      </c>
      <c r="F441" s="3" t="s">
        <v>161</v>
      </c>
      <c r="G441" s="6">
        <v>421.5</v>
      </c>
      <c r="H441" s="5">
        <v>12569</v>
      </c>
    </row>
    <row r="442" spans="2:8" ht="17.5" customHeight="1" x14ac:dyDescent="0.4">
      <c r="B442" s="3" t="s">
        <v>7</v>
      </c>
      <c r="C442" s="3" t="s">
        <v>160</v>
      </c>
      <c r="D442" s="4">
        <f>DATE(2010,4,30)</f>
        <v>40298</v>
      </c>
      <c r="E442" s="5">
        <f t="shared" si="6"/>
        <v>2010</v>
      </c>
      <c r="F442" s="3" t="s">
        <v>161</v>
      </c>
      <c r="G442" s="6">
        <v>264.60000000000002</v>
      </c>
      <c r="H442" s="5">
        <v>13984</v>
      </c>
    </row>
    <row r="443" spans="2:8" ht="17.5" customHeight="1" x14ac:dyDescent="0.4">
      <c r="B443" s="3" t="s">
        <v>7</v>
      </c>
      <c r="C443" s="3" t="s">
        <v>160</v>
      </c>
      <c r="D443" s="4">
        <f>DATE(2010,5,28)</f>
        <v>40326</v>
      </c>
      <c r="E443" s="5">
        <f t="shared" si="6"/>
        <v>2010</v>
      </c>
      <c r="F443" s="3" t="s">
        <v>161</v>
      </c>
      <c r="G443" s="6">
        <v>15033</v>
      </c>
      <c r="H443" s="5">
        <v>14121</v>
      </c>
    </row>
    <row r="444" spans="2:8" ht="17.5" customHeight="1" x14ac:dyDescent="0.4">
      <c r="B444" s="3" t="s">
        <v>7</v>
      </c>
      <c r="C444" s="3" t="s">
        <v>160</v>
      </c>
      <c r="D444" s="4">
        <f>DATE(2010,9,27)</f>
        <v>40448</v>
      </c>
      <c r="E444" s="5">
        <f t="shared" si="6"/>
        <v>2010</v>
      </c>
      <c r="F444" s="3" t="s">
        <v>161</v>
      </c>
      <c r="G444" s="6">
        <v>352.8</v>
      </c>
      <c r="H444" s="5">
        <v>14530</v>
      </c>
    </row>
    <row r="445" spans="2:8" ht="17.5" customHeight="1" x14ac:dyDescent="0.4">
      <c r="B445" s="3" t="s">
        <v>7</v>
      </c>
      <c r="C445" s="3" t="s">
        <v>160</v>
      </c>
      <c r="D445" s="4">
        <f>DATE(2011,9,8)</f>
        <v>40794</v>
      </c>
      <c r="E445" s="5">
        <f t="shared" si="6"/>
        <v>2011</v>
      </c>
      <c r="F445" s="3" t="s">
        <v>161</v>
      </c>
      <c r="G445" s="6">
        <v>441</v>
      </c>
      <c r="H445" s="5">
        <v>15945</v>
      </c>
    </row>
    <row r="446" spans="2:8" ht="17.5" customHeight="1" x14ac:dyDescent="0.4">
      <c r="B446" s="3" t="s">
        <v>7</v>
      </c>
      <c r="C446" s="3" t="s">
        <v>160</v>
      </c>
      <c r="D446" s="4">
        <f>DATE(2012,5,14)</f>
        <v>41043</v>
      </c>
      <c r="E446" s="5">
        <f t="shared" si="6"/>
        <v>2012</v>
      </c>
      <c r="F446" s="3" t="s">
        <v>161</v>
      </c>
      <c r="G446" s="6">
        <v>14531.6</v>
      </c>
      <c r="H446" s="5">
        <v>17119</v>
      </c>
    </row>
    <row r="447" spans="2:8" ht="17.5" customHeight="1" x14ac:dyDescent="0.4">
      <c r="B447" s="3" t="s">
        <v>7</v>
      </c>
      <c r="C447" s="3" t="s">
        <v>160</v>
      </c>
      <c r="D447" s="4">
        <f>DATE(2012,9,5)</f>
        <v>41157</v>
      </c>
      <c r="E447" s="5">
        <f t="shared" si="6"/>
        <v>2012</v>
      </c>
      <c r="F447" s="3" t="s">
        <v>161</v>
      </c>
      <c r="G447" s="6">
        <v>485.1</v>
      </c>
      <c r="H447" s="5">
        <v>17553</v>
      </c>
    </row>
    <row r="448" spans="2:8" ht="17.5" customHeight="1" x14ac:dyDescent="0.4">
      <c r="B448" s="3" t="s">
        <v>7</v>
      </c>
      <c r="C448" s="3" t="s">
        <v>160</v>
      </c>
      <c r="D448" s="4">
        <f>DATE(2013,5,1)</f>
        <v>41395</v>
      </c>
      <c r="E448" s="5">
        <f t="shared" si="6"/>
        <v>2013</v>
      </c>
      <c r="F448" s="3" t="s">
        <v>161</v>
      </c>
      <c r="G448" s="6">
        <v>31.5</v>
      </c>
      <c r="H448" s="5">
        <v>18542</v>
      </c>
    </row>
    <row r="449" spans="2:8" ht="17.5" customHeight="1" x14ac:dyDescent="0.4">
      <c r="B449" s="3" t="s">
        <v>16</v>
      </c>
      <c r="C449" s="3" t="s">
        <v>160</v>
      </c>
      <c r="D449" s="4">
        <f>DATE(2003,1,22)</f>
        <v>37643</v>
      </c>
      <c r="E449" s="5">
        <f t="shared" si="6"/>
        <v>2003</v>
      </c>
      <c r="F449" s="3" t="s">
        <v>161</v>
      </c>
      <c r="G449" s="6">
        <v>4650</v>
      </c>
      <c r="H449" s="5">
        <v>203</v>
      </c>
    </row>
    <row r="450" spans="2:8" ht="17.5" customHeight="1" x14ac:dyDescent="0.4">
      <c r="B450" t="s">
        <v>7</v>
      </c>
      <c r="C450" t="s">
        <v>162</v>
      </c>
      <c r="D450" s="7">
        <f>DATE(2008,2,13)</f>
        <v>39491</v>
      </c>
      <c r="E450" s="8">
        <f t="shared" si="6"/>
        <v>2008</v>
      </c>
      <c r="F450" t="s">
        <v>163</v>
      </c>
      <c r="G450" s="9">
        <v>7631</v>
      </c>
      <c r="H450" s="8">
        <v>6939</v>
      </c>
    </row>
    <row r="451" spans="2:8" ht="17.5" customHeight="1" x14ac:dyDescent="0.4">
      <c r="B451" t="s">
        <v>7</v>
      </c>
      <c r="C451" t="s">
        <v>162</v>
      </c>
      <c r="D451" s="7">
        <f>DATE(2008,2,11)</f>
        <v>39489</v>
      </c>
      <c r="E451" s="8">
        <f t="shared" ref="E451:E514" si="7">YEAR(D451)</f>
        <v>2008</v>
      </c>
      <c r="F451" t="s">
        <v>163</v>
      </c>
      <c r="G451" s="9">
        <v>6757.38</v>
      </c>
      <c r="H451" s="8">
        <v>6923</v>
      </c>
    </row>
    <row r="452" spans="2:8" ht="17.5" customHeight="1" x14ac:dyDescent="0.4">
      <c r="B452" t="s">
        <v>7</v>
      </c>
      <c r="C452" t="s">
        <v>162</v>
      </c>
      <c r="D452" s="7">
        <f>DATE(2008,11,26)</f>
        <v>39778</v>
      </c>
      <c r="E452" s="8">
        <f t="shared" si="7"/>
        <v>2008</v>
      </c>
      <c r="F452" t="s">
        <v>163</v>
      </c>
      <c r="G452" s="9">
        <v>5713.75</v>
      </c>
      <c r="H452" s="8">
        <v>8045</v>
      </c>
    </row>
    <row r="453" spans="2:8" ht="17.5" customHeight="1" x14ac:dyDescent="0.4">
      <c r="B453" t="s">
        <v>7</v>
      </c>
      <c r="C453" t="s">
        <v>164</v>
      </c>
      <c r="D453" s="7">
        <f>DATE(2007,12,15)</f>
        <v>39431</v>
      </c>
      <c r="E453" s="8">
        <f t="shared" si="7"/>
        <v>2007</v>
      </c>
      <c r="F453" t="s">
        <v>165</v>
      </c>
      <c r="G453" s="9">
        <v>3631.55</v>
      </c>
      <c r="H453" s="8">
        <v>6696</v>
      </c>
    </row>
    <row r="454" spans="2:8" ht="17.5" customHeight="1" x14ac:dyDescent="0.4">
      <c r="B454" t="s">
        <v>7</v>
      </c>
      <c r="C454" t="s">
        <v>164</v>
      </c>
      <c r="D454" s="7">
        <f>DATE(2007,12,7)</f>
        <v>39423</v>
      </c>
      <c r="E454" s="8">
        <f t="shared" si="7"/>
        <v>2007</v>
      </c>
      <c r="F454" t="s">
        <v>165</v>
      </c>
      <c r="G454" s="9">
        <v>4995.0200000000004</v>
      </c>
      <c r="H454" s="8">
        <v>6670</v>
      </c>
    </row>
    <row r="455" spans="2:8" ht="17.5" customHeight="1" x14ac:dyDescent="0.4">
      <c r="B455" t="s">
        <v>7</v>
      </c>
      <c r="C455" t="s">
        <v>164</v>
      </c>
      <c r="D455" s="7">
        <f>DATE(2008,6,14)</f>
        <v>39613</v>
      </c>
      <c r="E455" s="8">
        <f t="shared" si="7"/>
        <v>2008</v>
      </c>
      <c r="F455" t="s">
        <v>165</v>
      </c>
      <c r="G455" s="9">
        <v>4059.93</v>
      </c>
      <c r="H455" s="8">
        <v>7525</v>
      </c>
    </row>
    <row r="456" spans="2:8" ht="17.5" customHeight="1" x14ac:dyDescent="0.4">
      <c r="B456" t="s">
        <v>7</v>
      </c>
      <c r="C456" t="s">
        <v>166</v>
      </c>
      <c r="D456" s="7">
        <f>DATE(2013,1,31)</f>
        <v>41305</v>
      </c>
      <c r="E456" s="8">
        <f t="shared" si="7"/>
        <v>2013</v>
      </c>
      <c r="F456" t="s">
        <v>167</v>
      </c>
      <c r="G456" s="9">
        <v>4816</v>
      </c>
      <c r="H456" s="8">
        <v>12084</v>
      </c>
    </row>
    <row r="457" spans="2:8" ht="17.5" customHeight="1" x14ac:dyDescent="0.4">
      <c r="B457" t="s">
        <v>7</v>
      </c>
      <c r="C457" t="s">
        <v>166</v>
      </c>
      <c r="D457" s="7">
        <f>DATE(2014,6,11)</f>
        <v>41801</v>
      </c>
      <c r="E457" s="8">
        <f t="shared" si="7"/>
        <v>2014</v>
      </c>
      <c r="F457" t="s">
        <v>167</v>
      </c>
      <c r="G457" s="9">
        <v>4188.53</v>
      </c>
      <c r="H457" s="8">
        <v>13232</v>
      </c>
    </row>
    <row r="458" spans="2:8" ht="17.5" customHeight="1" x14ac:dyDescent="0.4">
      <c r="B458" s="3" t="s">
        <v>7</v>
      </c>
      <c r="C458" s="3" t="s">
        <v>166</v>
      </c>
      <c r="D458" s="4">
        <f>DATE(2006,1,6)</f>
        <v>38723</v>
      </c>
      <c r="E458" s="5">
        <f t="shared" si="7"/>
        <v>2006</v>
      </c>
      <c r="F458" s="3" t="s">
        <v>167</v>
      </c>
      <c r="G458" s="6">
        <v>134</v>
      </c>
      <c r="H458" s="5">
        <v>5755</v>
      </c>
    </row>
    <row r="459" spans="2:8" ht="17.5" customHeight="1" x14ac:dyDescent="0.4">
      <c r="B459" s="3" t="s">
        <v>7</v>
      </c>
      <c r="C459" s="3" t="s">
        <v>168</v>
      </c>
      <c r="D459" s="4">
        <f>DATE(2003,5,23)</f>
        <v>37764</v>
      </c>
      <c r="E459" s="5">
        <f t="shared" si="7"/>
        <v>2003</v>
      </c>
      <c r="F459" s="3" t="s">
        <v>169</v>
      </c>
      <c r="G459" s="6">
        <v>9600</v>
      </c>
      <c r="H459" s="5">
        <v>765</v>
      </c>
    </row>
    <row r="460" spans="2:8" ht="17.5" customHeight="1" x14ac:dyDescent="0.4">
      <c r="B460" t="s">
        <v>7</v>
      </c>
      <c r="C460" t="s">
        <v>164</v>
      </c>
      <c r="D460" s="7">
        <f>DATE(2004,5,27)</f>
        <v>38134</v>
      </c>
      <c r="E460" s="8">
        <f t="shared" si="7"/>
        <v>2004</v>
      </c>
      <c r="F460" t="s">
        <v>170</v>
      </c>
      <c r="G460" s="9">
        <v>3820.35</v>
      </c>
      <c r="H460" s="8">
        <v>1769</v>
      </c>
    </row>
    <row r="461" spans="2:8" ht="17.5" customHeight="1" x14ac:dyDescent="0.4">
      <c r="B461" t="s">
        <v>7</v>
      </c>
      <c r="C461" t="s">
        <v>164</v>
      </c>
      <c r="D461" s="7">
        <f>DATE(2004,5,21)</f>
        <v>38128</v>
      </c>
      <c r="E461" s="8">
        <f t="shared" si="7"/>
        <v>2004</v>
      </c>
      <c r="F461" t="s">
        <v>170</v>
      </c>
      <c r="G461" s="9">
        <v>4251.93</v>
      </c>
      <c r="H461" s="8">
        <v>1780</v>
      </c>
    </row>
    <row r="462" spans="2:8" ht="17.5" customHeight="1" x14ac:dyDescent="0.4">
      <c r="B462" t="s">
        <v>7</v>
      </c>
      <c r="C462" t="s">
        <v>164</v>
      </c>
      <c r="D462" s="7">
        <f>DATE(2006,11,10)</f>
        <v>39031</v>
      </c>
      <c r="E462" s="8">
        <f t="shared" si="7"/>
        <v>2006</v>
      </c>
      <c r="F462" t="s">
        <v>170</v>
      </c>
      <c r="G462" s="9">
        <v>4735.28</v>
      </c>
      <c r="H462" s="8">
        <v>5158</v>
      </c>
    </row>
    <row r="463" spans="2:8" ht="17.5" customHeight="1" x14ac:dyDescent="0.4">
      <c r="B463" t="s">
        <v>7</v>
      </c>
      <c r="C463" t="s">
        <v>164</v>
      </c>
      <c r="D463" s="7">
        <f>DATE(2006,12,3)</f>
        <v>39054</v>
      </c>
      <c r="E463" s="8">
        <f t="shared" si="7"/>
        <v>2006</v>
      </c>
      <c r="F463" t="s">
        <v>170</v>
      </c>
      <c r="G463" s="9">
        <v>4233.97</v>
      </c>
      <c r="H463" s="8">
        <v>5240</v>
      </c>
    </row>
    <row r="464" spans="2:8" ht="17.5" customHeight="1" x14ac:dyDescent="0.4">
      <c r="B464" t="s">
        <v>7</v>
      </c>
      <c r="C464" t="s">
        <v>164</v>
      </c>
      <c r="D464" s="7">
        <f>DATE(2010,3,30)</f>
        <v>40267</v>
      </c>
      <c r="E464" s="8">
        <f t="shared" si="7"/>
        <v>2010</v>
      </c>
      <c r="F464" t="s">
        <v>170</v>
      </c>
      <c r="G464" s="9">
        <v>5281.39</v>
      </c>
      <c r="H464" s="8">
        <v>9667</v>
      </c>
    </row>
    <row r="465" spans="2:8" ht="17.5" customHeight="1" x14ac:dyDescent="0.4">
      <c r="B465" t="s">
        <v>7</v>
      </c>
      <c r="C465" t="s">
        <v>164</v>
      </c>
      <c r="D465" s="7">
        <f>DATE(2010,9,16)</f>
        <v>40437</v>
      </c>
      <c r="E465" s="8">
        <f t="shared" si="7"/>
        <v>2010</v>
      </c>
      <c r="F465" t="s">
        <v>170</v>
      </c>
      <c r="G465" s="9">
        <v>5015.3100000000004</v>
      </c>
      <c r="H465" s="8">
        <v>10121</v>
      </c>
    </row>
    <row r="466" spans="2:8" ht="17.5" customHeight="1" x14ac:dyDescent="0.4">
      <c r="B466" t="s">
        <v>7</v>
      </c>
      <c r="C466" t="s">
        <v>164</v>
      </c>
      <c r="D466" s="7">
        <f>DATE(2011,7,22)</f>
        <v>40746</v>
      </c>
      <c r="E466" s="8">
        <f t="shared" si="7"/>
        <v>2011</v>
      </c>
      <c r="F466" t="s">
        <v>170</v>
      </c>
      <c r="G466" s="9">
        <v>9047.5400000000009</v>
      </c>
      <c r="H466" s="8">
        <v>10885</v>
      </c>
    </row>
    <row r="467" spans="2:8" ht="17.5" customHeight="1" x14ac:dyDescent="0.4">
      <c r="B467" t="s">
        <v>7</v>
      </c>
      <c r="C467" t="s">
        <v>164</v>
      </c>
      <c r="D467" s="7">
        <f>DATE(2011,12,8)</f>
        <v>40885</v>
      </c>
      <c r="E467" s="8">
        <f t="shared" si="7"/>
        <v>2011</v>
      </c>
      <c r="F467" t="s">
        <v>170</v>
      </c>
      <c r="G467" s="9">
        <v>4989.87</v>
      </c>
      <c r="H467" s="8">
        <v>11163</v>
      </c>
    </row>
    <row r="468" spans="2:8" ht="17.5" customHeight="1" x14ac:dyDescent="0.4">
      <c r="B468" t="s">
        <v>7</v>
      </c>
      <c r="C468" t="s">
        <v>171</v>
      </c>
      <c r="D468" s="7">
        <f>DATE(2015,3,26)</f>
        <v>42089</v>
      </c>
      <c r="E468" s="8">
        <f t="shared" si="7"/>
        <v>2015</v>
      </c>
      <c r="F468" t="s">
        <v>172</v>
      </c>
      <c r="G468" s="9">
        <v>12625</v>
      </c>
      <c r="H468" s="8">
        <v>20076</v>
      </c>
    </row>
    <row r="469" spans="2:8" ht="17.5" customHeight="1" x14ac:dyDescent="0.4">
      <c r="B469" t="s">
        <v>7</v>
      </c>
      <c r="C469" t="s">
        <v>171</v>
      </c>
      <c r="D469" s="7">
        <f>DATE(2015,10,22)</f>
        <v>42299</v>
      </c>
      <c r="E469" s="8">
        <f t="shared" si="7"/>
        <v>2015</v>
      </c>
      <c r="F469" t="s">
        <v>172</v>
      </c>
      <c r="G469" s="9">
        <v>12625</v>
      </c>
      <c r="H469" s="8">
        <v>21262</v>
      </c>
    </row>
    <row r="470" spans="2:8" ht="17.5" customHeight="1" x14ac:dyDescent="0.4">
      <c r="B470" t="s">
        <v>7</v>
      </c>
      <c r="C470" t="s">
        <v>171</v>
      </c>
      <c r="D470" s="7">
        <f>DATE(2016,4,20)</f>
        <v>42480</v>
      </c>
      <c r="E470" s="8">
        <f t="shared" si="7"/>
        <v>2016</v>
      </c>
      <c r="F470" t="s">
        <v>172</v>
      </c>
      <c r="G470" s="9">
        <v>12500</v>
      </c>
      <c r="H470" s="8">
        <v>21815</v>
      </c>
    </row>
    <row r="471" spans="2:8" ht="17.5" customHeight="1" x14ac:dyDescent="0.4">
      <c r="B471" t="s">
        <v>7</v>
      </c>
      <c r="C471" t="s">
        <v>171</v>
      </c>
      <c r="D471" s="7">
        <f>DATE(2016,11,10)</f>
        <v>42684</v>
      </c>
      <c r="E471" s="8">
        <f t="shared" si="7"/>
        <v>2016</v>
      </c>
      <c r="F471" t="s">
        <v>172</v>
      </c>
      <c r="G471" s="9">
        <v>12600</v>
      </c>
      <c r="H471" s="8">
        <v>23496</v>
      </c>
    </row>
    <row r="472" spans="2:8" ht="17.5" customHeight="1" x14ac:dyDescent="0.4">
      <c r="B472" t="s">
        <v>7</v>
      </c>
      <c r="C472" t="s">
        <v>171</v>
      </c>
      <c r="D472" s="7">
        <f>DATE(2005,5,6)</f>
        <v>38478</v>
      </c>
      <c r="E472" s="8">
        <f t="shared" si="7"/>
        <v>2005</v>
      </c>
      <c r="F472" t="s">
        <v>172</v>
      </c>
      <c r="G472" s="9">
        <v>8525</v>
      </c>
      <c r="H472" s="8">
        <v>3038</v>
      </c>
    </row>
    <row r="473" spans="2:8" ht="17.5" customHeight="1" x14ac:dyDescent="0.4">
      <c r="B473" t="s">
        <v>7</v>
      </c>
      <c r="C473" t="s">
        <v>171</v>
      </c>
      <c r="D473" s="7">
        <f>DATE(2013,7,24)</f>
        <v>41479</v>
      </c>
      <c r="E473" s="8">
        <f t="shared" si="7"/>
        <v>2013</v>
      </c>
      <c r="F473" t="s">
        <v>172</v>
      </c>
      <c r="G473" s="9">
        <v>15843.19</v>
      </c>
      <c r="H473" s="8">
        <v>12552</v>
      </c>
    </row>
    <row r="474" spans="2:8" ht="17.5" customHeight="1" x14ac:dyDescent="0.4">
      <c r="B474" t="s">
        <v>7</v>
      </c>
      <c r="C474" t="s">
        <v>171</v>
      </c>
      <c r="D474" s="7">
        <f>DATE(2013,11,18)</f>
        <v>41596</v>
      </c>
      <c r="E474" s="8">
        <f t="shared" si="7"/>
        <v>2013</v>
      </c>
      <c r="F474" t="s">
        <v>172</v>
      </c>
      <c r="G474" s="9">
        <v>20875</v>
      </c>
      <c r="H474" s="8">
        <v>12759</v>
      </c>
    </row>
    <row r="475" spans="2:8" ht="17.5" customHeight="1" x14ac:dyDescent="0.4">
      <c r="B475" t="s">
        <v>7</v>
      </c>
      <c r="C475" t="s">
        <v>171</v>
      </c>
      <c r="D475" s="7">
        <f>DATE(2014,11,13)</f>
        <v>41956</v>
      </c>
      <c r="E475" s="8">
        <f t="shared" si="7"/>
        <v>2014</v>
      </c>
      <c r="F475" t="s">
        <v>172</v>
      </c>
      <c r="G475" s="9">
        <v>4859.3</v>
      </c>
      <c r="H475" s="8">
        <v>13572</v>
      </c>
    </row>
    <row r="476" spans="2:8" ht="17.5" customHeight="1" x14ac:dyDescent="0.4">
      <c r="B476" s="3" t="s">
        <v>7</v>
      </c>
      <c r="C476" s="3" t="s">
        <v>173</v>
      </c>
      <c r="D476" s="4">
        <f>DATE(2007,2,6)</f>
        <v>39119</v>
      </c>
      <c r="E476" s="5">
        <f t="shared" si="7"/>
        <v>2007</v>
      </c>
      <c r="F476" s="3" t="s">
        <v>174</v>
      </c>
      <c r="G476" s="6">
        <v>1824</v>
      </c>
      <c r="H476" s="5">
        <v>2023</v>
      </c>
    </row>
    <row r="477" spans="2:8" ht="17.5" customHeight="1" x14ac:dyDescent="0.4">
      <c r="B477" t="s">
        <v>7</v>
      </c>
      <c r="C477" t="s">
        <v>175</v>
      </c>
      <c r="D477" s="7">
        <f>DATE(2005,2,11)</f>
        <v>38394</v>
      </c>
      <c r="E477" s="8">
        <f t="shared" si="7"/>
        <v>2005</v>
      </c>
      <c r="F477" t="s">
        <v>176</v>
      </c>
      <c r="G477" s="9">
        <v>4586.74</v>
      </c>
      <c r="H477" s="8">
        <v>2728</v>
      </c>
    </row>
    <row r="478" spans="2:8" ht="17.5" customHeight="1" x14ac:dyDescent="0.4">
      <c r="B478" s="3" t="s">
        <v>7</v>
      </c>
      <c r="C478" s="3" t="s">
        <v>177</v>
      </c>
      <c r="D478" s="4">
        <f>DATE(2011,5,26)</f>
        <v>40689</v>
      </c>
      <c r="E478" s="5">
        <f t="shared" si="7"/>
        <v>2011</v>
      </c>
      <c r="F478" s="3" t="s">
        <v>178</v>
      </c>
      <c r="G478" s="6">
        <v>1226.6400000000001</v>
      </c>
      <c r="H478" s="5">
        <v>15612</v>
      </c>
    </row>
    <row r="479" spans="2:8" ht="17.5" customHeight="1" x14ac:dyDescent="0.4">
      <c r="B479" s="3" t="s">
        <v>7</v>
      </c>
      <c r="C479" s="3" t="s">
        <v>177</v>
      </c>
      <c r="D479" s="4">
        <f>DATE(2011,6,9)</f>
        <v>40703</v>
      </c>
      <c r="E479" s="5">
        <f t="shared" si="7"/>
        <v>2011</v>
      </c>
      <c r="F479" s="3" t="s">
        <v>178</v>
      </c>
      <c r="G479" s="6">
        <v>1200.9100000000001</v>
      </c>
      <c r="H479" s="5">
        <v>15666</v>
      </c>
    </row>
    <row r="480" spans="2:8" ht="17.5" customHeight="1" x14ac:dyDescent="0.4">
      <c r="B480" s="3" t="s">
        <v>7</v>
      </c>
      <c r="C480" s="3" t="s">
        <v>177</v>
      </c>
      <c r="D480" s="4">
        <f>DATE(2011,6,9)</f>
        <v>40703</v>
      </c>
      <c r="E480" s="5">
        <f t="shared" si="7"/>
        <v>2011</v>
      </c>
      <c r="F480" s="3" t="s">
        <v>178</v>
      </c>
      <c r="G480" s="6">
        <v>71.209999999999994</v>
      </c>
      <c r="H480" s="5">
        <v>15681</v>
      </c>
    </row>
    <row r="481" spans="2:8" ht="17.5" customHeight="1" x14ac:dyDescent="0.4">
      <c r="B481" s="3" t="s">
        <v>16</v>
      </c>
      <c r="C481" s="3" t="s">
        <v>177</v>
      </c>
      <c r="D481" s="4">
        <f>DATE(2011,5,26)</f>
        <v>40689</v>
      </c>
      <c r="E481" s="5">
        <f t="shared" si="7"/>
        <v>2011</v>
      </c>
      <c r="F481" s="3" t="s">
        <v>178</v>
      </c>
      <c r="G481" s="6">
        <v>1200.6400000000001</v>
      </c>
      <c r="H481" s="5">
        <v>15663</v>
      </c>
    </row>
    <row r="482" spans="2:8" ht="17.5" customHeight="1" x14ac:dyDescent="0.4">
      <c r="B482" s="3" t="s">
        <v>7</v>
      </c>
      <c r="C482" s="3" t="s">
        <v>179</v>
      </c>
      <c r="D482" s="4">
        <f>DATE(2009,10,22)</f>
        <v>40108</v>
      </c>
      <c r="E482" s="5">
        <f t="shared" si="7"/>
        <v>2009</v>
      </c>
      <c r="F482" s="3" t="s">
        <v>180</v>
      </c>
      <c r="G482" s="6">
        <v>14049.1</v>
      </c>
      <c r="H482" s="5">
        <v>13090</v>
      </c>
    </row>
    <row r="483" spans="2:8" ht="17.5" customHeight="1" x14ac:dyDescent="0.4">
      <c r="B483" s="3" t="s">
        <v>7</v>
      </c>
      <c r="C483" s="3" t="s">
        <v>179</v>
      </c>
      <c r="D483" s="4">
        <f>DATE(2010,9,10)</f>
        <v>40431</v>
      </c>
      <c r="E483" s="5">
        <f t="shared" si="7"/>
        <v>2010</v>
      </c>
      <c r="F483" s="3" t="s">
        <v>180</v>
      </c>
      <c r="G483" s="6">
        <v>5732</v>
      </c>
      <c r="H483" s="5">
        <v>14471</v>
      </c>
    </row>
    <row r="484" spans="2:8" ht="17.5" customHeight="1" x14ac:dyDescent="0.4">
      <c r="B484" s="3" t="s">
        <v>7</v>
      </c>
      <c r="C484" s="3" t="s">
        <v>179</v>
      </c>
      <c r="D484" s="4">
        <f>DATE(2011,2,16)</f>
        <v>40590</v>
      </c>
      <c r="E484" s="5">
        <f t="shared" si="7"/>
        <v>2011</v>
      </c>
      <c r="F484" s="3" t="s">
        <v>180</v>
      </c>
      <c r="G484" s="6">
        <v>4018.8</v>
      </c>
      <c r="H484" s="5">
        <v>15068</v>
      </c>
    </row>
    <row r="485" spans="2:8" ht="17.5" customHeight="1" x14ac:dyDescent="0.4">
      <c r="B485" s="3" t="s">
        <v>7</v>
      </c>
      <c r="C485" s="3" t="s">
        <v>181</v>
      </c>
      <c r="D485" s="4">
        <f>DATE(2006,10,20)</f>
        <v>39010</v>
      </c>
      <c r="E485" s="5">
        <f t="shared" si="7"/>
        <v>2006</v>
      </c>
      <c r="F485" s="3" t="s">
        <v>182</v>
      </c>
      <c r="G485" s="6">
        <v>510</v>
      </c>
      <c r="H485" s="5">
        <v>1860</v>
      </c>
    </row>
    <row r="486" spans="2:8" ht="17.5" customHeight="1" x14ac:dyDescent="0.4">
      <c r="B486" s="3" t="s">
        <v>7</v>
      </c>
      <c r="C486" s="3" t="s">
        <v>183</v>
      </c>
      <c r="D486" s="4">
        <f>DATE(2003,4,11)</f>
        <v>37722</v>
      </c>
      <c r="E486" s="5">
        <f t="shared" si="7"/>
        <v>2003</v>
      </c>
      <c r="F486" s="3" t="s">
        <v>184</v>
      </c>
      <c r="G486" s="6">
        <v>2579.5</v>
      </c>
      <c r="H486" s="5">
        <v>729</v>
      </c>
    </row>
    <row r="487" spans="2:8" ht="17.5" customHeight="1" x14ac:dyDescent="0.4">
      <c r="B487" t="s">
        <v>7</v>
      </c>
      <c r="C487" t="s">
        <v>185</v>
      </c>
      <c r="D487" s="7">
        <f>DATE(2005,2,9)</f>
        <v>38392</v>
      </c>
      <c r="E487" s="8">
        <f t="shared" si="7"/>
        <v>2005</v>
      </c>
      <c r="F487" t="s">
        <v>186</v>
      </c>
      <c r="G487" s="9">
        <v>3264.5</v>
      </c>
      <c r="H487" s="8">
        <v>2740</v>
      </c>
    </row>
    <row r="488" spans="2:8" ht="17.5" customHeight="1" x14ac:dyDescent="0.4">
      <c r="B488" t="s">
        <v>7</v>
      </c>
      <c r="C488" t="s">
        <v>187</v>
      </c>
      <c r="D488" s="7">
        <f>DATE(2016,4,27)</f>
        <v>42487</v>
      </c>
      <c r="E488" s="8">
        <f t="shared" si="7"/>
        <v>2016</v>
      </c>
      <c r="F488" t="s">
        <v>188</v>
      </c>
      <c r="G488" s="9">
        <v>5515.63</v>
      </c>
      <c r="H488" s="8">
        <v>22615</v>
      </c>
    </row>
    <row r="489" spans="2:8" ht="17.5" customHeight="1" x14ac:dyDescent="0.4">
      <c r="B489" s="3" t="s">
        <v>7</v>
      </c>
      <c r="C489" s="3" t="s">
        <v>187</v>
      </c>
      <c r="D489" s="4">
        <f>DATE(2008,4,7)</f>
        <v>39545</v>
      </c>
      <c r="E489" s="5">
        <f t="shared" si="7"/>
        <v>2008</v>
      </c>
      <c r="F489" s="3" t="s">
        <v>188</v>
      </c>
      <c r="G489" s="6">
        <v>5026.96</v>
      </c>
      <c r="H489" s="5">
        <v>10359</v>
      </c>
    </row>
    <row r="490" spans="2:8" ht="17.5" customHeight="1" x14ac:dyDescent="0.4">
      <c r="B490" t="s">
        <v>7</v>
      </c>
      <c r="C490" t="s">
        <v>189</v>
      </c>
      <c r="D490" s="7">
        <f>DATE(2012,4,17)</f>
        <v>41016</v>
      </c>
      <c r="E490" s="8">
        <f t="shared" si="7"/>
        <v>2012</v>
      </c>
      <c r="F490" t="s">
        <v>190</v>
      </c>
      <c r="G490" s="9">
        <v>6021.84</v>
      </c>
      <c r="H490" s="8">
        <v>11548</v>
      </c>
    </row>
    <row r="491" spans="2:8" ht="17.5" customHeight="1" x14ac:dyDescent="0.4">
      <c r="B491" s="3" t="s">
        <v>7</v>
      </c>
      <c r="C491" s="3" t="s">
        <v>191</v>
      </c>
      <c r="D491" s="4">
        <f>DATE(2007,12,4)</f>
        <v>39420</v>
      </c>
      <c r="E491" s="5">
        <f t="shared" si="7"/>
        <v>2007</v>
      </c>
      <c r="F491" s="3" t="s">
        <v>192</v>
      </c>
      <c r="G491" s="6">
        <v>282.5</v>
      </c>
      <c r="H491" s="5">
        <v>9553</v>
      </c>
    </row>
    <row r="492" spans="2:8" ht="17.5" customHeight="1" x14ac:dyDescent="0.4">
      <c r="B492" s="3" t="s">
        <v>7</v>
      </c>
      <c r="C492" s="3" t="s">
        <v>191</v>
      </c>
      <c r="D492" s="4">
        <f>DATE(2007,12,4)</f>
        <v>39420</v>
      </c>
      <c r="E492" s="5">
        <f t="shared" si="7"/>
        <v>2007</v>
      </c>
      <c r="F492" s="3" t="s">
        <v>192</v>
      </c>
      <c r="G492" s="6">
        <v>1525.7</v>
      </c>
      <c r="H492" s="5">
        <v>9511</v>
      </c>
    </row>
    <row r="493" spans="2:8" ht="17.5" customHeight="1" x14ac:dyDescent="0.4">
      <c r="B493" s="3" t="s">
        <v>7</v>
      </c>
      <c r="C493" s="3" t="s">
        <v>191</v>
      </c>
      <c r="D493" s="4">
        <f>DATE(2007,12,19)</f>
        <v>39435</v>
      </c>
      <c r="E493" s="5">
        <f t="shared" si="7"/>
        <v>2007</v>
      </c>
      <c r="F493" s="3" t="s">
        <v>192</v>
      </c>
      <c r="G493" s="6">
        <v>17472.14</v>
      </c>
      <c r="H493" s="5">
        <v>9540</v>
      </c>
    </row>
    <row r="494" spans="2:8" ht="17.5" customHeight="1" x14ac:dyDescent="0.4">
      <c r="B494" s="3" t="s">
        <v>7</v>
      </c>
      <c r="C494" s="3" t="s">
        <v>191</v>
      </c>
      <c r="D494" s="4">
        <f>DATE(2007,12,19)</f>
        <v>39435</v>
      </c>
      <c r="E494" s="5">
        <f t="shared" si="7"/>
        <v>2007</v>
      </c>
      <c r="F494" s="3" t="s">
        <v>192</v>
      </c>
      <c r="G494" s="6">
        <v>155</v>
      </c>
      <c r="H494" s="5">
        <v>9612</v>
      </c>
    </row>
    <row r="495" spans="2:8" ht="17.5" customHeight="1" x14ac:dyDescent="0.4">
      <c r="B495" s="3" t="s">
        <v>7</v>
      </c>
      <c r="C495" s="3" t="s">
        <v>191</v>
      </c>
      <c r="D495" s="4">
        <f>DATE(2007,12,26)</f>
        <v>39442</v>
      </c>
      <c r="E495" s="5">
        <f t="shared" si="7"/>
        <v>2007</v>
      </c>
      <c r="F495" s="3" t="s">
        <v>192</v>
      </c>
      <c r="G495" s="6">
        <v>783</v>
      </c>
      <c r="H495" s="5">
        <v>9631</v>
      </c>
    </row>
    <row r="496" spans="2:8" ht="17.5" customHeight="1" x14ac:dyDescent="0.4">
      <c r="B496" s="3" t="s">
        <v>7</v>
      </c>
      <c r="C496" s="3" t="s">
        <v>191</v>
      </c>
      <c r="D496" s="4">
        <f>DATE(2008,3,18)</f>
        <v>39525</v>
      </c>
      <c r="E496" s="5">
        <f t="shared" si="7"/>
        <v>2008</v>
      </c>
      <c r="F496" s="3" t="s">
        <v>192</v>
      </c>
      <c r="G496" s="6">
        <v>2427</v>
      </c>
      <c r="H496" s="5">
        <v>10140</v>
      </c>
    </row>
    <row r="497" spans="2:8" ht="17.5" customHeight="1" x14ac:dyDescent="0.4">
      <c r="B497" s="3" t="s">
        <v>7</v>
      </c>
      <c r="C497" s="3" t="s">
        <v>191</v>
      </c>
      <c r="D497" s="4">
        <f>DATE(2008,3,25)</f>
        <v>39532</v>
      </c>
      <c r="E497" s="5">
        <f t="shared" si="7"/>
        <v>2008</v>
      </c>
      <c r="F497" s="3" t="s">
        <v>192</v>
      </c>
      <c r="G497" s="6">
        <v>4074.13</v>
      </c>
      <c r="H497" s="5">
        <v>10289</v>
      </c>
    </row>
    <row r="498" spans="2:8" ht="17.5" customHeight="1" x14ac:dyDescent="0.4">
      <c r="B498" s="3" t="s">
        <v>7</v>
      </c>
      <c r="C498" s="3" t="s">
        <v>191</v>
      </c>
      <c r="D498" s="4">
        <f>DATE(2008,4,23)</f>
        <v>39561</v>
      </c>
      <c r="E498" s="5">
        <f t="shared" si="7"/>
        <v>2008</v>
      </c>
      <c r="F498" s="3" t="s">
        <v>192</v>
      </c>
      <c r="G498" s="6">
        <v>6535.88</v>
      </c>
      <c r="H498" s="5">
        <v>10290</v>
      </c>
    </row>
    <row r="499" spans="2:8" ht="17.5" customHeight="1" x14ac:dyDescent="0.4">
      <c r="B499" s="3" t="s">
        <v>7</v>
      </c>
      <c r="C499" s="3" t="s">
        <v>191</v>
      </c>
      <c r="D499" s="4">
        <f>DATE(2008,6,25)</f>
        <v>39624</v>
      </c>
      <c r="E499" s="5">
        <f t="shared" si="7"/>
        <v>2008</v>
      </c>
      <c r="F499" s="3" t="s">
        <v>192</v>
      </c>
      <c r="G499" s="6">
        <v>6543.77</v>
      </c>
      <c r="H499" s="5">
        <v>10872</v>
      </c>
    </row>
    <row r="500" spans="2:8" ht="17.5" customHeight="1" x14ac:dyDescent="0.4">
      <c r="B500" s="3" t="s">
        <v>7</v>
      </c>
      <c r="C500" s="3" t="s">
        <v>191</v>
      </c>
      <c r="D500" s="4">
        <f>DATE(2009,4,2)</f>
        <v>39905</v>
      </c>
      <c r="E500" s="5">
        <f t="shared" si="7"/>
        <v>2009</v>
      </c>
      <c r="F500" s="3" t="s">
        <v>192</v>
      </c>
      <c r="G500" s="6">
        <v>4364.3</v>
      </c>
      <c r="H500" s="5">
        <v>11728</v>
      </c>
    </row>
    <row r="501" spans="2:8" ht="17.5" customHeight="1" x14ac:dyDescent="0.4">
      <c r="B501" s="3" t="s">
        <v>7</v>
      </c>
      <c r="C501" s="3" t="s">
        <v>191</v>
      </c>
      <c r="D501" s="4">
        <f>DATE(2009,3,17)</f>
        <v>39889</v>
      </c>
      <c r="E501" s="5">
        <f t="shared" si="7"/>
        <v>2009</v>
      </c>
      <c r="F501" s="3" t="s">
        <v>192</v>
      </c>
      <c r="G501" s="6">
        <v>4313.71</v>
      </c>
      <c r="H501" s="5">
        <v>11728</v>
      </c>
    </row>
    <row r="502" spans="2:8" ht="17.5" customHeight="1" x14ac:dyDescent="0.4">
      <c r="B502" s="3" t="s">
        <v>7</v>
      </c>
      <c r="C502" s="3" t="s">
        <v>191</v>
      </c>
      <c r="D502" s="4">
        <f>DATE(2009,4,6)</f>
        <v>39909</v>
      </c>
      <c r="E502" s="5">
        <f t="shared" si="7"/>
        <v>2009</v>
      </c>
      <c r="F502" s="3" t="s">
        <v>192</v>
      </c>
      <c r="G502" s="6">
        <v>1700</v>
      </c>
      <c r="H502" s="5">
        <v>12170</v>
      </c>
    </row>
    <row r="503" spans="2:8" ht="17.5" customHeight="1" x14ac:dyDescent="0.4">
      <c r="B503" s="3" t="s">
        <v>7</v>
      </c>
      <c r="C503" s="3" t="s">
        <v>191</v>
      </c>
      <c r="D503" s="4">
        <f>DATE(2009,4,6)</f>
        <v>39909</v>
      </c>
      <c r="E503" s="5">
        <f t="shared" si="7"/>
        <v>2009</v>
      </c>
      <c r="F503" s="3" t="s">
        <v>192</v>
      </c>
      <c r="G503" s="6">
        <v>1437</v>
      </c>
      <c r="H503" s="5">
        <v>12226</v>
      </c>
    </row>
    <row r="504" spans="2:8" ht="17.5" customHeight="1" x14ac:dyDescent="0.4">
      <c r="B504" s="3" t="s">
        <v>7</v>
      </c>
      <c r="C504" s="3" t="s">
        <v>191</v>
      </c>
      <c r="D504" s="4">
        <f>DATE(2009,5,14)</f>
        <v>39947</v>
      </c>
      <c r="E504" s="5">
        <f t="shared" si="7"/>
        <v>2009</v>
      </c>
      <c r="F504" s="3" t="s">
        <v>192</v>
      </c>
      <c r="G504" s="6">
        <v>1367</v>
      </c>
      <c r="H504" s="5">
        <v>12487</v>
      </c>
    </row>
    <row r="505" spans="2:8" ht="17.5" customHeight="1" x14ac:dyDescent="0.4">
      <c r="B505" s="3" t="s">
        <v>7</v>
      </c>
      <c r="C505" s="3" t="s">
        <v>191</v>
      </c>
      <c r="D505" s="4">
        <f>DATE(2009,7,22)</f>
        <v>40016</v>
      </c>
      <c r="E505" s="5">
        <f t="shared" si="7"/>
        <v>2009</v>
      </c>
      <c r="F505" s="3" t="s">
        <v>192</v>
      </c>
      <c r="G505" s="6">
        <v>6496</v>
      </c>
      <c r="H505" s="5">
        <v>12765</v>
      </c>
    </row>
    <row r="506" spans="2:8" ht="17.5" customHeight="1" x14ac:dyDescent="0.4">
      <c r="B506" s="3" t="s">
        <v>7</v>
      </c>
      <c r="C506" s="3" t="s">
        <v>191</v>
      </c>
      <c r="D506" s="4">
        <f>DATE(2010,1,21)</f>
        <v>40199</v>
      </c>
      <c r="E506" s="5">
        <f t="shared" si="7"/>
        <v>2010</v>
      </c>
      <c r="F506" s="3" t="s">
        <v>192</v>
      </c>
      <c r="G506" s="6">
        <v>989.64</v>
      </c>
      <c r="H506" s="5">
        <v>13403</v>
      </c>
    </row>
    <row r="507" spans="2:8" ht="17.5" customHeight="1" x14ac:dyDescent="0.4">
      <c r="B507" s="3" t="s">
        <v>7</v>
      </c>
      <c r="C507" s="3" t="s">
        <v>191</v>
      </c>
      <c r="D507" s="4">
        <f>DATE(2010,3,18)</f>
        <v>40255</v>
      </c>
      <c r="E507" s="5">
        <f t="shared" si="7"/>
        <v>2010</v>
      </c>
      <c r="F507" s="3" t="s">
        <v>192</v>
      </c>
      <c r="G507" s="6">
        <v>1360</v>
      </c>
      <c r="H507" s="5">
        <v>13735</v>
      </c>
    </row>
    <row r="508" spans="2:8" ht="17.5" customHeight="1" x14ac:dyDescent="0.4">
      <c r="B508" s="3" t="s">
        <v>7</v>
      </c>
      <c r="C508" s="3" t="s">
        <v>191</v>
      </c>
      <c r="D508" s="4">
        <f>DATE(2010,3,18)</f>
        <v>40255</v>
      </c>
      <c r="E508" s="5">
        <f t="shared" si="7"/>
        <v>2010</v>
      </c>
      <c r="F508" s="3" t="s">
        <v>192</v>
      </c>
      <c r="G508" s="6">
        <v>2720</v>
      </c>
      <c r="H508" s="5">
        <v>13736</v>
      </c>
    </row>
    <row r="509" spans="2:8" ht="17.5" customHeight="1" x14ac:dyDescent="0.4">
      <c r="B509" s="3" t="s">
        <v>7</v>
      </c>
      <c r="C509" s="3" t="s">
        <v>191</v>
      </c>
      <c r="D509" s="4">
        <f>DATE(2010,3,22)</f>
        <v>40259</v>
      </c>
      <c r="E509" s="5">
        <f t="shared" si="7"/>
        <v>2010</v>
      </c>
      <c r="F509" s="3" t="s">
        <v>192</v>
      </c>
      <c r="G509" s="6">
        <v>3995.43</v>
      </c>
      <c r="H509" s="5">
        <v>13546</v>
      </c>
    </row>
    <row r="510" spans="2:8" ht="17.5" customHeight="1" x14ac:dyDescent="0.4">
      <c r="B510" s="3" t="s">
        <v>7</v>
      </c>
      <c r="C510" s="3" t="s">
        <v>191</v>
      </c>
      <c r="D510" s="4">
        <f>DATE(2010,4,6)</f>
        <v>40274</v>
      </c>
      <c r="E510" s="5">
        <f t="shared" si="7"/>
        <v>2010</v>
      </c>
      <c r="F510" s="3" t="s">
        <v>192</v>
      </c>
      <c r="G510" s="6">
        <v>6825.46</v>
      </c>
      <c r="H510" s="5">
        <v>13770</v>
      </c>
    </row>
    <row r="511" spans="2:8" ht="17.5" customHeight="1" x14ac:dyDescent="0.4">
      <c r="B511" s="3" t="s">
        <v>7</v>
      </c>
      <c r="C511" s="3" t="s">
        <v>191</v>
      </c>
      <c r="D511" s="4">
        <f>DATE(2010,6,14)</f>
        <v>40343</v>
      </c>
      <c r="E511" s="5">
        <f t="shared" si="7"/>
        <v>2010</v>
      </c>
      <c r="F511" s="3" t="s">
        <v>192</v>
      </c>
      <c r="G511" s="6">
        <v>6498</v>
      </c>
      <c r="H511" s="5">
        <v>14140</v>
      </c>
    </row>
    <row r="512" spans="2:8" ht="17.5" customHeight="1" x14ac:dyDescent="0.4">
      <c r="B512" s="3" t="s">
        <v>7</v>
      </c>
      <c r="C512" s="3" t="s">
        <v>191</v>
      </c>
      <c r="D512" s="4">
        <f>DATE(2010,7,22)</f>
        <v>40381</v>
      </c>
      <c r="E512" s="5">
        <f t="shared" si="7"/>
        <v>2010</v>
      </c>
      <c r="F512" s="3" t="s">
        <v>192</v>
      </c>
      <c r="G512" s="6">
        <v>274.42</v>
      </c>
      <c r="H512" s="5">
        <v>14294</v>
      </c>
    </row>
    <row r="513" spans="2:8" ht="17.5" customHeight="1" x14ac:dyDescent="0.4">
      <c r="B513" s="3" t="s">
        <v>7</v>
      </c>
      <c r="C513" s="3" t="s">
        <v>191</v>
      </c>
      <c r="D513" s="4">
        <f>DATE(2010,8,10)</f>
        <v>40400</v>
      </c>
      <c r="E513" s="5">
        <f t="shared" si="7"/>
        <v>2010</v>
      </c>
      <c r="F513" s="3" t="s">
        <v>192</v>
      </c>
      <c r="G513" s="6">
        <v>6498</v>
      </c>
      <c r="H513" s="5">
        <v>14340</v>
      </c>
    </row>
    <row r="514" spans="2:8" ht="17.5" customHeight="1" x14ac:dyDescent="0.4">
      <c r="B514" s="3" t="s">
        <v>7</v>
      </c>
      <c r="C514" s="3" t="s">
        <v>191</v>
      </c>
      <c r="D514" s="4">
        <f>DATE(2010,11,24)</f>
        <v>40506</v>
      </c>
      <c r="E514" s="5">
        <f t="shared" si="7"/>
        <v>2010</v>
      </c>
      <c r="F514" s="3" t="s">
        <v>192</v>
      </c>
      <c r="G514" s="6">
        <v>3901</v>
      </c>
      <c r="H514" s="5">
        <v>14738</v>
      </c>
    </row>
    <row r="515" spans="2:8" ht="17.5" customHeight="1" x14ac:dyDescent="0.4">
      <c r="B515" s="3" t="s">
        <v>7</v>
      </c>
      <c r="C515" s="3" t="s">
        <v>191</v>
      </c>
      <c r="D515" s="4">
        <f>DATE(2010,12,13)</f>
        <v>40525</v>
      </c>
      <c r="E515" s="5">
        <f t="shared" ref="E515:E578" si="8">YEAR(D515)</f>
        <v>2010</v>
      </c>
      <c r="F515" s="3" t="s">
        <v>192</v>
      </c>
      <c r="G515" s="6">
        <v>2690.93</v>
      </c>
      <c r="H515" s="5">
        <v>14738</v>
      </c>
    </row>
    <row r="516" spans="2:8" ht="17.5" customHeight="1" x14ac:dyDescent="0.4">
      <c r="B516" s="3" t="s">
        <v>7</v>
      </c>
      <c r="C516" s="3" t="s">
        <v>191</v>
      </c>
      <c r="D516" s="4">
        <f>DATE(2010,12,22)</f>
        <v>40534</v>
      </c>
      <c r="E516" s="5">
        <f t="shared" si="8"/>
        <v>2010</v>
      </c>
      <c r="F516" s="3" t="s">
        <v>192</v>
      </c>
      <c r="G516" s="6">
        <v>10383</v>
      </c>
      <c r="H516" s="5">
        <v>14848</v>
      </c>
    </row>
    <row r="517" spans="2:8" ht="17.5" customHeight="1" x14ac:dyDescent="0.4">
      <c r="B517" s="3" t="s">
        <v>7</v>
      </c>
      <c r="C517" s="3" t="s">
        <v>191</v>
      </c>
      <c r="D517" s="4">
        <f>DATE(2011,1,13)</f>
        <v>40556</v>
      </c>
      <c r="E517" s="5">
        <f t="shared" si="8"/>
        <v>2011</v>
      </c>
      <c r="F517" s="3" t="s">
        <v>192</v>
      </c>
      <c r="G517" s="6">
        <v>367.49</v>
      </c>
      <c r="H517" s="5">
        <v>14879</v>
      </c>
    </row>
    <row r="518" spans="2:8" ht="17.5" customHeight="1" x14ac:dyDescent="0.4">
      <c r="B518" s="3" t="s">
        <v>7</v>
      </c>
      <c r="C518" s="3" t="s">
        <v>191</v>
      </c>
      <c r="D518" s="4">
        <f>DATE(2011,1,19)</f>
        <v>40562</v>
      </c>
      <c r="E518" s="5">
        <f t="shared" si="8"/>
        <v>2011</v>
      </c>
      <c r="F518" s="3" t="s">
        <v>192</v>
      </c>
      <c r="G518" s="6">
        <v>7959.06</v>
      </c>
      <c r="H518" s="5">
        <v>14890</v>
      </c>
    </row>
    <row r="519" spans="2:8" ht="17.5" customHeight="1" x14ac:dyDescent="0.4">
      <c r="B519" s="3" t="s">
        <v>7</v>
      </c>
      <c r="C519" s="3" t="s">
        <v>191</v>
      </c>
      <c r="D519" s="4">
        <f>DATE(2011,2,21)</f>
        <v>40595</v>
      </c>
      <c r="E519" s="5">
        <f t="shared" si="8"/>
        <v>2011</v>
      </c>
      <c r="F519" s="3" t="s">
        <v>192</v>
      </c>
      <c r="G519" s="6">
        <v>13180.12</v>
      </c>
      <c r="H519" s="5">
        <v>15025</v>
      </c>
    </row>
    <row r="520" spans="2:8" ht="17.5" customHeight="1" x14ac:dyDescent="0.4">
      <c r="B520" s="3" t="s">
        <v>7</v>
      </c>
      <c r="C520" s="3" t="s">
        <v>191</v>
      </c>
      <c r="D520" s="4">
        <f>DATE(2011,3,7)</f>
        <v>40609</v>
      </c>
      <c r="E520" s="5">
        <f t="shared" si="8"/>
        <v>2011</v>
      </c>
      <c r="F520" s="3" t="s">
        <v>192</v>
      </c>
      <c r="G520" s="6">
        <v>6499</v>
      </c>
      <c r="H520" s="5">
        <v>15114</v>
      </c>
    </row>
    <row r="521" spans="2:8" ht="17.5" customHeight="1" x14ac:dyDescent="0.4">
      <c r="B521" s="3" t="s">
        <v>7</v>
      </c>
      <c r="C521" s="3" t="s">
        <v>191</v>
      </c>
      <c r="D521" s="4">
        <f>DATE(2011,6,10)</f>
        <v>40704</v>
      </c>
      <c r="E521" s="5">
        <f t="shared" si="8"/>
        <v>2011</v>
      </c>
      <c r="F521" s="3" t="s">
        <v>192</v>
      </c>
      <c r="G521" s="6">
        <v>6500</v>
      </c>
      <c r="H521" s="5">
        <v>15652</v>
      </c>
    </row>
    <row r="522" spans="2:8" ht="17.5" customHeight="1" x14ac:dyDescent="0.4">
      <c r="B522" s="3" t="s">
        <v>7</v>
      </c>
      <c r="C522" s="3" t="s">
        <v>191</v>
      </c>
      <c r="D522" s="4">
        <f>DATE(2011,6,17)</f>
        <v>40711</v>
      </c>
      <c r="E522" s="5">
        <f t="shared" si="8"/>
        <v>2011</v>
      </c>
      <c r="F522" s="3" t="s">
        <v>192</v>
      </c>
      <c r="G522" s="6">
        <v>6500</v>
      </c>
      <c r="H522" s="5">
        <v>15700</v>
      </c>
    </row>
    <row r="523" spans="2:8" ht="17.5" customHeight="1" x14ac:dyDescent="0.4">
      <c r="B523" s="3" t="s">
        <v>7</v>
      </c>
      <c r="C523" s="3" t="s">
        <v>191</v>
      </c>
      <c r="D523" s="4">
        <f>DATE(2011,10,27)</f>
        <v>40843</v>
      </c>
      <c r="E523" s="5">
        <f t="shared" si="8"/>
        <v>2011</v>
      </c>
      <c r="F523" s="3" t="s">
        <v>192</v>
      </c>
      <c r="G523" s="6">
        <v>12996.02</v>
      </c>
      <c r="H523" s="5">
        <v>16077</v>
      </c>
    </row>
    <row r="524" spans="2:8" ht="17.5" customHeight="1" x14ac:dyDescent="0.4">
      <c r="B524" s="3" t="s">
        <v>7</v>
      </c>
      <c r="C524" s="3" t="s">
        <v>191</v>
      </c>
      <c r="D524" s="4">
        <f>DATE(2012,1,18)</f>
        <v>40926</v>
      </c>
      <c r="E524" s="5">
        <f t="shared" si="8"/>
        <v>2012</v>
      </c>
      <c r="F524" s="3" t="s">
        <v>192</v>
      </c>
      <c r="G524" s="6">
        <v>6500</v>
      </c>
      <c r="H524" s="5">
        <v>16401</v>
      </c>
    </row>
    <row r="525" spans="2:8" ht="17.5" customHeight="1" x14ac:dyDescent="0.4">
      <c r="B525" s="3" t="s">
        <v>7</v>
      </c>
      <c r="C525" s="3" t="s">
        <v>191</v>
      </c>
      <c r="D525" s="4">
        <f>DATE(2012,1,30)</f>
        <v>40938</v>
      </c>
      <c r="E525" s="5">
        <f t="shared" si="8"/>
        <v>2012</v>
      </c>
      <c r="F525" s="3" t="s">
        <v>192</v>
      </c>
      <c r="G525" s="6">
        <v>5202</v>
      </c>
      <c r="H525" s="5">
        <v>16400</v>
      </c>
    </row>
    <row r="526" spans="2:8" ht="17.5" customHeight="1" x14ac:dyDescent="0.4">
      <c r="B526" s="3" t="s">
        <v>7</v>
      </c>
      <c r="C526" s="3" t="s">
        <v>191</v>
      </c>
      <c r="D526" s="4">
        <f>DATE(2012,1,30)</f>
        <v>40938</v>
      </c>
      <c r="E526" s="5">
        <f t="shared" si="8"/>
        <v>2012</v>
      </c>
      <c r="F526" s="3" t="s">
        <v>192</v>
      </c>
      <c r="G526" s="6">
        <v>771.03</v>
      </c>
      <c r="H526" s="5">
        <v>16446</v>
      </c>
    </row>
    <row r="527" spans="2:8" ht="17.5" customHeight="1" x14ac:dyDescent="0.4">
      <c r="B527" s="3" t="s">
        <v>7</v>
      </c>
      <c r="C527" s="3" t="s">
        <v>191</v>
      </c>
      <c r="D527" s="4">
        <f>DATE(2012,2,24)</f>
        <v>40963</v>
      </c>
      <c r="E527" s="5">
        <f t="shared" si="8"/>
        <v>2012</v>
      </c>
      <c r="F527" s="3" t="s">
        <v>192</v>
      </c>
      <c r="G527" s="6">
        <v>7797.29</v>
      </c>
      <c r="H527" s="5">
        <v>16400</v>
      </c>
    </row>
    <row r="528" spans="2:8" ht="17.5" customHeight="1" x14ac:dyDescent="0.4">
      <c r="B528" s="3" t="s">
        <v>7</v>
      </c>
      <c r="C528" s="3" t="s">
        <v>191</v>
      </c>
      <c r="D528" s="4">
        <f>DATE(2012,3,16)</f>
        <v>40984</v>
      </c>
      <c r="E528" s="5">
        <f t="shared" si="8"/>
        <v>2012</v>
      </c>
      <c r="F528" s="3" t="s">
        <v>192</v>
      </c>
      <c r="G528" s="6">
        <v>6500</v>
      </c>
      <c r="H528" s="5">
        <v>16717</v>
      </c>
    </row>
    <row r="529" spans="2:8" ht="17.5" customHeight="1" x14ac:dyDescent="0.4">
      <c r="B529" s="3" t="s">
        <v>7</v>
      </c>
      <c r="C529" s="3" t="s">
        <v>191</v>
      </c>
      <c r="D529" s="4">
        <f>DATE(2012,4,6)</f>
        <v>41005</v>
      </c>
      <c r="E529" s="5">
        <f t="shared" si="8"/>
        <v>2012</v>
      </c>
      <c r="F529" s="3" t="s">
        <v>192</v>
      </c>
      <c r="G529" s="6">
        <v>89.85</v>
      </c>
      <c r="H529" s="5">
        <v>16921</v>
      </c>
    </row>
    <row r="530" spans="2:8" ht="17.5" customHeight="1" x14ac:dyDescent="0.4">
      <c r="B530" s="3" t="s">
        <v>7</v>
      </c>
      <c r="C530" s="3" t="s">
        <v>191</v>
      </c>
      <c r="D530" s="4">
        <f>DATE(2012,5,9)</f>
        <v>41038</v>
      </c>
      <c r="E530" s="5">
        <f t="shared" si="8"/>
        <v>2012</v>
      </c>
      <c r="F530" s="3" t="s">
        <v>192</v>
      </c>
      <c r="G530" s="6">
        <v>7797.55</v>
      </c>
      <c r="H530" s="5">
        <v>17043</v>
      </c>
    </row>
    <row r="531" spans="2:8" ht="17.5" customHeight="1" x14ac:dyDescent="0.4">
      <c r="B531" s="3" t="s">
        <v>7</v>
      </c>
      <c r="C531" s="3" t="s">
        <v>191</v>
      </c>
      <c r="D531" s="4">
        <f>DATE(2012,5,18)</f>
        <v>41047</v>
      </c>
      <c r="E531" s="5">
        <f t="shared" si="8"/>
        <v>2012</v>
      </c>
      <c r="F531" s="3" t="s">
        <v>192</v>
      </c>
      <c r="G531" s="6">
        <v>6500</v>
      </c>
      <c r="H531" s="5">
        <v>17121</v>
      </c>
    </row>
    <row r="532" spans="2:8" ht="17.5" customHeight="1" x14ac:dyDescent="0.4">
      <c r="B532" s="3" t="s">
        <v>7</v>
      </c>
      <c r="C532" s="3" t="s">
        <v>191</v>
      </c>
      <c r="D532" s="4">
        <f>DATE(2012,8,23)</f>
        <v>41144</v>
      </c>
      <c r="E532" s="5">
        <f t="shared" si="8"/>
        <v>2012</v>
      </c>
      <c r="F532" s="3" t="s">
        <v>192</v>
      </c>
      <c r="G532" s="6">
        <v>12997.98</v>
      </c>
      <c r="H532" s="5">
        <v>17347</v>
      </c>
    </row>
    <row r="533" spans="2:8" ht="17.5" customHeight="1" x14ac:dyDescent="0.4">
      <c r="B533" s="3" t="s">
        <v>7</v>
      </c>
      <c r="C533" s="3" t="s">
        <v>191</v>
      </c>
      <c r="D533" s="4">
        <f>DATE(2012,9,6)</f>
        <v>41158</v>
      </c>
      <c r="E533" s="5">
        <f t="shared" si="8"/>
        <v>2012</v>
      </c>
      <c r="F533" s="3" t="s">
        <v>192</v>
      </c>
      <c r="G533" s="6">
        <v>14294.86</v>
      </c>
      <c r="H533" s="5">
        <v>17495</v>
      </c>
    </row>
    <row r="534" spans="2:8" ht="17.5" customHeight="1" x14ac:dyDescent="0.4">
      <c r="B534" s="3" t="s">
        <v>7</v>
      </c>
      <c r="C534" s="3" t="s">
        <v>191</v>
      </c>
      <c r="D534" s="4">
        <f>DATE(2012,11,14)</f>
        <v>41227</v>
      </c>
      <c r="E534" s="5">
        <f t="shared" si="8"/>
        <v>2012</v>
      </c>
      <c r="F534" s="3" t="s">
        <v>192</v>
      </c>
      <c r="G534" s="6">
        <v>973.69</v>
      </c>
      <c r="H534" s="5">
        <v>17696</v>
      </c>
    </row>
    <row r="535" spans="2:8" ht="17.5" customHeight="1" x14ac:dyDescent="0.4">
      <c r="B535" s="3" t="s">
        <v>16</v>
      </c>
      <c r="C535" s="3" t="s">
        <v>191</v>
      </c>
      <c r="D535" s="4">
        <f>DATE(2008,1,28)</f>
        <v>39475</v>
      </c>
      <c r="E535" s="5">
        <f t="shared" si="8"/>
        <v>2008</v>
      </c>
      <c r="F535" s="3" t="s">
        <v>192</v>
      </c>
      <c r="G535" s="6">
        <v>155</v>
      </c>
      <c r="H535" s="5">
        <v>9611</v>
      </c>
    </row>
    <row r="536" spans="2:8" ht="17.5" customHeight="1" x14ac:dyDescent="0.4">
      <c r="B536" s="3" t="s">
        <v>16</v>
      </c>
      <c r="C536" s="3" t="s">
        <v>191</v>
      </c>
      <c r="D536" s="4">
        <f>DATE(2010,3,22)</f>
        <v>40259</v>
      </c>
      <c r="E536" s="5">
        <f t="shared" si="8"/>
        <v>2010</v>
      </c>
      <c r="F536" s="3" t="s">
        <v>192</v>
      </c>
      <c r="G536" s="6">
        <v>3995.43</v>
      </c>
      <c r="H536" s="5">
        <v>13786</v>
      </c>
    </row>
    <row r="537" spans="2:8" ht="17.5" customHeight="1" x14ac:dyDescent="0.4">
      <c r="B537" s="3" t="s">
        <v>7</v>
      </c>
      <c r="C537" s="3" t="s">
        <v>193</v>
      </c>
      <c r="D537" s="4">
        <f>DATE(2007,9,24)</f>
        <v>39349</v>
      </c>
      <c r="E537" s="5">
        <f t="shared" si="8"/>
        <v>2007</v>
      </c>
      <c r="F537" s="3" t="s">
        <v>194</v>
      </c>
      <c r="G537" s="6">
        <v>1150</v>
      </c>
      <c r="H537" s="5">
        <v>9109</v>
      </c>
    </row>
    <row r="538" spans="2:8" ht="17.5" customHeight="1" x14ac:dyDescent="0.4">
      <c r="B538" t="s">
        <v>7</v>
      </c>
      <c r="C538" t="s">
        <v>193</v>
      </c>
      <c r="D538" s="7">
        <f>DATE(2015,3,26)</f>
        <v>42089</v>
      </c>
      <c r="E538" s="8">
        <f t="shared" si="8"/>
        <v>2015</v>
      </c>
      <c r="F538" t="s">
        <v>195</v>
      </c>
      <c r="G538" s="9">
        <v>430.57</v>
      </c>
      <c r="H538" s="8">
        <v>20204</v>
      </c>
    </row>
    <row r="539" spans="2:8" ht="17.5" customHeight="1" x14ac:dyDescent="0.4">
      <c r="B539" t="s">
        <v>7</v>
      </c>
      <c r="C539" t="s">
        <v>193</v>
      </c>
      <c r="D539" s="7">
        <f>DATE(2015,5,12)</f>
        <v>42136</v>
      </c>
      <c r="E539" s="8">
        <f t="shared" si="8"/>
        <v>2015</v>
      </c>
      <c r="F539" t="s">
        <v>195</v>
      </c>
      <c r="G539" s="9">
        <v>400</v>
      </c>
      <c r="H539" s="8">
        <v>20598</v>
      </c>
    </row>
    <row r="540" spans="2:8" ht="17.5" customHeight="1" x14ac:dyDescent="0.4">
      <c r="B540" t="s">
        <v>7</v>
      </c>
      <c r="C540" t="s">
        <v>193</v>
      </c>
      <c r="D540" s="7">
        <f>DATE(2015,8,24)</f>
        <v>42240</v>
      </c>
      <c r="E540" s="8">
        <f t="shared" si="8"/>
        <v>2015</v>
      </c>
      <c r="F540" t="s">
        <v>195</v>
      </c>
      <c r="G540" s="9">
        <v>1150</v>
      </c>
      <c r="H540" s="8">
        <v>21122</v>
      </c>
    </row>
    <row r="541" spans="2:8" ht="17.5" customHeight="1" x14ac:dyDescent="0.4">
      <c r="B541" t="s">
        <v>7</v>
      </c>
      <c r="C541" t="s">
        <v>193</v>
      </c>
      <c r="D541" s="7">
        <f>DATE(2016,5,31)</f>
        <v>42521</v>
      </c>
      <c r="E541" s="8">
        <f t="shared" si="8"/>
        <v>2016</v>
      </c>
      <c r="F541" t="s">
        <v>195</v>
      </c>
      <c r="G541" s="9">
        <v>480</v>
      </c>
      <c r="H541" s="8">
        <v>22852</v>
      </c>
    </row>
    <row r="542" spans="2:8" ht="17.5" customHeight="1" x14ac:dyDescent="0.4">
      <c r="B542" t="s">
        <v>7</v>
      </c>
      <c r="C542" t="s">
        <v>193</v>
      </c>
      <c r="D542" s="7">
        <f>DATE(2016,7,15)</f>
        <v>42566</v>
      </c>
      <c r="E542" s="8">
        <f t="shared" si="8"/>
        <v>2016</v>
      </c>
      <c r="F542" t="s">
        <v>195</v>
      </c>
      <c r="G542" s="9">
        <v>400</v>
      </c>
      <c r="H542" s="8">
        <v>23134</v>
      </c>
    </row>
    <row r="543" spans="2:8" ht="17.5" customHeight="1" x14ac:dyDescent="0.4">
      <c r="B543" t="s">
        <v>7</v>
      </c>
      <c r="C543" t="s">
        <v>193</v>
      </c>
      <c r="D543" s="7">
        <f>DATE(2016,8,19)</f>
        <v>42601</v>
      </c>
      <c r="E543" s="8">
        <f t="shared" si="8"/>
        <v>2016</v>
      </c>
      <c r="F543" t="s">
        <v>195</v>
      </c>
      <c r="G543" s="9">
        <v>200</v>
      </c>
      <c r="H543" s="8">
        <v>23294</v>
      </c>
    </row>
    <row r="544" spans="2:8" ht="17.5" customHeight="1" x14ac:dyDescent="0.4">
      <c r="B544" t="s">
        <v>7</v>
      </c>
      <c r="C544" t="s">
        <v>193</v>
      </c>
      <c r="D544" s="7">
        <f>DATE(2016,9,1)</f>
        <v>42614</v>
      </c>
      <c r="E544" s="8">
        <f t="shared" si="8"/>
        <v>2016</v>
      </c>
      <c r="F544" t="s">
        <v>195</v>
      </c>
      <c r="G544" s="9">
        <v>200</v>
      </c>
      <c r="H544" s="8">
        <v>23328</v>
      </c>
    </row>
    <row r="545" spans="2:8" ht="17.5" customHeight="1" x14ac:dyDescent="0.4">
      <c r="B545" t="s">
        <v>7</v>
      </c>
      <c r="C545" t="s">
        <v>193</v>
      </c>
      <c r="D545" s="7">
        <f>DATE(2016,9,22)</f>
        <v>42635</v>
      </c>
      <c r="E545" s="8">
        <f t="shared" si="8"/>
        <v>2016</v>
      </c>
      <c r="F545" t="s">
        <v>195</v>
      </c>
      <c r="G545" s="9">
        <v>200</v>
      </c>
      <c r="H545" s="8">
        <v>23480</v>
      </c>
    </row>
    <row r="546" spans="2:8" ht="17.5" customHeight="1" x14ac:dyDescent="0.4">
      <c r="B546" t="s">
        <v>7</v>
      </c>
      <c r="C546" t="s">
        <v>193</v>
      </c>
      <c r="D546" s="7">
        <f>DATE(2017,9,28)</f>
        <v>43006</v>
      </c>
      <c r="E546" s="8">
        <f t="shared" si="8"/>
        <v>2017</v>
      </c>
      <c r="F546" t="s">
        <v>195</v>
      </c>
      <c r="G546" s="9">
        <v>550</v>
      </c>
      <c r="H546" s="8">
        <v>25641</v>
      </c>
    </row>
    <row r="547" spans="2:8" ht="17.5" customHeight="1" x14ac:dyDescent="0.4">
      <c r="B547" t="s">
        <v>7</v>
      </c>
      <c r="C547" t="s">
        <v>193</v>
      </c>
      <c r="D547" s="7">
        <f>DATE(2017,11,30)</f>
        <v>43069</v>
      </c>
      <c r="E547" s="8">
        <f t="shared" si="8"/>
        <v>2017</v>
      </c>
      <c r="F547" t="s">
        <v>195</v>
      </c>
      <c r="G547" s="9">
        <v>147.4</v>
      </c>
      <c r="H547" s="8">
        <v>25959</v>
      </c>
    </row>
    <row r="548" spans="2:8" ht="17.5" customHeight="1" x14ac:dyDescent="0.4">
      <c r="B548" t="s">
        <v>7</v>
      </c>
      <c r="C548" t="s">
        <v>193</v>
      </c>
      <c r="D548" s="7">
        <f>DATE(2018,10,17)</f>
        <v>43390</v>
      </c>
      <c r="E548" s="8">
        <f t="shared" si="8"/>
        <v>2018</v>
      </c>
      <c r="F548" t="s">
        <v>195</v>
      </c>
      <c r="G548" s="9">
        <v>4604.3599999999997</v>
      </c>
      <c r="H548" s="8">
        <v>27804</v>
      </c>
    </row>
    <row r="549" spans="2:8" ht="17.5" customHeight="1" x14ac:dyDescent="0.4">
      <c r="B549" t="s">
        <v>7</v>
      </c>
      <c r="C549" t="s">
        <v>193</v>
      </c>
      <c r="D549" s="7">
        <f>DATE(2017,12,6)</f>
        <v>43075</v>
      </c>
      <c r="E549" s="8">
        <f t="shared" si="8"/>
        <v>2017</v>
      </c>
      <c r="F549" t="s">
        <v>195</v>
      </c>
      <c r="G549" s="9">
        <v>11242.03</v>
      </c>
      <c r="H549" s="8">
        <v>25947</v>
      </c>
    </row>
    <row r="550" spans="2:8" ht="17.5" customHeight="1" x14ac:dyDescent="0.4">
      <c r="B550" t="s">
        <v>7</v>
      </c>
      <c r="C550" t="s">
        <v>193</v>
      </c>
      <c r="D550" s="7">
        <f>DATE(2005,4,10)</f>
        <v>38452</v>
      </c>
      <c r="E550" s="8">
        <f t="shared" si="8"/>
        <v>2005</v>
      </c>
      <c r="F550" t="s">
        <v>195</v>
      </c>
      <c r="G550" s="9">
        <v>9371.2900000000009</v>
      </c>
      <c r="H550" s="8">
        <v>3045</v>
      </c>
    </row>
    <row r="551" spans="2:8" ht="17.5" customHeight="1" x14ac:dyDescent="0.4">
      <c r="B551" t="s">
        <v>7</v>
      </c>
      <c r="C551" t="s">
        <v>193</v>
      </c>
      <c r="D551" s="7">
        <f>DATE(2010,2,23)</f>
        <v>40232</v>
      </c>
      <c r="E551" s="8">
        <f t="shared" si="8"/>
        <v>2010</v>
      </c>
      <c r="F551" t="s">
        <v>195</v>
      </c>
      <c r="G551" s="9">
        <v>21194.02</v>
      </c>
      <c r="H551" s="8">
        <v>9453</v>
      </c>
    </row>
    <row r="552" spans="2:8" ht="17.5" customHeight="1" x14ac:dyDescent="0.4">
      <c r="B552" t="s">
        <v>7</v>
      </c>
      <c r="C552" t="s">
        <v>193</v>
      </c>
      <c r="D552" s="7">
        <f>DATE(2013,7,19)</f>
        <v>41474</v>
      </c>
      <c r="E552" s="8">
        <f t="shared" si="8"/>
        <v>2013</v>
      </c>
      <c r="F552" t="s">
        <v>195</v>
      </c>
      <c r="G552" s="9">
        <v>11281.33</v>
      </c>
      <c r="H552" s="8">
        <v>12556</v>
      </c>
    </row>
    <row r="553" spans="2:8" ht="17.5" customHeight="1" x14ac:dyDescent="0.4">
      <c r="B553" t="s">
        <v>7</v>
      </c>
      <c r="C553" t="s">
        <v>193</v>
      </c>
      <c r="D553" s="7">
        <f>DATE(2013,8,1)</f>
        <v>41487</v>
      </c>
      <c r="E553" s="8">
        <f t="shared" si="8"/>
        <v>2013</v>
      </c>
      <c r="F553" t="s">
        <v>195</v>
      </c>
      <c r="G553" s="9">
        <v>6971.27</v>
      </c>
      <c r="H553" s="8">
        <v>12578</v>
      </c>
    </row>
    <row r="554" spans="2:8" ht="17.5" customHeight="1" x14ac:dyDescent="0.4">
      <c r="B554" t="s">
        <v>7</v>
      </c>
      <c r="C554" t="s">
        <v>193</v>
      </c>
      <c r="D554" s="7">
        <f>DATE(2013,10,23)</f>
        <v>41570</v>
      </c>
      <c r="E554" s="8">
        <f t="shared" si="8"/>
        <v>2013</v>
      </c>
      <c r="F554" t="s">
        <v>195</v>
      </c>
      <c r="G554" s="9">
        <v>7682.8</v>
      </c>
      <c r="H554" s="8">
        <v>12730</v>
      </c>
    </row>
    <row r="555" spans="2:8" ht="17.5" customHeight="1" x14ac:dyDescent="0.4">
      <c r="B555" s="3" t="s">
        <v>7</v>
      </c>
      <c r="C555" s="3" t="s">
        <v>193</v>
      </c>
      <c r="D555" s="4">
        <f>DATE(2003,2,10)</f>
        <v>37662</v>
      </c>
      <c r="E555" s="5">
        <f t="shared" si="8"/>
        <v>2003</v>
      </c>
      <c r="F555" s="3" t="s">
        <v>195</v>
      </c>
      <c r="G555" s="6">
        <v>1756.2</v>
      </c>
      <c r="H555" s="5">
        <v>137</v>
      </c>
    </row>
    <row r="556" spans="2:8" ht="17.5" customHeight="1" x14ac:dyDescent="0.4">
      <c r="B556" s="3" t="s">
        <v>7</v>
      </c>
      <c r="C556" s="3" t="s">
        <v>193</v>
      </c>
      <c r="D556" s="4">
        <f>DATE(2003,2,12)</f>
        <v>37664</v>
      </c>
      <c r="E556" s="5">
        <f t="shared" si="8"/>
        <v>2003</v>
      </c>
      <c r="F556" s="3" t="s">
        <v>195</v>
      </c>
      <c r="G556" s="6">
        <v>720.07</v>
      </c>
      <c r="H556" s="5">
        <v>414</v>
      </c>
    </row>
    <row r="557" spans="2:8" ht="17.5" customHeight="1" x14ac:dyDescent="0.4">
      <c r="B557" s="3" t="s">
        <v>7</v>
      </c>
      <c r="C557" s="3" t="s">
        <v>193</v>
      </c>
      <c r="D557" s="4">
        <f>DATE(2003,4,3)</f>
        <v>37714</v>
      </c>
      <c r="E557" s="5">
        <f t="shared" si="8"/>
        <v>2003</v>
      </c>
      <c r="F557" s="3" t="s">
        <v>195</v>
      </c>
      <c r="G557" s="6">
        <v>5500</v>
      </c>
      <c r="H557" s="5">
        <v>473</v>
      </c>
    </row>
    <row r="558" spans="2:8" ht="17.5" customHeight="1" x14ac:dyDescent="0.4">
      <c r="B558" s="3" t="s">
        <v>7</v>
      </c>
      <c r="C558" s="3" t="s">
        <v>193</v>
      </c>
      <c r="D558" s="4">
        <f>DATE(2003,5,28)</f>
        <v>37769</v>
      </c>
      <c r="E558" s="5">
        <f t="shared" si="8"/>
        <v>2003</v>
      </c>
      <c r="F558" s="3" t="s">
        <v>195</v>
      </c>
      <c r="G558" s="6">
        <v>3520</v>
      </c>
      <c r="H558" s="5">
        <v>1009</v>
      </c>
    </row>
    <row r="559" spans="2:8" ht="17.5" customHeight="1" x14ac:dyDescent="0.4">
      <c r="B559" s="3" t="s">
        <v>7</v>
      </c>
      <c r="C559" s="3" t="s">
        <v>193</v>
      </c>
      <c r="D559" s="4">
        <f>DATE(2003,5,28)</f>
        <v>37769</v>
      </c>
      <c r="E559" s="5">
        <f t="shared" si="8"/>
        <v>2003</v>
      </c>
      <c r="F559" s="3" t="s">
        <v>195</v>
      </c>
      <c r="G559" s="6">
        <v>120</v>
      </c>
      <c r="H559" s="5">
        <v>1016</v>
      </c>
    </row>
    <row r="560" spans="2:8" ht="17.5" customHeight="1" x14ac:dyDescent="0.4">
      <c r="B560" s="3" t="s">
        <v>7</v>
      </c>
      <c r="C560" s="3" t="s">
        <v>193</v>
      </c>
      <c r="D560" s="4">
        <f>DATE(2003,6,11)</f>
        <v>37783</v>
      </c>
      <c r="E560" s="5">
        <f t="shared" si="8"/>
        <v>2003</v>
      </c>
      <c r="F560" s="3" t="s">
        <v>195</v>
      </c>
      <c r="G560" s="6">
        <v>5280</v>
      </c>
      <c r="H560" s="5">
        <v>1076</v>
      </c>
    </row>
    <row r="561" spans="2:8" ht="17.5" customHeight="1" x14ac:dyDescent="0.4">
      <c r="B561" s="3" t="s">
        <v>7</v>
      </c>
      <c r="C561" s="3" t="s">
        <v>193</v>
      </c>
      <c r="D561" s="4">
        <f>DATE(2003,7,9)</f>
        <v>37811</v>
      </c>
      <c r="E561" s="5">
        <f t="shared" si="8"/>
        <v>2003</v>
      </c>
      <c r="F561" s="3" t="s">
        <v>195</v>
      </c>
      <c r="G561" s="6">
        <v>8800</v>
      </c>
      <c r="H561" s="5">
        <v>1170</v>
      </c>
    </row>
    <row r="562" spans="2:8" ht="17.5" customHeight="1" x14ac:dyDescent="0.4">
      <c r="B562" s="3" t="s">
        <v>7</v>
      </c>
      <c r="C562" s="3" t="s">
        <v>193</v>
      </c>
      <c r="D562" s="4">
        <f>DATE(2003,7,21)</f>
        <v>37823</v>
      </c>
      <c r="E562" s="5">
        <f t="shared" si="8"/>
        <v>2003</v>
      </c>
      <c r="F562" s="3" t="s">
        <v>195</v>
      </c>
      <c r="G562" s="6">
        <v>126</v>
      </c>
      <c r="H562" s="5">
        <v>1244</v>
      </c>
    </row>
    <row r="563" spans="2:8" ht="17.5" customHeight="1" x14ac:dyDescent="0.4">
      <c r="B563" s="3" t="s">
        <v>7</v>
      </c>
      <c r="C563" s="3" t="s">
        <v>193</v>
      </c>
      <c r="D563" s="4">
        <f>DATE(2003,8,20)</f>
        <v>37853</v>
      </c>
      <c r="E563" s="5">
        <f t="shared" si="8"/>
        <v>2003</v>
      </c>
      <c r="F563" s="3" t="s">
        <v>195</v>
      </c>
      <c r="G563" s="6">
        <v>8800</v>
      </c>
      <c r="H563" s="5">
        <v>1374</v>
      </c>
    </row>
    <row r="564" spans="2:8" ht="17.5" customHeight="1" x14ac:dyDescent="0.4">
      <c r="B564" s="3" t="s">
        <v>7</v>
      </c>
      <c r="C564" s="3" t="s">
        <v>193</v>
      </c>
      <c r="D564" s="4">
        <f>DATE(2003,8,28)</f>
        <v>37861</v>
      </c>
      <c r="E564" s="5">
        <f t="shared" si="8"/>
        <v>2003</v>
      </c>
      <c r="F564" s="3" t="s">
        <v>195</v>
      </c>
      <c r="G564" s="6">
        <v>306</v>
      </c>
      <c r="H564" s="5">
        <v>1419</v>
      </c>
    </row>
    <row r="565" spans="2:8" ht="17.5" customHeight="1" x14ac:dyDescent="0.4">
      <c r="B565" s="3" t="s">
        <v>7</v>
      </c>
      <c r="C565" s="3" t="s">
        <v>193</v>
      </c>
      <c r="D565" s="4">
        <f>DATE(2003,10,23)</f>
        <v>37917</v>
      </c>
      <c r="E565" s="5">
        <f t="shared" si="8"/>
        <v>2003</v>
      </c>
      <c r="F565" s="3" t="s">
        <v>195</v>
      </c>
      <c r="G565" s="6">
        <v>5500</v>
      </c>
      <c r="H565" s="5">
        <v>1675</v>
      </c>
    </row>
    <row r="566" spans="2:8" ht="17.5" customHeight="1" x14ac:dyDescent="0.4">
      <c r="B566" s="3" t="s">
        <v>7</v>
      </c>
      <c r="C566" s="3" t="s">
        <v>193</v>
      </c>
      <c r="D566" s="4">
        <f>DATE(2004,3,29)</f>
        <v>38075</v>
      </c>
      <c r="E566" s="5">
        <f t="shared" si="8"/>
        <v>2004</v>
      </c>
      <c r="F566" s="3" t="s">
        <v>195</v>
      </c>
      <c r="G566" s="6">
        <v>6600</v>
      </c>
      <c r="H566" s="5">
        <v>2395</v>
      </c>
    </row>
    <row r="567" spans="2:8" ht="17.5" customHeight="1" x14ac:dyDescent="0.4">
      <c r="B567" s="3" t="s">
        <v>7</v>
      </c>
      <c r="C567" s="3" t="s">
        <v>193</v>
      </c>
      <c r="D567" s="4">
        <f>DATE(2004,4,20)</f>
        <v>38097</v>
      </c>
      <c r="E567" s="5">
        <f t="shared" si="8"/>
        <v>2004</v>
      </c>
      <c r="F567" s="3" t="s">
        <v>195</v>
      </c>
      <c r="G567" s="6">
        <v>8800</v>
      </c>
      <c r="H567" s="5">
        <v>2670</v>
      </c>
    </row>
    <row r="568" spans="2:8" ht="17.5" customHeight="1" x14ac:dyDescent="0.4">
      <c r="B568" s="3" t="s">
        <v>7</v>
      </c>
      <c r="C568" s="3" t="s">
        <v>193</v>
      </c>
      <c r="D568" s="4">
        <f>DATE(2004,6,11)</f>
        <v>38149</v>
      </c>
      <c r="E568" s="5">
        <f t="shared" si="8"/>
        <v>2004</v>
      </c>
      <c r="F568" s="3" t="s">
        <v>195</v>
      </c>
      <c r="G568" s="6">
        <v>6600</v>
      </c>
      <c r="H568" s="5">
        <v>2992</v>
      </c>
    </row>
    <row r="569" spans="2:8" ht="17.5" customHeight="1" x14ac:dyDescent="0.4">
      <c r="B569" s="3" t="s">
        <v>7</v>
      </c>
      <c r="C569" s="3" t="s">
        <v>193</v>
      </c>
      <c r="D569" s="4">
        <f>DATE(2004,8,11)</f>
        <v>38210</v>
      </c>
      <c r="E569" s="5">
        <f t="shared" si="8"/>
        <v>2004</v>
      </c>
      <c r="F569" s="3" t="s">
        <v>195</v>
      </c>
      <c r="G569" s="6">
        <v>8800</v>
      </c>
      <c r="H569" s="5">
        <v>3246</v>
      </c>
    </row>
    <row r="570" spans="2:8" ht="17.5" customHeight="1" x14ac:dyDescent="0.4">
      <c r="B570" s="3" t="s">
        <v>7</v>
      </c>
      <c r="C570" s="3" t="s">
        <v>193</v>
      </c>
      <c r="D570" s="4">
        <f>DATE(2004,8,27)</f>
        <v>38226</v>
      </c>
      <c r="E570" s="5">
        <f t="shared" si="8"/>
        <v>2004</v>
      </c>
      <c r="F570" s="3" t="s">
        <v>195</v>
      </c>
      <c r="G570" s="6">
        <v>750</v>
      </c>
      <c r="H570" s="5">
        <v>3312</v>
      </c>
    </row>
    <row r="571" spans="2:8" ht="17.5" customHeight="1" x14ac:dyDescent="0.4">
      <c r="B571" s="3" t="s">
        <v>7</v>
      </c>
      <c r="C571" s="3" t="s">
        <v>193</v>
      </c>
      <c r="D571" s="4">
        <f>DATE(2004,9,10)</f>
        <v>38240</v>
      </c>
      <c r="E571" s="5">
        <f t="shared" si="8"/>
        <v>2004</v>
      </c>
      <c r="F571" s="3" t="s">
        <v>195</v>
      </c>
      <c r="G571" s="6">
        <v>190</v>
      </c>
      <c r="H571" s="5">
        <v>3372</v>
      </c>
    </row>
    <row r="572" spans="2:8" ht="17.5" customHeight="1" x14ac:dyDescent="0.4">
      <c r="B572" s="3" t="s">
        <v>7</v>
      </c>
      <c r="C572" s="3" t="s">
        <v>193</v>
      </c>
      <c r="D572" s="4">
        <f>DATE(2004,9,29)</f>
        <v>38259</v>
      </c>
      <c r="E572" s="5">
        <f t="shared" si="8"/>
        <v>2004</v>
      </c>
      <c r="F572" s="3" t="s">
        <v>195</v>
      </c>
      <c r="G572" s="6">
        <v>285</v>
      </c>
      <c r="H572" s="5">
        <v>3480</v>
      </c>
    </row>
    <row r="573" spans="2:8" ht="17.5" customHeight="1" x14ac:dyDescent="0.4">
      <c r="B573" s="3" t="s">
        <v>7</v>
      </c>
      <c r="C573" s="3" t="s">
        <v>193</v>
      </c>
      <c r="D573" s="4">
        <f>DATE(2004,10,4)</f>
        <v>38264</v>
      </c>
      <c r="E573" s="5">
        <f t="shared" si="8"/>
        <v>2004</v>
      </c>
      <c r="F573" s="3" t="s">
        <v>195</v>
      </c>
      <c r="G573" s="6">
        <v>1254</v>
      </c>
      <c r="H573" s="5">
        <v>3456</v>
      </c>
    </row>
    <row r="574" spans="2:8" ht="17.5" customHeight="1" x14ac:dyDescent="0.4">
      <c r="B574" s="3" t="s">
        <v>7</v>
      </c>
      <c r="C574" s="3" t="s">
        <v>193</v>
      </c>
      <c r="D574" s="4">
        <f>DATE(2004,10,8)</f>
        <v>38268</v>
      </c>
      <c r="E574" s="5">
        <f t="shared" si="8"/>
        <v>2004</v>
      </c>
      <c r="F574" s="3" t="s">
        <v>195</v>
      </c>
      <c r="G574" s="6">
        <v>8800</v>
      </c>
      <c r="H574" s="5">
        <v>3538</v>
      </c>
    </row>
    <row r="575" spans="2:8" ht="17.5" customHeight="1" x14ac:dyDescent="0.4">
      <c r="B575" s="3" t="s">
        <v>7</v>
      </c>
      <c r="C575" s="3" t="s">
        <v>193</v>
      </c>
      <c r="D575" s="4">
        <f>DATE(2005,1,7)</f>
        <v>38359</v>
      </c>
      <c r="E575" s="5">
        <f t="shared" si="8"/>
        <v>2005</v>
      </c>
      <c r="F575" s="3" t="s">
        <v>195</v>
      </c>
      <c r="G575" s="6">
        <v>285</v>
      </c>
      <c r="H575" s="5">
        <v>3937</v>
      </c>
    </row>
    <row r="576" spans="2:8" ht="17.5" customHeight="1" x14ac:dyDescent="0.4">
      <c r="B576" s="3" t="s">
        <v>7</v>
      </c>
      <c r="C576" s="3" t="s">
        <v>193</v>
      </c>
      <c r="D576" s="4">
        <f>DATE(2005,3,11)</f>
        <v>38422</v>
      </c>
      <c r="E576" s="5">
        <f t="shared" si="8"/>
        <v>2005</v>
      </c>
      <c r="F576" s="3" t="s">
        <v>195</v>
      </c>
      <c r="G576" s="6">
        <v>400</v>
      </c>
      <c r="H576" s="5">
        <v>4319</v>
      </c>
    </row>
    <row r="577" spans="2:8" ht="17.5" customHeight="1" x14ac:dyDescent="0.4">
      <c r="B577" s="3" t="s">
        <v>7</v>
      </c>
      <c r="C577" s="3" t="s">
        <v>193</v>
      </c>
      <c r="D577" s="4">
        <f>DATE(2005,4,12)</f>
        <v>38454</v>
      </c>
      <c r="E577" s="5">
        <f t="shared" si="8"/>
        <v>2005</v>
      </c>
      <c r="F577" s="3" t="s">
        <v>195</v>
      </c>
      <c r="G577" s="6">
        <v>1520</v>
      </c>
      <c r="H577" s="5">
        <v>4545</v>
      </c>
    </row>
    <row r="578" spans="2:8" ht="17.5" customHeight="1" x14ac:dyDescent="0.4">
      <c r="B578" s="3" t="s">
        <v>7</v>
      </c>
      <c r="C578" s="3" t="s">
        <v>193</v>
      </c>
      <c r="D578" s="4">
        <f>DATE(2005,4,20)</f>
        <v>38462</v>
      </c>
      <c r="E578" s="5">
        <f t="shared" si="8"/>
        <v>2005</v>
      </c>
      <c r="F578" s="3" t="s">
        <v>195</v>
      </c>
      <c r="G578" s="6">
        <v>94.5</v>
      </c>
      <c r="H578" s="5">
        <v>4600</v>
      </c>
    </row>
    <row r="579" spans="2:8" ht="17.5" customHeight="1" x14ac:dyDescent="0.4">
      <c r="B579" s="3" t="s">
        <v>7</v>
      </c>
      <c r="C579" s="3" t="s">
        <v>193</v>
      </c>
      <c r="D579" s="4">
        <f>DATE(2005,4,25)</f>
        <v>38467</v>
      </c>
      <c r="E579" s="5">
        <f t="shared" ref="E579:E642" si="9">YEAR(D579)</f>
        <v>2005</v>
      </c>
      <c r="F579" s="3" t="s">
        <v>195</v>
      </c>
      <c r="G579" s="6">
        <v>504</v>
      </c>
      <c r="H579" s="5">
        <v>4617</v>
      </c>
    </row>
    <row r="580" spans="2:8" ht="17.5" customHeight="1" x14ac:dyDescent="0.4">
      <c r="B580" s="3" t="s">
        <v>7</v>
      </c>
      <c r="C580" s="3" t="s">
        <v>193</v>
      </c>
      <c r="D580" s="4">
        <f>DATE(2005,5,11)</f>
        <v>38483</v>
      </c>
      <c r="E580" s="5">
        <f t="shared" si="9"/>
        <v>2005</v>
      </c>
      <c r="F580" s="3" t="s">
        <v>195</v>
      </c>
      <c r="G580" s="6">
        <v>8800</v>
      </c>
      <c r="H580" s="5">
        <v>4725</v>
      </c>
    </row>
    <row r="581" spans="2:8" ht="17.5" customHeight="1" x14ac:dyDescent="0.4">
      <c r="B581" s="3" t="s">
        <v>7</v>
      </c>
      <c r="C581" s="3" t="s">
        <v>193</v>
      </c>
      <c r="D581" s="4">
        <f>DATE(2005,6,17)</f>
        <v>38520</v>
      </c>
      <c r="E581" s="5">
        <f t="shared" si="9"/>
        <v>2005</v>
      </c>
      <c r="F581" s="3" t="s">
        <v>195</v>
      </c>
      <c r="G581" s="6">
        <v>1941</v>
      </c>
      <c r="H581" s="5">
        <v>4901</v>
      </c>
    </row>
    <row r="582" spans="2:8" ht="17.5" customHeight="1" x14ac:dyDescent="0.4">
      <c r="B582" s="3" t="s">
        <v>7</v>
      </c>
      <c r="C582" s="3" t="s">
        <v>193</v>
      </c>
      <c r="D582" s="4">
        <f>DATE(2005,6,22)</f>
        <v>38525</v>
      </c>
      <c r="E582" s="5">
        <f t="shared" si="9"/>
        <v>2005</v>
      </c>
      <c r="F582" s="3" t="s">
        <v>195</v>
      </c>
      <c r="G582" s="6">
        <v>3235</v>
      </c>
      <c r="H582" s="5">
        <v>4918</v>
      </c>
    </row>
    <row r="583" spans="2:8" ht="17.5" customHeight="1" x14ac:dyDescent="0.4">
      <c r="B583" s="3" t="s">
        <v>7</v>
      </c>
      <c r="C583" s="3" t="s">
        <v>193</v>
      </c>
      <c r="D583" s="4">
        <f>DATE(2005,6,28)</f>
        <v>38531</v>
      </c>
      <c r="E583" s="5">
        <f t="shared" si="9"/>
        <v>2005</v>
      </c>
      <c r="F583" s="3" t="s">
        <v>195</v>
      </c>
      <c r="G583" s="6">
        <v>8800</v>
      </c>
      <c r="H583" s="5">
        <v>4884</v>
      </c>
    </row>
    <row r="584" spans="2:8" ht="17.5" customHeight="1" x14ac:dyDescent="0.4">
      <c r="B584" s="3" t="s">
        <v>7</v>
      </c>
      <c r="C584" s="3" t="s">
        <v>193</v>
      </c>
      <c r="D584" s="4">
        <f>DATE(2005,8,11)</f>
        <v>38575</v>
      </c>
      <c r="E584" s="5">
        <f t="shared" si="9"/>
        <v>2005</v>
      </c>
      <c r="F584" s="3" t="s">
        <v>195</v>
      </c>
      <c r="G584" s="6">
        <v>6600</v>
      </c>
      <c r="H584" s="5">
        <v>5105</v>
      </c>
    </row>
    <row r="585" spans="2:8" ht="17.5" customHeight="1" x14ac:dyDescent="0.4">
      <c r="B585" s="3" t="s">
        <v>7</v>
      </c>
      <c r="C585" s="3" t="s">
        <v>193</v>
      </c>
      <c r="D585" s="4">
        <f>DATE(2005,10,13)</f>
        <v>38638</v>
      </c>
      <c r="E585" s="5">
        <f t="shared" si="9"/>
        <v>2005</v>
      </c>
      <c r="F585" s="3" t="s">
        <v>195</v>
      </c>
      <c r="G585" s="6">
        <v>94.5</v>
      </c>
      <c r="H585" s="5">
        <v>5429</v>
      </c>
    </row>
    <row r="586" spans="2:8" ht="17.5" customHeight="1" x14ac:dyDescent="0.4">
      <c r="B586" s="3" t="s">
        <v>7</v>
      </c>
      <c r="C586" s="3" t="s">
        <v>193</v>
      </c>
      <c r="D586" s="4">
        <f>DATE(2006,3,1)</f>
        <v>38777</v>
      </c>
      <c r="E586" s="5">
        <f t="shared" si="9"/>
        <v>2006</v>
      </c>
      <c r="F586" s="3" t="s">
        <v>195</v>
      </c>
      <c r="G586" s="6">
        <v>400</v>
      </c>
      <c r="H586" s="5">
        <v>6176</v>
      </c>
    </row>
    <row r="587" spans="2:8" ht="17.5" customHeight="1" x14ac:dyDescent="0.4">
      <c r="B587" s="3" t="s">
        <v>7</v>
      </c>
      <c r="C587" s="3" t="s">
        <v>193</v>
      </c>
      <c r="D587" s="4">
        <f>DATE(2006,3,27)</f>
        <v>38803</v>
      </c>
      <c r="E587" s="5">
        <f t="shared" si="9"/>
        <v>2006</v>
      </c>
      <c r="F587" s="3" t="s">
        <v>195</v>
      </c>
      <c r="G587" s="6">
        <v>24395</v>
      </c>
      <c r="H587" s="5">
        <v>6142</v>
      </c>
    </row>
    <row r="588" spans="2:8" ht="17.5" customHeight="1" x14ac:dyDescent="0.4">
      <c r="B588" s="3" t="s">
        <v>7</v>
      </c>
      <c r="C588" s="3" t="s">
        <v>193</v>
      </c>
      <c r="D588" s="4">
        <f>DATE(2006,3,28)</f>
        <v>38804</v>
      </c>
      <c r="E588" s="5">
        <f t="shared" si="9"/>
        <v>2006</v>
      </c>
      <c r="F588" s="3" t="s">
        <v>195</v>
      </c>
      <c r="G588" s="6">
        <v>3485</v>
      </c>
      <c r="H588" s="5">
        <v>6142</v>
      </c>
    </row>
    <row r="589" spans="2:8" ht="17.5" customHeight="1" x14ac:dyDescent="0.4">
      <c r="B589" s="3" t="s">
        <v>7</v>
      </c>
      <c r="C589" s="3" t="s">
        <v>193</v>
      </c>
      <c r="D589" s="4">
        <f>DATE(2006,5,8)</f>
        <v>38845</v>
      </c>
      <c r="E589" s="5">
        <f t="shared" si="9"/>
        <v>2006</v>
      </c>
      <c r="F589" s="3" t="s">
        <v>195</v>
      </c>
      <c r="G589" s="6">
        <v>3939.4</v>
      </c>
      <c r="H589" s="5">
        <v>6614</v>
      </c>
    </row>
    <row r="590" spans="2:8" ht="17.5" customHeight="1" x14ac:dyDescent="0.4">
      <c r="B590" s="3" t="s">
        <v>7</v>
      </c>
      <c r="C590" s="3" t="s">
        <v>193</v>
      </c>
      <c r="D590" s="4">
        <f>DATE(2006,5,26)</f>
        <v>38863</v>
      </c>
      <c r="E590" s="5">
        <f t="shared" si="9"/>
        <v>2006</v>
      </c>
      <c r="F590" s="3" t="s">
        <v>195</v>
      </c>
      <c r="G590" s="6">
        <v>61</v>
      </c>
      <c r="H590" s="5">
        <v>6739</v>
      </c>
    </row>
    <row r="591" spans="2:8" ht="17.5" customHeight="1" x14ac:dyDescent="0.4">
      <c r="B591" s="3" t="s">
        <v>7</v>
      </c>
      <c r="C591" s="3" t="s">
        <v>193</v>
      </c>
      <c r="D591" s="4">
        <f>DATE(2006,6,22)</f>
        <v>38890</v>
      </c>
      <c r="E591" s="5">
        <f t="shared" si="9"/>
        <v>2006</v>
      </c>
      <c r="F591" s="3" t="s">
        <v>195</v>
      </c>
      <c r="G591" s="6">
        <v>1183</v>
      </c>
      <c r="H591" s="5">
        <v>6883</v>
      </c>
    </row>
    <row r="592" spans="2:8" ht="17.5" customHeight="1" x14ac:dyDescent="0.4">
      <c r="B592" s="3" t="s">
        <v>7</v>
      </c>
      <c r="C592" s="3" t="s">
        <v>193</v>
      </c>
      <c r="D592" s="4">
        <f>DATE(2006,6,16)</f>
        <v>38884</v>
      </c>
      <c r="E592" s="5">
        <f t="shared" si="9"/>
        <v>2006</v>
      </c>
      <c r="F592" s="3" t="s">
        <v>195</v>
      </c>
      <c r="G592" s="6">
        <v>1892.84</v>
      </c>
      <c r="H592" s="5">
        <v>6847</v>
      </c>
    </row>
    <row r="593" spans="2:8" ht="17.5" customHeight="1" x14ac:dyDescent="0.4">
      <c r="B593" s="3" t="s">
        <v>7</v>
      </c>
      <c r="C593" s="3" t="s">
        <v>193</v>
      </c>
      <c r="D593" s="4">
        <f>DATE(2006,7,17)</f>
        <v>38915</v>
      </c>
      <c r="E593" s="5">
        <f t="shared" si="9"/>
        <v>2006</v>
      </c>
      <c r="F593" s="3" t="s">
        <v>195</v>
      </c>
      <c r="G593" s="6">
        <v>7920</v>
      </c>
      <c r="H593" s="5">
        <v>6956</v>
      </c>
    </row>
    <row r="594" spans="2:8" ht="17.5" customHeight="1" x14ac:dyDescent="0.4">
      <c r="B594" s="3" t="s">
        <v>7</v>
      </c>
      <c r="C594" s="3" t="s">
        <v>193</v>
      </c>
      <c r="D594" s="4">
        <f>DATE(2006,8,11)</f>
        <v>38940</v>
      </c>
      <c r="E594" s="5">
        <f t="shared" si="9"/>
        <v>2006</v>
      </c>
      <c r="F594" s="3" t="s">
        <v>195</v>
      </c>
      <c r="G594" s="6">
        <v>800</v>
      </c>
      <c r="H594" s="5">
        <v>7088</v>
      </c>
    </row>
    <row r="595" spans="2:8" ht="17.5" customHeight="1" x14ac:dyDescent="0.4">
      <c r="B595" s="3" t="s">
        <v>7</v>
      </c>
      <c r="C595" s="3" t="s">
        <v>193</v>
      </c>
      <c r="D595" s="4">
        <f>DATE(2006,8,11)</f>
        <v>38940</v>
      </c>
      <c r="E595" s="5">
        <f t="shared" si="9"/>
        <v>2006</v>
      </c>
      <c r="F595" s="3" t="s">
        <v>195</v>
      </c>
      <c r="G595" s="6">
        <v>63</v>
      </c>
      <c r="H595" s="5">
        <v>7090</v>
      </c>
    </row>
    <row r="596" spans="2:8" ht="17.5" customHeight="1" x14ac:dyDescent="0.4">
      <c r="B596" s="3" t="s">
        <v>7</v>
      </c>
      <c r="C596" s="3" t="s">
        <v>193</v>
      </c>
      <c r="D596" s="4">
        <f>DATE(2006,8,18)</f>
        <v>38947</v>
      </c>
      <c r="E596" s="5">
        <f t="shared" si="9"/>
        <v>2006</v>
      </c>
      <c r="F596" s="3" t="s">
        <v>195</v>
      </c>
      <c r="G596" s="6">
        <v>6600</v>
      </c>
      <c r="H596" s="5">
        <v>7114</v>
      </c>
    </row>
    <row r="597" spans="2:8" ht="17.5" customHeight="1" x14ac:dyDescent="0.4">
      <c r="B597" s="3" t="s">
        <v>7</v>
      </c>
      <c r="C597" s="3" t="s">
        <v>193</v>
      </c>
      <c r="D597" s="4">
        <f>DATE(2006,10,16)</f>
        <v>39006</v>
      </c>
      <c r="E597" s="5">
        <f t="shared" si="9"/>
        <v>2006</v>
      </c>
      <c r="F597" s="3" t="s">
        <v>195</v>
      </c>
      <c r="G597" s="6">
        <v>1062.95</v>
      </c>
      <c r="H597" s="5">
        <v>7276</v>
      </c>
    </row>
    <row r="598" spans="2:8" ht="17.5" customHeight="1" x14ac:dyDescent="0.4">
      <c r="B598" s="3" t="s">
        <v>7</v>
      </c>
      <c r="C598" s="3" t="s">
        <v>193</v>
      </c>
      <c r="D598" s="4">
        <f>DATE(2006,12,21)</f>
        <v>39072</v>
      </c>
      <c r="E598" s="5">
        <f t="shared" si="9"/>
        <v>2006</v>
      </c>
      <c r="F598" s="3" t="s">
        <v>195</v>
      </c>
      <c r="G598" s="6">
        <v>10125</v>
      </c>
      <c r="H598" s="5">
        <v>7675</v>
      </c>
    </row>
    <row r="599" spans="2:8" ht="17.5" customHeight="1" x14ac:dyDescent="0.4">
      <c r="B599" s="3" t="s">
        <v>7</v>
      </c>
      <c r="C599" s="3" t="s">
        <v>193</v>
      </c>
      <c r="D599" s="4">
        <f>DATE(2007,1,15)</f>
        <v>39097</v>
      </c>
      <c r="E599" s="5">
        <f t="shared" si="9"/>
        <v>2007</v>
      </c>
      <c r="F599" s="3" t="s">
        <v>195</v>
      </c>
      <c r="G599" s="6">
        <v>7500</v>
      </c>
      <c r="H599" s="5">
        <v>7736</v>
      </c>
    </row>
    <row r="600" spans="2:8" ht="17.5" customHeight="1" x14ac:dyDescent="0.4">
      <c r="B600" s="3" t="s">
        <v>7</v>
      </c>
      <c r="C600" s="3" t="s">
        <v>193</v>
      </c>
      <c r="D600" s="4">
        <f>DATE(2007,5,1)</f>
        <v>39203</v>
      </c>
      <c r="E600" s="5">
        <f t="shared" si="9"/>
        <v>2007</v>
      </c>
      <c r="F600" s="3" t="s">
        <v>195</v>
      </c>
      <c r="G600" s="6">
        <v>1150</v>
      </c>
      <c r="H600" s="5">
        <v>8489</v>
      </c>
    </row>
    <row r="601" spans="2:8" ht="17.5" customHeight="1" x14ac:dyDescent="0.4">
      <c r="B601" s="3" t="s">
        <v>7</v>
      </c>
      <c r="C601" s="3" t="s">
        <v>193</v>
      </c>
      <c r="D601" s="4">
        <f>DATE(2007,5,16)</f>
        <v>39218</v>
      </c>
      <c r="E601" s="5">
        <f t="shared" si="9"/>
        <v>2007</v>
      </c>
      <c r="F601" s="3" t="s">
        <v>195</v>
      </c>
      <c r="G601" s="6">
        <v>7500</v>
      </c>
      <c r="H601" s="5">
        <v>8581</v>
      </c>
    </row>
    <row r="602" spans="2:8" ht="17.5" customHeight="1" x14ac:dyDescent="0.4">
      <c r="B602" s="3" t="s">
        <v>7</v>
      </c>
      <c r="C602" s="3" t="s">
        <v>193</v>
      </c>
      <c r="D602" s="4">
        <f>DATE(2007,6,8)</f>
        <v>39241</v>
      </c>
      <c r="E602" s="5">
        <f t="shared" si="9"/>
        <v>2007</v>
      </c>
      <c r="F602" s="3" t="s">
        <v>195</v>
      </c>
      <c r="G602" s="6">
        <v>126</v>
      </c>
      <c r="H602" s="5">
        <v>8733</v>
      </c>
    </row>
    <row r="603" spans="2:8" ht="17.5" customHeight="1" x14ac:dyDescent="0.4">
      <c r="B603" s="3" t="s">
        <v>7</v>
      </c>
      <c r="C603" s="3" t="s">
        <v>193</v>
      </c>
      <c r="D603" s="4">
        <f>DATE(2007,7,3)</f>
        <v>39266</v>
      </c>
      <c r="E603" s="5">
        <f t="shared" si="9"/>
        <v>2007</v>
      </c>
      <c r="F603" s="3" t="s">
        <v>195</v>
      </c>
      <c r="G603" s="6">
        <v>400</v>
      </c>
      <c r="H603" s="5">
        <v>8854</v>
      </c>
    </row>
    <row r="604" spans="2:8" ht="17.5" customHeight="1" x14ac:dyDescent="0.4">
      <c r="B604" s="3" t="s">
        <v>7</v>
      </c>
      <c r="C604" s="3" t="s">
        <v>193</v>
      </c>
      <c r="D604" s="4">
        <f>DATE(2007,7,10)</f>
        <v>39273</v>
      </c>
      <c r="E604" s="5">
        <f t="shared" si="9"/>
        <v>2007</v>
      </c>
      <c r="F604" s="3" t="s">
        <v>195</v>
      </c>
      <c r="G604" s="6">
        <v>601</v>
      </c>
      <c r="H604" s="5">
        <v>8873</v>
      </c>
    </row>
    <row r="605" spans="2:8" ht="17.5" customHeight="1" x14ac:dyDescent="0.4">
      <c r="B605" s="3" t="s">
        <v>7</v>
      </c>
      <c r="C605" s="3" t="s">
        <v>193</v>
      </c>
      <c r="D605" s="4">
        <f>DATE(2007,7,27)</f>
        <v>39290</v>
      </c>
      <c r="E605" s="5">
        <f t="shared" si="9"/>
        <v>2007</v>
      </c>
      <c r="F605" s="3" t="s">
        <v>195</v>
      </c>
      <c r="G605" s="6">
        <v>820</v>
      </c>
      <c r="H605" s="5">
        <v>8920</v>
      </c>
    </row>
    <row r="606" spans="2:8" ht="17.5" customHeight="1" x14ac:dyDescent="0.4">
      <c r="B606" s="3" t="s">
        <v>7</v>
      </c>
      <c r="C606" s="3" t="s">
        <v>193</v>
      </c>
      <c r="D606" s="4">
        <f>DATE(2007,7,27)</f>
        <v>39290</v>
      </c>
      <c r="E606" s="5">
        <f t="shared" si="9"/>
        <v>2007</v>
      </c>
      <c r="F606" s="3" t="s">
        <v>195</v>
      </c>
      <c r="G606" s="6">
        <v>9750</v>
      </c>
      <c r="H606" s="5">
        <v>8911</v>
      </c>
    </row>
    <row r="607" spans="2:8" ht="17.5" customHeight="1" x14ac:dyDescent="0.4">
      <c r="B607" s="3" t="s">
        <v>7</v>
      </c>
      <c r="C607" s="3" t="s">
        <v>193</v>
      </c>
      <c r="D607" s="4">
        <f>DATE(2007,11,14)</f>
        <v>39400</v>
      </c>
      <c r="E607" s="5">
        <f t="shared" si="9"/>
        <v>2007</v>
      </c>
      <c r="F607" s="3" t="s">
        <v>195</v>
      </c>
      <c r="G607" s="6">
        <v>889</v>
      </c>
      <c r="H607" s="5">
        <v>9316</v>
      </c>
    </row>
    <row r="608" spans="2:8" ht="17.5" customHeight="1" x14ac:dyDescent="0.4">
      <c r="B608" s="3" t="s">
        <v>7</v>
      </c>
      <c r="C608" s="3" t="s">
        <v>193</v>
      </c>
      <c r="D608" s="4">
        <f>DATE(2008,3,24)</f>
        <v>39531</v>
      </c>
      <c r="E608" s="5">
        <f t="shared" si="9"/>
        <v>2008</v>
      </c>
      <c r="F608" s="3" t="s">
        <v>195</v>
      </c>
      <c r="G608" s="6">
        <v>1638</v>
      </c>
      <c r="H608" s="5">
        <v>10177</v>
      </c>
    </row>
    <row r="609" spans="2:8" ht="17.5" customHeight="1" x14ac:dyDescent="0.4">
      <c r="B609" s="3" t="s">
        <v>7</v>
      </c>
      <c r="C609" s="3" t="s">
        <v>193</v>
      </c>
      <c r="D609" s="4">
        <f>DATE(2008,4,17)</f>
        <v>39555</v>
      </c>
      <c r="E609" s="5">
        <f t="shared" si="9"/>
        <v>2008</v>
      </c>
      <c r="F609" s="3" t="s">
        <v>195</v>
      </c>
      <c r="G609" s="6">
        <v>9890.6299999999992</v>
      </c>
      <c r="H609" s="5">
        <v>10423</v>
      </c>
    </row>
    <row r="610" spans="2:8" ht="17.5" customHeight="1" x14ac:dyDescent="0.4">
      <c r="B610" s="3" t="s">
        <v>7</v>
      </c>
      <c r="C610" s="3" t="s">
        <v>193</v>
      </c>
      <c r="D610" s="4">
        <f>DATE(2008,4,28)</f>
        <v>39566</v>
      </c>
      <c r="E610" s="5">
        <f t="shared" si="9"/>
        <v>2008</v>
      </c>
      <c r="F610" s="3" t="s">
        <v>195</v>
      </c>
      <c r="G610" s="6">
        <v>2196</v>
      </c>
      <c r="H610" s="5">
        <v>10514</v>
      </c>
    </row>
    <row r="611" spans="2:8" ht="17.5" customHeight="1" x14ac:dyDescent="0.4">
      <c r="B611" s="3" t="s">
        <v>7</v>
      </c>
      <c r="C611" s="3" t="s">
        <v>193</v>
      </c>
      <c r="D611" s="4">
        <f>DATE(2008,4,30)</f>
        <v>39568</v>
      </c>
      <c r="E611" s="5">
        <f t="shared" si="9"/>
        <v>2008</v>
      </c>
      <c r="F611" s="3" t="s">
        <v>195</v>
      </c>
      <c r="G611" s="6">
        <v>480</v>
      </c>
      <c r="H611" s="5">
        <v>10588</v>
      </c>
    </row>
    <row r="612" spans="2:8" ht="17.5" customHeight="1" x14ac:dyDescent="0.4">
      <c r="B612" s="3" t="s">
        <v>7</v>
      </c>
      <c r="C612" s="3" t="s">
        <v>193</v>
      </c>
      <c r="D612" s="4">
        <f>DATE(2008,6,13)</f>
        <v>39612</v>
      </c>
      <c r="E612" s="5">
        <f t="shared" si="9"/>
        <v>2008</v>
      </c>
      <c r="F612" s="3" t="s">
        <v>195</v>
      </c>
      <c r="G612" s="6">
        <v>6989.38</v>
      </c>
      <c r="H612" s="5">
        <v>10808</v>
      </c>
    </row>
    <row r="613" spans="2:8" ht="17.5" customHeight="1" x14ac:dyDescent="0.4">
      <c r="B613" s="3" t="s">
        <v>7</v>
      </c>
      <c r="C613" s="3" t="s">
        <v>193</v>
      </c>
      <c r="D613" s="4">
        <f>DATE(2008,7,3)</f>
        <v>39632</v>
      </c>
      <c r="E613" s="5">
        <f t="shared" si="9"/>
        <v>2008</v>
      </c>
      <c r="F613" s="3" t="s">
        <v>195</v>
      </c>
      <c r="G613" s="6">
        <v>1396</v>
      </c>
      <c r="H613" s="5">
        <v>10915</v>
      </c>
    </row>
    <row r="614" spans="2:8" ht="17.5" customHeight="1" x14ac:dyDescent="0.4">
      <c r="B614" s="3" t="s">
        <v>7</v>
      </c>
      <c r="C614" s="3" t="s">
        <v>193</v>
      </c>
      <c r="D614" s="4">
        <f>DATE(2008,7,15)</f>
        <v>39644</v>
      </c>
      <c r="E614" s="5">
        <f t="shared" si="9"/>
        <v>2008</v>
      </c>
      <c r="F614" s="3" t="s">
        <v>195</v>
      </c>
      <c r="G614" s="6">
        <v>1200</v>
      </c>
      <c r="H614" s="5">
        <v>10953</v>
      </c>
    </row>
    <row r="615" spans="2:8" ht="17.5" customHeight="1" x14ac:dyDescent="0.4">
      <c r="B615" s="3" t="s">
        <v>7</v>
      </c>
      <c r="C615" s="3" t="s">
        <v>193</v>
      </c>
      <c r="D615" s="4">
        <f>DATE(2008,7,22)</f>
        <v>39651</v>
      </c>
      <c r="E615" s="5">
        <f t="shared" si="9"/>
        <v>2008</v>
      </c>
      <c r="F615" s="3" t="s">
        <v>195</v>
      </c>
      <c r="G615" s="6">
        <v>4655</v>
      </c>
      <c r="H615" s="5">
        <v>10963</v>
      </c>
    </row>
    <row r="616" spans="2:8" ht="17.5" customHeight="1" x14ac:dyDescent="0.4">
      <c r="B616" s="3" t="s">
        <v>7</v>
      </c>
      <c r="C616" s="3" t="s">
        <v>193</v>
      </c>
      <c r="D616" s="4">
        <f>DATE(2009,8,6)</f>
        <v>40031</v>
      </c>
      <c r="E616" s="5">
        <f t="shared" si="9"/>
        <v>2009</v>
      </c>
      <c r="F616" s="3" t="s">
        <v>195</v>
      </c>
      <c r="G616" s="6">
        <v>126</v>
      </c>
      <c r="H616" s="5">
        <v>12880</v>
      </c>
    </row>
    <row r="617" spans="2:8" ht="17.5" customHeight="1" x14ac:dyDescent="0.4">
      <c r="B617" s="3" t="s">
        <v>7</v>
      </c>
      <c r="C617" s="3" t="s">
        <v>193</v>
      </c>
      <c r="D617" s="4">
        <f>DATE(2009,9,1)</f>
        <v>40057</v>
      </c>
      <c r="E617" s="5">
        <f t="shared" si="9"/>
        <v>2009</v>
      </c>
      <c r="F617" s="3" t="s">
        <v>195</v>
      </c>
      <c r="G617" s="6">
        <v>800</v>
      </c>
      <c r="H617" s="5">
        <v>12964</v>
      </c>
    </row>
    <row r="618" spans="2:8" ht="17.5" customHeight="1" x14ac:dyDescent="0.4">
      <c r="B618" s="3" t="s">
        <v>7</v>
      </c>
      <c r="C618" s="3" t="s">
        <v>193</v>
      </c>
      <c r="D618" s="4">
        <f>DATE(2009,10,9)</f>
        <v>40095</v>
      </c>
      <c r="E618" s="5">
        <f t="shared" si="9"/>
        <v>2009</v>
      </c>
      <c r="F618" s="3" t="s">
        <v>195</v>
      </c>
      <c r="G618" s="6">
        <v>2770.5</v>
      </c>
      <c r="H618" s="5">
        <v>12969</v>
      </c>
    </row>
    <row r="619" spans="2:8" ht="17.5" customHeight="1" x14ac:dyDescent="0.4">
      <c r="B619" s="3" t="s">
        <v>7</v>
      </c>
      <c r="C619" s="3" t="s">
        <v>193</v>
      </c>
      <c r="D619" s="4">
        <f>DATE(2009,10,9)</f>
        <v>40095</v>
      </c>
      <c r="E619" s="5">
        <f t="shared" si="9"/>
        <v>2009</v>
      </c>
      <c r="F619" s="3" t="s">
        <v>195</v>
      </c>
      <c r="G619" s="6">
        <v>9940</v>
      </c>
      <c r="H619" s="5">
        <v>13094</v>
      </c>
    </row>
    <row r="620" spans="2:8" ht="17.5" customHeight="1" x14ac:dyDescent="0.4">
      <c r="B620" s="3" t="s">
        <v>7</v>
      </c>
      <c r="C620" s="3" t="s">
        <v>193</v>
      </c>
      <c r="D620" s="4">
        <f>DATE(2010,1,29)</f>
        <v>40207</v>
      </c>
      <c r="E620" s="5">
        <f t="shared" si="9"/>
        <v>2010</v>
      </c>
      <c r="F620" s="3" t="s">
        <v>195</v>
      </c>
      <c r="G620" s="6">
        <v>460</v>
      </c>
      <c r="H620" s="5">
        <v>13519</v>
      </c>
    </row>
    <row r="621" spans="2:8" ht="17.5" customHeight="1" x14ac:dyDescent="0.4">
      <c r="B621" s="3" t="s">
        <v>7</v>
      </c>
      <c r="C621" s="3" t="s">
        <v>193</v>
      </c>
      <c r="D621" s="4">
        <f>DATE(2010,2,11)</f>
        <v>40220</v>
      </c>
      <c r="E621" s="5">
        <f t="shared" si="9"/>
        <v>2010</v>
      </c>
      <c r="F621" s="3" t="s">
        <v>195</v>
      </c>
      <c r="G621" s="6">
        <v>527.01</v>
      </c>
      <c r="H621" s="5">
        <v>13582</v>
      </c>
    </row>
    <row r="622" spans="2:8" ht="17.5" customHeight="1" x14ac:dyDescent="0.4">
      <c r="B622" s="3" t="s">
        <v>7</v>
      </c>
      <c r="C622" s="3" t="s">
        <v>193</v>
      </c>
      <c r="D622" s="4">
        <f>DATE(2010,2,17)</f>
        <v>40226</v>
      </c>
      <c r="E622" s="5">
        <f t="shared" si="9"/>
        <v>2010</v>
      </c>
      <c r="F622" s="3" t="s">
        <v>195</v>
      </c>
      <c r="G622" s="6">
        <v>527.01</v>
      </c>
      <c r="H622" s="5">
        <v>13601</v>
      </c>
    </row>
    <row r="623" spans="2:8" ht="17.5" customHeight="1" x14ac:dyDescent="0.4">
      <c r="B623" s="3" t="s">
        <v>7</v>
      </c>
      <c r="C623" s="3" t="s">
        <v>193</v>
      </c>
      <c r="D623" s="4">
        <f>DATE(2010,2,19)</f>
        <v>40228</v>
      </c>
      <c r="E623" s="5">
        <f t="shared" si="9"/>
        <v>2010</v>
      </c>
      <c r="F623" s="3" t="s">
        <v>195</v>
      </c>
      <c r="G623" s="6">
        <v>4999.82</v>
      </c>
      <c r="H623" s="5">
        <v>13523</v>
      </c>
    </row>
    <row r="624" spans="2:8" ht="17.5" customHeight="1" x14ac:dyDescent="0.4">
      <c r="B624" s="3" t="s">
        <v>7</v>
      </c>
      <c r="C624" s="3" t="s">
        <v>193</v>
      </c>
      <c r="D624" s="4">
        <f>DATE(2010,4,9)</f>
        <v>40277</v>
      </c>
      <c r="E624" s="5">
        <f t="shared" si="9"/>
        <v>2010</v>
      </c>
      <c r="F624" s="3" t="s">
        <v>195</v>
      </c>
      <c r="G624" s="6">
        <v>400</v>
      </c>
      <c r="H624" s="5">
        <v>13878</v>
      </c>
    </row>
    <row r="625" spans="2:8" ht="17.5" customHeight="1" x14ac:dyDescent="0.4">
      <c r="B625" s="3" t="s">
        <v>7</v>
      </c>
      <c r="C625" s="3" t="s">
        <v>193</v>
      </c>
      <c r="D625" s="4">
        <f>DATE(2010,4,15)</f>
        <v>40283</v>
      </c>
      <c r="E625" s="5">
        <f t="shared" si="9"/>
        <v>2010</v>
      </c>
      <c r="F625" s="3" t="s">
        <v>195</v>
      </c>
      <c r="G625" s="6">
        <v>15200</v>
      </c>
      <c r="H625" s="5">
        <v>13896</v>
      </c>
    </row>
    <row r="626" spans="2:8" ht="17.5" customHeight="1" x14ac:dyDescent="0.4">
      <c r="B626" s="3" t="s">
        <v>7</v>
      </c>
      <c r="C626" s="3" t="s">
        <v>193</v>
      </c>
      <c r="D626" s="4">
        <f>DATE(2010,7,22)</f>
        <v>40381</v>
      </c>
      <c r="E626" s="5">
        <f t="shared" si="9"/>
        <v>2010</v>
      </c>
      <c r="F626" s="3" t="s">
        <v>195</v>
      </c>
      <c r="G626" s="6">
        <v>400</v>
      </c>
      <c r="H626" s="5">
        <v>14289</v>
      </c>
    </row>
    <row r="627" spans="2:8" ht="17.5" customHeight="1" x14ac:dyDescent="0.4">
      <c r="B627" s="3" t="s">
        <v>7</v>
      </c>
      <c r="C627" s="3" t="s">
        <v>193</v>
      </c>
      <c r="D627" s="4">
        <f>DATE(2010,11,3)</f>
        <v>40485</v>
      </c>
      <c r="E627" s="5">
        <f t="shared" si="9"/>
        <v>2010</v>
      </c>
      <c r="F627" s="3" t="s">
        <v>195</v>
      </c>
      <c r="G627" s="6">
        <v>315</v>
      </c>
      <c r="H627" s="5">
        <v>14719</v>
      </c>
    </row>
    <row r="628" spans="2:8" ht="17.5" customHeight="1" x14ac:dyDescent="0.4">
      <c r="B628" s="3" t="s">
        <v>7</v>
      </c>
      <c r="C628" s="3" t="s">
        <v>193</v>
      </c>
      <c r="D628" s="4">
        <f>DATE(2011,11,7)</f>
        <v>40854</v>
      </c>
      <c r="E628" s="5">
        <f t="shared" si="9"/>
        <v>2011</v>
      </c>
      <c r="F628" s="3" t="s">
        <v>195</v>
      </c>
      <c r="G628" s="6">
        <v>670</v>
      </c>
      <c r="H628" s="5">
        <v>16163</v>
      </c>
    </row>
    <row r="629" spans="2:8" ht="17.5" customHeight="1" x14ac:dyDescent="0.4">
      <c r="B629" s="3" t="s">
        <v>7</v>
      </c>
      <c r="C629" s="3" t="s">
        <v>193</v>
      </c>
      <c r="D629" s="4">
        <f>DATE(2012,8,10)</f>
        <v>41131</v>
      </c>
      <c r="E629" s="5">
        <f t="shared" si="9"/>
        <v>2012</v>
      </c>
      <c r="F629" s="3" t="s">
        <v>195</v>
      </c>
      <c r="G629" s="6">
        <v>214.4</v>
      </c>
      <c r="H629" s="5">
        <v>17453</v>
      </c>
    </row>
    <row r="630" spans="2:8" ht="17.5" customHeight="1" x14ac:dyDescent="0.4">
      <c r="B630" s="3" t="s">
        <v>7</v>
      </c>
      <c r="C630" s="3" t="s">
        <v>193</v>
      </c>
      <c r="D630" s="4">
        <f>DATE(2013,12,4)</f>
        <v>41612</v>
      </c>
      <c r="E630" s="5">
        <f t="shared" si="9"/>
        <v>2013</v>
      </c>
      <c r="F630" s="3" t="s">
        <v>195</v>
      </c>
      <c r="G630" s="6">
        <v>187.6</v>
      </c>
      <c r="H630" s="5">
        <v>19278</v>
      </c>
    </row>
    <row r="631" spans="2:8" ht="17.5" customHeight="1" x14ac:dyDescent="0.4">
      <c r="B631" s="3" t="s">
        <v>16</v>
      </c>
      <c r="C631" s="3" t="s">
        <v>193</v>
      </c>
      <c r="D631" s="4">
        <f>DATE(2006,3,27)</f>
        <v>38803</v>
      </c>
      <c r="E631" s="5">
        <f t="shared" si="9"/>
        <v>2006</v>
      </c>
      <c r="F631" s="3" t="s">
        <v>195</v>
      </c>
      <c r="G631" s="6">
        <v>12276</v>
      </c>
      <c r="H631" s="5">
        <v>6759</v>
      </c>
    </row>
    <row r="632" spans="2:8" ht="17.5" customHeight="1" x14ac:dyDescent="0.4">
      <c r="B632" t="s">
        <v>7</v>
      </c>
      <c r="C632" t="s">
        <v>196</v>
      </c>
      <c r="D632" s="7">
        <f>DATE(2010,9,9)</f>
        <v>40430</v>
      </c>
      <c r="E632" s="8">
        <f t="shared" si="9"/>
        <v>2010</v>
      </c>
      <c r="F632" t="s">
        <v>197</v>
      </c>
      <c r="G632" s="9">
        <v>7052.55</v>
      </c>
      <c r="H632" s="8">
        <v>10073</v>
      </c>
    </row>
    <row r="633" spans="2:8" ht="17.5" customHeight="1" x14ac:dyDescent="0.4">
      <c r="B633" t="s">
        <v>7</v>
      </c>
      <c r="C633" t="s">
        <v>198</v>
      </c>
      <c r="D633" s="7">
        <f>DATE(2009,8,11)</f>
        <v>40036</v>
      </c>
      <c r="E633" s="8">
        <f t="shared" si="9"/>
        <v>2009</v>
      </c>
      <c r="F633" t="s">
        <v>199</v>
      </c>
      <c r="G633" s="9">
        <v>4024.35</v>
      </c>
      <c r="H633" s="8">
        <v>8948</v>
      </c>
    </row>
    <row r="634" spans="2:8" ht="17.5" customHeight="1" x14ac:dyDescent="0.4">
      <c r="B634" t="s">
        <v>7</v>
      </c>
      <c r="C634" t="s">
        <v>200</v>
      </c>
      <c r="D634" s="7">
        <f>DATE(2018,12,31)</f>
        <v>43465</v>
      </c>
      <c r="E634" s="8">
        <f t="shared" si="9"/>
        <v>2018</v>
      </c>
      <c r="F634" t="s">
        <v>201</v>
      </c>
      <c r="G634" s="9">
        <v>13160.24</v>
      </c>
      <c r="H634" s="8">
        <v>28160</v>
      </c>
    </row>
    <row r="635" spans="2:8" ht="17.5" customHeight="1" x14ac:dyDescent="0.4">
      <c r="B635" t="s">
        <v>7</v>
      </c>
      <c r="C635" t="s">
        <v>202</v>
      </c>
      <c r="D635" s="7">
        <f>DATE(2016,4,12)</f>
        <v>42472</v>
      </c>
      <c r="E635" s="8">
        <f t="shared" si="9"/>
        <v>2016</v>
      </c>
      <c r="F635" t="s">
        <v>203</v>
      </c>
      <c r="G635" s="9">
        <v>50750</v>
      </c>
      <c r="H635" s="8">
        <v>22047</v>
      </c>
    </row>
    <row r="636" spans="2:8" ht="17.5" customHeight="1" x14ac:dyDescent="0.4">
      <c r="B636" t="s">
        <v>7</v>
      </c>
      <c r="C636" t="s">
        <v>202</v>
      </c>
      <c r="D636" s="7">
        <f>DATE(2017,4,26)</f>
        <v>42851</v>
      </c>
      <c r="E636" s="8">
        <f t="shared" si="9"/>
        <v>2017</v>
      </c>
      <c r="F636" t="s">
        <v>203</v>
      </c>
      <c r="G636" s="9">
        <v>47599.45</v>
      </c>
      <c r="H636" s="8">
        <v>24497</v>
      </c>
    </row>
    <row r="637" spans="2:8" ht="17.5" customHeight="1" x14ac:dyDescent="0.4">
      <c r="B637" t="s">
        <v>7</v>
      </c>
      <c r="C637" t="s">
        <v>202</v>
      </c>
      <c r="D637" s="7">
        <f>DATE(2019,5,7)</f>
        <v>43592</v>
      </c>
      <c r="E637" s="8">
        <f t="shared" si="9"/>
        <v>2019</v>
      </c>
      <c r="F637" t="s">
        <v>203</v>
      </c>
      <c r="G637" s="9">
        <v>40050.89</v>
      </c>
      <c r="H637" s="8">
        <v>28765</v>
      </c>
    </row>
    <row r="638" spans="2:8" ht="17.5" customHeight="1" x14ac:dyDescent="0.4">
      <c r="B638" t="s">
        <v>7</v>
      </c>
      <c r="C638" t="s">
        <v>202</v>
      </c>
      <c r="D638" s="7">
        <f>DATE(2019,5,7)</f>
        <v>43592</v>
      </c>
      <c r="E638" s="8">
        <f t="shared" si="9"/>
        <v>2019</v>
      </c>
      <c r="F638" t="s">
        <v>203</v>
      </c>
      <c r="G638" s="9">
        <v>17482.59</v>
      </c>
      <c r="H638" s="8">
        <v>28766</v>
      </c>
    </row>
    <row r="639" spans="2:8" ht="17.5" customHeight="1" x14ac:dyDescent="0.4">
      <c r="B639" t="s">
        <v>7</v>
      </c>
      <c r="C639" t="s">
        <v>202</v>
      </c>
      <c r="D639" s="7">
        <f>DATE(2010,5,10)</f>
        <v>40308</v>
      </c>
      <c r="E639" s="8">
        <f t="shared" si="9"/>
        <v>2010</v>
      </c>
      <c r="F639" t="s">
        <v>203</v>
      </c>
      <c r="G639" s="9">
        <v>23968</v>
      </c>
      <c r="H639" s="8">
        <v>9851</v>
      </c>
    </row>
    <row r="640" spans="2:8" ht="17.5" customHeight="1" x14ac:dyDescent="0.4">
      <c r="B640" t="s">
        <v>7</v>
      </c>
      <c r="C640" t="s">
        <v>202</v>
      </c>
      <c r="D640" s="7">
        <f>DATE(2011,9,21)</f>
        <v>40807</v>
      </c>
      <c r="E640" s="8">
        <f t="shared" si="9"/>
        <v>2011</v>
      </c>
      <c r="F640" t="s">
        <v>203</v>
      </c>
      <c r="G640" s="9">
        <v>27136.26</v>
      </c>
      <c r="H640" s="8">
        <v>10952</v>
      </c>
    </row>
    <row r="641" spans="2:8" ht="17.5" customHeight="1" x14ac:dyDescent="0.4">
      <c r="B641" t="s">
        <v>7</v>
      </c>
      <c r="C641" t="s">
        <v>202</v>
      </c>
      <c r="D641" s="7">
        <f>DATE(2004,4,24)</f>
        <v>38101</v>
      </c>
      <c r="E641" s="8">
        <f t="shared" si="9"/>
        <v>2004</v>
      </c>
      <c r="F641" t="s">
        <v>203</v>
      </c>
      <c r="G641" s="9">
        <v>32356.31</v>
      </c>
      <c r="H641" s="8">
        <v>1434</v>
      </c>
    </row>
    <row r="642" spans="2:8" ht="17.5" customHeight="1" x14ac:dyDescent="0.4">
      <c r="B642" t="s">
        <v>7</v>
      </c>
      <c r="C642" t="s">
        <v>202</v>
      </c>
      <c r="D642" s="7">
        <f>DATE(2005,4,6)</f>
        <v>38448</v>
      </c>
      <c r="E642" s="8">
        <f t="shared" si="9"/>
        <v>2005</v>
      </c>
      <c r="F642" t="s">
        <v>203</v>
      </c>
      <c r="G642" s="9">
        <v>30642</v>
      </c>
      <c r="H642" s="8">
        <v>2579</v>
      </c>
    </row>
    <row r="643" spans="2:8" ht="17.5" customHeight="1" x14ac:dyDescent="0.4">
      <c r="B643" t="s">
        <v>7</v>
      </c>
      <c r="C643" t="s">
        <v>202</v>
      </c>
      <c r="D643" s="7">
        <f>DATE(2005,4,22)</f>
        <v>38464</v>
      </c>
      <c r="E643" s="8">
        <f t="shared" ref="E643:E706" si="10">YEAR(D643)</f>
        <v>2005</v>
      </c>
      <c r="F643" t="s">
        <v>203</v>
      </c>
      <c r="G643" s="9">
        <v>33308.800000000003</v>
      </c>
      <c r="H643" s="8">
        <v>2578</v>
      </c>
    </row>
    <row r="644" spans="2:8" ht="17.5" customHeight="1" x14ac:dyDescent="0.4">
      <c r="B644" t="s">
        <v>7</v>
      </c>
      <c r="C644" t="s">
        <v>202</v>
      </c>
      <c r="D644" s="7">
        <f>DATE(2007,4,26)</f>
        <v>39198</v>
      </c>
      <c r="E644" s="8">
        <f t="shared" si="10"/>
        <v>2007</v>
      </c>
      <c r="F644" t="s">
        <v>203</v>
      </c>
      <c r="G644" s="9">
        <v>40544.339999999997</v>
      </c>
      <c r="H644" s="8">
        <v>5462</v>
      </c>
    </row>
    <row r="645" spans="2:8" ht="17.5" customHeight="1" x14ac:dyDescent="0.4">
      <c r="B645" t="s">
        <v>7</v>
      </c>
      <c r="C645" t="s">
        <v>202</v>
      </c>
      <c r="D645" s="7">
        <f>DATE(2008,4,26)</f>
        <v>39564</v>
      </c>
      <c r="E645" s="8">
        <f t="shared" si="10"/>
        <v>2008</v>
      </c>
      <c r="F645" t="s">
        <v>203</v>
      </c>
      <c r="G645" s="9">
        <v>37014.97</v>
      </c>
      <c r="H645" s="8">
        <v>7025</v>
      </c>
    </row>
    <row r="646" spans="2:8" ht="17.5" customHeight="1" x14ac:dyDescent="0.4">
      <c r="B646" t="s">
        <v>7</v>
      </c>
      <c r="C646" t="s">
        <v>202</v>
      </c>
      <c r="D646" s="7">
        <f>DATE(2010,4,30)</f>
        <v>40298</v>
      </c>
      <c r="E646" s="8">
        <f t="shared" si="10"/>
        <v>2010</v>
      </c>
      <c r="F646" t="s">
        <v>203</v>
      </c>
      <c r="G646" s="9">
        <v>41178.199999999997</v>
      </c>
      <c r="H646" s="8">
        <v>9603</v>
      </c>
    </row>
    <row r="647" spans="2:8" ht="17.5" customHeight="1" x14ac:dyDescent="0.4">
      <c r="B647" t="s">
        <v>7</v>
      </c>
      <c r="C647" t="s">
        <v>202</v>
      </c>
      <c r="D647" s="7">
        <f>DATE(2010,5,7)</f>
        <v>40305</v>
      </c>
      <c r="E647" s="8">
        <f t="shared" si="10"/>
        <v>2010</v>
      </c>
      <c r="F647" t="s">
        <v>203</v>
      </c>
      <c r="G647" s="9">
        <v>1138.8599999999999</v>
      </c>
      <c r="H647" s="8">
        <v>9854</v>
      </c>
    </row>
    <row r="648" spans="2:8" ht="17.5" customHeight="1" x14ac:dyDescent="0.4">
      <c r="B648" t="s">
        <v>7</v>
      </c>
      <c r="C648" t="s">
        <v>202</v>
      </c>
      <c r="D648" s="7">
        <f>DATE(2011,9,21)</f>
        <v>40807</v>
      </c>
      <c r="E648" s="8">
        <f t="shared" si="10"/>
        <v>2011</v>
      </c>
      <c r="F648" t="s">
        <v>203</v>
      </c>
      <c r="G648" s="9">
        <v>43643.519999999997</v>
      </c>
      <c r="H648" s="8">
        <v>10953</v>
      </c>
    </row>
    <row r="649" spans="2:8" ht="17.5" customHeight="1" x14ac:dyDescent="0.4">
      <c r="B649" t="s">
        <v>7</v>
      </c>
      <c r="C649" t="s">
        <v>202</v>
      </c>
      <c r="D649" s="7">
        <f>DATE(2013,5,2)</f>
        <v>41396</v>
      </c>
      <c r="E649" s="8">
        <f t="shared" si="10"/>
        <v>2013</v>
      </c>
      <c r="F649" t="s">
        <v>203</v>
      </c>
      <c r="G649" s="9">
        <v>41300.06</v>
      </c>
      <c r="H649" s="8">
        <v>12302</v>
      </c>
    </row>
    <row r="650" spans="2:8" ht="17.5" customHeight="1" x14ac:dyDescent="0.4">
      <c r="B650" t="s">
        <v>7</v>
      </c>
      <c r="C650" t="s">
        <v>202</v>
      </c>
      <c r="D650" s="7">
        <f>DATE(2014,4,9)</f>
        <v>41738</v>
      </c>
      <c r="E650" s="8">
        <f t="shared" si="10"/>
        <v>2014</v>
      </c>
      <c r="F650" t="s">
        <v>203</v>
      </c>
      <c r="G650" s="9">
        <v>41125</v>
      </c>
      <c r="H650" s="8">
        <v>12963</v>
      </c>
    </row>
    <row r="651" spans="2:8" ht="17.5" customHeight="1" x14ac:dyDescent="0.4">
      <c r="B651" s="3" t="s">
        <v>7</v>
      </c>
      <c r="C651" s="3" t="s">
        <v>204</v>
      </c>
      <c r="D651" s="4">
        <f>DATE(2004,10,1)</f>
        <v>38261</v>
      </c>
      <c r="E651" s="5">
        <f t="shared" si="10"/>
        <v>2004</v>
      </c>
      <c r="F651" s="3" t="s">
        <v>205</v>
      </c>
      <c r="G651" s="6">
        <v>433.43</v>
      </c>
      <c r="H651" s="5">
        <v>3513</v>
      </c>
    </row>
    <row r="652" spans="2:8" ht="17.5" customHeight="1" x14ac:dyDescent="0.4">
      <c r="B652" t="s">
        <v>7</v>
      </c>
      <c r="C652" t="s">
        <v>206</v>
      </c>
      <c r="D652" s="7">
        <f>DATE(2011,4,20)</f>
        <v>40653</v>
      </c>
      <c r="E652" s="8">
        <f t="shared" si="10"/>
        <v>2011</v>
      </c>
      <c r="F652" t="s">
        <v>207</v>
      </c>
      <c r="G652" s="9">
        <v>21073.8</v>
      </c>
      <c r="H652" s="8">
        <v>10551</v>
      </c>
    </row>
    <row r="653" spans="2:8" ht="17.5" customHeight="1" x14ac:dyDescent="0.4">
      <c r="B653" t="s">
        <v>7</v>
      </c>
      <c r="C653" t="s">
        <v>206</v>
      </c>
      <c r="D653" s="7">
        <f>DATE(2012,4,5)</f>
        <v>41004</v>
      </c>
      <c r="E653" s="8">
        <f t="shared" si="10"/>
        <v>2012</v>
      </c>
      <c r="F653" t="s">
        <v>207</v>
      </c>
      <c r="G653" s="9">
        <v>15886.11</v>
      </c>
      <c r="H653" s="8">
        <v>11324</v>
      </c>
    </row>
    <row r="654" spans="2:8" ht="17.5" customHeight="1" x14ac:dyDescent="0.4">
      <c r="B654" t="s">
        <v>7</v>
      </c>
      <c r="C654" t="s">
        <v>206</v>
      </c>
      <c r="D654" s="7">
        <f>DATE(2014,4,4)</f>
        <v>41733</v>
      </c>
      <c r="E654" s="8">
        <f t="shared" si="10"/>
        <v>2014</v>
      </c>
      <c r="F654" t="s">
        <v>207</v>
      </c>
      <c r="G654" s="9">
        <v>25985.65</v>
      </c>
      <c r="H654" s="8">
        <v>12912</v>
      </c>
    </row>
    <row r="655" spans="2:8" ht="17.5" customHeight="1" x14ac:dyDescent="0.4">
      <c r="B655" t="s">
        <v>7</v>
      </c>
      <c r="C655" t="s">
        <v>206</v>
      </c>
      <c r="D655" s="7">
        <f>DATE(2003,4,23)</f>
        <v>37734</v>
      </c>
      <c r="E655" s="8">
        <f t="shared" si="10"/>
        <v>2003</v>
      </c>
      <c r="F655" t="s">
        <v>207</v>
      </c>
      <c r="G655" s="9">
        <v>19766</v>
      </c>
      <c r="H655" s="8">
        <v>326</v>
      </c>
    </row>
    <row r="656" spans="2:8" ht="17.5" customHeight="1" x14ac:dyDescent="0.4">
      <c r="B656" t="s">
        <v>7</v>
      </c>
      <c r="C656" t="s">
        <v>206</v>
      </c>
      <c r="D656" s="7">
        <f>DATE(2004,3,31)</f>
        <v>38077</v>
      </c>
      <c r="E656" s="8">
        <f t="shared" si="10"/>
        <v>2004</v>
      </c>
      <c r="F656" t="s">
        <v>207</v>
      </c>
      <c r="G656" s="9">
        <v>19766</v>
      </c>
      <c r="H656" s="8">
        <v>1450</v>
      </c>
    </row>
    <row r="657" spans="2:8" ht="17.5" customHeight="1" x14ac:dyDescent="0.4">
      <c r="B657" t="s">
        <v>7</v>
      </c>
      <c r="C657" t="s">
        <v>206</v>
      </c>
      <c r="D657" s="7">
        <f>DATE(2005,1,14)</f>
        <v>38366</v>
      </c>
      <c r="E657" s="8">
        <f t="shared" si="10"/>
        <v>2005</v>
      </c>
      <c r="F657" t="s">
        <v>207</v>
      </c>
      <c r="G657" s="9">
        <v>10572.8</v>
      </c>
      <c r="H657" s="8">
        <v>2440</v>
      </c>
    </row>
    <row r="658" spans="2:8" ht="17.5" customHeight="1" x14ac:dyDescent="0.4">
      <c r="B658" t="s">
        <v>7</v>
      </c>
      <c r="C658" t="s">
        <v>206</v>
      </c>
      <c r="D658" s="7">
        <f>DATE(2005,1,18)</f>
        <v>38370</v>
      </c>
      <c r="E658" s="8">
        <f t="shared" si="10"/>
        <v>2005</v>
      </c>
      <c r="F658" t="s">
        <v>207</v>
      </c>
      <c r="G658" s="9">
        <v>19334.2</v>
      </c>
      <c r="H658" s="8">
        <v>2536</v>
      </c>
    </row>
    <row r="659" spans="2:8" ht="17.5" customHeight="1" x14ac:dyDescent="0.4">
      <c r="B659" t="s">
        <v>7</v>
      </c>
      <c r="C659" t="s">
        <v>206</v>
      </c>
      <c r="D659" s="7">
        <f>DATE(2005,10,22)</f>
        <v>38647</v>
      </c>
      <c r="E659" s="8">
        <f t="shared" si="10"/>
        <v>2005</v>
      </c>
      <c r="F659" t="s">
        <v>207</v>
      </c>
      <c r="G659" s="9">
        <v>22087</v>
      </c>
      <c r="H659" s="8">
        <v>3611</v>
      </c>
    </row>
    <row r="660" spans="2:8" ht="17.5" customHeight="1" x14ac:dyDescent="0.4">
      <c r="B660" t="s">
        <v>7</v>
      </c>
      <c r="C660" t="s">
        <v>206</v>
      </c>
      <c r="D660" s="7">
        <f>DATE(2006,1,10)</f>
        <v>38727</v>
      </c>
      <c r="E660" s="8">
        <f t="shared" si="10"/>
        <v>2006</v>
      </c>
      <c r="F660" t="s">
        <v>207</v>
      </c>
      <c r="G660" s="9">
        <v>24012.400000000001</v>
      </c>
      <c r="H660" s="8">
        <v>3904</v>
      </c>
    </row>
    <row r="661" spans="2:8" ht="17.5" customHeight="1" x14ac:dyDescent="0.4">
      <c r="B661" t="s">
        <v>7</v>
      </c>
      <c r="C661" t="s">
        <v>206</v>
      </c>
      <c r="D661" s="7">
        <f>DATE(2006,11,2)</f>
        <v>39023</v>
      </c>
      <c r="E661" s="8">
        <f t="shared" si="10"/>
        <v>2006</v>
      </c>
      <c r="F661" t="s">
        <v>207</v>
      </c>
      <c r="G661" s="9">
        <v>23651.55</v>
      </c>
      <c r="H661" s="8">
        <v>5050</v>
      </c>
    </row>
    <row r="662" spans="2:8" ht="17.5" customHeight="1" x14ac:dyDescent="0.4">
      <c r="B662" t="s">
        <v>7</v>
      </c>
      <c r="C662" t="s">
        <v>206</v>
      </c>
      <c r="D662" s="7">
        <f>DATE(2008,2,10)</f>
        <v>39488</v>
      </c>
      <c r="E662" s="8">
        <f t="shared" si="10"/>
        <v>2008</v>
      </c>
      <c r="F662" t="s">
        <v>207</v>
      </c>
      <c r="G662" s="9">
        <v>7194.09</v>
      </c>
      <c r="H662" s="8">
        <v>6933</v>
      </c>
    </row>
    <row r="663" spans="2:8" ht="17.5" customHeight="1" x14ac:dyDescent="0.4">
      <c r="B663" t="s">
        <v>7</v>
      </c>
      <c r="C663" t="s">
        <v>206</v>
      </c>
      <c r="D663" s="7">
        <f>DATE(2008,11,19)</f>
        <v>39771</v>
      </c>
      <c r="E663" s="8">
        <f t="shared" si="10"/>
        <v>2008</v>
      </c>
      <c r="F663" t="s">
        <v>207</v>
      </c>
      <c r="G663" s="9">
        <v>4418.38</v>
      </c>
      <c r="H663" s="8">
        <v>7613</v>
      </c>
    </row>
    <row r="664" spans="2:8" ht="17.5" customHeight="1" x14ac:dyDescent="0.4">
      <c r="B664" t="s">
        <v>7</v>
      </c>
      <c r="C664" t="s">
        <v>206</v>
      </c>
      <c r="D664" s="7">
        <f>DATE(2009,3,31)</f>
        <v>39903</v>
      </c>
      <c r="E664" s="8">
        <f t="shared" si="10"/>
        <v>2009</v>
      </c>
      <c r="F664" t="s">
        <v>207</v>
      </c>
      <c r="G664" s="9">
        <v>23219.200000000001</v>
      </c>
      <c r="H664" s="8">
        <v>8088</v>
      </c>
    </row>
    <row r="665" spans="2:8" ht="17.5" customHeight="1" x14ac:dyDescent="0.4">
      <c r="B665" t="s">
        <v>7</v>
      </c>
      <c r="C665" t="s">
        <v>206</v>
      </c>
      <c r="D665" s="7">
        <f>DATE(2009,3,31)</f>
        <v>39903</v>
      </c>
      <c r="E665" s="8">
        <f t="shared" si="10"/>
        <v>2009</v>
      </c>
      <c r="F665" t="s">
        <v>207</v>
      </c>
      <c r="G665" s="9">
        <v>6521</v>
      </c>
      <c r="H665" s="8">
        <v>8121</v>
      </c>
    </row>
    <row r="666" spans="2:8" ht="17.5" customHeight="1" x14ac:dyDescent="0.4">
      <c r="B666" t="s">
        <v>7</v>
      </c>
      <c r="C666" t="s">
        <v>206</v>
      </c>
      <c r="D666" s="7">
        <f>DATE(2009,12,15)</f>
        <v>40162</v>
      </c>
      <c r="E666" s="8">
        <f t="shared" si="10"/>
        <v>2009</v>
      </c>
      <c r="F666" t="s">
        <v>207</v>
      </c>
      <c r="G666" s="9">
        <v>21542</v>
      </c>
      <c r="H666" s="8">
        <v>8912</v>
      </c>
    </row>
    <row r="667" spans="2:8" ht="17.5" customHeight="1" x14ac:dyDescent="0.4">
      <c r="B667" t="s">
        <v>7</v>
      </c>
      <c r="C667" t="s">
        <v>206</v>
      </c>
      <c r="D667" s="7">
        <f>DATE(2009,12,15)</f>
        <v>40162</v>
      </c>
      <c r="E667" s="8">
        <f t="shared" si="10"/>
        <v>2009</v>
      </c>
      <c r="F667" t="s">
        <v>207</v>
      </c>
      <c r="G667" s="9">
        <v>28494</v>
      </c>
      <c r="H667" s="8">
        <v>9272</v>
      </c>
    </row>
    <row r="668" spans="2:8" ht="17.5" customHeight="1" x14ac:dyDescent="0.4">
      <c r="B668" t="s">
        <v>7</v>
      </c>
      <c r="C668" t="s">
        <v>206</v>
      </c>
      <c r="D668" s="7">
        <f>DATE(2011,4,20)</f>
        <v>40653</v>
      </c>
      <c r="E668" s="8">
        <f t="shared" si="10"/>
        <v>2011</v>
      </c>
      <c r="F668" t="s">
        <v>207</v>
      </c>
      <c r="G668" s="9">
        <v>21533.66</v>
      </c>
      <c r="H668" s="8">
        <v>10525</v>
      </c>
    </row>
    <row r="669" spans="2:8" ht="17.5" customHeight="1" x14ac:dyDescent="0.4">
      <c r="B669" t="s">
        <v>7</v>
      </c>
      <c r="C669" t="s">
        <v>206</v>
      </c>
      <c r="D669" s="7">
        <f>DATE(2012,4,5)</f>
        <v>41004</v>
      </c>
      <c r="E669" s="8">
        <f t="shared" si="10"/>
        <v>2012</v>
      </c>
      <c r="F669" t="s">
        <v>207</v>
      </c>
      <c r="G669" s="9">
        <v>2799.14</v>
      </c>
      <c r="H669" s="8">
        <v>11323</v>
      </c>
    </row>
    <row r="670" spans="2:8" ht="17.5" customHeight="1" x14ac:dyDescent="0.4">
      <c r="B670" t="s">
        <v>7</v>
      </c>
      <c r="C670" t="s">
        <v>206</v>
      </c>
      <c r="D670" s="7">
        <f>DATE(2012,4,5)</f>
        <v>41004</v>
      </c>
      <c r="E670" s="8">
        <f t="shared" si="10"/>
        <v>2012</v>
      </c>
      <c r="F670" t="s">
        <v>207</v>
      </c>
      <c r="G670" s="9">
        <v>28724.720000000001</v>
      </c>
      <c r="H670" s="8">
        <v>11322</v>
      </c>
    </row>
    <row r="671" spans="2:8" ht="17.5" customHeight="1" x14ac:dyDescent="0.4">
      <c r="B671" t="s">
        <v>7</v>
      </c>
      <c r="C671" t="s">
        <v>206</v>
      </c>
      <c r="D671" s="7">
        <f>DATE(2014,4,4)</f>
        <v>41733</v>
      </c>
      <c r="E671" s="8">
        <f t="shared" si="10"/>
        <v>2014</v>
      </c>
      <c r="F671" t="s">
        <v>207</v>
      </c>
      <c r="G671" s="9">
        <v>26991.41</v>
      </c>
      <c r="H671" s="8">
        <v>12911</v>
      </c>
    </row>
    <row r="672" spans="2:8" ht="17.5" customHeight="1" x14ac:dyDescent="0.4">
      <c r="B672" t="s">
        <v>16</v>
      </c>
      <c r="C672" t="s">
        <v>206</v>
      </c>
      <c r="D672" s="7">
        <f>DATE(2011,4,20)</f>
        <v>40653</v>
      </c>
      <c r="E672" s="8">
        <f t="shared" si="10"/>
        <v>2011</v>
      </c>
      <c r="F672" t="s">
        <v>207</v>
      </c>
      <c r="G672" s="9">
        <v>2074.58</v>
      </c>
      <c r="H672" s="8">
        <v>10832</v>
      </c>
    </row>
    <row r="673" spans="2:8" ht="17.5" customHeight="1" x14ac:dyDescent="0.4">
      <c r="B673" t="s">
        <v>7</v>
      </c>
      <c r="C673" t="s">
        <v>208</v>
      </c>
      <c r="D673" s="7">
        <f>DATE(2015,8,19)</f>
        <v>42235</v>
      </c>
      <c r="E673" s="8">
        <f t="shared" si="10"/>
        <v>2015</v>
      </c>
      <c r="F673" t="s">
        <v>209</v>
      </c>
      <c r="G673" s="9">
        <v>7069.2</v>
      </c>
      <c r="H673" s="8">
        <v>21026</v>
      </c>
    </row>
    <row r="674" spans="2:8" ht="17.5" customHeight="1" x14ac:dyDescent="0.4">
      <c r="B674" t="s">
        <v>7</v>
      </c>
      <c r="C674" t="s">
        <v>208</v>
      </c>
      <c r="D674" s="7">
        <f>DATE(2016,6,21)</f>
        <v>42542</v>
      </c>
      <c r="E674" s="8">
        <f t="shared" si="10"/>
        <v>2016</v>
      </c>
      <c r="F674" t="s">
        <v>209</v>
      </c>
      <c r="G674" s="9">
        <v>7069.2</v>
      </c>
      <c r="H674" s="8">
        <v>22996</v>
      </c>
    </row>
    <row r="675" spans="2:8" ht="17.5" customHeight="1" x14ac:dyDescent="0.4">
      <c r="B675" t="s">
        <v>7</v>
      </c>
      <c r="C675" t="s">
        <v>208</v>
      </c>
      <c r="D675" s="7">
        <f>DATE(2017,8,1)</f>
        <v>42948</v>
      </c>
      <c r="E675" s="8">
        <f t="shared" si="10"/>
        <v>2017</v>
      </c>
      <c r="F675" t="s">
        <v>209</v>
      </c>
      <c r="G675" s="9">
        <v>7176.2</v>
      </c>
      <c r="H675" s="8">
        <v>25250</v>
      </c>
    </row>
    <row r="676" spans="2:8" ht="17.5" customHeight="1" x14ac:dyDescent="0.4">
      <c r="B676" t="s">
        <v>7</v>
      </c>
      <c r="C676" t="s">
        <v>208</v>
      </c>
      <c r="D676" s="7">
        <f>DATE(2018,9,5)</f>
        <v>43348</v>
      </c>
      <c r="E676" s="8">
        <f t="shared" si="10"/>
        <v>2018</v>
      </c>
      <c r="F676" t="s">
        <v>209</v>
      </c>
      <c r="G676" s="9">
        <v>9304.01</v>
      </c>
      <c r="H676" s="8">
        <v>27439</v>
      </c>
    </row>
    <row r="677" spans="2:8" ht="17.5" customHeight="1" x14ac:dyDescent="0.4">
      <c r="B677" t="s">
        <v>7</v>
      </c>
      <c r="C677" t="s">
        <v>208</v>
      </c>
      <c r="D677" s="7">
        <f>DATE(2004,2,14)</f>
        <v>38031</v>
      </c>
      <c r="E677" s="8">
        <f t="shared" si="10"/>
        <v>2004</v>
      </c>
      <c r="F677" t="s">
        <v>209</v>
      </c>
      <c r="G677" s="9">
        <v>4111.0600000000004</v>
      </c>
      <c r="H677" s="8">
        <v>1398</v>
      </c>
    </row>
    <row r="678" spans="2:8" ht="17.5" customHeight="1" x14ac:dyDescent="0.4">
      <c r="B678" t="s">
        <v>7</v>
      </c>
      <c r="C678" t="s">
        <v>208</v>
      </c>
      <c r="D678" s="7">
        <f>DATE(2008,3,29)</f>
        <v>39536</v>
      </c>
      <c r="E678" s="8">
        <f t="shared" si="10"/>
        <v>2008</v>
      </c>
      <c r="F678" t="s">
        <v>209</v>
      </c>
      <c r="G678" s="9">
        <v>87800</v>
      </c>
      <c r="H678" s="8">
        <v>7132</v>
      </c>
    </row>
    <row r="679" spans="2:8" ht="17.5" customHeight="1" x14ac:dyDescent="0.4">
      <c r="B679" t="s">
        <v>7</v>
      </c>
      <c r="C679" t="s">
        <v>208</v>
      </c>
      <c r="D679" s="7">
        <f>DATE(2008,7,29)</f>
        <v>39658</v>
      </c>
      <c r="E679" s="8">
        <f t="shared" si="10"/>
        <v>2008</v>
      </c>
      <c r="F679" t="s">
        <v>209</v>
      </c>
      <c r="G679" s="9">
        <v>4017.55</v>
      </c>
      <c r="H679" s="8">
        <v>7662</v>
      </c>
    </row>
    <row r="680" spans="2:8" ht="17.5" customHeight="1" x14ac:dyDescent="0.4">
      <c r="B680" t="s">
        <v>7</v>
      </c>
      <c r="C680" t="s">
        <v>208</v>
      </c>
      <c r="D680" s="7">
        <f>DATE(2009,4,21)</f>
        <v>39924</v>
      </c>
      <c r="E680" s="8">
        <f t="shared" si="10"/>
        <v>2009</v>
      </c>
      <c r="F680" t="s">
        <v>209</v>
      </c>
      <c r="G680" s="9">
        <v>4126.74</v>
      </c>
      <c r="H680" s="8">
        <v>8466</v>
      </c>
    </row>
    <row r="681" spans="2:8" ht="17.5" customHeight="1" x14ac:dyDescent="0.4">
      <c r="B681" t="s">
        <v>7</v>
      </c>
      <c r="C681" t="s">
        <v>208</v>
      </c>
      <c r="D681" s="7">
        <f>DATE(2009,8,20)</f>
        <v>40045</v>
      </c>
      <c r="E681" s="8">
        <f t="shared" si="10"/>
        <v>2009</v>
      </c>
      <c r="F681" t="s">
        <v>209</v>
      </c>
      <c r="G681" s="9">
        <v>7927.58</v>
      </c>
      <c r="H681" s="8">
        <v>8970</v>
      </c>
    </row>
    <row r="682" spans="2:8" ht="17.5" customHeight="1" x14ac:dyDescent="0.4">
      <c r="B682" t="s">
        <v>7</v>
      </c>
      <c r="C682" t="s">
        <v>208</v>
      </c>
      <c r="D682" s="7">
        <f>DATE(2010,3,31)</f>
        <v>40268</v>
      </c>
      <c r="E682" s="8">
        <f t="shared" si="10"/>
        <v>2010</v>
      </c>
      <c r="F682" t="s">
        <v>209</v>
      </c>
      <c r="G682" s="9">
        <v>5375.44</v>
      </c>
      <c r="H682" s="8">
        <v>9639</v>
      </c>
    </row>
    <row r="683" spans="2:8" ht="17.5" customHeight="1" x14ac:dyDescent="0.4">
      <c r="B683" t="s">
        <v>7</v>
      </c>
      <c r="C683" t="s">
        <v>208</v>
      </c>
      <c r="D683" s="7">
        <f>DATE(2012,5,17)</f>
        <v>41046</v>
      </c>
      <c r="E683" s="8">
        <f t="shared" si="10"/>
        <v>2012</v>
      </c>
      <c r="F683" t="s">
        <v>209</v>
      </c>
      <c r="G683" s="9">
        <v>6249.85</v>
      </c>
      <c r="H683" s="8">
        <v>11633</v>
      </c>
    </row>
    <row r="684" spans="2:8" ht="17.5" customHeight="1" x14ac:dyDescent="0.4">
      <c r="B684" t="s">
        <v>7</v>
      </c>
      <c r="C684" t="s">
        <v>208</v>
      </c>
      <c r="D684" s="7">
        <f>DATE(2013,8,7)</f>
        <v>41493</v>
      </c>
      <c r="E684" s="8">
        <f t="shared" si="10"/>
        <v>2013</v>
      </c>
      <c r="F684" t="s">
        <v>209</v>
      </c>
      <c r="G684" s="9">
        <v>5393.79</v>
      </c>
      <c r="H684" s="8">
        <v>12573</v>
      </c>
    </row>
    <row r="685" spans="2:8" ht="17.5" customHeight="1" x14ac:dyDescent="0.4">
      <c r="B685" t="s">
        <v>7</v>
      </c>
      <c r="C685" t="s">
        <v>208</v>
      </c>
      <c r="D685" s="7">
        <f>DATE(2014,4,24)</f>
        <v>41753</v>
      </c>
      <c r="E685" s="8">
        <f t="shared" si="10"/>
        <v>2014</v>
      </c>
      <c r="F685" t="s">
        <v>209</v>
      </c>
      <c r="G685" s="9">
        <v>5996.18</v>
      </c>
      <c r="H685" s="8">
        <v>13133</v>
      </c>
    </row>
    <row r="686" spans="2:8" ht="17.5" customHeight="1" x14ac:dyDescent="0.4">
      <c r="B686" t="s">
        <v>7</v>
      </c>
      <c r="C686" t="s">
        <v>208</v>
      </c>
      <c r="D686" s="7">
        <f>DATE(2014,9,24)</f>
        <v>41906</v>
      </c>
      <c r="E686" s="8">
        <f t="shared" si="10"/>
        <v>2014</v>
      </c>
      <c r="F686" t="s">
        <v>209</v>
      </c>
      <c r="G686" s="9">
        <v>6088.03</v>
      </c>
      <c r="H686" s="8">
        <v>13477</v>
      </c>
    </row>
    <row r="687" spans="2:8" ht="17.5" customHeight="1" x14ac:dyDescent="0.4">
      <c r="B687" t="s">
        <v>7</v>
      </c>
      <c r="C687" t="s">
        <v>210</v>
      </c>
      <c r="D687" s="7">
        <f>DATE(2006,4,12)</f>
        <v>38819</v>
      </c>
      <c r="E687" s="8">
        <f t="shared" si="10"/>
        <v>2006</v>
      </c>
      <c r="F687" t="s">
        <v>211</v>
      </c>
      <c r="G687" s="9">
        <v>1311.87</v>
      </c>
      <c r="H687" s="8">
        <v>4462</v>
      </c>
    </row>
    <row r="688" spans="2:8" ht="17.5" customHeight="1" x14ac:dyDescent="0.4">
      <c r="B688" t="s">
        <v>7</v>
      </c>
      <c r="C688" t="s">
        <v>210</v>
      </c>
      <c r="D688" s="7">
        <f>DATE(2008,3,5)</f>
        <v>39512</v>
      </c>
      <c r="E688" s="8">
        <f t="shared" si="10"/>
        <v>2008</v>
      </c>
      <c r="F688" t="s">
        <v>211</v>
      </c>
      <c r="G688" s="9">
        <v>1629.5</v>
      </c>
      <c r="H688" s="8">
        <v>7148</v>
      </c>
    </row>
    <row r="689" spans="2:8" ht="17.5" customHeight="1" x14ac:dyDescent="0.4">
      <c r="B689" t="s">
        <v>7</v>
      </c>
      <c r="C689" t="s">
        <v>210</v>
      </c>
      <c r="D689" s="7">
        <f>DATE(2009,10,23)</f>
        <v>40109</v>
      </c>
      <c r="E689" s="8">
        <f t="shared" si="10"/>
        <v>2009</v>
      </c>
      <c r="F689" t="s">
        <v>211</v>
      </c>
      <c r="G689" s="9">
        <v>1000</v>
      </c>
      <c r="H689" s="8">
        <v>9067</v>
      </c>
    </row>
    <row r="690" spans="2:8" ht="17.5" customHeight="1" x14ac:dyDescent="0.4">
      <c r="B690" s="3" t="s">
        <v>7</v>
      </c>
      <c r="C690" s="3" t="s">
        <v>212</v>
      </c>
      <c r="D690" s="4">
        <f>DATE(2008,2,1)</f>
        <v>39479</v>
      </c>
      <c r="E690" s="5">
        <f t="shared" si="10"/>
        <v>2008</v>
      </c>
      <c r="F690" s="3" t="s">
        <v>213</v>
      </c>
      <c r="G690" s="6">
        <v>24581.7</v>
      </c>
      <c r="H690" s="5">
        <v>2648</v>
      </c>
    </row>
    <row r="691" spans="2:8" ht="17.5" customHeight="1" x14ac:dyDescent="0.4">
      <c r="B691" s="3" t="s">
        <v>7</v>
      </c>
      <c r="C691" s="3" t="s">
        <v>212</v>
      </c>
      <c r="D691" s="4">
        <f>DATE(2008,2,4)</f>
        <v>39482</v>
      </c>
      <c r="E691" s="5">
        <f t="shared" si="10"/>
        <v>2008</v>
      </c>
      <c r="F691" s="3" t="s">
        <v>213</v>
      </c>
      <c r="G691" s="6">
        <v>27785.13</v>
      </c>
      <c r="H691" s="5">
        <v>2670</v>
      </c>
    </row>
    <row r="692" spans="2:8" ht="17.5" customHeight="1" x14ac:dyDescent="0.4">
      <c r="B692" s="3" t="s">
        <v>7</v>
      </c>
      <c r="C692" s="3" t="s">
        <v>214</v>
      </c>
      <c r="D692" s="4">
        <f>DATE(2007,3,9)</f>
        <v>39150</v>
      </c>
      <c r="E692" s="5">
        <f t="shared" si="10"/>
        <v>2007</v>
      </c>
      <c r="F692" s="3" t="s">
        <v>215</v>
      </c>
      <c r="G692" s="6">
        <v>565.5</v>
      </c>
      <c r="H692" s="5">
        <v>2111</v>
      </c>
    </row>
    <row r="693" spans="2:8" ht="17.5" customHeight="1" x14ac:dyDescent="0.4">
      <c r="B693" s="3" t="s">
        <v>7</v>
      </c>
      <c r="C693" s="3" t="s">
        <v>214</v>
      </c>
      <c r="D693" s="4">
        <f>DATE(2007,11,9)</f>
        <v>39395</v>
      </c>
      <c r="E693" s="5">
        <f t="shared" si="10"/>
        <v>2007</v>
      </c>
      <c r="F693" s="3" t="s">
        <v>215</v>
      </c>
      <c r="G693" s="6">
        <v>618</v>
      </c>
      <c r="H693" s="5">
        <v>2484</v>
      </c>
    </row>
    <row r="694" spans="2:8" ht="17.5" customHeight="1" x14ac:dyDescent="0.4">
      <c r="B694" s="3" t="s">
        <v>7</v>
      </c>
      <c r="C694" s="3" t="s">
        <v>214</v>
      </c>
      <c r="D694" s="4">
        <f>DATE(2012,8,7)</f>
        <v>41128</v>
      </c>
      <c r="E694" s="5">
        <f t="shared" si="10"/>
        <v>2012</v>
      </c>
      <c r="F694" s="3" t="s">
        <v>215</v>
      </c>
      <c r="G694" s="6">
        <v>6272</v>
      </c>
      <c r="H694" s="5">
        <v>5171</v>
      </c>
    </row>
    <row r="695" spans="2:8" ht="17.5" customHeight="1" x14ac:dyDescent="0.4">
      <c r="B695" s="3" t="s">
        <v>7</v>
      </c>
      <c r="C695" s="3" t="s">
        <v>214</v>
      </c>
      <c r="D695" s="4">
        <f>DATE(2003,5,9)</f>
        <v>37750</v>
      </c>
      <c r="E695" s="5">
        <f t="shared" si="10"/>
        <v>2003</v>
      </c>
      <c r="F695" s="3" t="s">
        <v>215</v>
      </c>
      <c r="G695" s="6">
        <v>4230.5</v>
      </c>
      <c r="H695" s="5">
        <v>918</v>
      </c>
    </row>
    <row r="696" spans="2:8" ht="17.5" customHeight="1" x14ac:dyDescent="0.4">
      <c r="B696" s="3" t="s">
        <v>7</v>
      </c>
      <c r="C696" s="3" t="s">
        <v>214</v>
      </c>
      <c r="D696" s="4">
        <f>DATE(2003,5,29)</f>
        <v>37770</v>
      </c>
      <c r="E696" s="5">
        <f t="shared" si="10"/>
        <v>2003</v>
      </c>
      <c r="F696" s="3" t="s">
        <v>215</v>
      </c>
      <c r="G696" s="6">
        <v>2075</v>
      </c>
      <c r="H696" s="5">
        <v>1024</v>
      </c>
    </row>
    <row r="697" spans="2:8" ht="17.5" customHeight="1" x14ac:dyDescent="0.4">
      <c r="B697" s="3" t="s">
        <v>7</v>
      </c>
      <c r="C697" s="3" t="s">
        <v>214</v>
      </c>
      <c r="D697" s="4">
        <f>DATE(2013,1,25)</f>
        <v>41299</v>
      </c>
      <c r="E697" s="5">
        <f t="shared" si="10"/>
        <v>2013</v>
      </c>
      <c r="F697" s="3" t="s">
        <v>215</v>
      </c>
      <c r="G697" s="6">
        <v>214.44</v>
      </c>
      <c r="H697" s="5">
        <v>18047</v>
      </c>
    </row>
    <row r="698" spans="2:8" ht="17.5" customHeight="1" x14ac:dyDescent="0.4">
      <c r="B698" s="3" t="s">
        <v>7</v>
      </c>
      <c r="C698" s="3" t="s">
        <v>214</v>
      </c>
      <c r="D698" s="4">
        <f>DATE(2013,4,11)</f>
        <v>41375</v>
      </c>
      <c r="E698" s="5">
        <f t="shared" si="10"/>
        <v>2013</v>
      </c>
      <c r="F698" s="3" t="s">
        <v>215</v>
      </c>
      <c r="G698" s="6">
        <v>214.44</v>
      </c>
      <c r="H698" s="5">
        <v>18424</v>
      </c>
    </row>
    <row r="699" spans="2:8" ht="17.5" customHeight="1" x14ac:dyDescent="0.4">
      <c r="B699" s="3" t="s">
        <v>7</v>
      </c>
      <c r="C699" s="3" t="s">
        <v>214</v>
      </c>
      <c r="D699" s="4">
        <f>DATE(2014,1,17)</f>
        <v>41656</v>
      </c>
      <c r="E699" s="5">
        <f t="shared" si="10"/>
        <v>2014</v>
      </c>
      <c r="F699" s="3" t="s">
        <v>215</v>
      </c>
      <c r="G699" s="6">
        <v>357.4</v>
      </c>
      <c r="H699" s="5">
        <v>19404</v>
      </c>
    </row>
    <row r="700" spans="2:8" ht="17.5" customHeight="1" x14ac:dyDescent="0.4">
      <c r="B700" t="s">
        <v>7</v>
      </c>
      <c r="C700" t="s">
        <v>210</v>
      </c>
      <c r="D700" s="7">
        <f>DATE(2018,10,31)</f>
        <v>43404</v>
      </c>
      <c r="E700" s="8">
        <f t="shared" si="10"/>
        <v>2018</v>
      </c>
      <c r="F700" t="s">
        <v>216</v>
      </c>
      <c r="G700" s="9">
        <v>25754.15</v>
      </c>
      <c r="H700" s="8">
        <v>27644</v>
      </c>
    </row>
    <row r="701" spans="2:8" ht="17.5" customHeight="1" x14ac:dyDescent="0.4">
      <c r="B701" t="s">
        <v>16</v>
      </c>
      <c r="C701" t="s">
        <v>210</v>
      </c>
      <c r="D701" s="7">
        <f>DATE(2018,11,16)</f>
        <v>43420</v>
      </c>
      <c r="E701" s="8">
        <f t="shared" si="10"/>
        <v>2018</v>
      </c>
      <c r="F701" t="s">
        <v>216</v>
      </c>
      <c r="G701" s="9">
        <v>966.15</v>
      </c>
      <c r="H701" s="8">
        <v>28001</v>
      </c>
    </row>
    <row r="702" spans="2:8" ht="17.5" customHeight="1" x14ac:dyDescent="0.4">
      <c r="B702" s="3" t="s">
        <v>7</v>
      </c>
      <c r="C702" s="3" t="s">
        <v>217</v>
      </c>
      <c r="D702" s="4">
        <f>DATE(2005,5,23)</f>
        <v>38495</v>
      </c>
      <c r="E702" s="5">
        <f t="shared" si="10"/>
        <v>2005</v>
      </c>
      <c r="F702" s="3" t="s">
        <v>218</v>
      </c>
      <c r="G702" s="6">
        <v>1309.7</v>
      </c>
      <c r="H702" s="5">
        <v>1086</v>
      </c>
    </row>
    <row r="703" spans="2:8" ht="17.5" customHeight="1" x14ac:dyDescent="0.4">
      <c r="B703" s="3" t="s">
        <v>7</v>
      </c>
      <c r="C703" s="3" t="s">
        <v>217</v>
      </c>
      <c r="D703" s="4">
        <f>DATE(2004,7,5)</f>
        <v>38173</v>
      </c>
      <c r="E703" s="5">
        <f t="shared" si="10"/>
        <v>2004</v>
      </c>
      <c r="F703" s="3" t="s">
        <v>218</v>
      </c>
      <c r="G703" s="6">
        <v>9200</v>
      </c>
      <c r="H703" s="5">
        <v>695</v>
      </c>
    </row>
    <row r="704" spans="2:8" ht="17.5" customHeight="1" x14ac:dyDescent="0.4">
      <c r="B704" s="3" t="s">
        <v>7</v>
      </c>
      <c r="C704" s="3" t="s">
        <v>217</v>
      </c>
      <c r="D704" s="4">
        <f>DATE(2004,12,3)</f>
        <v>38324</v>
      </c>
      <c r="E704" s="5">
        <f t="shared" si="10"/>
        <v>2004</v>
      </c>
      <c r="F704" s="3" t="s">
        <v>218</v>
      </c>
      <c r="G704" s="6">
        <v>1200</v>
      </c>
      <c r="H704" s="5">
        <v>874</v>
      </c>
    </row>
    <row r="705" spans="2:8" ht="17.5" customHeight="1" x14ac:dyDescent="0.4">
      <c r="B705" t="s">
        <v>7</v>
      </c>
      <c r="C705" t="s">
        <v>219</v>
      </c>
      <c r="D705" s="7">
        <f>DATE(2015,3,31)</f>
        <v>42094</v>
      </c>
      <c r="E705" s="8">
        <f t="shared" si="10"/>
        <v>2015</v>
      </c>
      <c r="F705" t="s">
        <v>220</v>
      </c>
      <c r="G705" s="9">
        <v>2400</v>
      </c>
      <c r="H705" s="8">
        <v>20199</v>
      </c>
    </row>
    <row r="706" spans="2:8" ht="17.5" customHeight="1" x14ac:dyDescent="0.4">
      <c r="B706" t="s">
        <v>7</v>
      </c>
      <c r="C706" t="s">
        <v>219</v>
      </c>
      <c r="D706" s="7">
        <f>DATE(2015,8,13)</f>
        <v>42229</v>
      </c>
      <c r="E706" s="8">
        <f t="shared" si="10"/>
        <v>2015</v>
      </c>
      <c r="F706" t="s">
        <v>220</v>
      </c>
      <c r="G706" s="9">
        <v>9900</v>
      </c>
      <c r="H706" s="8">
        <v>20999</v>
      </c>
    </row>
    <row r="707" spans="2:8" ht="17.5" customHeight="1" x14ac:dyDescent="0.4">
      <c r="B707" t="s">
        <v>7</v>
      </c>
      <c r="C707" t="s">
        <v>219</v>
      </c>
      <c r="D707" s="7">
        <f>DATE(2019,5,8)</f>
        <v>43593</v>
      </c>
      <c r="E707" s="8">
        <f t="shared" ref="E707:E770" si="11">YEAR(D707)</f>
        <v>2019</v>
      </c>
      <c r="F707" t="s">
        <v>220</v>
      </c>
      <c r="G707" s="9">
        <v>15034.8</v>
      </c>
      <c r="H707" s="8">
        <v>28857</v>
      </c>
    </row>
    <row r="708" spans="2:8" ht="17.5" customHeight="1" x14ac:dyDescent="0.4">
      <c r="B708" s="3" t="s">
        <v>7</v>
      </c>
      <c r="C708" s="3" t="s">
        <v>221</v>
      </c>
      <c r="D708" s="4">
        <f>DATE(2003,11,25)</f>
        <v>37950</v>
      </c>
      <c r="E708" s="5">
        <f t="shared" si="11"/>
        <v>2003</v>
      </c>
      <c r="F708" s="3" t="s">
        <v>222</v>
      </c>
      <c r="G708" s="6">
        <v>4107.13</v>
      </c>
      <c r="H708" s="5">
        <v>420</v>
      </c>
    </row>
    <row r="709" spans="2:8" ht="17.5" customHeight="1" x14ac:dyDescent="0.4">
      <c r="B709" s="3" t="s">
        <v>7</v>
      </c>
      <c r="C709" s="3" t="s">
        <v>221</v>
      </c>
      <c r="D709" s="4">
        <f>DATE(2003,12,23)</f>
        <v>37978</v>
      </c>
      <c r="E709" s="5">
        <f t="shared" si="11"/>
        <v>2003</v>
      </c>
      <c r="F709" s="3" t="s">
        <v>222</v>
      </c>
      <c r="G709" s="6">
        <v>2999.25</v>
      </c>
      <c r="H709" s="5">
        <v>488</v>
      </c>
    </row>
    <row r="710" spans="2:8" ht="17.5" customHeight="1" x14ac:dyDescent="0.4">
      <c r="B710" s="3" t="s">
        <v>7</v>
      </c>
      <c r="C710" s="3" t="s">
        <v>221</v>
      </c>
      <c r="D710" s="4">
        <f>DATE(2004,4,29)</f>
        <v>38106</v>
      </c>
      <c r="E710" s="5">
        <f t="shared" si="11"/>
        <v>2004</v>
      </c>
      <c r="F710" s="3" t="s">
        <v>222</v>
      </c>
      <c r="G710" s="6">
        <v>3610.9</v>
      </c>
      <c r="H710" s="5">
        <v>625</v>
      </c>
    </row>
    <row r="711" spans="2:8" ht="17.5" customHeight="1" x14ac:dyDescent="0.4">
      <c r="B711" s="3" t="s">
        <v>16</v>
      </c>
      <c r="C711" s="3" t="s">
        <v>221</v>
      </c>
      <c r="D711" s="4">
        <f>DATE(2003,12,23)</f>
        <v>37978</v>
      </c>
      <c r="E711" s="5">
        <f t="shared" si="11"/>
        <v>2003</v>
      </c>
      <c r="F711" s="3" t="s">
        <v>222</v>
      </c>
      <c r="G711" s="6">
        <v>815</v>
      </c>
      <c r="H711" s="5">
        <v>659</v>
      </c>
    </row>
    <row r="712" spans="2:8" ht="17.5" customHeight="1" x14ac:dyDescent="0.4">
      <c r="B712" t="s">
        <v>7</v>
      </c>
      <c r="C712" t="s">
        <v>223</v>
      </c>
      <c r="D712" s="7">
        <f>DATE(2018,6,4)</f>
        <v>43255</v>
      </c>
      <c r="E712" s="8">
        <f t="shared" si="11"/>
        <v>2018</v>
      </c>
      <c r="F712" t="s">
        <v>224</v>
      </c>
      <c r="G712" s="9">
        <v>1481.97</v>
      </c>
      <c r="H712" s="8">
        <v>27141</v>
      </c>
    </row>
    <row r="713" spans="2:8" ht="17.5" customHeight="1" x14ac:dyDescent="0.4">
      <c r="B713" t="s">
        <v>7</v>
      </c>
      <c r="C713" t="s">
        <v>225</v>
      </c>
      <c r="D713" s="7">
        <f>DATE(2018,5,24)</f>
        <v>43244</v>
      </c>
      <c r="E713" s="8">
        <f t="shared" si="11"/>
        <v>2018</v>
      </c>
      <c r="F713" t="s">
        <v>226</v>
      </c>
      <c r="G713" s="9">
        <v>42538.5</v>
      </c>
      <c r="H713" s="8">
        <v>26627</v>
      </c>
    </row>
    <row r="714" spans="2:8" ht="17.5" customHeight="1" x14ac:dyDescent="0.4">
      <c r="B714" t="s">
        <v>7</v>
      </c>
      <c r="C714" t="s">
        <v>225</v>
      </c>
      <c r="D714" s="7">
        <f>DATE(2018,6,1)</f>
        <v>43252</v>
      </c>
      <c r="E714" s="8">
        <f t="shared" si="11"/>
        <v>2018</v>
      </c>
      <c r="F714" t="s">
        <v>226</v>
      </c>
      <c r="G714" s="9">
        <v>3828.47</v>
      </c>
      <c r="H714" s="8">
        <v>27154</v>
      </c>
    </row>
    <row r="715" spans="2:8" ht="17.5" customHeight="1" x14ac:dyDescent="0.4">
      <c r="B715" t="s">
        <v>7</v>
      </c>
      <c r="C715" t="s">
        <v>225</v>
      </c>
      <c r="D715" s="7">
        <f>DATE(2018,5,24)</f>
        <v>43244</v>
      </c>
      <c r="E715" s="8">
        <f t="shared" si="11"/>
        <v>2018</v>
      </c>
      <c r="F715" t="s">
        <v>226</v>
      </c>
      <c r="G715" s="9">
        <v>5127.3500000000004</v>
      </c>
      <c r="H715" s="8">
        <v>26625</v>
      </c>
    </row>
    <row r="716" spans="2:8" ht="17.5" customHeight="1" x14ac:dyDescent="0.4">
      <c r="B716" t="s">
        <v>7</v>
      </c>
      <c r="C716" t="s">
        <v>225</v>
      </c>
      <c r="D716" s="7">
        <f>DATE(2018,6,1)</f>
        <v>43252</v>
      </c>
      <c r="E716" s="8">
        <f t="shared" si="11"/>
        <v>2018</v>
      </c>
      <c r="F716" t="s">
        <v>226</v>
      </c>
      <c r="G716" s="9">
        <v>461.46</v>
      </c>
      <c r="H716" s="8">
        <v>27168</v>
      </c>
    </row>
    <row r="717" spans="2:8" ht="17.5" customHeight="1" x14ac:dyDescent="0.4">
      <c r="B717" t="s">
        <v>7</v>
      </c>
      <c r="C717" t="s">
        <v>227</v>
      </c>
      <c r="D717" s="7">
        <f>DATE(2003,4,13)</f>
        <v>37724</v>
      </c>
      <c r="E717" s="8">
        <f t="shared" si="11"/>
        <v>2003</v>
      </c>
      <c r="F717" t="s">
        <v>228</v>
      </c>
      <c r="G717" s="9">
        <v>13966.1</v>
      </c>
      <c r="H717" s="8">
        <v>99</v>
      </c>
    </row>
    <row r="718" spans="2:8" ht="17.5" customHeight="1" x14ac:dyDescent="0.4">
      <c r="B718" t="s">
        <v>7</v>
      </c>
      <c r="C718" t="s">
        <v>227</v>
      </c>
      <c r="D718" s="7">
        <f>DATE(2004,10,9)</f>
        <v>38269</v>
      </c>
      <c r="E718" s="8">
        <f t="shared" si="11"/>
        <v>2004</v>
      </c>
      <c r="F718" t="s">
        <v>228</v>
      </c>
      <c r="G718" s="9">
        <v>13966.1</v>
      </c>
      <c r="H718" s="8">
        <v>2108</v>
      </c>
    </row>
    <row r="719" spans="2:8" ht="17.5" customHeight="1" x14ac:dyDescent="0.4">
      <c r="B719" t="s">
        <v>7</v>
      </c>
      <c r="C719" t="s">
        <v>227</v>
      </c>
      <c r="D719" s="7">
        <f>DATE(2005,10,23)</f>
        <v>38648</v>
      </c>
      <c r="E719" s="8">
        <f t="shared" si="11"/>
        <v>2005</v>
      </c>
      <c r="F719" t="s">
        <v>228</v>
      </c>
      <c r="G719" s="9">
        <v>15134.55</v>
      </c>
      <c r="H719" s="8">
        <v>3543</v>
      </c>
    </row>
    <row r="720" spans="2:8" ht="17.5" customHeight="1" x14ac:dyDescent="0.4">
      <c r="B720" t="s">
        <v>7</v>
      </c>
      <c r="C720" t="s">
        <v>227</v>
      </c>
      <c r="D720" s="7">
        <f>DATE(2006,10,21)</f>
        <v>39011</v>
      </c>
      <c r="E720" s="8">
        <f t="shared" si="11"/>
        <v>2006</v>
      </c>
      <c r="F720" t="s">
        <v>228</v>
      </c>
      <c r="G720" s="9">
        <v>11738.22</v>
      </c>
      <c r="H720" s="8">
        <v>4825</v>
      </c>
    </row>
    <row r="721" spans="2:8" ht="17.5" customHeight="1" x14ac:dyDescent="0.4">
      <c r="B721" t="s">
        <v>7</v>
      </c>
      <c r="C721" t="s">
        <v>229</v>
      </c>
      <c r="D721" s="7">
        <f>DATE(2015,7,16)</f>
        <v>42201</v>
      </c>
      <c r="E721" s="8">
        <f t="shared" si="11"/>
        <v>2015</v>
      </c>
      <c r="F721" t="s">
        <v>230</v>
      </c>
      <c r="G721" s="9">
        <v>179.2</v>
      </c>
      <c r="H721" s="8">
        <v>20917</v>
      </c>
    </row>
    <row r="722" spans="2:8" ht="17.5" customHeight="1" x14ac:dyDescent="0.4">
      <c r="B722" t="s">
        <v>7</v>
      </c>
      <c r="C722" t="s">
        <v>229</v>
      </c>
      <c r="D722" s="7">
        <f>DATE(2015,7,16)</f>
        <v>42201</v>
      </c>
      <c r="E722" s="8">
        <f t="shared" si="11"/>
        <v>2015</v>
      </c>
      <c r="F722" t="s">
        <v>230</v>
      </c>
      <c r="G722" s="9">
        <v>128</v>
      </c>
      <c r="H722" s="8">
        <v>20951</v>
      </c>
    </row>
    <row r="723" spans="2:8" ht="17.5" customHeight="1" x14ac:dyDescent="0.4">
      <c r="B723" t="s">
        <v>7</v>
      </c>
      <c r="C723" t="s">
        <v>231</v>
      </c>
      <c r="D723" s="7">
        <f>DATE(2007,6,30)</f>
        <v>39263</v>
      </c>
      <c r="E723" s="8">
        <f t="shared" si="11"/>
        <v>2007</v>
      </c>
      <c r="F723" t="s">
        <v>232</v>
      </c>
      <c r="G723" s="9">
        <v>53696.33</v>
      </c>
      <c r="H723" s="8">
        <v>6037</v>
      </c>
    </row>
    <row r="724" spans="2:8" ht="17.5" customHeight="1" x14ac:dyDescent="0.4">
      <c r="B724" t="s">
        <v>7</v>
      </c>
      <c r="C724" t="s">
        <v>231</v>
      </c>
      <c r="D724" s="7">
        <f>DATE(2007,8,1)</f>
        <v>39295</v>
      </c>
      <c r="E724" s="8">
        <f t="shared" si="11"/>
        <v>2007</v>
      </c>
      <c r="F724" t="s">
        <v>232</v>
      </c>
      <c r="G724" s="9">
        <v>53623.25</v>
      </c>
      <c r="H724" s="8">
        <v>6266</v>
      </c>
    </row>
    <row r="725" spans="2:8" ht="17.5" customHeight="1" x14ac:dyDescent="0.4">
      <c r="B725" t="s">
        <v>7</v>
      </c>
      <c r="C725" t="s">
        <v>231</v>
      </c>
      <c r="D725" s="7">
        <f>DATE(2008,2,29)</f>
        <v>39507</v>
      </c>
      <c r="E725" s="8">
        <f t="shared" si="11"/>
        <v>2008</v>
      </c>
      <c r="F725" t="s">
        <v>232</v>
      </c>
      <c r="G725" s="9">
        <v>55305.3</v>
      </c>
      <c r="H725" s="8">
        <v>6888</v>
      </c>
    </row>
    <row r="726" spans="2:8" ht="17.5" customHeight="1" x14ac:dyDescent="0.4">
      <c r="B726" t="s">
        <v>7</v>
      </c>
      <c r="C726" t="s">
        <v>231</v>
      </c>
      <c r="D726" s="7">
        <f>DATE(2008,4,30)</f>
        <v>39568</v>
      </c>
      <c r="E726" s="8">
        <f t="shared" si="11"/>
        <v>2008</v>
      </c>
      <c r="F726" t="s">
        <v>232</v>
      </c>
      <c r="G726" s="9">
        <v>10000</v>
      </c>
      <c r="H726" s="8">
        <v>7425</v>
      </c>
    </row>
    <row r="727" spans="2:8" ht="17.5" customHeight="1" x14ac:dyDescent="0.4">
      <c r="B727" t="s">
        <v>16</v>
      </c>
      <c r="C727" t="s">
        <v>231</v>
      </c>
      <c r="D727" s="7">
        <f>DATE(2007,7,1)</f>
        <v>39264</v>
      </c>
      <c r="E727" s="8">
        <f t="shared" si="11"/>
        <v>2007</v>
      </c>
      <c r="F727" t="s">
        <v>232</v>
      </c>
      <c r="G727" s="9">
        <v>53696.33</v>
      </c>
      <c r="H727" s="8">
        <v>6264</v>
      </c>
    </row>
    <row r="728" spans="2:8" ht="17.5" customHeight="1" x14ac:dyDescent="0.4">
      <c r="B728" t="s">
        <v>7</v>
      </c>
      <c r="C728" t="s">
        <v>233</v>
      </c>
      <c r="D728" s="7">
        <f>DATE(2012,6,28)</f>
        <v>41088</v>
      </c>
      <c r="E728" s="8">
        <f t="shared" si="11"/>
        <v>2012</v>
      </c>
      <c r="F728" t="s">
        <v>234</v>
      </c>
      <c r="G728" s="9">
        <v>39862.080000000002</v>
      </c>
      <c r="H728" s="8">
        <v>11697</v>
      </c>
    </row>
    <row r="729" spans="2:8" ht="17.5" customHeight="1" x14ac:dyDescent="0.4">
      <c r="B729" t="s">
        <v>7</v>
      </c>
      <c r="C729" t="s">
        <v>235</v>
      </c>
      <c r="D729" s="7">
        <f>DATE(2014,2,28)</f>
        <v>41698</v>
      </c>
      <c r="E729" s="8">
        <f t="shared" si="11"/>
        <v>2014</v>
      </c>
      <c r="F729" t="s">
        <v>236</v>
      </c>
      <c r="G729" s="9">
        <v>122045.59</v>
      </c>
      <c r="H729" s="8">
        <v>12881</v>
      </c>
    </row>
    <row r="730" spans="2:8" ht="17.5" customHeight="1" x14ac:dyDescent="0.4">
      <c r="B730" t="s">
        <v>7</v>
      </c>
      <c r="C730" t="s">
        <v>237</v>
      </c>
      <c r="D730" s="7">
        <f>DATE(2018,11,13)</f>
        <v>43417</v>
      </c>
      <c r="E730" s="8">
        <f t="shared" si="11"/>
        <v>2018</v>
      </c>
      <c r="F730" t="s">
        <v>238</v>
      </c>
      <c r="G730" s="9">
        <v>15026.57</v>
      </c>
      <c r="H730" s="8">
        <v>27652</v>
      </c>
    </row>
    <row r="731" spans="2:8" ht="17.5" customHeight="1" x14ac:dyDescent="0.4">
      <c r="B731" t="s">
        <v>7</v>
      </c>
      <c r="C731" t="s">
        <v>237</v>
      </c>
      <c r="D731" s="7">
        <f>DATE(2004,1,15)</f>
        <v>38001</v>
      </c>
      <c r="E731" s="8">
        <f t="shared" si="11"/>
        <v>2004</v>
      </c>
      <c r="F731" t="s">
        <v>238</v>
      </c>
      <c r="G731" s="9">
        <v>60</v>
      </c>
      <c r="H731" s="8">
        <v>1142</v>
      </c>
    </row>
    <row r="732" spans="2:8" ht="17.5" customHeight="1" x14ac:dyDescent="0.4">
      <c r="B732" t="s">
        <v>7</v>
      </c>
      <c r="C732" t="s">
        <v>237</v>
      </c>
      <c r="D732" s="7">
        <f>DATE(2004,1,19)</f>
        <v>38005</v>
      </c>
      <c r="E732" s="8">
        <f t="shared" si="11"/>
        <v>2004</v>
      </c>
      <c r="F732" t="s">
        <v>238</v>
      </c>
      <c r="G732" s="9">
        <v>60</v>
      </c>
      <c r="H732" s="8">
        <v>1143</v>
      </c>
    </row>
    <row r="733" spans="2:8" ht="17.5" customHeight="1" x14ac:dyDescent="0.4">
      <c r="B733" t="s">
        <v>7</v>
      </c>
      <c r="C733" t="s">
        <v>237</v>
      </c>
      <c r="D733" s="7">
        <f>DATE(2010,6,30)</f>
        <v>40359</v>
      </c>
      <c r="E733" s="8">
        <f t="shared" si="11"/>
        <v>2010</v>
      </c>
      <c r="F733" t="s">
        <v>238</v>
      </c>
      <c r="G733" s="9">
        <v>123318.19</v>
      </c>
      <c r="H733" s="8">
        <v>9788</v>
      </c>
    </row>
    <row r="734" spans="2:8" ht="17.5" customHeight="1" x14ac:dyDescent="0.4">
      <c r="B734" s="3" t="s">
        <v>7</v>
      </c>
      <c r="C734" s="3" t="s">
        <v>237</v>
      </c>
      <c r="D734" s="4">
        <f>DATE(2008,11,12)</f>
        <v>39764</v>
      </c>
      <c r="E734" s="5">
        <f t="shared" si="11"/>
        <v>2008</v>
      </c>
      <c r="F734" s="3" t="s">
        <v>238</v>
      </c>
      <c r="G734" s="6">
        <v>3800</v>
      </c>
      <c r="H734" s="5">
        <v>11576</v>
      </c>
    </row>
    <row r="735" spans="2:8" ht="17.5" customHeight="1" x14ac:dyDescent="0.4">
      <c r="B735" s="3" t="s">
        <v>7</v>
      </c>
      <c r="C735" s="3" t="s">
        <v>237</v>
      </c>
      <c r="D735" s="4">
        <f>DATE(2009,1,26)</f>
        <v>39839</v>
      </c>
      <c r="E735" s="5">
        <f t="shared" si="11"/>
        <v>2009</v>
      </c>
      <c r="F735" s="3" t="s">
        <v>238</v>
      </c>
      <c r="G735" s="6">
        <v>2225</v>
      </c>
      <c r="H735" s="5">
        <v>11883</v>
      </c>
    </row>
    <row r="736" spans="2:8" ht="17.5" customHeight="1" x14ac:dyDescent="0.4">
      <c r="B736" s="3" t="s">
        <v>7</v>
      </c>
      <c r="C736" s="3" t="s">
        <v>237</v>
      </c>
      <c r="D736" s="4">
        <f>DATE(2010,3,12)</f>
        <v>40249</v>
      </c>
      <c r="E736" s="5">
        <f t="shared" si="11"/>
        <v>2010</v>
      </c>
      <c r="F736" s="3" t="s">
        <v>238</v>
      </c>
      <c r="G736" s="6">
        <v>3832.36</v>
      </c>
      <c r="H736" s="5">
        <v>13734</v>
      </c>
    </row>
    <row r="737" spans="2:8" ht="17.5" customHeight="1" x14ac:dyDescent="0.4">
      <c r="B737" t="s">
        <v>7</v>
      </c>
      <c r="C737" t="s">
        <v>239</v>
      </c>
      <c r="D737" s="7">
        <f>DATE(2019,4,11)</f>
        <v>43566</v>
      </c>
      <c r="E737" s="8">
        <f t="shared" si="11"/>
        <v>2019</v>
      </c>
      <c r="F737" t="s">
        <v>240</v>
      </c>
      <c r="G737" s="9">
        <v>14325.26</v>
      </c>
      <c r="H737" s="8">
        <v>27680</v>
      </c>
    </row>
    <row r="738" spans="2:8" ht="17.5" customHeight="1" x14ac:dyDescent="0.4">
      <c r="B738" t="s">
        <v>7</v>
      </c>
      <c r="C738" t="s">
        <v>239</v>
      </c>
      <c r="D738" s="7">
        <f>DATE(2019,4,11)</f>
        <v>43566</v>
      </c>
      <c r="E738" s="8">
        <f t="shared" si="11"/>
        <v>2019</v>
      </c>
      <c r="F738" t="s">
        <v>240</v>
      </c>
      <c r="G738" s="9">
        <v>4899.4799999999996</v>
      </c>
      <c r="H738" s="8">
        <v>27736</v>
      </c>
    </row>
    <row r="739" spans="2:8" ht="17.5" customHeight="1" x14ac:dyDescent="0.4">
      <c r="B739" t="s">
        <v>16</v>
      </c>
      <c r="C739" t="s">
        <v>239</v>
      </c>
      <c r="D739" s="7">
        <f>DATE(2019,4,15)</f>
        <v>43570</v>
      </c>
      <c r="E739" s="8">
        <f t="shared" si="11"/>
        <v>2019</v>
      </c>
      <c r="F739" t="s">
        <v>240</v>
      </c>
      <c r="G739" s="9">
        <v>1236.8499999999999</v>
      </c>
      <c r="H739" s="8">
        <v>28849</v>
      </c>
    </row>
    <row r="740" spans="2:8" ht="17.5" customHeight="1" x14ac:dyDescent="0.4">
      <c r="B740" t="s">
        <v>16</v>
      </c>
      <c r="C740" t="s">
        <v>239</v>
      </c>
      <c r="D740" s="7">
        <f>DATE(2019,4,15)</f>
        <v>43570</v>
      </c>
      <c r="E740" s="8">
        <f t="shared" si="11"/>
        <v>2019</v>
      </c>
      <c r="F740" t="s">
        <v>240</v>
      </c>
      <c r="G740" s="9">
        <v>423.02</v>
      </c>
      <c r="H740" s="8">
        <v>28850</v>
      </c>
    </row>
    <row r="741" spans="2:8" ht="17.5" customHeight="1" x14ac:dyDescent="0.4">
      <c r="B741" s="3" t="s">
        <v>7</v>
      </c>
      <c r="C741" s="3" t="s">
        <v>241</v>
      </c>
      <c r="D741" s="4">
        <f>DATE(2004,9,29)</f>
        <v>38259</v>
      </c>
      <c r="E741" s="5">
        <f t="shared" si="11"/>
        <v>2004</v>
      </c>
      <c r="F741" s="3" t="s">
        <v>242</v>
      </c>
      <c r="G741" s="6">
        <v>545</v>
      </c>
      <c r="H741" s="5">
        <v>833</v>
      </c>
    </row>
    <row r="742" spans="2:8" ht="17.5" customHeight="1" x14ac:dyDescent="0.4">
      <c r="B742" s="3" t="s">
        <v>7</v>
      </c>
      <c r="C742" s="3" t="s">
        <v>243</v>
      </c>
      <c r="D742" s="4">
        <f>DATE(2006,1,6)</f>
        <v>38723</v>
      </c>
      <c r="E742" s="5">
        <f t="shared" si="11"/>
        <v>2006</v>
      </c>
      <c r="F742" s="3" t="s">
        <v>244</v>
      </c>
      <c r="G742" s="6">
        <v>6066.96</v>
      </c>
      <c r="H742" s="5">
        <v>1428</v>
      </c>
    </row>
    <row r="743" spans="2:8" ht="17.5" customHeight="1" x14ac:dyDescent="0.4">
      <c r="B743" s="3" t="s">
        <v>7</v>
      </c>
      <c r="C743" s="3" t="s">
        <v>243</v>
      </c>
      <c r="D743" s="4">
        <f>DATE(2006,7,11)</f>
        <v>38909</v>
      </c>
      <c r="E743" s="5">
        <f t="shared" si="11"/>
        <v>2006</v>
      </c>
      <c r="F743" s="3" t="s">
        <v>244</v>
      </c>
      <c r="G743" s="6">
        <v>5464.1</v>
      </c>
      <c r="H743" s="5">
        <v>1683</v>
      </c>
    </row>
    <row r="744" spans="2:8" ht="17.5" customHeight="1" x14ac:dyDescent="0.4">
      <c r="B744" s="3" t="s">
        <v>7</v>
      </c>
      <c r="C744" s="3" t="s">
        <v>241</v>
      </c>
      <c r="D744" s="4">
        <f>DATE(2006,1,21)</f>
        <v>38738</v>
      </c>
      <c r="E744" s="5">
        <f t="shared" si="11"/>
        <v>2006</v>
      </c>
      <c r="F744" s="3" t="s">
        <v>245</v>
      </c>
      <c r="G744" s="6">
        <v>2561.15</v>
      </c>
      <c r="H744" s="5">
        <v>1438</v>
      </c>
    </row>
    <row r="745" spans="2:8" ht="17.5" customHeight="1" x14ac:dyDescent="0.4">
      <c r="B745" s="3" t="s">
        <v>7</v>
      </c>
      <c r="C745" s="3" t="s">
        <v>241</v>
      </c>
      <c r="D745" s="4">
        <f>DATE(2008,6,1)</f>
        <v>39600</v>
      </c>
      <c r="E745" s="5">
        <f t="shared" si="11"/>
        <v>2008</v>
      </c>
      <c r="F745" s="3" t="s">
        <v>245</v>
      </c>
      <c r="G745" s="6">
        <v>4298.8999999999996</v>
      </c>
      <c r="H745" s="5">
        <v>2830</v>
      </c>
    </row>
    <row r="746" spans="2:8" ht="17.5" customHeight="1" x14ac:dyDescent="0.4">
      <c r="B746" s="3" t="s">
        <v>7</v>
      </c>
      <c r="C746" s="3" t="s">
        <v>241</v>
      </c>
      <c r="D746" s="4">
        <f>DATE(2010,10,29)</f>
        <v>40480</v>
      </c>
      <c r="E746" s="5">
        <f t="shared" si="11"/>
        <v>2010</v>
      </c>
      <c r="F746" s="3" t="s">
        <v>245</v>
      </c>
      <c r="G746" s="6">
        <v>3999.42</v>
      </c>
      <c r="H746" s="5">
        <v>4141</v>
      </c>
    </row>
    <row r="747" spans="2:8" ht="17.5" customHeight="1" x14ac:dyDescent="0.4">
      <c r="B747" t="s">
        <v>7</v>
      </c>
      <c r="C747" t="s">
        <v>246</v>
      </c>
      <c r="D747" s="7">
        <f>DATE(2016,2,24)</f>
        <v>42424</v>
      </c>
      <c r="E747" s="8">
        <f t="shared" si="11"/>
        <v>2016</v>
      </c>
      <c r="F747" t="s">
        <v>247</v>
      </c>
      <c r="G747" s="9">
        <v>25789.33</v>
      </c>
      <c r="H747" s="8">
        <v>21908</v>
      </c>
    </row>
    <row r="748" spans="2:8" ht="17.5" customHeight="1" x14ac:dyDescent="0.4">
      <c r="B748" t="s">
        <v>7</v>
      </c>
      <c r="C748" t="s">
        <v>246</v>
      </c>
      <c r="D748" s="7">
        <f>DATE(2017,2,13)</f>
        <v>42779</v>
      </c>
      <c r="E748" s="8">
        <f t="shared" si="11"/>
        <v>2017</v>
      </c>
      <c r="F748" t="s">
        <v>247</v>
      </c>
      <c r="G748" s="9">
        <v>25505</v>
      </c>
      <c r="H748" s="8">
        <v>24092</v>
      </c>
    </row>
    <row r="749" spans="2:8" ht="17.5" customHeight="1" x14ac:dyDescent="0.4">
      <c r="B749" t="s">
        <v>7</v>
      </c>
      <c r="C749" t="s">
        <v>246</v>
      </c>
      <c r="D749" s="7">
        <f>DATE(2016,2,24)</f>
        <v>42424</v>
      </c>
      <c r="E749" s="8">
        <f t="shared" si="11"/>
        <v>2016</v>
      </c>
      <c r="F749" t="s">
        <v>247</v>
      </c>
      <c r="G749" s="9">
        <v>16998.14</v>
      </c>
      <c r="H749" s="8">
        <v>21909</v>
      </c>
    </row>
    <row r="750" spans="2:8" ht="17.5" customHeight="1" x14ac:dyDescent="0.4">
      <c r="B750" t="s">
        <v>7</v>
      </c>
      <c r="C750" t="s">
        <v>246</v>
      </c>
      <c r="D750" s="7">
        <f>DATE(2017,2,13)</f>
        <v>42779</v>
      </c>
      <c r="E750" s="8">
        <f t="shared" si="11"/>
        <v>2017</v>
      </c>
      <c r="F750" t="s">
        <v>247</v>
      </c>
      <c r="G750" s="9">
        <v>16620</v>
      </c>
      <c r="H750" s="8">
        <v>24093</v>
      </c>
    </row>
    <row r="751" spans="2:8" ht="17.5" customHeight="1" x14ac:dyDescent="0.4">
      <c r="B751" t="s">
        <v>7</v>
      </c>
      <c r="C751" t="s">
        <v>246</v>
      </c>
      <c r="D751" s="7">
        <f>DATE(2015,4,14)</f>
        <v>42108</v>
      </c>
      <c r="E751" s="8">
        <f t="shared" si="11"/>
        <v>2015</v>
      </c>
      <c r="F751" t="s">
        <v>247</v>
      </c>
      <c r="G751" s="9">
        <v>12666.74</v>
      </c>
      <c r="H751" s="8">
        <v>20372</v>
      </c>
    </row>
    <row r="752" spans="2:8" ht="17.5" customHeight="1" x14ac:dyDescent="0.4">
      <c r="B752" t="s">
        <v>7</v>
      </c>
      <c r="C752" t="s">
        <v>246</v>
      </c>
      <c r="D752" s="7">
        <f>DATE(2013,12,6)</f>
        <v>41614</v>
      </c>
      <c r="E752" s="8">
        <f t="shared" si="11"/>
        <v>2013</v>
      </c>
      <c r="F752" t="s">
        <v>247</v>
      </c>
      <c r="G752" s="9">
        <v>28931.5</v>
      </c>
      <c r="H752" s="8">
        <v>12757</v>
      </c>
    </row>
    <row r="753" spans="2:8" ht="17.5" customHeight="1" x14ac:dyDescent="0.4">
      <c r="B753" t="s">
        <v>7</v>
      </c>
      <c r="C753" t="s">
        <v>246</v>
      </c>
      <c r="D753" s="7">
        <f>DATE(2014,11,24)</f>
        <v>41967</v>
      </c>
      <c r="E753" s="8">
        <f t="shared" si="11"/>
        <v>2014</v>
      </c>
      <c r="F753" t="s">
        <v>247</v>
      </c>
      <c r="G753" s="9">
        <v>8400</v>
      </c>
      <c r="H753" s="8">
        <v>13526</v>
      </c>
    </row>
    <row r="754" spans="2:8" ht="17.5" customHeight="1" x14ac:dyDescent="0.4">
      <c r="B754" t="s">
        <v>7</v>
      </c>
      <c r="C754" t="s">
        <v>246</v>
      </c>
      <c r="D754" s="7">
        <f>DATE(2010,3,2)</f>
        <v>40239</v>
      </c>
      <c r="E754" s="8">
        <f t="shared" si="11"/>
        <v>2010</v>
      </c>
      <c r="F754" t="s">
        <v>247</v>
      </c>
      <c r="G754" s="9">
        <v>19944.599999999999</v>
      </c>
      <c r="H754" s="8">
        <v>9398</v>
      </c>
    </row>
    <row r="755" spans="2:8" ht="17.5" customHeight="1" x14ac:dyDescent="0.4">
      <c r="B755" t="s">
        <v>7</v>
      </c>
      <c r="C755" t="s">
        <v>246</v>
      </c>
      <c r="D755" s="7">
        <f>DATE(2012,3,14)</f>
        <v>40982</v>
      </c>
      <c r="E755" s="8">
        <f t="shared" si="11"/>
        <v>2012</v>
      </c>
      <c r="F755" t="s">
        <v>247</v>
      </c>
      <c r="G755" s="9">
        <v>32218.39</v>
      </c>
      <c r="H755" s="8">
        <v>11452</v>
      </c>
    </row>
    <row r="756" spans="2:8" ht="17.5" customHeight="1" x14ac:dyDescent="0.4">
      <c r="B756" t="s">
        <v>7</v>
      </c>
      <c r="C756" t="s">
        <v>246</v>
      </c>
      <c r="D756" s="7">
        <f>DATE(2013,2,21)</f>
        <v>41326</v>
      </c>
      <c r="E756" s="8">
        <f t="shared" si="11"/>
        <v>2013</v>
      </c>
      <c r="F756" t="s">
        <v>247</v>
      </c>
      <c r="G756" s="9">
        <v>23260.81</v>
      </c>
      <c r="H756" s="8">
        <v>12164</v>
      </c>
    </row>
    <row r="757" spans="2:8" ht="17.5" customHeight="1" x14ac:dyDescent="0.4">
      <c r="B757" t="s">
        <v>7</v>
      </c>
      <c r="C757" t="s">
        <v>246</v>
      </c>
      <c r="D757" s="7">
        <f>DATE(2013,12,6)</f>
        <v>41614</v>
      </c>
      <c r="E757" s="8">
        <f t="shared" si="11"/>
        <v>2013</v>
      </c>
      <c r="F757" t="s">
        <v>247</v>
      </c>
      <c r="G757" s="9">
        <v>14478.56</v>
      </c>
      <c r="H757" s="8">
        <v>12756</v>
      </c>
    </row>
    <row r="758" spans="2:8" ht="17.5" customHeight="1" x14ac:dyDescent="0.4">
      <c r="B758" t="s">
        <v>7</v>
      </c>
      <c r="C758" t="s">
        <v>246</v>
      </c>
      <c r="D758" s="7">
        <f>DATE(2014,11,24)</f>
        <v>41967</v>
      </c>
      <c r="E758" s="8">
        <f t="shared" si="11"/>
        <v>2014</v>
      </c>
      <c r="F758" t="s">
        <v>247</v>
      </c>
      <c r="G758" s="9">
        <v>22914.15</v>
      </c>
      <c r="H758" s="8">
        <v>13518</v>
      </c>
    </row>
    <row r="759" spans="2:8" ht="17.5" customHeight="1" x14ac:dyDescent="0.4">
      <c r="B759" t="s">
        <v>7</v>
      </c>
      <c r="C759" t="s">
        <v>248</v>
      </c>
      <c r="D759" s="7">
        <f>DATE(2005,10,19)</f>
        <v>38644</v>
      </c>
      <c r="E759" s="8">
        <f t="shared" si="11"/>
        <v>2005</v>
      </c>
      <c r="F759" t="s">
        <v>249</v>
      </c>
      <c r="G759" s="9">
        <v>3428</v>
      </c>
      <c r="H759" s="8">
        <v>3694</v>
      </c>
    </row>
    <row r="760" spans="2:8" ht="17.5" customHeight="1" x14ac:dyDescent="0.4">
      <c r="B760" t="s">
        <v>7</v>
      </c>
      <c r="C760" t="s">
        <v>248</v>
      </c>
      <c r="D760" s="7">
        <f>DATE(2006,3,23)</f>
        <v>38799</v>
      </c>
      <c r="E760" s="8">
        <f t="shared" si="11"/>
        <v>2006</v>
      </c>
      <c r="F760" t="s">
        <v>249</v>
      </c>
      <c r="G760" s="9">
        <v>2853</v>
      </c>
      <c r="H760" s="8">
        <v>4363</v>
      </c>
    </row>
    <row r="761" spans="2:8" ht="17.5" customHeight="1" x14ac:dyDescent="0.4">
      <c r="B761" t="s">
        <v>7</v>
      </c>
      <c r="C761" t="s">
        <v>248</v>
      </c>
      <c r="D761" s="7">
        <f>DATE(2006,3,22)</f>
        <v>38798</v>
      </c>
      <c r="E761" s="8">
        <f t="shared" si="11"/>
        <v>2006</v>
      </c>
      <c r="F761" t="s">
        <v>249</v>
      </c>
      <c r="G761" s="9">
        <v>2478</v>
      </c>
      <c r="H761" s="8">
        <v>4362</v>
      </c>
    </row>
    <row r="762" spans="2:8" ht="17.5" customHeight="1" x14ac:dyDescent="0.4">
      <c r="B762" t="s">
        <v>7</v>
      </c>
      <c r="C762" t="s">
        <v>248</v>
      </c>
      <c r="D762" s="7">
        <f>DATE(2006,6,23)</f>
        <v>38891</v>
      </c>
      <c r="E762" s="8">
        <f t="shared" si="11"/>
        <v>2006</v>
      </c>
      <c r="F762" t="s">
        <v>249</v>
      </c>
      <c r="G762" s="9">
        <v>3801.5</v>
      </c>
      <c r="H762" s="8">
        <v>4732</v>
      </c>
    </row>
    <row r="763" spans="2:8" ht="17.5" customHeight="1" x14ac:dyDescent="0.4">
      <c r="B763" s="3" t="s">
        <v>7</v>
      </c>
      <c r="C763" s="3" t="s">
        <v>248</v>
      </c>
      <c r="D763" s="4">
        <f>DATE(2004,5,18)</f>
        <v>38125</v>
      </c>
      <c r="E763" s="5">
        <f t="shared" si="11"/>
        <v>2004</v>
      </c>
      <c r="F763" s="3" t="s">
        <v>249</v>
      </c>
      <c r="G763" s="6">
        <v>956.75</v>
      </c>
      <c r="H763" s="5">
        <v>2904</v>
      </c>
    </row>
    <row r="764" spans="2:8" ht="17.5" customHeight="1" x14ac:dyDescent="0.4">
      <c r="B764" s="3" t="s">
        <v>7</v>
      </c>
      <c r="C764" s="3" t="s">
        <v>248</v>
      </c>
      <c r="D764" s="4">
        <f>DATE(2004,5,21)</f>
        <v>38128</v>
      </c>
      <c r="E764" s="5">
        <f t="shared" si="11"/>
        <v>2004</v>
      </c>
      <c r="F764" s="3" t="s">
        <v>249</v>
      </c>
      <c r="G764" s="6">
        <v>683.25</v>
      </c>
      <c r="H764" s="5">
        <v>2917</v>
      </c>
    </row>
    <row r="765" spans="2:8" ht="17.5" customHeight="1" x14ac:dyDescent="0.4">
      <c r="B765" t="s">
        <v>7</v>
      </c>
      <c r="C765" t="s">
        <v>250</v>
      </c>
      <c r="D765" s="7">
        <f>DATE(2015,11,12)</f>
        <v>42320</v>
      </c>
      <c r="E765" s="8">
        <f t="shared" si="11"/>
        <v>2015</v>
      </c>
      <c r="F765" t="s">
        <v>251</v>
      </c>
      <c r="G765" s="9">
        <v>28300</v>
      </c>
      <c r="H765" s="8">
        <v>21377</v>
      </c>
    </row>
    <row r="766" spans="2:8" ht="17.5" customHeight="1" x14ac:dyDescent="0.4">
      <c r="B766" t="s">
        <v>7</v>
      </c>
      <c r="C766" t="s">
        <v>250</v>
      </c>
      <c r="D766" s="7">
        <f>DATE(2006,3,16)</f>
        <v>38792</v>
      </c>
      <c r="E766" s="8">
        <f t="shared" si="11"/>
        <v>2006</v>
      </c>
      <c r="F766" t="s">
        <v>251</v>
      </c>
      <c r="G766" s="9">
        <v>12734.17</v>
      </c>
      <c r="H766" s="8">
        <v>4028</v>
      </c>
    </row>
    <row r="767" spans="2:8" ht="17.5" customHeight="1" x14ac:dyDescent="0.4">
      <c r="B767" t="s">
        <v>7</v>
      </c>
      <c r="C767" t="s">
        <v>250</v>
      </c>
      <c r="D767" s="7">
        <f>DATE(2014,11,18)</f>
        <v>41961</v>
      </c>
      <c r="E767" s="8">
        <f t="shared" si="11"/>
        <v>2014</v>
      </c>
      <c r="F767" t="s">
        <v>251</v>
      </c>
      <c r="G767" s="9">
        <v>13655.63</v>
      </c>
      <c r="H767" s="8">
        <v>13564</v>
      </c>
    </row>
    <row r="768" spans="2:8" ht="17.5" customHeight="1" x14ac:dyDescent="0.4">
      <c r="B768" t="s">
        <v>7</v>
      </c>
      <c r="C768" t="s">
        <v>250</v>
      </c>
      <c r="D768" s="7">
        <f>DATE(2004,3,19)</f>
        <v>38065</v>
      </c>
      <c r="E768" s="8">
        <f t="shared" si="11"/>
        <v>2004</v>
      </c>
      <c r="F768" t="s">
        <v>252</v>
      </c>
      <c r="G768" s="9">
        <v>3750</v>
      </c>
      <c r="H768" s="8">
        <v>1612</v>
      </c>
    </row>
    <row r="769" spans="2:8" ht="17.5" customHeight="1" x14ac:dyDescent="0.4">
      <c r="B769" t="s">
        <v>7</v>
      </c>
      <c r="C769" t="s">
        <v>250</v>
      </c>
      <c r="D769" s="7">
        <f>DATE(2005,3,12)</f>
        <v>38423</v>
      </c>
      <c r="E769" s="8">
        <f t="shared" si="11"/>
        <v>2005</v>
      </c>
      <c r="F769" t="s">
        <v>252</v>
      </c>
      <c r="G769" s="9">
        <v>14614.5</v>
      </c>
      <c r="H769" s="8">
        <v>2827</v>
      </c>
    </row>
    <row r="770" spans="2:8" ht="17.5" customHeight="1" x14ac:dyDescent="0.4">
      <c r="B770" t="s">
        <v>7</v>
      </c>
      <c r="C770" t="s">
        <v>253</v>
      </c>
      <c r="D770" s="7">
        <f>DATE(2016,11,17)</f>
        <v>42691</v>
      </c>
      <c r="E770" s="8">
        <f t="shared" si="11"/>
        <v>2016</v>
      </c>
      <c r="F770" t="s">
        <v>254</v>
      </c>
      <c r="G770" s="9">
        <v>3014.14</v>
      </c>
      <c r="H770" s="8">
        <v>23805</v>
      </c>
    </row>
    <row r="771" spans="2:8" ht="17.5" customHeight="1" x14ac:dyDescent="0.4">
      <c r="B771" t="s">
        <v>7</v>
      </c>
      <c r="C771" t="s">
        <v>253</v>
      </c>
      <c r="D771" s="7">
        <f>DATE(2007,6,15)</f>
        <v>39248</v>
      </c>
      <c r="E771" s="8">
        <f t="shared" ref="E771:E834" si="12">YEAR(D771)</f>
        <v>2007</v>
      </c>
      <c r="F771" t="s">
        <v>255</v>
      </c>
      <c r="G771" s="9">
        <v>7700.48</v>
      </c>
      <c r="H771" s="8">
        <v>6082</v>
      </c>
    </row>
    <row r="772" spans="2:8" ht="17.5" customHeight="1" x14ac:dyDescent="0.4">
      <c r="B772" t="s">
        <v>7</v>
      </c>
      <c r="C772" t="s">
        <v>256</v>
      </c>
      <c r="D772" s="7">
        <f>DATE(2015,5,7)</f>
        <v>42131</v>
      </c>
      <c r="E772" s="8">
        <f t="shared" si="12"/>
        <v>2015</v>
      </c>
      <c r="F772" t="s">
        <v>257</v>
      </c>
      <c r="G772" s="9">
        <v>848.77</v>
      </c>
      <c r="H772" s="8">
        <v>20556</v>
      </c>
    </row>
    <row r="773" spans="2:8" ht="17.5" customHeight="1" x14ac:dyDescent="0.4">
      <c r="B773" t="s">
        <v>7</v>
      </c>
      <c r="C773" t="s">
        <v>256</v>
      </c>
      <c r="D773" s="7">
        <f>DATE(2017,4,17)</f>
        <v>42842</v>
      </c>
      <c r="E773" s="8">
        <f t="shared" si="12"/>
        <v>2017</v>
      </c>
      <c r="F773" t="s">
        <v>257</v>
      </c>
      <c r="G773" s="9">
        <v>464.66</v>
      </c>
      <c r="H773" s="8">
        <v>24760</v>
      </c>
    </row>
    <row r="774" spans="2:8" ht="17.5" customHeight="1" x14ac:dyDescent="0.4">
      <c r="B774" t="s">
        <v>7</v>
      </c>
      <c r="C774" t="s">
        <v>256</v>
      </c>
      <c r="D774" s="7">
        <f>DATE(2017,5,18)</f>
        <v>42873</v>
      </c>
      <c r="E774" s="8">
        <f t="shared" si="12"/>
        <v>2017</v>
      </c>
      <c r="F774" t="s">
        <v>257</v>
      </c>
      <c r="G774" s="9">
        <v>986</v>
      </c>
      <c r="H774" s="8">
        <v>24751</v>
      </c>
    </row>
    <row r="775" spans="2:8" ht="17.5" customHeight="1" x14ac:dyDescent="0.4">
      <c r="B775" s="3" t="s">
        <v>7</v>
      </c>
      <c r="C775" s="3" t="s">
        <v>258</v>
      </c>
      <c r="D775" s="4">
        <f>DATE(2013,4,26)</f>
        <v>41390</v>
      </c>
      <c r="E775" s="5">
        <f t="shared" si="12"/>
        <v>2013</v>
      </c>
      <c r="F775" s="3" t="s">
        <v>259</v>
      </c>
      <c r="G775" s="6">
        <v>34159.03</v>
      </c>
      <c r="H775" s="5">
        <v>5471</v>
      </c>
    </row>
    <row r="776" spans="2:8" ht="17.5" customHeight="1" x14ac:dyDescent="0.4">
      <c r="B776" s="3" t="s">
        <v>7</v>
      </c>
      <c r="C776" s="3" t="s">
        <v>260</v>
      </c>
      <c r="D776" s="4">
        <f>DATE(2010,3,3)</f>
        <v>40240</v>
      </c>
      <c r="E776" s="5">
        <f t="shared" si="12"/>
        <v>2010</v>
      </c>
      <c r="F776" s="3" t="s">
        <v>261</v>
      </c>
      <c r="G776" s="6">
        <v>2950.41</v>
      </c>
      <c r="H776" s="5">
        <v>3803</v>
      </c>
    </row>
    <row r="777" spans="2:8" ht="17.5" customHeight="1" x14ac:dyDescent="0.4">
      <c r="B777" s="3" t="s">
        <v>7</v>
      </c>
      <c r="C777" s="3" t="s">
        <v>260</v>
      </c>
      <c r="D777" s="4">
        <f>DATE(2010,6,23)</f>
        <v>40352</v>
      </c>
      <c r="E777" s="5">
        <f t="shared" si="12"/>
        <v>2010</v>
      </c>
      <c r="F777" s="3" t="s">
        <v>261</v>
      </c>
      <c r="G777" s="6">
        <v>606</v>
      </c>
      <c r="H777" s="5">
        <v>4000</v>
      </c>
    </row>
    <row r="778" spans="2:8" ht="17.5" customHeight="1" x14ac:dyDescent="0.4">
      <c r="B778" t="s">
        <v>7</v>
      </c>
      <c r="C778" t="s">
        <v>262</v>
      </c>
      <c r="D778" s="7">
        <f>DATE(2012,3,28)</f>
        <v>40996</v>
      </c>
      <c r="E778" s="8">
        <f t="shared" si="12"/>
        <v>2012</v>
      </c>
      <c r="F778" t="s">
        <v>263</v>
      </c>
      <c r="G778" s="9">
        <v>9302.84</v>
      </c>
      <c r="H778" s="8">
        <v>11466</v>
      </c>
    </row>
    <row r="779" spans="2:8" ht="17.5" customHeight="1" x14ac:dyDescent="0.4">
      <c r="B779" t="s">
        <v>7</v>
      </c>
      <c r="C779" t="s">
        <v>262</v>
      </c>
      <c r="D779" s="7">
        <f>DATE(2004,9,25)</f>
        <v>38255</v>
      </c>
      <c r="E779" s="8">
        <f t="shared" si="12"/>
        <v>2004</v>
      </c>
      <c r="F779" t="s">
        <v>264</v>
      </c>
      <c r="G779" s="9">
        <v>4900</v>
      </c>
      <c r="H779" s="8">
        <v>1864</v>
      </c>
    </row>
    <row r="780" spans="2:8" ht="17.5" customHeight="1" x14ac:dyDescent="0.4">
      <c r="B780" t="s">
        <v>7</v>
      </c>
      <c r="C780" t="s">
        <v>262</v>
      </c>
      <c r="D780" s="7">
        <f>DATE(2004,9,24)</f>
        <v>38254</v>
      </c>
      <c r="E780" s="8">
        <f t="shared" si="12"/>
        <v>2004</v>
      </c>
      <c r="F780" t="s">
        <v>264</v>
      </c>
      <c r="G780" s="9">
        <v>1900</v>
      </c>
      <c r="H780" s="8">
        <v>1868</v>
      </c>
    </row>
    <row r="781" spans="2:8" ht="17.5" customHeight="1" x14ac:dyDescent="0.4">
      <c r="B781" t="s">
        <v>7</v>
      </c>
      <c r="C781" t="s">
        <v>262</v>
      </c>
      <c r="D781" s="7">
        <f>DATE(2004,10,7)</f>
        <v>38267</v>
      </c>
      <c r="E781" s="8">
        <f t="shared" si="12"/>
        <v>2004</v>
      </c>
      <c r="F781" t="s">
        <v>264</v>
      </c>
      <c r="G781" s="9">
        <v>6249.55</v>
      </c>
      <c r="H781" s="8">
        <v>2269</v>
      </c>
    </row>
    <row r="782" spans="2:8" ht="17.5" customHeight="1" x14ac:dyDescent="0.4">
      <c r="B782" t="s">
        <v>7</v>
      </c>
      <c r="C782" t="s">
        <v>265</v>
      </c>
      <c r="D782" s="7">
        <f>DATE(2013,5,29)</f>
        <v>41423</v>
      </c>
      <c r="E782" s="8">
        <f t="shared" si="12"/>
        <v>2013</v>
      </c>
      <c r="F782" t="s">
        <v>266</v>
      </c>
      <c r="G782" s="9">
        <v>8960</v>
      </c>
      <c r="H782" s="8">
        <v>12481</v>
      </c>
    </row>
    <row r="783" spans="2:8" ht="17.5" customHeight="1" x14ac:dyDescent="0.4">
      <c r="B783" t="s">
        <v>7</v>
      </c>
      <c r="C783" t="s">
        <v>265</v>
      </c>
      <c r="D783" s="7">
        <f>DATE(2005,8,7)</f>
        <v>38571</v>
      </c>
      <c r="E783" s="8">
        <f t="shared" si="12"/>
        <v>2005</v>
      </c>
      <c r="F783" t="s">
        <v>266</v>
      </c>
      <c r="G783" s="9">
        <v>19995</v>
      </c>
      <c r="H783" s="8">
        <v>3444</v>
      </c>
    </row>
    <row r="784" spans="2:8" ht="17.5" customHeight="1" x14ac:dyDescent="0.4">
      <c r="B784" t="s">
        <v>7</v>
      </c>
      <c r="C784" t="s">
        <v>265</v>
      </c>
      <c r="D784" s="7">
        <f>DATE(2008,5,6)</f>
        <v>39574</v>
      </c>
      <c r="E784" s="8">
        <f t="shared" si="12"/>
        <v>2008</v>
      </c>
      <c r="F784" t="s">
        <v>266</v>
      </c>
      <c r="G784" s="9">
        <v>4205</v>
      </c>
      <c r="H784" s="8">
        <v>7384</v>
      </c>
    </row>
    <row r="785" spans="2:8" ht="17.5" customHeight="1" x14ac:dyDescent="0.4">
      <c r="B785" t="s">
        <v>7</v>
      </c>
      <c r="C785" t="s">
        <v>265</v>
      </c>
      <c r="D785" s="7">
        <f>DATE(2013,5,29)</f>
        <v>41423</v>
      </c>
      <c r="E785" s="8">
        <f t="shared" si="12"/>
        <v>2013</v>
      </c>
      <c r="F785" t="s">
        <v>266</v>
      </c>
      <c r="G785" s="9">
        <v>3765.58</v>
      </c>
      <c r="H785" s="8">
        <v>12469</v>
      </c>
    </row>
    <row r="786" spans="2:8" ht="17.5" customHeight="1" x14ac:dyDescent="0.4">
      <c r="B786" s="3" t="s">
        <v>7</v>
      </c>
      <c r="C786" s="3" t="s">
        <v>265</v>
      </c>
      <c r="D786" s="4">
        <f>DATE(2004,9,21)</f>
        <v>38251</v>
      </c>
      <c r="E786" s="5">
        <f t="shared" si="12"/>
        <v>2004</v>
      </c>
      <c r="F786" s="3" t="s">
        <v>266</v>
      </c>
      <c r="G786" s="6">
        <v>556</v>
      </c>
      <c r="H786" s="5">
        <v>3433</v>
      </c>
    </row>
    <row r="787" spans="2:8" ht="17.5" customHeight="1" x14ac:dyDescent="0.4">
      <c r="B787" s="3" t="s">
        <v>7</v>
      </c>
      <c r="C787" s="3" t="s">
        <v>265</v>
      </c>
      <c r="D787" s="4">
        <f>DATE(2005,2,4)</f>
        <v>38387</v>
      </c>
      <c r="E787" s="5">
        <f t="shared" si="12"/>
        <v>2005</v>
      </c>
      <c r="F787" s="3" t="s">
        <v>266</v>
      </c>
      <c r="G787" s="6">
        <v>99.5</v>
      </c>
      <c r="H787" s="5">
        <v>4182</v>
      </c>
    </row>
    <row r="788" spans="2:8" ht="17.5" customHeight="1" x14ac:dyDescent="0.4">
      <c r="B788" s="3" t="s">
        <v>7</v>
      </c>
      <c r="C788" s="3" t="s">
        <v>265</v>
      </c>
      <c r="D788" s="4">
        <f>DATE(2005,3,29)</f>
        <v>38440</v>
      </c>
      <c r="E788" s="5">
        <f t="shared" si="12"/>
        <v>2005</v>
      </c>
      <c r="F788" s="3" t="s">
        <v>266</v>
      </c>
      <c r="G788" s="6">
        <v>1452.25</v>
      </c>
      <c r="H788" s="5">
        <v>4205</v>
      </c>
    </row>
    <row r="789" spans="2:8" ht="17.5" customHeight="1" x14ac:dyDescent="0.4">
      <c r="B789" s="3" t="s">
        <v>7</v>
      </c>
      <c r="C789" s="3" t="s">
        <v>265</v>
      </c>
      <c r="D789" s="4">
        <f>DATE(2006,3,10)</f>
        <v>38786</v>
      </c>
      <c r="E789" s="5">
        <f t="shared" si="12"/>
        <v>2006</v>
      </c>
      <c r="F789" s="3" t="s">
        <v>266</v>
      </c>
      <c r="G789" s="6">
        <v>6750</v>
      </c>
      <c r="H789" s="5">
        <v>6205</v>
      </c>
    </row>
    <row r="790" spans="2:8" ht="17.5" customHeight="1" x14ac:dyDescent="0.4">
      <c r="B790" s="3" t="s">
        <v>7</v>
      </c>
      <c r="C790" s="3" t="s">
        <v>267</v>
      </c>
      <c r="D790" s="4">
        <f>DATE(2004,6,30)</f>
        <v>38168</v>
      </c>
      <c r="E790" s="5">
        <f t="shared" si="12"/>
        <v>2004</v>
      </c>
      <c r="F790" s="3" t="s">
        <v>268</v>
      </c>
      <c r="G790" s="6">
        <v>89.7</v>
      </c>
      <c r="H790" s="5">
        <v>737</v>
      </c>
    </row>
    <row r="791" spans="2:8" ht="17.5" customHeight="1" x14ac:dyDescent="0.4">
      <c r="B791" t="s">
        <v>7</v>
      </c>
      <c r="C791" t="s">
        <v>269</v>
      </c>
      <c r="D791" s="7">
        <f>DATE(2013,6,26)</f>
        <v>41451</v>
      </c>
      <c r="E791" s="8">
        <f t="shared" si="12"/>
        <v>2013</v>
      </c>
      <c r="F791" t="s">
        <v>270</v>
      </c>
      <c r="G791" s="9">
        <v>110000</v>
      </c>
      <c r="H791" s="8">
        <v>12382</v>
      </c>
    </row>
    <row r="792" spans="2:8" ht="17.5" customHeight="1" x14ac:dyDescent="0.4">
      <c r="B792" t="s">
        <v>7</v>
      </c>
      <c r="C792" t="s">
        <v>269</v>
      </c>
      <c r="D792" s="7">
        <f>DATE(2013,7,25)</f>
        <v>41480</v>
      </c>
      <c r="E792" s="8">
        <f t="shared" si="12"/>
        <v>2013</v>
      </c>
      <c r="F792" t="s">
        <v>270</v>
      </c>
      <c r="G792" s="9">
        <v>85527</v>
      </c>
      <c r="H792" s="8">
        <v>12383</v>
      </c>
    </row>
    <row r="793" spans="2:8" ht="17.5" customHeight="1" x14ac:dyDescent="0.4">
      <c r="B793" t="s">
        <v>7</v>
      </c>
      <c r="C793" t="s">
        <v>269</v>
      </c>
      <c r="D793" s="7">
        <f>DATE(2011,2,8)</f>
        <v>40582</v>
      </c>
      <c r="E793" s="8">
        <f t="shared" si="12"/>
        <v>2011</v>
      </c>
      <c r="F793" t="s">
        <v>270</v>
      </c>
      <c r="G793" s="9">
        <v>4172.24</v>
      </c>
      <c r="H793" s="8">
        <v>10371</v>
      </c>
    </row>
    <row r="794" spans="2:8" ht="17.5" customHeight="1" x14ac:dyDescent="0.4">
      <c r="B794" t="s">
        <v>7</v>
      </c>
      <c r="C794" t="s">
        <v>271</v>
      </c>
      <c r="D794" s="7">
        <f>DATE(2016,11,17)</f>
        <v>42691</v>
      </c>
      <c r="E794" s="8">
        <f t="shared" si="12"/>
        <v>2016</v>
      </c>
      <c r="F794" t="s">
        <v>272</v>
      </c>
      <c r="G794" s="9">
        <v>3299.19</v>
      </c>
      <c r="H794" s="8">
        <v>23787</v>
      </c>
    </row>
    <row r="795" spans="2:8" ht="17.5" customHeight="1" x14ac:dyDescent="0.4">
      <c r="B795" t="s">
        <v>7</v>
      </c>
      <c r="C795" t="s">
        <v>271</v>
      </c>
      <c r="D795" s="7">
        <f>DATE(2005,2,25)</f>
        <v>38408</v>
      </c>
      <c r="E795" s="8">
        <f t="shared" si="12"/>
        <v>2005</v>
      </c>
      <c r="F795" t="s">
        <v>272</v>
      </c>
      <c r="G795" s="9">
        <v>4438.21</v>
      </c>
      <c r="H795" s="8">
        <v>2826</v>
      </c>
    </row>
    <row r="796" spans="2:8" ht="17.5" customHeight="1" x14ac:dyDescent="0.4">
      <c r="B796" t="s">
        <v>7</v>
      </c>
      <c r="C796" t="s">
        <v>271</v>
      </c>
      <c r="D796" s="7">
        <f>DATE(2005,3,5)</f>
        <v>38416</v>
      </c>
      <c r="E796" s="8">
        <f t="shared" si="12"/>
        <v>2005</v>
      </c>
      <c r="F796" t="s">
        <v>272</v>
      </c>
      <c r="G796" s="9">
        <v>7267.56</v>
      </c>
      <c r="H796" s="8">
        <v>2858</v>
      </c>
    </row>
    <row r="797" spans="2:8" ht="17.5" customHeight="1" x14ac:dyDescent="0.4">
      <c r="B797" t="s">
        <v>7</v>
      </c>
      <c r="C797" t="s">
        <v>271</v>
      </c>
      <c r="D797" s="7">
        <f>DATE(2005,10,4)</f>
        <v>38629</v>
      </c>
      <c r="E797" s="8">
        <f t="shared" si="12"/>
        <v>2005</v>
      </c>
      <c r="F797" t="s">
        <v>272</v>
      </c>
      <c r="G797" s="9">
        <v>7456.97</v>
      </c>
      <c r="H797" s="8">
        <v>3654</v>
      </c>
    </row>
    <row r="798" spans="2:8" ht="17.5" customHeight="1" x14ac:dyDescent="0.4">
      <c r="B798" t="s">
        <v>7</v>
      </c>
      <c r="C798" t="s">
        <v>271</v>
      </c>
      <c r="D798" s="7">
        <f>DATE(2005,10,13)</f>
        <v>38638</v>
      </c>
      <c r="E798" s="8">
        <f t="shared" si="12"/>
        <v>2005</v>
      </c>
      <c r="F798" t="s">
        <v>272</v>
      </c>
      <c r="G798" s="9">
        <v>6021.24</v>
      </c>
      <c r="H798" s="8">
        <v>3681</v>
      </c>
    </row>
    <row r="799" spans="2:8" ht="17.5" customHeight="1" x14ac:dyDescent="0.4">
      <c r="B799" t="s">
        <v>7</v>
      </c>
      <c r="C799" t="s">
        <v>271</v>
      </c>
      <c r="D799" s="7">
        <f>DATE(2006,4,12)</f>
        <v>38819</v>
      </c>
      <c r="E799" s="8">
        <f t="shared" si="12"/>
        <v>2006</v>
      </c>
      <c r="F799" t="s">
        <v>272</v>
      </c>
      <c r="G799" s="9">
        <v>3070.56</v>
      </c>
      <c r="H799" s="8">
        <v>4472</v>
      </c>
    </row>
    <row r="800" spans="2:8" ht="17.5" customHeight="1" x14ac:dyDescent="0.4">
      <c r="B800" t="s">
        <v>7</v>
      </c>
      <c r="C800" t="s">
        <v>271</v>
      </c>
      <c r="D800" s="7">
        <f>DATE(2006,5,8)</f>
        <v>38845</v>
      </c>
      <c r="E800" s="8">
        <f t="shared" si="12"/>
        <v>2006</v>
      </c>
      <c r="F800" t="s">
        <v>272</v>
      </c>
      <c r="G800" s="9">
        <v>2014.59</v>
      </c>
      <c r="H800" s="8">
        <v>4604</v>
      </c>
    </row>
    <row r="801" spans="2:8" ht="17.5" customHeight="1" x14ac:dyDescent="0.4">
      <c r="B801" t="s">
        <v>7</v>
      </c>
      <c r="C801" t="s">
        <v>271</v>
      </c>
      <c r="D801" s="7">
        <f>DATE(2006,5,31)</f>
        <v>38868</v>
      </c>
      <c r="E801" s="8">
        <f t="shared" si="12"/>
        <v>2006</v>
      </c>
      <c r="F801" t="s">
        <v>272</v>
      </c>
      <c r="G801" s="9">
        <v>2197.13</v>
      </c>
      <c r="H801" s="8">
        <v>4658</v>
      </c>
    </row>
    <row r="802" spans="2:8" ht="17.5" customHeight="1" x14ac:dyDescent="0.4">
      <c r="B802" t="s">
        <v>7</v>
      </c>
      <c r="C802" t="s">
        <v>271</v>
      </c>
      <c r="D802" s="7">
        <f>DATE(2006,12,18)</f>
        <v>39069</v>
      </c>
      <c r="E802" s="8">
        <f t="shared" si="12"/>
        <v>2006</v>
      </c>
      <c r="F802" t="s">
        <v>272</v>
      </c>
      <c r="G802" s="9">
        <v>2626.1</v>
      </c>
      <c r="H802" s="8">
        <v>5253</v>
      </c>
    </row>
    <row r="803" spans="2:8" ht="17.5" customHeight="1" x14ac:dyDescent="0.4">
      <c r="B803" t="s">
        <v>7</v>
      </c>
      <c r="C803" t="s">
        <v>271</v>
      </c>
      <c r="D803" s="7">
        <f>DATE(2006,12,23)</f>
        <v>39074</v>
      </c>
      <c r="E803" s="8">
        <f t="shared" si="12"/>
        <v>2006</v>
      </c>
      <c r="F803" t="s">
        <v>272</v>
      </c>
      <c r="G803" s="9">
        <v>5033.3599999999997</v>
      </c>
      <c r="H803" s="8">
        <v>5302</v>
      </c>
    </row>
    <row r="804" spans="2:8" ht="17.5" customHeight="1" x14ac:dyDescent="0.4">
      <c r="B804" t="s">
        <v>7</v>
      </c>
      <c r="C804" t="s">
        <v>271</v>
      </c>
      <c r="D804" s="7">
        <f>DATE(2007,1,3)</f>
        <v>39085</v>
      </c>
      <c r="E804" s="8">
        <f t="shared" si="12"/>
        <v>2007</v>
      </c>
      <c r="F804" t="s">
        <v>272</v>
      </c>
      <c r="G804" s="9">
        <v>5938.44</v>
      </c>
      <c r="H804" s="8">
        <v>5321</v>
      </c>
    </row>
    <row r="805" spans="2:8" ht="17.5" customHeight="1" x14ac:dyDescent="0.4">
      <c r="B805" t="s">
        <v>7</v>
      </c>
      <c r="C805" t="s">
        <v>271</v>
      </c>
      <c r="D805" s="7">
        <f>DATE(2008,10,10)</f>
        <v>39731</v>
      </c>
      <c r="E805" s="8">
        <f t="shared" si="12"/>
        <v>2008</v>
      </c>
      <c r="F805" t="s">
        <v>272</v>
      </c>
      <c r="G805" s="9">
        <v>6410.67</v>
      </c>
      <c r="H805" s="8">
        <v>7859</v>
      </c>
    </row>
    <row r="806" spans="2:8" ht="17.5" customHeight="1" x14ac:dyDescent="0.4">
      <c r="B806" t="s">
        <v>7</v>
      </c>
      <c r="C806" t="s">
        <v>271</v>
      </c>
      <c r="D806" s="7">
        <f>DATE(2008,12,21)</f>
        <v>39803</v>
      </c>
      <c r="E806" s="8">
        <f t="shared" si="12"/>
        <v>2008</v>
      </c>
      <c r="F806" t="s">
        <v>272</v>
      </c>
      <c r="G806" s="9">
        <v>5711.67</v>
      </c>
      <c r="H806" s="8">
        <v>8131</v>
      </c>
    </row>
    <row r="807" spans="2:8" ht="17.5" customHeight="1" x14ac:dyDescent="0.4">
      <c r="B807" t="s">
        <v>7</v>
      </c>
      <c r="C807" t="s">
        <v>271</v>
      </c>
      <c r="D807" s="7">
        <f>DATE(2012,4,23)</f>
        <v>41022</v>
      </c>
      <c r="E807" s="8">
        <f t="shared" si="12"/>
        <v>2012</v>
      </c>
      <c r="F807" t="s">
        <v>272</v>
      </c>
      <c r="G807" s="9">
        <v>81400</v>
      </c>
      <c r="H807" s="8">
        <v>11532</v>
      </c>
    </row>
    <row r="808" spans="2:8" ht="17.5" customHeight="1" x14ac:dyDescent="0.4">
      <c r="B808" t="s">
        <v>7</v>
      </c>
      <c r="C808" t="s">
        <v>271</v>
      </c>
      <c r="D808" s="7">
        <f>DATE(2012,4,23)</f>
        <v>41022</v>
      </c>
      <c r="E808" s="8">
        <f t="shared" si="12"/>
        <v>2012</v>
      </c>
      <c r="F808" t="s">
        <v>272</v>
      </c>
      <c r="G808" s="9">
        <v>81400</v>
      </c>
      <c r="H808" s="8">
        <v>11532</v>
      </c>
    </row>
    <row r="809" spans="2:8" ht="17.5" customHeight="1" x14ac:dyDescent="0.4">
      <c r="B809" t="s">
        <v>7</v>
      </c>
      <c r="C809" t="s">
        <v>271</v>
      </c>
      <c r="D809" s="7">
        <f>DATE(2013,3,21)</f>
        <v>41354</v>
      </c>
      <c r="E809" s="8">
        <f t="shared" si="12"/>
        <v>2013</v>
      </c>
      <c r="F809" t="s">
        <v>272</v>
      </c>
      <c r="G809" s="9">
        <v>6997.13</v>
      </c>
      <c r="H809" s="8">
        <v>12308</v>
      </c>
    </row>
    <row r="810" spans="2:8" ht="17.5" customHeight="1" x14ac:dyDescent="0.4">
      <c r="B810" t="s">
        <v>16</v>
      </c>
      <c r="C810" t="s">
        <v>271</v>
      </c>
      <c r="D810" s="7">
        <f>DATE(2008,12,21)</f>
        <v>39803</v>
      </c>
      <c r="E810" s="8">
        <f t="shared" si="12"/>
        <v>2008</v>
      </c>
      <c r="F810" t="s">
        <v>272</v>
      </c>
      <c r="G810" s="9">
        <v>765</v>
      </c>
      <c r="H810" s="8">
        <v>8177</v>
      </c>
    </row>
    <row r="811" spans="2:8" ht="17.5" customHeight="1" x14ac:dyDescent="0.4">
      <c r="B811" t="s">
        <v>7</v>
      </c>
      <c r="C811" t="s">
        <v>273</v>
      </c>
      <c r="D811" s="7">
        <f>DATE(2007,6,20)</f>
        <v>39253</v>
      </c>
      <c r="E811" s="8">
        <f t="shared" si="12"/>
        <v>2007</v>
      </c>
      <c r="F811" t="s">
        <v>274</v>
      </c>
      <c r="G811" s="9">
        <v>7632.78</v>
      </c>
      <c r="H811" s="8">
        <v>6088</v>
      </c>
    </row>
    <row r="812" spans="2:8" ht="17.5" customHeight="1" x14ac:dyDescent="0.4">
      <c r="B812" t="s">
        <v>7</v>
      </c>
      <c r="C812" t="s">
        <v>273</v>
      </c>
      <c r="D812" s="7">
        <f>DATE(2007,7,5)</f>
        <v>39268</v>
      </c>
      <c r="E812" s="8">
        <f t="shared" si="12"/>
        <v>2007</v>
      </c>
      <c r="F812" t="s">
        <v>274</v>
      </c>
      <c r="G812" s="9">
        <v>12016.89</v>
      </c>
      <c r="H812" s="8">
        <v>6138</v>
      </c>
    </row>
    <row r="813" spans="2:8" ht="17.5" customHeight="1" x14ac:dyDescent="0.4">
      <c r="B813" t="s">
        <v>7</v>
      </c>
      <c r="C813" t="s">
        <v>273</v>
      </c>
      <c r="D813" s="7">
        <f>DATE(2007,8,24)</f>
        <v>39318</v>
      </c>
      <c r="E813" s="8">
        <f t="shared" si="12"/>
        <v>2007</v>
      </c>
      <c r="F813" t="s">
        <v>274</v>
      </c>
      <c r="G813" s="9">
        <v>11177.76</v>
      </c>
      <c r="H813" s="8">
        <v>6273</v>
      </c>
    </row>
    <row r="814" spans="2:8" ht="17.5" customHeight="1" x14ac:dyDescent="0.4">
      <c r="B814" t="s">
        <v>7</v>
      </c>
      <c r="C814" t="s">
        <v>273</v>
      </c>
      <c r="D814" s="7">
        <f>DATE(2007,10,22)</f>
        <v>39377</v>
      </c>
      <c r="E814" s="8">
        <f t="shared" si="12"/>
        <v>2007</v>
      </c>
      <c r="F814" t="s">
        <v>274</v>
      </c>
      <c r="G814" s="9">
        <v>16644.71</v>
      </c>
      <c r="H814" s="8">
        <v>6513</v>
      </c>
    </row>
    <row r="815" spans="2:8" ht="17.5" customHeight="1" x14ac:dyDescent="0.4">
      <c r="B815" t="s">
        <v>7</v>
      </c>
      <c r="C815" t="s">
        <v>273</v>
      </c>
      <c r="D815" s="7">
        <f>DATE(2015,3,24)</f>
        <v>42087</v>
      </c>
      <c r="E815" s="8">
        <f t="shared" si="12"/>
        <v>2015</v>
      </c>
      <c r="F815" t="s">
        <v>275</v>
      </c>
      <c r="G815" s="9">
        <v>16378.47</v>
      </c>
      <c r="H815" s="8">
        <v>20138</v>
      </c>
    </row>
    <row r="816" spans="2:8" ht="17.5" customHeight="1" x14ac:dyDescent="0.4">
      <c r="B816" t="s">
        <v>7</v>
      </c>
      <c r="C816" t="s">
        <v>273</v>
      </c>
      <c r="D816" s="7">
        <f>DATE(2016,7,14)</f>
        <v>42565</v>
      </c>
      <c r="E816" s="8">
        <f t="shared" si="12"/>
        <v>2016</v>
      </c>
      <c r="F816" t="s">
        <v>275</v>
      </c>
      <c r="G816" s="9">
        <v>9074.4500000000007</v>
      </c>
      <c r="H816" s="8">
        <v>23083</v>
      </c>
    </row>
    <row r="817" spans="2:8" ht="17.5" customHeight="1" x14ac:dyDescent="0.4">
      <c r="B817" t="s">
        <v>7</v>
      </c>
      <c r="C817" t="s">
        <v>273</v>
      </c>
      <c r="D817" s="7">
        <f>DATE(2016,12,8)</f>
        <v>42712</v>
      </c>
      <c r="E817" s="8">
        <f t="shared" si="12"/>
        <v>2016</v>
      </c>
      <c r="F817" t="s">
        <v>275</v>
      </c>
      <c r="G817" s="9">
        <v>13848.41</v>
      </c>
      <c r="H817" s="8">
        <v>23917</v>
      </c>
    </row>
    <row r="818" spans="2:8" ht="17.5" customHeight="1" x14ac:dyDescent="0.4">
      <c r="B818" t="s">
        <v>7</v>
      </c>
      <c r="C818" t="s">
        <v>273</v>
      </c>
      <c r="D818" s="7">
        <f>DATE(2017,1,31)</f>
        <v>42766</v>
      </c>
      <c r="E818" s="8">
        <f t="shared" si="12"/>
        <v>2017</v>
      </c>
      <c r="F818" t="s">
        <v>275</v>
      </c>
      <c r="G818" s="9">
        <v>8911.56</v>
      </c>
      <c r="H818" s="8">
        <v>24115</v>
      </c>
    </row>
    <row r="819" spans="2:8" ht="17.5" customHeight="1" x14ac:dyDescent="0.4">
      <c r="B819" t="s">
        <v>7</v>
      </c>
      <c r="C819" t="s">
        <v>273</v>
      </c>
      <c r="D819" s="7">
        <f>DATE(2017,6,29)</f>
        <v>42915</v>
      </c>
      <c r="E819" s="8">
        <f t="shared" si="12"/>
        <v>2017</v>
      </c>
      <c r="F819" t="s">
        <v>275</v>
      </c>
      <c r="G819" s="9">
        <v>4295.79</v>
      </c>
      <c r="H819" s="8">
        <v>25133</v>
      </c>
    </row>
    <row r="820" spans="2:8" ht="17.5" customHeight="1" x14ac:dyDescent="0.4">
      <c r="B820" t="s">
        <v>7</v>
      </c>
      <c r="C820" t="s">
        <v>273</v>
      </c>
      <c r="D820" s="7">
        <f>DATE(2004,6,18)</f>
        <v>38156</v>
      </c>
      <c r="E820" s="8">
        <f t="shared" si="12"/>
        <v>2004</v>
      </c>
      <c r="F820" t="s">
        <v>275</v>
      </c>
      <c r="G820" s="9">
        <v>12389.41</v>
      </c>
      <c r="H820" s="8">
        <v>1874</v>
      </c>
    </row>
    <row r="821" spans="2:8" ht="17.5" customHeight="1" x14ac:dyDescent="0.4">
      <c r="B821" t="s">
        <v>7</v>
      </c>
      <c r="C821" t="s">
        <v>273</v>
      </c>
      <c r="D821" s="7">
        <f>DATE(2005,5,11)</f>
        <v>38483</v>
      </c>
      <c r="E821" s="8">
        <f t="shared" si="12"/>
        <v>2005</v>
      </c>
      <c r="F821" t="s">
        <v>275</v>
      </c>
      <c r="G821" s="9">
        <v>3292.29</v>
      </c>
      <c r="H821" s="8">
        <v>3186</v>
      </c>
    </row>
    <row r="822" spans="2:8" ht="17.5" customHeight="1" x14ac:dyDescent="0.4">
      <c r="B822" t="s">
        <v>7</v>
      </c>
      <c r="C822" t="s">
        <v>273</v>
      </c>
      <c r="D822" s="7">
        <f>DATE(2005,6,15)</f>
        <v>38518</v>
      </c>
      <c r="E822" s="8">
        <f t="shared" si="12"/>
        <v>2005</v>
      </c>
      <c r="F822" t="s">
        <v>275</v>
      </c>
      <c r="G822" s="9">
        <v>3403.03</v>
      </c>
      <c r="H822" s="8">
        <v>3276</v>
      </c>
    </row>
    <row r="823" spans="2:8" ht="17.5" customHeight="1" x14ac:dyDescent="0.4">
      <c r="B823" t="s">
        <v>7</v>
      </c>
      <c r="C823" t="s">
        <v>273</v>
      </c>
      <c r="D823" s="7">
        <f>DATE(2005,6,17)</f>
        <v>38520</v>
      </c>
      <c r="E823" s="8">
        <f t="shared" si="12"/>
        <v>2005</v>
      </c>
      <c r="F823" t="s">
        <v>275</v>
      </c>
      <c r="G823" s="9">
        <v>7134.91</v>
      </c>
      <c r="H823" s="8">
        <v>3286</v>
      </c>
    </row>
    <row r="824" spans="2:8" ht="17.5" customHeight="1" x14ac:dyDescent="0.4">
      <c r="B824" t="s">
        <v>7</v>
      </c>
      <c r="C824" t="s">
        <v>273</v>
      </c>
      <c r="D824" s="7">
        <f>DATE(2005,6,29)</f>
        <v>38532</v>
      </c>
      <c r="E824" s="8">
        <f t="shared" si="12"/>
        <v>2005</v>
      </c>
      <c r="F824" t="s">
        <v>275</v>
      </c>
      <c r="G824" s="9">
        <v>32192.61</v>
      </c>
      <c r="H824" s="8">
        <v>3301</v>
      </c>
    </row>
    <row r="825" spans="2:8" ht="17.5" customHeight="1" x14ac:dyDescent="0.4">
      <c r="B825" t="s">
        <v>7</v>
      </c>
      <c r="C825" t="s">
        <v>273</v>
      </c>
      <c r="D825" s="7">
        <f>DATE(2006,5,19)</f>
        <v>38856</v>
      </c>
      <c r="E825" s="8">
        <f t="shared" si="12"/>
        <v>2006</v>
      </c>
      <c r="F825" t="s">
        <v>275</v>
      </c>
      <c r="G825" s="9">
        <v>6036.04</v>
      </c>
      <c r="H825" s="8">
        <v>4611</v>
      </c>
    </row>
    <row r="826" spans="2:8" ht="17.5" customHeight="1" x14ac:dyDescent="0.4">
      <c r="B826" t="s">
        <v>7</v>
      </c>
      <c r="C826" t="s">
        <v>273</v>
      </c>
      <c r="D826" s="7">
        <f>DATE(2006,6,14)</f>
        <v>38882</v>
      </c>
      <c r="E826" s="8">
        <f t="shared" si="12"/>
        <v>2006</v>
      </c>
      <c r="F826" t="s">
        <v>275</v>
      </c>
      <c r="G826" s="9">
        <v>70371</v>
      </c>
      <c r="H826" s="8">
        <v>4607</v>
      </c>
    </row>
    <row r="827" spans="2:8" ht="17.5" customHeight="1" x14ac:dyDescent="0.4">
      <c r="B827" t="s">
        <v>7</v>
      </c>
      <c r="C827" t="s">
        <v>273</v>
      </c>
      <c r="D827" s="7">
        <f>DATE(2006,10,28)</f>
        <v>39018</v>
      </c>
      <c r="E827" s="8">
        <f t="shared" si="12"/>
        <v>2006</v>
      </c>
      <c r="F827" t="s">
        <v>275</v>
      </c>
      <c r="G827" s="9">
        <v>6988.95</v>
      </c>
      <c r="H827" s="8">
        <v>5102</v>
      </c>
    </row>
    <row r="828" spans="2:8" ht="17.5" customHeight="1" x14ac:dyDescent="0.4">
      <c r="B828" t="s">
        <v>7</v>
      </c>
      <c r="C828" t="s">
        <v>273</v>
      </c>
      <c r="D828" s="7">
        <f>DATE(2007,11,16)</f>
        <v>39402</v>
      </c>
      <c r="E828" s="8">
        <f t="shared" si="12"/>
        <v>2007</v>
      </c>
      <c r="F828" t="s">
        <v>275</v>
      </c>
      <c r="G828" s="9">
        <v>5247.69</v>
      </c>
      <c r="H828" s="8">
        <v>6604</v>
      </c>
    </row>
    <row r="829" spans="2:8" ht="17.5" customHeight="1" x14ac:dyDescent="0.4">
      <c r="B829" t="s">
        <v>7</v>
      </c>
      <c r="C829" t="s">
        <v>273</v>
      </c>
      <c r="D829" s="7">
        <f>DATE(2008,4,2)</f>
        <v>39540</v>
      </c>
      <c r="E829" s="8">
        <f t="shared" si="12"/>
        <v>2008</v>
      </c>
      <c r="F829" t="s">
        <v>275</v>
      </c>
      <c r="G829" s="9">
        <v>5763.06</v>
      </c>
      <c r="H829" s="8">
        <v>7164</v>
      </c>
    </row>
    <row r="830" spans="2:8" ht="17.5" customHeight="1" x14ac:dyDescent="0.4">
      <c r="B830" t="s">
        <v>7</v>
      </c>
      <c r="C830" t="s">
        <v>273</v>
      </c>
      <c r="D830" s="7">
        <f>DATE(2009,4,2)</f>
        <v>39905</v>
      </c>
      <c r="E830" s="8">
        <f t="shared" si="12"/>
        <v>2009</v>
      </c>
      <c r="F830" t="s">
        <v>275</v>
      </c>
      <c r="G830" s="9">
        <v>8761.2800000000007</v>
      </c>
      <c r="H830" s="8">
        <v>8536</v>
      </c>
    </row>
    <row r="831" spans="2:8" ht="17.5" customHeight="1" x14ac:dyDescent="0.4">
      <c r="B831" t="s">
        <v>7</v>
      </c>
      <c r="C831" t="s">
        <v>273</v>
      </c>
      <c r="D831" s="7">
        <f>DATE(2009,5,19)</f>
        <v>39952</v>
      </c>
      <c r="E831" s="8">
        <f t="shared" si="12"/>
        <v>2009</v>
      </c>
      <c r="F831" t="s">
        <v>275</v>
      </c>
      <c r="G831" s="9">
        <v>31935</v>
      </c>
      <c r="H831" s="8">
        <v>8540</v>
      </c>
    </row>
    <row r="832" spans="2:8" ht="17.5" customHeight="1" x14ac:dyDescent="0.4">
      <c r="B832" t="s">
        <v>7</v>
      </c>
      <c r="C832" t="s">
        <v>273</v>
      </c>
      <c r="D832" s="7">
        <f>DATE(2009,6,17)</f>
        <v>39981</v>
      </c>
      <c r="E832" s="8">
        <f t="shared" si="12"/>
        <v>2009</v>
      </c>
      <c r="F832" t="s">
        <v>275</v>
      </c>
      <c r="G832" s="9">
        <v>9083.5300000000007</v>
      </c>
      <c r="H832" s="8">
        <v>8778</v>
      </c>
    </row>
    <row r="833" spans="2:8" ht="17.5" customHeight="1" x14ac:dyDescent="0.4">
      <c r="B833" t="s">
        <v>7</v>
      </c>
      <c r="C833" t="s">
        <v>273</v>
      </c>
      <c r="D833" s="7">
        <f>DATE(2009,9,30)</f>
        <v>40086</v>
      </c>
      <c r="E833" s="8">
        <f t="shared" si="12"/>
        <v>2009</v>
      </c>
      <c r="F833" t="s">
        <v>275</v>
      </c>
      <c r="G833" s="9">
        <v>51354</v>
      </c>
      <c r="H833" s="8">
        <v>8918</v>
      </c>
    </row>
    <row r="834" spans="2:8" ht="17.5" customHeight="1" x14ac:dyDescent="0.4">
      <c r="B834" t="s">
        <v>7</v>
      </c>
      <c r="C834" t="s">
        <v>273</v>
      </c>
      <c r="D834" s="7">
        <f>DATE(2010,4,15)</f>
        <v>40283</v>
      </c>
      <c r="E834" s="8">
        <f t="shared" si="12"/>
        <v>2010</v>
      </c>
      <c r="F834" t="s">
        <v>275</v>
      </c>
      <c r="G834" s="9">
        <v>14470.03</v>
      </c>
      <c r="H834" s="8">
        <v>9688</v>
      </c>
    </row>
    <row r="835" spans="2:8" ht="17.5" customHeight="1" x14ac:dyDescent="0.4">
      <c r="B835" t="s">
        <v>7</v>
      </c>
      <c r="C835" t="s">
        <v>273</v>
      </c>
      <c r="D835" s="7">
        <f>DATE(2010,5,26)</f>
        <v>40324</v>
      </c>
      <c r="E835" s="8">
        <f t="shared" ref="E835:E898" si="13">YEAR(D835)</f>
        <v>2010</v>
      </c>
      <c r="F835" t="s">
        <v>275</v>
      </c>
      <c r="G835" s="9">
        <v>45109</v>
      </c>
      <c r="H835" s="8">
        <v>9814</v>
      </c>
    </row>
    <row r="836" spans="2:8" ht="17.5" customHeight="1" x14ac:dyDescent="0.4">
      <c r="B836" t="s">
        <v>7</v>
      </c>
      <c r="C836" t="s">
        <v>273</v>
      </c>
      <c r="D836" s="7">
        <f>DATE(2010,8,31)</f>
        <v>40421</v>
      </c>
      <c r="E836" s="8">
        <f t="shared" si="13"/>
        <v>2010</v>
      </c>
      <c r="F836" t="s">
        <v>275</v>
      </c>
      <c r="G836" s="9">
        <v>45400</v>
      </c>
      <c r="H836" s="8">
        <v>10060</v>
      </c>
    </row>
    <row r="837" spans="2:8" ht="17.5" customHeight="1" x14ac:dyDescent="0.4">
      <c r="B837" t="s">
        <v>7</v>
      </c>
      <c r="C837" t="s">
        <v>273</v>
      </c>
      <c r="D837" s="7">
        <f>DATE(2011,7,7)</f>
        <v>40731</v>
      </c>
      <c r="E837" s="8">
        <f t="shared" si="13"/>
        <v>2011</v>
      </c>
      <c r="F837" t="s">
        <v>275</v>
      </c>
      <c r="G837" s="9">
        <v>40774.550000000003</v>
      </c>
      <c r="H837" s="8">
        <v>10755</v>
      </c>
    </row>
    <row r="838" spans="2:8" ht="17.5" customHeight="1" x14ac:dyDescent="0.4">
      <c r="B838" t="s">
        <v>7</v>
      </c>
      <c r="C838" t="s">
        <v>273</v>
      </c>
      <c r="D838" s="7">
        <f>DATE(2010,9,9)</f>
        <v>40430</v>
      </c>
      <c r="E838" s="8">
        <f t="shared" si="13"/>
        <v>2010</v>
      </c>
      <c r="F838" t="s">
        <v>275</v>
      </c>
      <c r="G838" s="9">
        <v>12558.08</v>
      </c>
      <c r="H838" s="8">
        <v>10026</v>
      </c>
    </row>
    <row r="839" spans="2:8" ht="17.5" customHeight="1" x14ac:dyDescent="0.4">
      <c r="B839" t="s">
        <v>7</v>
      </c>
      <c r="C839" t="s">
        <v>273</v>
      </c>
      <c r="D839" s="7">
        <f>DATE(2012,5,9)</f>
        <v>41038</v>
      </c>
      <c r="E839" s="8">
        <f t="shared" si="13"/>
        <v>2012</v>
      </c>
      <c r="F839" t="s">
        <v>275</v>
      </c>
      <c r="G839" s="9">
        <v>19950.14</v>
      </c>
      <c r="H839" s="8">
        <v>11596</v>
      </c>
    </row>
    <row r="840" spans="2:8" ht="17.5" customHeight="1" x14ac:dyDescent="0.4">
      <c r="B840" t="s">
        <v>7</v>
      </c>
      <c r="C840" t="s">
        <v>273</v>
      </c>
      <c r="D840" s="7">
        <f>DATE(2013,3,8)</f>
        <v>41341</v>
      </c>
      <c r="E840" s="8">
        <f t="shared" si="13"/>
        <v>2013</v>
      </c>
      <c r="F840" t="s">
        <v>275</v>
      </c>
      <c r="G840" s="9">
        <v>8315.41</v>
      </c>
      <c r="H840" s="8">
        <v>12230</v>
      </c>
    </row>
    <row r="841" spans="2:8" ht="17.5" customHeight="1" x14ac:dyDescent="0.4">
      <c r="B841" t="s">
        <v>7</v>
      </c>
      <c r="C841" t="s">
        <v>273</v>
      </c>
      <c r="D841" s="7">
        <f>DATE(2013,4,16)</f>
        <v>41380</v>
      </c>
      <c r="E841" s="8">
        <f t="shared" si="13"/>
        <v>2013</v>
      </c>
      <c r="F841" t="s">
        <v>275</v>
      </c>
      <c r="G841" s="9">
        <v>7823.91</v>
      </c>
      <c r="H841" s="8">
        <v>12371</v>
      </c>
    </row>
    <row r="842" spans="2:8" ht="17.5" customHeight="1" x14ac:dyDescent="0.4">
      <c r="B842" t="s">
        <v>7</v>
      </c>
      <c r="C842" t="s">
        <v>273</v>
      </c>
      <c r="D842" s="7">
        <f>DATE(2013,5,16)</f>
        <v>41410</v>
      </c>
      <c r="E842" s="8">
        <f t="shared" si="13"/>
        <v>2013</v>
      </c>
      <c r="F842" t="s">
        <v>275</v>
      </c>
      <c r="G842" s="9">
        <v>7205.18</v>
      </c>
      <c r="H842" s="8">
        <v>12440</v>
      </c>
    </row>
    <row r="843" spans="2:8" ht="17.5" customHeight="1" x14ac:dyDescent="0.4">
      <c r="B843" t="s">
        <v>7</v>
      </c>
      <c r="C843" t="s">
        <v>273</v>
      </c>
      <c r="D843" s="7">
        <f>DATE(2013,10,11)</f>
        <v>41558</v>
      </c>
      <c r="E843" s="8">
        <f t="shared" si="13"/>
        <v>2013</v>
      </c>
      <c r="F843" t="s">
        <v>275</v>
      </c>
      <c r="G843" s="9">
        <v>10842.37</v>
      </c>
      <c r="H843" s="8">
        <v>12698</v>
      </c>
    </row>
    <row r="844" spans="2:8" ht="17.5" customHeight="1" x14ac:dyDescent="0.4">
      <c r="B844" t="s">
        <v>7</v>
      </c>
      <c r="C844" t="s">
        <v>273</v>
      </c>
      <c r="D844" s="7">
        <f>DATE(2013,11,1)</f>
        <v>41579</v>
      </c>
      <c r="E844" s="8">
        <f t="shared" si="13"/>
        <v>2013</v>
      </c>
      <c r="F844" t="s">
        <v>275</v>
      </c>
      <c r="G844" s="9">
        <v>6975.68</v>
      </c>
      <c r="H844" s="8">
        <v>12746</v>
      </c>
    </row>
    <row r="845" spans="2:8" ht="17.5" customHeight="1" x14ac:dyDescent="0.4">
      <c r="B845" s="3" t="s">
        <v>7</v>
      </c>
      <c r="C845" s="3" t="s">
        <v>273</v>
      </c>
      <c r="D845" s="4">
        <f>DATE(2005,7,1)</f>
        <v>38534</v>
      </c>
      <c r="E845" s="5">
        <f t="shared" si="13"/>
        <v>2005</v>
      </c>
      <c r="F845" s="3" t="s">
        <v>275</v>
      </c>
      <c r="G845" s="6">
        <v>3379.86</v>
      </c>
      <c r="H845" s="5">
        <v>4992</v>
      </c>
    </row>
    <row r="846" spans="2:8" ht="17.5" customHeight="1" x14ac:dyDescent="0.4">
      <c r="B846" s="3" t="s">
        <v>7</v>
      </c>
      <c r="C846" s="3" t="s">
        <v>273</v>
      </c>
      <c r="D846" s="4">
        <f>DATE(2005,8,29)</f>
        <v>38593</v>
      </c>
      <c r="E846" s="5">
        <f t="shared" si="13"/>
        <v>2005</v>
      </c>
      <c r="F846" s="3" t="s">
        <v>275</v>
      </c>
      <c r="G846" s="6">
        <v>1914.5</v>
      </c>
      <c r="H846" s="5">
        <v>5179</v>
      </c>
    </row>
    <row r="847" spans="2:8" ht="17.5" customHeight="1" x14ac:dyDescent="0.4">
      <c r="B847" s="3" t="s">
        <v>7</v>
      </c>
      <c r="C847" s="3" t="s">
        <v>273</v>
      </c>
      <c r="D847" s="4">
        <f>DATE(2006,3,23)</f>
        <v>38799</v>
      </c>
      <c r="E847" s="5">
        <f t="shared" si="13"/>
        <v>2006</v>
      </c>
      <c r="F847" s="3" t="s">
        <v>275</v>
      </c>
      <c r="G847" s="6">
        <v>813.3</v>
      </c>
      <c r="H847" s="5">
        <v>6282</v>
      </c>
    </row>
    <row r="848" spans="2:8" ht="17.5" customHeight="1" x14ac:dyDescent="0.4">
      <c r="B848" s="3" t="s">
        <v>7</v>
      </c>
      <c r="C848" s="3" t="s">
        <v>273</v>
      </c>
      <c r="D848" s="4">
        <f>DATE(2006,3,30)</f>
        <v>38806</v>
      </c>
      <c r="E848" s="5">
        <f t="shared" si="13"/>
        <v>2006</v>
      </c>
      <c r="F848" s="3" t="s">
        <v>275</v>
      </c>
      <c r="G848" s="6">
        <v>313.7</v>
      </c>
      <c r="H848" s="5">
        <v>6282</v>
      </c>
    </row>
    <row r="849" spans="2:8" ht="17.5" customHeight="1" x14ac:dyDescent="0.4">
      <c r="B849" s="3" t="s">
        <v>7</v>
      </c>
      <c r="C849" s="3" t="s">
        <v>273</v>
      </c>
      <c r="D849" s="4">
        <f>DATE(2008,7,2)</f>
        <v>39631</v>
      </c>
      <c r="E849" s="5">
        <f t="shared" si="13"/>
        <v>2008</v>
      </c>
      <c r="F849" s="3" t="s">
        <v>275</v>
      </c>
      <c r="G849" s="6">
        <v>774.51</v>
      </c>
      <c r="H849" s="5">
        <v>10887</v>
      </c>
    </row>
    <row r="850" spans="2:8" ht="17.5" customHeight="1" x14ac:dyDescent="0.4">
      <c r="B850" s="3" t="s">
        <v>7</v>
      </c>
      <c r="C850" s="3" t="s">
        <v>273</v>
      </c>
      <c r="D850" s="4">
        <f>DATE(2011,9,6)</f>
        <v>40792</v>
      </c>
      <c r="E850" s="5">
        <f t="shared" si="13"/>
        <v>2011</v>
      </c>
      <c r="F850" s="3" t="s">
        <v>275</v>
      </c>
      <c r="G850" s="6">
        <v>10047.66</v>
      </c>
      <c r="H850" s="5">
        <v>15773</v>
      </c>
    </row>
    <row r="851" spans="2:8" ht="17.5" customHeight="1" x14ac:dyDescent="0.4">
      <c r="B851" s="3" t="s">
        <v>7</v>
      </c>
      <c r="C851" s="3" t="s">
        <v>276</v>
      </c>
      <c r="D851" s="4">
        <f>DATE(2005,2,24)</f>
        <v>38407</v>
      </c>
      <c r="E851" s="5">
        <f t="shared" si="13"/>
        <v>2005</v>
      </c>
      <c r="F851" s="3" t="s">
        <v>277</v>
      </c>
      <c r="G851" s="6">
        <v>8810</v>
      </c>
      <c r="H851" s="5">
        <v>4151</v>
      </c>
    </row>
    <row r="852" spans="2:8" ht="17.5" customHeight="1" x14ac:dyDescent="0.4">
      <c r="B852" s="3" t="s">
        <v>7</v>
      </c>
      <c r="C852" s="3" t="s">
        <v>276</v>
      </c>
      <c r="D852" s="4">
        <f>DATE(2007,2,9)</f>
        <v>39122</v>
      </c>
      <c r="E852" s="5">
        <f t="shared" si="13"/>
        <v>2007</v>
      </c>
      <c r="F852" s="3" t="s">
        <v>277</v>
      </c>
      <c r="G852" s="6">
        <v>15200</v>
      </c>
      <c r="H852" s="5">
        <v>7875</v>
      </c>
    </row>
    <row r="853" spans="2:8" ht="17.5" customHeight="1" x14ac:dyDescent="0.4">
      <c r="B853" s="3" t="s">
        <v>7</v>
      </c>
      <c r="C853" s="3" t="s">
        <v>278</v>
      </c>
      <c r="D853" s="4">
        <f>DATE(2012,3,8)</f>
        <v>40976</v>
      </c>
      <c r="E853" s="5">
        <f t="shared" si="13"/>
        <v>2012</v>
      </c>
      <c r="F853" s="3" t="s">
        <v>279</v>
      </c>
      <c r="G853" s="6">
        <v>1178.07</v>
      </c>
      <c r="H853" s="5">
        <v>4871</v>
      </c>
    </row>
    <row r="854" spans="2:8" ht="17.5" customHeight="1" x14ac:dyDescent="0.4">
      <c r="B854" s="3" t="s">
        <v>7</v>
      </c>
      <c r="C854" s="3" t="s">
        <v>241</v>
      </c>
      <c r="D854" s="4">
        <f>DATE(2003,10,3)</f>
        <v>37897</v>
      </c>
      <c r="E854" s="5">
        <f t="shared" si="13"/>
        <v>2003</v>
      </c>
      <c r="F854" s="3" t="s">
        <v>280</v>
      </c>
      <c r="G854" s="6">
        <v>2374.83</v>
      </c>
      <c r="H854" s="5">
        <v>341</v>
      </c>
    </row>
    <row r="855" spans="2:8" ht="17.5" customHeight="1" x14ac:dyDescent="0.4">
      <c r="B855" s="3" t="s">
        <v>7</v>
      </c>
      <c r="C855" s="3" t="s">
        <v>241</v>
      </c>
      <c r="D855" s="4">
        <f>DATE(2003,10,10)</f>
        <v>37904</v>
      </c>
      <c r="E855" s="5">
        <f t="shared" si="13"/>
        <v>2003</v>
      </c>
      <c r="F855" s="3" t="s">
        <v>281</v>
      </c>
      <c r="G855" s="6">
        <v>612.53</v>
      </c>
      <c r="H855" s="5">
        <v>353</v>
      </c>
    </row>
    <row r="856" spans="2:8" ht="17.5" customHeight="1" x14ac:dyDescent="0.4">
      <c r="B856" s="3" t="s">
        <v>7</v>
      </c>
      <c r="C856" s="3" t="s">
        <v>241</v>
      </c>
      <c r="D856" s="4">
        <f>DATE(2004,7,24)</f>
        <v>38192</v>
      </c>
      <c r="E856" s="5">
        <f t="shared" si="13"/>
        <v>2004</v>
      </c>
      <c r="F856" s="3" t="s">
        <v>281</v>
      </c>
      <c r="G856" s="6">
        <v>6687.75</v>
      </c>
      <c r="H856" s="5">
        <v>711</v>
      </c>
    </row>
    <row r="857" spans="2:8" ht="17.5" customHeight="1" x14ac:dyDescent="0.4">
      <c r="B857" s="3" t="s">
        <v>16</v>
      </c>
      <c r="C857" s="3" t="s">
        <v>241</v>
      </c>
      <c r="D857" s="4">
        <f>DATE(2003,10,3)</f>
        <v>37897</v>
      </c>
      <c r="E857" s="5">
        <f t="shared" si="13"/>
        <v>2003</v>
      </c>
      <c r="F857" s="3" t="s">
        <v>281</v>
      </c>
      <c r="G857" s="6">
        <v>181</v>
      </c>
      <c r="H857" s="5">
        <v>433</v>
      </c>
    </row>
    <row r="858" spans="2:8" ht="17.5" customHeight="1" x14ac:dyDescent="0.4">
      <c r="B858" s="3" t="s">
        <v>16</v>
      </c>
      <c r="C858" s="3" t="s">
        <v>241</v>
      </c>
      <c r="D858" s="4">
        <f>DATE(2003,10,10)</f>
        <v>37904</v>
      </c>
      <c r="E858" s="5">
        <f t="shared" si="13"/>
        <v>2003</v>
      </c>
      <c r="F858" s="3" t="s">
        <v>281</v>
      </c>
      <c r="G858" s="6">
        <v>46.69</v>
      </c>
      <c r="H858" s="5">
        <v>434</v>
      </c>
    </row>
    <row r="859" spans="2:8" ht="17.5" customHeight="1" x14ac:dyDescent="0.4">
      <c r="B859" s="3" t="s">
        <v>7</v>
      </c>
      <c r="C859" s="3" t="s">
        <v>282</v>
      </c>
      <c r="D859" s="4">
        <f>DATE(2004,1,8)</f>
        <v>37994</v>
      </c>
      <c r="E859" s="5">
        <f t="shared" si="13"/>
        <v>2004</v>
      </c>
      <c r="F859" s="3" t="s">
        <v>283</v>
      </c>
      <c r="G859" s="6">
        <v>5999.8</v>
      </c>
      <c r="H859" s="5">
        <v>509</v>
      </c>
    </row>
    <row r="860" spans="2:8" ht="17.5" customHeight="1" x14ac:dyDescent="0.4">
      <c r="B860" t="s">
        <v>7</v>
      </c>
      <c r="C860" t="s">
        <v>284</v>
      </c>
      <c r="D860" s="7">
        <f>DATE(2006,10,19)</f>
        <v>39009</v>
      </c>
      <c r="E860" s="8">
        <f t="shared" si="13"/>
        <v>2006</v>
      </c>
      <c r="F860" t="s">
        <v>285</v>
      </c>
      <c r="G860" s="9">
        <v>20525.45</v>
      </c>
      <c r="H860" s="8">
        <v>4970</v>
      </c>
    </row>
    <row r="861" spans="2:8" ht="17.5" customHeight="1" x14ac:dyDescent="0.4">
      <c r="B861" t="s">
        <v>7</v>
      </c>
      <c r="C861" t="s">
        <v>284</v>
      </c>
      <c r="D861" s="7">
        <f>DATE(2009,4,7)</f>
        <v>39910</v>
      </c>
      <c r="E861" s="8">
        <f t="shared" si="13"/>
        <v>2009</v>
      </c>
      <c r="F861" t="s">
        <v>285</v>
      </c>
      <c r="G861" s="9">
        <v>22214.35</v>
      </c>
      <c r="H861" s="8">
        <v>8541</v>
      </c>
    </row>
    <row r="862" spans="2:8" ht="17.5" customHeight="1" x14ac:dyDescent="0.4">
      <c r="B862" t="s">
        <v>7</v>
      </c>
      <c r="C862" t="s">
        <v>284</v>
      </c>
      <c r="D862" s="7">
        <f>DATE(2012,3,23)</f>
        <v>40991</v>
      </c>
      <c r="E862" s="8">
        <f t="shared" si="13"/>
        <v>2012</v>
      </c>
      <c r="F862" t="s">
        <v>285</v>
      </c>
      <c r="G862" s="9">
        <v>23313.53</v>
      </c>
      <c r="H862" s="8">
        <v>10944</v>
      </c>
    </row>
    <row r="863" spans="2:8" ht="17.5" customHeight="1" x14ac:dyDescent="0.4">
      <c r="B863" t="s">
        <v>7</v>
      </c>
      <c r="C863" t="s">
        <v>286</v>
      </c>
      <c r="D863" s="7">
        <f>DATE(2010,4,2)</f>
        <v>40270</v>
      </c>
      <c r="E863" s="8">
        <f t="shared" si="13"/>
        <v>2010</v>
      </c>
      <c r="F863" t="s">
        <v>287</v>
      </c>
      <c r="G863" s="9">
        <v>18269.990000000002</v>
      </c>
      <c r="H863" s="8">
        <v>9490</v>
      </c>
    </row>
    <row r="864" spans="2:8" ht="17.5" customHeight="1" x14ac:dyDescent="0.4">
      <c r="B864" t="s">
        <v>7</v>
      </c>
      <c r="C864" t="s">
        <v>288</v>
      </c>
      <c r="D864" s="7">
        <f>DATE(2008,9,1)</f>
        <v>39692</v>
      </c>
      <c r="E864" s="8">
        <f t="shared" si="13"/>
        <v>2008</v>
      </c>
      <c r="F864" t="s">
        <v>289</v>
      </c>
      <c r="G864" s="9">
        <v>18024.5</v>
      </c>
      <c r="H864" s="8">
        <v>7700</v>
      </c>
    </row>
    <row r="865" spans="2:8" ht="17.5" customHeight="1" x14ac:dyDescent="0.4">
      <c r="B865" t="s">
        <v>7</v>
      </c>
      <c r="C865" t="s">
        <v>290</v>
      </c>
      <c r="D865" s="7">
        <f>DATE(2015,11,30)</f>
        <v>42338</v>
      </c>
      <c r="E865" s="8">
        <f t="shared" si="13"/>
        <v>2015</v>
      </c>
      <c r="F865" t="s">
        <v>291</v>
      </c>
      <c r="G865" s="9">
        <v>17590.8</v>
      </c>
      <c r="H865" s="8">
        <v>21699</v>
      </c>
    </row>
    <row r="866" spans="2:8" ht="17.5" customHeight="1" x14ac:dyDescent="0.4">
      <c r="B866" t="s">
        <v>7</v>
      </c>
      <c r="C866" t="s">
        <v>290</v>
      </c>
      <c r="D866" s="7">
        <f>DATE(2018,4,13)</f>
        <v>43203</v>
      </c>
      <c r="E866" s="8">
        <f t="shared" si="13"/>
        <v>2018</v>
      </c>
      <c r="F866" t="s">
        <v>291</v>
      </c>
      <c r="G866" s="9">
        <v>1391</v>
      </c>
      <c r="H866" s="8">
        <v>26871</v>
      </c>
    </row>
    <row r="867" spans="2:8" ht="17.5" customHeight="1" x14ac:dyDescent="0.4">
      <c r="B867" t="s">
        <v>7</v>
      </c>
      <c r="C867" t="s">
        <v>292</v>
      </c>
      <c r="D867" s="7">
        <f>DATE(2007,6,26)</f>
        <v>39259</v>
      </c>
      <c r="E867" s="8">
        <f t="shared" si="13"/>
        <v>2007</v>
      </c>
      <c r="F867" t="s">
        <v>293</v>
      </c>
      <c r="G867" s="9">
        <v>2879.43</v>
      </c>
      <c r="H867" s="8">
        <v>6120</v>
      </c>
    </row>
    <row r="868" spans="2:8" ht="17.5" customHeight="1" x14ac:dyDescent="0.4">
      <c r="B868" t="s">
        <v>7</v>
      </c>
      <c r="C868" t="s">
        <v>292</v>
      </c>
      <c r="D868" s="7">
        <f>DATE(2007,6,27)</f>
        <v>39260</v>
      </c>
      <c r="E868" s="8">
        <f t="shared" si="13"/>
        <v>2007</v>
      </c>
      <c r="F868" t="s">
        <v>293</v>
      </c>
      <c r="G868" s="9">
        <v>2983.12</v>
      </c>
      <c r="H868" s="8">
        <v>6121</v>
      </c>
    </row>
    <row r="869" spans="2:8" ht="17.5" customHeight="1" x14ac:dyDescent="0.4">
      <c r="B869" t="s">
        <v>7</v>
      </c>
      <c r="C869" t="s">
        <v>292</v>
      </c>
      <c r="D869" s="7">
        <f>DATE(2007,7,19)</f>
        <v>39282</v>
      </c>
      <c r="E869" s="8">
        <f t="shared" si="13"/>
        <v>2007</v>
      </c>
      <c r="F869" t="s">
        <v>293</v>
      </c>
      <c r="G869" s="9">
        <v>883.18</v>
      </c>
      <c r="H869" s="8">
        <v>6192</v>
      </c>
    </row>
    <row r="870" spans="2:8" ht="17.5" customHeight="1" x14ac:dyDescent="0.4">
      <c r="B870" t="s">
        <v>7</v>
      </c>
      <c r="C870" t="s">
        <v>292</v>
      </c>
      <c r="D870" s="7">
        <f>DATE(2007,7,16)</f>
        <v>39279</v>
      </c>
      <c r="E870" s="8">
        <f t="shared" si="13"/>
        <v>2007</v>
      </c>
      <c r="F870" t="s">
        <v>293</v>
      </c>
      <c r="G870" s="9">
        <v>9862</v>
      </c>
      <c r="H870" s="8">
        <v>6182</v>
      </c>
    </row>
    <row r="871" spans="2:8" ht="17.5" customHeight="1" x14ac:dyDescent="0.4">
      <c r="B871" t="s">
        <v>7</v>
      </c>
      <c r="C871" t="s">
        <v>292</v>
      </c>
      <c r="D871" s="7">
        <f>DATE(2003,4,25)</f>
        <v>37736</v>
      </c>
      <c r="E871" s="8">
        <f t="shared" si="13"/>
        <v>2003</v>
      </c>
      <c r="F871" t="s">
        <v>294</v>
      </c>
      <c r="G871" s="9">
        <v>23795.58</v>
      </c>
      <c r="H871" s="8">
        <v>164</v>
      </c>
    </row>
    <row r="872" spans="2:8" ht="17.5" customHeight="1" x14ac:dyDescent="0.4">
      <c r="B872" t="s">
        <v>7</v>
      </c>
      <c r="C872" t="s">
        <v>292</v>
      </c>
      <c r="D872" s="7">
        <f>DATE(2003,4,25)</f>
        <v>37736</v>
      </c>
      <c r="E872" s="8">
        <f t="shared" si="13"/>
        <v>2003</v>
      </c>
      <c r="F872" t="s">
        <v>294</v>
      </c>
      <c r="G872" s="9">
        <v>4502.12</v>
      </c>
      <c r="H872" s="8">
        <v>573</v>
      </c>
    </row>
    <row r="873" spans="2:8" ht="17.5" customHeight="1" x14ac:dyDescent="0.4">
      <c r="B873" t="s">
        <v>7</v>
      </c>
      <c r="C873" t="s">
        <v>292</v>
      </c>
      <c r="D873" s="7">
        <f>DATE(2003,9,17)</f>
        <v>37881</v>
      </c>
      <c r="E873" s="8">
        <f t="shared" si="13"/>
        <v>2003</v>
      </c>
      <c r="F873" t="s">
        <v>294</v>
      </c>
      <c r="G873" s="9">
        <v>4724.17</v>
      </c>
      <c r="H873" s="8">
        <v>876</v>
      </c>
    </row>
    <row r="874" spans="2:8" ht="17.5" customHeight="1" x14ac:dyDescent="0.4">
      <c r="B874" t="s">
        <v>7</v>
      </c>
      <c r="C874" t="s">
        <v>292</v>
      </c>
      <c r="D874" s="7">
        <f>DATE(2003,12,14)</f>
        <v>37969</v>
      </c>
      <c r="E874" s="8">
        <f t="shared" si="13"/>
        <v>2003</v>
      </c>
      <c r="F874" t="s">
        <v>294</v>
      </c>
      <c r="G874" s="9">
        <v>15202.1</v>
      </c>
      <c r="H874" s="8">
        <v>1071</v>
      </c>
    </row>
    <row r="875" spans="2:8" ht="17.5" customHeight="1" x14ac:dyDescent="0.4">
      <c r="B875" t="s">
        <v>7</v>
      </c>
      <c r="C875" t="s">
        <v>292</v>
      </c>
      <c r="D875" s="7">
        <f>DATE(2004,1,23)</f>
        <v>38009</v>
      </c>
      <c r="E875" s="8">
        <f t="shared" si="13"/>
        <v>2004</v>
      </c>
      <c r="F875" t="s">
        <v>294</v>
      </c>
      <c r="G875" s="9">
        <v>14911</v>
      </c>
      <c r="H875" s="8">
        <v>1156</v>
      </c>
    </row>
    <row r="876" spans="2:8" ht="17.5" customHeight="1" x14ac:dyDescent="0.4">
      <c r="B876" t="s">
        <v>7</v>
      </c>
      <c r="C876" t="s">
        <v>292</v>
      </c>
      <c r="D876" s="7">
        <f>DATE(2004,4,1)</f>
        <v>38078</v>
      </c>
      <c r="E876" s="8">
        <f t="shared" si="13"/>
        <v>2004</v>
      </c>
      <c r="F876" t="s">
        <v>294</v>
      </c>
      <c r="G876" s="9">
        <v>21177.51</v>
      </c>
      <c r="H876" s="8">
        <v>1267</v>
      </c>
    </row>
    <row r="877" spans="2:8" ht="17.5" customHeight="1" x14ac:dyDescent="0.4">
      <c r="B877" t="s">
        <v>7</v>
      </c>
      <c r="C877" t="s">
        <v>292</v>
      </c>
      <c r="D877" s="7">
        <f>DATE(2004,4,1)</f>
        <v>38078</v>
      </c>
      <c r="E877" s="8">
        <f t="shared" si="13"/>
        <v>2004</v>
      </c>
      <c r="F877" t="s">
        <v>294</v>
      </c>
      <c r="G877" s="9">
        <v>27646.32</v>
      </c>
      <c r="H877" s="8">
        <v>1266</v>
      </c>
    </row>
    <row r="878" spans="2:8" ht="17.5" customHeight="1" x14ac:dyDescent="0.4">
      <c r="B878" t="s">
        <v>7</v>
      </c>
      <c r="C878" t="s">
        <v>292</v>
      </c>
      <c r="D878" s="7">
        <f>DATE(2004,6,9)</f>
        <v>38147</v>
      </c>
      <c r="E878" s="8">
        <f t="shared" si="13"/>
        <v>2004</v>
      </c>
      <c r="F878" t="s">
        <v>294</v>
      </c>
      <c r="G878" s="9">
        <v>4130.75</v>
      </c>
      <c r="H878" s="8">
        <v>1872</v>
      </c>
    </row>
    <row r="879" spans="2:8" ht="17.5" customHeight="1" x14ac:dyDescent="0.4">
      <c r="B879" t="s">
        <v>7</v>
      </c>
      <c r="C879" t="s">
        <v>292</v>
      </c>
      <c r="D879" s="7">
        <f>DATE(2005,6,9)</f>
        <v>38512</v>
      </c>
      <c r="E879" s="8">
        <f t="shared" si="13"/>
        <v>2005</v>
      </c>
      <c r="F879" t="s">
        <v>294</v>
      </c>
      <c r="G879" s="9">
        <v>3919.71</v>
      </c>
      <c r="H879" s="8">
        <v>3202</v>
      </c>
    </row>
    <row r="880" spans="2:8" ht="17.5" customHeight="1" x14ac:dyDescent="0.4">
      <c r="B880" t="s">
        <v>7</v>
      </c>
      <c r="C880" t="s">
        <v>292</v>
      </c>
      <c r="D880" s="7">
        <f>DATE(2005,7,26)</f>
        <v>38559</v>
      </c>
      <c r="E880" s="8">
        <f t="shared" si="13"/>
        <v>2005</v>
      </c>
      <c r="F880" t="s">
        <v>294</v>
      </c>
      <c r="G880" s="9">
        <v>4222.84</v>
      </c>
      <c r="H880" s="8">
        <v>3401</v>
      </c>
    </row>
    <row r="881" spans="2:8" ht="17.5" customHeight="1" x14ac:dyDescent="0.4">
      <c r="B881" s="3" t="s">
        <v>7</v>
      </c>
      <c r="C881" s="3" t="s">
        <v>292</v>
      </c>
      <c r="D881" s="4">
        <f>DATE(2004,1,21)</f>
        <v>38007</v>
      </c>
      <c r="E881" s="5">
        <f t="shared" si="13"/>
        <v>2004</v>
      </c>
      <c r="F881" s="3" t="s">
        <v>294</v>
      </c>
      <c r="G881" s="6">
        <v>1170</v>
      </c>
      <c r="H881" s="5">
        <v>2024</v>
      </c>
    </row>
    <row r="882" spans="2:8" ht="17.5" customHeight="1" x14ac:dyDescent="0.4">
      <c r="B882" s="3" t="s">
        <v>7</v>
      </c>
      <c r="C882" s="3" t="s">
        <v>292</v>
      </c>
      <c r="D882" s="4">
        <f>DATE(2004,1,22)</f>
        <v>38008</v>
      </c>
      <c r="E882" s="5">
        <f t="shared" si="13"/>
        <v>2004</v>
      </c>
      <c r="F882" s="3" t="s">
        <v>294</v>
      </c>
      <c r="G882" s="6">
        <v>1170</v>
      </c>
      <c r="H882" s="5">
        <v>2024</v>
      </c>
    </row>
    <row r="883" spans="2:8" ht="17.5" customHeight="1" x14ac:dyDescent="0.4">
      <c r="B883" t="s">
        <v>7</v>
      </c>
      <c r="C883" t="s">
        <v>292</v>
      </c>
      <c r="D883" s="7">
        <f>DATE(2015,7,6)</f>
        <v>42191</v>
      </c>
      <c r="E883" s="8">
        <f t="shared" si="13"/>
        <v>2015</v>
      </c>
      <c r="F883" t="s">
        <v>295</v>
      </c>
      <c r="G883" s="9">
        <v>25872</v>
      </c>
      <c r="H883" s="8">
        <v>20709</v>
      </c>
    </row>
    <row r="884" spans="2:8" ht="17.5" customHeight="1" x14ac:dyDescent="0.4">
      <c r="B884" t="s">
        <v>7</v>
      </c>
      <c r="C884" t="s">
        <v>292</v>
      </c>
      <c r="D884" s="7">
        <f>DATE(2015,2,4)</f>
        <v>42039</v>
      </c>
      <c r="E884" s="8">
        <f t="shared" si="13"/>
        <v>2015</v>
      </c>
      <c r="F884" t="s">
        <v>295</v>
      </c>
      <c r="G884" s="9">
        <v>5697.43</v>
      </c>
      <c r="H884" s="8">
        <v>212</v>
      </c>
    </row>
    <row r="885" spans="2:8" ht="17.5" customHeight="1" x14ac:dyDescent="0.4">
      <c r="B885" t="s">
        <v>7</v>
      </c>
      <c r="C885" t="s">
        <v>292</v>
      </c>
      <c r="D885" s="7">
        <f>DATE(2015,2,4)</f>
        <v>42039</v>
      </c>
      <c r="E885" s="8">
        <f t="shared" si="13"/>
        <v>2015</v>
      </c>
      <c r="F885" t="s">
        <v>295</v>
      </c>
      <c r="G885" s="9">
        <v>4877.74</v>
      </c>
      <c r="H885" s="8">
        <v>264</v>
      </c>
    </row>
    <row r="886" spans="2:8" ht="17.5" customHeight="1" x14ac:dyDescent="0.4">
      <c r="B886" t="s">
        <v>7</v>
      </c>
      <c r="C886" t="s">
        <v>292</v>
      </c>
      <c r="D886" s="7">
        <f>DATE(2015,4,1)</f>
        <v>42095</v>
      </c>
      <c r="E886" s="8">
        <f t="shared" si="13"/>
        <v>2015</v>
      </c>
      <c r="F886" t="s">
        <v>295</v>
      </c>
      <c r="G886" s="9">
        <v>9277.98</v>
      </c>
      <c r="H886" s="8">
        <v>20151</v>
      </c>
    </row>
    <row r="887" spans="2:8" ht="17.5" customHeight="1" x14ac:dyDescent="0.4">
      <c r="B887" t="s">
        <v>7</v>
      </c>
      <c r="C887" t="s">
        <v>292</v>
      </c>
      <c r="D887" s="7">
        <f>DATE(2015,7,6)</f>
        <v>42191</v>
      </c>
      <c r="E887" s="8">
        <f t="shared" si="13"/>
        <v>2015</v>
      </c>
      <c r="F887" t="s">
        <v>295</v>
      </c>
      <c r="G887" s="9">
        <v>2115.13</v>
      </c>
      <c r="H887" s="8">
        <v>20708</v>
      </c>
    </row>
    <row r="888" spans="2:8" ht="17.5" customHeight="1" x14ac:dyDescent="0.4">
      <c r="B888" t="s">
        <v>7</v>
      </c>
      <c r="C888" t="s">
        <v>292</v>
      </c>
      <c r="D888" s="7">
        <f>DATE(2016,5,26)</f>
        <v>42516</v>
      </c>
      <c r="E888" s="8">
        <f t="shared" si="13"/>
        <v>2016</v>
      </c>
      <c r="F888" t="s">
        <v>295</v>
      </c>
      <c r="G888" s="9">
        <v>5572.07</v>
      </c>
      <c r="H888" s="8">
        <v>22888</v>
      </c>
    </row>
    <row r="889" spans="2:8" ht="17.5" customHeight="1" x14ac:dyDescent="0.4">
      <c r="B889" t="s">
        <v>7</v>
      </c>
      <c r="C889" t="s">
        <v>292</v>
      </c>
      <c r="D889" s="7">
        <f>DATE(2017,1,31)</f>
        <v>42766</v>
      </c>
      <c r="E889" s="8">
        <f t="shared" si="13"/>
        <v>2017</v>
      </c>
      <c r="F889" t="s">
        <v>295</v>
      </c>
      <c r="G889" s="9">
        <v>1921.21</v>
      </c>
      <c r="H889" s="8">
        <v>24153</v>
      </c>
    </row>
    <row r="890" spans="2:8" ht="17.5" customHeight="1" x14ac:dyDescent="0.4">
      <c r="B890" t="s">
        <v>7</v>
      </c>
      <c r="C890" t="s">
        <v>292</v>
      </c>
      <c r="D890" s="7">
        <f>DATE(2011,5,11)</f>
        <v>40674</v>
      </c>
      <c r="E890" s="8">
        <f t="shared" si="13"/>
        <v>2011</v>
      </c>
      <c r="F890" t="s">
        <v>295</v>
      </c>
      <c r="G890" s="9">
        <v>13515</v>
      </c>
      <c r="H890" s="8">
        <v>10726</v>
      </c>
    </row>
    <row r="891" spans="2:8" ht="17.5" customHeight="1" x14ac:dyDescent="0.4">
      <c r="B891" t="s">
        <v>7</v>
      </c>
      <c r="C891" t="s">
        <v>292</v>
      </c>
      <c r="D891" s="7">
        <f>DATE(2012,3,30)</f>
        <v>40998</v>
      </c>
      <c r="E891" s="8">
        <f t="shared" si="13"/>
        <v>2012</v>
      </c>
      <c r="F891" t="s">
        <v>295</v>
      </c>
      <c r="G891" s="9">
        <v>7108.33</v>
      </c>
      <c r="H891" s="8">
        <v>11470</v>
      </c>
    </row>
    <row r="892" spans="2:8" ht="17.5" customHeight="1" x14ac:dyDescent="0.4">
      <c r="B892" t="s">
        <v>7</v>
      </c>
      <c r="C892" t="s">
        <v>292</v>
      </c>
      <c r="D892" s="7">
        <f>DATE(2012,4,30)</f>
        <v>41029</v>
      </c>
      <c r="E892" s="8">
        <f t="shared" si="13"/>
        <v>2012</v>
      </c>
      <c r="F892" t="s">
        <v>295</v>
      </c>
      <c r="G892" s="9">
        <v>5831.36</v>
      </c>
      <c r="H892" s="8">
        <v>11533</v>
      </c>
    </row>
    <row r="893" spans="2:8" ht="17.5" customHeight="1" x14ac:dyDescent="0.4">
      <c r="B893" t="s">
        <v>7</v>
      </c>
      <c r="C893" t="s">
        <v>292</v>
      </c>
      <c r="D893" s="7">
        <f>DATE(2005,12,23)</f>
        <v>38709</v>
      </c>
      <c r="E893" s="8">
        <f t="shared" si="13"/>
        <v>2005</v>
      </c>
      <c r="F893" t="s">
        <v>295</v>
      </c>
      <c r="G893" s="9">
        <v>28998</v>
      </c>
      <c r="H893" s="8">
        <v>3878</v>
      </c>
    </row>
    <row r="894" spans="2:8" ht="17.5" customHeight="1" x14ac:dyDescent="0.4">
      <c r="B894" t="s">
        <v>7</v>
      </c>
      <c r="C894" t="s">
        <v>292</v>
      </c>
      <c r="D894" s="7">
        <f>DATE(2005,12,29)</f>
        <v>38715</v>
      </c>
      <c r="E894" s="8">
        <f t="shared" si="13"/>
        <v>2005</v>
      </c>
      <c r="F894" t="s">
        <v>295</v>
      </c>
      <c r="G894" s="9">
        <v>15614.2</v>
      </c>
      <c r="H894" s="8">
        <v>3885</v>
      </c>
    </row>
    <row r="895" spans="2:8" ht="17.5" customHeight="1" x14ac:dyDescent="0.4">
      <c r="B895" t="s">
        <v>7</v>
      </c>
      <c r="C895" t="s">
        <v>292</v>
      </c>
      <c r="D895" s="7">
        <f>DATE(2006,5,14)</f>
        <v>38851</v>
      </c>
      <c r="E895" s="8">
        <f t="shared" si="13"/>
        <v>2006</v>
      </c>
      <c r="F895" t="s">
        <v>295</v>
      </c>
      <c r="G895" s="9">
        <v>24700</v>
      </c>
      <c r="H895" s="8">
        <v>4562</v>
      </c>
    </row>
    <row r="896" spans="2:8" ht="17.5" customHeight="1" x14ac:dyDescent="0.4">
      <c r="B896" t="s">
        <v>7</v>
      </c>
      <c r="C896" t="s">
        <v>292</v>
      </c>
      <c r="D896" s="7">
        <f>DATE(2007,2,11)</f>
        <v>39124</v>
      </c>
      <c r="E896" s="8">
        <f t="shared" si="13"/>
        <v>2007</v>
      </c>
      <c r="F896" t="s">
        <v>295</v>
      </c>
      <c r="G896" s="9">
        <v>33720.730000000003</v>
      </c>
      <c r="H896" s="8">
        <v>5506</v>
      </c>
    </row>
    <row r="897" spans="2:8" ht="17.5" customHeight="1" x14ac:dyDescent="0.4">
      <c r="B897" t="s">
        <v>7</v>
      </c>
      <c r="C897" t="s">
        <v>292</v>
      </c>
      <c r="D897" s="7">
        <f>DATE(2007,2,14)</f>
        <v>39127</v>
      </c>
      <c r="E897" s="8">
        <f t="shared" si="13"/>
        <v>2007</v>
      </c>
      <c r="F897" t="s">
        <v>295</v>
      </c>
      <c r="G897" s="9">
        <v>4318.62</v>
      </c>
      <c r="H897" s="8">
        <v>5325</v>
      </c>
    </row>
    <row r="898" spans="2:8" ht="17.5" customHeight="1" x14ac:dyDescent="0.4">
      <c r="B898" t="s">
        <v>7</v>
      </c>
      <c r="C898" t="s">
        <v>292</v>
      </c>
      <c r="D898" s="7">
        <f>DATE(2007,3,15)</f>
        <v>39156</v>
      </c>
      <c r="E898" s="8">
        <f t="shared" si="13"/>
        <v>2007</v>
      </c>
      <c r="F898" t="s">
        <v>295</v>
      </c>
      <c r="G898" s="9">
        <v>8617</v>
      </c>
      <c r="H898" s="8">
        <v>5225</v>
      </c>
    </row>
    <row r="899" spans="2:8" ht="17.5" customHeight="1" x14ac:dyDescent="0.4">
      <c r="B899" t="s">
        <v>7</v>
      </c>
      <c r="C899" t="s">
        <v>292</v>
      </c>
      <c r="D899" s="7">
        <f>DATE(2007,5,1)</f>
        <v>39203</v>
      </c>
      <c r="E899" s="8">
        <f t="shared" ref="E899:E962" si="14">YEAR(D899)</f>
        <v>2007</v>
      </c>
      <c r="F899" t="s">
        <v>295</v>
      </c>
      <c r="G899" s="9">
        <v>2059.34</v>
      </c>
      <c r="H899" s="8">
        <v>5849</v>
      </c>
    </row>
    <row r="900" spans="2:8" ht="17.5" customHeight="1" x14ac:dyDescent="0.4">
      <c r="B900" t="s">
        <v>7</v>
      </c>
      <c r="C900" t="s">
        <v>292</v>
      </c>
      <c r="D900" s="7">
        <f>DATE(2007,5,1)</f>
        <v>39203</v>
      </c>
      <c r="E900" s="8">
        <f t="shared" si="14"/>
        <v>2007</v>
      </c>
      <c r="F900" t="s">
        <v>295</v>
      </c>
      <c r="G900" s="9">
        <v>7070.15</v>
      </c>
      <c r="H900" s="8">
        <v>5360</v>
      </c>
    </row>
    <row r="901" spans="2:8" ht="17.5" customHeight="1" x14ac:dyDescent="0.4">
      <c r="B901" t="s">
        <v>7</v>
      </c>
      <c r="C901" t="s">
        <v>292</v>
      </c>
      <c r="D901" s="7">
        <f>DATE(2007,6,1)</f>
        <v>39234</v>
      </c>
      <c r="E901" s="8">
        <f t="shared" si="14"/>
        <v>2007</v>
      </c>
      <c r="F901" t="s">
        <v>295</v>
      </c>
      <c r="G901" s="9">
        <v>5266.43</v>
      </c>
      <c r="H901" s="8">
        <v>6031</v>
      </c>
    </row>
    <row r="902" spans="2:8" ht="17.5" customHeight="1" x14ac:dyDescent="0.4">
      <c r="B902" t="s">
        <v>7</v>
      </c>
      <c r="C902" t="s">
        <v>292</v>
      </c>
      <c r="D902" s="7">
        <f>DATE(2007,10,14)</f>
        <v>39369</v>
      </c>
      <c r="E902" s="8">
        <f t="shared" si="14"/>
        <v>2007</v>
      </c>
      <c r="F902" t="s">
        <v>295</v>
      </c>
      <c r="G902" s="9">
        <v>11327</v>
      </c>
      <c r="H902" s="8">
        <v>6443</v>
      </c>
    </row>
    <row r="903" spans="2:8" ht="17.5" customHeight="1" x14ac:dyDescent="0.4">
      <c r="B903" t="s">
        <v>7</v>
      </c>
      <c r="C903" t="s">
        <v>292</v>
      </c>
      <c r="D903" s="7">
        <f>DATE(2008,12,18)</f>
        <v>39800</v>
      </c>
      <c r="E903" s="8">
        <f t="shared" si="14"/>
        <v>2008</v>
      </c>
      <c r="F903" t="s">
        <v>295</v>
      </c>
      <c r="G903" s="9">
        <v>4273.32</v>
      </c>
      <c r="H903" s="8">
        <v>6613</v>
      </c>
    </row>
    <row r="904" spans="2:8" ht="17.5" customHeight="1" x14ac:dyDescent="0.4">
      <c r="B904" t="s">
        <v>7</v>
      </c>
      <c r="C904" t="s">
        <v>292</v>
      </c>
      <c r="D904" s="7">
        <f>DATE(2008,3,25)</f>
        <v>39532</v>
      </c>
      <c r="E904" s="8">
        <f t="shared" si="14"/>
        <v>2008</v>
      </c>
      <c r="F904" t="s">
        <v>295</v>
      </c>
      <c r="G904" s="9">
        <v>2595.8000000000002</v>
      </c>
      <c r="H904" s="8">
        <v>7081</v>
      </c>
    </row>
    <row r="905" spans="2:8" ht="17.5" customHeight="1" x14ac:dyDescent="0.4">
      <c r="B905" t="s">
        <v>7</v>
      </c>
      <c r="C905" t="s">
        <v>292</v>
      </c>
      <c r="D905" s="7">
        <f>DATE(2008,3,26)</f>
        <v>39533</v>
      </c>
      <c r="E905" s="8">
        <f t="shared" si="14"/>
        <v>2008</v>
      </c>
      <c r="F905" t="s">
        <v>295</v>
      </c>
      <c r="G905" s="9">
        <v>5019</v>
      </c>
      <c r="H905" s="8">
        <v>7066</v>
      </c>
    </row>
    <row r="906" spans="2:8" ht="17.5" customHeight="1" x14ac:dyDescent="0.4">
      <c r="B906" t="s">
        <v>7</v>
      </c>
      <c r="C906" t="s">
        <v>292</v>
      </c>
      <c r="D906" s="7">
        <f>DATE(2008,6,1)</f>
        <v>39600</v>
      </c>
      <c r="E906" s="8">
        <f t="shared" si="14"/>
        <v>2008</v>
      </c>
      <c r="F906" t="s">
        <v>295</v>
      </c>
      <c r="G906" s="9">
        <v>4290.92</v>
      </c>
      <c r="H906" s="8">
        <v>7382</v>
      </c>
    </row>
    <row r="907" spans="2:8" ht="17.5" customHeight="1" x14ac:dyDescent="0.4">
      <c r="B907" t="s">
        <v>7</v>
      </c>
      <c r="C907" t="s">
        <v>292</v>
      </c>
      <c r="D907" s="7">
        <f>DATE(2008,8,1)</f>
        <v>39661</v>
      </c>
      <c r="E907" s="8">
        <f t="shared" si="14"/>
        <v>2008</v>
      </c>
      <c r="F907" t="s">
        <v>295</v>
      </c>
      <c r="G907" s="9">
        <v>5666.46</v>
      </c>
      <c r="H907" s="8">
        <v>7658</v>
      </c>
    </row>
    <row r="908" spans="2:8" ht="17.5" customHeight="1" x14ac:dyDescent="0.4">
      <c r="B908" t="s">
        <v>7</v>
      </c>
      <c r="C908" t="s">
        <v>292</v>
      </c>
      <c r="D908" s="7">
        <f>DATE(2008,8,23)</f>
        <v>39683</v>
      </c>
      <c r="E908" s="8">
        <f t="shared" si="14"/>
        <v>2008</v>
      </c>
      <c r="F908" t="s">
        <v>295</v>
      </c>
      <c r="G908" s="9">
        <v>6254.79</v>
      </c>
      <c r="H908" s="8">
        <v>7741</v>
      </c>
    </row>
    <row r="909" spans="2:8" ht="17.5" customHeight="1" x14ac:dyDescent="0.4">
      <c r="B909" t="s">
        <v>7</v>
      </c>
      <c r="C909" t="s">
        <v>292</v>
      </c>
      <c r="D909" s="7">
        <f>DATE(2010,5,13)</f>
        <v>40311</v>
      </c>
      <c r="E909" s="8">
        <f t="shared" si="14"/>
        <v>2010</v>
      </c>
      <c r="F909" t="s">
        <v>295</v>
      </c>
      <c r="G909" s="9">
        <v>6722.52</v>
      </c>
      <c r="H909" s="8">
        <v>9753</v>
      </c>
    </row>
    <row r="910" spans="2:8" ht="17.5" customHeight="1" x14ac:dyDescent="0.4">
      <c r="B910" t="s">
        <v>7</v>
      </c>
      <c r="C910" t="s">
        <v>292</v>
      </c>
      <c r="D910" s="7">
        <f>DATE(2010,5,13)</f>
        <v>40311</v>
      </c>
      <c r="E910" s="8">
        <f t="shared" si="14"/>
        <v>2010</v>
      </c>
      <c r="F910" t="s">
        <v>295</v>
      </c>
      <c r="G910" s="9">
        <v>32685.69</v>
      </c>
      <c r="H910" s="8">
        <v>9762</v>
      </c>
    </row>
    <row r="911" spans="2:8" ht="17.5" customHeight="1" x14ac:dyDescent="0.4">
      <c r="B911" t="s">
        <v>7</v>
      </c>
      <c r="C911" t="s">
        <v>292</v>
      </c>
      <c r="D911" s="7">
        <f>DATE(2010,7,14)</f>
        <v>40373</v>
      </c>
      <c r="E911" s="8">
        <f t="shared" si="14"/>
        <v>2010</v>
      </c>
      <c r="F911" t="s">
        <v>295</v>
      </c>
      <c r="G911" s="9">
        <v>12129</v>
      </c>
      <c r="H911" s="8">
        <v>9961</v>
      </c>
    </row>
    <row r="912" spans="2:8" ht="17.5" customHeight="1" x14ac:dyDescent="0.4">
      <c r="B912" t="s">
        <v>7</v>
      </c>
      <c r="C912" t="s">
        <v>292</v>
      </c>
      <c r="D912" s="7">
        <f>DATE(2011,6,9)</f>
        <v>40703</v>
      </c>
      <c r="E912" s="8">
        <f t="shared" si="14"/>
        <v>2011</v>
      </c>
      <c r="F912" t="s">
        <v>295</v>
      </c>
      <c r="G912" s="9">
        <v>4914.3500000000004</v>
      </c>
      <c r="H912" s="8">
        <v>10762</v>
      </c>
    </row>
    <row r="913" spans="2:8" ht="17.5" customHeight="1" x14ac:dyDescent="0.4">
      <c r="B913" t="s">
        <v>7</v>
      </c>
      <c r="C913" t="s">
        <v>292</v>
      </c>
      <c r="D913" s="7">
        <f>DATE(2012,3,30)</f>
        <v>40998</v>
      </c>
      <c r="E913" s="8">
        <f t="shared" si="14"/>
        <v>2012</v>
      </c>
      <c r="F913" t="s">
        <v>295</v>
      </c>
      <c r="G913" s="9">
        <v>3563.86</v>
      </c>
      <c r="H913" s="8">
        <v>11469</v>
      </c>
    </row>
    <row r="914" spans="2:8" ht="17.5" customHeight="1" x14ac:dyDescent="0.4">
      <c r="B914" t="s">
        <v>7</v>
      </c>
      <c r="C914" t="s">
        <v>292</v>
      </c>
      <c r="D914" s="7">
        <f>DATE(2012,4,30)</f>
        <v>41029</v>
      </c>
      <c r="E914" s="8">
        <f t="shared" si="14"/>
        <v>2012</v>
      </c>
      <c r="F914" t="s">
        <v>295</v>
      </c>
      <c r="G914" s="9">
        <v>4510.93</v>
      </c>
      <c r="H914" s="8">
        <v>11534</v>
      </c>
    </row>
    <row r="915" spans="2:8" ht="17.5" customHeight="1" x14ac:dyDescent="0.4">
      <c r="B915" t="s">
        <v>7</v>
      </c>
      <c r="C915" t="s">
        <v>292</v>
      </c>
      <c r="D915" s="7">
        <f>DATE(2012,4,30)</f>
        <v>41029</v>
      </c>
      <c r="E915" s="8">
        <f t="shared" si="14"/>
        <v>2012</v>
      </c>
      <c r="F915" t="s">
        <v>295</v>
      </c>
      <c r="G915" s="9">
        <v>24700</v>
      </c>
      <c r="H915" s="8">
        <v>11543</v>
      </c>
    </row>
    <row r="916" spans="2:8" ht="17.5" customHeight="1" x14ac:dyDescent="0.4">
      <c r="B916" t="s">
        <v>7</v>
      </c>
      <c r="C916" t="s">
        <v>292</v>
      </c>
      <c r="D916" s="7">
        <f>DATE(2013,3,19)</f>
        <v>41352</v>
      </c>
      <c r="E916" s="8">
        <f t="shared" si="14"/>
        <v>2013</v>
      </c>
      <c r="F916" t="s">
        <v>295</v>
      </c>
      <c r="G916" s="9">
        <v>20600</v>
      </c>
      <c r="H916" s="8">
        <v>12251</v>
      </c>
    </row>
    <row r="917" spans="2:8" ht="17.5" customHeight="1" x14ac:dyDescent="0.4">
      <c r="B917" t="s">
        <v>7</v>
      </c>
      <c r="C917" t="s">
        <v>292</v>
      </c>
      <c r="D917" s="7">
        <f>DATE(2014,4,22)</f>
        <v>41751</v>
      </c>
      <c r="E917" s="8">
        <f t="shared" si="14"/>
        <v>2014</v>
      </c>
      <c r="F917" t="s">
        <v>295</v>
      </c>
      <c r="G917" s="9">
        <v>7268</v>
      </c>
      <c r="H917" s="8">
        <v>12951</v>
      </c>
    </row>
    <row r="918" spans="2:8" ht="17.5" customHeight="1" x14ac:dyDescent="0.4">
      <c r="B918" t="s">
        <v>7</v>
      </c>
      <c r="C918" t="s">
        <v>292</v>
      </c>
      <c r="D918" s="7">
        <f>DATE(2010,7,20)</f>
        <v>40379</v>
      </c>
      <c r="E918" s="8">
        <f t="shared" si="14"/>
        <v>2010</v>
      </c>
      <c r="F918" t="s">
        <v>295</v>
      </c>
      <c r="G918" s="9">
        <v>7005.39</v>
      </c>
      <c r="H918" s="8">
        <v>9949</v>
      </c>
    </row>
    <row r="919" spans="2:8" ht="17.5" customHeight="1" x14ac:dyDescent="0.4">
      <c r="B919" t="s">
        <v>7</v>
      </c>
      <c r="C919" t="s">
        <v>292</v>
      </c>
      <c r="D919" s="7">
        <f>DATE(2011,6,1)</f>
        <v>40695</v>
      </c>
      <c r="E919" s="8">
        <f t="shared" si="14"/>
        <v>2011</v>
      </c>
      <c r="F919" t="s">
        <v>295</v>
      </c>
      <c r="G919" s="9">
        <v>4007.13</v>
      </c>
      <c r="H919" s="8">
        <v>10767</v>
      </c>
    </row>
    <row r="920" spans="2:8" ht="17.5" customHeight="1" x14ac:dyDescent="0.4">
      <c r="B920" t="s">
        <v>7</v>
      </c>
      <c r="C920" t="s">
        <v>292</v>
      </c>
      <c r="D920" s="7">
        <f>DATE(2013,7,2)</f>
        <v>41457</v>
      </c>
      <c r="E920" s="8">
        <f t="shared" si="14"/>
        <v>2013</v>
      </c>
      <c r="F920" t="s">
        <v>295</v>
      </c>
      <c r="G920" s="9">
        <v>8817.24</v>
      </c>
      <c r="H920" s="8">
        <v>12536</v>
      </c>
    </row>
    <row r="921" spans="2:8" ht="17.5" customHeight="1" x14ac:dyDescent="0.4">
      <c r="B921" t="s">
        <v>7</v>
      </c>
      <c r="C921" t="s">
        <v>292</v>
      </c>
      <c r="D921" s="7">
        <f>DATE(2013,7,24)</f>
        <v>41479</v>
      </c>
      <c r="E921" s="8">
        <f t="shared" si="14"/>
        <v>2013</v>
      </c>
      <c r="F921" t="s">
        <v>295</v>
      </c>
      <c r="G921" s="9">
        <v>472.68</v>
      </c>
      <c r="H921" s="8">
        <v>12568</v>
      </c>
    </row>
    <row r="922" spans="2:8" ht="17.5" customHeight="1" x14ac:dyDescent="0.4">
      <c r="B922" t="s">
        <v>7</v>
      </c>
      <c r="C922" t="s">
        <v>292</v>
      </c>
      <c r="D922" s="7">
        <f>DATE(2013,7,24)</f>
        <v>41479</v>
      </c>
      <c r="E922" s="8">
        <f t="shared" si="14"/>
        <v>2013</v>
      </c>
      <c r="F922" t="s">
        <v>295</v>
      </c>
      <c r="G922" s="9">
        <v>3166.19</v>
      </c>
      <c r="H922" s="8">
        <v>12572</v>
      </c>
    </row>
    <row r="923" spans="2:8" ht="17.5" customHeight="1" x14ac:dyDescent="0.4">
      <c r="B923" t="s">
        <v>7</v>
      </c>
      <c r="C923" t="s">
        <v>292</v>
      </c>
      <c r="D923" s="7">
        <f>DATE(2014,4,4)</f>
        <v>41733</v>
      </c>
      <c r="E923" s="8">
        <f t="shared" si="14"/>
        <v>2014</v>
      </c>
      <c r="F923" t="s">
        <v>295</v>
      </c>
      <c r="G923" s="9">
        <v>3421.77</v>
      </c>
      <c r="H923" s="8">
        <v>13107</v>
      </c>
    </row>
    <row r="924" spans="2:8" ht="17.5" customHeight="1" x14ac:dyDescent="0.4">
      <c r="B924" t="s">
        <v>7</v>
      </c>
      <c r="C924" t="s">
        <v>292</v>
      </c>
      <c r="D924" s="7">
        <f>DATE(2014,11,19)</f>
        <v>41962</v>
      </c>
      <c r="E924" s="8">
        <f t="shared" si="14"/>
        <v>2014</v>
      </c>
      <c r="F924" t="s">
        <v>295</v>
      </c>
      <c r="G924" s="9">
        <v>8951.14</v>
      </c>
      <c r="H924" s="8">
        <v>13581</v>
      </c>
    </row>
    <row r="925" spans="2:8" ht="17.5" customHeight="1" x14ac:dyDescent="0.4">
      <c r="B925" s="3" t="s">
        <v>7</v>
      </c>
      <c r="C925" s="3" t="s">
        <v>292</v>
      </c>
      <c r="D925" s="4">
        <f>DATE(2007,4,23)</f>
        <v>39195</v>
      </c>
      <c r="E925" s="5">
        <f t="shared" si="14"/>
        <v>2007</v>
      </c>
      <c r="F925" s="3" t="s">
        <v>295</v>
      </c>
      <c r="G925" s="6">
        <v>633</v>
      </c>
      <c r="H925" s="5">
        <v>8423</v>
      </c>
    </row>
    <row r="926" spans="2:8" ht="17.5" customHeight="1" x14ac:dyDescent="0.4">
      <c r="B926" s="3" t="s">
        <v>7</v>
      </c>
      <c r="C926" s="3" t="s">
        <v>292</v>
      </c>
      <c r="D926" s="4">
        <f>DATE(2010,4,15)</f>
        <v>40283</v>
      </c>
      <c r="E926" s="5">
        <f t="shared" si="14"/>
        <v>2010</v>
      </c>
      <c r="F926" s="3" t="s">
        <v>295</v>
      </c>
      <c r="G926" s="6">
        <v>423</v>
      </c>
      <c r="H926" s="5">
        <v>13881</v>
      </c>
    </row>
    <row r="927" spans="2:8" ht="17.5" customHeight="1" x14ac:dyDescent="0.4">
      <c r="B927" s="3" t="s">
        <v>7</v>
      </c>
      <c r="C927" s="3" t="s">
        <v>292</v>
      </c>
      <c r="D927" s="4">
        <f>DATE(2010,6,4)</f>
        <v>40333</v>
      </c>
      <c r="E927" s="5">
        <f t="shared" si="14"/>
        <v>2010</v>
      </c>
      <c r="F927" s="3" t="s">
        <v>295</v>
      </c>
      <c r="G927" s="6">
        <v>987.5</v>
      </c>
      <c r="H927" s="5">
        <v>14061</v>
      </c>
    </row>
    <row r="928" spans="2:8" ht="17.5" customHeight="1" x14ac:dyDescent="0.4">
      <c r="B928" s="3" t="s">
        <v>7</v>
      </c>
      <c r="C928" s="3" t="s">
        <v>292</v>
      </c>
      <c r="D928" s="4">
        <f>DATE(2011,5,25)</f>
        <v>40688</v>
      </c>
      <c r="E928" s="5">
        <f t="shared" si="14"/>
        <v>2011</v>
      </c>
      <c r="F928" s="3" t="s">
        <v>295</v>
      </c>
      <c r="G928" s="6">
        <v>233.88</v>
      </c>
      <c r="H928" s="5">
        <v>15621</v>
      </c>
    </row>
    <row r="929" spans="2:8" ht="17.5" customHeight="1" x14ac:dyDescent="0.4">
      <c r="B929" s="3" t="s">
        <v>7</v>
      </c>
      <c r="C929" s="3" t="s">
        <v>292</v>
      </c>
      <c r="D929" s="4">
        <f>DATE(2011,12,1)</f>
        <v>40878</v>
      </c>
      <c r="E929" s="5">
        <f t="shared" si="14"/>
        <v>2011</v>
      </c>
      <c r="F929" s="3" t="s">
        <v>295</v>
      </c>
      <c r="G929" s="6">
        <v>506.4</v>
      </c>
      <c r="H929" s="5">
        <v>16241</v>
      </c>
    </row>
    <row r="930" spans="2:8" ht="17.5" customHeight="1" x14ac:dyDescent="0.4">
      <c r="B930" s="3" t="s">
        <v>7</v>
      </c>
      <c r="C930" s="3" t="s">
        <v>292</v>
      </c>
      <c r="D930" s="4">
        <f>DATE(2013,3,28)</f>
        <v>41361</v>
      </c>
      <c r="E930" s="5">
        <f t="shared" si="14"/>
        <v>2013</v>
      </c>
      <c r="F930" s="3" t="s">
        <v>295</v>
      </c>
      <c r="G930" s="6">
        <v>3142.5</v>
      </c>
      <c r="H930" s="5">
        <v>18255</v>
      </c>
    </row>
    <row r="931" spans="2:8" ht="17.5" customHeight="1" x14ac:dyDescent="0.4">
      <c r="B931" s="3" t="s">
        <v>7</v>
      </c>
      <c r="C931" s="3" t="s">
        <v>292</v>
      </c>
      <c r="D931" s="4">
        <f>DATE(2014,4,25)</f>
        <v>41754</v>
      </c>
      <c r="E931" s="5">
        <f t="shared" si="14"/>
        <v>2014</v>
      </c>
      <c r="F931" s="3" t="s">
        <v>295</v>
      </c>
      <c r="G931" s="6">
        <v>270</v>
      </c>
      <c r="H931" s="5">
        <v>19911</v>
      </c>
    </row>
    <row r="932" spans="2:8" ht="17.5" customHeight="1" x14ac:dyDescent="0.4">
      <c r="B932" t="s">
        <v>7</v>
      </c>
      <c r="C932" t="s">
        <v>296</v>
      </c>
      <c r="D932" s="7">
        <f>DATE(2018,10,26)</f>
        <v>43399</v>
      </c>
      <c r="E932" s="8">
        <f t="shared" si="14"/>
        <v>2018</v>
      </c>
      <c r="F932" t="s">
        <v>297</v>
      </c>
      <c r="G932" s="9">
        <v>8292.11</v>
      </c>
      <c r="H932" s="8">
        <v>27768</v>
      </c>
    </row>
    <row r="933" spans="2:8" ht="17.5" customHeight="1" x14ac:dyDescent="0.4">
      <c r="B933" t="s">
        <v>7</v>
      </c>
      <c r="C933" t="s">
        <v>298</v>
      </c>
      <c r="D933" s="7">
        <f>DATE(2019,2,12)</f>
        <v>43508</v>
      </c>
      <c r="E933" s="8">
        <f t="shared" si="14"/>
        <v>2019</v>
      </c>
      <c r="F933" t="s">
        <v>299</v>
      </c>
      <c r="G933" s="9">
        <v>7453.7</v>
      </c>
      <c r="H933" s="8">
        <v>28225</v>
      </c>
    </row>
    <row r="934" spans="2:8" ht="17.5" customHeight="1" x14ac:dyDescent="0.4">
      <c r="B934" t="s">
        <v>7</v>
      </c>
      <c r="C934" t="s">
        <v>296</v>
      </c>
      <c r="D934" s="7">
        <f>DATE(2016,1,6)</f>
        <v>42375</v>
      </c>
      <c r="E934" s="8">
        <f t="shared" si="14"/>
        <v>2016</v>
      </c>
      <c r="F934" t="s">
        <v>300</v>
      </c>
      <c r="G934" s="9">
        <v>8116.04</v>
      </c>
      <c r="H934" s="8">
        <v>21772</v>
      </c>
    </row>
    <row r="935" spans="2:8" ht="17.5" customHeight="1" x14ac:dyDescent="0.4">
      <c r="B935" t="s">
        <v>7</v>
      </c>
      <c r="C935" t="s">
        <v>296</v>
      </c>
      <c r="D935" s="7">
        <f>DATE(2016,8,4)</f>
        <v>42586</v>
      </c>
      <c r="E935" s="8">
        <f t="shared" si="14"/>
        <v>2016</v>
      </c>
      <c r="F935" t="s">
        <v>300</v>
      </c>
      <c r="G935" s="9">
        <v>6510.64</v>
      </c>
      <c r="H935" s="8">
        <v>23165</v>
      </c>
    </row>
    <row r="936" spans="2:8" ht="17.5" customHeight="1" x14ac:dyDescent="0.4">
      <c r="B936" s="3" t="s">
        <v>7</v>
      </c>
      <c r="C936" s="3" t="s">
        <v>296</v>
      </c>
      <c r="D936" s="4">
        <f>DATE(2014,2,7)</f>
        <v>41677</v>
      </c>
      <c r="E936" s="5">
        <f t="shared" si="14"/>
        <v>2014</v>
      </c>
      <c r="F936" s="3" t="s">
        <v>300</v>
      </c>
      <c r="G936" s="6">
        <v>7034.05</v>
      </c>
      <c r="H936" s="5">
        <v>5976</v>
      </c>
    </row>
    <row r="937" spans="2:8" ht="17.5" customHeight="1" x14ac:dyDescent="0.4">
      <c r="B937" s="3" t="s">
        <v>7</v>
      </c>
      <c r="C937" s="3" t="s">
        <v>296</v>
      </c>
      <c r="D937" s="4">
        <f>DATE(2014,12,8)</f>
        <v>41981</v>
      </c>
      <c r="E937" s="5">
        <f t="shared" si="14"/>
        <v>2014</v>
      </c>
      <c r="F937" s="3" t="s">
        <v>300</v>
      </c>
      <c r="G937" s="6">
        <v>7216.09</v>
      </c>
      <c r="H937" s="5">
        <v>6470</v>
      </c>
    </row>
    <row r="938" spans="2:8" ht="17.5" customHeight="1" x14ac:dyDescent="0.4">
      <c r="B938" t="s">
        <v>7</v>
      </c>
      <c r="C938" t="s">
        <v>301</v>
      </c>
      <c r="D938" s="7">
        <f>DATE(2018,4,2)</f>
        <v>43192</v>
      </c>
      <c r="E938" s="8">
        <f t="shared" si="14"/>
        <v>2018</v>
      </c>
      <c r="F938" t="s">
        <v>302</v>
      </c>
      <c r="G938" s="9">
        <v>3667</v>
      </c>
      <c r="H938" s="8">
        <v>26622</v>
      </c>
    </row>
    <row r="939" spans="2:8" ht="17.5" customHeight="1" x14ac:dyDescent="0.4">
      <c r="B939" t="s">
        <v>7</v>
      </c>
      <c r="C939" t="s">
        <v>301</v>
      </c>
      <c r="D939" s="7">
        <f>DATE(2018,4,26)</f>
        <v>43216</v>
      </c>
      <c r="E939" s="8">
        <f t="shared" si="14"/>
        <v>2018</v>
      </c>
      <c r="F939" t="s">
        <v>302</v>
      </c>
      <c r="G939" s="9">
        <v>40665.96</v>
      </c>
      <c r="H939" s="8">
        <v>26778</v>
      </c>
    </row>
    <row r="940" spans="2:8" ht="17.5" customHeight="1" x14ac:dyDescent="0.4">
      <c r="B940" t="s">
        <v>7</v>
      </c>
      <c r="C940" t="s">
        <v>301</v>
      </c>
      <c r="D940" s="7">
        <f>DATE(2015,11,6)</f>
        <v>42314</v>
      </c>
      <c r="E940" s="8">
        <f t="shared" si="14"/>
        <v>2015</v>
      </c>
      <c r="F940" t="s">
        <v>303</v>
      </c>
      <c r="G940" s="9">
        <v>211142.72</v>
      </c>
      <c r="H940" s="8">
        <v>21189</v>
      </c>
    </row>
    <row r="941" spans="2:8" ht="17.5" customHeight="1" x14ac:dyDescent="0.4">
      <c r="B941" t="s">
        <v>7</v>
      </c>
      <c r="C941" t="s">
        <v>301</v>
      </c>
      <c r="D941" s="7">
        <f>DATE(2015,11,25)</f>
        <v>42333</v>
      </c>
      <c r="E941" s="8">
        <f t="shared" si="14"/>
        <v>2015</v>
      </c>
      <c r="F941" t="s">
        <v>303</v>
      </c>
      <c r="G941" s="9">
        <v>320104.71000000002</v>
      </c>
      <c r="H941" s="8">
        <v>21371</v>
      </c>
    </row>
    <row r="942" spans="2:8" ht="17.5" customHeight="1" x14ac:dyDescent="0.4">
      <c r="B942" t="s">
        <v>7</v>
      </c>
      <c r="C942" t="s">
        <v>301</v>
      </c>
      <c r="D942" s="7">
        <f>DATE(2015,11,30)</f>
        <v>42338</v>
      </c>
      <c r="E942" s="8">
        <f t="shared" si="14"/>
        <v>2015</v>
      </c>
      <c r="F942" t="s">
        <v>303</v>
      </c>
      <c r="G942" s="9">
        <v>14309.93</v>
      </c>
      <c r="H942" s="8">
        <v>21223</v>
      </c>
    </row>
    <row r="943" spans="2:8" ht="17.5" customHeight="1" x14ac:dyDescent="0.4">
      <c r="B943" t="s">
        <v>16</v>
      </c>
      <c r="C943" t="s">
        <v>301</v>
      </c>
      <c r="D943" s="7">
        <f>DATE(2016,11,1)</f>
        <v>42675</v>
      </c>
      <c r="E943" s="8">
        <f t="shared" si="14"/>
        <v>2016</v>
      </c>
      <c r="F943" t="s">
        <v>303</v>
      </c>
      <c r="G943" s="9">
        <v>5848.93</v>
      </c>
      <c r="H943" s="8">
        <v>23785</v>
      </c>
    </row>
    <row r="944" spans="2:8" ht="17.5" customHeight="1" x14ac:dyDescent="0.4">
      <c r="B944" t="s">
        <v>7</v>
      </c>
      <c r="C944" t="s">
        <v>304</v>
      </c>
      <c r="D944" s="7">
        <f>DATE(2015,11,30)</f>
        <v>42338</v>
      </c>
      <c r="E944" s="8">
        <f t="shared" si="14"/>
        <v>2015</v>
      </c>
      <c r="F944" t="s">
        <v>305</v>
      </c>
      <c r="G944" s="9">
        <v>29951.19</v>
      </c>
      <c r="H944" s="8">
        <v>21337</v>
      </c>
    </row>
    <row r="945" spans="2:8" ht="17.5" customHeight="1" x14ac:dyDescent="0.4">
      <c r="B945" t="s">
        <v>7</v>
      </c>
      <c r="C945" t="s">
        <v>304</v>
      </c>
      <c r="D945" s="7">
        <f>DATE(2016,8,24)</f>
        <v>42606</v>
      </c>
      <c r="E945" s="8">
        <f t="shared" si="14"/>
        <v>2016</v>
      </c>
      <c r="F945" t="s">
        <v>305</v>
      </c>
      <c r="G945" s="9">
        <v>29253.93</v>
      </c>
      <c r="H945" s="8">
        <v>23184</v>
      </c>
    </row>
    <row r="946" spans="2:8" ht="17.5" customHeight="1" x14ac:dyDescent="0.4">
      <c r="B946" t="s">
        <v>16</v>
      </c>
      <c r="C946" t="s">
        <v>304</v>
      </c>
      <c r="D946" s="7">
        <f>DATE(2016,12,22)</f>
        <v>42726</v>
      </c>
      <c r="E946" s="8">
        <f t="shared" si="14"/>
        <v>2016</v>
      </c>
      <c r="F946" t="s">
        <v>305</v>
      </c>
      <c r="G946" s="9">
        <v>2580.34</v>
      </c>
      <c r="H946" s="8">
        <v>24045</v>
      </c>
    </row>
    <row r="947" spans="2:8" ht="17.5" customHeight="1" x14ac:dyDescent="0.4">
      <c r="B947" t="s">
        <v>7</v>
      </c>
      <c r="C947" t="s">
        <v>306</v>
      </c>
      <c r="D947" s="7">
        <f>DATE(2017,10,6)</f>
        <v>43014</v>
      </c>
      <c r="E947" s="8">
        <f t="shared" si="14"/>
        <v>2017</v>
      </c>
      <c r="F947" t="s">
        <v>307</v>
      </c>
      <c r="G947" s="9">
        <v>22387.78</v>
      </c>
      <c r="H947" s="8">
        <v>25541</v>
      </c>
    </row>
    <row r="948" spans="2:8" ht="17.5" customHeight="1" x14ac:dyDescent="0.4">
      <c r="B948" t="s">
        <v>7</v>
      </c>
      <c r="C948" t="s">
        <v>306</v>
      </c>
      <c r="D948" s="7">
        <f>DATE(2017,10,20)</f>
        <v>43028</v>
      </c>
      <c r="E948" s="8">
        <f t="shared" si="14"/>
        <v>2017</v>
      </c>
      <c r="F948" t="s">
        <v>307</v>
      </c>
      <c r="G948" s="9">
        <v>3088.75</v>
      </c>
      <c r="H948" s="8">
        <v>25761</v>
      </c>
    </row>
    <row r="949" spans="2:8" ht="17.5" customHeight="1" x14ac:dyDescent="0.4">
      <c r="B949" t="s">
        <v>16</v>
      </c>
      <c r="C949" t="s">
        <v>306</v>
      </c>
      <c r="D949" s="7">
        <f>DATE(2018,2,28)</f>
        <v>43159</v>
      </c>
      <c r="E949" s="8">
        <f t="shared" si="14"/>
        <v>2018</v>
      </c>
      <c r="F949" t="s">
        <v>307</v>
      </c>
      <c r="G949" s="9">
        <v>9714.4500000000007</v>
      </c>
      <c r="H949" s="8">
        <v>26583</v>
      </c>
    </row>
    <row r="950" spans="2:8" ht="17.5" customHeight="1" x14ac:dyDescent="0.4">
      <c r="B950" s="3" t="s">
        <v>7</v>
      </c>
      <c r="C950" s="3" t="s">
        <v>308</v>
      </c>
      <c r="D950" s="4">
        <f>DATE(2003,2,20)</f>
        <v>37672</v>
      </c>
      <c r="E950" s="5">
        <f t="shared" si="14"/>
        <v>2003</v>
      </c>
      <c r="F950" s="3" t="s">
        <v>309</v>
      </c>
      <c r="G950" s="6">
        <v>1745.46</v>
      </c>
      <c r="H950" s="5">
        <v>34</v>
      </c>
    </row>
    <row r="951" spans="2:8" ht="17.5" customHeight="1" x14ac:dyDescent="0.4">
      <c r="B951" s="3" t="s">
        <v>7</v>
      </c>
      <c r="C951" s="3" t="s">
        <v>308</v>
      </c>
      <c r="D951" s="4">
        <f>DATE(2003,9,10)</f>
        <v>37874</v>
      </c>
      <c r="E951" s="5">
        <f t="shared" si="14"/>
        <v>2003</v>
      </c>
      <c r="F951" s="3" t="s">
        <v>309</v>
      </c>
      <c r="G951" s="6">
        <v>515.08000000000004</v>
      </c>
      <c r="H951" s="5">
        <v>330</v>
      </c>
    </row>
    <row r="952" spans="2:8" ht="17.5" customHeight="1" x14ac:dyDescent="0.4">
      <c r="B952" s="3" t="s">
        <v>7</v>
      </c>
      <c r="C952" s="3" t="s">
        <v>308</v>
      </c>
      <c r="D952" s="4">
        <f>DATE(2003,11,11)</f>
        <v>37936</v>
      </c>
      <c r="E952" s="5">
        <f t="shared" si="14"/>
        <v>2003</v>
      </c>
      <c r="F952" s="3" t="s">
        <v>309</v>
      </c>
      <c r="G952" s="6">
        <v>666.56</v>
      </c>
      <c r="H952" s="5">
        <v>416</v>
      </c>
    </row>
    <row r="953" spans="2:8" ht="17.5" customHeight="1" x14ac:dyDescent="0.4">
      <c r="B953" s="3" t="s">
        <v>7</v>
      </c>
      <c r="C953" s="3" t="s">
        <v>308</v>
      </c>
      <c r="D953" s="4">
        <f>DATE(2003,11,26)</f>
        <v>37951</v>
      </c>
      <c r="E953" s="5">
        <f t="shared" si="14"/>
        <v>2003</v>
      </c>
      <c r="F953" s="3" t="s">
        <v>309</v>
      </c>
      <c r="G953" s="6">
        <v>3484.01</v>
      </c>
      <c r="H953" s="5">
        <v>439</v>
      </c>
    </row>
    <row r="954" spans="2:8" ht="17.5" customHeight="1" x14ac:dyDescent="0.4">
      <c r="B954" s="3" t="s">
        <v>7</v>
      </c>
      <c r="C954" s="3" t="s">
        <v>308</v>
      </c>
      <c r="D954" s="4">
        <f>DATE(2004,1,23)</f>
        <v>38009</v>
      </c>
      <c r="E954" s="5">
        <f t="shared" si="14"/>
        <v>2004</v>
      </c>
      <c r="F954" s="3" t="s">
        <v>309</v>
      </c>
      <c r="G954" s="6">
        <v>434.75</v>
      </c>
      <c r="H954" s="5">
        <v>510</v>
      </c>
    </row>
    <row r="955" spans="2:8" ht="17.5" customHeight="1" x14ac:dyDescent="0.4">
      <c r="B955" s="3" t="s">
        <v>7</v>
      </c>
      <c r="C955" s="3" t="s">
        <v>308</v>
      </c>
      <c r="D955" s="4">
        <f>DATE(2004,1,28)</f>
        <v>38014</v>
      </c>
      <c r="E955" s="5">
        <f t="shared" si="14"/>
        <v>2004</v>
      </c>
      <c r="F955" s="3" t="s">
        <v>309</v>
      </c>
      <c r="G955" s="6">
        <v>149.5</v>
      </c>
      <c r="H955" s="5">
        <v>514</v>
      </c>
    </row>
    <row r="956" spans="2:8" ht="17.5" customHeight="1" x14ac:dyDescent="0.4">
      <c r="B956" s="3" t="s">
        <v>7</v>
      </c>
      <c r="C956" s="3" t="s">
        <v>308</v>
      </c>
      <c r="D956" s="4">
        <f>DATE(2004,8,31)</f>
        <v>38230</v>
      </c>
      <c r="E956" s="5">
        <f t="shared" si="14"/>
        <v>2004</v>
      </c>
      <c r="F956" s="3" t="s">
        <v>309</v>
      </c>
      <c r="G956" s="6">
        <v>974.98</v>
      </c>
      <c r="H956" s="5">
        <v>768</v>
      </c>
    </row>
    <row r="957" spans="2:8" ht="17.5" customHeight="1" x14ac:dyDescent="0.4">
      <c r="B957" s="3" t="s">
        <v>7</v>
      </c>
      <c r="C957" s="3" t="s">
        <v>308</v>
      </c>
      <c r="D957" s="4">
        <f>DATE(2006,1,12)</f>
        <v>38729</v>
      </c>
      <c r="E957" s="5">
        <f t="shared" si="14"/>
        <v>2006</v>
      </c>
      <c r="F957" s="3" t="s">
        <v>310</v>
      </c>
      <c r="G957" s="6">
        <v>877.2</v>
      </c>
      <c r="H957" s="5">
        <v>1397</v>
      </c>
    </row>
    <row r="958" spans="2:8" ht="17.5" customHeight="1" x14ac:dyDescent="0.4">
      <c r="B958" s="3" t="s">
        <v>7</v>
      </c>
      <c r="C958" s="3" t="s">
        <v>308</v>
      </c>
      <c r="D958" s="4">
        <f>DATE(2006,3,31)</f>
        <v>38807</v>
      </c>
      <c r="E958" s="5">
        <f t="shared" si="14"/>
        <v>2006</v>
      </c>
      <c r="F958" s="3" t="s">
        <v>310</v>
      </c>
      <c r="G958" s="6">
        <v>44.73</v>
      </c>
      <c r="H958" s="5">
        <v>1514</v>
      </c>
    </row>
    <row r="959" spans="2:8" ht="17.5" customHeight="1" x14ac:dyDescent="0.4">
      <c r="B959" s="3" t="s">
        <v>7</v>
      </c>
      <c r="C959" s="3" t="s">
        <v>308</v>
      </c>
      <c r="D959" s="4">
        <f>DATE(2006,10,26)</f>
        <v>39016</v>
      </c>
      <c r="E959" s="5">
        <f t="shared" si="14"/>
        <v>2006</v>
      </c>
      <c r="F959" s="3" t="s">
        <v>310</v>
      </c>
      <c r="G959" s="6">
        <v>234.73</v>
      </c>
      <c r="H959" s="5">
        <v>1835</v>
      </c>
    </row>
    <row r="960" spans="2:8" ht="17.5" customHeight="1" x14ac:dyDescent="0.4">
      <c r="B960" s="3" t="s">
        <v>7</v>
      </c>
      <c r="C960" s="3" t="s">
        <v>308</v>
      </c>
      <c r="D960" s="4">
        <f>DATE(2008,1,28)</f>
        <v>39475</v>
      </c>
      <c r="E960" s="5">
        <f t="shared" si="14"/>
        <v>2008</v>
      </c>
      <c r="F960" s="3" t="s">
        <v>310</v>
      </c>
      <c r="G960" s="6">
        <v>4056.25</v>
      </c>
      <c r="H960" s="5">
        <v>2592</v>
      </c>
    </row>
    <row r="961" spans="2:8" ht="17.5" customHeight="1" x14ac:dyDescent="0.4">
      <c r="B961" s="3" t="s">
        <v>7</v>
      </c>
      <c r="C961" s="3" t="s">
        <v>308</v>
      </c>
      <c r="D961" s="4">
        <f>DATE(2008,9,29)</f>
        <v>39720</v>
      </c>
      <c r="E961" s="5">
        <f t="shared" si="14"/>
        <v>2008</v>
      </c>
      <c r="F961" s="3" t="s">
        <v>310</v>
      </c>
      <c r="G961" s="6">
        <v>1622.5</v>
      </c>
      <c r="H961" s="5">
        <v>3056</v>
      </c>
    </row>
    <row r="962" spans="2:8" ht="17.5" customHeight="1" x14ac:dyDescent="0.4">
      <c r="B962" t="s">
        <v>7</v>
      </c>
      <c r="C962" t="s">
        <v>311</v>
      </c>
      <c r="D962" s="7">
        <f>DATE(2007,3,10)</f>
        <v>39151</v>
      </c>
      <c r="E962" s="8">
        <f t="shared" si="14"/>
        <v>2007</v>
      </c>
      <c r="F962" t="s">
        <v>312</v>
      </c>
      <c r="G962" s="9">
        <v>8591.4500000000007</v>
      </c>
      <c r="H962" s="8">
        <v>5491</v>
      </c>
    </row>
    <row r="963" spans="2:8" ht="17.5" customHeight="1" x14ac:dyDescent="0.4">
      <c r="B963" t="s">
        <v>7</v>
      </c>
      <c r="C963" t="s">
        <v>311</v>
      </c>
      <c r="D963" s="7">
        <f>DATE(2007,4,24)</f>
        <v>39196</v>
      </c>
      <c r="E963" s="8">
        <f t="shared" ref="E963:E1026" si="15">YEAR(D963)</f>
        <v>2007</v>
      </c>
      <c r="F963" t="s">
        <v>312</v>
      </c>
      <c r="G963" s="9">
        <v>4846.75</v>
      </c>
      <c r="H963" s="8">
        <v>5498</v>
      </c>
    </row>
    <row r="964" spans="2:8" ht="17.5" customHeight="1" x14ac:dyDescent="0.4">
      <c r="B964" t="s">
        <v>7</v>
      </c>
      <c r="C964" t="s">
        <v>311</v>
      </c>
      <c r="D964" s="7">
        <f>DATE(2007,4,20)</f>
        <v>39192</v>
      </c>
      <c r="E964" s="8">
        <f t="shared" si="15"/>
        <v>2007</v>
      </c>
      <c r="F964" t="s">
        <v>312</v>
      </c>
      <c r="G964" s="9">
        <v>9370.9</v>
      </c>
      <c r="H964" s="8">
        <v>5492</v>
      </c>
    </row>
    <row r="965" spans="2:8" ht="17.5" customHeight="1" x14ac:dyDescent="0.4">
      <c r="B965" t="s">
        <v>7</v>
      </c>
      <c r="C965" t="s">
        <v>311</v>
      </c>
      <c r="D965" s="7">
        <f>DATE(2003,9,18)</f>
        <v>37882</v>
      </c>
      <c r="E965" s="8">
        <f t="shared" si="15"/>
        <v>2003</v>
      </c>
      <c r="F965" t="s">
        <v>313</v>
      </c>
      <c r="G965" s="9">
        <v>11790</v>
      </c>
      <c r="H965" s="8">
        <v>871</v>
      </c>
    </row>
    <row r="966" spans="2:8" ht="17.5" customHeight="1" x14ac:dyDescent="0.4">
      <c r="B966" t="s">
        <v>7</v>
      </c>
      <c r="C966" t="s">
        <v>311</v>
      </c>
      <c r="D966" s="7">
        <f>DATE(2004,2,7)</f>
        <v>38024</v>
      </c>
      <c r="E966" s="8">
        <f t="shared" si="15"/>
        <v>2004</v>
      </c>
      <c r="F966" t="s">
        <v>313</v>
      </c>
      <c r="G966" s="9">
        <v>3177.59</v>
      </c>
      <c r="H966" s="8">
        <v>1281</v>
      </c>
    </row>
    <row r="967" spans="2:8" ht="17.5" customHeight="1" x14ac:dyDescent="0.4">
      <c r="B967" t="s">
        <v>7</v>
      </c>
      <c r="C967" t="s">
        <v>311</v>
      </c>
      <c r="D967" s="7">
        <f>DATE(2004,2,26)</f>
        <v>38043</v>
      </c>
      <c r="E967" s="8">
        <f t="shared" si="15"/>
        <v>2004</v>
      </c>
      <c r="F967" t="s">
        <v>313</v>
      </c>
      <c r="G967" s="9">
        <v>3046.45</v>
      </c>
      <c r="H967" s="8">
        <v>1451</v>
      </c>
    </row>
    <row r="968" spans="2:8" ht="17.5" customHeight="1" x14ac:dyDescent="0.4">
      <c r="B968" t="s">
        <v>7</v>
      </c>
      <c r="C968" t="s">
        <v>311</v>
      </c>
      <c r="D968" s="7">
        <f>DATE(2004,8,20)</f>
        <v>38219</v>
      </c>
      <c r="E968" s="8">
        <f t="shared" si="15"/>
        <v>2004</v>
      </c>
      <c r="F968" t="s">
        <v>313</v>
      </c>
      <c r="G968" s="9">
        <v>3359.51</v>
      </c>
      <c r="H968" s="8">
        <v>2083</v>
      </c>
    </row>
    <row r="969" spans="2:8" ht="17.5" customHeight="1" x14ac:dyDescent="0.4">
      <c r="B969" t="s">
        <v>7</v>
      </c>
      <c r="C969" t="s">
        <v>311</v>
      </c>
      <c r="D969" s="7">
        <f>DATE(2004,9,7)</f>
        <v>38237</v>
      </c>
      <c r="E969" s="8">
        <f t="shared" si="15"/>
        <v>2004</v>
      </c>
      <c r="F969" t="s">
        <v>313</v>
      </c>
      <c r="G969" s="9">
        <v>2651.77</v>
      </c>
      <c r="H969" s="8">
        <v>2151</v>
      </c>
    </row>
    <row r="970" spans="2:8" ht="17.5" customHeight="1" x14ac:dyDescent="0.4">
      <c r="B970" t="s">
        <v>7</v>
      </c>
      <c r="C970" t="s">
        <v>311</v>
      </c>
      <c r="D970" s="7">
        <f>DATE(2004,9,22)</f>
        <v>38252</v>
      </c>
      <c r="E970" s="8">
        <f t="shared" si="15"/>
        <v>2004</v>
      </c>
      <c r="F970" t="s">
        <v>313</v>
      </c>
      <c r="G970" s="9">
        <v>11957.65</v>
      </c>
      <c r="H970" s="8">
        <v>2107</v>
      </c>
    </row>
    <row r="971" spans="2:8" ht="17.5" customHeight="1" x14ac:dyDescent="0.4">
      <c r="B971" t="s">
        <v>7</v>
      </c>
      <c r="C971" t="s">
        <v>311</v>
      </c>
      <c r="D971" s="7">
        <f>DATE(2004,9,24)</f>
        <v>38254</v>
      </c>
      <c r="E971" s="8">
        <f t="shared" si="15"/>
        <v>2004</v>
      </c>
      <c r="F971" t="s">
        <v>313</v>
      </c>
      <c r="G971" s="9">
        <v>1983.74</v>
      </c>
      <c r="H971" s="8">
        <v>2241</v>
      </c>
    </row>
    <row r="972" spans="2:8" ht="17.5" customHeight="1" x14ac:dyDescent="0.4">
      <c r="B972" t="s">
        <v>7</v>
      </c>
      <c r="C972" t="s">
        <v>311</v>
      </c>
      <c r="D972" s="7">
        <f>DATE(2004,10,20)</f>
        <v>38280</v>
      </c>
      <c r="E972" s="8">
        <f t="shared" si="15"/>
        <v>2004</v>
      </c>
      <c r="F972" t="s">
        <v>313</v>
      </c>
      <c r="G972" s="9">
        <v>3462.6</v>
      </c>
      <c r="H972" s="8">
        <v>2308</v>
      </c>
    </row>
    <row r="973" spans="2:8" ht="17.5" customHeight="1" x14ac:dyDescent="0.4">
      <c r="B973" t="s">
        <v>7</v>
      </c>
      <c r="C973" t="s">
        <v>311</v>
      </c>
      <c r="D973" s="7">
        <f>DATE(2005,2,7)</f>
        <v>38390</v>
      </c>
      <c r="E973" s="8">
        <f t="shared" si="15"/>
        <v>2005</v>
      </c>
      <c r="F973" t="s">
        <v>313</v>
      </c>
      <c r="G973" s="9">
        <v>1768.45</v>
      </c>
      <c r="H973" s="8">
        <v>2721</v>
      </c>
    </row>
    <row r="974" spans="2:8" ht="17.5" customHeight="1" x14ac:dyDescent="0.4">
      <c r="B974" t="s">
        <v>7</v>
      </c>
      <c r="C974" t="s">
        <v>311</v>
      </c>
      <c r="D974" s="7">
        <f>DATE(2005,4,18)</f>
        <v>38460</v>
      </c>
      <c r="E974" s="8">
        <f t="shared" si="15"/>
        <v>2005</v>
      </c>
      <c r="F974" t="s">
        <v>313</v>
      </c>
      <c r="G974" s="9">
        <v>2749.5</v>
      </c>
      <c r="H974" s="8">
        <v>3087</v>
      </c>
    </row>
    <row r="975" spans="2:8" ht="17.5" customHeight="1" x14ac:dyDescent="0.4">
      <c r="B975" t="s">
        <v>7</v>
      </c>
      <c r="C975" t="s">
        <v>311</v>
      </c>
      <c r="D975" s="7">
        <f>DATE(2005,8,3)</f>
        <v>38567</v>
      </c>
      <c r="E975" s="8">
        <f t="shared" si="15"/>
        <v>2005</v>
      </c>
      <c r="F975" t="s">
        <v>313</v>
      </c>
      <c r="G975" s="9">
        <v>5519.87</v>
      </c>
      <c r="H975" s="8">
        <v>3429</v>
      </c>
    </row>
    <row r="976" spans="2:8" ht="17.5" customHeight="1" x14ac:dyDescent="0.4">
      <c r="B976" t="s">
        <v>7</v>
      </c>
      <c r="C976" t="s">
        <v>311</v>
      </c>
      <c r="D976" s="7">
        <f>DATE(2005,8,9)</f>
        <v>38573</v>
      </c>
      <c r="E976" s="8">
        <f t="shared" si="15"/>
        <v>2005</v>
      </c>
      <c r="F976" t="s">
        <v>313</v>
      </c>
      <c r="G976" s="9">
        <v>3102.75</v>
      </c>
      <c r="H976" s="8">
        <v>3458</v>
      </c>
    </row>
    <row r="977" spans="2:8" ht="17.5" customHeight="1" x14ac:dyDescent="0.4">
      <c r="B977" t="s">
        <v>7</v>
      </c>
      <c r="C977" t="s">
        <v>311</v>
      </c>
      <c r="D977" s="7">
        <f>DATE(2005,8,17)</f>
        <v>38581</v>
      </c>
      <c r="E977" s="8">
        <f t="shared" si="15"/>
        <v>2005</v>
      </c>
      <c r="F977" t="s">
        <v>313</v>
      </c>
      <c r="G977" s="9">
        <v>3875.44</v>
      </c>
      <c r="H977" s="8">
        <v>3492</v>
      </c>
    </row>
    <row r="978" spans="2:8" ht="17.5" customHeight="1" x14ac:dyDescent="0.4">
      <c r="B978" t="s">
        <v>7</v>
      </c>
      <c r="C978" t="s">
        <v>311</v>
      </c>
      <c r="D978" s="7">
        <f>DATE(2005,10,25)</f>
        <v>38650</v>
      </c>
      <c r="E978" s="8">
        <f t="shared" si="15"/>
        <v>2005</v>
      </c>
      <c r="F978" t="s">
        <v>313</v>
      </c>
      <c r="G978" s="9">
        <v>3051.05</v>
      </c>
      <c r="H978" s="8">
        <v>3710</v>
      </c>
    </row>
    <row r="979" spans="2:8" ht="17.5" customHeight="1" x14ac:dyDescent="0.4">
      <c r="B979" t="s">
        <v>7</v>
      </c>
      <c r="C979" t="s">
        <v>311</v>
      </c>
      <c r="D979" s="7">
        <f>DATE(2005,11,2)</f>
        <v>38658</v>
      </c>
      <c r="E979" s="8">
        <f t="shared" si="15"/>
        <v>2005</v>
      </c>
      <c r="F979" t="s">
        <v>313</v>
      </c>
      <c r="G979" s="9">
        <v>3996</v>
      </c>
      <c r="H979" s="8">
        <v>3730</v>
      </c>
    </row>
    <row r="980" spans="2:8" ht="17.5" customHeight="1" x14ac:dyDescent="0.4">
      <c r="B980" t="s">
        <v>7</v>
      </c>
      <c r="C980" t="s">
        <v>311</v>
      </c>
      <c r="D980" s="7">
        <f>DATE(2005,11,14)</f>
        <v>38670</v>
      </c>
      <c r="E980" s="8">
        <f t="shared" si="15"/>
        <v>2005</v>
      </c>
      <c r="F980" t="s">
        <v>313</v>
      </c>
      <c r="G980" s="9">
        <v>3047.64</v>
      </c>
      <c r="H980" s="8">
        <v>3761</v>
      </c>
    </row>
    <row r="981" spans="2:8" ht="17.5" customHeight="1" x14ac:dyDescent="0.4">
      <c r="B981" t="s">
        <v>7</v>
      </c>
      <c r="C981" t="s">
        <v>311</v>
      </c>
      <c r="D981" s="7">
        <f>DATE(2005,11,16)</f>
        <v>38672</v>
      </c>
      <c r="E981" s="8">
        <f t="shared" si="15"/>
        <v>2005</v>
      </c>
      <c r="F981" t="s">
        <v>313</v>
      </c>
      <c r="G981" s="9">
        <v>4248.9799999999996</v>
      </c>
      <c r="H981" s="8">
        <v>3769</v>
      </c>
    </row>
    <row r="982" spans="2:8" ht="17.5" customHeight="1" x14ac:dyDescent="0.4">
      <c r="B982" t="s">
        <v>7</v>
      </c>
      <c r="C982" t="s">
        <v>311</v>
      </c>
      <c r="D982" s="7">
        <f>DATE(2005,12,1)</f>
        <v>38687</v>
      </c>
      <c r="E982" s="8">
        <f t="shared" si="15"/>
        <v>2005</v>
      </c>
      <c r="F982" t="s">
        <v>313</v>
      </c>
      <c r="G982" s="9">
        <v>2893.85</v>
      </c>
      <c r="H982" s="8">
        <v>3813</v>
      </c>
    </row>
    <row r="983" spans="2:8" ht="17.5" customHeight="1" x14ac:dyDescent="0.4">
      <c r="B983" t="s">
        <v>7</v>
      </c>
      <c r="C983" t="s">
        <v>311</v>
      </c>
      <c r="D983" s="7">
        <f>DATE(2005,12,16)</f>
        <v>38702</v>
      </c>
      <c r="E983" s="8">
        <f t="shared" si="15"/>
        <v>2005</v>
      </c>
      <c r="F983" t="s">
        <v>313</v>
      </c>
      <c r="G983" s="9">
        <v>4044.07</v>
      </c>
      <c r="H983" s="8">
        <v>3858</v>
      </c>
    </row>
    <row r="984" spans="2:8" ht="17.5" customHeight="1" x14ac:dyDescent="0.4">
      <c r="B984" t="s">
        <v>7</v>
      </c>
      <c r="C984" t="s">
        <v>311</v>
      </c>
      <c r="D984" s="7">
        <f>DATE(2005,12,29)</f>
        <v>38715</v>
      </c>
      <c r="E984" s="8">
        <f t="shared" si="15"/>
        <v>2005</v>
      </c>
      <c r="F984" t="s">
        <v>313</v>
      </c>
      <c r="G984" s="9">
        <v>4680.96</v>
      </c>
      <c r="H984" s="8">
        <v>3889</v>
      </c>
    </row>
    <row r="985" spans="2:8" ht="17.5" customHeight="1" x14ac:dyDescent="0.4">
      <c r="B985" t="s">
        <v>7</v>
      </c>
      <c r="C985" t="s">
        <v>311</v>
      </c>
      <c r="D985" s="7">
        <f>DATE(2006,1,20)</f>
        <v>38737</v>
      </c>
      <c r="E985" s="8">
        <f t="shared" si="15"/>
        <v>2006</v>
      </c>
      <c r="F985" t="s">
        <v>313</v>
      </c>
      <c r="G985" s="9">
        <v>2404.9499999999998</v>
      </c>
      <c r="H985" s="8">
        <v>3975</v>
      </c>
    </row>
    <row r="986" spans="2:8" ht="17.5" customHeight="1" x14ac:dyDescent="0.4">
      <c r="B986" t="s">
        <v>7</v>
      </c>
      <c r="C986" t="s">
        <v>311</v>
      </c>
      <c r="D986" s="7">
        <f>DATE(2006,1,13)</f>
        <v>38730</v>
      </c>
      <c r="E986" s="8">
        <f t="shared" si="15"/>
        <v>2006</v>
      </c>
      <c r="F986" t="s">
        <v>313</v>
      </c>
      <c r="G986" s="9">
        <v>3516.84</v>
      </c>
      <c r="H986" s="8">
        <v>3940</v>
      </c>
    </row>
    <row r="987" spans="2:8" ht="17.5" customHeight="1" x14ac:dyDescent="0.4">
      <c r="B987" t="s">
        <v>7</v>
      </c>
      <c r="C987" t="s">
        <v>311</v>
      </c>
      <c r="D987" s="7">
        <f>DATE(2006,2,1)</f>
        <v>38749</v>
      </c>
      <c r="E987" s="8">
        <f t="shared" si="15"/>
        <v>2006</v>
      </c>
      <c r="F987" t="s">
        <v>313</v>
      </c>
      <c r="G987" s="9">
        <v>4504.99</v>
      </c>
      <c r="H987" s="8">
        <v>4063</v>
      </c>
    </row>
    <row r="988" spans="2:8" ht="17.5" customHeight="1" x14ac:dyDescent="0.4">
      <c r="B988" t="s">
        <v>7</v>
      </c>
      <c r="C988" t="s">
        <v>311</v>
      </c>
      <c r="D988" s="7">
        <f>DATE(2006,2,16)</f>
        <v>38764</v>
      </c>
      <c r="E988" s="8">
        <f t="shared" si="15"/>
        <v>2006</v>
      </c>
      <c r="F988" t="s">
        <v>313</v>
      </c>
      <c r="G988" s="9">
        <v>3663.8</v>
      </c>
      <c r="H988" s="8">
        <v>4147</v>
      </c>
    </row>
    <row r="989" spans="2:8" ht="17.5" customHeight="1" x14ac:dyDescent="0.4">
      <c r="B989" t="s">
        <v>7</v>
      </c>
      <c r="C989" t="s">
        <v>311</v>
      </c>
      <c r="D989" s="7">
        <f>DATE(2006,3,6)</f>
        <v>38782</v>
      </c>
      <c r="E989" s="8">
        <f t="shared" si="15"/>
        <v>2006</v>
      </c>
      <c r="F989" t="s">
        <v>313</v>
      </c>
      <c r="G989" s="9">
        <v>4664.8500000000004</v>
      </c>
      <c r="H989" s="8">
        <v>4312</v>
      </c>
    </row>
    <row r="990" spans="2:8" ht="17.5" customHeight="1" x14ac:dyDescent="0.4">
      <c r="B990" t="s">
        <v>7</v>
      </c>
      <c r="C990" t="s">
        <v>311</v>
      </c>
      <c r="D990" s="7">
        <f>DATE(2006,4,4)</f>
        <v>38811</v>
      </c>
      <c r="E990" s="8">
        <f t="shared" si="15"/>
        <v>2006</v>
      </c>
      <c r="F990" t="s">
        <v>313</v>
      </c>
      <c r="G990" s="9">
        <v>5541.38</v>
      </c>
      <c r="H990" s="8">
        <v>4431</v>
      </c>
    </row>
    <row r="991" spans="2:8" ht="17.5" customHeight="1" x14ac:dyDescent="0.4">
      <c r="B991" t="s">
        <v>7</v>
      </c>
      <c r="C991" t="s">
        <v>311</v>
      </c>
      <c r="D991" s="7">
        <f>DATE(2006,4,8)</f>
        <v>38815</v>
      </c>
      <c r="E991" s="8">
        <f t="shared" si="15"/>
        <v>2006</v>
      </c>
      <c r="F991" t="s">
        <v>313</v>
      </c>
      <c r="G991" s="9">
        <v>3498.45</v>
      </c>
      <c r="H991" s="8">
        <v>4467</v>
      </c>
    </row>
    <row r="992" spans="2:8" ht="17.5" customHeight="1" x14ac:dyDescent="0.4">
      <c r="B992" t="s">
        <v>7</v>
      </c>
      <c r="C992" t="s">
        <v>311</v>
      </c>
      <c r="D992" s="7">
        <f>DATE(2006,6,16)</f>
        <v>38884</v>
      </c>
      <c r="E992" s="8">
        <f t="shared" si="15"/>
        <v>2006</v>
      </c>
      <c r="F992" t="s">
        <v>313</v>
      </c>
      <c r="G992" s="9">
        <v>4902.46</v>
      </c>
      <c r="H992" s="8">
        <v>4706</v>
      </c>
    </row>
    <row r="993" spans="2:8" ht="17.5" customHeight="1" x14ac:dyDescent="0.4">
      <c r="B993" t="s">
        <v>7</v>
      </c>
      <c r="C993" t="s">
        <v>311</v>
      </c>
      <c r="D993" s="7">
        <f>DATE(2006,12,13)</f>
        <v>39064</v>
      </c>
      <c r="E993" s="8">
        <f t="shared" si="15"/>
        <v>2006</v>
      </c>
      <c r="F993" t="s">
        <v>313</v>
      </c>
      <c r="G993" s="9">
        <v>3709.13</v>
      </c>
      <c r="H993" s="8">
        <v>5274</v>
      </c>
    </row>
    <row r="994" spans="2:8" ht="17.5" customHeight="1" x14ac:dyDescent="0.4">
      <c r="B994" s="3" t="s">
        <v>7</v>
      </c>
      <c r="C994" s="3" t="s">
        <v>314</v>
      </c>
      <c r="D994" s="4">
        <f>DATE(2005,2,23)</f>
        <v>38406</v>
      </c>
      <c r="E994" s="5">
        <f t="shared" si="15"/>
        <v>2005</v>
      </c>
      <c r="F994" s="3" t="s">
        <v>315</v>
      </c>
      <c r="G994" s="6">
        <v>7968.7</v>
      </c>
      <c r="H994" s="5">
        <v>952</v>
      </c>
    </row>
    <row r="995" spans="2:8" ht="17.5" customHeight="1" x14ac:dyDescent="0.4">
      <c r="B995" s="3" t="s">
        <v>7</v>
      </c>
      <c r="C995" s="3" t="s">
        <v>314</v>
      </c>
      <c r="D995" s="4">
        <f>DATE(2006,11,15)</f>
        <v>39036</v>
      </c>
      <c r="E995" s="5">
        <f t="shared" si="15"/>
        <v>2006</v>
      </c>
      <c r="F995" s="3" t="s">
        <v>315</v>
      </c>
      <c r="G995" s="6">
        <v>1655.99</v>
      </c>
      <c r="H995" s="5">
        <v>1924</v>
      </c>
    </row>
    <row r="996" spans="2:8" ht="17.5" customHeight="1" x14ac:dyDescent="0.4">
      <c r="B996" s="3" t="s">
        <v>7</v>
      </c>
      <c r="C996" s="3" t="s">
        <v>314</v>
      </c>
      <c r="D996" s="4">
        <f>DATE(2006,11,17)</f>
        <v>39038</v>
      </c>
      <c r="E996" s="5">
        <f t="shared" si="15"/>
        <v>2006</v>
      </c>
      <c r="F996" s="3" t="s">
        <v>315</v>
      </c>
      <c r="G996" s="6">
        <v>1750.4</v>
      </c>
      <c r="H996" s="5">
        <v>1873</v>
      </c>
    </row>
    <row r="997" spans="2:8" ht="17.5" customHeight="1" x14ac:dyDescent="0.4">
      <c r="B997" t="s">
        <v>7</v>
      </c>
      <c r="C997" t="s">
        <v>316</v>
      </c>
      <c r="D997" s="7">
        <f>DATE(2015,6,11)</f>
        <v>42166</v>
      </c>
      <c r="E997" s="8">
        <f t="shared" si="15"/>
        <v>2015</v>
      </c>
      <c r="F997" t="s">
        <v>317</v>
      </c>
      <c r="G997" s="9">
        <v>66897.33</v>
      </c>
      <c r="H997" s="8">
        <v>20368</v>
      </c>
    </row>
    <row r="998" spans="2:8" ht="17.5" customHeight="1" x14ac:dyDescent="0.4">
      <c r="B998" t="s">
        <v>7</v>
      </c>
      <c r="C998" t="s">
        <v>316</v>
      </c>
      <c r="D998" s="7">
        <f>DATE(2017,7,7)</f>
        <v>42923</v>
      </c>
      <c r="E998" s="8">
        <f t="shared" si="15"/>
        <v>2017</v>
      </c>
      <c r="F998" t="s">
        <v>317</v>
      </c>
      <c r="G998" s="9">
        <v>26842.9</v>
      </c>
      <c r="H998" s="8">
        <v>25029</v>
      </c>
    </row>
    <row r="999" spans="2:8" ht="17.5" customHeight="1" x14ac:dyDescent="0.4">
      <c r="B999" t="s">
        <v>7</v>
      </c>
      <c r="C999" t="s">
        <v>316</v>
      </c>
      <c r="D999" s="7">
        <f>DATE(2017,7,7)</f>
        <v>42923</v>
      </c>
      <c r="E999" s="8">
        <f t="shared" si="15"/>
        <v>2017</v>
      </c>
      <c r="F999" t="s">
        <v>317</v>
      </c>
      <c r="G999" s="9">
        <v>27056.84</v>
      </c>
      <c r="H999" s="8">
        <v>25227</v>
      </c>
    </row>
    <row r="1000" spans="2:8" ht="17.5" customHeight="1" x14ac:dyDescent="0.4">
      <c r="B1000" t="s">
        <v>16</v>
      </c>
      <c r="C1000" t="s">
        <v>316</v>
      </c>
      <c r="D1000" s="7">
        <f>DATE(2017,7,7)</f>
        <v>42923</v>
      </c>
      <c r="E1000" s="8">
        <f t="shared" si="15"/>
        <v>2017</v>
      </c>
      <c r="F1000" t="s">
        <v>317</v>
      </c>
      <c r="G1000" s="9">
        <v>26842.9</v>
      </c>
      <c r="H1000" s="8">
        <v>25226</v>
      </c>
    </row>
    <row r="1001" spans="2:8" ht="17.5" customHeight="1" x14ac:dyDescent="0.4">
      <c r="B1001" s="3" t="s">
        <v>7</v>
      </c>
      <c r="C1001" s="3" t="s">
        <v>316</v>
      </c>
      <c r="D1001" s="4">
        <f>DATE(2009,2,17)</f>
        <v>39861</v>
      </c>
      <c r="E1001" s="5">
        <f t="shared" si="15"/>
        <v>2009</v>
      </c>
      <c r="F1001" s="3" t="s">
        <v>317</v>
      </c>
      <c r="G1001" s="6">
        <v>15578.11</v>
      </c>
      <c r="H1001" s="5">
        <v>11913</v>
      </c>
    </row>
    <row r="1002" spans="2:8" ht="17.5" customHeight="1" x14ac:dyDescent="0.4">
      <c r="B1002" s="3" t="s">
        <v>7</v>
      </c>
      <c r="C1002" s="3" t="s">
        <v>316</v>
      </c>
      <c r="D1002" s="4">
        <f>DATE(2012,10,2)</f>
        <v>41184</v>
      </c>
      <c r="E1002" s="5">
        <f t="shared" si="15"/>
        <v>2012</v>
      </c>
      <c r="F1002" s="3" t="s">
        <v>317</v>
      </c>
      <c r="G1002" s="6">
        <v>24017.599999999999</v>
      </c>
      <c r="H1002" s="5">
        <v>17529</v>
      </c>
    </row>
    <row r="1003" spans="2:8" ht="17.5" customHeight="1" x14ac:dyDescent="0.4">
      <c r="B1003" t="s">
        <v>7</v>
      </c>
      <c r="C1003" t="s">
        <v>318</v>
      </c>
      <c r="D1003" s="7">
        <f>DATE(2003,2,20)</f>
        <v>37672</v>
      </c>
      <c r="E1003" s="8">
        <f t="shared" si="15"/>
        <v>2003</v>
      </c>
      <c r="F1003" t="s">
        <v>319</v>
      </c>
      <c r="G1003" s="9">
        <v>3875.5</v>
      </c>
      <c r="H1003" s="8">
        <v>200</v>
      </c>
    </row>
    <row r="1004" spans="2:8" ht="17.5" customHeight="1" x14ac:dyDescent="0.4">
      <c r="B1004" t="s">
        <v>7</v>
      </c>
      <c r="C1004" t="s">
        <v>320</v>
      </c>
      <c r="D1004" s="7">
        <f>DATE(2018,12,20)</f>
        <v>43454</v>
      </c>
      <c r="E1004" s="8">
        <f t="shared" si="15"/>
        <v>2018</v>
      </c>
      <c r="F1004" t="s">
        <v>321</v>
      </c>
      <c r="G1004" s="9">
        <v>22356.82</v>
      </c>
      <c r="H1004" s="8">
        <v>28114</v>
      </c>
    </row>
    <row r="1005" spans="2:8" ht="17.5" customHeight="1" x14ac:dyDescent="0.4">
      <c r="B1005" s="3" t="s">
        <v>7</v>
      </c>
      <c r="C1005" s="3" t="s">
        <v>322</v>
      </c>
      <c r="D1005" s="4">
        <f>DATE(2012,2,16)</f>
        <v>40955</v>
      </c>
      <c r="E1005" s="5">
        <f t="shared" si="15"/>
        <v>2012</v>
      </c>
      <c r="F1005" s="3" t="s">
        <v>323</v>
      </c>
      <c r="G1005" s="6">
        <v>5534.63</v>
      </c>
      <c r="H1005" s="5">
        <v>16252</v>
      </c>
    </row>
    <row r="1006" spans="2:8" ht="17.5" customHeight="1" x14ac:dyDescent="0.4">
      <c r="B1006" t="s">
        <v>7</v>
      </c>
      <c r="C1006" t="s">
        <v>322</v>
      </c>
      <c r="D1006" s="7">
        <f>DATE(2012,6,1)</f>
        <v>41061</v>
      </c>
      <c r="E1006" s="8">
        <f t="shared" si="15"/>
        <v>2012</v>
      </c>
      <c r="F1006" t="s">
        <v>324</v>
      </c>
      <c r="G1006" s="9">
        <v>8392</v>
      </c>
      <c r="H1006" s="8">
        <v>11665</v>
      </c>
    </row>
    <row r="1007" spans="2:8" ht="17.5" customHeight="1" x14ac:dyDescent="0.4">
      <c r="B1007" t="s">
        <v>7</v>
      </c>
      <c r="C1007" t="s">
        <v>322</v>
      </c>
      <c r="D1007" s="7">
        <f>DATE(2012,6,1)</f>
        <v>41061</v>
      </c>
      <c r="E1007" s="8">
        <f t="shared" si="15"/>
        <v>2012</v>
      </c>
      <c r="F1007" t="s">
        <v>324</v>
      </c>
      <c r="G1007" s="9">
        <v>5073.24</v>
      </c>
      <c r="H1007" s="8">
        <v>11665</v>
      </c>
    </row>
    <row r="1008" spans="2:8" ht="17.5" customHeight="1" x14ac:dyDescent="0.4">
      <c r="B1008" t="s">
        <v>7</v>
      </c>
      <c r="C1008" t="s">
        <v>325</v>
      </c>
      <c r="D1008" s="7">
        <f>DATE(2012,9,25)</f>
        <v>41177</v>
      </c>
      <c r="E1008" s="8">
        <f t="shared" si="15"/>
        <v>2012</v>
      </c>
      <c r="F1008" t="s">
        <v>326</v>
      </c>
      <c r="G1008" s="9">
        <v>26362</v>
      </c>
      <c r="H1008" s="8">
        <v>11868</v>
      </c>
    </row>
    <row r="1009" spans="2:8" ht="17.5" customHeight="1" x14ac:dyDescent="0.4">
      <c r="B1009" t="s">
        <v>7</v>
      </c>
      <c r="C1009" t="s">
        <v>325</v>
      </c>
      <c r="D1009" s="7">
        <f>DATE(2014,4,7)</f>
        <v>41736</v>
      </c>
      <c r="E1009" s="8">
        <f t="shared" si="15"/>
        <v>2014</v>
      </c>
      <c r="F1009" t="s">
        <v>326</v>
      </c>
      <c r="G1009" s="9">
        <v>49992.01</v>
      </c>
      <c r="H1009" s="8">
        <v>13020</v>
      </c>
    </row>
    <row r="1010" spans="2:8" ht="17.5" customHeight="1" x14ac:dyDescent="0.4">
      <c r="B1010" t="s">
        <v>7</v>
      </c>
      <c r="C1010" t="s">
        <v>327</v>
      </c>
      <c r="D1010" s="7">
        <f>DATE(2016,3,16)</f>
        <v>42445</v>
      </c>
      <c r="E1010" s="8">
        <f t="shared" si="15"/>
        <v>2016</v>
      </c>
      <c r="F1010" t="s">
        <v>328</v>
      </c>
      <c r="G1010" s="9">
        <v>54296.639999999999</v>
      </c>
      <c r="H1010" s="8">
        <v>22203</v>
      </c>
    </row>
    <row r="1011" spans="2:8" ht="17.5" customHeight="1" x14ac:dyDescent="0.4">
      <c r="B1011" t="s">
        <v>7</v>
      </c>
      <c r="C1011" t="s">
        <v>329</v>
      </c>
      <c r="D1011" s="7">
        <f>DATE(2011,3,11)</f>
        <v>40613</v>
      </c>
      <c r="E1011" s="8">
        <f t="shared" si="15"/>
        <v>2011</v>
      </c>
      <c r="F1011" t="s">
        <v>330</v>
      </c>
      <c r="G1011" s="9">
        <v>24063</v>
      </c>
      <c r="H1011" s="8">
        <v>10508</v>
      </c>
    </row>
    <row r="1012" spans="2:8" ht="17.5" customHeight="1" x14ac:dyDescent="0.4">
      <c r="B1012" t="s">
        <v>7</v>
      </c>
      <c r="C1012" t="s">
        <v>329</v>
      </c>
      <c r="D1012" s="7">
        <f>DATE(2003,4,19)</f>
        <v>37730</v>
      </c>
      <c r="E1012" s="8">
        <f t="shared" si="15"/>
        <v>2003</v>
      </c>
      <c r="F1012" t="s">
        <v>330</v>
      </c>
      <c r="G1012" s="9">
        <v>132876</v>
      </c>
      <c r="H1012" s="8">
        <v>371</v>
      </c>
    </row>
    <row r="1013" spans="2:8" ht="17.5" customHeight="1" x14ac:dyDescent="0.4">
      <c r="B1013" t="s">
        <v>7</v>
      </c>
      <c r="C1013" t="s">
        <v>329</v>
      </c>
      <c r="D1013" s="7">
        <f>DATE(2011,3,11)</f>
        <v>40613</v>
      </c>
      <c r="E1013" s="8">
        <f t="shared" si="15"/>
        <v>2011</v>
      </c>
      <c r="F1013" t="s">
        <v>330</v>
      </c>
      <c r="G1013" s="9">
        <v>19248.22</v>
      </c>
      <c r="H1013" s="8">
        <v>10507</v>
      </c>
    </row>
    <row r="1014" spans="2:8" ht="17.5" customHeight="1" x14ac:dyDescent="0.4">
      <c r="B1014" t="s">
        <v>7</v>
      </c>
      <c r="C1014" t="s">
        <v>329</v>
      </c>
      <c r="D1014" s="7">
        <f>DATE(2013,9,4)</f>
        <v>41521</v>
      </c>
      <c r="E1014" s="8">
        <f t="shared" si="15"/>
        <v>2013</v>
      </c>
      <c r="F1014" t="s">
        <v>330</v>
      </c>
      <c r="G1014" s="9">
        <v>987</v>
      </c>
      <c r="H1014" s="8">
        <v>12530</v>
      </c>
    </row>
    <row r="1015" spans="2:8" ht="17.5" customHeight="1" x14ac:dyDescent="0.4">
      <c r="B1015" s="3" t="s">
        <v>7</v>
      </c>
      <c r="C1015" s="3" t="s">
        <v>329</v>
      </c>
      <c r="D1015" s="4">
        <f>DATE(2003,4,25)</f>
        <v>37736</v>
      </c>
      <c r="E1015" s="5">
        <f t="shared" si="15"/>
        <v>2003</v>
      </c>
      <c r="F1015" s="3" t="s">
        <v>330</v>
      </c>
      <c r="G1015" s="6">
        <v>191498</v>
      </c>
      <c r="H1015" s="5">
        <v>723</v>
      </c>
    </row>
    <row r="1016" spans="2:8" ht="17.5" customHeight="1" x14ac:dyDescent="0.4">
      <c r="B1016" t="s">
        <v>7</v>
      </c>
      <c r="C1016" t="s">
        <v>331</v>
      </c>
      <c r="D1016" s="7">
        <f>DATE(2007,5,10)</f>
        <v>39212</v>
      </c>
      <c r="E1016" s="8">
        <f t="shared" si="15"/>
        <v>2007</v>
      </c>
      <c r="F1016" t="s">
        <v>332</v>
      </c>
      <c r="G1016" s="9">
        <v>6579</v>
      </c>
      <c r="H1016" s="8">
        <v>5940</v>
      </c>
    </row>
    <row r="1017" spans="2:8" ht="17.5" customHeight="1" x14ac:dyDescent="0.4">
      <c r="B1017" t="s">
        <v>7</v>
      </c>
      <c r="C1017" t="s">
        <v>166</v>
      </c>
      <c r="D1017" s="7">
        <f>DATE(2018,1,31)</f>
        <v>43131</v>
      </c>
      <c r="E1017" s="8">
        <f t="shared" si="15"/>
        <v>2018</v>
      </c>
      <c r="F1017" t="s">
        <v>333</v>
      </c>
      <c r="G1017" s="9">
        <v>3467.52</v>
      </c>
      <c r="H1017" s="8">
        <v>26308</v>
      </c>
    </row>
    <row r="1018" spans="2:8" ht="17.5" customHeight="1" x14ac:dyDescent="0.4">
      <c r="B1018" t="s">
        <v>7</v>
      </c>
      <c r="C1018" t="s">
        <v>334</v>
      </c>
      <c r="D1018" s="7">
        <f>DATE(2016,5,4)</f>
        <v>42494</v>
      </c>
      <c r="E1018" s="8">
        <f t="shared" si="15"/>
        <v>2016</v>
      </c>
      <c r="F1018" t="s">
        <v>335</v>
      </c>
      <c r="G1018" s="9">
        <v>4113.5</v>
      </c>
      <c r="H1018" s="8">
        <v>22596</v>
      </c>
    </row>
    <row r="1019" spans="2:8" ht="17.5" customHeight="1" x14ac:dyDescent="0.4">
      <c r="B1019" t="s">
        <v>7</v>
      </c>
      <c r="C1019" t="s">
        <v>334</v>
      </c>
      <c r="D1019" s="7">
        <f>DATE(2017,2,15)</f>
        <v>42781</v>
      </c>
      <c r="E1019" s="8">
        <f t="shared" si="15"/>
        <v>2017</v>
      </c>
      <c r="F1019" t="s">
        <v>335</v>
      </c>
      <c r="G1019" s="9">
        <v>373.46</v>
      </c>
      <c r="H1019" s="8">
        <v>24280</v>
      </c>
    </row>
    <row r="1020" spans="2:8" ht="17.5" customHeight="1" x14ac:dyDescent="0.4">
      <c r="B1020" t="s">
        <v>7</v>
      </c>
      <c r="C1020" t="s">
        <v>334</v>
      </c>
      <c r="D1020" s="7">
        <f>DATE(2018,6,1)</f>
        <v>43252</v>
      </c>
      <c r="E1020" s="8">
        <f t="shared" si="15"/>
        <v>2018</v>
      </c>
      <c r="F1020" t="s">
        <v>335</v>
      </c>
      <c r="G1020" s="9">
        <v>193.24</v>
      </c>
      <c r="H1020" s="8">
        <v>27148</v>
      </c>
    </row>
    <row r="1021" spans="2:8" ht="17.5" customHeight="1" x14ac:dyDescent="0.4">
      <c r="B1021" t="s">
        <v>7</v>
      </c>
      <c r="C1021" t="s">
        <v>334</v>
      </c>
      <c r="D1021" s="7">
        <f>DATE(2018,6,8)</f>
        <v>43259</v>
      </c>
      <c r="E1021" s="8">
        <f t="shared" si="15"/>
        <v>2018</v>
      </c>
      <c r="F1021" t="s">
        <v>335</v>
      </c>
      <c r="G1021" s="9">
        <v>1091.1600000000001</v>
      </c>
      <c r="H1021" s="8">
        <v>27194</v>
      </c>
    </row>
    <row r="1022" spans="2:8" ht="17.5" customHeight="1" x14ac:dyDescent="0.4">
      <c r="B1022" t="s">
        <v>7</v>
      </c>
      <c r="C1022" t="s">
        <v>334</v>
      </c>
      <c r="D1022" s="7">
        <f>DATE(2009,4,30)</f>
        <v>39933</v>
      </c>
      <c r="E1022" s="8">
        <f t="shared" si="15"/>
        <v>2009</v>
      </c>
      <c r="F1022" t="s">
        <v>335</v>
      </c>
      <c r="G1022" s="9">
        <v>84382.16</v>
      </c>
      <c r="H1022" s="8">
        <v>8427</v>
      </c>
    </row>
    <row r="1023" spans="2:8" ht="17.5" customHeight="1" x14ac:dyDescent="0.4">
      <c r="B1023" s="3" t="s">
        <v>7</v>
      </c>
      <c r="C1023" s="3" t="s">
        <v>334</v>
      </c>
      <c r="D1023" s="4">
        <f>DATE(2004,3,16)</f>
        <v>38062</v>
      </c>
      <c r="E1023" s="5">
        <f t="shared" si="15"/>
        <v>2004</v>
      </c>
      <c r="F1023" s="3" t="s">
        <v>335</v>
      </c>
      <c r="G1023" s="6">
        <v>7470</v>
      </c>
      <c r="H1023" s="5">
        <v>2296</v>
      </c>
    </row>
    <row r="1024" spans="2:8" ht="17.5" customHeight="1" x14ac:dyDescent="0.4">
      <c r="B1024" t="s">
        <v>7</v>
      </c>
      <c r="C1024" t="s">
        <v>336</v>
      </c>
      <c r="D1024" s="7">
        <f>DATE(2003,3,16)</f>
        <v>37696</v>
      </c>
      <c r="E1024" s="8">
        <f t="shared" si="15"/>
        <v>2003</v>
      </c>
      <c r="F1024" t="s">
        <v>337</v>
      </c>
      <c r="G1024" s="9">
        <v>7235.06</v>
      </c>
      <c r="H1024" s="8">
        <v>341</v>
      </c>
    </row>
    <row r="1025" spans="2:8" ht="17.5" customHeight="1" x14ac:dyDescent="0.4">
      <c r="B1025" t="s">
        <v>7</v>
      </c>
      <c r="C1025" t="s">
        <v>336</v>
      </c>
      <c r="D1025" s="7">
        <f>DATE(2003,5,27)</f>
        <v>37768</v>
      </c>
      <c r="E1025" s="8">
        <f t="shared" si="15"/>
        <v>2003</v>
      </c>
      <c r="F1025" t="s">
        <v>337</v>
      </c>
      <c r="G1025" s="9">
        <v>6039.2</v>
      </c>
      <c r="H1025" s="8">
        <v>632</v>
      </c>
    </row>
    <row r="1026" spans="2:8" ht="17.5" customHeight="1" x14ac:dyDescent="0.4">
      <c r="B1026" t="s">
        <v>16</v>
      </c>
      <c r="C1026" t="s">
        <v>336</v>
      </c>
      <c r="D1026" s="7">
        <f>DATE(2003,5,27)</f>
        <v>37768</v>
      </c>
      <c r="E1026" s="8">
        <f t="shared" si="15"/>
        <v>2003</v>
      </c>
      <c r="F1026" t="s">
        <v>337</v>
      </c>
      <c r="G1026" s="9">
        <v>5861.09</v>
      </c>
      <c r="H1026" s="8">
        <v>631</v>
      </c>
    </row>
    <row r="1027" spans="2:8" ht="17.5" customHeight="1" x14ac:dyDescent="0.4">
      <c r="B1027" s="3" t="s">
        <v>7</v>
      </c>
      <c r="C1027" s="3" t="s">
        <v>336</v>
      </c>
      <c r="D1027" s="4">
        <f>DATE(2004,3,12)</f>
        <v>38058</v>
      </c>
      <c r="E1027" s="5">
        <f t="shared" ref="E1027:E1090" si="16">YEAR(D1027)</f>
        <v>2004</v>
      </c>
      <c r="F1027" s="3" t="s">
        <v>337</v>
      </c>
      <c r="G1027" s="6">
        <v>16075</v>
      </c>
      <c r="H1027" s="5">
        <v>2097</v>
      </c>
    </row>
    <row r="1028" spans="2:8" ht="17.5" customHeight="1" x14ac:dyDescent="0.4">
      <c r="B1028" s="3" t="s">
        <v>7</v>
      </c>
      <c r="C1028" s="3" t="s">
        <v>336</v>
      </c>
      <c r="D1028" s="4">
        <f>DATE(2004,3,15)</f>
        <v>38061</v>
      </c>
      <c r="E1028" s="5">
        <f t="shared" si="16"/>
        <v>2004</v>
      </c>
      <c r="F1028" s="3" t="s">
        <v>337</v>
      </c>
      <c r="G1028" s="6">
        <v>1175</v>
      </c>
      <c r="H1028" s="5">
        <v>2393</v>
      </c>
    </row>
    <row r="1029" spans="2:8" ht="17.5" customHeight="1" x14ac:dyDescent="0.4">
      <c r="B1029" s="3" t="s">
        <v>7</v>
      </c>
      <c r="C1029" s="3" t="s">
        <v>336</v>
      </c>
      <c r="D1029" s="4">
        <f>DATE(2004,3,15)</f>
        <v>38061</v>
      </c>
      <c r="E1029" s="5">
        <f t="shared" si="16"/>
        <v>2004</v>
      </c>
      <c r="F1029" s="3" t="s">
        <v>337</v>
      </c>
      <c r="G1029" s="6">
        <v>200</v>
      </c>
      <c r="H1029" s="5">
        <v>2401</v>
      </c>
    </row>
    <row r="1030" spans="2:8" ht="17.5" customHeight="1" x14ac:dyDescent="0.4">
      <c r="B1030" s="3" t="s">
        <v>7</v>
      </c>
      <c r="C1030" s="3" t="s">
        <v>336</v>
      </c>
      <c r="D1030" s="4">
        <f>DATE(2004,3,12)</f>
        <v>38058</v>
      </c>
      <c r="E1030" s="5">
        <f t="shared" si="16"/>
        <v>2004</v>
      </c>
      <c r="F1030" s="3" t="s">
        <v>337</v>
      </c>
      <c r="G1030" s="6">
        <v>3577.65</v>
      </c>
      <c r="H1030" s="5">
        <v>2385</v>
      </c>
    </row>
    <row r="1031" spans="2:8" ht="17.5" customHeight="1" x14ac:dyDescent="0.4">
      <c r="B1031" s="3" t="s">
        <v>7</v>
      </c>
      <c r="C1031" s="3" t="s">
        <v>336</v>
      </c>
      <c r="D1031" s="4">
        <f>DATE(2004,3,16)</f>
        <v>38062</v>
      </c>
      <c r="E1031" s="5">
        <f t="shared" si="16"/>
        <v>2004</v>
      </c>
      <c r="F1031" s="3" t="s">
        <v>337</v>
      </c>
      <c r="G1031" s="6">
        <v>10235.33</v>
      </c>
      <c r="H1031" s="5">
        <v>2385</v>
      </c>
    </row>
    <row r="1032" spans="2:8" ht="17.5" customHeight="1" x14ac:dyDescent="0.4">
      <c r="B1032" t="s">
        <v>7</v>
      </c>
      <c r="C1032" t="s">
        <v>336</v>
      </c>
      <c r="D1032" s="7">
        <f>DATE(2003,5,27)</f>
        <v>37768</v>
      </c>
      <c r="E1032" s="8">
        <f t="shared" si="16"/>
        <v>2003</v>
      </c>
      <c r="F1032" t="s">
        <v>338</v>
      </c>
      <c r="G1032" s="9">
        <v>5861.09</v>
      </c>
      <c r="H1032" s="8">
        <v>449</v>
      </c>
    </row>
    <row r="1033" spans="2:8" ht="17.5" customHeight="1" x14ac:dyDescent="0.4">
      <c r="B1033" t="s">
        <v>7</v>
      </c>
      <c r="C1033" t="s">
        <v>336</v>
      </c>
      <c r="D1033" s="7">
        <f>DATE(2008,4,28)</f>
        <v>39566</v>
      </c>
      <c r="E1033" s="8">
        <f t="shared" si="16"/>
        <v>2008</v>
      </c>
      <c r="F1033" t="s">
        <v>338</v>
      </c>
      <c r="G1033" s="9">
        <v>11852</v>
      </c>
      <c r="H1033" s="8">
        <v>7343</v>
      </c>
    </row>
    <row r="1034" spans="2:8" ht="17.5" customHeight="1" x14ac:dyDescent="0.4">
      <c r="B1034" s="3" t="s">
        <v>7</v>
      </c>
      <c r="C1034" s="3" t="s">
        <v>336</v>
      </c>
      <c r="D1034" s="4">
        <f>DATE(2007,9,20)</f>
        <v>39345</v>
      </c>
      <c r="E1034" s="5">
        <f t="shared" si="16"/>
        <v>2007</v>
      </c>
      <c r="F1034" s="3" t="s">
        <v>338</v>
      </c>
      <c r="G1034" s="6">
        <v>8520</v>
      </c>
      <c r="H1034" s="5">
        <v>9202</v>
      </c>
    </row>
    <row r="1035" spans="2:8" ht="17.5" customHeight="1" x14ac:dyDescent="0.4">
      <c r="B1035" s="3" t="s">
        <v>7</v>
      </c>
      <c r="C1035" s="3" t="s">
        <v>336</v>
      </c>
      <c r="D1035" s="4">
        <f>DATE(2008,2,21)</f>
        <v>39499</v>
      </c>
      <c r="E1035" s="5">
        <f t="shared" si="16"/>
        <v>2008</v>
      </c>
      <c r="F1035" s="3" t="s">
        <v>338</v>
      </c>
      <c r="G1035" s="6">
        <v>210</v>
      </c>
      <c r="H1035" s="5">
        <v>10009</v>
      </c>
    </row>
    <row r="1036" spans="2:8" ht="17.5" customHeight="1" x14ac:dyDescent="0.4">
      <c r="B1036" s="3" t="s">
        <v>7</v>
      </c>
      <c r="C1036" s="3" t="s">
        <v>336</v>
      </c>
      <c r="D1036" s="4">
        <f>DATE(2009,5,29)</f>
        <v>39962</v>
      </c>
      <c r="E1036" s="5">
        <f t="shared" si="16"/>
        <v>2009</v>
      </c>
      <c r="F1036" s="3" t="s">
        <v>338</v>
      </c>
      <c r="G1036" s="6">
        <v>825</v>
      </c>
      <c r="H1036" s="5">
        <v>12597</v>
      </c>
    </row>
    <row r="1037" spans="2:8" ht="17.5" customHeight="1" x14ac:dyDescent="0.4">
      <c r="B1037" s="3" t="s">
        <v>7</v>
      </c>
      <c r="C1037" s="3" t="s">
        <v>336</v>
      </c>
      <c r="D1037" s="4">
        <f>DATE(2009,6,3)</f>
        <v>39967</v>
      </c>
      <c r="E1037" s="5">
        <f t="shared" si="16"/>
        <v>2009</v>
      </c>
      <c r="F1037" s="3" t="s">
        <v>338</v>
      </c>
      <c r="G1037" s="6">
        <v>825</v>
      </c>
      <c r="H1037" s="5">
        <v>12642</v>
      </c>
    </row>
    <row r="1038" spans="2:8" ht="17.5" customHeight="1" x14ac:dyDescent="0.4">
      <c r="B1038" s="3" t="s">
        <v>7</v>
      </c>
      <c r="C1038" s="3" t="s">
        <v>336</v>
      </c>
      <c r="D1038" s="4">
        <f>DATE(2009,6,3)</f>
        <v>39967</v>
      </c>
      <c r="E1038" s="5">
        <f t="shared" si="16"/>
        <v>2009</v>
      </c>
      <c r="F1038" s="3" t="s">
        <v>338</v>
      </c>
      <c r="G1038" s="6">
        <v>7350</v>
      </c>
      <c r="H1038" s="5">
        <v>12648</v>
      </c>
    </row>
    <row r="1039" spans="2:8" ht="17.5" customHeight="1" x14ac:dyDescent="0.4">
      <c r="B1039" s="3" t="s">
        <v>7</v>
      </c>
      <c r="C1039" s="3" t="s">
        <v>336</v>
      </c>
      <c r="D1039" s="4">
        <f>DATE(2014,2,21)</f>
        <v>41691</v>
      </c>
      <c r="E1039" s="5">
        <f t="shared" si="16"/>
        <v>2014</v>
      </c>
      <c r="F1039" s="3" t="s">
        <v>338</v>
      </c>
      <c r="G1039" s="6">
        <v>6000</v>
      </c>
      <c r="H1039" s="5">
        <v>19508</v>
      </c>
    </row>
    <row r="1040" spans="2:8" ht="17.5" customHeight="1" x14ac:dyDescent="0.4">
      <c r="B1040" t="s">
        <v>7</v>
      </c>
      <c r="C1040" t="s">
        <v>339</v>
      </c>
      <c r="D1040" s="7">
        <f>DATE(2018,3,26)</f>
        <v>43185</v>
      </c>
      <c r="E1040" s="8">
        <f t="shared" si="16"/>
        <v>2018</v>
      </c>
      <c r="F1040" t="s">
        <v>340</v>
      </c>
      <c r="G1040" s="9">
        <v>21334</v>
      </c>
      <c r="H1040" s="8">
        <v>26398</v>
      </c>
    </row>
    <row r="1041" spans="2:8" ht="17.5" customHeight="1" x14ac:dyDescent="0.4">
      <c r="B1041" t="s">
        <v>7</v>
      </c>
      <c r="C1041" t="s">
        <v>339</v>
      </c>
      <c r="D1041" s="7">
        <f>DATE(2018,12,28)</f>
        <v>43462</v>
      </c>
      <c r="E1041" s="8">
        <f t="shared" si="16"/>
        <v>2018</v>
      </c>
      <c r="F1041" t="s">
        <v>340</v>
      </c>
      <c r="G1041" s="9">
        <v>39700.9</v>
      </c>
      <c r="H1041" s="8">
        <v>28134</v>
      </c>
    </row>
    <row r="1042" spans="2:8" ht="17.5" customHeight="1" x14ac:dyDescent="0.4">
      <c r="B1042" t="s">
        <v>7</v>
      </c>
      <c r="C1042" t="s">
        <v>339</v>
      </c>
      <c r="D1042" s="7">
        <f>DATE(2019,2,5)</f>
        <v>43501</v>
      </c>
      <c r="E1042" s="8">
        <f t="shared" si="16"/>
        <v>2019</v>
      </c>
      <c r="F1042" t="s">
        <v>340</v>
      </c>
      <c r="G1042" s="9">
        <v>18707.5</v>
      </c>
      <c r="H1042" s="8">
        <v>28346</v>
      </c>
    </row>
    <row r="1043" spans="2:8" ht="17.5" customHeight="1" x14ac:dyDescent="0.4">
      <c r="B1043" t="s">
        <v>7</v>
      </c>
      <c r="C1043" t="s">
        <v>339</v>
      </c>
      <c r="D1043" s="7">
        <f>DATE(2015,4,9)</f>
        <v>42103</v>
      </c>
      <c r="E1043" s="8">
        <f t="shared" si="16"/>
        <v>2015</v>
      </c>
      <c r="F1043" t="s">
        <v>340</v>
      </c>
      <c r="G1043" s="9">
        <v>560</v>
      </c>
      <c r="H1043" s="8">
        <v>20190</v>
      </c>
    </row>
    <row r="1044" spans="2:8" ht="17.5" customHeight="1" x14ac:dyDescent="0.4">
      <c r="B1044" t="s">
        <v>7</v>
      </c>
      <c r="C1044" t="s">
        <v>339</v>
      </c>
      <c r="D1044" s="7">
        <f>DATE(2015,6,25)</f>
        <v>42180</v>
      </c>
      <c r="E1044" s="8">
        <f t="shared" si="16"/>
        <v>2015</v>
      </c>
      <c r="F1044" t="s">
        <v>340</v>
      </c>
      <c r="G1044" s="9">
        <v>3134.28</v>
      </c>
      <c r="H1044" s="8">
        <v>20830</v>
      </c>
    </row>
    <row r="1045" spans="2:8" ht="17.5" customHeight="1" x14ac:dyDescent="0.4">
      <c r="B1045" t="s">
        <v>7</v>
      </c>
      <c r="C1045" t="s">
        <v>339</v>
      </c>
      <c r="D1045" s="7">
        <f>DATE(2016,4,26)</f>
        <v>42486</v>
      </c>
      <c r="E1045" s="8">
        <f t="shared" si="16"/>
        <v>2016</v>
      </c>
      <c r="F1045" t="s">
        <v>340</v>
      </c>
      <c r="G1045" s="9">
        <v>2250</v>
      </c>
      <c r="H1045" s="8">
        <v>22691</v>
      </c>
    </row>
    <row r="1046" spans="2:8" ht="17.5" customHeight="1" x14ac:dyDescent="0.4">
      <c r="B1046" t="s">
        <v>7</v>
      </c>
      <c r="C1046" t="s">
        <v>339</v>
      </c>
      <c r="D1046" s="7">
        <f>DATE(2016,7,20)</f>
        <v>42571</v>
      </c>
      <c r="E1046" s="8">
        <f t="shared" si="16"/>
        <v>2016</v>
      </c>
      <c r="F1046" t="s">
        <v>340</v>
      </c>
      <c r="G1046" s="9">
        <v>2850</v>
      </c>
      <c r="H1046" s="8">
        <v>23159</v>
      </c>
    </row>
    <row r="1047" spans="2:8" ht="17.5" customHeight="1" x14ac:dyDescent="0.4">
      <c r="B1047" t="s">
        <v>7</v>
      </c>
      <c r="C1047" t="s">
        <v>339</v>
      </c>
      <c r="D1047" s="7">
        <f>DATE(2016,7,26)</f>
        <v>42577</v>
      </c>
      <c r="E1047" s="8">
        <f t="shared" si="16"/>
        <v>2016</v>
      </c>
      <c r="F1047" t="s">
        <v>340</v>
      </c>
      <c r="G1047" s="9">
        <v>170</v>
      </c>
      <c r="H1047" s="8">
        <v>23182</v>
      </c>
    </row>
    <row r="1048" spans="2:8" ht="17.5" customHeight="1" x14ac:dyDescent="0.4">
      <c r="B1048" t="s">
        <v>7</v>
      </c>
      <c r="C1048" t="s">
        <v>339</v>
      </c>
      <c r="D1048" s="7">
        <f>DATE(2017,12,4)</f>
        <v>43073</v>
      </c>
      <c r="E1048" s="8">
        <f t="shared" si="16"/>
        <v>2017</v>
      </c>
      <c r="F1048" t="s">
        <v>340</v>
      </c>
      <c r="G1048" s="9">
        <v>18000</v>
      </c>
      <c r="H1048" s="8">
        <v>25970</v>
      </c>
    </row>
    <row r="1049" spans="2:8" ht="17.5" customHeight="1" x14ac:dyDescent="0.4">
      <c r="B1049" t="s">
        <v>7</v>
      </c>
      <c r="C1049" t="s">
        <v>339</v>
      </c>
      <c r="D1049" s="7">
        <f>DATE(2017,5,4)</f>
        <v>42859</v>
      </c>
      <c r="E1049" s="8">
        <f t="shared" si="16"/>
        <v>2017</v>
      </c>
      <c r="F1049" t="s">
        <v>340</v>
      </c>
      <c r="G1049" s="9">
        <v>9133.43</v>
      </c>
      <c r="H1049" s="8">
        <v>24825</v>
      </c>
    </row>
    <row r="1050" spans="2:8" ht="17.5" customHeight="1" x14ac:dyDescent="0.4">
      <c r="B1050" t="s">
        <v>7</v>
      </c>
      <c r="C1050" t="s">
        <v>339</v>
      </c>
      <c r="D1050" s="7">
        <f>DATE(2018,1,24)</f>
        <v>43124</v>
      </c>
      <c r="E1050" s="8">
        <f t="shared" si="16"/>
        <v>2018</v>
      </c>
      <c r="F1050" t="s">
        <v>340</v>
      </c>
      <c r="G1050" s="9">
        <v>5802.21</v>
      </c>
      <c r="H1050" s="8">
        <v>26258</v>
      </c>
    </row>
    <row r="1051" spans="2:8" ht="17.5" customHeight="1" x14ac:dyDescent="0.4">
      <c r="B1051" t="s">
        <v>7</v>
      </c>
      <c r="C1051" t="s">
        <v>339</v>
      </c>
      <c r="D1051" s="7">
        <f>DATE(2018,1,29)</f>
        <v>43129</v>
      </c>
      <c r="E1051" s="8">
        <f t="shared" si="16"/>
        <v>2018</v>
      </c>
      <c r="F1051" t="s">
        <v>340</v>
      </c>
      <c r="G1051" s="9">
        <v>5884.16</v>
      </c>
      <c r="H1051" s="8">
        <v>26319</v>
      </c>
    </row>
    <row r="1052" spans="2:8" ht="17.5" customHeight="1" x14ac:dyDescent="0.4">
      <c r="B1052" t="s">
        <v>7</v>
      </c>
      <c r="C1052" t="s">
        <v>339</v>
      </c>
      <c r="D1052" s="7">
        <f>DATE(2018,3,20)</f>
        <v>43179</v>
      </c>
      <c r="E1052" s="8">
        <f t="shared" si="16"/>
        <v>2018</v>
      </c>
      <c r="F1052" t="s">
        <v>340</v>
      </c>
      <c r="G1052" s="9">
        <v>5820.01</v>
      </c>
      <c r="H1052" s="8">
        <v>26526</v>
      </c>
    </row>
    <row r="1053" spans="2:8" ht="17.5" customHeight="1" x14ac:dyDescent="0.4">
      <c r="B1053" t="s">
        <v>7</v>
      </c>
      <c r="C1053" t="s">
        <v>339</v>
      </c>
      <c r="D1053" s="7">
        <f>DATE(2018,4,2)</f>
        <v>43192</v>
      </c>
      <c r="E1053" s="8">
        <f t="shared" si="16"/>
        <v>2018</v>
      </c>
      <c r="F1053" t="s">
        <v>340</v>
      </c>
      <c r="G1053" s="9">
        <v>7245.99</v>
      </c>
      <c r="H1053" s="8">
        <v>26604</v>
      </c>
    </row>
    <row r="1054" spans="2:8" ht="17.5" customHeight="1" x14ac:dyDescent="0.4">
      <c r="B1054" t="s">
        <v>7</v>
      </c>
      <c r="C1054" t="s">
        <v>339</v>
      </c>
      <c r="D1054" s="7">
        <f>DATE(2018,11,26)</f>
        <v>43430</v>
      </c>
      <c r="E1054" s="8">
        <f t="shared" si="16"/>
        <v>2018</v>
      </c>
      <c r="F1054" t="s">
        <v>340</v>
      </c>
      <c r="G1054" s="9">
        <v>8287.74</v>
      </c>
      <c r="H1054" s="8">
        <v>27961</v>
      </c>
    </row>
    <row r="1055" spans="2:8" ht="17.5" customHeight="1" x14ac:dyDescent="0.4">
      <c r="B1055" t="s">
        <v>7</v>
      </c>
      <c r="C1055" t="s">
        <v>339</v>
      </c>
      <c r="D1055" s="7">
        <f>DATE(2018,12,28)</f>
        <v>43462</v>
      </c>
      <c r="E1055" s="8">
        <f t="shared" si="16"/>
        <v>2018</v>
      </c>
      <c r="F1055" t="s">
        <v>340</v>
      </c>
      <c r="G1055" s="9">
        <v>12359.82</v>
      </c>
      <c r="H1055" s="8">
        <v>28138</v>
      </c>
    </row>
    <row r="1056" spans="2:8" ht="17.5" customHeight="1" x14ac:dyDescent="0.4">
      <c r="B1056" t="s">
        <v>7</v>
      </c>
      <c r="C1056" t="s">
        <v>339</v>
      </c>
      <c r="D1056" s="7">
        <f>DATE(2019,2,12)</f>
        <v>43508</v>
      </c>
      <c r="E1056" s="8">
        <f t="shared" si="16"/>
        <v>2019</v>
      </c>
      <c r="F1056" t="s">
        <v>340</v>
      </c>
      <c r="G1056" s="9">
        <v>15712.71</v>
      </c>
      <c r="H1056" s="8">
        <v>28339</v>
      </c>
    </row>
    <row r="1057" spans="2:8" ht="17.5" customHeight="1" x14ac:dyDescent="0.4">
      <c r="B1057" t="s">
        <v>7</v>
      </c>
      <c r="C1057" t="s">
        <v>339</v>
      </c>
      <c r="D1057" s="7">
        <f>DATE(2019,2,12)</f>
        <v>43508</v>
      </c>
      <c r="E1057" s="8">
        <f t="shared" si="16"/>
        <v>2019</v>
      </c>
      <c r="F1057" t="s">
        <v>340</v>
      </c>
      <c r="G1057" s="9">
        <v>2474.5500000000002</v>
      </c>
      <c r="H1057" s="8">
        <v>28384</v>
      </c>
    </row>
    <row r="1058" spans="2:8" ht="17.5" customHeight="1" x14ac:dyDescent="0.4">
      <c r="B1058" t="s">
        <v>7</v>
      </c>
      <c r="C1058" t="s">
        <v>339</v>
      </c>
      <c r="D1058" s="7">
        <f>DATE(2013,8,21)</f>
        <v>41507</v>
      </c>
      <c r="E1058" s="8">
        <f t="shared" si="16"/>
        <v>2013</v>
      </c>
      <c r="F1058" t="s">
        <v>340</v>
      </c>
      <c r="G1058" s="9">
        <v>7685.27</v>
      </c>
      <c r="H1058" s="8">
        <v>12622</v>
      </c>
    </row>
    <row r="1059" spans="2:8" ht="17.5" customHeight="1" x14ac:dyDescent="0.4">
      <c r="B1059" t="s">
        <v>7</v>
      </c>
      <c r="C1059" t="s">
        <v>339</v>
      </c>
      <c r="D1059" s="7">
        <f>DATE(2014,6,26)</f>
        <v>41816</v>
      </c>
      <c r="E1059" s="8">
        <f t="shared" si="16"/>
        <v>2014</v>
      </c>
      <c r="F1059" t="s">
        <v>340</v>
      </c>
      <c r="G1059" s="9">
        <v>6879.09</v>
      </c>
      <c r="H1059" s="8">
        <v>13252</v>
      </c>
    </row>
    <row r="1060" spans="2:8" ht="17.5" customHeight="1" x14ac:dyDescent="0.4">
      <c r="B1060" s="3" t="s">
        <v>7</v>
      </c>
      <c r="C1060" s="3" t="s">
        <v>339</v>
      </c>
      <c r="D1060" s="4">
        <f>DATE(2003,3,27)</f>
        <v>37707</v>
      </c>
      <c r="E1060" s="5">
        <f t="shared" si="16"/>
        <v>2003</v>
      </c>
      <c r="F1060" s="3" t="s">
        <v>340</v>
      </c>
      <c r="G1060" s="6">
        <v>1050</v>
      </c>
      <c r="H1060" s="5">
        <v>621</v>
      </c>
    </row>
    <row r="1061" spans="2:8" ht="17.5" customHeight="1" x14ac:dyDescent="0.4">
      <c r="B1061" s="3" t="s">
        <v>7</v>
      </c>
      <c r="C1061" s="3" t="s">
        <v>339</v>
      </c>
      <c r="D1061" s="4">
        <f>DATE(2003,8,1)</f>
        <v>37834</v>
      </c>
      <c r="E1061" s="5">
        <f t="shared" si="16"/>
        <v>2003</v>
      </c>
      <c r="F1061" s="3" t="s">
        <v>340</v>
      </c>
      <c r="G1061" s="6">
        <v>975</v>
      </c>
      <c r="H1061" s="5">
        <v>1294</v>
      </c>
    </row>
    <row r="1062" spans="2:8" ht="17.5" customHeight="1" x14ac:dyDescent="0.4">
      <c r="B1062" s="3" t="s">
        <v>7</v>
      </c>
      <c r="C1062" s="3" t="s">
        <v>339</v>
      </c>
      <c r="D1062" s="4">
        <f>DATE(2003,9,26)</f>
        <v>37890</v>
      </c>
      <c r="E1062" s="5">
        <f t="shared" si="16"/>
        <v>2003</v>
      </c>
      <c r="F1062" s="3" t="s">
        <v>340</v>
      </c>
      <c r="G1062" s="6">
        <v>4320</v>
      </c>
      <c r="H1062" s="5">
        <v>1556</v>
      </c>
    </row>
    <row r="1063" spans="2:8" ht="17.5" customHeight="1" x14ac:dyDescent="0.4">
      <c r="B1063" s="3" t="s">
        <v>7</v>
      </c>
      <c r="C1063" s="3" t="s">
        <v>339</v>
      </c>
      <c r="D1063" s="4">
        <f>DATE(2005,5,25)</f>
        <v>38497</v>
      </c>
      <c r="E1063" s="5">
        <f t="shared" si="16"/>
        <v>2005</v>
      </c>
      <c r="F1063" s="3" t="s">
        <v>340</v>
      </c>
      <c r="G1063" s="6">
        <v>1102.5</v>
      </c>
      <c r="H1063" s="5">
        <v>4775</v>
      </c>
    </row>
    <row r="1064" spans="2:8" ht="17.5" customHeight="1" x14ac:dyDescent="0.4">
      <c r="B1064" s="3" t="s">
        <v>7</v>
      </c>
      <c r="C1064" s="3" t="s">
        <v>339</v>
      </c>
      <c r="D1064" s="4">
        <f>DATE(2009,10,22)</f>
        <v>40108</v>
      </c>
      <c r="E1064" s="5">
        <f t="shared" si="16"/>
        <v>2009</v>
      </c>
      <c r="F1064" s="3" t="s">
        <v>340</v>
      </c>
      <c r="G1064" s="6">
        <v>1474</v>
      </c>
      <c r="H1064" s="5">
        <v>13159</v>
      </c>
    </row>
    <row r="1065" spans="2:8" ht="17.5" customHeight="1" x14ac:dyDescent="0.4">
      <c r="B1065" s="3" t="s">
        <v>7</v>
      </c>
      <c r="C1065" s="3" t="s">
        <v>339</v>
      </c>
      <c r="D1065" s="4">
        <f>DATE(2010,7,22)</f>
        <v>40381</v>
      </c>
      <c r="E1065" s="5">
        <f t="shared" si="16"/>
        <v>2010</v>
      </c>
      <c r="F1065" s="3" t="s">
        <v>340</v>
      </c>
      <c r="G1065" s="6">
        <v>19410.5</v>
      </c>
      <c r="H1065" s="5">
        <v>14276</v>
      </c>
    </row>
    <row r="1066" spans="2:8" ht="17.5" customHeight="1" x14ac:dyDescent="0.4">
      <c r="B1066" s="3" t="s">
        <v>7</v>
      </c>
      <c r="C1066" s="3" t="s">
        <v>339</v>
      </c>
      <c r="D1066" s="4">
        <f>DATE(2010,7,22)</f>
        <v>40381</v>
      </c>
      <c r="E1066" s="5">
        <f t="shared" si="16"/>
        <v>2010</v>
      </c>
      <c r="F1066" s="3" t="s">
        <v>340</v>
      </c>
      <c r="G1066" s="6">
        <v>68</v>
      </c>
      <c r="H1066" s="5">
        <v>14293</v>
      </c>
    </row>
    <row r="1067" spans="2:8" ht="17.5" customHeight="1" x14ac:dyDescent="0.4">
      <c r="B1067" s="3" t="s">
        <v>7</v>
      </c>
      <c r="C1067" s="3" t="s">
        <v>339</v>
      </c>
      <c r="D1067" s="4">
        <f>DATE(2011,4,29)</f>
        <v>40662</v>
      </c>
      <c r="E1067" s="5">
        <f t="shared" si="16"/>
        <v>2011</v>
      </c>
      <c r="F1067" s="3" t="s">
        <v>340</v>
      </c>
      <c r="G1067" s="6">
        <v>2308.59</v>
      </c>
      <c r="H1067" s="5">
        <v>15493</v>
      </c>
    </row>
    <row r="1068" spans="2:8" ht="17.5" customHeight="1" x14ac:dyDescent="0.4">
      <c r="B1068" s="3" t="s">
        <v>7</v>
      </c>
      <c r="C1068" s="3" t="s">
        <v>339</v>
      </c>
      <c r="D1068" s="4">
        <f>DATE(2011,8,12)</f>
        <v>40767</v>
      </c>
      <c r="E1068" s="5">
        <f t="shared" si="16"/>
        <v>2011</v>
      </c>
      <c r="F1068" s="3" t="s">
        <v>340</v>
      </c>
      <c r="G1068" s="6">
        <v>2491.1999999999998</v>
      </c>
      <c r="H1068" s="5">
        <v>15850</v>
      </c>
    </row>
    <row r="1069" spans="2:8" ht="17.5" customHeight="1" x14ac:dyDescent="0.4">
      <c r="B1069" s="3" t="s">
        <v>7</v>
      </c>
      <c r="C1069" s="3" t="s">
        <v>339</v>
      </c>
      <c r="D1069" s="4">
        <f>DATE(2013,1,30)</f>
        <v>41304</v>
      </c>
      <c r="E1069" s="5">
        <f t="shared" si="16"/>
        <v>2013</v>
      </c>
      <c r="F1069" s="3" t="s">
        <v>340</v>
      </c>
      <c r="G1069" s="6">
        <v>32550</v>
      </c>
      <c r="H1069" s="5">
        <v>18004</v>
      </c>
    </row>
    <row r="1070" spans="2:8" ht="17.5" customHeight="1" x14ac:dyDescent="0.4">
      <c r="B1070" s="3" t="s">
        <v>7</v>
      </c>
      <c r="C1070" s="3" t="s">
        <v>339</v>
      </c>
      <c r="D1070" s="4">
        <f>DATE(2013,2,8)</f>
        <v>41313</v>
      </c>
      <c r="E1070" s="5">
        <f t="shared" si="16"/>
        <v>2013</v>
      </c>
      <c r="F1070" s="3" t="s">
        <v>340</v>
      </c>
      <c r="G1070" s="6">
        <v>4550</v>
      </c>
      <c r="H1070" s="5">
        <v>18004</v>
      </c>
    </row>
    <row r="1071" spans="2:8" ht="17.5" customHeight="1" x14ac:dyDescent="0.4">
      <c r="B1071" s="3" t="s">
        <v>7</v>
      </c>
      <c r="C1071" s="3" t="s">
        <v>339</v>
      </c>
      <c r="D1071" s="4">
        <f>DATE(2014,4,2)</f>
        <v>41731</v>
      </c>
      <c r="E1071" s="5">
        <f t="shared" si="16"/>
        <v>2014</v>
      </c>
      <c r="F1071" s="3" t="s">
        <v>340</v>
      </c>
      <c r="G1071" s="6">
        <v>2588.5700000000002</v>
      </c>
      <c r="H1071" s="5">
        <v>19446</v>
      </c>
    </row>
    <row r="1072" spans="2:8" ht="17.5" customHeight="1" x14ac:dyDescent="0.4">
      <c r="B1072" s="3" t="s">
        <v>7</v>
      </c>
      <c r="C1072" s="3" t="s">
        <v>339</v>
      </c>
      <c r="D1072" s="4">
        <f>DATE(2014,4,1)</f>
        <v>41730</v>
      </c>
      <c r="E1072" s="5">
        <f t="shared" si="16"/>
        <v>2014</v>
      </c>
      <c r="F1072" s="3" t="s">
        <v>340</v>
      </c>
      <c r="G1072" s="6">
        <v>18000</v>
      </c>
      <c r="H1072" s="5">
        <v>19739</v>
      </c>
    </row>
    <row r="1073" spans="2:8" ht="17.5" customHeight="1" x14ac:dyDescent="0.4">
      <c r="B1073" s="3" t="s">
        <v>7</v>
      </c>
      <c r="C1073" s="3" t="s">
        <v>339</v>
      </c>
      <c r="D1073" s="4">
        <f>DATE(2014,11,17)</f>
        <v>41960</v>
      </c>
      <c r="E1073" s="5">
        <f t="shared" si="16"/>
        <v>2014</v>
      </c>
      <c r="F1073" s="3" t="s">
        <v>340</v>
      </c>
      <c r="G1073" s="6">
        <v>4800</v>
      </c>
      <c r="H1073" s="5">
        <v>20600</v>
      </c>
    </row>
    <row r="1074" spans="2:8" ht="17.5" customHeight="1" x14ac:dyDescent="0.4">
      <c r="B1074" s="3" t="s">
        <v>16</v>
      </c>
      <c r="C1074" s="3" t="s">
        <v>339</v>
      </c>
      <c r="D1074" s="4">
        <f>DATE(2003,8,27)</f>
        <v>37860</v>
      </c>
      <c r="E1074" s="5">
        <f t="shared" si="16"/>
        <v>2003</v>
      </c>
      <c r="F1074" s="3" t="s">
        <v>340</v>
      </c>
      <c r="G1074" s="6">
        <v>975</v>
      </c>
      <c r="H1074" s="5">
        <v>1432</v>
      </c>
    </row>
    <row r="1075" spans="2:8" ht="17.5" customHeight="1" x14ac:dyDescent="0.4">
      <c r="B1075" s="3" t="s">
        <v>16</v>
      </c>
      <c r="C1075" s="3" t="s">
        <v>339</v>
      </c>
      <c r="D1075" s="4">
        <f>DATE(2003,9,30)</f>
        <v>37894</v>
      </c>
      <c r="E1075" s="5">
        <f t="shared" si="16"/>
        <v>2003</v>
      </c>
      <c r="F1075" s="3" t="s">
        <v>340</v>
      </c>
      <c r="G1075" s="6">
        <v>4320</v>
      </c>
      <c r="H1075" s="5">
        <v>1617</v>
      </c>
    </row>
    <row r="1076" spans="2:8" ht="17.5" customHeight="1" x14ac:dyDescent="0.4">
      <c r="B1076" t="s">
        <v>7</v>
      </c>
      <c r="C1076" t="s">
        <v>341</v>
      </c>
      <c r="D1076" s="7">
        <f>DATE(2017,10,25)</f>
        <v>43033</v>
      </c>
      <c r="E1076" s="8">
        <f t="shared" si="16"/>
        <v>2017</v>
      </c>
      <c r="F1076" t="s">
        <v>342</v>
      </c>
      <c r="G1076" s="9">
        <v>9944.59</v>
      </c>
      <c r="H1076" s="8">
        <v>25740</v>
      </c>
    </row>
    <row r="1077" spans="2:8" ht="17.5" customHeight="1" x14ac:dyDescent="0.4">
      <c r="B1077" t="s">
        <v>7</v>
      </c>
      <c r="C1077" t="s">
        <v>341</v>
      </c>
      <c r="D1077" s="7">
        <f>DATE(2018,3,7)</f>
        <v>43166</v>
      </c>
      <c r="E1077" s="8">
        <f t="shared" si="16"/>
        <v>2018</v>
      </c>
      <c r="F1077" t="s">
        <v>342</v>
      </c>
      <c r="G1077" s="9">
        <v>5245.52</v>
      </c>
      <c r="H1077" s="8">
        <v>26541</v>
      </c>
    </row>
    <row r="1078" spans="2:8" ht="17.5" customHeight="1" x14ac:dyDescent="0.4">
      <c r="B1078" t="s">
        <v>7</v>
      </c>
      <c r="C1078" t="s">
        <v>341</v>
      </c>
      <c r="D1078" s="7">
        <f>DATE(2018,3,8)</f>
        <v>43167</v>
      </c>
      <c r="E1078" s="8">
        <f t="shared" si="16"/>
        <v>2018</v>
      </c>
      <c r="F1078" t="s">
        <v>342</v>
      </c>
      <c r="G1078" s="9">
        <v>33232.18</v>
      </c>
      <c r="H1078" s="8">
        <v>26516</v>
      </c>
    </row>
    <row r="1079" spans="2:8" ht="17.5" customHeight="1" x14ac:dyDescent="0.4">
      <c r="B1079" t="s">
        <v>7</v>
      </c>
      <c r="C1079" t="s">
        <v>341</v>
      </c>
      <c r="D1079" s="7">
        <f>DATE(2018,4,2)</f>
        <v>43192</v>
      </c>
      <c r="E1079" s="8">
        <f t="shared" si="16"/>
        <v>2018</v>
      </c>
      <c r="F1079" t="s">
        <v>342</v>
      </c>
      <c r="G1079" s="9">
        <v>14291</v>
      </c>
      <c r="H1079" s="8">
        <v>26709</v>
      </c>
    </row>
    <row r="1080" spans="2:8" ht="17.5" customHeight="1" x14ac:dyDescent="0.4">
      <c r="B1080" t="s">
        <v>7</v>
      </c>
      <c r="C1080" t="s">
        <v>341</v>
      </c>
      <c r="D1080" s="7">
        <f>DATE(2018,4,23)</f>
        <v>43213</v>
      </c>
      <c r="E1080" s="8">
        <f t="shared" si="16"/>
        <v>2018</v>
      </c>
      <c r="F1080" t="s">
        <v>342</v>
      </c>
      <c r="G1080" s="9">
        <v>3327</v>
      </c>
      <c r="H1080" s="8">
        <v>26874</v>
      </c>
    </row>
    <row r="1081" spans="2:8" ht="17.5" customHeight="1" x14ac:dyDescent="0.4">
      <c r="B1081" t="s">
        <v>7</v>
      </c>
      <c r="C1081" t="s">
        <v>341</v>
      </c>
      <c r="D1081" s="7">
        <f>DATE(2018,4,26)</f>
        <v>43216</v>
      </c>
      <c r="E1081" s="8">
        <f t="shared" si="16"/>
        <v>2018</v>
      </c>
      <c r="F1081" t="s">
        <v>342</v>
      </c>
      <c r="G1081" s="9">
        <v>3244.38</v>
      </c>
      <c r="H1081" s="8">
        <v>26821</v>
      </c>
    </row>
    <row r="1082" spans="2:8" ht="17.5" customHeight="1" x14ac:dyDescent="0.4">
      <c r="B1082" t="s">
        <v>7</v>
      </c>
      <c r="C1082" t="s">
        <v>341</v>
      </c>
      <c r="D1082" s="7">
        <f>DATE(2018,6,11)</f>
        <v>43262</v>
      </c>
      <c r="E1082" s="8">
        <f t="shared" si="16"/>
        <v>2018</v>
      </c>
      <c r="F1082" t="s">
        <v>342</v>
      </c>
      <c r="G1082" s="9">
        <v>4791.75</v>
      </c>
      <c r="H1082" s="8">
        <v>26935</v>
      </c>
    </row>
    <row r="1083" spans="2:8" ht="17.5" customHeight="1" x14ac:dyDescent="0.4">
      <c r="B1083" t="s">
        <v>7</v>
      </c>
      <c r="C1083" t="s">
        <v>341</v>
      </c>
      <c r="D1083" s="7">
        <f>DATE(2018,6,28)</f>
        <v>43279</v>
      </c>
      <c r="E1083" s="8">
        <f t="shared" si="16"/>
        <v>2018</v>
      </c>
      <c r="F1083" t="s">
        <v>342</v>
      </c>
      <c r="G1083" s="9">
        <v>25000</v>
      </c>
      <c r="H1083" s="8">
        <v>27149</v>
      </c>
    </row>
    <row r="1084" spans="2:8" ht="17.5" customHeight="1" x14ac:dyDescent="0.4">
      <c r="B1084" t="s">
        <v>7</v>
      </c>
      <c r="C1084" t="s">
        <v>341</v>
      </c>
      <c r="D1084" s="7">
        <f>DATE(2018,7,2)</f>
        <v>43283</v>
      </c>
      <c r="E1084" s="8">
        <f t="shared" si="16"/>
        <v>2018</v>
      </c>
      <c r="F1084" t="s">
        <v>342</v>
      </c>
      <c r="G1084" s="9">
        <v>2034.5</v>
      </c>
      <c r="H1084" s="8">
        <v>27252</v>
      </c>
    </row>
    <row r="1085" spans="2:8" ht="17.5" customHeight="1" x14ac:dyDescent="0.4">
      <c r="B1085" t="s">
        <v>7</v>
      </c>
      <c r="C1085" t="s">
        <v>341</v>
      </c>
      <c r="D1085" s="7">
        <f>DATE(2018,8,23)</f>
        <v>43335</v>
      </c>
      <c r="E1085" s="8">
        <f t="shared" si="16"/>
        <v>2018</v>
      </c>
      <c r="F1085" t="s">
        <v>342</v>
      </c>
      <c r="G1085" s="9">
        <v>14773.66</v>
      </c>
      <c r="H1085" s="8">
        <v>27255</v>
      </c>
    </row>
    <row r="1086" spans="2:8" ht="17.5" customHeight="1" x14ac:dyDescent="0.4">
      <c r="B1086" t="s">
        <v>7</v>
      </c>
      <c r="C1086" t="s">
        <v>341</v>
      </c>
      <c r="D1086" s="7">
        <f>DATE(2018,7,2)</f>
        <v>43283</v>
      </c>
      <c r="E1086" s="8">
        <f t="shared" si="16"/>
        <v>2018</v>
      </c>
      <c r="F1086" t="s">
        <v>342</v>
      </c>
      <c r="G1086" s="9">
        <v>10294.02</v>
      </c>
      <c r="H1086" s="8">
        <v>27254</v>
      </c>
    </row>
    <row r="1087" spans="2:8" ht="17.5" customHeight="1" x14ac:dyDescent="0.4">
      <c r="B1087" t="s">
        <v>7</v>
      </c>
      <c r="C1087" t="s">
        <v>341</v>
      </c>
      <c r="D1087" s="7">
        <f>DATE(2018,7,2)</f>
        <v>43283</v>
      </c>
      <c r="E1087" s="8">
        <f t="shared" si="16"/>
        <v>2018</v>
      </c>
      <c r="F1087" t="s">
        <v>342</v>
      </c>
      <c r="G1087" s="9">
        <v>4316.9399999999996</v>
      </c>
      <c r="H1087" s="8">
        <v>27253</v>
      </c>
    </row>
    <row r="1088" spans="2:8" ht="17.5" customHeight="1" x14ac:dyDescent="0.4">
      <c r="B1088" t="s">
        <v>7</v>
      </c>
      <c r="C1088" t="s">
        <v>341</v>
      </c>
      <c r="D1088" s="7">
        <f>DATE(2018,7,2)</f>
        <v>43283</v>
      </c>
      <c r="E1088" s="8">
        <f t="shared" si="16"/>
        <v>2018</v>
      </c>
      <c r="F1088" t="s">
        <v>342</v>
      </c>
      <c r="G1088" s="9">
        <v>17310.32</v>
      </c>
      <c r="H1088" s="8">
        <v>27256</v>
      </c>
    </row>
    <row r="1089" spans="2:8" ht="17.5" customHeight="1" x14ac:dyDescent="0.4">
      <c r="B1089" t="s">
        <v>7</v>
      </c>
      <c r="C1089" t="s">
        <v>341</v>
      </c>
      <c r="D1089" s="7">
        <f>DATE(2018,7,2)</f>
        <v>43283</v>
      </c>
      <c r="E1089" s="8">
        <f t="shared" si="16"/>
        <v>2018</v>
      </c>
      <c r="F1089" t="s">
        <v>342</v>
      </c>
      <c r="G1089" s="9">
        <v>6605.12</v>
      </c>
      <c r="H1089" s="8">
        <v>27257</v>
      </c>
    </row>
    <row r="1090" spans="2:8" ht="17.5" customHeight="1" x14ac:dyDescent="0.4">
      <c r="B1090" t="s">
        <v>7</v>
      </c>
      <c r="C1090" t="s">
        <v>341</v>
      </c>
      <c r="D1090" s="7">
        <f>DATE(2018,8,23)</f>
        <v>43335</v>
      </c>
      <c r="E1090" s="8">
        <f t="shared" si="16"/>
        <v>2018</v>
      </c>
      <c r="F1090" t="s">
        <v>342</v>
      </c>
      <c r="G1090" s="9">
        <v>24053.18</v>
      </c>
      <c r="H1090" s="8">
        <v>27258</v>
      </c>
    </row>
    <row r="1091" spans="2:8" ht="17.5" customHeight="1" x14ac:dyDescent="0.4">
      <c r="B1091" t="s">
        <v>7</v>
      </c>
      <c r="C1091" t="s">
        <v>341</v>
      </c>
      <c r="D1091" s="7">
        <f>DATE(2018,7,2)</f>
        <v>43283</v>
      </c>
      <c r="E1091" s="8">
        <f t="shared" ref="E1091:E1154" si="17">YEAR(D1091)</f>
        <v>2018</v>
      </c>
      <c r="F1091" t="s">
        <v>342</v>
      </c>
      <c r="G1091" s="9">
        <v>26460.43</v>
      </c>
      <c r="H1091" s="8">
        <v>27259</v>
      </c>
    </row>
    <row r="1092" spans="2:8" ht="17.5" customHeight="1" x14ac:dyDescent="0.4">
      <c r="B1092" t="s">
        <v>7</v>
      </c>
      <c r="C1092" t="s">
        <v>341</v>
      </c>
      <c r="D1092" s="7">
        <f>DATE(2018,7,17)</f>
        <v>43298</v>
      </c>
      <c r="E1092" s="8">
        <f t="shared" si="17"/>
        <v>2018</v>
      </c>
      <c r="F1092" t="s">
        <v>342</v>
      </c>
      <c r="G1092" s="9">
        <v>35845.25</v>
      </c>
      <c r="H1092" s="8">
        <v>27260</v>
      </c>
    </row>
    <row r="1093" spans="2:8" ht="17.5" customHeight="1" x14ac:dyDescent="0.4">
      <c r="B1093" t="s">
        <v>7</v>
      </c>
      <c r="C1093" t="s">
        <v>341</v>
      </c>
      <c r="D1093" s="7">
        <f>DATE(2018,7,2)</f>
        <v>43283</v>
      </c>
      <c r="E1093" s="8">
        <f t="shared" si="17"/>
        <v>2018</v>
      </c>
      <c r="F1093" t="s">
        <v>342</v>
      </c>
      <c r="G1093" s="9">
        <v>21634</v>
      </c>
      <c r="H1093" s="8">
        <v>27263</v>
      </c>
    </row>
    <row r="1094" spans="2:8" ht="17.5" customHeight="1" x14ac:dyDescent="0.4">
      <c r="B1094" t="s">
        <v>7</v>
      </c>
      <c r="C1094" t="s">
        <v>341</v>
      </c>
      <c r="D1094" s="7">
        <f>DATE(2018,7,2)</f>
        <v>43283</v>
      </c>
      <c r="E1094" s="8">
        <f t="shared" si="17"/>
        <v>2018</v>
      </c>
      <c r="F1094" t="s">
        <v>342</v>
      </c>
      <c r="G1094" s="9">
        <v>2131.12</v>
      </c>
      <c r="H1094" s="8">
        <v>27264</v>
      </c>
    </row>
    <row r="1095" spans="2:8" ht="17.5" customHeight="1" x14ac:dyDescent="0.4">
      <c r="B1095" t="s">
        <v>7</v>
      </c>
      <c r="C1095" t="s">
        <v>341</v>
      </c>
      <c r="D1095" s="7">
        <f>DATE(2018,8,23)</f>
        <v>43335</v>
      </c>
      <c r="E1095" s="8">
        <f t="shared" si="17"/>
        <v>2018</v>
      </c>
      <c r="F1095" t="s">
        <v>342</v>
      </c>
      <c r="G1095" s="9">
        <v>1099.78</v>
      </c>
      <c r="H1095" s="8">
        <v>27265</v>
      </c>
    </row>
    <row r="1096" spans="2:8" ht="17.5" customHeight="1" x14ac:dyDescent="0.4">
      <c r="B1096" t="s">
        <v>7</v>
      </c>
      <c r="C1096" t="s">
        <v>341</v>
      </c>
      <c r="D1096" s="7">
        <f t="shared" ref="D1096:D1106" si="18">DATE(2018,7,2)</f>
        <v>43283</v>
      </c>
      <c r="E1096" s="8">
        <f t="shared" si="17"/>
        <v>2018</v>
      </c>
      <c r="F1096" t="s">
        <v>342</v>
      </c>
      <c r="G1096" s="9">
        <v>16636.36</v>
      </c>
      <c r="H1096" s="8">
        <v>27266</v>
      </c>
    </row>
    <row r="1097" spans="2:8" ht="17.5" customHeight="1" x14ac:dyDescent="0.4">
      <c r="B1097" t="s">
        <v>7</v>
      </c>
      <c r="C1097" t="s">
        <v>341</v>
      </c>
      <c r="D1097" s="7">
        <f t="shared" si="18"/>
        <v>43283</v>
      </c>
      <c r="E1097" s="8">
        <f t="shared" si="17"/>
        <v>2018</v>
      </c>
      <c r="F1097" t="s">
        <v>342</v>
      </c>
      <c r="G1097" s="9">
        <v>5969.72</v>
      </c>
      <c r="H1097" s="8">
        <v>27267</v>
      </c>
    </row>
    <row r="1098" spans="2:8" ht="17.5" customHeight="1" x14ac:dyDescent="0.4">
      <c r="B1098" t="s">
        <v>7</v>
      </c>
      <c r="C1098" t="s">
        <v>341</v>
      </c>
      <c r="D1098" s="7">
        <f t="shared" si="18"/>
        <v>43283</v>
      </c>
      <c r="E1098" s="8">
        <f t="shared" si="17"/>
        <v>2018</v>
      </c>
      <c r="F1098" t="s">
        <v>342</v>
      </c>
      <c r="G1098" s="9">
        <v>7616.11</v>
      </c>
      <c r="H1098" s="8">
        <v>27268</v>
      </c>
    </row>
    <row r="1099" spans="2:8" ht="17.5" customHeight="1" x14ac:dyDescent="0.4">
      <c r="B1099" t="s">
        <v>7</v>
      </c>
      <c r="C1099" t="s">
        <v>341</v>
      </c>
      <c r="D1099" s="7">
        <f t="shared" si="18"/>
        <v>43283</v>
      </c>
      <c r="E1099" s="8">
        <f t="shared" si="17"/>
        <v>2018</v>
      </c>
      <c r="F1099" t="s">
        <v>342</v>
      </c>
      <c r="G1099" s="9">
        <v>2849.32</v>
      </c>
      <c r="H1099" s="8">
        <v>27269</v>
      </c>
    </row>
    <row r="1100" spans="2:8" ht="17.5" customHeight="1" x14ac:dyDescent="0.4">
      <c r="B1100" t="s">
        <v>7</v>
      </c>
      <c r="C1100" t="s">
        <v>341</v>
      </c>
      <c r="D1100" s="7">
        <f t="shared" si="18"/>
        <v>43283</v>
      </c>
      <c r="E1100" s="8">
        <f t="shared" si="17"/>
        <v>2018</v>
      </c>
      <c r="F1100" t="s">
        <v>342</v>
      </c>
      <c r="G1100" s="9">
        <v>1602.74</v>
      </c>
      <c r="H1100" s="8">
        <v>27271</v>
      </c>
    </row>
    <row r="1101" spans="2:8" ht="17.5" customHeight="1" x14ac:dyDescent="0.4">
      <c r="B1101" t="s">
        <v>7</v>
      </c>
      <c r="C1101" t="s">
        <v>341</v>
      </c>
      <c r="D1101" s="7">
        <f t="shared" si="18"/>
        <v>43283</v>
      </c>
      <c r="E1101" s="8">
        <f t="shared" si="17"/>
        <v>2018</v>
      </c>
      <c r="F1101" t="s">
        <v>342</v>
      </c>
      <c r="G1101" s="9">
        <v>5034.8500000000004</v>
      </c>
      <c r="H1101" s="8">
        <v>27272</v>
      </c>
    </row>
    <row r="1102" spans="2:8" ht="17.5" customHeight="1" x14ac:dyDescent="0.4">
      <c r="B1102" t="s">
        <v>7</v>
      </c>
      <c r="C1102" t="s">
        <v>341</v>
      </c>
      <c r="D1102" s="7">
        <f t="shared" si="18"/>
        <v>43283</v>
      </c>
      <c r="E1102" s="8">
        <f t="shared" si="17"/>
        <v>2018</v>
      </c>
      <c r="F1102" t="s">
        <v>342</v>
      </c>
      <c r="G1102" s="9">
        <v>10134.51</v>
      </c>
      <c r="H1102" s="8">
        <v>27273</v>
      </c>
    </row>
    <row r="1103" spans="2:8" ht="17.5" customHeight="1" x14ac:dyDescent="0.4">
      <c r="B1103" t="s">
        <v>7</v>
      </c>
      <c r="C1103" t="s">
        <v>341</v>
      </c>
      <c r="D1103" s="7">
        <f t="shared" si="18"/>
        <v>43283</v>
      </c>
      <c r="E1103" s="8">
        <f t="shared" si="17"/>
        <v>2018</v>
      </c>
      <c r="F1103" t="s">
        <v>342</v>
      </c>
      <c r="G1103" s="9">
        <v>2392.1799999999998</v>
      </c>
      <c r="H1103" s="8">
        <v>27274</v>
      </c>
    </row>
    <row r="1104" spans="2:8" ht="17.5" customHeight="1" x14ac:dyDescent="0.4">
      <c r="B1104" t="s">
        <v>7</v>
      </c>
      <c r="C1104" t="s">
        <v>341</v>
      </c>
      <c r="D1104" s="7">
        <f t="shared" si="18"/>
        <v>43283</v>
      </c>
      <c r="E1104" s="8">
        <f t="shared" si="17"/>
        <v>2018</v>
      </c>
      <c r="F1104" t="s">
        <v>342</v>
      </c>
      <c r="G1104" s="9">
        <v>10303.459999999999</v>
      </c>
      <c r="H1104" s="8">
        <v>27275</v>
      </c>
    </row>
    <row r="1105" spans="2:8" ht="17.5" customHeight="1" x14ac:dyDescent="0.4">
      <c r="B1105" t="s">
        <v>7</v>
      </c>
      <c r="C1105" t="s">
        <v>341</v>
      </c>
      <c r="D1105" s="7">
        <f t="shared" si="18"/>
        <v>43283</v>
      </c>
      <c r="E1105" s="8">
        <f t="shared" si="17"/>
        <v>2018</v>
      </c>
      <c r="F1105" t="s">
        <v>342</v>
      </c>
      <c r="G1105" s="9">
        <v>19912.5</v>
      </c>
      <c r="H1105" s="8">
        <v>27261</v>
      </c>
    </row>
    <row r="1106" spans="2:8" ht="17.5" customHeight="1" x14ac:dyDescent="0.4">
      <c r="B1106" t="s">
        <v>7</v>
      </c>
      <c r="C1106" t="s">
        <v>341</v>
      </c>
      <c r="D1106" s="7">
        <f t="shared" si="18"/>
        <v>43283</v>
      </c>
      <c r="E1106" s="8">
        <f t="shared" si="17"/>
        <v>2018</v>
      </c>
      <c r="F1106" t="s">
        <v>342</v>
      </c>
      <c r="G1106" s="9">
        <v>9453.26</v>
      </c>
      <c r="H1106" s="8">
        <v>27276</v>
      </c>
    </row>
    <row r="1107" spans="2:8" ht="17.5" customHeight="1" x14ac:dyDescent="0.4">
      <c r="B1107" t="s">
        <v>7</v>
      </c>
      <c r="C1107" t="s">
        <v>341</v>
      </c>
      <c r="D1107" s="7">
        <f>DATE(2018,7,17)</f>
        <v>43298</v>
      </c>
      <c r="E1107" s="8">
        <f t="shared" si="17"/>
        <v>2018</v>
      </c>
      <c r="F1107" t="s">
        <v>342</v>
      </c>
      <c r="G1107" s="9">
        <v>20272.560000000001</v>
      </c>
      <c r="H1107" s="8">
        <v>27279</v>
      </c>
    </row>
    <row r="1108" spans="2:8" ht="17.5" customHeight="1" x14ac:dyDescent="0.4">
      <c r="B1108" t="s">
        <v>7</v>
      </c>
      <c r="C1108" t="s">
        <v>341</v>
      </c>
      <c r="D1108" s="7">
        <f>DATE(2018,7,17)</f>
        <v>43298</v>
      </c>
      <c r="E1108" s="8">
        <f t="shared" si="17"/>
        <v>2018</v>
      </c>
      <c r="F1108" t="s">
        <v>342</v>
      </c>
      <c r="G1108" s="9">
        <v>44475.85</v>
      </c>
      <c r="H1108" s="8">
        <v>26846</v>
      </c>
    </row>
    <row r="1109" spans="2:8" ht="17.5" customHeight="1" x14ac:dyDescent="0.4">
      <c r="B1109" t="s">
        <v>7</v>
      </c>
      <c r="C1109" t="s">
        <v>341</v>
      </c>
      <c r="D1109" s="7">
        <f>DATE(2018,7,23)</f>
        <v>43304</v>
      </c>
      <c r="E1109" s="8">
        <f t="shared" si="17"/>
        <v>2018</v>
      </c>
      <c r="F1109" t="s">
        <v>342</v>
      </c>
      <c r="G1109" s="9">
        <v>2168.35</v>
      </c>
      <c r="H1109" s="8">
        <v>27282</v>
      </c>
    </row>
    <row r="1110" spans="2:8" ht="17.5" customHeight="1" x14ac:dyDescent="0.4">
      <c r="B1110" t="s">
        <v>7</v>
      </c>
      <c r="C1110" t="s">
        <v>341</v>
      </c>
      <c r="D1110" s="7">
        <f>DATE(2018,7,25)</f>
        <v>43306</v>
      </c>
      <c r="E1110" s="8">
        <f t="shared" si="17"/>
        <v>2018</v>
      </c>
      <c r="F1110" t="s">
        <v>342</v>
      </c>
      <c r="G1110" s="9">
        <v>3592.5</v>
      </c>
      <c r="H1110" s="8">
        <v>27350</v>
      </c>
    </row>
    <row r="1111" spans="2:8" ht="17.5" customHeight="1" x14ac:dyDescent="0.4">
      <c r="B1111" t="s">
        <v>7</v>
      </c>
      <c r="C1111" t="s">
        <v>341</v>
      </c>
      <c r="D1111" s="7">
        <f>DATE(2018,9,17)</f>
        <v>43360</v>
      </c>
      <c r="E1111" s="8">
        <f t="shared" si="17"/>
        <v>2018</v>
      </c>
      <c r="F1111" t="s">
        <v>342</v>
      </c>
      <c r="G1111" s="9">
        <v>11420.04</v>
      </c>
      <c r="H1111" s="8">
        <v>27566</v>
      </c>
    </row>
    <row r="1112" spans="2:8" ht="17.5" customHeight="1" x14ac:dyDescent="0.4">
      <c r="B1112" t="s">
        <v>7</v>
      </c>
      <c r="C1112" t="s">
        <v>341</v>
      </c>
      <c r="D1112" s="7">
        <f>DATE(2018,10,30)</f>
        <v>43403</v>
      </c>
      <c r="E1112" s="8">
        <f t="shared" si="17"/>
        <v>2018</v>
      </c>
      <c r="F1112" t="s">
        <v>342</v>
      </c>
      <c r="G1112" s="9">
        <v>7363</v>
      </c>
      <c r="H1112" s="8">
        <v>27533</v>
      </c>
    </row>
    <row r="1113" spans="2:8" ht="17.5" customHeight="1" x14ac:dyDescent="0.4">
      <c r="B1113" t="s">
        <v>7</v>
      </c>
      <c r="C1113" t="s">
        <v>341</v>
      </c>
      <c r="D1113" s="7">
        <f>DATE(2018,10,30)</f>
        <v>43403</v>
      </c>
      <c r="E1113" s="8">
        <f t="shared" si="17"/>
        <v>2018</v>
      </c>
      <c r="F1113" t="s">
        <v>342</v>
      </c>
      <c r="G1113" s="9">
        <v>3150.36</v>
      </c>
      <c r="H1113" s="8">
        <v>27822</v>
      </c>
    </row>
    <row r="1114" spans="2:8" ht="17.5" customHeight="1" x14ac:dyDescent="0.4">
      <c r="B1114" t="s">
        <v>7</v>
      </c>
      <c r="C1114" t="s">
        <v>341</v>
      </c>
      <c r="D1114" s="7">
        <f>DATE(2018,11,6)</f>
        <v>43410</v>
      </c>
      <c r="E1114" s="8">
        <f t="shared" si="17"/>
        <v>2018</v>
      </c>
      <c r="F1114" t="s">
        <v>342</v>
      </c>
      <c r="G1114" s="9">
        <v>3448.55</v>
      </c>
      <c r="H1114" s="8">
        <v>27823</v>
      </c>
    </row>
    <row r="1115" spans="2:8" ht="17.5" customHeight="1" x14ac:dyDescent="0.4">
      <c r="B1115" t="s">
        <v>7</v>
      </c>
      <c r="C1115" t="s">
        <v>341</v>
      </c>
      <c r="D1115" s="7">
        <f>DATE(2018,10,29)</f>
        <v>43402</v>
      </c>
      <c r="E1115" s="8">
        <f t="shared" si="17"/>
        <v>2018</v>
      </c>
      <c r="F1115" t="s">
        <v>342</v>
      </c>
      <c r="G1115" s="9">
        <v>4371.25</v>
      </c>
      <c r="H1115" s="8">
        <v>27805</v>
      </c>
    </row>
    <row r="1116" spans="2:8" ht="17.5" customHeight="1" x14ac:dyDescent="0.4">
      <c r="B1116" t="s">
        <v>7</v>
      </c>
      <c r="C1116" t="s">
        <v>341</v>
      </c>
      <c r="D1116" s="7">
        <f>DATE(2018,10,29)</f>
        <v>43402</v>
      </c>
      <c r="E1116" s="8">
        <f t="shared" si="17"/>
        <v>2018</v>
      </c>
      <c r="F1116" t="s">
        <v>342</v>
      </c>
      <c r="G1116" s="9">
        <v>2793.31</v>
      </c>
      <c r="H1116" s="8">
        <v>27880</v>
      </c>
    </row>
    <row r="1117" spans="2:8" ht="17.5" customHeight="1" x14ac:dyDescent="0.4">
      <c r="B1117" t="s">
        <v>7</v>
      </c>
      <c r="C1117" t="s">
        <v>341</v>
      </c>
      <c r="D1117" s="7">
        <f>DATE(2018,12,3)</f>
        <v>43437</v>
      </c>
      <c r="E1117" s="8">
        <f t="shared" si="17"/>
        <v>2018</v>
      </c>
      <c r="F1117" t="s">
        <v>342</v>
      </c>
      <c r="G1117" s="9">
        <v>4211.5</v>
      </c>
      <c r="H1117" s="8">
        <v>28037</v>
      </c>
    </row>
    <row r="1118" spans="2:8" ht="17.5" customHeight="1" x14ac:dyDescent="0.4">
      <c r="B1118" t="s">
        <v>7</v>
      </c>
      <c r="C1118" t="s">
        <v>341</v>
      </c>
      <c r="D1118" s="7">
        <f>DATE(2019,1,23)</f>
        <v>43488</v>
      </c>
      <c r="E1118" s="8">
        <f t="shared" si="17"/>
        <v>2019</v>
      </c>
      <c r="F1118" t="s">
        <v>342</v>
      </c>
      <c r="G1118" s="9">
        <v>37618</v>
      </c>
      <c r="H1118" s="8">
        <v>27975</v>
      </c>
    </row>
    <row r="1119" spans="2:8" ht="17.5" customHeight="1" x14ac:dyDescent="0.4">
      <c r="B1119" t="s">
        <v>7</v>
      </c>
      <c r="C1119" t="s">
        <v>341</v>
      </c>
      <c r="D1119" s="7">
        <f>DATE(2019,3,8)</f>
        <v>43532</v>
      </c>
      <c r="E1119" s="8">
        <f t="shared" si="17"/>
        <v>2019</v>
      </c>
      <c r="F1119" t="s">
        <v>342</v>
      </c>
      <c r="G1119" s="9">
        <v>24080.78</v>
      </c>
      <c r="H1119" s="8">
        <v>28319</v>
      </c>
    </row>
    <row r="1120" spans="2:8" ht="17.5" customHeight="1" x14ac:dyDescent="0.4">
      <c r="B1120" t="s">
        <v>7</v>
      </c>
      <c r="C1120" t="s">
        <v>341</v>
      </c>
      <c r="D1120" s="7">
        <f>DATE(2019,3,27)</f>
        <v>43551</v>
      </c>
      <c r="E1120" s="8">
        <f t="shared" si="17"/>
        <v>2019</v>
      </c>
      <c r="F1120" t="s">
        <v>342</v>
      </c>
      <c r="G1120" s="9">
        <v>6054</v>
      </c>
      <c r="H1120" s="8">
        <v>28543</v>
      </c>
    </row>
    <row r="1121" spans="2:8" ht="17.5" customHeight="1" x14ac:dyDescent="0.4">
      <c r="B1121" t="s">
        <v>7</v>
      </c>
      <c r="C1121" t="s">
        <v>341</v>
      </c>
      <c r="D1121" s="7">
        <f t="shared" ref="D1121:D1131" si="19">DATE(2019,3,29)</f>
        <v>43553</v>
      </c>
      <c r="E1121" s="8">
        <f t="shared" si="17"/>
        <v>2019</v>
      </c>
      <c r="F1121" t="s">
        <v>342</v>
      </c>
      <c r="G1121" s="9">
        <v>21546.01</v>
      </c>
      <c r="H1121" s="8">
        <v>27908</v>
      </c>
    </row>
    <row r="1122" spans="2:8" ht="17.5" customHeight="1" x14ac:dyDescent="0.4">
      <c r="B1122" t="s">
        <v>7</v>
      </c>
      <c r="C1122" t="s">
        <v>341</v>
      </c>
      <c r="D1122" s="7">
        <f t="shared" si="19"/>
        <v>43553</v>
      </c>
      <c r="E1122" s="8">
        <f t="shared" si="17"/>
        <v>2019</v>
      </c>
      <c r="F1122" t="s">
        <v>342</v>
      </c>
      <c r="G1122" s="9">
        <v>3352</v>
      </c>
      <c r="H1122" s="8">
        <v>28733</v>
      </c>
    </row>
    <row r="1123" spans="2:8" ht="17.5" customHeight="1" x14ac:dyDescent="0.4">
      <c r="B1123" t="s">
        <v>7</v>
      </c>
      <c r="C1123" t="s">
        <v>341</v>
      </c>
      <c r="D1123" s="7">
        <f t="shared" si="19"/>
        <v>43553</v>
      </c>
      <c r="E1123" s="8">
        <f t="shared" si="17"/>
        <v>2019</v>
      </c>
      <c r="F1123" t="s">
        <v>342</v>
      </c>
      <c r="G1123" s="9">
        <v>3735.92</v>
      </c>
      <c r="H1123" s="8">
        <v>28735</v>
      </c>
    </row>
    <row r="1124" spans="2:8" ht="17.5" customHeight="1" x14ac:dyDescent="0.4">
      <c r="B1124" t="s">
        <v>7</v>
      </c>
      <c r="C1124" t="s">
        <v>341</v>
      </c>
      <c r="D1124" s="7">
        <f t="shared" si="19"/>
        <v>43553</v>
      </c>
      <c r="E1124" s="8">
        <f t="shared" si="17"/>
        <v>2019</v>
      </c>
      <c r="F1124" t="s">
        <v>342</v>
      </c>
      <c r="G1124" s="9">
        <v>1369</v>
      </c>
      <c r="H1124" s="8">
        <v>28741</v>
      </c>
    </row>
    <row r="1125" spans="2:8" ht="17.5" customHeight="1" x14ac:dyDescent="0.4">
      <c r="B1125" t="s">
        <v>7</v>
      </c>
      <c r="C1125" t="s">
        <v>341</v>
      </c>
      <c r="D1125" s="7">
        <f t="shared" si="19"/>
        <v>43553</v>
      </c>
      <c r="E1125" s="8">
        <f t="shared" si="17"/>
        <v>2019</v>
      </c>
      <c r="F1125" t="s">
        <v>342</v>
      </c>
      <c r="G1125" s="9">
        <v>1369</v>
      </c>
      <c r="H1125" s="8">
        <v>28739</v>
      </c>
    </row>
    <row r="1126" spans="2:8" ht="17.5" customHeight="1" x14ac:dyDescent="0.4">
      <c r="B1126" t="s">
        <v>7</v>
      </c>
      <c r="C1126" t="s">
        <v>341</v>
      </c>
      <c r="D1126" s="7">
        <f t="shared" si="19"/>
        <v>43553</v>
      </c>
      <c r="E1126" s="8">
        <f t="shared" si="17"/>
        <v>2019</v>
      </c>
      <c r="F1126" t="s">
        <v>342</v>
      </c>
      <c r="G1126" s="9">
        <v>3177.2</v>
      </c>
      <c r="H1126" s="8">
        <v>28737</v>
      </c>
    </row>
    <row r="1127" spans="2:8" ht="17.5" customHeight="1" x14ac:dyDescent="0.4">
      <c r="B1127" t="s">
        <v>7</v>
      </c>
      <c r="C1127" t="s">
        <v>341</v>
      </c>
      <c r="D1127" s="7">
        <f t="shared" si="19"/>
        <v>43553</v>
      </c>
      <c r="E1127" s="8">
        <f t="shared" si="17"/>
        <v>2019</v>
      </c>
      <c r="F1127" t="s">
        <v>342</v>
      </c>
      <c r="G1127" s="9">
        <v>3575.36</v>
      </c>
      <c r="H1127" s="8">
        <v>28736</v>
      </c>
    </row>
    <row r="1128" spans="2:8" ht="17.5" customHeight="1" x14ac:dyDescent="0.4">
      <c r="B1128" t="s">
        <v>7</v>
      </c>
      <c r="C1128" t="s">
        <v>341</v>
      </c>
      <c r="D1128" s="7">
        <f t="shared" si="19"/>
        <v>43553</v>
      </c>
      <c r="E1128" s="8">
        <f t="shared" si="17"/>
        <v>2019</v>
      </c>
      <c r="F1128" t="s">
        <v>342</v>
      </c>
      <c r="G1128" s="9">
        <v>17331.96</v>
      </c>
      <c r="H1128" s="8">
        <v>28732</v>
      </c>
    </row>
    <row r="1129" spans="2:8" ht="17.5" customHeight="1" x14ac:dyDescent="0.4">
      <c r="B1129" t="s">
        <v>7</v>
      </c>
      <c r="C1129" t="s">
        <v>341</v>
      </c>
      <c r="D1129" s="7">
        <f t="shared" si="19"/>
        <v>43553</v>
      </c>
      <c r="E1129" s="8">
        <f t="shared" si="17"/>
        <v>2019</v>
      </c>
      <c r="F1129" t="s">
        <v>342</v>
      </c>
      <c r="G1129" s="9">
        <v>3992.24</v>
      </c>
      <c r="H1129" s="8">
        <v>28734</v>
      </c>
    </row>
    <row r="1130" spans="2:8" ht="17.5" customHeight="1" x14ac:dyDescent="0.4">
      <c r="B1130" t="s">
        <v>7</v>
      </c>
      <c r="C1130" t="s">
        <v>341</v>
      </c>
      <c r="D1130" s="7">
        <f t="shared" si="19"/>
        <v>43553</v>
      </c>
      <c r="E1130" s="8">
        <f t="shared" si="17"/>
        <v>2019</v>
      </c>
      <c r="F1130" t="s">
        <v>342</v>
      </c>
      <c r="G1130" s="9">
        <v>7368.48</v>
      </c>
      <c r="H1130" s="8">
        <v>28730</v>
      </c>
    </row>
    <row r="1131" spans="2:8" ht="17.5" customHeight="1" x14ac:dyDescent="0.4">
      <c r="B1131" t="s">
        <v>7</v>
      </c>
      <c r="C1131" t="s">
        <v>341</v>
      </c>
      <c r="D1131" s="7">
        <f t="shared" si="19"/>
        <v>43553</v>
      </c>
      <c r="E1131" s="8">
        <f t="shared" si="17"/>
        <v>2019</v>
      </c>
      <c r="F1131" t="s">
        <v>342</v>
      </c>
      <c r="G1131" s="9">
        <v>4662.22</v>
      </c>
      <c r="H1131" s="8">
        <v>28724</v>
      </c>
    </row>
    <row r="1132" spans="2:8" ht="17.5" customHeight="1" x14ac:dyDescent="0.4">
      <c r="B1132" t="s">
        <v>7</v>
      </c>
      <c r="C1132" t="s">
        <v>341</v>
      </c>
      <c r="D1132" s="7">
        <f>DATE(2019,4,22)</f>
        <v>43577</v>
      </c>
      <c r="E1132" s="8">
        <f t="shared" si="17"/>
        <v>2019</v>
      </c>
      <c r="F1132" t="s">
        <v>342</v>
      </c>
      <c r="G1132" s="9">
        <v>3787.51</v>
      </c>
      <c r="H1132" s="8">
        <v>28798</v>
      </c>
    </row>
    <row r="1133" spans="2:8" ht="17.5" customHeight="1" x14ac:dyDescent="0.4">
      <c r="B1133" s="3" t="s">
        <v>7</v>
      </c>
      <c r="C1133" s="3" t="s">
        <v>343</v>
      </c>
      <c r="D1133" s="4">
        <f>DATE(2009,10,9)</f>
        <v>40095</v>
      </c>
      <c r="E1133" s="5">
        <f t="shared" si="17"/>
        <v>2009</v>
      </c>
      <c r="F1133" s="3" t="s">
        <v>344</v>
      </c>
      <c r="G1133" s="6">
        <v>42570.6</v>
      </c>
      <c r="H1133" s="5">
        <v>3588</v>
      </c>
    </row>
    <row r="1134" spans="2:8" ht="17.5" customHeight="1" x14ac:dyDescent="0.4">
      <c r="B1134" s="3" t="s">
        <v>7</v>
      </c>
      <c r="C1134" s="3" t="s">
        <v>343</v>
      </c>
      <c r="D1134" s="4">
        <f>DATE(2009,11,13)</f>
        <v>40130</v>
      </c>
      <c r="E1134" s="5">
        <f t="shared" si="17"/>
        <v>2009</v>
      </c>
      <c r="F1134" s="3" t="s">
        <v>344</v>
      </c>
      <c r="G1134" s="6">
        <v>4323.6000000000004</v>
      </c>
      <c r="H1134" s="5">
        <v>3644</v>
      </c>
    </row>
    <row r="1135" spans="2:8" ht="17.5" customHeight="1" x14ac:dyDescent="0.4">
      <c r="B1135" s="3" t="s">
        <v>7</v>
      </c>
      <c r="C1135" s="3" t="s">
        <v>345</v>
      </c>
      <c r="D1135" s="4">
        <f>DATE(2010,4,7)</f>
        <v>40275</v>
      </c>
      <c r="E1135" s="5">
        <f t="shared" si="17"/>
        <v>2010</v>
      </c>
      <c r="F1135" s="3" t="s">
        <v>344</v>
      </c>
      <c r="G1135" s="6">
        <v>3042.9</v>
      </c>
      <c r="H1135" s="5">
        <v>3890</v>
      </c>
    </row>
    <row r="1136" spans="2:8" ht="17.5" customHeight="1" x14ac:dyDescent="0.4">
      <c r="B1136" s="3" t="s">
        <v>7</v>
      </c>
      <c r="C1136" s="3" t="s">
        <v>345</v>
      </c>
      <c r="D1136" s="4">
        <f>DATE(2010,4,29)</f>
        <v>40297</v>
      </c>
      <c r="E1136" s="5">
        <f t="shared" si="17"/>
        <v>2010</v>
      </c>
      <c r="F1136" s="3" t="s">
        <v>344</v>
      </c>
      <c r="G1136" s="6">
        <v>3101.12</v>
      </c>
      <c r="H1136" s="5">
        <v>3914</v>
      </c>
    </row>
    <row r="1137" spans="2:8" ht="17.5" customHeight="1" x14ac:dyDescent="0.4">
      <c r="B1137" t="s">
        <v>7</v>
      </c>
      <c r="C1137" t="s">
        <v>346</v>
      </c>
      <c r="D1137" s="7">
        <f>DATE(2016,6,3)</f>
        <v>42524</v>
      </c>
      <c r="E1137" s="8">
        <f t="shared" si="17"/>
        <v>2016</v>
      </c>
      <c r="F1137" t="s">
        <v>347</v>
      </c>
      <c r="G1137" s="9">
        <v>20404</v>
      </c>
      <c r="H1137" s="8">
        <v>22921</v>
      </c>
    </row>
    <row r="1138" spans="2:8" ht="17.5" customHeight="1" x14ac:dyDescent="0.4">
      <c r="B1138" t="s">
        <v>7</v>
      </c>
      <c r="C1138" t="s">
        <v>346</v>
      </c>
      <c r="D1138" s="7">
        <f>DATE(2017,1,4)</f>
        <v>42739</v>
      </c>
      <c r="E1138" s="8">
        <f t="shared" si="17"/>
        <v>2017</v>
      </c>
      <c r="F1138" t="s">
        <v>347</v>
      </c>
      <c r="G1138" s="9">
        <v>18596.28</v>
      </c>
      <c r="H1138" s="8">
        <v>23420</v>
      </c>
    </row>
    <row r="1139" spans="2:8" ht="17.5" customHeight="1" x14ac:dyDescent="0.4">
      <c r="B1139" t="s">
        <v>7</v>
      </c>
      <c r="C1139" t="s">
        <v>341</v>
      </c>
      <c r="D1139" s="7">
        <f>DATE(2016,5,25)</f>
        <v>42515</v>
      </c>
      <c r="E1139" s="8">
        <f t="shared" si="17"/>
        <v>2016</v>
      </c>
      <c r="F1139" t="s">
        <v>348</v>
      </c>
      <c r="G1139" s="9">
        <v>8980.7099999999991</v>
      </c>
      <c r="H1139" s="8">
        <v>22638</v>
      </c>
    </row>
    <row r="1140" spans="2:8" ht="17.5" customHeight="1" x14ac:dyDescent="0.4">
      <c r="B1140" t="s">
        <v>7</v>
      </c>
      <c r="C1140" t="s">
        <v>341</v>
      </c>
      <c r="D1140" s="7">
        <f>DATE(2016,8,3)</f>
        <v>42585</v>
      </c>
      <c r="E1140" s="8">
        <f t="shared" si="17"/>
        <v>2016</v>
      </c>
      <c r="F1140" t="s">
        <v>348</v>
      </c>
      <c r="G1140" s="9">
        <v>67739.44</v>
      </c>
      <c r="H1140" s="8">
        <v>22853</v>
      </c>
    </row>
    <row r="1141" spans="2:8" ht="17.5" customHeight="1" x14ac:dyDescent="0.4">
      <c r="B1141" t="s">
        <v>7</v>
      </c>
      <c r="C1141" t="s">
        <v>341</v>
      </c>
      <c r="D1141" s="7">
        <f>DATE(2016,10,26)</f>
        <v>42669</v>
      </c>
      <c r="E1141" s="8">
        <f t="shared" si="17"/>
        <v>2016</v>
      </c>
      <c r="F1141" t="s">
        <v>348</v>
      </c>
      <c r="G1141" s="9">
        <v>99999</v>
      </c>
      <c r="H1141" s="8">
        <v>23459</v>
      </c>
    </row>
    <row r="1142" spans="2:8" ht="17.5" customHeight="1" x14ac:dyDescent="0.4">
      <c r="B1142" t="s">
        <v>7</v>
      </c>
      <c r="C1142" t="s">
        <v>341</v>
      </c>
      <c r="D1142" s="7">
        <f>DATE(2017,1,11)</f>
        <v>42746</v>
      </c>
      <c r="E1142" s="8">
        <f t="shared" si="17"/>
        <v>2017</v>
      </c>
      <c r="F1142" t="s">
        <v>348</v>
      </c>
      <c r="G1142" s="9">
        <v>9968.0300000000007</v>
      </c>
      <c r="H1142" s="8">
        <v>24042</v>
      </c>
    </row>
    <row r="1143" spans="2:8" ht="17.5" customHeight="1" x14ac:dyDescent="0.4">
      <c r="B1143" t="s">
        <v>7</v>
      </c>
      <c r="C1143" t="s">
        <v>341</v>
      </c>
      <c r="D1143" s="7">
        <f>DATE(2017,2,28)</f>
        <v>42794</v>
      </c>
      <c r="E1143" s="8">
        <f t="shared" si="17"/>
        <v>2017</v>
      </c>
      <c r="F1143" t="s">
        <v>348</v>
      </c>
      <c r="G1143" s="9">
        <v>32504.25</v>
      </c>
      <c r="H1143" s="8">
        <v>24167</v>
      </c>
    </row>
    <row r="1144" spans="2:8" ht="17.5" customHeight="1" x14ac:dyDescent="0.4">
      <c r="B1144" t="s">
        <v>7</v>
      </c>
      <c r="C1144" t="s">
        <v>341</v>
      </c>
      <c r="D1144" s="7">
        <f>DATE(2017,3,27)</f>
        <v>42821</v>
      </c>
      <c r="E1144" s="8">
        <f t="shared" si="17"/>
        <v>2017</v>
      </c>
      <c r="F1144" t="s">
        <v>348</v>
      </c>
      <c r="G1144" s="9">
        <v>221407.79</v>
      </c>
      <c r="H1144" s="8">
        <v>24006</v>
      </c>
    </row>
    <row r="1145" spans="2:8" ht="17.5" customHeight="1" x14ac:dyDescent="0.4">
      <c r="B1145" s="3" t="s">
        <v>7</v>
      </c>
      <c r="C1145" s="3" t="s">
        <v>349</v>
      </c>
      <c r="D1145" s="4">
        <f>DATE(2009,4,30)</f>
        <v>39933</v>
      </c>
      <c r="E1145" s="5">
        <f t="shared" si="17"/>
        <v>2009</v>
      </c>
      <c r="F1145" s="3" t="s">
        <v>350</v>
      </c>
      <c r="G1145" s="6">
        <v>2895.4</v>
      </c>
      <c r="H1145" s="5">
        <v>3395</v>
      </c>
    </row>
    <row r="1146" spans="2:8" ht="17.5" customHeight="1" x14ac:dyDescent="0.4">
      <c r="B1146" t="s">
        <v>7</v>
      </c>
      <c r="C1146" t="s">
        <v>351</v>
      </c>
      <c r="D1146" s="7">
        <f>DATE(2017,10,23)</f>
        <v>43031</v>
      </c>
      <c r="E1146" s="8">
        <f t="shared" si="17"/>
        <v>2017</v>
      </c>
      <c r="F1146" t="s">
        <v>352</v>
      </c>
      <c r="G1146" s="9">
        <v>12530</v>
      </c>
      <c r="H1146" s="8">
        <v>25436</v>
      </c>
    </row>
    <row r="1147" spans="2:8" ht="17.5" customHeight="1" x14ac:dyDescent="0.4">
      <c r="B1147" t="s">
        <v>7</v>
      </c>
      <c r="C1147" t="s">
        <v>351</v>
      </c>
      <c r="D1147" s="7">
        <f>DATE(2012,11,9)</f>
        <v>41222</v>
      </c>
      <c r="E1147" s="8">
        <f t="shared" si="17"/>
        <v>2012</v>
      </c>
      <c r="F1147" t="s">
        <v>352</v>
      </c>
      <c r="G1147" s="9">
        <v>24020.03</v>
      </c>
      <c r="H1147" s="8">
        <v>11832</v>
      </c>
    </row>
    <row r="1148" spans="2:8" ht="17.5" customHeight="1" x14ac:dyDescent="0.4">
      <c r="B1148" t="s">
        <v>7</v>
      </c>
      <c r="C1148" t="s">
        <v>351</v>
      </c>
      <c r="D1148" s="7">
        <f>DATE(2013,1,7)</f>
        <v>41281</v>
      </c>
      <c r="E1148" s="8">
        <f t="shared" si="17"/>
        <v>2013</v>
      </c>
      <c r="F1148" t="s">
        <v>352</v>
      </c>
      <c r="G1148" s="9">
        <v>10611.63</v>
      </c>
      <c r="H1148" s="8">
        <v>12059</v>
      </c>
    </row>
    <row r="1149" spans="2:8" ht="17.5" customHeight="1" x14ac:dyDescent="0.4">
      <c r="B1149" t="s">
        <v>7</v>
      </c>
      <c r="C1149" t="s">
        <v>353</v>
      </c>
      <c r="D1149" s="7">
        <f>DATE(2015,10,12)</f>
        <v>42289</v>
      </c>
      <c r="E1149" s="8">
        <f t="shared" si="17"/>
        <v>2015</v>
      </c>
      <c r="F1149" t="s">
        <v>354</v>
      </c>
      <c r="G1149" s="9">
        <v>24557</v>
      </c>
      <c r="H1149" s="8">
        <v>21284</v>
      </c>
    </row>
    <row r="1150" spans="2:8" ht="17.5" customHeight="1" x14ac:dyDescent="0.4">
      <c r="B1150" t="s">
        <v>7</v>
      </c>
      <c r="C1150" t="s">
        <v>353</v>
      </c>
      <c r="D1150" s="7">
        <f>DATE(2015,4,6)</f>
        <v>42100</v>
      </c>
      <c r="E1150" s="8">
        <f t="shared" si="17"/>
        <v>2015</v>
      </c>
      <c r="F1150" t="s">
        <v>354</v>
      </c>
      <c r="G1150" s="9">
        <v>7595.02</v>
      </c>
      <c r="H1150" s="8">
        <v>20265</v>
      </c>
    </row>
    <row r="1151" spans="2:8" ht="17.5" customHeight="1" x14ac:dyDescent="0.4">
      <c r="B1151" t="s">
        <v>7</v>
      </c>
      <c r="C1151" t="s">
        <v>353</v>
      </c>
      <c r="D1151" s="7">
        <f>DATE(2015,10,12)</f>
        <v>42289</v>
      </c>
      <c r="E1151" s="8">
        <f t="shared" si="17"/>
        <v>2015</v>
      </c>
      <c r="F1151" t="s">
        <v>354</v>
      </c>
      <c r="G1151" s="9">
        <v>2505.5500000000002</v>
      </c>
      <c r="H1151" s="8">
        <v>21374</v>
      </c>
    </row>
    <row r="1152" spans="2:8" ht="17.5" customHeight="1" x14ac:dyDescent="0.4">
      <c r="B1152" t="s">
        <v>7</v>
      </c>
      <c r="C1152" t="s">
        <v>353</v>
      </c>
      <c r="D1152" s="7">
        <f>DATE(2011,11,22)</f>
        <v>40869</v>
      </c>
      <c r="E1152" s="8">
        <f t="shared" si="17"/>
        <v>2011</v>
      </c>
      <c r="F1152" t="s">
        <v>355</v>
      </c>
      <c r="G1152" s="9">
        <v>5507.78</v>
      </c>
      <c r="H1152" s="8">
        <v>11145</v>
      </c>
    </row>
    <row r="1153" spans="2:8" ht="17.5" customHeight="1" x14ac:dyDescent="0.4">
      <c r="B1153" t="s">
        <v>7</v>
      </c>
      <c r="C1153" t="s">
        <v>353</v>
      </c>
      <c r="D1153" s="7">
        <f>DATE(2012,4,24)</f>
        <v>41023</v>
      </c>
      <c r="E1153" s="8">
        <f t="shared" si="17"/>
        <v>2012</v>
      </c>
      <c r="F1153" t="s">
        <v>355</v>
      </c>
      <c r="G1153" s="9">
        <v>18500</v>
      </c>
      <c r="H1153" s="8">
        <v>11561</v>
      </c>
    </row>
    <row r="1154" spans="2:8" ht="17.5" customHeight="1" x14ac:dyDescent="0.4">
      <c r="B1154" t="s">
        <v>7</v>
      </c>
      <c r="C1154" t="s">
        <v>353</v>
      </c>
      <c r="D1154" s="7">
        <f>DATE(2012,5,1)</f>
        <v>41030</v>
      </c>
      <c r="E1154" s="8">
        <f t="shared" si="17"/>
        <v>2012</v>
      </c>
      <c r="F1154" t="s">
        <v>355</v>
      </c>
      <c r="G1154" s="9">
        <v>18795.55</v>
      </c>
      <c r="H1154" s="8">
        <v>11562</v>
      </c>
    </row>
    <row r="1155" spans="2:8" ht="17.5" customHeight="1" x14ac:dyDescent="0.4">
      <c r="B1155" t="s">
        <v>7</v>
      </c>
      <c r="C1155" t="s">
        <v>353</v>
      </c>
      <c r="D1155" s="7">
        <f>DATE(2012,5,15)</f>
        <v>41044</v>
      </c>
      <c r="E1155" s="8">
        <f t="shared" ref="E1155:E1218" si="20">YEAR(D1155)</f>
        <v>2012</v>
      </c>
      <c r="F1155" t="s">
        <v>355</v>
      </c>
      <c r="G1155" s="9">
        <v>18500</v>
      </c>
      <c r="H1155" s="8">
        <v>11560</v>
      </c>
    </row>
    <row r="1156" spans="2:8" ht="17.5" customHeight="1" x14ac:dyDescent="0.4">
      <c r="B1156" t="s">
        <v>7</v>
      </c>
      <c r="C1156" t="s">
        <v>356</v>
      </c>
      <c r="D1156" s="7">
        <f>DATE(2006,10,18)</f>
        <v>39008</v>
      </c>
      <c r="E1156" s="8">
        <f t="shared" si="20"/>
        <v>2006</v>
      </c>
      <c r="F1156" t="s">
        <v>357</v>
      </c>
      <c r="G1156" s="9">
        <v>2700</v>
      </c>
      <c r="H1156" s="8">
        <v>5033</v>
      </c>
    </row>
    <row r="1157" spans="2:8" ht="17.5" customHeight="1" x14ac:dyDescent="0.4">
      <c r="B1157" s="3" t="s">
        <v>7</v>
      </c>
      <c r="C1157" s="3" t="s">
        <v>358</v>
      </c>
      <c r="D1157" s="4">
        <f>DATE(2007,1,25)</f>
        <v>39107</v>
      </c>
      <c r="E1157" s="5">
        <f t="shared" si="20"/>
        <v>2007</v>
      </c>
      <c r="F1157" s="3" t="s">
        <v>359</v>
      </c>
      <c r="G1157" s="6">
        <v>56.76</v>
      </c>
      <c r="H1157" s="5">
        <v>7818</v>
      </c>
    </row>
    <row r="1158" spans="2:8" ht="17.5" customHeight="1" x14ac:dyDescent="0.4">
      <c r="B1158" t="s">
        <v>7</v>
      </c>
      <c r="C1158" t="s">
        <v>360</v>
      </c>
      <c r="D1158" s="7">
        <f>DATE(2005,10,31)</f>
        <v>38656</v>
      </c>
      <c r="E1158" s="8">
        <f t="shared" si="20"/>
        <v>2005</v>
      </c>
      <c r="F1158" t="s">
        <v>361</v>
      </c>
      <c r="G1158" s="9">
        <v>34710.5</v>
      </c>
      <c r="H1158" s="8">
        <v>3712</v>
      </c>
    </row>
    <row r="1159" spans="2:8" ht="17.5" customHeight="1" x14ac:dyDescent="0.4">
      <c r="B1159" t="s">
        <v>7</v>
      </c>
      <c r="C1159" t="s">
        <v>360</v>
      </c>
      <c r="D1159" s="7">
        <f>DATE(2006,3,25)</f>
        <v>38801</v>
      </c>
      <c r="E1159" s="8">
        <f t="shared" si="20"/>
        <v>2006</v>
      </c>
      <c r="F1159" t="s">
        <v>361</v>
      </c>
      <c r="G1159" s="9">
        <v>31440</v>
      </c>
      <c r="H1159" s="8">
        <v>4198</v>
      </c>
    </row>
    <row r="1160" spans="2:8" ht="17.5" customHeight="1" x14ac:dyDescent="0.4">
      <c r="B1160" t="s">
        <v>7</v>
      </c>
      <c r="C1160" t="s">
        <v>360</v>
      </c>
      <c r="D1160" s="7">
        <f>DATE(2007,3,2)</f>
        <v>39143</v>
      </c>
      <c r="E1160" s="8">
        <f t="shared" si="20"/>
        <v>2007</v>
      </c>
      <c r="F1160" t="s">
        <v>361</v>
      </c>
      <c r="G1160" s="9">
        <v>5586.18</v>
      </c>
      <c r="H1160" s="8">
        <v>5644</v>
      </c>
    </row>
    <row r="1161" spans="2:8" ht="17.5" customHeight="1" x14ac:dyDescent="0.4">
      <c r="B1161" t="s">
        <v>7</v>
      </c>
      <c r="C1161" t="s">
        <v>360</v>
      </c>
      <c r="D1161" s="7">
        <f>DATE(2008,2,1)</f>
        <v>39479</v>
      </c>
      <c r="E1161" s="8">
        <f t="shared" si="20"/>
        <v>2008</v>
      </c>
      <c r="F1161" t="s">
        <v>361</v>
      </c>
      <c r="G1161" s="9">
        <v>29333</v>
      </c>
      <c r="H1161" s="8">
        <v>6865</v>
      </c>
    </row>
    <row r="1162" spans="2:8" ht="17.5" customHeight="1" x14ac:dyDescent="0.4">
      <c r="B1162" t="s">
        <v>7</v>
      </c>
      <c r="C1162" t="s">
        <v>360</v>
      </c>
      <c r="D1162" s="7">
        <f>DATE(2008,3,30)</f>
        <v>39537</v>
      </c>
      <c r="E1162" s="8">
        <f t="shared" si="20"/>
        <v>2008</v>
      </c>
      <c r="F1162" t="s">
        <v>361</v>
      </c>
      <c r="G1162" s="9">
        <v>32120</v>
      </c>
      <c r="H1162" s="8">
        <v>7140</v>
      </c>
    </row>
    <row r="1163" spans="2:8" ht="17.5" customHeight="1" x14ac:dyDescent="0.4">
      <c r="B1163" t="s">
        <v>7</v>
      </c>
      <c r="C1163" t="s">
        <v>360</v>
      </c>
      <c r="D1163" s="7">
        <f>DATE(2012,7,23)</f>
        <v>41113</v>
      </c>
      <c r="E1163" s="8">
        <f t="shared" si="20"/>
        <v>2012</v>
      </c>
      <c r="F1163" t="s">
        <v>361</v>
      </c>
      <c r="G1163" s="9">
        <v>34570</v>
      </c>
      <c r="H1163" s="8">
        <v>11745</v>
      </c>
    </row>
    <row r="1164" spans="2:8" ht="17.5" customHeight="1" x14ac:dyDescent="0.4">
      <c r="B1164" t="s">
        <v>7</v>
      </c>
      <c r="C1164" t="s">
        <v>360</v>
      </c>
      <c r="D1164" s="7">
        <f>DATE(2013,7,11)</f>
        <v>41466</v>
      </c>
      <c r="E1164" s="8">
        <f t="shared" si="20"/>
        <v>2013</v>
      </c>
      <c r="F1164" t="s">
        <v>361</v>
      </c>
      <c r="G1164" s="9">
        <v>48950</v>
      </c>
      <c r="H1164" s="8">
        <v>12094</v>
      </c>
    </row>
    <row r="1165" spans="2:8" ht="17.5" customHeight="1" x14ac:dyDescent="0.4">
      <c r="B1165" t="s">
        <v>7</v>
      </c>
      <c r="C1165" t="s">
        <v>360</v>
      </c>
      <c r="D1165" s="7">
        <f>DATE(2003,2,4)</f>
        <v>37656</v>
      </c>
      <c r="E1165" s="8">
        <f t="shared" si="20"/>
        <v>2003</v>
      </c>
      <c r="F1165" t="s">
        <v>362</v>
      </c>
      <c r="G1165" s="9">
        <v>24002.080000000002</v>
      </c>
      <c r="H1165" s="8">
        <v>93</v>
      </c>
    </row>
    <row r="1166" spans="2:8" ht="17.5" customHeight="1" x14ac:dyDescent="0.4">
      <c r="B1166" t="s">
        <v>7</v>
      </c>
      <c r="C1166" t="s">
        <v>363</v>
      </c>
      <c r="D1166" s="7">
        <f>DATE(2003,1,29)</f>
        <v>37650</v>
      </c>
      <c r="E1166" s="8">
        <f t="shared" si="20"/>
        <v>2003</v>
      </c>
      <c r="F1166" t="s">
        <v>364</v>
      </c>
      <c r="G1166" s="9">
        <v>3773.39</v>
      </c>
      <c r="H1166" s="8">
        <v>97</v>
      </c>
    </row>
    <row r="1167" spans="2:8" ht="17.5" customHeight="1" x14ac:dyDescent="0.4">
      <c r="B1167" t="s">
        <v>7</v>
      </c>
      <c r="C1167" t="s">
        <v>363</v>
      </c>
      <c r="D1167" s="7">
        <f>DATE(2018,4,19)</f>
        <v>43209</v>
      </c>
      <c r="E1167" s="8">
        <f t="shared" si="20"/>
        <v>2018</v>
      </c>
      <c r="F1167" t="s">
        <v>365</v>
      </c>
      <c r="G1167" s="9">
        <v>17933.5</v>
      </c>
      <c r="H1167" s="8">
        <v>26639</v>
      </c>
    </row>
    <row r="1168" spans="2:8" ht="17.5" customHeight="1" x14ac:dyDescent="0.4">
      <c r="B1168" t="s">
        <v>7</v>
      </c>
      <c r="C1168" t="s">
        <v>363</v>
      </c>
      <c r="D1168" s="7">
        <f>DATE(2015,5,1)</f>
        <v>42125</v>
      </c>
      <c r="E1168" s="8">
        <f t="shared" si="20"/>
        <v>2015</v>
      </c>
      <c r="F1168" t="s">
        <v>365</v>
      </c>
      <c r="G1168" s="9">
        <v>3262</v>
      </c>
      <c r="H1168" s="8">
        <v>20078</v>
      </c>
    </row>
    <row r="1169" spans="2:8" ht="17.5" customHeight="1" x14ac:dyDescent="0.4">
      <c r="B1169" t="s">
        <v>7</v>
      </c>
      <c r="C1169" t="s">
        <v>363</v>
      </c>
      <c r="D1169" s="7">
        <f>DATE(2015,5,12)</f>
        <v>42136</v>
      </c>
      <c r="E1169" s="8">
        <f t="shared" si="20"/>
        <v>2015</v>
      </c>
      <c r="F1169" t="s">
        <v>365</v>
      </c>
      <c r="G1169" s="9">
        <v>215.96</v>
      </c>
      <c r="H1169" s="8">
        <v>20533</v>
      </c>
    </row>
    <row r="1170" spans="2:8" ht="17.5" customHeight="1" x14ac:dyDescent="0.4">
      <c r="B1170" t="s">
        <v>7</v>
      </c>
      <c r="C1170" t="s">
        <v>363</v>
      </c>
      <c r="D1170" s="7">
        <f>DATE(2015,11,9)</f>
        <v>42317</v>
      </c>
      <c r="E1170" s="8">
        <f t="shared" si="20"/>
        <v>2015</v>
      </c>
      <c r="F1170" t="s">
        <v>365</v>
      </c>
      <c r="G1170" s="9">
        <v>3683.25</v>
      </c>
      <c r="H1170" s="8">
        <v>21474</v>
      </c>
    </row>
    <row r="1171" spans="2:8" ht="17.5" customHeight="1" x14ac:dyDescent="0.4">
      <c r="B1171" t="s">
        <v>7</v>
      </c>
      <c r="C1171" t="s">
        <v>363</v>
      </c>
      <c r="D1171" s="7">
        <f>DATE(2009,12,4)</f>
        <v>40151</v>
      </c>
      <c r="E1171" s="8">
        <f t="shared" si="20"/>
        <v>2009</v>
      </c>
      <c r="F1171" t="s">
        <v>365</v>
      </c>
      <c r="G1171" s="9">
        <v>31088.84</v>
      </c>
      <c r="H1171" s="8">
        <v>9229</v>
      </c>
    </row>
    <row r="1172" spans="2:8" ht="17.5" customHeight="1" x14ac:dyDescent="0.4">
      <c r="B1172" t="s">
        <v>7</v>
      </c>
      <c r="C1172" t="s">
        <v>363</v>
      </c>
      <c r="D1172" s="7">
        <f>DATE(2009,12,4)</f>
        <v>40151</v>
      </c>
      <c r="E1172" s="8">
        <f t="shared" si="20"/>
        <v>2009</v>
      </c>
      <c r="F1172" t="s">
        <v>365</v>
      </c>
      <c r="G1172" s="9">
        <v>21167</v>
      </c>
      <c r="H1172" s="8">
        <v>9061</v>
      </c>
    </row>
    <row r="1173" spans="2:8" ht="17.5" customHeight="1" x14ac:dyDescent="0.4">
      <c r="B1173" t="s">
        <v>7</v>
      </c>
      <c r="C1173" t="s">
        <v>363</v>
      </c>
      <c r="D1173" s="7">
        <f>DATE(2010,11,17)</f>
        <v>40499</v>
      </c>
      <c r="E1173" s="8">
        <f t="shared" si="20"/>
        <v>2010</v>
      </c>
      <c r="F1173" t="s">
        <v>365</v>
      </c>
      <c r="G1173" s="9">
        <v>15700</v>
      </c>
      <c r="H1173" s="8">
        <v>10163</v>
      </c>
    </row>
    <row r="1174" spans="2:8" ht="17.5" customHeight="1" x14ac:dyDescent="0.4">
      <c r="B1174" t="s">
        <v>7</v>
      </c>
      <c r="C1174" t="s">
        <v>363</v>
      </c>
      <c r="D1174" s="7">
        <f>DATE(2010,11,17)</f>
        <v>40499</v>
      </c>
      <c r="E1174" s="8">
        <f t="shared" si="20"/>
        <v>2010</v>
      </c>
      <c r="F1174" t="s">
        <v>365</v>
      </c>
      <c r="G1174" s="9">
        <v>24314.45</v>
      </c>
      <c r="H1174" s="8">
        <v>10163</v>
      </c>
    </row>
    <row r="1175" spans="2:8" ht="17.5" customHeight="1" x14ac:dyDescent="0.4">
      <c r="B1175" t="s">
        <v>7</v>
      </c>
      <c r="C1175" t="s">
        <v>363</v>
      </c>
      <c r="D1175" s="7">
        <f>DATE(2012,11,8)</f>
        <v>41221</v>
      </c>
      <c r="E1175" s="8">
        <f t="shared" si="20"/>
        <v>2012</v>
      </c>
      <c r="F1175" t="s">
        <v>365</v>
      </c>
      <c r="G1175" s="9">
        <v>19110.5</v>
      </c>
      <c r="H1175" s="8">
        <v>11965</v>
      </c>
    </row>
    <row r="1176" spans="2:8" ht="17.5" customHeight="1" x14ac:dyDescent="0.4">
      <c r="B1176" s="3" t="s">
        <v>7</v>
      </c>
      <c r="C1176" s="3" t="s">
        <v>363</v>
      </c>
      <c r="D1176" s="4">
        <f>DATE(2008,9,30)</f>
        <v>39721</v>
      </c>
      <c r="E1176" s="5">
        <f t="shared" si="20"/>
        <v>2008</v>
      </c>
      <c r="F1176" s="3" t="s">
        <v>365</v>
      </c>
      <c r="G1176" s="6">
        <v>828.53</v>
      </c>
      <c r="H1176" s="5">
        <v>11339</v>
      </c>
    </row>
    <row r="1177" spans="2:8" ht="17.5" customHeight="1" x14ac:dyDescent="0.4">
      <c r="B1177" s="3" t="s">
        <v>7</v>
      </c>
      <c r="C1177" s="3" t="s">
        <v>363</v>
      </c>
      <c r="D1177" s="4">
        <f>DATE(2009,5,11)</f>
        <v>39944</v>
      </c>
      <c r="E1177" s="5">
        <f t="shared" si="20"/>
        <v>2009</v>
      </c>
      <c r="F1177" s="3" t="s">
        <v>365</v>
      </c>
      <c r="G1177" s="6">
        <v>943.75</v>
      </c>
      <c r="H1177" s="5">
        <v>12501</v>
      </c>
    </row>
    <row r="1178" spans="2:8" ht="17.5" customHeight="1" x14ac:dyDescent="0.4">
      <c r="B1178" s="3" t="s">
        <v>7</v>
      </c>
      <c r="C1178" s="3" t="s">
        <v>363</v>
      </c>
      <c r="D1178" s="4">
        <f>DATE(2014,3,21)</f>
        <v>41719</v>
      </c>
      <c r="E1178" s="5">
        <f t="shared" si="20"/>
        <v>2014</v>
      </c>
      <c r="F1178" s="3" t="s">
        <v>365</v>
      </c>
      <c r="G1178" s="6">
        <v>3853.81</v>
      </c>
      <c r="H1178" s="5">
        <v>19650</v>
      </c>
    </row>
    <row r="1179" spans="2:8" ht="17.5" customHeight="1" x14ac:dyDescent="0.4">
      <c r="B1179" s="3" t="s">
        <v>7</v>
      </c>
      <c r="C1179" s="3" t="s">
        <v>363</v>
      </c>
      <c r="D1179" s="4">
        <f>DATE(2008,3,7)</f>
        <v>39514</v>
      </c>
      <c r="E1179" s="5">
        <f t="shared" si="20"/>
        <v>2008</v>
      </c>
      <c r="F1179" s="3" t="s">
        <v>366</v>
      </c>
      <c r="G1179" s="6">
        <v>965.75</v>
      </c>
      <c r="H1179" s="5">
        <v>10133</v>
      </c>
    </row>
    <row r="1180" spans="2:8" ht="17.5" customHeight="1" x14ac:dyDescent="0.4">
      <c r="B1180" t="s">
        <v>7</v>
      </c>
      <c r="C1180" t="s">
        <v>367</v>
      </c>
      <c r="D1180" s="7">
        <f>DATE(2016,1,20)</f>
        <v>42389</v>
      </c>
      <c r="E1180" s="8">
        <f t="shared" si="20"/>
        <v>2016</v>
      </c>
      <c r="F1180" t="s">
        <v>368</v>
      </c>
      <c r="G1180" s="9">
        <v>15615</v>
      </c>
      <c r="H1180" s="8">
        <v>21916</v>
      </c>
    </row>
    <row r="1181" spans="2:8" ht="17.5" customHeight="1" x14ac:dyDescent="0.4">
      <c r="B1181" t="s">
        <v>7</v>
      </c>
      <c r="C1181" t="s">
        <v>367</v>
      </c>
      <c r="D1181" s="7">
        <f>DATE(2017,3,20)</f>
        <v>42814</v>
      </c>
      <c r="E1181" s="8">
        <f t="shared" si="20"/>
        <v>2017</v>
      </c>
      <c r="F1181" t="s">
        <v>368</v>
      </c>
      <c r="G1181" s="9">
        <v>16228</v>
      </c>
      <c r="H1181" s="8">
        <v>24389</v>
      </c>
    </row>
    <row r="1182" spans="2:8" ht="17.5" customHeight="1" x14ac:dyDescent="0.4">
      <c r="B1182" t="s">
        <v>7</v>
      </c>
      <c r="C1182" t="s">
        <v>367</v>
      </c>
      <c r="D1182" s="7">
        <f>DATE(2018,3,13)</f>
        <v>43172</v>
      </c>
      <c r="E1182" s="8">
        <f t="shared" si="20"/>
        <v>2018</v>
      </c>
      <c r="F1182" t="s">
        <v>368</v>
      </c>
      <c r="G1182" s="9">
        <v>16802.150000000001</v>
      </c>
      <c r="H1182" s="8">
        <v>26453</v>
      </c>
    </row>
    <row r="1183" spans="2:8" ht="17.5" customHeight="1" x14ac:dyDescent="0.4">
      <c r="B1183" t="s">
        <v>7</v>
      </c>
      <c r="C1183" t="s">
        <v>367</v>
      </c>
      <c r="D1183" s="7">
        <f>DATE(2019,2,20)</f>
        <v>43516</v>
      </c>
      <c r="E1183" s="8">
        <f t="shared" si="20"/>
        <v>2019</v>
      </c>
      <c r="F1183" t="s">
        <v>368</v>
      </c>
      <c r="G1183" s="9">
        <v>16221</v>
      </c>
      <c r="H1183" s="8">
        <v>28411</v>
      </c>
    </row>
    <row r="1184" spans="2:8" ht="17.5" customHeight="1" x14ac:dyDescent="0.4">
      <c r="B1184" t="s">
        <v>7</v>
      </c>
      <c r="C1184" t="s">
        <v>367</v>
      </c>
      <c r="D1184" s="7">
        <f>DATE(2016,1,20)</f>
        <v>42389</v>
      </c>
      <c r="E1184" s="8">
        <f t="shared" si="20"/>
        <v>2016</v>
      </c>
      <c r="F1184" t="s">
        <v>368</v>
      </c>
      <c r="G1184" s="9">
        <v>9100</v>
      </c>
      <c r="H1184" s="8">
        <v>21955</v>
      </c>
    </row>
    <row r="1185" spans="2:8" ht="17.5" customHeight="1" x14ac:dyDescent="0.4">
      <c r="B1185" t="s">
        <v>7</v>
      </c>
      <c r="C1185" t="s">
        <v>367</v>
      </c>
      <c r="D1185" s="7">
        <f>DATE(2018,10,1)</f>
        <v>43374</v>
      </c>
      <c r="E1185" s="8">
        <f t="shared" si="20"/>
        <v>2018</v>
      </c>
      <c r="F1185" t="s">
        <v>368</v>
      </c>
      <c r="G1185" s="9">
        <v>16885</v>
      </c>
      <c r="H1185" s="8">
        <v>27719</v>
      </c>
    </row>
    <row r="1186" spans="2:8" ht="17.5" customHeight="1" x14ac:dyDescent="0.4">
      <c r="B1186" t="s">
        <v>7</v>
      </c>
      <c r="C1186" t="s">
        <v>367</v>
      </c>
      <c r="D1186" s="7">
        <f>DATE(2015,3,19)</f>
        <v>42082</v>
      </c>
      <c r="E1186" s="8">
        <f t="shared" si="20"/>
        <v>2015</v>
      </c>
      <c r="F1186" t="s">
        <v>368</v>
      </c>
      <c r="G1186" s="9">
        <v>453</v>
      </c>
      <c r="H1186" s="8">
        <v>20158</v>
      </c>
    </row>
    <row r="1187" spans="2:8" ht="17.5" customHeight="1" x14ac:dyDescent="0.4">
      <c r="B1187" t="s">
        <v>7</v>
      </c>
      <c r="C1187" t="s">
        <v>367</v>
      </c>
      <c r="D1187" s="7">
        <f>DATE(2016,1,21)</f>
        <v>42390</v>
      </c>
      <c r="E1187" s="8">
        <f t="shared" si="20"/>
        <v>2016</v>
      </c>
      <c r="F1187" t="s">
        <v>368</v>
      </c>
      <c r="G1187" s="9">
        <v>318.41000000000003</v>
      </c>
      <c r="H1187" s="8">
        <v>22009</v>
      </c>
    </row>
    <row r="1188" spans="2:8" ht="17.5" customHeight="1" x14ac:dyDescent="0.4">
      <c r="B1188" t="s">
        <v>7</v>
      </c>
      <c r="C1188" t="s">
        <v>367</v>
      </c>
      <c r="D1188" s="7">
        <f>DATE(2015,3,27)</f>
        <v>42090</v>
      </c>
      <c r="E1188" s="8">
        <f t="shared" si="20"/>
        <v>2015</v>
      </c>
      <c r="F1188" t="s">
        <v>368</v>
      </c>
      <c r="G1188" s="9">
        <v>9335.31</v>
      </c>
      <c r="H1188" s="8">
        <v>20169</v>
      </c>
    </row>
    <row r="1189" spans="2:8" ht="17.5" customHeight="1" x14ac:dyDescent="0.4">
      <c r="B1189" t="s">
        <v>7</v>
      </c>
      <c r="C1189" t="s">
        <v>367</v>
      </c>
      <c r="D1189" s="7">
        <f>DATE(2015,4,9)</f>
        <v>42103</v>
      </c>
      <c r="E1189" s="8">
        <f t="shared" si="20"/>
        <v>2015</v>
      </c>
      <c r="F1189" t="s">
        <v>368</v>
      </c>
      <c r="G1189" s="9">
        <v>5905.68</v>
      </c>
      <c r="H1189" s="8">
        <v>20287</v>
      </c>
    </row>
    <row r="1190" spans="2:8" ht="17.5" customHeight="1" x14ac:dyDescent="0.4">
      <c r="B1190" t="s">
        <v>7</v>
      </c>
      <c r="C1190" t="s">
        <v>367</v>
      </c>
      <c r="D1190" s="7">
        <f>DATE(2018,10,19)</f>
        <v>43392</v>
      </c>
      <c r="E1190" s="8">
        <f t="shared" si="20"/>
        <v>2018</v>
      </c>
      <c r="F1190" t="s">
        <v>368</v>
      </c>
      <c r="G1190" s="9">
        <v>6484.38</v>
      </c>
      <c r="H1190" s="8">
        <v>27811</v>
      </c>
    </row>
    <row r="1191" spans="2:8" ht="17.5" customHeight="1" x14ac:dyDescent="0.4">
      <c r="B1191" t="s">
        <v>7</v>
      </c>
      <c r="C1191" t="s">
        <v>367</v>
      </c>
      <c r="D1191" s="7">
        <f>DATE(2016,4,15)</f>
        <v>42475</v>
      </c>
      <c r="E1191" s="8">
        <f t="shared" si="20"/>
        <v>2016</v>
      </c>
      <c r="F1191" t="s">
        <v>368</v>
      </c>
      <c r="G1191" s="9">
        <v>4420.46</v>
      </c>
      <c r="H1191" s="8">
        <v>22643</v>
      </c>
    </row>
    <row r="1192" spans="2:8" ht="17.5" customHeight="1" x14ac:dyDescent="0.4">
      <c r="B1192" t="s">
        <v>7</v>
      </c>
      <c r="C1192" t="s">
        <v>367</v>
      </c>
      <c r="D1192" s="7">
        <f>DATE(2011,6,24)</f>
        <v>40718</v>
      </c>
      <c r="E1192" s="8">
        <f t="shared" si="20"/>
        <v>2011</v>
      </c>
      <c r="F1192" t="s">
        <v>368</v>
      </c>
      <c r="G1192" s="9">
        <v>2500</v>
      </c>
      <c r="H1192" s="8">
        <v>10693</v>
      </c>
    </row>
    <row r="1193" spans="2:8" ht="17.5" customHeight="1" x14ac:dyDescent="0.4">
      <c r="B1193" t="s">
        <v>7</v>
      </c>
      <c r="C1193" t="s">
        <v>367</v>
      </c>
      <c r="D1193" s="7">
        <f>DATE(2013,10,9)</f>
        <v>41556</v>
      </c>
      <c r="E1193" s="8">
        <f t="shared" si="20"/>
        <v>2013</v>
      </c>
      <c r="F1193" t="s">
        <v>368</v>
      </c>
      <c r="G1193" s="9">
        <v>4999</v>
      </c>
      <c r="H1193" s="8">
        <v>12583</v>
      </c>
    </row>
    <row r="1194" spans="2:8" ht="17.5" customHeight="1" x14ac:dyDescent="0.4">
      <c r="B1194" t="s">
        <v>7</v>
      </c>
      <c r="C1194" t="s">
        <v>367</v>
      </c>
      <c r="D1194" s="7">
        <f>DATE(2006,1,16)</f>
        <v>38733</v>
      </c>
      <c r="E1194" s="8">
        <f t="shared" si="20"/>
        <v>2006</v>
      </c>
      <c r="F1194" t="s">
        <v>368</v>
      </c>
      <c r="G1194" s="9">
        <v>5419.27</v>
      </c>
      <c r="H1194" s="8">
        <v>3944</v>
      </c>
    </row>
    <row r="1195" spans="2:8" ht="17.5" customHeight="1" x14ac:dyDescent="0.4">
      <c r="B1195" t="s">
        <v>7</v>
      </c>
      <c r="C1195" t="s">
        <v>367</v>
      </c>
      <c r="D1195" s="7">
        <f>DATE(2006,1,15)</f>
        <v>38732</v>
      </c>
      <c r="E1195" s="8">
        <f t="shared" si="20"/>
        <v>2006</v>
      </c>
      <c r="F1195" t="s">
        <v>368</v>
      </c>
      <c r="G1195" s="9">
        <v>11372</v>
      </c>
      <c r="H1195" s="8">
        <v>3938</v>
      </c>
    </row>
    <row r="1196" spans="2:8" ht="17.5" customHeight="1" x14ac:dyDescent="0.4">
      <c r="B1196" t="s">
        <v>7</v>
      </c>
      <c r="C1196" t="s">
        <v>367</v>
      </c>
      <c r="D1196" s="7">
        <f>DATE(2006,2,17)</f>
        <v>38765</v>
      </c>
      <c r="E1196" s="8">
        <f t="shared" si="20"/>
        <v>2006</v>
      </c>
      <c r="F1196" t="s">
        <v>368</v>
      </c>
      <c r="G1196" s="9">
        <v>4205.95</v>
      </c>
      <c r="H1196" s="8">
        <v>4140</v>
      </c>
    </row>
    <row r="1197" spans="2:8" ht="17.5" customHeight="1" x14ac:dyDescent="0.4">
      <c r="B1197" t="s">
        <v>7</v>
      </c>
      <c r="C1197" t="s">
        <v>367</v>
      </c>
      <c r="D1197" s="7">
        <f>DATE(2006,2,24)</f>
        <v>38772</v>
      </c>
      <c r="E1197" s="8">
        <f t="shared" si="20"/>
        <v>2006</v>
      </c>
      <c r="F1197" t="s">
        <v>368</v>
      </c>
      <c r="G1197" s="9">
        <v>1280</v>
      </c>
      <c r="H1197" s="8">
        <v>4425</v>
      </c>
    </row>
    <row r="1198" spans="2:8" ht="17.5" customHeight="1" x14ac:dyDescent="0.4">
      <c r="B1198" t="s">
        <v>7</v>
      </c>
      <c r="C1198" t="s">
        <v>367</v>
      </c>
      <c r="D1198" s="7">
        <f>DATE(2006,2,24)</f>
        <v>38772</v>
      </c>
      <c r="E1198" s="8">
        <f t="shared" si="20"/>
        <v>2006</v>
      </c>
      <c r="F1198" t="s">
        <v>368</v>
      </c>
      <c r="G1198" s="9">
        <v>1610</v>
      </c>
      <c r="H1198" s="8">
        <v>4210</v>
      </c>
    </row>
    <row r="1199" spans="2:8" ht="17.5" customHeight="1" x14ac:dyDescent="0.4">
      <c r="B1199" t="s">
        <v>7</v>
      </c>
      <c r="C1199" t="s">
        <v>367</v>
      </c>
      <c r="D1199" s="7">
        <f>DATE(2006,2,23)</f>
        <v>38771</v>
      </c>
      <c r="E1199" s="8">
        <f t="shared" si="20"/>
        <v>2006</v>
      </c>
      <c r="F1199" t="s">
        <v>368</v>
      </c>
      <c r="G1199" s="9">
        <v>1610</v>
      </c>
      <c r="H1199" s="8">
        <v>4424</v>
      </c>
    </row>
    <row r="1200" spans="2:8" ht="17.5" customHeight="1" x14ac:dyDescent="0.4">
      <c r="B1200" t="s">
        <v>7</v>
      </c>
      <c r="C1200" t="s">
        <v>367</v>
      </c>
      <c r="D1200" s="7">
        <f>DATE(2007,12,30)</f>
        <v>39446</v>
      </c>
      <c r="E1200" s="8">
        <f t="shared" si="20"/>
        <v>2007</v>
      </c>
      <c r="F1200" t="s">
        <v>368</v>
      </c>
      <c r="G1200" s="9">
        <v>9454.7800000000007</v>
      </c>
      <c r="H1200" s="8">
        <v>6728</v>
      </c>
    </row>
    <row r="1201" spans="2:8" ht="17.5" customHeight="1" x14ac:dyDescent="0.4">
      <c r="B1201" t="s">
        <v>7</v>
      </c>
      <c r="C1201" t="s">
        <v>367</v>
      </c>
      <c r="D1201" s="7">
        <f>DATE(2009,2,2)</f>
        <v>39846</v>
      </c>
      <c r="E1201" s="8">
        <f t="shared" si="20"/>
        <v>2009</v>
      </c>
      <c r="F1201" t="s">
        <v>368</v>
      </c>
      <c r="G1201" s="9">
        <v>11700</v>
      </c>
      <c r="H1201" s="8">
        <v>8268</v>
      </c>
    </row>
    <row r="1202" spans="2:8" ht="17.5" customHeight="1" x14ac:dyDescent="0.4">
      <c r="B1202" t="s">
        <v>7</v>
      </c>
      <c r="C1202" t="s">
        <v>367</v>
      </c>
      <c r="D1202" s="7">
        <f>DATE(2009,11,10)</f>
        <v>40127</v>
      </c>
      <c r="E1202" s="8">
        <f t="shared" si="20"/>
        <v>2009</v>
      </c>
      <c r="F1202" t="s">
        <v>368</v>
      </c>
      <c r="G1202" s="9">
        <v>13000</v>
      </c>
      <c r="H1202" s="8">
        <v>8265</v>
      </c>
    </row>
    <row r="1203" spans="2:8" ht="17.5" customHeight="1" x14ac:dyDescent="0.4">
      <c r="B1203" t="s">
        <v>7</v>
      </c>
      <c r="C1203" t="s">
        <v>367</v>
      </c>
      <c r="D1203" s="7">
        <f>DATE(2009,11,10)</f>
        <v>40127</v>
      </c>
      <c r="E1203" s="8">
        <f t="shared" si="20"/>
        <v>2009</v>
      </c>
      <c r="F1203" t="s">
        <v>368</v>
      </c>
      <c r="G1203" s="9">
        <v>56323.94</v>
      </c>
      <c r="H1203" s="8">
        <v>8234</v>
      </c>
    </row>
    <row r="1204" spans="2:8" ht="17.5" customHeight="1" x14ac:dyDescent="0.4">
      <c r="B1204" t="s">
        <v>7</v>
      </c>
      <c r="C1204" t="s">
        <v>367</v>
      </c>
      <c r="D1204" s="7">
        <f>DATE(2010,1,28)</f>
        <v>40206</v>
      </c>
      <c r="E1204" s="8">
        <f t="shared" si="20"/>
        <v>2010</v>
      </c>
      <c r="F1204" t="s">
        <v>368</v>
      </c>
      <c r="G1204" s="9">
        <v>9025.68</v>
      </c>
      <c r="H1204" s="8">
        <v>9402</v>
      </c>
    </row>
    <row r="1205" spans="2:8" ht="17.5" customHeight="1" x14ac:dyDescent="0.4">
      <c r="B1205" t="s">
        <v>7</v>
      </c>
      <c r="C1205" t="s">
        <v>367</v>
      </c>
      <c r="D1205" s="7">
        <f>DATE(2013,5,13)</f>
        <v>41407</v>
      </c>
      <c r="E1205" s="8">
        <f t="shared" si="20"/>
        <v>2013</v>
      </c>
      <c r="F1205" t="s">
        <v>368</v>
      </c>
      <c r="G1205" s="9">
        <v>11700</v>
      </c>
      <c r="H1205" s="8">
        <v>12399</v>
      </c>
    </row>
    <row r="1206" spans="2:8" ht="17.5" customHeight="1" x14ac:dyDescent="0.4">
      <c r="B1206" t="s">
        <v>7</v>
      </c>
      <c r="C1206" t="s">
        <v>367</v>
      </c>
      <c r="D1206" s="7">
        <f>DATE(2013,5,13)</f>
        <v>41407</v>
      </c>
      <c r="E1206" s="8">
        <f t="shared" si="20"/>
        <v>2013</v>
      </c>
      <c r="F1206" t="s">
        <v>368</v>
      </c>
      <c r="G1206" s="9">
        <v>2110.34</v>
      </c>
      <c r="H1206" s="8">
        <v>12414</v>
      </c>
    </row>
    <row r="1207" spans="2:8" ht="17.5" customHeight="1" x14ac:dyDescent="0.4">
      <c r="B1207" t="s">
        <v>7</v>
      </c>
      <c r="C1207" t="s">
        <v>367</v>
      </c>
      <c r="D1207" s="7">
        <f>DATE(2014,6,5)</f>
        <v>41795</v>
      </c>
      <c r="E1207" s="8">
        <f t="shared" si="20"/>
        <v>2014</v>
      </c>
      <c r="F1207" t="s">
        <v>368</v>
      </c>
      <c r="G1207" s="9">
        <v>12779</v>
      </c>
      <c r="H1207" s="8">
        <v>13221</v>
      </c>
    </row>
    <row r="1208" spans="2:8" ht="17.5" customHeight="1" x14ac:dyDescent="0.4">
      <c r="B1208" s="3" t="s">
        <v>7</v>
      </c>
      <c r="C1208" s="3" t="s">
        <v>367</v>
      </c>
      <c r="D1208" s="4">
        <f>DATE(2006,1,13)</f>
        <v>38730</v>
      </c>
      <c r="E1208" s="5">
        <f t="shared" si="20"/>
        <v>2006</v>
      </c>
      <c r="F1208" s="3" t="s">
        <v>368</v>
      </c>
      <c r="G1208" s="6">
        <v>5092.5600000000004</v>
      </c>
      <c r="H1208" s="5">
        <v>5840</v>
      </c>
    </row>
    <row r="1209" spans="2:8" ht="17.5" customHeight="1" x14ac:dyDescent="0.4">
      <c r="B1209" s="3" t="s">
        <v>7</v>
      </c>
      <c r="C1209" s="3" t="s">
        <v>367</v>
      </c>
      <c r="D1209" s="4">
        <f>DATE(2007,5,7)</f>
        <v>39209</v>
      </c>
      <c r="E1209" s="5">
        <f t="shared" si="20"/>
        <v>2007</v>
      </c>
      <c r="F1209" s="3" t="s">
        <v>368</v>
      </c>
      <c r="G1209" s="6">
        <v>4020</v>
      </c>
      <c r="H1209" s="5">
        <v>8528</v>
      </c>
    </row>
    <row r="1210" spans="2:8" ht="17.5" customHeight="1" x14ac:dyDescent="0.4">
      <c r="B1210" s="3" t="s">
        <v>7</v>
      </c>
      <c r="C1210" s="3" t="s">
        <v>367</v>
      </c>
      <c r="D1210" s="4">
        <f>DATE(2007,5,8)</f>
        <v>39210</v>
      </c>
      <c r="E1210" s="5">
        <f t="shared" si="20"/>
        <v>2007</v>
      </c>
      <c r="F1210" s="3" t="s">
        <v>368</v>
      </c>
      <c r="G1210" s="6">
        <v>4020</v>
      </c>
      <c r="H1210" s="5">
        <v>8527</v>
      </c>
    </row>
    <row r="1211" spans="2:8" ht="17.5" customHeight="1" x14ac:dyDescent="0.4">
      <c r="B1211" s="3" t="s">
        <v>7</v>
      </c>
      <c r="C1211" s="3" t="s">
        <v>367</v>
      </c>
      <c r="D1211" s="4">
        <f>DATE(2007,5,16)</f>
        <v>39218</v>
      </c>
      <c r="E1211" s="5">
        <f t="shared" si="20"/>
        <v>2007</v>
      </c>
      <c r="F1211" s="3" t="s">
        <v>368</v>
      </c>
      <c r="G1211" s="6">
        <v>1659.95</v>
      </c>
      <c r="H1211" s="5">
        <v>8590</v>
      </c>
    </row>
    <row r="1212" spans="2:8" ht="17.5" customHeight="1" x14ac:dyDescent="0.4">
      <c r="B1212" s="3" t="s">
        <v>7</v>
      </c>
      <c r="C1212" s="3" t="s">
        <v>367</v>
      </c>
      <c r="D1212" s="4">
        <f>DATE(2007,9,26)</f>
        <v>39351</v>
      </c>
      <c r="E1212" s="5">
        <f t="shared" si="20"/>
        <v>2007</v>
      </c>
      <c r="F1212" s="3" t="s">
        <v>368</v>
      </c>
      <c r="G1212" s="6">
        <v>7600</v>
      </c>
      <c r="H1212" s="5">
        <v>9239</v>
      </c>
    </row>
    <row r="1213" spans="2:8" ht="17.5" customHeight="1" x14ac:dyDescent="0.4">
      <c r="B1213" s="3" t="s">
        <v>7</v>
      </c>
      <c r="C1213" s="3" t="s">
        <v>367</v>
      </c>
      <c r="D1213" s="4">
        <f>DATE(2007,12,28)</f>
        <v>39444</v>
      </c>
      <c r="E1213" s="5">
        <f t="shared" si="20"/>
        <v>2007</v>
      </c>
      <c r="F1213" s="3" t="s">
        <v>368</v>
      </c>
      <c r="G1213" s="6">
        <v>563.11</v>
      </c>
      <c r="H1213" s="5">
        <v>9647</v>
      </c>
    </row>
    <row r="1214" spans="2:8" ht="17.5" customHeight="1" x14ac:dyDescent="0.4">
      <c r="B1214" s="3" t="s">
        <v>7</v>
      </c>
      <c r="C1214" s="3" t="s">
        <v>367</v>
      </c>
      <c r="D1214" s="4">
        <f>DATE(2009,2,4)</f>
        <v>39848</v>
      </c>
      <c r="E1214" s="5">
        <f t="shared" si="20"/>
        <v>2009</v>
      </c>
      <c r="F1214" s="3" t="s">
        <v>368</v>
      </c>
      <c r="G1214" s="6">
        <v>3500.75</v>
      </c>
      <c r="H1214" s="5">
        <v>11858</v>
      </c>
    </row>
    <row r="1215" spans="2:8" ht="17.5" customHeight="1" x14ac:dyDescent="0.4">
      <c r="B1215" s="3" t="s">
        <v>7</v>
      </c>
      <c r="C1215" s="3" t="s">
        <v>367</v>
      </c>
      <c r="D1215" s="4">
        <f>DATE(2009,3,5)</f>
        <v>39877</v>
      </c>
      <c r="E1215" s="5">
        <f t="shared" si="20"/>
        <v>2009</v>
      </c>
      <c r="F1215" s="3" t="s">
        <v>368</v>
      </c>
      <c r="G1215" s="6">
        <v>6700</v>
      </c>
      <c r="H1215" s="5">
        <v>11918</v>
      </c>
    </row>
    <row r="1216" spans="2:8" ht="17.5" customHeight="1" x14ac:dyDescent="0.4">
      <c r="B1216" s="3" t="s">
        <v>7</v>
      </c>
      <c r="C1216" s="3" t="s">
        <v>367</v>
      </c>
      <c r="D1216" s="4">
        <f>DATE(2009,11,10)</f>
        <v>40127</v>
      </c>
      <c r="E1216" s="5">
        <f t="shared" si="20"/>
        <v>2009</v>
      </c>
      <c r="F1216" s="3" t="s">
        <v>368</v>
      </c>
      <c r="G1216" s="6">
        <v>4690</v>
      </c>
      <c r="H1216" s="5">
        <v>13184</v>
      </c>
    </row>
    <row r="1217" spans="2:8" ht="17.5" customHeight="1" x14ac:dyDescent="0.4">
      <c r="B1217" s="3" t="s">
        <v>7</v>
      </c>
      <c r="C1217" s="3" t="s">
        <v>367</v>
      </c>
      <c r="D1217" s="4">
        <f>DATE(2009,11,10)</f>
        <v>40127</v>
      </c>
      <c r="E1217" s="5">
        <f t="shared" si="20"/>
        <v>2009</v>
      </c>
      <c r="F1217" s="3" t="s">
        <v>368</v>
      </c>
      <c r="G1217" s="6">
        <v>3350</v>
      </c>
      <c r="H1217" s="5">
        <v>13174</v>
      </c>
    </row>
    <row r="1218" spans="2:8" ht="17.5" customHeight="1" x14ac:dyDescent="0.4">
      <c r="B1218" s="3" t="s">
        <v>7</v>
      </c>
      <c r="C1218" s="3" t="s">
        <v>367</v>
      </c>
      <c r="D1218" s="4">
        <f>DATE(2010,5,12)</f>
        <v>40310</v>
      </c>
      <c r="E1218" s="5">
        <f t="shared" si="20"/>
        <v>2010</v>
      </c>
      <c r="F1218" s="3" t="s">
        <v>368</v>
      </c>
      <c r="G1218" s="6">
        <v>202.86</v>
      </c>
      <c r="H1218" s="5">
        <v>14025</v>
      </c>
    </row>
    <row r="1219" spans="2:8" ht="17.5" customHeight="1" x14ac:dyDescent="0.4">
      <c r="B1219" s="3" t="s">
        <v>7</v>
      </c>
      <c r="C1219" s="3" t="s">
        <v>367</v>
      </c>
      <c r="D1219" s="4">
        <f>DATE(2011,4,21)</f>
        <v>40654</v>
      </c>
      <c r="E1219" s="5">
        <f t="shared" ref="E1219:E1282" si="21">YEAR(D1219)</f>
        <v>2011</v>
      </c>
      <c r="F1219" s="3" t="s">
        <v>368</v>
      </c>
      <c r="G1219" s="6">
        <v>9622</v>
      </c>
      <c r="H1219" s="5">
        <v>15462</v>
      </c>
    </row>
    <row r="1220" spans="2:8" ht="17.5" customHeight="1" x14ac:dyDescent="0.4">
      <c r="B1220" s="3" t="s">
        <v>7</v>
      </c>
      <c r="C1220" s="3" t="s">
        <v>367</v>
      </c>
      <c r="D1220" s="4">
        <f>DATE(2012,3,19)</f>
        <v>40987</v>
      </c>
      <c r="E1220" s="5">
        <f t="shared" si="21"/>
        <v>2012</v>
      </c>
      <c r="F1220" s="3" t="s">
        <v>368</v>
      </c>
      <c r="G1220" s="6">
        <v>1854.9</v>
      </c>
      <c r="H1220" s="5">
        <v>16729</v>
      </c>
    </row>
    <row r="1221" spans="2:8" ht="17.5" customHeight="1" x14ac:dyDescent="0.4">
      <c r="B1221" s="3" t="s">
        <v>7</v>
      </c>
      <c r="C1221" s="3" t="s">
        <v>367</v>
      </c>
      <c r="D1221" s="4">
        <f>DATE(2012,3,21)</f>
        <v>40989</v>
      </c>
      <c r="E1221" s="5">
        <f t="shared" si="21"/>
        <v>2012</v>
      </c>
      <c r="F1221" s="3" t="s">
        <v>368</v>
      </c>
      <c r="G1221" s="6">
        <v>11875</v>
      </c>
      <c r="H1221" s="5">
        <v>16794</v>
      </c>
    </row>
    <row r="1222" spans="2:8" ht="17.5" customHeight="1" x14ac:dyDescent="0.4">
      <c r="B1222" s="3" t="s">
        <v>7</v>
      </c>
      <c r="C1222" s="3" t="s">
        <v>367</v>
      </c>
      <c r="D1222" s="4">
        <f>DATE(2012,4,19)</f>
        <v>41018</v>
      </c>
      <c r="E1222" s="5">
        <f t="shared" si="21"/>
        <v>2012</v>
      </c>
      <c r="F1222" s="3" t="s">
        <v>368</v>
      </c>
      <c r="G1222" s="6">
        <v>773.96</v>
      </c>
      <c r="H1222" s="5">
        <v>17011</v>
      </c>
    </row>
    <row r="1223" spans="2:8" ht="17.5" customHeight="1" x14ac:dyDescent="0.4">
      <c r="B1223" s="3" t="s">
        <v>7</v>
      </c>
      <c r="C1223" s="3" t="s">
        <v>367</v>
      </c>
      <c r="D1223" s="4">
        <f>DATE(2013,3,22)</f>
        <v>41355</v>
      </c>
      <c r="E1223" s="5">
        <f t="shared" si="21"/>
        <v>2013</v>
      </c>
      <c r="F1223" s="3" t="s">
        <v>368</v>
      </c>
      <c r="G1223" s="6">
        <v>11875</v>
      </c>
      <c r="H1223" s="5">
        <v>18343</v>
      </c>
    </row>
    <row r="1224" spans="2:8" ht="17.5" customHeight="1" x14ac:dyDescent="0.4">
      <c r="B1224" s="3" t="s">
        <v>7</v>
      </c>
      <c r="C1224" s="3" t="s">
        <v>367</v>
      </c>
      <c r="D1224" s="4">
        <f>DATE(2013,4,29)</f>
        <v>41393</v>
      </c>
      <c r="E1224" s="5">
        <f t="shared" si="21"/>
        <v>2013</v>
      </c>
      <c r="F1224" s="3" t="s">
        <v>368</v>
      </c>
      <c r="G1224" s="6">
        <v>571</v>
      </c>
      <c r="H1224" s="5">
        <v>18503</v>
      </c>
    </row>
    <row r="1225" spans="2:8" ht="17.5" customHeight="1" x14ac:dyDescent="0.4">
      <c r="B1225" s="3" t="s">
        <v>7</v>
      </c>
      <c r="C1225" s="3" t="s">
        <v>367</v>
      </c>
      <c r="D1225" s="4">
        <f>DATE(2014,6,5)</f>
        <v>41795</v>
      </c>
      <c r="E1225" s="5">
        <f t="shared" si="21"/>
        <v>2014</v>
      </c>
      <c r="F1225" s="3" t="s">
        <v>368</v>
      </c>
      <c r="G1225" s="6">
        <v>6080</v>
      </c>
      <c r="H1225" s="5">
        <v>19991</v>
      </c>
    </row>
    <row r="1226" spans="2:8" ht="17.5" customHeight="1" x14ac:dyDescent="0.4">
      <c r="B1226" s="3" t="s">
        <v>7</v>
      </c>
      <c r="C1226" s="3" t="s">
        <v>367</v>
      </c>
      <c r="D1226" s="4">
        <f>DATE(2014,9,10)</f>
        <v>41892</v>
      </c>
      <c r="E1226" s="5">
        <f t="shared" si="21"/>
        <v>2014</v>
      </c>
      <c r="F1226" s="3" t="s">
        <v>368</v>
      </c>
      <c r="G1226" s="6">
        <v>11875</v>
      </c>
      <c r="H1226" s="5">
        <v>20364</v>
      </c>
    </row>
    <row r="1227" spans="2:8" ht="17.5" customHeight="1" x14ac:dyDescent="0.4">
      <c r="B1227" s="3" t="s">
        <v>16</v>
      </c>
      <c r="C1227" s="3" t="s">
        <v>367</v>
      </c>
      <c r="D1227" s="4">
        <f>DATE(2014,10,2)</f>
        <v>41914</v>
      </c>
      <c r="E1227" s="5">
        <f t="shared" si="21"/>
        <v>2014</v>
      </c>
      <c r="F1227" s="3" t="s">
        <v>368</v>
      </c>
      <c r="G1227" s="6">
        <v>11815.63</v>
      </c>
      <c r="H1227" s="5">
        <v>20490</v>
      </c>
    </row>
    <row r="1228" spans="2:8" ht="17.5" customHeight="1" x14ac:dyDescent="0.4">
      <c r="B1228" t="s">
        <v>7</v>
      </c>
      <c r="C1228" t="s">
        <v>367</v>
      </c>
      <c r="D1228" s="7">
        <f>DATE(2007,9,26)</f>
        <v>39351</v>
      </c>
      <c r="E1228" s="8">
        <f t="shared" si="21"/>
        <v>2007</v>
      </c>
      <c r="F1228" t="s">
        <v>369</v>
      </c>
      <c r="G1228" s="9">
        <v>8626.57</v>
      </c>
      <c r="H1228" s="8">
        <v>6413</v>
      </c>
    </row>
    <row r="1229" spans="2:8" ht="17.5" customHeight="1" x14ac:dyDescent="0.4">
      <c r="B1229" t="s">
        <v>7</v>
      </c>
      <c r="C1229" t="s">
        <v>370</v>
      </c>
      <c r="D1229" s="7">
        <f>DATE(2015,8,26)</f>
        <v>42242</v>
      </c>
      <c r="E1229" s="8">
        <f t="shared" si="21"/>
        <v>2015</v>
      </c>
      <c r="F1229" t="s">
        <v>371</v>
      </c>
      <c r="G1229" s="9">
        <v>2920.11</v>
      </c>
      <c r="H1229" s="8">
        <v>21108</v>
      </c>
    </row>
    <row r="1230" spans="2:8" ht="17.5" customHeight="1" x14ac:dyDescent="0.4">
      <c r="B1230" t="s">
        <v>7</v>
      </c>
      <c r="C1230" t="s">
        <v>370</v>
      </c>
      <c r="D1230" s="7">
        <f>DATE(2014,5,8)</f>
        <v>41767</v>
      </c>
      <c r="E1230" s="8">
        <f t="shared" si="21"/>
        <v>2014</v>
      </c>
      <c r="F1230" t="s">
        <v>371</v>
      </c>
      <c r="G1230" s="9">
        <v>9570</v>
      </c>
      <c r="H1230" s="8">
        <v>13105</v>
      </c>
    </row>
    <row r="1231" spans="2:8" ht="17.5" customHeight="1" x14ac:dyDescent="0.4">
      <c r="B1231" t="s">
        <v>7</v>
      </c>
      <c r="C1231" t="s">
        <v>370</v>
      </c>
      <c r="D1231" s="7">
        <f>DATE(2014,5,8)</f>
        <v>41767</v>
      </c>
      <c r="E1231" s="8">
        <f t="shared" si="21"/>
        <v>2014</v>
      </c>
      <c r="F1231" t="s">
        <v>371</v>
      </c>
      <c r="G1231" s="9">
        <v>3110</v>
      </c>
      <c r="H1231" s="8">
        <v>13208</v>
      </c>
    </row>
    <row r="1232" spans="2:8" ht="17.5" customHeight="1" x14ac:dyDescent="0.4">
      <c r="B1232" t="s">
        <v>7</v>
      </c>
      <c r="C1232" t="s">
        <v>370</v>
      </c>
      <c r="D1232" s="7">
        <f>DATE(2007,3,28)</f>
        <v>39169</v>
      </c>
      <c r="E1232" s="8">
        <f t="shared" si="21"/>
        <v>2007</v>
      </c>
      <c r="F1232" t="s">
        <v>371</v>
      </c>
      <c r="G1232" s="9">
        <v>7970.63</v>
      </c>
      <c r="H1232" s="8">
        <v>5594</v>
      </c>
    </row>
    <row r="1233" spans="2:8" ht="17.5" customHeight="1" x14ac:dyDescent="0.4">
      <c r="B1233" t="s">
        <v>7</v>
      </c>
      <c r="C1233" t="s">
        <v>370</v>
      </c>
      <c r="D1233" s="7">
        <f>DATE(2014,5,8)</f>
        <v>41767</v>
      </c>
      <c r="E1233" s="8">
        <f t="shared" si="21"/>
        <v>2014</v>
      </c>
      <c r="F1233" t="s">
        <v>371</v>
      </c>
      <c r="G1233" s="9">
        <v>7427.2</v>
      </c>
      <c r="H1233" s="8">
        <v>13104</v>
      </c>
    </row>
    <row r="1234" spans="2:8" ht="17.5" customHeight="1" x14ac:dyDescent="0.4">
      <c r="B1234" t="s">
        <v>7</v>
      </c>
      <c r="C1234" t="s">
        <v>370</v>
      </c>
      <c r="D1234" s="7">
        <f>DATE(2014,5,8)</f>
        <v>41767</v>
      </c>
      <c r="E1234" s="8">
        <f t="shared" si="21"/>
        <v>2014</v>
      </c>
      <c r="F1234" t="s">
        <v>371</v>
      </c>
      <c r="G1234" s="9">
        <v>14582.58</v>
      </c>
      <c r="H1234" s="8">
        <v>13207</v>
      </c>
    </row>
    <row r="1235" spans="2:8" ht="17.5" customHeight="1" x14ac:dyDescent="0.4">
      <c r="B1235" t="s">
        <v>7</v>
      </c>
      <c r="C1235" t="s">
        <v>370</v>
      </c>
      <c r="D1235" s="7">
        <f>DATE(2013,10,15)</f>
        <v>41562</v>
      </c>
      <c r="E1235" s="8">
        <f t="shared" si="21"/>
        <v>2013</v>
      </c>
      <c r="F1235" t="s">
        <v>371</v>
      </c>
      <c r="G1235" s="9">
        <v>2693.61</v>
      </c>
      <c r="H1235" s="8">
        <v>12708</v>
      </c>
    </row>
    <row r="1236" spans="2:8" ht="17.5" customHeight="1" x14ac:dyDescent="0.4">
      <c r="B1236" s="3" t="s">
        <v>7</v>
      </c>
      <c r="C1236" s="3" t="s">
        <v>372</v>
      </c>
      <c r="D1236" s="4">
        <f>DATE(2007,11,2)</f>
        <v>39388</v>
      </c>
      <c r="E1236" s="5">
        <f t="shared" si="21"/>
        <v>2007</v>
      </c>
      <c r="F1236" s="3" t="s">
        <v>373</v>
      </c>
      <c r="G1236" s="6">
        <v>338.42</v>
      </c>
      <c r="H1236" s="5">
        <v>9422</v>
      </c>
    </row>
    <row r="1237" spans="2:8" ht="17.5" customHeight="1" x14ac:dyDescent="0.4">
      <c r="B1237" s="3" t="s">
        <v>7</v>
      </c>
      <c r="C1237" s="3" t="s">
        <v>372</v>
      </c>
      <c r="D1237" s="4">
        <f>DATE(2009,9,17)</f>
        <v>40073</v>
      </c>
      <c r="E1237" s="5">
        <f t="shared" si="21"/>
        <v>2009</v>
      </c>
      <c r="F1237" s="3" t="s">
        <v>373</v>
      </c>
      <c r="G1237" s="6">
        <v>330.19</v>
      </c>
      <c r="H1237" s="5">
        <v>13026</v>
      </c>
    </row>
    <row r="1238" spans="2:8" ht="17.5" customHeight="1" x14ac:dyDescent="0.4">
      <c r="B1238" s="3" t="s">
        <v>7</v>
      </c>
      <c r="C1238" s="3" t="s">
        <v>372</v>
      </c>
      <c r="D1238" s="4">
        <f>DATE(2014,10,1)</f>
        <v>41913</v>
      </c>
      <c r="E1238" s="5">
        <f t="shared" si="21"/>
        <v>2014</v>
      </c>
      <c r="F1238" s="3" t="s">
        <v>373</v>
      </c>
      <c r="G1238" s="6">
        <v>301.58</v>
      </c>
      <c r="H1238" s="5">
        <v>20450</v>
      </c>
    </row>
    <row r="1239" spans="2:8" ht="17.5" customHeight="1" x14ac:dyDescent="0.4">
      <c r="B1239" t="s">
        <v>7</v>
      </c>
      <c r="C1239" t="s">
        <v>374</v>
      </c>
      <c r="D1239" s="7">
        <f>DATE(2017,4,10)</f>
        <v>42835</v>
      </c>
      <c r="E1239" s="8">
        <f t="shared" si="21"/>
        <v>2017</v>
      </c>
      <c r="F1239" t="s">
        <v>375</v>
      </c>
      <c r="G1239" s="9">
        <v>1374</v>
      </c>
      <c r="H1239" s="8">
        <v>24670</v>
      </c>
    </row>
    <row r="1240" spans="2:8" ht="17.5" customHeight="1" x14ac:dyDescent="0.4">
      <c r="B1240" s="3" t="s">
        <v>7</v>
      </c>
      <c r="C1240" s="3" t="s">
        <v>374</v>
      </c>
      <c r="D1240" s="4">
        <f>DATE(2007,5,11)</f>
        <v>39213</v>
      </c>
      <c r="E1240" s="5">
        <f t="shared" si="21"/>
        <v>2007</v>
      </c>
      <c r="F1240" s="3" t="s">
        <v>375</v>
      </c>
      <c r="G1240" s="6">
        <v>3952.5</v>
      </c>
      <c r="H1240" s="5">
        <v>8542</v>
      </c>
    </row>
    <row r="1241" spans="2:8" ht="17.5" customHeight="1" x14ac:dyDescent="0.4">
      <c r="B1241" s="3" t="s">
        <v>7</v>
      </c>
      <c r="C1241" s="3" t="s">
        <v>374</v>
      </c>
      <c r="D1241" s="4">
        <f>DATE(2008,3,19)</f>
        <v>39526</v>
      </c>
      <c r="E1241" s="5">
        <f t="shared" si="21"/>
        <v>2008</v>
      </c>
      <c r="F1241" s="3" t="s">
        <v>375</v>
      </c>
      <c r="G1241" s="6">
        <v>1203</v>
      </c>
      <c r="H1241" s="5">
        <v>10246</v>
      </c>
    </row>
    <row r="1242" spans="2:8" ht="17.5" customHeight="1" x14ac:dyDescent="0.4">
      <c r="B1242" s="3" t="s">
        <v>7</v>
      </c>
      <c r="C1242" s="3" t="s">
        <v>374</v>
      </c>
      <c r="D1242" s="4">
        <f>DATE(2008,10,1)</f>
        <v>39722</v>
      </c>
      <c r="E1242" s="5">
        <f t="shared" si="21"/>
        <v>2008</v>
      </c>
      <c r="F1242" s="3" t="s">
        <v>375</v>
      </c>
      <c r="G1242" s="6">
        <v>5014</v>
      </c>
      <c r="H1242" s="5">
        <v>11303</v>
      </c>
    </row>
    <row r="1243" spans="2:8" ht="17.5" customHeight="1" x14ac:dyDescent="0.4">
      <c r="B1243" t="s">
        <v>7</v>
      </c>
      <c r="C1243" t="s">
        <v>376</v>
      </c>
      <c r="D1243" s="7">
        <f>DATE(2006,8,3)</f>
        <v>38932</v>
      </c>
      <c r="E1243" s="8">
        <f t="shared" si="21"/>
        <v>2006</v>
      </c>
      <c r="F1243" t="s">
        <v>377</v>
      </c>
      <c r="G1243" s="9">
        <v>5676.59</v>
      </c>
      <c r="H1243" s="8">
        <v>4829</v>
      </c>
    </row>
    <row r="1244" spans="2:8" ht="17.5" customHeight="1" x14ac:dyDescent="0.4">
      <c r="B1244" t="s">
        <v>7</v>
      </c>
      <c r="C1244" t="s">
        <v>378</v>
      </c>
      <c r="D1244" s="7">
        <f>DATE(2007,7,14)</f>
        <v>39277</v>
      </c>
      <c r="E1244" s="8">
        <f t="shared" si="21"/>
        <v>2007</v>
      </c>
      <c r="F1244" t="s">
        <v>379</v>
      </c>
      <c r="G1244" s="9">
        <v>15500</v>
      </c>
      <c r="H1244" s="8">
        <v>6175</v>
      </c>
    </row>
    <row r="1245" spans="2:8" ht="17.5" customHeight="1" x14ac:dyDescent="0.4">
      <c r="B1245" s="3" t="s">
        <v>7</v>
      </c>
      <c r="C1245" s="3" t="s">
        <v>378</v>
      </c>
      <c r="D1245" s="4">
        <f>DATE(2007,12,18)</f>
        <v>39434</v>
      </c>
      <c r="E1245" s="5">
        <f t="shared" si="21"/>
        <v>2007</v>
      </c>
      <c r="F1245" s="3" t="s">
        <v>379</v>
      </c>
      <c r="G1245" s="6">
        <v>9950.81</v>
      </c>
      <c r="H1245" s="5">
        <v>9541</v>
      </c>
    </row>
    <row r="1246" spans="2:8" ht="17.5" customHeight="1" x14ac:dyDescent="0.4">
      <c r="B1246" s="3" t="s">
        <v>7</v>
      </c>
      <c r="C1246" s="3" t="s">
        <v>380</v>
      </c>
      <c r="D1246" s="4">
        <f>DATE(2004,7,29)</f>
        <v>38197</v>
      </c>
      <c r="E1246" s="5">
        <f t="shared" si="21"/>
        <v>2004</v>
      </c>
      <c r="F1246" s="3" t="s">
        <v>381</v>
      </c>
      <c r="G1246" s="6">
        <v>423.99</v>
      </c>
      <c r="H1246" s="5">
        <v>733</v>
      </c>
    </row>
    <row r="1247" spans="2:8" ht="17.5" customHeight="1" x14ac:dyDescent="0.4">
      <c r="B1247" s="3" t="s">
        <v>7</v>
      </c>
      <c r="C1247" s="3" t="s">
        <v>380</v>
      </c>
      <c r="D1247" s="4">
        <f>DATE(2004,9,10)</f>
        <v>38240</v>
      </c>
      <c r="E1247" s="5">
        <f t="shared" si="21"/>
        <v>2004</v>
      </c>
      <c r="F1247" s="3" t="s">
        <v>381</v>
      </c>
      <c r="G1247" s="6">
        <v>257.81</v>
      </c>
      <c r="H1247" s="5">
        <v>778</v>
      </c>
    </row>
    <row r="1248" spans="2:8" ht="17.5" customHeight="1" x14ac:dyDescent="0.4">
      <c r="B1248" s="3" t="s">
        <v>7</v>
      </c>
      <c r="C1248" s="3" t="s">
        <v>380</v>
      </c>
      <c r="D1248" s="4">
        <f>DATE(2004,10,5)</f>
        <v>38265</v>
      </c>
      <c r="E1248" s="5">
        <f t="shared" si="21"/>
        <v>2004</v>
      </c>
      <c r="F1248" s="3" t="s">
        <v>381</v>
      </c>
      <c r="G1248" s="6">
        <v>348.99</v>
      </c>
      <c r="H1248" s="5">
        <v>801</v>
      </c>
    </row>
    <row r="1249" spans="2:8" ht="17.5" customHeight="1" x14ac:dyDescent="0.4">
      <c r="B1249" s="3" t="s">
        <v>7</v>
      </c>
      <c r="C1249" s="3" t="s">
        <v>380</v>
      </c>
      <c r="D1249" s="4">
        <f>DATE(2004,10,12)</f>
        <v>38272</v>
      </c>
      <c r="E1249" s="5">
        <f t="shared" si="21"/>
        <v>2004</v>
      </c>
      <c r="F1249" s="3" t="s">
        <v>381</v>
      </c>
      <c r="G1249" s="6">
        <v>178.81</v>
      </c>
      <c r="H1249" s="5">
        <v>810</v>
      </c>
    </row>
    <row r="1250" spans="2:8" ht="17.5" customHeight="1" x14ac:dyDescent="0.4">
      <c r="B1250" s="3" t="s">
        <v>7</v>
      </c>
      <c r="C1250" s="3" t="s">
        <v>380</v>
      </c>
      <c r="D1250" s="4">
        <f>DATE(2004,10,27)</f>
        <v>38287</v>
      </c>
      <c r="E1250" s="5">
        <f t="shared" si="21"/>
        <v>2004</v>
      </c>
      <c r="F1250" s="3" t="s">
        <v>381</v>
      </c>
      <c r="G1250" s="6">
        <v>541.49</v>
      </c>
      <c r="H1250" s="5">
        <v>826</v>
      </c>
    </row>
    <row r="1251" spans="2:8" ht="17.5" customHeight="1" x14ac:dyDescent="0.4">
      <c r="B1251" s="3" t="s">
        <v>7</v>
      </c>
      <c r="C1251" s="3" t="s">
        <v>380</v>
      </c>
      <c r="D1251" s="4">
        <f>DATE(2004,12,27)</f>
        <v>38348</v>
      </c>
      <c r="E1251" s="5">
        <f t="shared" si="21"/>
        <v>2004</v>
      </c>
      <c r="F1251" s="3" t="s">
        <v>381</v>
      </c>
      <c r="G1251" s="6">
        <v>231.25</v>
      </c>
      <c r="H1251" s="5">
        <v>899</v>
      </c>
    </row>
    <row r="1252" spans="2:8" ht="17.5" customHeight="1" x14ac:dyDescent="0.4">
      <c r="B1252" s="3" t="s">
        <v>7</v>
      </c>
      <c r="C1252" s="3" t="s">
        <v>380</v>
      </c>
      <c r="D1252" s="4">
        <f>DATE(2005,2,23)</f>
        <v>38406</v>
      </c>
      <c r="E1252" s="5">
        <f t="shared" si="21"/>
        <v>2005</v>
      </c>
      <c r="F1252" s="3" t="s">
        <v>381</v>
      </c>
      <c r="G1252" s="6">
        <v>178.97</v>
      </c>
      <c r="H1252" s="5">
        <v>960</v>
      </c>
    </row>
    <row r="1253" spans="2:8" ht="17.5" customHeight="1" x14ac:dyDescent="0.4">
      <c r="B1253" s="3" t="s">
        <v>7</v>
      </c>
      <c r="C1253" s="3" t="s">
        <v>380</v>
      </c>
      <c r="D1253" s="4">
        <f>DATE(2005,4,7)</f>
        <v>38449</v>
      </c>
      <c r="E1253" s="5">
        <f t="shared" si="21"/>
        <v>2005</v>
      </c>
      <c r="F1253" s="3" t="s">
        <v>381</v>
      </c>
      <c r="G1253" s="6">
        <v>178.97</v>
      </c>
      <c r="H1253" s="5">
        <v>1025</v>
      </c>
    </row>
    <row r="1254" spans="2:8" ht="17.5" customHeight="1" x14ac:dyDescent="0.4">
      <c r="B1254" s="3" t="s">
        <v>7</v>
      </c>
      <c r="C1254" s="3" t="s">
        <v>380</v>
      </c>
      <c r="D1254" s="4">
        <f>DATE(2005,4,8)</f>
        <v>38450</v>
      </c>
      <c r="E1254" s="5">
        <f t="shared" si="21"/>
        <v>2005</v>
      </c>
      <c r="F1254" s="3" t="s">
        <v>381</v>
      </c>
      <c r="G1254" s="6">
        <v>443.75</v>
      </c>
      <c r="H1254" s="5">
        <v>1030</v>
      </c>
    </row>
    <row r="1255" spans="2:8" ht="17.5" customHeight="1" x14ac:dyDescent="0.4">
      <c r="B1255" s="3" t="s">
        <v>7</v>
      </c>
      <c r="C1255" s="3" t="s">
        <v>380</v>
      </c>
      <c r="D1255" s="4">
        <f>DATE(2005,6,6)</f>
        <v>38509</v>
      </c>
      <c r="E1255" s="5">
        <f t="shared" si="21"/>
        <v>2005</v>
      </c>
      <c r="F1255" s="3" t="s">
        <v>381</v>
      </c>
      <c r="G1255" s="6">
        <v>424.15</v>
      </c>
      <c r="H1255" s="5">
        <v>1095</v>
      </c>
    </row>
    <row r="1256" spans="2:8" ht="17.5" customHeight="1" x14ac:dyDescent="0.4">
      <c r="B1256" s="3" t="s">
        <v>7</v>
      </c>
      <c r="C1256" s="3" t="s">
        <v>380</v>
      </c>
      <c r="D1256" s="4">
        <f>DATE(2003,2,11)</f>
        <v>37663</v>
      </c>
      <c r="E1256" s="5">
        <f t="shared" si="21"/>
        <v>2003</v>
      </c>
      <c r="F1256" s="3" t="s">
        <v>382</v>
      </c>
      <c r="G1256" s="6">
        <v>381.89</v>
      </c>
      <c r="H1256" s="5">
        <v>30</v>
      </c>
    </row>
    <row r="1257" spans="2:8" ht="17.5" customHeight="1" x14ac:dyDescent="0.4">
      <c r="B1257" s="3" t="s">
        <v>7</v>
      </c>
      <c r="C1257" s="3" t="s">
        <v>380</v>
      </c>
      <c r="D1257" s="4">
        <f>DATE(2004,6,7)</f>
        <v>38145</v>
      </c>
      <c r="E1257" s="5">
        <f t="shared" si="21"/>
        <v>2004</v>
      </c>
      <c r="F1257" s="3" t="s">
        <v>382</v>
      </c>
      <c r="G1257" s="6">
        <v>257.81</v>
      </c>
      <c r="H1257" s="5">
        <v>681</v>
      </c>
    </row>
    <row r="1258" spans="2:8" ht="17.5" customHeight="1" x14ac:dyDescent="0.4">
      <c r="B1258" t="s">
        <v>7</v>
      </c>
      <c r="C1258" t="s">
        <v>383</v>
      </c>
      <c r="D1258" s="7">
        <f>DATE(2016,2,26)</f>
        <v>42426</v>
      </c>
      <c r="E1258" s="8">
        <f t="shared" si="21"/>
        <v>2016</v>
      </c>
      <c r="F1258" t="s">
        <v>384</v>
      </c>
      <c r="G1258" s="9">
        <v>4297.8100000000004</v>
      </c>
      <c r="H1258" s="8">
        <v>22193</v>
      </c>
    </row>
    <row r="1259" spans="2:8" ht="17.5" customHeight="1" x14ac:dyDescent="0.4">
      <c r="B1259" t="s">
        <v>7</v>
      </c>
      <c r="C1259" t="s">
        <v>383</v>
      </c>
      <c r="D1259" s="7">
        <f>DATE(2019,2,13)</f>
        <v>43509</v>
      </c>
      <c r="E1259" s="8">
        <f t="shared" si="21"/>
        <v>2019</v>
      </c>
      <c r="F1259" t="s">
        <v>384</v>
      </c>
      <c r="G1259" s="9">
        <v>4202.66</v>
      </c>
      <c r="H1259" s="8">
        <v>28318</v>
      </c>
    </row>
    <row r="1260" spans="2:8" ht="17.5" customHeight="1" x14ac:dyDescent="0.4">
      <c r="B1260" t="s">
        <v>16</v>
      </c>
      <c r="C1260" t="s">
        <v>383</v>
      </c>
      <c r="D1260" s="7">
        <f>DATE(2019,3,22)</f>
        <v>43546</v>
      </c>
      <c r="E1260" s="8">
        <f t="shared" si="21"/>
        <v>2019</v>
      </c>
      <c r="F1260" t="s">
        <v>384</v>
      </c>
      <c r="G1260" s="9">
        <v>106</v>
      </c>
      <c r="H1260" s="8">
        <v>28699</v>
      </c>
    </row>
    <row r="1261" spans="2:8" ht="17.5" customHeight="1" x14ac:dyDescent="0.4">
      <c r="B1261" t="s">
        <v>7</v>
      </c>
      <c r="C1261" t="s">
        <v>383</v>
      </c>
      <c r="D1261" s="7">
        <f>DATE(2013,3,27)</f>
        <v>41360</v>
      </c>
      <c r="E1261" s="8">
        <f t="shared" si="21"/>
        <v>2013</v>
      </c>
      <c r="F1261" t="s">
        <v>384</v>
      </c>
      <c r="G1261" s="9">
        <v>22457.37</v>
      </c>
      <c r="H1261" s="8">
        <v>12334</v>
      </c>
    </row>
    <row r="1262" spans="2:8" ht="17.5" customHeight="1" x14ac:dyDescent="0.4">
      <c r="B1262" t="s">
        <v>7</v>
      </c>
      <c r="C1262" t="s">
        <v>383</v>
      </c>
      <c r="D1262" s="7">
        <f>DATE(2012,12,4)</f>
        <v>41247</v>
      </c>
      <c r="E1262" s="8">
        <f t="shared" si="21"/>
        <v>2012</v>
      </c>
      <c r="F1262" t="s">
        <v>384</v>
      </c>
      <c r="G1262" s="9">
        <v>3502.45</v>
      </c>
      <c r="H1262" s="8">
        <v>11887</v>
      </c>
    </row>
    <row r="1263" spans="2:8" ht="17.5" customHeight="1" x14ac:dyDescent="0.4">
      <c r="B1263" t="s">
        <v>7</v>
      </c>
      <c r="C1263" t="s">
        <v>385</v>
      </c>
      <c r="D1263" s="7">
        <f>DATE(2017,7,7)</f>
        <v>42923</v>
      </c>
      <c r="E1263" s="8">
        <f t="shared" si="21"/>
        <v>2017</v>
      </c>
      <c r="F1263" t="s">
        <v>386</v>
      </c>
      <c r="G1263" s="9">
        <v>10450</v>
      </c>
      <c r="H1263" s="8">
        <v>25189</v>
      </c>
    </row>
    <row r="1264" spans="2:8" ht="17.5" customHeight="1" x14ac:dyDescent="0.4">
      <c r="B1264" t="s">
        <v>7</v>
      </c>
      <c r="C1264" t="s">
        <v>385</v>
      </c>
      <c r="D1264" s="7">
        <f>DATE(2013,5,16)</f>
        <v>41410</v>
      </c>
      <c r="E1264" s="8">
        <f t="shared" si="21"/>
        <v>2013</v>
      </c>
      <c r="F1264" t="s">
        <v>386</v>
      </c>
      <c r="G1264" s="9">
        <v>10227</v>
      </c>
      <c r="H1264" s="8">
        <v>12457</v>
      </c>
    </row>
    <row r="1265" spans="2:8" ht="17.5" customHeight="1" x14ac:dyDescent="0.4">
      <c r="B1265" s="3" t="s">
        <v>7</v>
      </c>
      <c r="C1265" s="3" t="s">
        <v>387</v>
      </c>
      <c r="D1265" s="4">
        <f>DATE(2011,8,30)</f>
        <v>40785</v>
      </c>
      <c r="E1265" s="5">
        <f t="shared" si="21"/>
        <v>2011</v>
      </c>
      <c r="F1265" s="3" t="s">
        <v>388</v>
      </c>
      <c r="G1265" s="6">
        <v>35547.18</v>
      </c>
      <c r="H1265" s="5">
        <v>4495</v>
      </c>
    </row>
    <row r="1266" spans="2:8" ht="17.5" customHeight="1" x14ac:dyDescent="0.4">
      <c r="B1266" s="3" t="s">
        <v>7</v>
      </c>
      <c r="C1266" s="3" t="s">
        <v>387</v>
      </c>
      <c r="D1266" s="4">
        <f>DATE(2011,8,30)</f>
        <v>40785</v>
      </c>
      <c r="E1266" s="5">
        <f t="shared" si="21"/>
        <v>2011</v>
      </c>
      <c r="F1266" s="3" t="s">
        <v>388</v>
      </c>
      <c r="G1266" s="6">
        <v>6419.19</v>
      </c>
      <c r="H1266" s="5">
        <v>4496</v>
      </c>
    </row>
    <row r="1267" spans="2:8" ht="17.5" customHeight="1" x14ac:dyDescent="0.4">
      <c r="B1267" s="3" t="s">
        <v>7</v>
      </c>
      <c r="C1267" s="3" t="s">
        <v>387</v>
      </c>
      <c r="D1267" s="4">
        <f>DATE(2011,8,30)</f>
        <v>40785</v>
      </c>
      <c r="E1267" s="5">
        <f t="shared" si="21"/>
        <v>2011</v>
      </c>
      <c r="F1267" s="3" t="s">
        <v>388</v>
      </c>
      <c r="G1267" s="6">
        <v>4143.95</v>
      </c>
      <c r="H1267" s="5">
        <v>4496</v>
      </c>
    </row>
    <row r="1268" spans="2:8" ht="17.5" customHeight="1" x14ac:dyDescent="0.4">
      <c r="B1268" s="3" t="s">
        <v>16</v>
      </c>
      <c r="C1268" s="3" t="s">
        <v>387</v>
      </c>
      <c r="D1268" s="4">
        <f>DATE(2011,12,19)</f>
        <v>40896</v>
      </c>
      <c r="E1268" s="5">
        <f t="shared" si="21"/>
        <v>2011</v>
      </c>
      <c r="F1268" s="3" t="s">
        <v>388</v>
      </c>
      <c r="G1268" s="6">
        <v>7047.18</v>
      </c>
      <c r="H1268" s="5">
        <v>4772</v>
      </c>
    </row>
    <row r="1269" spans="2:8" ht="17.5" customHeight="1" x14ac:dyDescent="0.4">
      <c r="B1269" t="s">
        <v>7</v>
      </c>
      <c r="C1269" t="s">
        <v>389</v>
      </c>
      <c r="D1269" s="7">
        <f>DATE(2016,10,31)</f>
        <v>42674</v>
      </c>
      <c r="E1269" s="8">
        <f t="shared" si="21"/>
        <v>2016</v>
      </c>
      <c r="F1269" t="s">
        <v>390</v>
      </c>
      <c r="G1269" s="9">
        <v>168842.17</v>
      </c>
      <c r="H1269" s="8">
        <v>23280</v>
      </c>
    </row>
    <row r="1270" spans="2:8" ht="17.5" customHeight="1" x14ac:dyDescent="0.4">
      <c r="B1270" t="s">
        <v>7</v>
      </c>
      <c r="C1270" t="s">
        <v>389</v>
      </c>
      <c r="D1270" s="7">
        <f>DATE(2018,10,17)</f>
        <v>43390</v>
      </c>
      <c r="E1270" s="8">
        <f t="shared" si="21"/>
        <v>2018</v>
      </c>
      <c r="F1270" t="s">
        <v>390</v>
      </c>
      <c r="G1270" s="9">
        <v>33433.17</v>
      </c>
      <c r="H1270" s="8">
        <v>27675</v>
      </c>
    </row>
    <row r="1271" spans="2:8" ht="17.5" customHeight="1" x14ac:dyDescent="0.4">
      <c r="B1271" t="s">
        <v>7</v>
      </c>
      <c r="C1271" t="s">
        <v>389</v>
      </c>
      <c r="D1271" s="7">
        <f>DATE(2014,10,22)</f>
        <v>41934</v>
      </c>
      <c r="E1271" s="8">
        <f t="shared" si="21"/>
        <v>2014</v>
      </c>
      <c r="F1271" t="s">
        <v>390</v>
      </c>
      <c r="G1271" s="9">
        <v>37748.85</v>
      </c>
      <c r="H1271" s="8">
        <v>13463</v>
      </c>
    </row>
    <row r="1272" spans="2:8" ht="17.5" customHeight="1" x14ac:dyDescent="0.4">
      <c r="B1272" t="s">
        <v>16</v>
      </c>
      <c r="C1272" t="s">
        <v>389</v>
      </c>
      <c r="D1272" s="7">
        <f>DATE(2014,10,31)</f>
        <v>41943</v>
      </c>
      <c r="E1272" s="8">
        <f t="shared" si="21"/>
        <v>2014</v>
      </c>
      <c r="F1272" t="s">
        <v>390</v>
      </c>
      <c r="G1272" s="9">
        <v>3000</v>
      </c>
      <c r="H1272" s="8">
        <v>13577</v>
      </c>
    </row>
    <row r="1273" spans="2:8" ht="17.5" customHeight="1" x14ac:dyDescent="0.4">
      <c r="B1273" s="3" t="s">
        <v>7</v>
      </c>
      <c r="C1273" s="3" t="s">
        <v>391</v>
      </c>
      <c r="D1273" s="4">
        <f>DATE(2004,2,2)</f>
        <v>38019</v>
      </c>
      <c r="E1273" s="5">
        <f t="shared" si="21"/>
        <v>2004</v>
      </c>
      <c r="F1273" s="3" t="s">
        <v>392</v>
      </c>
      <c r="G1273" s="6">
        <v>4774.4399999999996</v>
      </c>
      <c r="H1273" s="5">
        <v>543</v>
      </c>
    </row>
    <row r="1274" spans="2:8" ht="17.5" customHeight="1" x14ac:dyDescent="0.4">
      <c r="B1274" t="s">
        <v>7</v>
      </c>
      <c r="C1274" t="s">
        <v>393</v>
      </c>
      <c r="D1274" s="7">
        <f>DATE(2017,5,8)</f>
        <v>42863</v>
      </c>
      <c r="E1274" s="8">
        <f t="shared" si="21"/>
        <v>2017</v>
      </c>
      <c r="F1274" t="s">
        <v>394</v>
      </c>
      <c r="G1274" s="9">
        <v>154935.9</v>
      </c>
      <c r="H1274" s="8">
        <v>24150</v>
      </c>
    </row>
    <row r="1275" spans="2:8" ht="17.5" customHeight="1" x14ac:dyDescent="0.4">
      <c r="B1275" t="s">
        <v>7</v>
      </c>
      <c r="C1275" t="s">
        <v>393</v>
      </c>
      <c r="D1275" s="7">
        <f>DATE(2018,4,27)</f>
        <v>43217</v>
      </c>
      <c r="E1275" s="8">
        <f t="shared" si="21"/>
        <v>2018</v>
      </c>
      <c r="F1275" t="s">
        <v>394</v>
      </c>
      <c r="G1275" s="9">
        <v>142917.5</v>
      </c>
      <c r="H1275" s="8">
        <v>26163</v>
      </c>
    </row>
    <row r="1276" spans="2:8" ht="17.5" customHeight="1" x14ac:dyDescent="0.4">
      <c r="B1276" t="s">
        <v>7</v>
      </c>
      <c r="C1276" t="s">
        <v>393</v>
      </c>
      <c r="D1276" s="7">
        <f>DATE(2018,10,30)</f>
        <v>43403</v>
      </c>
      <c r="E1276" s="8">
        <f t="shared" si="21"/>
        <v>2018</v>
      </c>
      <c r="F1276" t="s">
        <v>394</v>
      </c>
      <c r="G1276" s="9">
        <v>148282</v>
      </c>
      <c r="H1276" s="8">
        <v>26199</v>
      </c>
    </row>
    <row r="1277" spans="2:8" ht="17.5" customHeight="1" x14ac:dyDescent="0.4">
      <c r="B1277" t="s">
        <v>7</v>
      </c>
      <c r="C1277" t="s">
        <v>393</v>
      </c>
      <c r="D1277" s="7">
        <f>DATE(2019,5,3)</f>
        <v>43588</v>
      </c>
      <c r="E1277" s="8">
        <f t="shared" si="21"/>
        <v>2019</v>
      </c>
      <c r="F1277" t="s">
        <v>394</v>
      </c>
      <c r="G1277" s="9">
        <v>53000</v>
      </c>
      <c r="H1277" s="8">
        <v>28749</v>
      </c>
    </row>
    <row r="1278" spans="2:8" ht="17.5" customHeight="1" x14ac:dyDescent="0.4">
      <c r="B1278" t="s">
        <v>7</v>
      </c>
      <c r="C1278" t="s">
        <v>393</v>
      </c>
      <c r="D1278" s="7">
        <f>DATE(2015,6,25)</f>
        <v>42180</v>
      </c>
      <c r="E1278" s="8">
        <f t="shared" si="21"/>
        <v>2015</v>
      </c>
      <c r="F1278" t="s">
        <v>394</v>
      </c>
      <c r="G1278" s="9">
        <v>63150</v>
      </c>
      <c r="H1278" s="8">
        <v>20790</v>
      </c>
    </row>
    <row r="1279" spans="2:8" ht="17.5" customHeight="1" x14ac:dyDescent="0.4">
      <c r="B1279" t="s">
        <v>7</v>
      </c>
      <c r="C1279" t="s">
        <v>393</v>
      </c>
      <c r="D1279" s="7">
        <f>DATE(2015,12,11)</f>
        <v>42349</v>
      </c>
      <c r="E1279" s="8">
        <f t="shared" si="21"/>
        <v>2015</v>
      </c>
      <c r="F1279" t="s">
        <v>394</v>
      </c>
      <c r="G1279" s="9">
        <v>4631</v>
      </c>
      <c r="H1279" s="8">
        <v>21781</v>
      </c>
    </row>
    <row r="1280" spans="2:8" ht="17.5" customHeight="1" x14ac:dyDescent="0.4">
      <c r="B1280" t="s">
        <v>7</v>
      </c>
      <c r="C1280" t="s">
        <v>393</v>
      </c>
      <c r="D1280" s="7">
        <f>DATE(2016,1,27)</f>
        <v>42396</v>
      </c>
      <c r="E1280" s="8">
        <f t="shared" si="21"/>
        <v>2016</v>
      </c>
      <c r="F1280" t="s">
        <v>394</v>
      </c>
      <c r="G1280" s="9">
        <v>44500</v>
      </c>
      <c r="H1280" s="8">
        <v>21990</v>
      </c>
    </row>
    <row r="1281" spans="2:8" ht="17.5" customHeight="1" x14ac:dyDescent="0.4">
      <c r="B1281" t="s">
        <v>7</v>
      </c>
      <c r="C1281" t="s">
        <v>393</v>
      </c>
      <c r="D1281" s="7">
        <f>DATE(2016,4,20)</f>
        <v>42480</v>
      </c>
      <c r="E1281" s="8">
        <f t="shared" si="21"/>
        <v>2016</v>
      </c>
      <c r="F1281" t="s">
        <v>394</v>
      </c>
      <c r="G1281" s="9">
        <v>760</v>
      </c>
      <c r="H1281" s="8">
        <v>22667</v>
      </c>
    </row>
    <row r="1282" spans="2:8" ht="17.5" customHeight="1" x14ac:dyDescent="0.4">
      <c r="B1282" t="s">
        <v>7</v>
      </c>
      <c r="C1282" t="s">
        <v>393</v>
      </c>
      <c r="D1282" s="7">
        <f>DATE(2017,1,13)</f>
        <v>42748</v>
      </c>
      <c r="E1282" s="8">
        <f t="shared" si="21"/>
        <v>2017</v>
      </c>
      <c r="F1282" t="s">
        <v>394</v>
      </c>
      <c r="G1282" s="9">
        <v>8360</v>
      </c>
      <c r="H1282" s="8">
        <v>24130</v>
      </c>
    </row>
    <row r="1283" spans="2:8" ht="17.5" customHeight="1" x14ac:dyDescent="0.4">
      <c r="B1283" t="s">
        <v>7</v>
      </c>
      <c r="C1283" t="s">
        <v>393</v>
      </c>
      <c r="D1283" s="7">
        <f>DATE(2017,6,22)</f>
        <v>42908</v>
      </c>
      <c r="E1283" s="8">
        <f t="shared" ref="E1283:E1346" si="22">YEAR(D1283)</f>
        <v>2017</v>
      </c>
      <c r="F1283" t="s">
        <v>394</v>
      </c>
      <c r="G1283" s="9">
        <v>577.5</v>
      </c>
      <c r="H1283" s="8">
        <v>24950</v>
      </c>
    </row>
    <row r="1284" spans="2:8" ht="17.5" customHeight="1" x14ac:dyDescent="0.4">
      <c r="B1284" t="s">
        <v>7</v>
      </c>
      <c r="C1284" t="s">
        <v>393</v>
      </c>
      <c r="D1284" s="7">
        <f>DATE(2017,11,6)</f>
        <v>43045</v>
      </c>
      <c r="E1284" s="8">
        <f t="shared" si="22"/>
        <v>2017</v>
      </c>
      <c r="F1284" t="s">
        <v>394</v>
      </c>
      <c r="G1284" s="9">
        <v>28700</v>
      </c>
      <c r="H1284" s="8">
        <v>25840</v>
      </c>
    </row>
    <row r="1285" spans="2:8" ht="17.5" customHeight="1" x14ac:dyDescent="0.4">
      <c r="B1285" t="s">
        <v>7</v>
      </c>
      <c r="C1285" t="s">
        <v>393</v>
      </c>
      <c r="D1285" s="7">
        <f>DATE(2017,11,6)</f>
        <v>43045</v>
      </c>
      <c r="E1285" s="8">
        <f t="shared" si="22"/>
        <v>2017</v>
      </c>
      <c r="F1285" t="s">
        <v>394</v>
      </c>
      <c r="G1285" s="9">
        <v>12300</v>
      </c>
      <c r="H1285" s="8">
        <v>25840</v>
      </c>
    </row>
    <row r="1286" spans="2:8" ht="17.5" customHeight="1" x14ac:dyDescent="0.4">
      <c r="B1286" t="s">
        <v>7</v>
      </c>
      <c r="C1286" t="s">
        <v>393</v>
      </c>
      <c r="D1286" s="7">
        <f>DATE(2017,11,10)</f>
        <v>43049</v>
      </c>
      <c r="E1286" s="8">
        <f t="shared" si="22"/>
        <v>2017</v>
      </c>
      <c r="F1286" t="s">
        <v>394</v>
      </c>
      <c r="G1286" s="9">
        <v>1515.5</v>
      </c>
      <c r="H1286" s="8">
        <v>25901</v>
      </c>
    </row>
    <row r="1287" spans="2:8" ht="17.5" customHeight="1" x14ac:dyDescent="0.4">
      <c r="B1287" t="s">
        <v>7</v>
      </c>
      <c r="C1287" t="s">
        <v>393</v>
      </c>
      <c r="D1287" s="7">
        <f>DATE(2017,11,10)</f>
        <v>43049</v>
      </c>
      <c r="E1287" s="8">
        <f t="shared" si="22"/>
        <v>2017</v>
      </c>
      <c r="F1287" t="s">
        <v>394</v>
      </c>
      <c r="G1287" s="9">
        <v>1050</v>
      </c>
      <c r="H1287" s="8">
        <v>25902</v>
      </c>
    </row>
    <row r="1288" spans="2:8" ht="17.5" customHeight="1" x14ac:dyDescent="0.4">
      <c r="B1288" t="s">
        <v>7</v>
      </c>
      <c r="C1288" t="s">
        <v>393</v>
      </c>
      <c r="D1288" s="7">
        <f>DATE(2018,1,29)</f>
        <v>43129</v>
      </c>
      <c r="E1288" s="8">
        <f t="shared" si="22"/>
        <v>2018</v>
      </c>
      <c r="F1288" t="s">
        <v>394</v>
      </c>
      <c r="G1288" s="9">
        <v>57850</v>
      </c>
      <c r="H1288" s="8">
        <v>26209</v>
      </c>
    </row>
    <row r="1289" spans="2:8" ht="17.5" customHeight="1" x14ac:dyDescent="0.4">
      <c r="B1289" t="s">
        <v>7</v>
      </c>
      <c r="C1289" t="s">
        <v>393</v>
      </c>
      <c r="D1289" s="7">
        <f>DATE(2018,3,5)</f>
        <v>43164</v>
      </c>
      <c r="E1289" s="8">
        <f t="shared" si="22"/>
        <v>2018</v>
      </c>
      <c r="F1289" t="s">
        <v>394</v>
      </c>
      <c r="G1289" s="9">
        <v>4560</v>
      </c>
      <c r="H1289" s="8">
        <v>26487</v>
      </c>
    </row>
    <row r="1290" spans="2:8" ht="17.5" customHeight="1" x14ac:dyDescent="0.4">
      <c r="B1290" t="s">
        <v>7</v>
      </c>
      <c r="C1290" t="s">
        <v>393</v>
      </c>
      <c r="D1290" s="7">
        <f>DATE(2019,2,13)</f>
        <v>43509</v>
      </c>
      <c r="E1290" s="8">
        <f t="shared" si="22"/>
        <v>2019</v>
      </c>
      <c r="F1290" t="s">
        <v>394</v>
      </c>
      <c r="G1290" s="9">
        <v>9120</v>
      </c>
      <c r="H1290" s="8">
        <v>28396</v>
      </c>
    </row>
    <row r="1291" spans="2:8" ht="17.5" customHeight="1" x14ac:dyDescent="0.4">
      <c r="B1291" t="s">
        <v>7</v>
      </c>
      <c r="C1291" t="s">
        <v>393</v>
      </c>
      <c r="D1291" s="7">
        <f>DATE(2016,7,18)</f>
        <v>42569</v>
      </c>
      <c r="E1291" s="8">
        <f t="shared" si="22"/>
        <v>2016</v>
      </c>
      <c r="F1291" t="s">
        <v>394</v>
      </c>
      <c r="G1291" s="9">
        <v>8721.2000000000007</v>
      </c>
      <c r="H1291" s="8">
        <v>23114</v>
      </c>
    </row>
    <row r="1292" spans="2:8" ht="17.5" customHeight="1" x14ac:dyDescent="0.4">
      <c r="B1292" s="3" t="s">
        <v>7</v>
      </c>
      <c r="C1292" s="3" t="s">
        <v>393</v>
      </c>
      <c r="D1292" s="4">
        <f>DATE(2011,4,1)</f>
        <v>40634</v>
      </c>
      <c r="E1292" s="5">
        <f t="shared" si="22"/>
        <v>2011</v>
      </c>
      <c r="F1292" s="3" t="s">
        <v>394</v>
      </c>
      <c r="G1292" s="6">
        <v>724</v>
      </c>
      <c r="H1292" s="5">
        <v>15368</v>
      </c>
    </row>
    <row r="1293" spans="2:8" ht="17.5" customHeight="1" x14ac:dyDescent="0.4">
      <c r="B1293" s="3" t="s">
        <v>7</v>
      </c>
      <c r="C1293" s="3" t="s">
        <v>393</v>
      </c>
      <c r="D1293" s="4">
        <f>DATE(2011,4,14)</f>
        <v>40647</v>
      </c>
      <c r="E1293" s="5">
        <f t="shared" si="22"/>
        <v>2011</v>
      </c>
      <c r="F1293" s="3" t="s">
        <v>394</v>
      </c>
      <c r="G1293" s="6">
        <v>587.5</v>
      </c>
      <c r="H1293" s="5">
        <v>15439</v>
      </c>
    </row>
    <row r="1294" spans="2:8" ht="17.5" customHeight="1" x14ac:dyDescent="0.4">
      <c r="B1294" s="3" t="s">
        <v>7</v>
      </c>
      <c r="C1294" s="3" t="s">
        <v>393</v>
      </c>
      <c r="D1294" s="4">
        <f>DATE(2011,5,4)</f>
        <v>40667</v>
      </c>
      <c r="E1294" s="5">
        <f t="shared" si="22"/>
        <v>2011</v>
      </c>
      <c r="F1294" s="3" t="s">
        <v>394</v>
      </c>
      <c r="G1294" s="6">
        <v>8200</v>
      </c>
      <c r="H1294" s="5">
        <v>15424</v>
      </c>
    </row>
    <row r="1295" spans="2:8" ht="17.5" customHeight="1" x14ac:dyDescent="0.4">
      <c r="B1295" s="3" t="s">
        <v>7</v>
      </c>
      <c r="C1295" s="3" t="s">
        <v>393</v>
      </c>
      <c r="D1295" s="4">
        <f>DATE(2012,4,13)</f>
        <v>41012</v>
      </c>
      <c r="E1295" s="5">
        <f t="shared" si="22"/>
        <v>2012</v>
      </c>
      <c r="F1295" s="3" t="s">
        <v>394</v>
      </c>
      <c r="G1295" s="6">
        <v>41000</v>
      </c>
      <c r="H1295" s="5">
        <v>16849</v>
      </c>
    </row>
    <row r="1296" spans="2:8" ht="17.5" customHeight="1" x14ac:dyDescent="0.4">
      <c r="B1296" s="3" t="s">
        <v>7</v>
      </c>
      <c r="C1296" s="3" t="s">
        <v>393</v>
      </c>
      <c r="D1296" s="4">
        <f>DATE(2012,5,2)</f>
        <v>41031</v>
      </c>
      <c r="E1296" s="5">
        <f t="shared" si="22"/>
        <v>2012</v>
      </c>
      <c r="F1296" s="3" t="s">
        <v>394</v>
      </c>
      <c r="G1296" s="6">
        <v>4080</v>
      </c>
      <c r="H1296" s="5">
        <v>17064</v>
      </c>
    </row>
    <row r="1297" spans="2:8" ht="17.5" customHeight="1" x14ac:dyDescent="0.4">
      <c r="B1297" s="3" t="s">
        <v>7</v>
      </c>
      <c r="C1297" s="3" t="s">
        <v>393</v>
      </c>
      <c r="D1297" s="4">
        <f>DATE(2012,5,8)</f>
        <v>41037</v>
      </c>
      <c r="E1297" s="5">
        <f t="shared" si="22"/>
        <v>2012</v>
      </c>
      <c r="F1297" s="3" t="s">
        <v>394</v>
      </c>
      <c r="G1297" s="6">
        <v>20500</v>
      </c>
      <c r="H1297" s="5">
        <v>17033</v>
      </c>
    </row>
    <row r="1298" spans="2:8" ht="17.5" customHeight="1" x14ac:dyDescent="0.4">
      <c r="B1298" s="3" t="s">
        <v>7</v>
      </c>
      <c r="C1298" s="3" t="s">
        <v>393</v>
      </c>
      <c r="D1298" s="4">
        <f>DATE(2012,5,30)</f>
        <v>41059</v>
      </c>
      <c r="E1298" s="5">
        <f t="shared" si="22"/>
        <v>2012</v>
      </c>
      <c r="F1298" s="3" t="s">
        <v>394</v>
      </c>
      <c r="G1298" s="6">
        <v>8160</v>
      </c>
      <c r="H1298" s="5">
        <v>17198</v>
      </c>
    </row>
    <row r="1299" spans="2:8" ht="17.5" customHeight="1" x14ac:dyDescent="0.4">
      <c r="B1299" s="3" t="s">
        <v>7</v>
      </c>
      <c r="C1299" s="3" t="s">
        <v>393</v>
      </c>
      <c r="D1299" s="4">
        <f>DATE(2012,10,24)</f>
        <v>41206</v>
      </c>
      <c r="E1299" s="5">
        <f t="shared" si="22"/>
        <v>2012</v>
      </c>
      <c r="F1299" s="3" t="s">
        <v>394</v>
      </c>
      <c r="G1299" s="6">
        <v>931</v>
      </c>
      <c r="H1299" s="5">
        <v>17758</v>
      </c>
    </row>
    <row r="1300" spans="2:8" ht="17.5" customHeight="1" x14ac:dyDescent="0.4">
      <c r="B1300" s="3" t="s">
        <v>7</v>
      </c>
      <c r="C1300" s="3" t="s">
        <v>393</v>
      </c>
      <c r="D1300" s="4">
        <f>DATE(2012,12,19)</f>
        <v>41262</v>
      </c>
      <c r="E1300" s="5">
        <f t="shared" si="22"/>
        <v>2012</v>
      </c>
      <c r="F1300" s="3" t="s">
        <v>394</v>
      </c>
      <c r="G1300" s="6">
        <v>4080</v>
      </c>
      <c r="H1300" s="5">
        <v>17923</v>
      </c>
    </row>
    <row r="1301" spans="2:8" ht="17.5" customHeight="1" x14ac:dyDescent="0.4">
      <c r="B1301" s="3" t="s">
        <v>7</v>
      </c>
      <c r="C1301" s="3" t="s">
        <v>393</v>
      </c>
      <c r="D1301" s="4">
        <f>DATE(2013,1,9)</f>
        <v>41283</v>
      </c>
      <c r="E1301" s="5">
        <f t="shared" si="22"/>
        <v>2013</v>
      </c>
      <c r="F1301" s="3" t="s">
        <v>394</v>
      </c>
      <c r="G1301" s="6">
        <v>12300</v>
      </c>
      <c r="H1301" s="5">
        <v>17962</v>
      </c>
    </row>
    <row r="1302" spans="2:8" ht="17.5" customHeight="1" x14ac:dyDescent="0.4">
      <c r="B1302" s="3" t="s">
        <v>7</v>
      </c>
      <c r="C1302" s="3" t="s">
        <v>393</v>
      </c>
      <c r="D1302" s="4">
        <f>DATE(2013,1,16)</f>
        <v>41290</v>
      </c>
      <c r="E1302" s="5">
        <f t="shared" si="22"/>
        <v>2013</v>
      </c>
      <c r="F1302" s="3" t="s">
        <v>394</v>
      </c>
      <c r="G1302" s="6">
        <v>41000</v>
      </c>
      <c r="H1302" s="5">
        <v>17944</v>
      </c>
    </row>
    <row r="1303" spans="2:8" ht="17.5" customHeight="1" x14ac:dyDescent="0.4">
      <c r="B1303" s="3" t="s">
        <v>7</v>
      </c>
      <c r="C1303" s="3" t="s">
        <v>393</v>
      </c>
      <c r="D1303" s="4">
        <f>DATE(2013,1,21)</f>
        <v>41295</v>
      </c>
      <c r="E1303" s="5">
        <f t="shared" si="22"/>
        <v>2013</v>
      </c>
      <c r="F1303" s="3" t="s">
        <v>394</v>
      </c>
      <c r="G1303" s="6">
        <v>20500</v>
      </c>
      <c r="H1303" s="5">
        <v>17956</v>
      </c>
    </row>
    <row r="1304" spans="2:8" ht="17.5" customHeight="1" x14ac:dyDescent="0.4">
      <c r="B1304" s="3" t="s">
        <v>7</v>
      </c>
      <c r="C1304" s="3" t="s">
        <v>393</v>
      </c>
      <c r="D1304" s="4">
        <f>DATE(2013,4,18)</f>
        <v>41382</v>
      </c>
      <c r="E1304" s="5">
        <f t="shared" si="22"/>
        <v>2013</v>
      </c>
      <c r="F1304" s="3" t="s">
        <v>394</v>
      </c>
      <c r="G1304" s="6">
        <v>2450</v>
      </c>
      <c r="H1304" s="5">
        <v>18463</v>
      </c>
    </row>
    <row r="1305" spans="2:8" ht="17.5" customHeight="1" x14ac:dyDescent="0.4">
      <c r="B1305" s="3" t="s">
        <v>7</v>
      </c>
      <c r="C1305" s="3" t="s">
        <v>393</v>
      </c>
      <c r="D1305" s="4">
        <f>DATE(2013,4,25)</f>
        <v>41389</v>
      </c>
      <c r="E1305" s="5">
        <f t="shared" si="22"/>
        <v>2013</v>
      </c>
      <c r="F1305" s="3" t="s">
        <v>394</v>
      </c>
      <c r="G1305" s="6">
        <v>2850</v>
      </c>
      <c r="H1305" s="5">
        <v>18490</v>
      </c>
    </row>
    <row r="1306" spans="2:8" ht="17.5" customHeight="1" x14ac:dyDescent="0.4">
      <c r="B1306" s="3" t="s">
        <v>7</v>
      </c>
      <c r="C1306" s="3" t="s">
        <v>393</v>
      </c>
      <c r="D1306" s="4">
        <f>DATE(2013,10,3)</f>
        <v>41550</v>
      </c>
      <c r="E1306" s="5">
        <f t="shared" si="22"/>
        <v>2013</v>
      </c>
      <c r="F1306" s="3" t="s">
        <v>394</v>
      </c>
      <c r="G1306" s="6">
        <v>4560</v>
      </c>
      <c r="H1306" s="5">
        <v>19038</v>
      </c>
    </row>
    <row r="1307" spans="2:8" ht="17.5" customHeight="1" x14ac:dyDescent="0.4">
      <c r="B1307" s="3" t="s">
        <v>7</v>
      </c>
      <c r="C1307" s="3" t="s">
        <v>393</v>
      </c>
      <c r="D1307" s="4">
        <f>DATE(2013,10,23)</f>
        <v>41570</v>
      </c>
      <c r="E1307" s="5">
        <f t="shared" si="22"/>
        <v>2013</v>
      </c>
      <c r="F1307" s="3" t="s">
        <v>394</v>
      </c>
      <c r="G1307" s="6">
        <v>42100</v>
      </c>
      <c r="H1307" s="5">
        <v>19091</v>
      </c>
    </row>
    <row r="1308" spans="2:8" ht="17.5" customHeight="1" x14ac:dyDescent="0.4">
      <c r="B1308" s="3" t="s">
        <v>7</v>
      </c>
      <c r="C1308" s="3" t="s">
        <v>393</v>
      </c>
      <c r="D1308" s="4">
        <f>DATE(2013,12,2)</f>
        <v>41610</v>
      </c>
      <c r="E1308" s="5">
        <f t="shared" si="22"/>
        <v>2013</v>
      </c>
      <c r="F1308" s="3" t="s">
        <v>394</v>
      </c>
      <c r="G1308" s="6">
        <v>46310</v>
      </c>
      <c r="H1308" s="5">
        <v>19229</v>
      </c>
    </row>
    <row r="1309" spans="2:8" ht="17.5" customHeight="1" x14ac:dyDescent="0.4">
      <c r="B1309" s="3" t="s">
        <v>7</v>
      </c>
      <c r="C1309" s="3" t="s">
        <v>393</v>
      </c>
      <c r="D1309" s="4">
        <f>DATE(2014,1,22)</f>
        <v>41661</v>
      </c>
      <c r="E1309" s="5">
        <f t="shared" si="22"/>
        <v>2014</v>
      </c>
      <c r="F1309" s="3" t="s">
        <v>394</v>
      </c>
      <c r="G1309" s="6">
        <v>42100</v>
      </c>
      <c r="H1309" s="5">
        <v>19369</v>
      </c>
    </row>
    <row r="1310" spans="2:8" ht="17.5" customHeight="1" x14ac:dyDescent="0.4">
      <c r="B1310" s="3" t="s">
        <v>7</v>
      </c>
      <c r="C1310" s="3" t="s">
        <v>393</v>
      </c>
      <c r="D1310" s="4">
        <f>DATE(2014,2,26)</f>
        <v>41696</v>
      </c>
      <c r="E1310" s="5">
        <f t="shared" si="22"/>
        <v>2014</v>
      </c>
      <c r="F1310" s="3" t="s">
        <v>394</v>
      </c>
      <c r="G1310" s="6">
        <v>21050</v>
      </c>
      <c r="H1310" s="5">
        <v>19484</v>
      </c>
    </row>
    <row r="1311" spans="2:8" ht="17.5" customHeight="1" x14ac:dyDescent="0.4">
      <c r="B1311" s="3" t="s">
        <v>7</v>
      </c>
      <c r="C1311" s="3" t="s">
        <v>393</v>
      </c>
      <c r="D1311" s="4">
        <f>DATE(2014,4,2)</f>
        <v>41731</v>
      </c>
      <c r="E1311" s="5">
        <f t="shared" si="22"/>
        <v>2014</v>
      </c>
      <c r="F1311" s="3" t="s">
        <v>394</v>
      </c>
      <c r="G1311" s="6">
        <v>75780</v>
      </c>
      <c r="H1311" s="5">
        <v>19695</v>
      </c>
    </row>
    <row r="1312" spans="2:8" ht="17.5" customHeight="1" x14ac:dyDescent="0.4">
      <c r="B1312" s="3" t="s">
        <v>7</v>
      </c>
      <c r="C1312" s="3" t="s">
        <v>393</v>
      </c>
      <c r="D1312" s="4">
        <f>DATE(2014,4,23)</f>
        <v>41752</v>
      </c>
      <c r="E1312" s="5">
        <f t="shared" si="22"/>
        <v>2014</v>
      </c>
      <c r="F1312" s="3" t="s">
        <v>394</v>
      </c>
      <c r="G1312" s="6">
        <v>7410</v>
      </c>
      <c r="H1312" s="5">
        <v>19859</v>
      </c>
    </row>
    <row r="1313" spans="2:8" ht="17.5" customHeight="1" x14ac:dyDescent="0.4">
      <c r="B1313" s="3" t="s">
        <v>7</v>
      </c>
      <c r="C1313" s="3" t="s">
        <v>393</v>
      </c>
      <c r="D1313" s="4">
        <f>DATE(2014,5,15)</f>
        <v>41774</v>
      </c>
      <c r="E1313" s="5">
        <f t="shared" si="22"/>
        <v>2014</v>
      </c>
      <c r="F1313" s="3" t="s">
        <v>394</v>
      </c>
      <c r="G1313" s="6">
        <v>9120</v>
      </c>
      <c r="H1313" s="5">
        <v>19942</v>
      </c>
    </row>
    <row r="1314" spans="2:8" ht="17.5" customHeight="1" x14ac:dyDescent="0.4">
      <c r="B1314" s="3" t="s">
        <v>16</v>
      </c>
      <c r="C1314" s="3" t="s">
        <v>393</v>
      </c>
      <c r="D1314" s="4">
        <f>DATE(2011,4,1)</f>
        <v>40634</v>
      </c>
      <c r="E1314" s="5">
        <f t="shared" si="22"/>
        <v>2011</v>
      </c>
      <c r="F1314" s="3" t="s">
        <v>394</v>
      </c>
      <c r="G1314" s="6">
        <v>315</v>
      </c>
      <c r="H1314" s="5">
        <v>15369</v>
      </c>
    </row>
    <row r="1315" spans="2:8" ht="17.5" customHeight="1" x14ac:dyDescent="0.4">
      <c r="B1315" t="s">
        <v>7</v>
      </c>
      <c r="C1315" t="s">
        <v>393</v>
      </c>
      <c r="D1315" s="7">
        <f>DATE(2004,4,6)</f>
        <v>38083</v>
      </c>
      <c r="E1315" s="8">
        <f t="shared" si="22"/>
        <v>2004</v>
      </c>
      <c r="F1315" t="s">
        <v>395</v>
      </c>
      <c r="G1315" s="9">
        <v>1312.63</v>
      </c>
      <c r="H1315" s="8">
        <v>1589</v>
      </c>
    </row>
    <row r="1316" spans="2:8" ht="17.5" customHeight="1" x14ac:dyDescent="0.4">
      <c r="B1316" t="s">
        <v>7</v>
      </c>
      <c r="C1316" t="s">
        <v>393</v>
      </c>
      <c r="D1316" s="7">
        <f>DATE(2004,8,24)</f>
        <v>38223</v>
      </c>
      <c r="E1316" s="8">
        <f t="shared" si="22"/>
        <v>2004</v>
      </c>
      <c r="F1316" t="s">
        <v>395</v>
      </c>
      <c r="G1316" s="9">
        <v>893</v>
      </c>
      <c r="H1316" s="8">
        <v>2101</v>
      </c>
    </row>
    <row r="1317" spans="2:8" ht="17.5" customHeight="1" x14ac:dyDescent="0.4">
      <c r="B1317" t="s">
        <v>7</v>
      </c>
      <c r="C1317" t="s">
        <v>393</v>
      </c>
      <c r="D1317" s="7">
        <f>DATE(2006,10,2)</f>
        <v>38992</v>
      </c>
      <c r="E1317" s="8">
        <f t="shared" si="22"/>
        <v>2006</v>
      </c>
      <c r="F1317" t="s">
        <v>395</v>
      </c>
      <c r="G1317" s="9">
        <v>2500</v>
      </c>
      <c r="H1317" s="8">
        <v>5045</v>
      </c>
    </row>
    <row r="1318" spans="2:8" ht="17.5" customHeight="1" x14ac:dyDescent="0.4">
      <c r="B1318" s="3" t="s">
        <v>7</v>
      </c>
      <c r="C1318" s="3" t="s">
        <v>393</v>
      </c>
      <c r="D1318" s="4">
        <f>DATE(2003,5,23)</f>
        <v>37764</v>
      </c>
      <c r="E1318" s="5">
        <f t="shared" si="22"/>
        <v>2003</v>
      </c>
      <c r="F1318" s="3" t="s">
        <v>395</v>
      </c>
      <c r="G1318" s="6">
        <v>210</v>
      </c>
      <c r="H1318" s="5">
        <v>1000</v>
      </c>
    </row>
    <row r="1319" spans="2:8" ht="17.5" customHeight="1" x14ac:dyDescent="0.4">
      <c r="B1319" s="3" t="s">
        <v>7</v>
      </c>
      <c r="C1319" s="3" t="s">
        <v>393</v>
      </c>
      <c r="D1319" s="4">
        <f>DATE(2003,10,2)</f>
        <v>37896</v>
      </c>
      <c r="E1319" s="5">
        <f t="shared" si="22"/>
        <v>2003</v>
      </c>
      <c r="F1319" s="3" t="s">
        <v>395</v>
      </c>
      <c r="G1319" s="6">
        <v>819</v>
      </c>
      <c r="H1319" s="5">
        <v>1584</v>
      </c>
    </row>
    <row r="1320" spans="2:8" ht="17.5" customHeight="1" x14ac:dyDescent="0.4">
      <c r="B1320" s="3" t="s">
        <v>7</v>
      </c>
      <c r="C1320" s="3" t="s">
        <v>393</v>
      </c>
      <c r="D1320" s="4">
        <f>DATE(2003,10,16)</f>
        <v>37910</v>
      </c>
      <c r="E1320" s="5">
        <f t="shared" si="22"/>
        <v>2003</v>
      </c>
      <c r="F1320" s="3" t="s">
        <v>395</v>
      </c>
      <c r="G1320" s="6">
        <v>210</v>
      </c>
      <c r="H1320" s="5">
        <v>1657</v>
      </c>
    </row>
    <row r="1321" spans="2:8" ht="17.5" customHeight="1" x14ac:dyDescent="0.4">
      <c r="B1321" s="3" t="s">
        <v>7</v>
      </c>
      <c r="C1321" s="3" t="s">
        <v>393</v>
      </c>
      <c r="D1321" s="4">
        <f>DATE(2004,2,25)</f>
        <v>38042</v>
      </c>
      <c r="E1321" s="5">
        <f t="shared" si="22"/>
        <v>2004</v>
      </c>
      <c r="F1321" s="3" t="s">
        <v>395</v>
      </c>
      <c r="G1321" s="6">
        <v>74700</v>
      </c>
      <c r="H1321" s="5">
        <v>2090</v>
      </c>
    </row>
    <row r="1322" spans="2:8" ht="17.5" customHeight="1" x14ac:dyDescent="0.4">
      <c r="B1322" s="3" t="s">
        <v>7</v>
      </c>
      <c r="C1322" s="3" t="s">
        <v>393</v>
      </c>
      <c r="D1322" s="4">
        <f>DATE(2004,3,12)</f>
        <v>38058</v>
      </c>
      <c r="E1322" s="5">
        <f t="shared" si="22"/>
        <v>2004</v>
      </c>
      <c r="F1322" s="3" t="s">
        <v>395</v>
      </c>
      <c r="G1322" s="6">
        <v>2762</v>
      </c>
      <c r="H1322" s="5">
        <v>2383</v>
      </c>
    </row>
    <row r="1323" spans="2:8" ht="17.5" customHeight="1" x14ac:dyDescent="0.4">
      <c r="B1323" s="3" t="s">
        <v>7</v>
      </c>
      <c r="C1323" s="3" t="s">
        <v>393</v>
      </c>
      <c r="D1323" s="4">
        <f>DATE(2004,3,18)</f>
        <v>38064</v>
      </c>
      <c r="E1323" s="5">
        <f t="shared" si="22"/>
        <v>2004</v>
      </c>
      <c r="F1323" s="3" t="s">
        <v>395</v>
      </c>
      <c r="G1323" s="6">
        <v>58100</v>
      </c>
      <c r="H1323" s="5">
        <v>2090</v>
      </c>
    </row>
    <row r="1324" spans="2:8" ht="17.5" customHeight="1" x14ac:dyDescent="0.4">
      <c r="B1324" s="3" t="s">
        <v>7</v>
      </c>
      <c r="C1324" s="3" t="s">
        <v>393</v>
      </c>
      <c r="D1324" s="4">
        <f>DATE(2004,3,23)</f>
        <v>38069</v>
      </c>
      <c r="E1324" s="5">
        <f t="shared" si="22"/>
        <v>2004</v>
      </c>
      <c r="F1324" s="3" t="s">
        <v>395</v>
      </c>
      <c r="G1324" s="6">
        <v>16600</v>
      </c>
      <c r="H1324" s="5">
        <v>2090</v>
      </c>
    </row>
    <row r="1325" spans="2:8" ht="17.5" customHeight="1" x14ac:dyDescent="0.4">
      <c r="B1325" s="3" t="s">
        <v>7</v>
      </c>
      <c r="C1325" s="3" t="s">
        <v>393</v>
      </c>
      <c r="D1325" s="4">
        <f>DATE(2004,3,31)</f>
        <v>38077</v>
      </c>
      <c r="E1325" s="5">
        <f t="shared" si="22"/>
        <v>2004</v>
      </c>
      <c r="F1325" s="3" t="s">
        <v>395</v>
      </c>
      <c r="G1325" s="6">
        <v>649.12</v>
      </c>
      <c r="H1325" s="5">
        <v>2517</v>
      </c>
    </row>
    <row r="1326" spans="2:8" ht="17.5" customHeight="1" x14ac:dyDescent="0.4">
      <c r="B1326" s="3" t="s">
        <v>7</v>
      </c>
      <c r="C1326" s="3" t="s">
        <v>393</v>
      </c>
      <c r="D1326" s="4">
        <f>DATE(2004,4,16)</f>
        <v>38093</v>
      </c>
      <c r="E1326" s="5">
        <f t="shared" si="22"/>
        <v>2004</v>
      </c>
      <c r="F1326" s="3" t="s">
        <v>395</v>
      </c>
      <c r="G1326" s="6">
        <v>704.96</v>
      </c>
      <c r="H1326" s="5">
        <v>2676</v>
      </c>
    </row>
    <row r="1327" spans="2:8" ht="17.5" customHeight="1" x14ac:dyDescent="0.4">
      <c r="B1327" s="3" t="s">
        <v>7</v>
      </c>
      <c r="C1327" s="3" t="s">
        <v>393</v>
      </c>
      <c r="D1327" s="4">
        <f>DATE(2004,4,28)</f>
        <v>38105</v>
      </c>
      <c r="E1327" s="5">
        <f t="shared" si="22"/>
        <v>2004</v>
      </c>
      <c r="F1327" s="3" t="s">
        <v>395</v>
      </c>
      <c r="G1327" s="6">
        <v>1800</v>
      </c>
      <c r="H1327" s="5">
        <v>2748</v>
      </c>
    </row>
    <row r="1328" spans="2:8" ht="17.5" customHeight="1" x14ac:dyDescent="0.4">
      <c r="B1328" s="3" t="s">
        <v>7</v>
      </c>
      <c r="C1328" s="3" t="s">
        <v>393</v>
      </c>
      <c r="D1328" s="4">
        <f>DATE(2004,4,30)</f>
        <v>38107</v>
      </c>
      <c r="E1328" s="5">
        <f t="shared" si="22"/>
        <v>2004</v>
      </c>
      <c r="F1328" s="3" t="s">
        <v>395</v>
      </c>
      <c r="G1328" s="6">
        <v>300</v>
      </c>
      <c r="H1328" s="5">
        <v>2801</v>
      </c>
    </row>
    <row r="1329" spans="2:8" ht="17.5" customHeight="1" x14ac:dyDescent="0.4">
      <c r="B1329" s="3" t="s">
        <v>7</v>
      </c>
      <c r="C1329" s="3" t="s">
        <v>393</v>
      </c>
      <c r="D1329" s="4">
        <f>DATE(2004,4,30)</f>
        <v>38107</v>
      </c>
      <c r="E1329" s="5">
        <f t="shared" si="22"/>
        <v>2004</v>
      </c>
      <c r="F1329" s="3" t="s">
        <v>395</v>
      </c>
      <c r="G1329" s="6">
        <v>74700</v>
      </c>
      <c r="H1329" s="5">
        <v>2090</v>
      </c>
    </row>
    <row r="1330" spans="2:8" ht="17.5" customHeight="1" x14ac:dyDescent="0.4">
      <c r="B1330" s="3" t="s">
        <v>7</v>
      </c>
      <c r="C1330" s="3" t="s">
        <v>393</v>
      </c>
      <c r="D1330" s="4">
        <f>DATE(2004,5,6)</f>
        <v>38113</v>
      </c>
      <c r="E1330" s="5">
        <f t="shared" si="22"/>
        <v>2004</v>
      </c>
      <c r="F1330" s="3" t="s">
        <v>395</v>
      </c>
      <c r="G1330" s="6">
        <v>1800</v>
      </c>
      <c r="H1330" s="5">
        <v>2843</v>
      </c>
    </row>
    <row r="1331" spans="2:8" ht="17.5" customHeight="1" x14ac:dyDescent="0.4">
      <c r="B1331" s="3" t="s">
        <v>7</v>
      </c>
      <c r="C1331" s="3" t="s">
        <v>393</v>
      </c>
      <c r="D1331" s="4">
        <f>DATE(2004,8,31)</f>
        <v>38230</v>
      </c>
      <c r="E1331" s="5">
        <f t="shared" si="22"/>
        <v>2004</v>
      </c>
      <c r="F1331" s="3" t="s">
        <v>395</v>
      </c>
      <c r="G1331" s="6">
        <v>3600</v>
      </c>
      <c r="H1331" s="5">
        <v>3322</v>
      </c>
    </row>
    <row r="1332" spans="2:8" ht="17.5" customHeight="1" x14ac:dyDescent="0.4">
      <c r="B1332" s="3" t="s">
        <v>7</v>
      </c>
      <c r="C1332" s="3" t="s">
        <v>393</v>
      </c>
      <c r="D1332" s="4">
        <f>DATE(2004,11,24)</f>
        <v>38315</v>
      </c>
      <c r="E1332" s="5">
        <f t="shared" si="22"/>
        <v>2004</v>
      </c>
      <c r="F1332" s="3" t="s">
        <v>395</v>
      </c>
      <c r="G1332" s="6">
        <v>74700</v>
      </c>
      <c r="H1332" s="5">
        <v>3582</v>
      </c>
    </row>
    <row r="1333" spans="2:8" ht="17.5" customHeight="1" x14ac:dyDescent="0.4">
      <c r="B1333" s="3" t="s">
        <v>7</v>
      </c>
      <c r="C1333" s="3" t="s">
        <v>393</v>
      </c>
      <c r="D1333" s="4">
        <f>DATE(2004,12,28)</f>
        <v>38349</v>
      </c>
      <c r="E1333" s="5">
        <f t="shared" si="22"/>
        <v>2004</v>
      </c>
      <c r="F1333" s="3" t="s">
        <v>395</v>
      </c>
      <c r="G1333" s="6">
        <v>74700</v>
      </c>
      <c r="H1333" s="5">
        <v>3812</v>
      </c>
    </row>
    <row r="1334" spans="2:8" ht="17.5" customHeight="1" x14ac:dyDescent="0.4">
      <c r="B1334" s="3" t="s">
        <v>7</v>
      </c>
      <c r="C1334" s="3" t="s">
        <v>393</v>
      </c>
      <c r="D1334" s="4">
        <f>DATE(2005,1,11)</f>
        <v>38363</v>
      </c>
      <c r="E1334" s="5">
        <f t="shared" si="22"/>
        <v>2005</v>
      </c>
      <c r="F1334" s="3" t="s">
        <v>395</v>
      </c>
      <c r="G1334" s="6">
        <v>4320</v>
      </c>
      <c r="H1334" s="5">
        <v>3941</v>
      </c>
    </row>
    <row r="1335" spans="2:8" ht="17.5" customHeight="1" x14ac:dyDescent="0.4">
      <c r="B1335" s="3" t="s">
        <v>7</v>
      </c>
      <c r="C1335" s="3" t="s">
        <v>393</v>
      </c>
      <c r="D1335" s="4">
        <f>DATE(2005,2,28)</f>
        <v>38411</v>
      </c>
      <c r="E1335" s="5">
        <f t="shared" si="22"/>
        <v>2005</v>
      </c>
      <c r="F1335" s="3" t="s">
        <v>395</v>
      </c>
      <c r="G1335" s="6">
        <v>450</v>
      </c>
      <c r="H1335" s="5">
        <v>4212</v>
      </c>
    </row>
    <row r="1336" spans="2:8" ht="17.5" customHeight="1" x14ac:dyDescent="0.4">
      <c r="B1336" s="3" t="s">
        <v>7</v>
      </c>
      <c r="C1336" s="3" t="s">
        <v>393</v>
      </c>
      <c r="D1336" s="4">
        <f>DATE(2005,3,7)</f>
        <v>38418</v>
      </c>
      <c r="E1336" s="5">
        <f t="shared" si="22"/>
        <v>2005</v>
      </c>
      <c r="F1336" s="3" t="s">
        <v>395</v>
      </c>
      <c r="G1336" s="6">
        <v>345</v>
      </c>
      <c r="H1336" s="5">
        <v>4254</v>
      </c>
    </row>
    <row r="1337" spans="2:8" ht="17.5" customHeight="1" x14ac:dyDescent="0.4">
      <c r="B1337" s="3" t="s">
        <v>7</v>
      </c>
      <c r="C1337" s="3" t="s">
        <v>393</v>
      </c>
      <c r="D1337" s="4">
        <f>DATE(2005,5,10)</f>
        <v>38482</v>
      </c>
      <c r="E1337" s="5">
        <f t="shared" si="22"/>
        <v>2005</v>
      </c>
      <c r="F1337" s="3" t="s">
        <v>395</v>
      </c>
      <c r="G1337" s="6">
        <v>1157</v>
      </c>
      <c r="H1337" s="5">
        <v>4731</v>
      </c>
    </row>
    <row r="1338" spans="2:8" ht="17.5" customHeight="1" x14ac:dyDescent="0.4">
      <c r="B1338" s="3" t="s">
        <v>7</v>
      </c>
      <c r="C1338" s="3" t="s">
        <v>393</v>
      </c>
      <c r="D1338" s="4">
        <f>DATE(2005,5,18)</f>
        <v>38490</v>
      </c>
      <c r="E1338" s="5">
        <f t="shared" si="22"/>
        <v>2005</v>
      </c>
      <c r="F1338" s="3" t="s">
        <v>395</v>
      </c>
      <c r="G1338" s="6">
        <v>341</v>
      </c>
      <c r="H1338" s="5">
        <v>4763</v>
      </c>
    </row>
    <row r="1339" spans="2:8" ht="17.5" customHeight="1" x14ac:dyDescent="0.4">
      <c r="B1339" s="3" t="s">
        <v>7</v>
      </c>
      <c r="C1339" s="3" t="s">
        <v>393</v>
      </c>
      <c r="D1339" s="4">
        <f>DATE(2005,7,18)</f>
        <v>38551</v>
      </c>
      <c r="E1339" s="5">
        <f t="shared" si="22"/>
        <v>2005</v>
      </c>
      <c r="F1339" s="3" t="s">
        <v>395</v>
      </c>
      <c r="G1339" s="6">
        <v>74700</v>
      </c>
      <c r="H1339" s="5">
        <v>4837</v>
      </c>
    </row>
    <row r="1340" spans="2:8" ht="17.5" customHeight="1" x14ac:dyDescent="0.4">
      <c r="B1340" s="3" t="s">
        <v>7</v>
      </c>
      <c r="C1340" s="3" t="s">
        <v>393</v>
      </c>
      <c r="D1340" s="4">
        <f>DATE(2005,9,12)</f>
        <v>38607</v>
      </c>
      <c r="E1340" s="5">
        <f t="shared" si="22"/>
        <v>2005</v>
      </c>
      <c r="F1340" s="3" t="s">
        <v>395</v>
      </c>
      <c r="G1340" s="6">
        <v>675</v>
      </c>
      <c r="H1340" s="5">
        <v>5235</v>
      </c>
    </row>
    <row r="1341" spans="2:8" ht="17.5" customHeight="1" x14ac:dyDescent="0.4">
      <c r="B1341" s="3" t="s">
        <v>7</v>
      </c>
      <c r="C1341" s="3" t="s">
        <v>393</v>
      </c>
      <c r="D1341" s="4">
        <f>DATE(2005,10,4)</f>
        <v>38629</v>
      </c>
      <c r="E1341" s="5">
        <f t="shared" si="22"/>
        <v>2005</v>
      </c>
      <c r="F1341" s="3" t="s">
        <v>395</v>
      </c>
      <c r="G1341" s="6">
        <v>42000</v>
      </c>
      <c r="H1341" s="5">
        <v>5162</v>
      </c>
    </row>
    <row r="1342" spans="2:8" ht="17.5" customHeight="1" x14ac:dyDescent="0.4">
      <c r="B1342" s="3" t="s">
        <v>7</v>
      </c>
      <c r="C1342" s="3" t="s">
        <v>393</v>
      </c>
      <c r="D1342" s="4">
        <f>DATE(2006,3,21)</f>
        <v>38797</v>
      </c>
      <c r="E1342" s="5">
        <f t="shared" si="22"/>
        <v>2006</v>
      </c>
      <c r="F1342" s="3" t="s">
        <v>395</v>
      </c>
      <c r="G1342" s="6">
        <v>331</v>
      </c>
      <c r="H1342" s="5">
        <v>6350</v>
      </c>
    </row>
    <row r="1343" spans="2:8" ht="17.5" customHeight="1" x14ac:dyDescent="0.4">
      <c r="B1343" s="3" t="s">
        <v>7</v>
      </c>
      <c r="C1343" s="3" t="s">
        <v>393</v>
      </c>
      <c r="D1343" s="4">
        <f>DATE(2006,3,24)</f>
        <v>38800</v>
      </c>
      <c r="E1343" s="5">
        <f t="shared" si="22"/>
        <v>2006</v>
      </c>
      <c r="F1343" s="3" t="s">
        <v>395</v>
      </c>
      <c r="G1343" s="6">
        <v>376</v>
      </c>
      <c r="H1343" s="5">
        <v>6350</v>
      </c>
    </row>
    <row r="1344" spans="2:8" ht="17.5" customHeight="1" x14ac:dyDescent="0.4">
      <c r="B1344" s="3" t="s">
        <v>7</v>
      </c>
      <c r="C1344" s="3" t="s">
        <v>393</v>
      </c>
      <c r="D1344" s="4">
        <f>DATE(2006,4,25)</f>
        <v>38832</v>
      </c>
      <c r="E1344" s="5">
        <f t="shared" si="22"/>
        <v>2006</v>
      </c>
      <c r="F1344" s="3" t="s">
        <v>395</v>
      </c>
      <c r="G1344" s="6">
        <v>71820</v>
      </c>
      <c r="H1344" s="5">
        <v>6427</v>
      </c>
    </row>
    <row r="1345" spans="2:8" ht="17.5" customHeight="1" x14ac:dyDescent="0.4">
      <c r="B1345" s="3" t="s">
        <v>7</v>
      </c>
      <c r="C1345" s="3" t="s">
        <v>393</v>
      </c>
      <c r="D1345" s="4">
        <f>DATE(2006,7,17)</f>
        <v>38915</v>
      </c>
      <c r="E1345" s="5">
        <f t="shared" si="22"/>
        <v>2006</v>
      </c>
      <c r="F1345" s="3" t="s">
        <v>395</v>
      </c>
      <c r="G1345" s="6">
        <v>400</v>
      </c>
      <c r="H1345" s="5">
        <v>6947</v>
      </c>
    </row>
    <row r="1346" spans="2:8" ht="17.5" customHeight="1" x14ac:dyDescent="0.4">
      <c r="B1346" s="3" t="s">
        <v>7</v>
      </c>
      <c r="C1346" s="3" t="s">
        <v>393</v>
      </c>
      <c r="D1346" s="4">
        <f>DATE(2006,7,21)</f>
        <v>38919</v>
      </c>
      <c r="E1346" s="5">
        <f t="shared" si="22"/>
        <v>2006</v>
      </c>
      <c r="F1346" s="3" t="s">
        <v>395</v>
      </c>
      <c r="G1346" s="6">
        <v>6460</v>
      </c>
      <c r="H1346" s="5">
        <v>6965</v>
      </c>
    </row>
    <row r="1347" spans="2:8" ht="17.5" customHeight="1" x14ac:dyDescent="0.4">
      <c r="B1347" s="3" t="s">
        <v>7</v>
      </c>
      <c r="C1347" s="3" t="s">
        <v>393</v>
      </c>
      <c r="D1347" s="4">
        <f>DATE(2006,7,28)</f>
        <v>38926</v>
      </c>
      <c r="E1347" s="5">
        <f t="shared" ref="E1347:E1410" si="23">YEAR(D1347)</f>
        <v>2006</v>
      </c>
      <c r="F1347" s="3" t="s">
        <v>395</v>
      </c>
      <c r="G1347" s="6">
        <v>400</v>
      </c>
      <c r="H1347" s="5">
        <v>7005</v>
      </c>
    </row>
    <row r="1348" spans="2:8" ht="17.5" customHeight="1" x14ac:dyDescent="0.4">
      <c r="B1348" s="3" t="s">
        <v>7</v>
      </c>
      <c r="C1348" s="3" t="s">
        <v>393</v>
      </c>
      <c r="D1348" s="4">
        <f>DATE(2006,10,2)</f>
        <v>38992</v>
      </c>
      <c r="E1348" s="5">
        <f t="shared" si="23"/>
        <v>2006</v>
      </c>
      <c r="F1348" s="3" t="s">
        <v>395</v>
      </c>
      <c r="G1348" s="6">
        <v>68</v>
      </c>
      <c r="H1348" s="5">
        <v>7332</v>
      </c>
    </row>
    <row r="1349" spans="2:8" ht="17.5" customHeight="1" x14ac:dyDescent="0.4">
      <c r="B1349" s="3" t="s">
        <v>7</v>
      </c>
      <c r="C1349" s="3" t="s">
        <v>393</v>
      </c>
      <c r="D1349" s="4">
        <f>DATE(2007,2,8)</f>
        <v>39121</v>
      </c>
      <c r="E1349" s="5">
        <f t="shared" si="23"/>
        <v>2007</v>
      </c>
      <c r="F1349" s="3" t="s">
        <v>395</v>
      </c>
      <c r="G1349" s="6">
        <v>4020</v>
      </c>
      <c r="H1349" s="5">
        <v>7906</v>
      </c>
    </row>
    <row r="1350" spans="2:8" ht="17.5" customHeight="1" x14ac:dyDescent="0.4">
      <c r="B1350" s="3" t="s">
        <v>7</v>
      </c>
      <c r="C1350" s="3" t="s">
        <v>393</v>
      </c>
      <c r="D1350" s="4">
        <f>DATE(2007,2,14)</f>
        <v>39127</v>
      </c>
      <c r="E1350" s="5">
        <f t="shared" si="23"/>
        <v>2007</v>
      </c>
      <c r="F1350" s="3" t="s">
        <v>395</v>
      </c>
      <c r="G1350" s="6">
        <v>978.5</v>
      </c>
      <c r="H1350" s="5">
        <v>7942</v>
      </c>
    </row>
    <row r="1351" spans="2:8" ht="17.5" customHeight="1" x14ac:dyDescent="0.4">
      <c r="B1351" s="3" t="s">
        <v>7</v>
      </c>
      <c r="C1351" s="3" t="s">
        <v>393</v>
      </c>
      <c r="D1351" s="4">
        <f>DATE(2007,2,20)</f>
        <v>39133</v>
      </c>
      <c r="E1351" s="5">
        <f t="shared" si="23"/>
        <v>2007</v>
      </c>
      <c r="F1351" s="3" t="s">
        <v>395</v>
      </c>
      <c r="G1351" s="6">
        <v>1570</v>
      </c>
      <c r="H1351" s="5">
        <v>7982</v>
      </c>
    </row>
    <row r="1352" spans="2:8" ht="17.5" customHeight="1" x14ac:dyDescent="0.4">
      <c r="B1352" s="3" t="s">
        <v>7</v>
      </c>
      <c r="C1352" s="3" t="s">
        <v>393</v>
      </c>
      <c r="D1352" s="4">
        <f>DATE(2007,3,14)</f>
        <v>39155</v>
      </c>
      <c r="E1352" s="5">
        <f t="shared" si="23"/>
        <v>2007</v>
      </c>
      <c r="F1352" s="3" t="s">
        <v>395</v>
      </c>
      <c r="G1352" s="6">
        <v>271.89999999999998</v>
      </c>
      <c r="H1352" s="5">
        <v>8122</v>
      </c>
    </row>
    <row r="1353" spans="2:8" ht="17.5" customHeight="1" x14ac:dyDescent="0.4">
      <c r="B1353" s="3" t="s">
        <v>7</v>
      </c>
      <c r="C1353" s="3" t="s">
        <v>393</v>
      </c>
      <c r="D1353" s="4">
        <f>DATE(2007,5,23)</f>
        <v>39225</v>
      </c>
      <c r="E1353" s="5">
        <f t="shared" si="23"/>
        <v>2007</v>
      </c>
      <c r="F1353" s="3" t="s">
        <v>395</v>
      </c>
      <c r="G1353" s="6">
        <v>4020</v>
      </c>
      <c r="H1353" s="5">
        <v>8623</v>
      </c>
    </row>
    <row r="1354" spans="2:8" ht="17.5" customHeight="1" x14ac:dyDescent="0.4">
      <c r="B1354" s="3" t="s">
        <v>7</v>
      </c>
      <c r="C1354" s="3" t="s">
        <v>393</v>
      </c>
      <c r="D1354" s="4">
        <f>DATE(2007,6,1)</f>
        <v>39234</v>
      </c>
      <c r="E1354" s="5">
        <f t="shared" si="23"/>
        <v>2007</v>
      </c>
      <c r="F1354" s="3" t="s">
        <v>395</v>
      </c>
      <c r="G1354" s="6">
        <v>777.4</v>
      </c>
      <c r="H1354" s="5">
        <v>8686</v>
      </c>
    </row>
    <row r="1355" spans="2:8" ht="17.5" customHeight="1" x14ac:dyDescent="0.4">
      <c r="B1355" s="3" t="s">
        <v>7</v>
      </c>
      <c r="C1355" s="3" t="s">
        <v>393</v>
      </c>
      <c r="D1355" s="4">
        <f>DATE(2007,6,28)</f>
        <v>39261</v>
      </c>
      <c r="E1355" s="5">
        <f t="shared" si="23"/>
        <v>2007</v>
      </c>
      <c r="F1355" s="3" t="s">
        <v>395</v>
      </c>
      <c r="G1355" s="6">
        <v>516</v>
      </c>
      <c r="H1355" s="5">
        <v>8806</v>
      </c>
    </row>
    <row r="1356" spans="2:8" ht="17.5" customHeight="1" x14ac:dyDescent="0.4">
      <c r="B1356" s="3" t="s">
        <v>7</v>
      </c>
      <c r="C1356" s="3" t="s">
        <v>393</v>
      </c>
      <c r="D1356" s="4">
        <f>DATE(2007,7,9)</f>
        <v>39272</v>
      </c>
      <c r="E1356" s="5">
        <f t="shared" si="23"/>
        <v>2007</v>
      </c>
      <c r="F1356" s="3" t="s">
        <v>395</v>
      </c>
      <c r="G1356" s="6">
        <v>115</v>
      </c>
      <c r="H1356" s="5">
        <v>8856</v>
      </c>
    </row>
    <row r="1357" spans="2:8" ht="17.5" customHeight="1" x14ac:dyDescent="0.4">
      <c r="B1357" s="3" t="s">
        <v>7</v>
      </c>
      <c r="C1357" s="3" t="s">
        <v>393</v>
      </c>
      <c r="D1357" s="4">
        <f>DATE(2007,11,28)</f>
        <v>39414</v>
      </c>
      <c r="E1357" s="5">
        <f t="shared" si="23"/>
        <v>2007</v>
      </c>
      <c r="F1357" s="3" t="s">
        <v>395</v>
      </c>
      <c r="G1357" s="6">
        <v>1795</v>
      </c>
      <c r="H1357" s="5">
        <v>9526</v>
      </c>
    </row>
    <row r="1358" spans="2:8" ht="17.5" customHeight="1" x14ac:dyDescent="0.4">
      <c r="B1358" s="3" t="s">
        <v>7</v>
      </c>
      <c r="C1358" s="3" t="s">
        <v>393</v>
      </c>
      <c r="D1358" s="4">
        <f>DATE(2007,12,13)</f>
        <v>39429</v>
      </c>
      <c r="E1358" s="5">
        <f t="shared" si="23"/>
        <v>2007</v>
      </c>
      <c r="F1358" s="3" t="s">
        <v>395</v>
      </c>
      <c r="G1358" s="6">
        <v>10055</v>
      </c>
      <c r="H1358" s="5">
        <v>9419</v>
      </c>
    </row>
    <row r="1359" spans="2:8" ht="17.5" customHeight="1" x14ac:dyDescent="0.4">
      <c r="B1359" s="3" t="s">
        <v>7</v>
      </c>
      <c r="C1359" s="3" t="s">
        <v>393</v>
      </c>
      <c r="D1359" s="4">
        <f>DATE(2008,2,18)</f>
        <v>39496</v>
      </c>
      <c r="E1359" s="5">
        <f t="shared" si="23"/>
        <v>2008</v>
      </c>
      <c r="F1359" s="3" t="s">
        <v>395</v>
      </c>
      <c r="G1359" s="6">
        <v>396</v>
      </c>
      <c r="H1359" s="5">
        <v>9976</v>
      </c>
    </row>
    <row r="1360" spans="2:8" ht="17.5" customHeight="1" x14ac:dyDescent="0.4">
      <c r="B1360" s="3" t="s">
        <v>7</v>
      </c>
      <c r="C1360" s="3" t="s">
        <v>393</v>
      </c>
      <c r="D1360" s="4">
        <f>DATE(2008,2,26)</f>
        <v>39504</v>
      </c>
      <c r="E1360" s="5">
        <f t="shared" si="23"/>
        <v>2008</v>
      </c>
      <c r="F1360" s="3" t="s">
        <v>395</v>
      </c>
      <c r="G1360" s="6">
        <v>37984.04</v>
      </c>
      <c r="H1360" s="5">
        <v>9992</v>
      </c>
    </row>
    <row r="1361" spans="2:8" ht="17.5" customHeight="1" x14ac:dyDescent="0.4">
      <c r="B1361" s="3" t="s">
        <v>7</v>
      </c>
      <c r="C1361" s="3" t="s">
        <v>393</v>
      </c>
      <c r="D1361" s="4">
        <f>DATE(2008,4,24)</f>
        <v>39562</v>
      </c>
      <c r="E1361" s="5">
        <f t="shared" si="23"/>
        <v>2008</v>
      </c>
      <c r="F1361" s="3" t="s">
        <v>395</v>
      </c>
      <c r="G1361" s="6">
        <v>25260</v>
      </c>
      <c r="H1361" s="5">
        <v>10555</v>
      </c>
    </row>
    <row r="1362" spans="2:8" ht="17.5" customHeight="1" x14ac:dyDescent="0.4">
      <c r="B1362" s="3" t="s">
        <v>7</v>
      </c>
      <c r="C1362" s="3" t="s">
        <v>393</v>
      </c>
      <c r="D1362" s="4">
        <f>DATE(2008,4,29)</f>
        <v>39567</v>
      </c>
      <c r="E1362" s="5">
        <f t="shared" si="23"/>
        <v>2008</v>
      </c>
      <c r="F1362" s="3" t="s">
        <v>395</v>
      </c>
      <c r="G1362" s="6">
        <v>12630</v>
      </c>
      <c r="H1362" s="5">
        <v>10555</v>
      </c>
    </row>
    <row r="1363" spans="2:8" ht="17.5" customHeight="1" x14ac:dyDescent="0.4">
      <c r="B1363" s="3" t="s">
        <v>7</v>
      </c>
      <c r="C1363" s="3" t="s">
        <v>393</v>
      </c>
      <c r="D1363" s="4">
        <f>DATE(2009,1,16)</f>
        <v>39829</v>
      </c>
      <c r="E1363" s="5">
        <f t="shared" si="23"/>
        <v>2009</v>
      </c>
      <c r="F1363" s="3" t="s">
        <v>395</v>
      </c>
      <c r="G1363" s="6">
        <v>83000</v>
      </c>
      <c r="H1363" s="5">
        <v>11749</v>
      </c>
    </row>
    <row r="1364" spans="2:8" ht="17.5" customHeight="1" x14ac:dyDescent="0.4">
      <c r="B1364" s="3" t="s">
        <v>7</v>
      </c>
      <c r="C1364" s="3" t="s">
        <v>393</v>
      </c>
      <c r="D1364" s="4">
        <f>DATE(2009,2,10)</f>
        <v>39854</v>
      </c>
      <c r="E1364" s="5">
        <f t="shared" si="23"/>
        <v>2009</v>
      </c>
      <c r="F1364" s="3" t="s">
        <v>395</v>
      </c>
      <c r="G1364" s="6">
        <v>20750</v>
      </c>
      <c r="H1364" s="5">
        <v>11790</v>
      </c>
    </row>
    <row r="1365" spans="2:8" ht="17.5" customHeight="1" x14ac:dyDescent="0.4">
      <c r="B1365" s="3" t="s">
        <v>7</v>
      </c>
      <c r="C1365" s="3" t="s">
        <v>393</v>
      </c>
      <c r="D1365" s="4">
        <f>DATE(2009,4,15)</f>
        <v>39918</v>
      </c>
      <c r="E1365" s="5">
        <f t="shared" si="23"/>
        <v>2009</v>
      </c>
      <c r="F1365" s="3" t="s">
        <v>395</v>
      </c>
      <c r="G1365" s="6">
        <v>331</v>
      </c>
      <c r="H1365" s="5">
        <v>12382</v>
      </c>
    </row>
    <row r="1366" spans="2:8" ht="17.5" customHeight="1" x14ac:dyDescent="0.4">
      <c r="B1366" s="3" t="s">
        <v>7</v>
      </c>
      <c r="C1366" s="3" t="s">
        <v>393</v>
      </c>
      <c r="D1366" s="4">
        <f>DATE(2009,4,23)</f>
        <v>39926</v>
      </c>
      <c r="E1366" s="5">
        <f t="shared" si="23"/>
        <v>2009</v>
      </c>
      <c r="F1366" s="3" t="s">
        <v>395</v>
      </c>
      <c r="G1366" s="6">
        <v>83000</v>
      </c>
      <c r="H1366" s="5">
        <v>12315</v>
      </c>
    </row>
    <row r="1367" spans="2:8" ht="17.5" customHeight="1" x14ac:dyDescent="0.4">
      <c r="B1367" s="3" t="s">
        <v>7</v>
      </c>
      <c r="C1367" s="3" t="s">
        <v>393</v>
      </c>
      <c r="D1367" s="4">
        <f>DATE(2009,4,23)</f>
        <v>39926</v>
      </c>
      <c r="E1367" s="5">
        <f t="shared" si="23"/>
        <v>2009</v>
      </c>
      <c r="F1367" s="3" t="s">
        <v>395</v>
      </c>
      <c r="G1367" s="6">
        <v>2512.5</v>
      </c>
      <c r="H1367" s="5">
        <v>12385</v>
      </c>
    </row>
    <row r="1368" spans="2:8" ht="17.5" customHeight="1" x14ac:dyDescent="0.4">
      <c r="B1368" s="3" t="s">
        <v>7</v>
      </c>
      <c r="C1368" s="3" t="s">
        <v>393</v>
      </c>
      <c r="D1368" s="4">
        <f>DATE(2009,5,1)</f>
        <v>39934</v>
      </c>
      <c r="E1368" s="5">
        <f t="shared" si="23"/>
        <v>2009</v>
      </c>
      <c r="F1368" s="3" t="s">
        <v>395</v>
      </c>
      <c r="G1368" s="6">
        <v>222</v>
      </c>
      <c r="H1368" s="5">
        <v>12468</v>
      </c>
    </row>
    <row r="1369" spans="2:8" ht="17.5" customHeight="1" x14ac:dyDescent="0.4">
      <c r="B1369" s="3" t="s">
        <v>7</v>
      </c>
      <c r="C1369" s="3" t="s">
        <v>393</v>
      </c>
      <c r="D1369" s="4">
        <f>DATE(2009,10,9)</f>
        <v>40095</v>
      </c>
      <c r="E1369" s="5">
        <f t="shared" si="23"/>
        <v>2009</v>
      </c>
      <c r="F1369" s="3" t="s">
        <v>395</v>
      </c>
      <c r="G1369" s="6">
        <v>1148</v>
      </c>
      <c r="H1369" s="5">
        <v>13123</v>
      </c>
    </row>
    <row r="1370" spans="2:8" ht="17.5" customHeight="1" x14ac:dyDescent="0.4">
      <c r="B1370" s="3" t="s">
        <v>7</v>
      </c>
      <c r="C1370" s="3" t="s">
        <v>393</v>
      </c>
      <c r="D1370" s="4">
        <f>DATE(2009,10,21)</f>
        <v>40107</v>
      </c>
      <c r="E1370" s="5">
        <f t="shared" si="23"/>
        <v>2009</v>
      </c>
      <c r="F1370" s="3" t="s">
        <v>395</v>
      </c>
      <c r="G1370" s="6">
        <v>942.75</v>
      </c>
      <c r="H1370" s="5">
        <v>13165</v>
      </c>
    </row>
    <row r="1371" spans="2:8" ht="17.5" customHeight="1" x14ac:dyDescent="0.4">
      <c r="B1371" s="3" t="s">
        <v>7</v>
      </c>
      <c r="C1371" s="3" t="s">
        <v>393</v>
      </c>
      <c r="D1371" s="4">
        <f>DATE(2009,11,13)</f>
        <v>40130</v>
      </c>
      <c r="E1371" s="5">
        <f t="shared" si="23"/>
        <v>2009</v>
      </c>
      <c r="F1371" s="3" t="s">
        <v>395</v>
      </c>
      <c r="G1371" s="6">
        <v>262.5</v>
      </c>
      <c r="H1371" s="5">
        <v>13261</v>
      </c>
    </row>
    <row r="1372" spans="2:8" ht="17.5" customHeight="1" x14ac:dyDescent="0.4">
      <c r="B1372" s="3" t="s">
        <v>7</v>
      </c>
      <c r="C1372" s="3" t="s">
        <v>393</v>
      </c>
      <c r="D1372" s="4">
        <f>DATE(2009,11,27)</f>
        <v>40144</v>
      </c>
      <c r="E1372" s="5">
        <f t="shared" si="23"/>
        <v>2009</v>
      </c>
      <c r="F1372" s="3" t="s">
        <v>395</v>
      </c>
      <c r="G1372" s="6">
        <v>7370</v>
      </c>
      <c r="H1372" s="5">
        <v>13308</v>
      </c>
    </row>
    <row r="1373" spans="2:8" ht="17.5" customHeight="1" x14ac:dyDescent="0.4">
      <c r="B1373" s="3" t="s">
        <v>7</v>
      </c>
      <c r="C1373" s="3" t="s">
        <v>393</v>
      </c>
      <c r="D1373" s="4">
        <f>DATE(2009,12,2)</f>
        <v>40149</v>
      </c>
      <c r="E1373" s="5">
        <f t="shared" si="23"/>
        <v>2009</v>
      </c>
      <c r="F1373" s="3" t="s">
        <v>395</v>
      </c>
      <c r="G1373" s="6">
        <v>79800</v>
      </c>
      <c r="H1373" s="5">
        <v>13220</v>
      </c>
    </row>
    <row r="1374" spans="2:8" ht="17.5" customHeight="1" x14ac:dyDescent="0.4">
      <c r="B1374" s="3" t="s">
        <v>7</v>
      </c>
      <c r="C1374" s="3" t="s">
        <v>393</v>
      </c>
      <c r="D1374" s="4">
        <f>DATE(2010,2,5)</f>
        <v>40214</v>
      </c>
      <c r="E1374" s="5">
        <f t="shared" si="23"/>
        <v>2010</v>
      </c>
      <c r="F1374" s="3" t="s">
        <v>395</v>
      </c>
      <c r="G1374" s="6">
        <v>4080</v>
      </c>
      <c r="H1374" s="5">
        <v>13559</v>
      </c>
    </row>
    <row r="1375" spans="2:8" ht="17.5" customHeight="1" x14ac:dyDescent="0.4">
      <c r="B1375" s="3" t="s">
        <v>7</v>
      </c>
      <c r="C1375" s="3" t="s">
        <v>393</v>
      </c>
      <c r="D1375" s="4">
        <f>DATE(2010,3,3)</f>
        <v>40240</v>
      </c>
      <c r="E1375" s="5">
        <f t="shared" si="23"/>
        <v>2010</v>
      </c>
      <c r="F1375" s="3" t="s">
        <v>395</v>
      </c>
      <c r="G1375" s="6">
        <v>4080</v>
      </c>
      <c r="H1375" s="5">
        <v>13682</v>
      </c>
    </row>
    <row r="1376" spans="2:8" ht="17.5" customHeight="1" x14ac:dyDescent="0.4">
      <c r="B1376" s="3" t="s">
        <v>7</v>
      </c>
      <c r="C1376" s="3" t="s">
        <v>393</v>
      </c>
      <c r="D1376" s="4">
        <f>DATE(2010,4,21)</f>
        <v>40289</v>
      </c>
      <c r="E1376" s="5">
        <f t="shared" si="23"/>
        <v>2010</v>
      </c>
      <c r="F1376" s="3" t="s">
        <v>395</v>
      </c>
      <c r="G1376" s="6">
        <v>770.67</v>
      </c>
      <c r="H1376" s="5">
        <v>13936</v>
      </c>
    </row>
    <row r="1377" spans="2:8" ht="17.5" customHeight="1" x14ac:dyDescent="0.4">
      <c r="B1377" s="3" t="s">
        <v>7</v>
      </c>
      <c r="C1377" s="3" t="s">
        <v>393</v>
      </c>
      <c r="D1377" s="4">
        <f>DATE(2010,4,30)</f>
        <v>40298</v>
      </c>
      <c r="E1377" s="5">
        <f t="shared" si="23"/>
        <v>2010</v>
      </c>
      <c r="F1377" s="3" t="s">
        <v>395</v>
      </c>
      <c r="G1377" s="6">
        <v>262.5</v>
      </c>
      <c r="H1377" s="5">
        <v>13965</v>
      </c>
    </row>
    <row r="1378" spans="2:8" ht="17.5" customHeight="1" x14ac:dyDescent="0.4">
      <c r="B1378" s="3" t="s">
        <v>7</v>
      </c>
      <c r="C1378" s="3" t="s">
        <v>393</v>
      </c>
      <c r="D1378" s="4">
        <f>DATE(2010,4,30)</f>
        <v>40298</v>
      </c>
      <c r="E1378" s="5">
        <f t="shared" si="23"/>
        <v>2010</v>
      </c>
      <c r="F1378" s="3" t="s">
        <v>395</v>
      </c>
      <c r="G1378" s="6">
        <v>370</v>
      </c>
      <c r="H1378" s="5">
        <v>13995</v>
      </c>
    </row>
    <row r="1379" spans="2:8" ht="17.5" customHeight="1" x14ac:dyDescent="0.4">
      <c r="B1379" s="3" t="s">
        <v>7</v>
      </c>
      <c r="C1379" s="3" t="s">
        <v>393</v>
      </c>
      <c r="D1379" s="4">
        <f>DATE(2010,5,19)</f>
        <v>40317</v>
      </c>
      <c r="E1379" s="5">
        <f t="shared" si="23"/>
        <v>2010</v>
      </c>
      <c r="F1379" s="3" t="s">
        <v>395</v>
      </c>
      <c r="G1379" s="6">
        <v>1295.5</v>
      </c>
      <c r="H1379" s="5">
        <v>14043</v>
      </c>
    </row>
    <row r="1380" spans="2:8" ht="17.5" customHeight="1" x14ac:dyDescent="0.4">
      <c r="B1380" s="3" t="s">
        <v>7</v>
      </c>
      <c r="C1380" s="3" t="s">
        <v>393</v>
      </c>
      <c r="D1380" s="4">
        <f>DATE(2010,10,21)</f>
        <v>40472</v>
      </c>
      <c r="E1380" s="5">
        <f t="shared" si="23"/>
        <v>2010</v>
      </c>
      <c r="F1380" s="3" t="s">
        <v>395</v>
      </c>
      <c r="G1380" s="6">
        <v>20500</v>
      </c>
      <c r="H1380" s="5">
        <v>14569</v>
      </c>
    </row>
    <row r="1381" spans="2:8" ht="17.5" customHeight="1" x14ac:dyDescent="0.4">
      <c r="B1381" s="3" t="s">
        <v>7</v>
      </c>
      <c r="C1381" s="3" t="s">
        <v>393</v>
      </c>
      <c r="D1381" s="4">
        <f>DATE(2010,11,10)</f>
        <v>40492</v>
      </c>
      <c r="E1381" s="5">
        <f t="shared" si="23"/>
        <v>2010</v>
      </c>
      <c r="F1381" s="3" t="s">
        <v>395</v>
      </c>
      <c r="G1381" s="6">
        <v>20500</v>
      </c>
      <c r="H1381" s="5">
        <v>14667</v>
      </c>
    </row>
    <row r="1382" spans="2:8" ht="17.5" customHeight="1" x14ac:dyDescent="0.4">
      <c r="B1382" s="3" t="s">
        <v>7</v>
      </c>
      <c r="C1382" s="3" t="s">
        <v>393</v>
      </c>
      <c r="D1382" s="4">
        <f>DATE(2011,2,28)</f>
        <v>40602</v>
      </c>
      <c r="E1382" s="5">
        <f t="shared" si="23"/>
        <v>2011</v>
      </c>
      <c r="F1382" s="3" t="s">
        <v>395</v>
      </c>
      <c r="G1382" s="6">
        <v>67830</v>
      </c>
      <c r="H1382" s="5">
        <v>14995</v>
      </c>
    </row>
    <row r="1383" spans="2:8" ht="17.5" customHeight="1" x14ac:dyDescent="0.4">
      <c r="B1383" s="3" t="s">
        <v>7</v>
      </c>
      <c r="C1383" s="3" t="s">
        <v>393</v>
      </c>
      <c r="D1383" s="4">
        <f>DATE(2011,3,9)</f>
        <v>40611</v>
      </c>
      <c r="E1383" s="5">
        <f t="shared" si="23"/>
        <v>2011</v>
      </c>
      <c r="F1383" s="3" t="s">
        <v>395</v>
      </c>
      <c r="G1383" s="6">
        <v>16380</v>
      </c>
      <c r="H1383" s="5">
        <v>15176</v>
      </c>
    </row>
    <row r="1384" spans="2:8" ht="17.5" customHeight="1" x14ac:dyDescent="0.4">
      <c r="B1384" s="3" t="s">
        <v>7</v>
      </c>
      <c r="C1384" s="3" t="s">
        <v>393</v>
      </c>
      <c r="D1384" s="4">
        <f>DATE(2011,2,28)</f>
        <v>40602</v>
      </c>
      <c r="E1384" s="5">
        <f t="shared" si="23"/>
        <v>2011</v>
      </c>
      <c r="F1384" s="3" t="s">
        <v>395</v>
      </c>
      <c r="G1384" s="6">
        <v>69700</v>
      </c>
      <c r="H1384" s="5">
        <v>15241</v>
      </c>
    </row>
    <row r="1385" spans="2:8" ht="17.5" customHeight="1" x14ac:dyDescent="0.4">
      <c r="B1385" s="3" t="s">
        <v>7</v>
      </c>
      <c r="C1385" s="3" t="s">
        <v>393</v>
      </c>
      <c r="D1385" s="4">
        <f>DATE(2011,3,16)</f>
        <v>40618</v>
      </c>
      <c r="E1385" s="5">
        <f t="shared" si="23"/>
        <v>2011</v>
      </c>
      <c r="F1385" s="3" t="s">
        <v>395</v>
      </c>
      <c r="G1385" s="6">
        <v>513</v>
      </c>
      <c r="H1385" s="5">
        <v>15261</v>
      </c>
    </row>
    <row r="1386" spans="2:8" ht="17.5" customHeight="1" x14ac:dyDescent="0.4">
      <c r="B1386" s="3" t="s">
        <v>7</v>
      </c>
      <c r="C1386" s="3" t="s">
        <v>393</v>
      </c>
      <c r="D1386" s="4">
        <f>DATE(2011,3,21)</f>
        <v>40623</v>
      </c>
      <c r="E1386" s="5">
        <f t="shared" si="23"/>
        <v>2011</v>
      </c>
      <c r="F1386" s="3" t="s">
        <v>395</v>
      </c>
      <c r="G1386" s="6">
        <v>367.5</v>
      </c>
      <c r="H1386" s="5">
        <v>15283</v>
      </c>
    </row>
    <row r="1387" spans="2:8" ht="17.5" customHeight="1" x14ac:dyDescent="0.4">
      <c r="B1387" s="3" t="s">
        <v>7</v>
      </c>
      <c r="C1387" s="3" t="s">
        <v>393</v>
      </c>
      <c r="D1387" s="4">
        <f>DATE(2011,3,31)</f>
        <v>40633</v>
      </c>
      <c r="E1387" s="5">
        <f t="shared" si="23"/>
        <v>2011</v>
      </c>
      <c r="F1387" s="3" t="s">
        <v>395</v>
      </c>
      <c r="G1387" s="6">
        <v>23642.5</v>
      </c>
      <c r="H1387" s="5">
        <v>15303</v>
      </c>
    </row>
    <row r="1388" spans="2:8" ht="17.5" customHeight="1" x14ac:dyDescent="0.4">
      <c r="B1388" s="3" t="s">
        <v>7</v>
      </c>
      <c r="C1388" s="3" t="s">
        <v>393</v>
      </c>
      <c r="D1388" s="4">
        <f>DATE(2011,4,12)</f>
        <v>40645</v>
      </c>
      <c r="E1388" s="5">
        <f t="shared" si="23"/>
        <v>2011</v>
      </c>
      <c r="F1388" s="3" t="s">
        <v>395</v>
      </c>
      <c r="G1388" s="6">
        <v>82000</v>
      </c>
      <c r="H1388" s="5">
        <v>15300</v>
      </c>
    </row>
    <row r="1389" spans="2:8" ht="17.5" customHeight="1" x14ac:dyDescent="0.4">
      <c r="B1389" s="3" t="s">
        <v>16</v>
      </c>
      <c r="C1389" s="3" t="s">
        <v>393</v>
      </c>
      <c r="D1389" s="4">
        <f>DATE(2004,3,23)</f>
        <v>38069</v>
      </c>
      <c r="E1389" s="5">
        <f t="shared" si="23"/>
        <v>2004</v>
      </c>
      <c r="F1389" s="3" t="s">
        <v>395</v>
      </c>
      <c r="G1389" s="6">
        <v>1100</v>
      </c>
      <c r="H1389" s="5">
        <v>2425</v>
      </c>
    </row>
    <row r="1390" spans="2:8" ht="17.5" customHeight="1" x14ac:dyDescent="0.4">
      <c r="B1390" s="3" t="s">
        <v>16</v>
      </c>
      <c r="C1390" s="3" t="s">
        <v>393</v>
      </c>
      <c r="D1390" s="4">
        <f>DATE(2011,2,28)</f>
        <v>40602</v>
      </c>
      <c r="E1390" s="5">
        <f t="shared" si="23"/>
        <v>2011</v>
      </c>
      <c r="F1390" s="3" t="s">
        <v>395</v>
      </c>
      <c r="G1390" s="6">
        <v>67830</v>
      </c>
      <c r="H1390" s="5">
        <v>15240</v>
      </c>
    </row>
    <row r="1391" spans="2:8" ht="17.5" customHeight="1" x14ac:dyDescent="0.4">
      <c r="B1391" t="s">
        <v>7</v>
      </c>
      <c r="C1391" t="s">
        <v>396</v>
      </c>
      <c r="D1391" s="7">
        <f>DATE(2003,3,18)</f>
        <v>37698</v>
      </c>
      <c r="E1391" s="8">
        <f t="shared" si="23"/>
        <v>2003</v>
      </c>
      <c r="F1391" t="s">
        <v>397</v>
      </c>
      <c r="G1391" s="9">
        <v>6539.56</v>
      </c>
      <c r="H1391" s="8">
        <v>376</v>
      </c>
    </row>
    <row r="1392" spans="2:8" ht="17.5" customHeight="1" x14ac:dyDescent="0.4">
      <c r="B1392" s="3" t="s">
        <v>7</v>
      </c>
      <c r="C1392" s="3" t="s">
        <v>398</v>
      </c>
      <c r="D1392" s="4">
        <f>DATE(2003,2,7)</f>
        <v>37659</v>
      </c>
      <c r="E1392" s="5">
        <f t="shared" si="23"/>
        <v>2003</v>
      </c>
      <c r="F1392" s="3" t="s">
        <v>399</v>
      </c>
      <c r="G1392" s="6">
        <v>1086</v>
      </c>
      <c r="H1392" s="5">
        <v>193</v>
      </c>
    </row>
    <row r="1393" spans="2:8" ht="17.5" customHeight="1" x14ac:dyDescent="0.4">
      <c r="B1393" s="3" t="s">
        <v>7</v>
      </c>
      <c r="C1393" s="3" t="s">
        <v>398</v>
      </c>
      <c r="D1393" s="4">
        <f>DATE(2003,2,17)</f>
        <v>37669</v>
      </c>
      <c r="E1393" s="5">
        <f t="shared" si="23"/>
        <v>2003</v>
      </c>
      <c r="F1393" s="3" t="s">
        <v>399</v>
      </c>
      <c r="G1393" s="6">
        <v>7500</v>
      </c>
      <c r="H1393" s="5">
        <v>149</v>
      </c>
    </row>
    <row r="1394" spans="2:8" ht="17.5" customHeight="1" x14ac:dyDescent="0.4">
      <c r="B1394" t="s">
        <v>7</v>
      </c>
      <c r="C1394" t="s">
        <v>396</v>
      </c>
      <c r="D1394" s="7">
        <f>DATE(2017,1,25)</f>
        <v>42760</v>
      </c>
      <c r="E1394" s="8">
        <f t="shared" si="23"/>
        <v>2017</v>
      </c>
      <c r="F1394" t="s">
        <v>400</v>
      </c>
      <c r="G1394" s="9">
        <v>16518.39</v>
      </c>
      <c r="H1394" s="8">
        <v>24078</v>
      </c>
    </row>
    <row r="1395" spans="2:8" ht="17.5" customHeight="1" x14ac:dyDescent="0.4">
      <c r="B1395" t="s">
        <v>7</v>
      </c>
      <c r="C1395" t="s">
        <v>396</v>
      </c>
      <c r="D1395" s="7">
        <f>DATE(2017,12,13)</f>
        <v>43082</v>
      </c>
      <c r="E1395" s="8">
        <f t="shared" si="23"/>
        <v>2017</v>
      </c>
      <c r="F1395" t="s">
        <v>400</v>
      </c>
      <c r="G1395" s="9">
        <v>25024.25</v>
      </c>
      <c r="H1395" s="8">
        <v>25738</v>
      </c>
    </row>
    <row r="1396" spans="2:8" ht="17.5" customHeight="1" x14ac:dyDescent="0.4">
      <c r="B1396" t="s">
        <v>7</v>
      </c>
      <c r="C1396" t="s">
        <v>396</v>
      </c>
      <c r="D1396" s="7">
        <f>DATE(2003,10,6)</f>
        <v>37900</v>
      </c>
      <c r="E1396" s="8">
        <f t="shared" si="23"/>
        <v>2003</v>
      </c>
      <c r="F1396" t="s">
        <v>400</v>
      </c>
      <c r="G1396" s="9">
        <v>14943.71</v>
      </c>
      <c r="H1396" s="8">
        <v>925</v>
      </c>
    </row>
    <row r="1397" spans="2:8" ht="17.5" customHeight="1" x14ac:dyDescent="0.4">
      <c r="B1397" t="s">
        <v>7</v>
      </c>
      <c r="C1397" t="s">
        <v>396</v>
      </c>
      <c r="D1397" s="7">
        <f>DATE(2010,1,8)</f>
        <v>40186</v>
      </c>
      <c r="E1397" s="8">
        <f t="shared" si="23"/>
        <v>2010</v>
      </c>
      <c r="F1397" t="s">
        <v>400</v>
      </c>
      <c r="G1397" s="9">
        <v>8624.6299999999992</v>
      </c>
      <c r="H1397" s="8">
        <v>9339</v>
      </c>
    </row>
    <row r="1398" spans="2:8" ht="17.5" customHeight="1" x14ac:dyDescent="0.4">
      <c r="B1398" t="s">
        <v>7</v>
      </c>
      <c r="C1398" t="s">
        <v>396</v>
      </c>
      <c r="D1398" s="7">
        <f>DATE(2014,5,14)</f>
        <v>41773</v>
      </c>
      <c r="E1398" s="8">
        <f t="shared" si="23"/>
        <v>2014</v>
      </c>
      <c r="F1398" t="s">
        <v>400</v>
      </c>
      <c r="G1398" s="9">
        <v>27887.82</v>
      </c>
      <c r="H1398" s="8">
        <v>13189</v>
      </c>
    </row>
    <row r="1399" spans="2:8" ht="17.5" customHeight="1" x14ac:dyDescent="0.4">
      <c r="B1399" t="s">
        <v>7</v>
      </c>
      <c r="C1399" t="s">
        <v>396</v>
      </c>
      <c r="D1399" s="7">
        <f>DATE(2014,6,19)</f>
        <v>41809</v>
      </c>
      <c r="E1399" s="8">
        <f t="shared" si="23"/>
        <v>2014</v>
      </c>
      <c r="F1399" t="s">
        <v>400</v>
      </c>
      <c r="G1399" s="9">
        <v>7298.37</v>
      </c>
      <c r="H1399" s="8">
        <v>13261</v>
      </c>
    </row>
    <row r="1400" spans="2:8" ht="17.5" customHeight="1" x14ac:dyDescent="0.4">
      <c r="B1400" t="s">
        <v>7</v>
      </c>
      <c r="C1400" t="s">
        <v>396</v>
      </c>
      <c r="D1400" s="7">
        <f>DATE(2014,7,8)</f>
        <v>41828</v>
      </c>
      <c r="E1400" s="8">
        <f t="shared" si="23"/>
        <v>2014</v>
      </c>
      <c r="F1400" t="s">
        <v>400</v>
      </c>
      <c r="G1400" s="9">
        <v>17515.79</v>
      </c>
      <c r="H1400" s="8">
        <v>13310</v>
      </c>
    </row>
    <row r="1401" spans="2:8" ht="17.5" customHeight="1" x14ac:dyDescent="0.4">
      <c r="B1401" t="s">
        <v>7</v>
      </c>
      <c r="C1401" t="s">
        <v>396</v>
      </c>
      <c r="D1401" s="7">
        <f>DATE(2014,7,15)</f>
        <v>41835</v>
      </c>
      <c r="E1401" s="8">
        <f t="shared" si="23"/>
        <v>2014</v>
      </c>
      <c r="F1401" t="s">
        <v>400</v>
      </c>
      <c r="G1401" s="9">
        <v>27019.45</v>
      </c>
      <c r="H1401" s="8">
        <v>13282</v>
      </c>
    </row>
    <row r="1402" spans="2:8" ht="17.5" customHeight="1" x14ac:dyDescent="0.4">
      <c r="B1402" t="s">
        <v>16</v>
      </c>
      <c r="C1402" t="s">
        <v>396</v>
      </c>
      <c r="D1402" s="7">
        <f>DATE(2014,6,9)</f>
        <v>41799</v>
      </c>
      <c r="E1402" s="8">
        <f t="shared" si="23"/>
        <v>2014</v>
      </c>
      <c r="F1402" t="s">
        <v>400</v>
      </c>
      <c r="G1402" s="9">
        <v>3220</v>
      </c>
      <c r="H1402" s="8">
        <v>13260</v>
      </c>
    </row>
    <row r="1403" spans="2:8" ht="17.5" customHeight="1" x14ac:dyDescent="0.4">
      <c r="B1403" t="s">
        <v>7</v>
      </c>
      <c r="C1403" t="s">
        <v>401</v>
      </c>
      <c r="D1403" s="7">
        <f>DATE(2003,3,24)</f>
        <v>37704</v>
      </c>
      <c r="E1403" s="8">
        <f t="shared" si="23"/>
        <v>2003</v>
      </c>
      <c r="F1403" t="s">
        <v>402</v>
      </c>
      <c r="G1403" s="9">
        <v>22725</v>
      </c>
      <c r="H1403" s="8">
        <v>314</v>
      </c>
    </row>
    <row r="1404" spans="2:8" ht="17.5" customHeight="1" x14ac:dyDescent="0.4">
      <c r="B1404" t="s">
        <v>7</v>
      </c>
      <c r="C1404" t="s">
        <v>401</v>
      </c>
      <c r="D1404" s="7">
        <f>DATE(2003,3,27)</f>
        <v>37707</v>
      </c>
      <c r="E1404" s="8">
        <f t="shared" si="23"/>
        <v>2003</v>
      </c>
      <c r="F1404" t="s">
        <v>402</v>
      </c>
      <c r="G1404" s="9">
        <v>9500</v>
      </c>
      <c r="H1404" s="8">
        <v>331</v>
      </c>
    </row>
    <row r="1405" spans="2:8" ht="17.5" customHeight="1" x14ac:dyDescent="0.4">
      <c r="B1405" t="s">
        <v>7</v>
      </c>
      <c r="C1405" t="s">
        <v>401</v>
      </c>
      <c r="D1405" s="7">
        <f>DATE(2003,5,11)</f>
        <v>37752</v>
      </c>
      <c r="E1405" s="8">
        <f t="shared" si="23"/>
        <v>2003</v>
      </c>
      <c r="F1405" t="s">
        <v>402</v>
      </c>
      <c r="G1405" s="9">
        <v>33250</v>
      </c>
      <c r="H1405" s="8">
        <v>488</v>
      </c>
    </row>
    <row r="1406" spans="2:8" ht="17.5" customHeight="1" x14ac:dyDescent="0.4">
      <c r="B1406" t="s">
        <v>7</v>
      </c>
      <c r="C1406" t="s">
        <v>401</v>
      </c>
      <c r="D1406" s="7">
        <f>DATE(2004,5,29)</f>
        <v>38136</v>
      </c>
      <c r="E1406" s="8">
        <f t="shared" si="23"/>
        <v>2004</v>
      </c>
      <c r="F1406" t="s">
        <v>402</v>
      </c>
      <c r="G1406" s="9">
        <v>24670</v>
      </c>
      <c r="H1406" s="8">
        <v>1436</v>
      </c>
    </row>
    <row r="1407" spans="2:8" ht="17.5" customHeight="1" x14ac:dyDescent="0.4">
      <c r="B1407" t="s">
        <v>7</v>
      </c>
      <c r="C1407" t="s">
        <v>401</v>
      </c>
      <c r="D1407" s="7">
        <f>DATE(2006,11,3)</f>
        <v>39024</v>
      </c>
      <c r="E1407" s="8">
        <f t="shared" si="23"/>
        <v>2006</v>
      </c>
      <c r="F1407" t="s">
        <v>402</v>
      </c>
      <c r="G1407" s="9">
        <v>8285.2199999999993</v>
      </c>
      <c r="H1407" s="8">
        <v>5075</v>
      </c>
    </row>
    <row r="1408" spans="2:8" ht="17.5" customHeight="1" x14ac:dyDescent="0.4">
      <c r="B1408" t="s">
        <v>7</v>
      </c>
      <c r="C1408" t="s">
        <v>401</v>
      </c>
      <c r="D1408" s="7">
        <f>DATE(2007,5,25)</f>
        <v>39227</v>
      </c>
      <c r="E1408" s="8">
        <f t="shared" si="23"/>
        <v>2007</v>
      </c>
      <c r="F1408" t="s">
        <v>402</v>
      </c>
      <c r="G1408" s="9">
        <v>12900</v>
      </c>
      <c r="H1408" s="8">
        <v>5753</v>
      </c>
    </row>
    <row r="1409" spans="2:8" ht="17.5" customHeight="1" x14ac:dyDescent="0.4">
      <c r="B1409" t="s">
        <v>7</v>
      </c>
      <c r="C1409" t="s">
        <v>401</v>
      </c>
      <c r="D1409" s="7">
        <f>DATE(2007,5,25)</f>
        <v>39227</v>
      </c>
      <c r="E1409" s="8">
        <f t="shared" si="23"/>
        <v>2007</v>
      </c>
      <c r="F1409" t="s">
        <v>402</v>
      </c>
      <c r="G1409" s="9">
        <v>6939.75</v>
      </c>
      <c r="H1409" s="8">
        <v>5739</v>
      </c>
    </row>
    <row r="1410" spans="2:8" ht="17.5" customHeight="1" x14ac:dyDescent="0.4">
      <c r="B1410" t="s">
        <v>7</v>
      </c>
      <c r="C1410" t="s">
        <v>401</v>
      </c>
      <c r="D1410" s="7">
        <f>DATE(2007,11,18)</f>
        <v>39404</v>
      </c>
      <c r="E1410" s="8">
        <f t="shared" si="23"/>
        <v>2007</v>
      </c>
      <c r="F1410" t="s">
        <v>402</v>
      </c>
      <c r="G1410" s="9">
        <v>16530</v>
      </c>
      <c r="H1410" s="8">
        <v>6596</v>
      </c>
    </row>
    <row r="1411" spans="2:8" ht="17.5" customHeight="1" x14ac:dyDescent="0.4">
      <c r="B1411" t="s">
        <v>7</v>
      </c>
      <c r="C1411" t="s">
        <v>401</v>
      </c>
      <c r="D1411" s="7">
        <f>DATE(2007,11,22)</f>
        <v>39408</v>
      </c>
      <c r="E1411" s="8">
        <f t="shared" ref="E1411:E1474" si="24">YEAR(D1411)</f>
        <v>2007</v>
      </c>
      <c r="F1411" t="s">
        <v>402</v>
      </c>
      <c r="G1411" s="9">
        <v>10450</v>
      </c>
      <c r="H1411" s="8">
        <v>6597</v>
      </c>
    </row>
    <row r="1412" spans="2:8" ht="17.5" customHeight="1" x14ac:dyDescent="0.4">
      <c r="B1412" t="s">
        <v>7</v>
      </c>
      <c r="C1412" t="s">
        <v>401</v>
      </c>
      <c r="D1412" s="7">
        <f>DATE(2007,11,24)</f>
        <v>39410</v>
      </c>
      <c r="E1412" s="8">
        <f t="shared" si="24"/>
        <v>2007</v>
      </c>
      <c r="F1412" t="s">
        <v>402</v>
      </c>
      <c r="G1412" s="9">
        <v>3863.26</v>
      </c>
      <c r="H1412" s="8">
        <v>6619</v>
      </c>
    </row>
    <row r="1413" spans="2:8" ht="17.5" customHeight="1" x14ac:dyDescent="0.4">
      <c r="B1413" t="s">
        <v>7</v>
      </c>
      <c r="C1413" t="s">
        <v>401</v>
      </c>
      <c r="D1413" s="7">
        <f>DATE(2007,12,18)</f>
        <v>39434</v>
      </c>
      <c r="E1413" s="8">
        <f t="shared" si="24"/>
        <v>2007</v>
      </c>
      <c r="F1413" t="s">
        <v>402</v>
      </c>
      <c r="G1413" s="9">
        <v>3900.78</v>
      </c>
      <c r="H1413" s="8">
        <v>6703</v>
      </c>
    </row>
    <row r="1414" spans="2:8" ht="17.5" customHeight="1" x14ac:dyDescent="0.4">
      <c r="B1414" t="s">
        <v>7</v>
      </c>
      <c r="C1414" t="s">
        <v>401</v>
      </c>
      <c r="D1414" s="7">
        <f>DATE(2008,4,1)</f>
        <v>39539</v>
      </c>
      <c r="E1414" s="8">
        <f t="shared" si="24"/>
        <v>2008</v>
      </c>
      <c r="F1414" t="s">
        <v>402</v>
      </c>
      <c r="G1414" s="9">
        <v>14410</v>
      </c>
      <c r="H1414" s="8">
        <v>7199</v>
      </c>
    </row>
    <row r="1415" spans="2:8" ht="17.5" customHeight="1" x14ac:dyDescent="0.4">
      <c r="B1415" t="s">
        <v>7</v>
      </c>
      <c r="C1415" t="s">
        <v>401</v>
      </c>
      <c r="D1415" s="7">
        <f>DATE(2008,4,1)</f>
        <v>39539</v>
      </c>
      <c r="E1415" s="8">
        <f t="shared" si="24"/>
        <v>2008</v>
      </c>
      <c r="F1415" t="s">
        <v>402</v>
      </c>
      <c r="G1415" s="9">
        <v>24300</v>
      </c>
      <c r="H1415" s="8">
        <v>7197</v>
      </c>
    </row>
    <row r="1416" spans="2:8" ht="17.5" customHeight="1" x14ac:dyDescent="0.4">
      <c r="B1416" t="s">
        <v>7</v>
      </c>
      <c r="C1416" t="s">
        <v>401</v>
      </c>
      <c r="D1416" s="7">
        <f>DATE(2009,1,24)</f>
        <v>39837</v>
      </c>
      <c r="E1416" s="8">
        <f t="shared" si="24"/>
        <v>2009</v>
      </c>
      <c r="F1416" t="s">
        <v>402</v>
      </c>
      <c r="G1416" s="9">
        <v>21087</v>
      </c>
      <c r="H1416" s="8">
        <v>8252</v>
      </c>
    </row>
    <row r="1417" spans="2:8" ht="17.5" customHeight="1" x14ac:dyDescent="0.4">
      <c r="B1417" t="s">
        <v>7</v>
      </c>
      <c r="C1417" t="s">
        <v>401</v>
      </c>
      <c r="D1417" s="7">
        <f>DATE(2009,11,10)</f>
        <v>40127</v>
      </c>
      <c r="E1417" s="8">
        <f t="shared" si="24"/>
        <v>2009</v>
      </c>
      <c r="F1417" t="s">
        <v>402</v>
      </c>
      <c r="G1417" s="9">
        <v>16816</v>
      </c>
      <c r="H1417" s="8">
        <v>9191</v>
      </c>
    </row>
    <row r="1418" spans="2:8" ht="17.5" customHeight="1" x14ac:dyDescent="0.4">
      <c r="B1418" t="s">
        <v>7</v>
      </c>
      <c r="C1418" t="s">
        <v>401</v>
      </c>
      <c r="D1418" s="7">
        <f>DATE(2010,7,28)</f>
        <v>40387</v>
      </c>
      <c r="E1418" s="8">
        <f t="shared" si="24"/>
        <v>2010</v>
      </c>
      <c r="F1418" t="s">
        <v>402</v>
      </c>
      <c r="G1418" s="9">
        <v>12074.64</v>
      </c>
      <c r="H1418" s="8">
        <v>9903</v>
      </c>
    </row>
    <row r="1419" spans="2:8" ht="17.5" customHeight="1" x14ac:dyDescent="0.4">
      <c r="B1419" t="s">
        <v>7</v>
      </c>
      <c r="C1419" t="s">
        <v>401</v>
      </c>
      <c r="D1419" s="7">
        <f>DATE(2010,9,2)</f>
        <v>40423</v>
      </c>
      <c r="E1419" s="8">
        <f t="shared" si="24"/>
        <v>2010</v>
      </c>
      <c r="F1419" t="s">
        <v>402</v>
      </c>
      <c r="G1419" s="9">
        <v>14373</v>
      </c>
      <c r="H1419" s="8">
        <v>10037</v>
      </c>
    </row>
    <row r="1420" spans="2:8" ht="17.5" customHeight="1" x14ac:dyDescent="0.4">
      <c r="B1420" t="s">
        <v>7</v>
      </c>
      <c r="C1420" t="s">
        <v>401</v>
      </c>
      <c r="D1420" s="7">
        <f>DATE(2010,9,2)</f>
        <v>40423</v>
      </c>
      <c r="E1420" s="8">
        <f t="shared" si="24"/>
        <v>2010</v>
      </c>
      <c r="F1420" t="s">
        <v>402</v>
      </c>
      <c r="G1420" s="9">
        <v>28976</v>
      </c>
      <c r="H1420" s="8">
        <v>10051</v>
      </c>
    </row>
    <row r="1421" spans="2:8" ht="17.5" customHeight="1" x14ac:dyDescent="0.4">
      <c r="B1421" t="s">
        <v>7</v>
      </c>
      <c r="C1421" t="s">
        <v>401</v>
      </c>
      <c r="D1421" s="7">
        <f>DATE(2011,4,13)</f>
        <v>40646</v>
      </c>
      <c r="E1421" s="8">
        <f t="shared" si="24"/>
        <v>2011</v>
      </c>
      <c r="F1421" t="s">
        <v>402</v>
      </c>
      <c r="G1421" s="9">
        <v>26293</v>
      </c>
      <c r="H1421" s="8">
        <v>10670</v>
      </c>
    </row>
    <row r="1422" spans="2:8" ht="17.5" customHeight="1" x14ac:dyDescent="0.4">
      <c r="B1422" s="3" t="s">
        <v>7</v>
      </c>
      <c r="C1422" s="3" t="s">
        <v>401</v>
      </c>
      <c r="D1422" s="4">
        <f>DATE(2003,3,11)</f>
        <v>37691</v>
      </c>
      <c r="E1422" s="5">
        <f t="shared" si="24"/>
        <v>2003</v>
      </c>
      <c r="F1422" s="3" t="s">
        <v>402</v>
      </c>
      <c r="G1422" s="6">
        <v>19175</v>
      </c>
      <c r="H1422" s="5">
        <v>387</v>
      </c>
    </row>
    <row r="1423" spans="2:8" ht="17.5" customHeight="1" x14ac:dyDescent="0.4">
      <c r="B1423" s="3" t="s">
        <v>7</v>
      </c>
      <c r="C1423" s="3" t="s">
        <v>401</v>
      </c>
      <c r="D1423" s="4">
        <f>DATE(2003,3,25)</f>
        <v>37705</v>
      </c>
      <c r="E1423" s="5">
        <f t="shared" si="24"/>
        <v>2003</v>
      </c>
      <c r="F1423" s="3" t="s">
        <v>402</v>
      </c>
      <c r="G1423" s="6">
        <v>795</v>
      </c>
      <c r="H1423" s="5">
        <v>579</v>
      </c>
    </row>
    <row r="1424" spans="2:8" ht="17.5" customHeight="1" x14ac:dyDescent="0.4">
      <c r="B1424" s="3" t="s">
        <v>7</v>
      </c>
      <c r="C1424" s="3" t="s">
        <v>401</v>
      </c>
      <c r="D1424" s="4">
        <f>DATE(2003,11,4)</f>
        <v>37929</v>
      </c>
      <c r="E1424" s="5">
        <f t="shared" si="24"/>
        <v>2003</v>
      </c>
      <c r="F1424" s="3" t="s">
        <v>402</v>
      </c>
      <c r="G1424" s="6">
        <v>154.80000000000001</v>
      </c>
      <c r="H1424" s="5">
        <v>1731</v>
      </c>
    </row>
    <row r="1425" spans="2:8" ht="17.5" customHeight="1" x14ac:dyDescent="0.4">
      <c r="B1425" s="3" t="s">
        <v>7</v>
      </c>
      <c r="C1425" s="3" t="s">
        <v>401</v>
      </c>
      <c r="D1425" s="4">
        <f>DATE(2004,2,26)</f>
        <v>38043</v>
      </c>
      <c r="E1425" s="5">
        <f t="shared" si="24"/>
        <v>2004</v>
      </c>
      <c r="F1425" s="3" t="s">
        <v>402</v>
      </c>
      <c r="G1425" s="6">
        <v>5950</v>
      </c>
      <c r="H1425" s="5">
        <v>2045</v>
      </c>
    </row>
    <row r="1426" spans="2:8" ht="17.5" customHeight="1" x14ac:dyDescent="0.4">
      <c r="B1426" s="3" t="s">
        <v>7</v>
      </c>
      <c r="C1426" s="3" t="s">
        <v>401</v>
      </c>
      <c r="D1426" s="4">
        <f>DATE(2005,5,6)</f>
        <v>38478</v>
      </c>
      <c r="E1426" s="5">
        <f t="shared" si="24"/>
        <v>2005</v>
      </c>
      <c r="F1426" s="3" t="s">
        <v>402</v>
      </c>
      <c r="G1426" s="6">
        <v>300</v>
      </c>
      <c r="H1426" s="5">
        <v>4665</v>
      </c>
    </row>
    <row r="1427" spans="2:8" ht="17.5" customHeight="1" x14ac:dyDescent="0.4">
      <c r="B1427" s="3" t="s">
        <v>7</v>
      </c>
      <c r="C1427" s="3" t="s">
        <v>401</v>
      </c>
      <c r="D1427" s="4">
        <f>DATE(2005,5,10)</f>
        <v>38482</v>
      </c>
      <c r="E1427" s="5">
        <f t="shared" si="24"/>
        <v>2005</v>
      </c>
      <c r="F1427" s="3" t="s">
        <v>402</v>
      </c>
      <c r="G1427" s="6">
        <v>2466.25</v>
      </c>
      <c r="H1427" s="5">
        <v>4599</v>
      </c>
    </row>
    <row r="1428" spans="2:8" ht="17.5" customHeight="1" x14ac:dyDescent="0.4">
      <c r="B1428" s="3" t="s">
        <v>7</v>
      </c>
      <c r="C1428" s="3" t="s">
        <v>401</v>
      </c>
      <c r="D1428" s="4">
        <f>DATE(2006,2,24)</f>
        <v>38772</v>
      </c>
      <c r="E1428" s="5">
        <f t="shared" si="24"/>
        <v>2006</v>
      </c>
      <c r="F1428" s="3" t="s">
        <v>402</v>
      </c>
      <c r="G1428" s="6">
        <v>1113.5</v>
      </c>
      <c r="H1428" s="5">
        <v>6130</v>
      </c>
    </row>
    <row r="1429" spans="2:8" ht="17.5" customHeight="1" x14ac:dyDescent="0.4">
      <c r="B1429" s="3" t="s">
        <v>7</v>
      </c>
      <c r="C1429" s="3" t="s">
        <v>401</v>
      </c>
      <c r="D1429" s="4">
        <f>DATE(2007,3,6)</f>
        <v>39147</v>
      </c>
      <c r="E1429" s="5">
        <f t="shared" si="24"/>
        <v>2007</v>
      </c>
      <c r="F1429" s="3" t="s">
        <v>402</v>
      </c>
      <c r="G1429" s="6">
        <v>2030.5</v>
      </c>
      <c r="H1429" s="5">
        <v>7977</v>
      </c>
    </row>
    <row r="1430" spans="2:8" ht="17.5" customHeight="1" x14ac:dyDescent="0.4">
      <c r="B1430" s="3" t="s">
        <v>7</v>
      </c>
      <c r="C1430" s="3" t="s">
        <v>401</v>
      </c>
      <c r="D1430" s="4">
        <f>DATE(2008,1,24)</f>
        <v>39471</v>
      </c>
      <c r="E1430" s="5">
        <f t="shared" si="24"/>
        <v>2008</v>
      </c>
      <c r="F1430" s="3" t="s">
        <v>402</v>
      </c>
      <c r="G1430" s="6">
        <v>3206.25</v>
      </c>
      <c r="H1430" s="5">
        <v>9651</v>
      </c>
    </row>
    <row r="1431" spans="2:8" ht="17.5" customHeight="1" x14ac:dyDescent="0.4">
      <c r="B1431" s="3" t="s">
        <v>7</v>
      </c>
      <c r="C1431" s="3" t="s">
        <v>401</v>
      </c>
      <c r="D1431" s="4">
        <f>DATE(2008,4,3)</f>
        <v>39541</v>
      </c>
      <c r="E1431" s="5">
        <f t="shared" si="24"/>
        <v>2008</v>
      </c>
      <c r="F1431" s="3" t="s">
        <v>402</v>
      </c>
      <c r="G1431" s="6">
        <v>2002</v>
      </c>
      <c r="H1431" s="5">
        <v>10341</v>
      </c>
    </row>
    <row r="1432" spans="2:8" ht="17.5" customHeight="1" x14ac:dyDescent="0.4">
      <c r="B1432" s="3" t="s">
        <v>7</v>
      </c>
      <c r="C1432" s="3" t="s">
        <v>401</v>
      </c>
      <c r="D1432" s="4">
        <f>DATE(2008,11,6)</f>
        <v>39758</v>
      </c>
      <c r="E1432" s="5">
        <f t="shared" si="24"/>
        <v>2008</v>
      </c>
      <c r="F1432" s="3" t="s">
        <v>402</v>
      </c>
      <c r="G1432" s="6">
        <v>3731.25</v>
      </c>
      <c r="H1432" s="5">
        <v>11496</v>
      </c>
    </row>
    <row r="1433" spans="2:8" ht="17.5" customHeight="1" x14ac:dyDescent="0.4">
      <c r="B1433" s="3" t="s">
        <v>7</v>
      </c>
      <c r="C1433" s="3" t="s">
        <v>401</v>
      </c>
      <c r="D1433" s="4">
        <f>DATE(2009,1,20)</f>
        <v>39833</v>
      </c>
      <c r="E1433" s="5">
        <f t="shared" si="24"/>
        <v>2009</v>
      </c>
      <c r="F1433" s="3" t="s">
        <v>402</v>
      </c>
      <c r="G1433" s="6">
        <v>2996</v>
      </c>
      <c r="H1433" s="5">
        <v>11840</v>
      </c>
    </row>
    <row r="1434" spans="2:8" ht="17.5" customHeight="1" x14ac:dyDescent="0.4">
      <c r="B1434" s="3" t="s">
        <v>7</v>
      </c>
      <c r="C1434" s="3" t="s">
        <v>401</v>
      </c>
      <c r="D1434" s="4">
        <f>DATE(2009,11,5)</f>
        <v>40122</v>
      </c>
      <c r="E1434" s="5">
        <f t="shared" si="24"/>
        <v>2009</v>
      </c>
      <c r="F1434" s="3" t="s">
        <v>402</v>
      </c>
      <c r="G1434" s="6">
        <v>2587</v>
      </c>
      <c r="H1434" s="5">
        <v>13197</v>
      </c>
    </row>
    <row r="1435" spans="2:8" ht="17.5" customHeight="1" x14ac:dyDescent="0.4">
      <c r="B1435" s="3" t="s">
        <v>7</v>
      </c>
      <c r="C1435" s="3" t="s">
        <v>401</v>
      </c>
      <c r="D1435" s="4">
        <f>DATE(2009,12,23)</f>
        <v>40170</v>
      </c>
      <c r="E1435" s="5">
        <f t="shared" si="24"/>
        <v>2009</v>
      </c>
      <c r="F1435" s="3" t="s">
        <v>402</v>
      </c>
      <c r="G1435" s="6">
        <v>430.2</v>
      </c>
      <c r="H1435" s="5">
        <v>13365</v>
      </c>
    </row>
    <row r="1436" spans="2:8" ht="17.5" customHeight="1" x14ac:dyDescent="0.4">
      <c r="B1436" s="3" t="s">
        <v>7</v>
      </c>
      <c r="C1436" s="3" t="s">
        <v>401</v>
      </c>
      <c r="D1436" s="4">
        <f>DATE(2010,1,29)</f>
        <v>40207</v>
      </c>
      <c r="E1436" s="5">
        <f t="shared" si="24"/>
        <v>2010</v>
      </c>
      <c r="F1436" s="3" t="s">
        <v>402</v>
      </c>
      <c r="G1436" s="6">
        <v>2647.75</v>
      </c>
      <c r="H1436" s="5">
        <v>13458</v>
      </c>
    </row>
    <row r="1437" spans="2:8" ht="17.5" customHeight="1" x14ac:dyDescent="0.4">
      <c r="B1437" s="3" t="s">
        <v>7</v>
      </c>
      <c r="C1437" s="3" t="s">
        <v>401</v>
      </c>
      <c r="D1437" s="4">
        <f>DATE(2010,5,13)</f>
        <v>40311</v>
      </c>
      <c r="E1437" s="5">
        <f t="shared" si="24"/>
        <v>2010</v>
      </c>
      <c r="F1437" s="3" t="s">
        <v>402</v>
      </c>
      <c r="G1437" s="6">
        <v>3731.25</v>
      </c>
      <c r="H1437" s="5">
        <v>13991</v>
      </c>
    </row>
    <row r="1438" spans="2:8" ht="17.5" customHeight="1" x14ac:dyDescent="0.4">
      <c r="B1438" s="3" t="s">
        <v>7</v>
      </c>
      <c r="C1438" s="3" t="s">
        <v>401</v>
      </c>
      <c r="D1438" s="4">
        <f>DATE(2010,6,11)</f>
        <v>40340</v>
      </c>
      <c r="E1438" s="5">
        <f t="shared" si="24"/>
        <v>2010</v>
      </c>
      <c r="F1438" s="3" t="s">
        <v>402</v>
      </c>
      <c r="G1438" s="6">
        <v>6517.25</v>
      </c>
      <c r="H1438" s="5">
        <v>14115</v>
      </c>
    </row>
    <row r="1439" spans="2:8" ht="17.5" customHeight="1" x14ac:dyDescent="0.4">
      <c r="B1439" s="3" t="s">
        <v>7</v>
      </c>
      <c r="C1439" s="3" t="s">
        <v>401</v>
      </c>
      <c r="D1439" s="4">
        <f>DATE(2010,9,10)</f>
        <v>40431</v>
      </c>
      <c r="E1439" s="5">
        <f t="shared" si="24"/>
        <v>2010</v>
      </c>
      <c r="F1439" s="3" t="s">
        <v>402</v>
      </c>
      <c r="G1439" s="6">
        <v>2486</v>
      </c>
      <c r="H1439" s="5">
        <v>14460</v>
      </c>
    </row>
    <row r="1440" spans="2:8" ht="17.5" customHeight="1" x14ac:dyDescent="0.4">
      <c r="B1440" s="3" t="s">
        <v>7</v>
      </c>
      <c r="C1440" s="3" t="s">
        <v>401</v>
      </c>
      <c r="D1440" s="4">
        <f>DATE(2012,2,20)</f>
        <v>40959</v>
      </c>
      <c r="E1440" s="5">
        <f t="shared" si="24"/>
        <v>2012</v>
      </c>
      <c r="F1440" s="3" t="s">
        <v>402</v>
      </c>
      <c r="G1440" s="6">
        <v>2475</v>
      </c>
      <c r="H1440" s="5">
        <v>16555</v>
      </c>
    </row>
    <row r="1441" spans="2:8" ht="17.5" customHeight="1" x14ac:dyDescent="0.4">
      <c r="B1441" s="3" t="s">
        <v>7</v>
      </c>
      <c r="C1441" s="3" t="s">
        <v>401</v>
      </c>
      <c r="D1441" s="4">
        <f>DATE(2012,9,25)</f>
        <v>41177</v>
      </c>
      <c r="E1441" s="5">
        <f t="shared" si="24"/>
        <v>2012</v>
      </c>
      <c r="F1441" s="3" t="s">
        <v>402</v>
      </c>
      <c r="G1441" s="6">
        <v>2238.75</v>
      </c>
      <c r="H1441" s="5">
        <v>17632</v>
      </c>
    </row>
    <row r="1442" spans="2:8" ht="17.5" customHeight="1" x14ac:dyDescent="0.4">
      <c r="B1442" s="3" t="s">
        <v>7</v>
      </c>
      <c r="C1442" s="3" t="s">
        <v>401</v>
      </c>
      <c r="D1442" s="4">
        <f>DATE(2013,2,28)</f>
        <v>41333</v>
      </c>
      <c r="E1442" s="5">
        <f t="shared" si="24"/>
        <v>2013</v>
      </c>
      <c r="F1442" s="3" t="s">
        <v>402</v>
      </c>
      <c r="G1442" s="6">
        <v>6930</v>
      </c>
      <c r="H1442" s="5">
        <v>18204</v>
      </c>
    </row>
    <row r="1443" spans="2:8" ht="17.5" customHeight="1" x14ac:dyDescent="0.4">
      <c r="B1443" s="3" t="s">
        <v>7</v>
      </c>
      <c r="C1443" s="3" t="s">
        <v>401</v>
      </c>
      <c r="D1443" s="4">
        <f>DATE(2013,9,13)</f>
        <v>41530</v>
      </c>
      <c r="E1443" s="5">
        <f t="shared" si="24"/>
        <v>2013</v>
      </c>
      <c r="F1443" s="3" t="s">
        <v>402</v>
      </c>
      <c r="G1443" s="6">
        <v>3080</v>
      </c>
      <c r="H1443" s="5">
        <v>18955</v>
      </c>
    </row>
    <row r="1444" spans="2:8" ht="17.5" customHeight="1" x14ac:dyDescent="0.4">
      <c r="B1444" s="3" t="s">
        <v>7</v>
      </c>
      <c r="C1444" s="3" t="s">
        <v>401</v>
      </c>
      <c r="D1444" s="4">
        <f>DATE(2013,9,26)</f>
        <v>41543</v>
      </c>
      <c r="E1444" s="5">
        <f t="shared" si="24"/>
        <v>2013</v>
      </c>
      <c r="F1444" s="3" t="s">
        <v>402</v>
      </c>
      <c r="G1444" s="6">
        <v>3080</v>
      </c>
      <c r="H1444" s="5">
        <v>18997</v>
      </c>
    </row>
    <row r="1445" spans="2:8" ht="17.5" customHeight="1" x14ac:dyDescent="0.4">
      <c r="B1445" s="3" t="s">
        <v>7</v>
      </c>
      <c r="C1445" s="3" t="s">
        <v>401</v>
      </c>
      <c r="D1445" s="4">
        <f>DATE(2014,2,12)</f>
        <v>41682</v>
      </c>
      <c r="E1445" s="5">
        <f t="shared" si="24"/>
        <v>2014</v>
      </c>
      <c r="F1445" s="3" t="s">
        <v>402</v>
      </c>
      <c r="G1445" s="6">
        <v>3190</v>
      </c>
      <c r="H1445" s="5">
        <v>19481</v>
      </c>
    </row>
    <row r="1446" spans="2:8" ht="17.5" customHeight="1" x14ac:dyDescent="0.4">
      <c r="B1446" s="3" t="s">
        <v>7</v>
      </c>
      <c r="C1446" s="3" t="s">
        <v>403</v>
      </c>
      <c r="D1446" s="4">
        <f>DATE(2005,4,12)</f>
        <v>38454</v>
      </c>
      <c r="E1446" s="5">
        <f t="shared" si="24"/>
        <v>2005</v>
      </c>
      <c r="F1446" s="3" t="s">
        <v>404</v>
      </c>
      <c r="G1446" s="6">
        <v>1164.75</v>
      </c>
      <c r="H1446" s="5">
        <v>4421</v>
      </c>
    </row>
    <row r="1447" spans="2:8" ht="17.5" customHeight="1" x14ac:dyDescent="0.4">
      <c r="B1447" s="3" t="s">
        <v>7</v>
      </c>
      <c r="C1447" s="3" t="s">
        <v>403</v>
      </c>
      <c r="D1447" s="4">
        <f>DATE(2005,7,8)</f>
        <v>38541</v>
      </c>
      <c r="E1447" s="5">
        <f t="shared" si="24"/>
        <v>2005</v>
      </c>
      <c r="F1447" s="3" t="s">
        <v>404</v>
      </c>
      <c r="G1447" s="6">
        <v>1418.75</v>
      </c>
      <c r="H1447" s="5">
        <v>4878</v>
      </c>
    </row>
    <row r="1448" spans="2:8" ht="17.5" customHeight="1" x14ac:dyDescent="0.4">
      <c r="B1448" s="3" t="s">
        <v>7</v>
      </c>
      <c r="C1448" s="3" t="s">
        <v>405</v>
      </c>
      <c r="D1448" s="4">
        <f>DATE(2009,5,22)</f>
        <v>39955</v>
      </c>
      <c r="E1448" s="5">
        <f t="shared" si="24"/>
        <v>2009</v>
      </c>
      <c r="F1448" s="3" t="s">
        <v>406</v>
      </c>
      <c r="G1448" s="6">
        <v>394.48</v>
      </c>
      <c r="H1448" s="5">
        <v>12346</v>
      </c>
    </row>
    <row r="1449" spans="2:8" ht="17.5" customHeight="1" x14ac:dyDescent="0.4">
      <c r="B1449" s="3" t="s">
        <v>7</v>
      </c>
      <c r="C1449" s="3" t="s">
        <v>405</v>
      </c>
      <c r="D1449" s="4">
        <f>DATE(2010,4,23)</f>
        <v>40291</v>
      </c>
      <c r="E1449" s="5">
        <f t="shared" si="24"/>
        <v>2010</v>
      </c>
      <c r="F1449" s="3" t="s">
        <v>406</v>
      </c>
      <c r="G1449" s="6">
        <v>11204.44</v>
      </c>
      <c r="H1449" s="5">
        <v>13379</v>
      </c>
    </row>
    <row r="1450" spans="2:8" ht="17.5" customHeight="1" x14ac:dyDescent="0.4">
      <c r="B1450" s="3" t="s">
        <v>7</v>
      </c>
      <c r="C1450" s="3" t="s">
        <v>405</v>
      </c>
      <c r="D1450" s="4">
        <f>DATE(2010,9,3)</f>
        <v>40424</v>
      </c>
      <c r="E1450" s="5">
        <f t="shared" si="24"/>
        <v>2010</v>
      </c>
      <c r="F1450" s="3" t="s">
        <v>406</v>
      </c>
      <c r="G1450" s="6">
        <v>197.24</v>
      </c>
      <c r="H1450" s="5">
        <v>14438</v>
      </c>
    </row>
    <row r="1451" spans="2:8" ht="17.5" customHeight="1" x14ac:dyDescent="0.4">
      <c r="B1451" t="s">
        <v>7</v>
      </c>
      <c r="C1451" t="s">
        <v>407</v>
      </c>
      <c r="D1451" s="7">
        <f>DATE(2016,4,12)</f>
        <v>42472</v>
      </c>
      <c r="E1451" s="8">
        <f t="shared" si="24"/>
        <v>2016</v>
      </c>
      <c r="F1451" t="s">
        <v>408</v>
      </c>
      <c r="G1451" s="9">
        <v>190</v>
      </c>
      <c r="H1451" s="8">
        <v>22609</v>
      </c>
    </row>
    <row r="1452" spans="2:8" ht="17.5" customHeight="1" x14ac:dyDescent="0.4">
      <c r="B1452" t="s">
        <v>7</v>
      </c>
      <c r="C1452" t="s">
        <v>407</v>
      </c>
      <c r="D1452" s="7">
        <f>DATE(2017,1,11)</f>
        <v>42746</v>
      </c>
      <c r="E1452" s="8">
        <f t="shared" si="24"/>
        <v>2017</v>
      </c>
      <c r="F1452" t="s">
        <v>408</v>
      </c>
      <c r="G1452" s="9">
        <v>95</v>
      </c>
      <c r="H1452" s="8">
        <v>24067</v>
      </c>
    </row>
    <row r="1453" spans="2:8" ht="17.5" customHeight="1" x14ac:dyDescent="0.4">
      <c r="B1453" t="s">
        <v>7</v>
      </c>
      <c r="C1453" t="s">
        <v>407</v>
      </c>
      <c r="D1453" s="7">
        <f>DATE(2018,1,22)</f>
        <v>43122</v>
      </c>
      <c r="E1453" s="8">
        <f t="shared" si="24"/>
        <v>2018</v>
      </c>
      <c r="F1453" t="s">
        <v>408</v>
      </c>
      <c r="G1453" s="9">
        <v>95</v>
      </c>
      <c r="H1453" s="8">
        <v>26298</v>
      </c>
    </row>
    <row r="1454" spans="2:8" ht="17.5" customHeight="1" x14ac:dyDescent="0.4">
      <c r="B1454" t="s">
        <v>7</v>
      </c>
      <c r="C1454" t="s">
        <v>407</v>
      </c>
      <c r="D1454" s="7">
        <f>DATE(2018,1,31)</f>
        <v>43131</v>
      </c>
      <c r="E1454" s="8">
        <f t="shared" si="24"/>
        <v>2018</v>
      </c>
      <c r="F1454" t="s">
        <v>408</v>
      </c>
      <c r="G1454" s="9">
        <v>190</v>
      </c>
      <c r="H1454" s="8">
        <v>26339</v>
      </c>
    </row>
    <row r="1455" spans="2:8" ht="17.5" customHeight="1" x14ac:dyDescent="0.4">
      <c r="B1455" s="3" t="s">
        <v>7</v>
      </c>
      <c r="C1455" s="3" t="s">
        <v>407</v>
      </c>
      <c r="D1455" s="4">
        <f>DATE(2003,11,21)</f>
        <v>37946</v>
      </c>
      <c r="E1455" s="5">
        <f t="shared" si="24"/>
        <v>2003</v>
      </c>
      <c r="F1455" s="3" t="s">
        <v>408</v>
      </c>
      <c r="G1455" s="6">
        <v>108</v>
      </c>
      <c r="H1455" s="5">
        <v>1803</v>
      </c>
    </row>
    <row r="1456" spans="2:8" ht="17.5" customHeight="1" x14ac:dyDescent="0.4">
      <c r="B1456" s="3" t="s">
        <v>7</v>
      </c>
      <c r="C1456" s="3" t="s">
        <v>407</v>
      </c>
      <c r="D1456" s="4">
        <f>DATE(2005,1,21)</f>
        <v>38373</v>
      </c>
      <c r="E1456" s="5">
        <f t="shared" si="24"/>
        <v>2005</v>
      </c>
      <c r="F1456" s="3" t="s">
        <v>408</v>
      </c>
      <c r="G1456" s="6">
        <v>360</v>
      </c>
      <c r="H1456" s="5">
        <v>3984</v>
      </c>
    </row>
    <row r="1457" spans="2:8" ht="17.5" customHeight="1" x14ac:dyDescent="0.4">
      <c r="B1457" s="3" t="s">
        <v>7</v>
      </c>
      <c r="C1457" s="3" t="s">
        <v>407</v>
      </c>
      <c r="D1457" s="4">
        <f>DATE(2006,1,10)</f>
        <v>38727</v>
      </c>
      <c r="E1457" s="5">
        <f t="shared" si="24"/>
        <v>2006</v>
      </c>
      <c r="F1457" s="3" t="s">
        <v>408</v>
      </c>
      <c r="G1457" s="6">
        <v>190</v>
      </c>
      <c r="H1457" s="5">
        <v>5795</v>
      </c>
    </row>
    <row r="1458" spans="2:8" ht="17.5" customHeight="1" x14ac:dyDescent="0.4">
      <c r="B1458" s="3" t="s">
        <v>7</v>
      </c>
      <c r="C1458" s="3" t="s">
        <v>407</v>
      </c>
      <c r="D1458" s="4">
        <f>DATE(2006,1,30)</f>
        <v>38747</v>
      </c>
      <c r="E1458" s="5">
        <f t="shared" si="24"/>
        <v>2006</v>
      </c>
      <c r="F1458" s="3" t="s">
        <v>408</v>
      </c>
      <c r="G1458" s="6">
        <v>190</v>
      </c>
      <c r="H1458" s="5">
        <v>5941</v>
      </c>
    </row>
    <row r="1459" spans="2:8" ht="17.5" customHeight="1" x14ac:dyDescent="0.4">
      <c r="B1459" s="3" t="s">
        <v>7</v>
      </c>
      <c r="C1459" s="3" t="s">
        <v>407</v>
      </c>
      <c r="D1459" s="4">
        <f>DATE(2006,6,1)</f>
        <v>38869</v>
      </c>
      <c r="E1459" s="5">
        <f t="shared" si="24"/>
        <v>2006</v>
      </c>
      <c r="F1459" s="3" t="s">
        <v>408</v>
      </c>
      <c r="G1459" s="6">
        <v>380</v>
      </c>
      <c r="H1459" s="5">
        <v>6798</v>
      </c>
    </row>
    <row r="1460" spans="2:8" ht="17.5" customHeight="1" x14ac:dyDescent="0.4">
      <c r="B1460" s="3" t="s">
        <v>7</v>
      </c>
      <c r="C1460" s="3" t="s">
        <v>407</v>
      </c>
      <c r="D1460" s="4">
        <f>DATE(2007,1,19)</f>
        <v>39101</v>
      </c>
      <c r="E1460" s="5">
        <f t="shared" si="24"/>
        <v>2007</v>
      </c>
      <c r="F1460" s="3" t="s">
        <v>408</v>
      </c>
      <c r="G1460" s="6">
        <v>190</v>
      </c>
      <c r="H1460" s="5">
        <v>7784</v>
      </c>
    </row>
    <row r="1461" spans="2:8" ht="17.5" customHeight="1" x14ac:dyDescent="0.4">
      <c r="B1461" s="3" t="s">
        <v>7</v>
      </c>
      <c r="C1461" s="3" t="s">
        <v>407</v>
      </c>
      <c r="D1461" s="4">
        <f>DATE(2009,2,10)</f>
        <v>39854</v>
      </c>
      <c r="E1461" s="5">
        <f t="shared" si="24"/>
        <v>2009</v>
      </c>
      <c r="F1461" s="3" t="s">
        <v>408</v>
      </c>
      <c r="G1461" s="6">
        <v>114</v>
      </c>
      <c r="H1461" s="5">
        <v>11948</v>
      </c>
    </row>
    <row r="1462" spans="2:8" ht="17.5" customHeight="1" x14ac:dyDescent="0.4">
      <c r="B1462" s="3" t="s">
        <v>7</v>
      </c>
      <c r="C1462" s="3" t="s">
        <v>407</v>
      </c>
      <c r="D1462" s="4">
        <f>DATE(2011,2,2)</f>
        <v>40576</v>
      </c>
      <c r="E1462" s="5">
        <f t="shared" si="24"/>
        <v>2011</v>
      </c>
      <c r="F1462" s="3" t="s">
        <v>408</v>
      </c>
      <c r="G1462" s="6">
        <v>95</v>
      </c>
      <c r="H1462" s="5">
        <v>14990</v>
      </c>
    </row>
    <row r="1463" spans="2:8" ht="17.5" customHeight="1" x14ac:dyDescent="0.4">
      <c r="B1463" s="3" t="s">
        <v>7</v>
      </c>
      <c r="C1463" s="3" t="s">
        <v>407</v>
      </c>
      <c r="D1463" s="4">
        <f>DATE(2011,2,7)</f>
        <v>40581</v>
      </c>
      <c r="E1463" s="5">
        <f t="shared" si="24"/>
        <v>2011</v>
      </c>
      <c r="F1463" s="3" t="s">
        <v>408</v>
      </c>
      <c r="G1463" s="6">
        <v>95</v>
      </c>
      <c r="H1463" s="5">
        <v>15016</v>
      </c>
    </row>
    <row r="1464" spans="2:8" ht="17.5" customHeight="1" x14ac:dyDescent="0.4">
      <c r="B1464" s="3" t="s">
        <v>7</v>
      </c>
      <c r="C1464" s="3" t="s">
        <v>407</v>
      </c>
      <c r="D1464" s="4">
        <f>DATE(2011,11,28)</f>
        <v>40875</v>
      </c>
      <c r="E1464" s="5">
        <f t="shared" si="24"/>
        <v>2011</v>
      </c>
      <c r="F1464" s="3" t="s">
        <v>408</v>
      </c>
      <c r="G1464" s="6">
        <v>190</v>
      </c>
      <c r="H1464" s="5">
        <v>16248</v>
      </c>
    </row>
    <row r="1465" spans="2:8" ht="17.5" customHeight="1" x14ac:dyDescent="0.4">
      <c r="B1465" s="3" t="s">
        <v>7</v>
      </c>
      <c r="C1465" s="3" t="s">
        <v>407</v>
      </c>
      <c r="D1465" s="4">
        <f>DATE(2013,11,21)</f>
        <v>41599</v>
      </c>
      <c r="E1465" s="5">
        <f t="shared" si="24"/>
        <v>2013</v>
      </c>
      <c r="F1465" s="3" t="s">
        <v>408</v>
      </c>
      <c r="G1465" s="6">
        <v>95</v>
      </c>
      <c r="H1465" s="5">
        <v>19247</v>
      </c>
    </row>
    <row r="1466" spans="2:8" ht="17.5" customHeight="1" x14ac:dyDescent="0.4">
      <c r="B1466" s="3" t="s">
        <v>7</v>
      </c>
      <c r="C1466" s="3" t="s">
        <v>407</v>
      </c>
      <c r="D1466" s="4">
        <f>DATE(2014,12,12)</f>
        <v>41985</v>
      </c>
      <c r="E1466" s="5">
        <f t="shared" si="24"/>
        <v>2014</v>
      </c>
      <c r="F1466" s="3" t="s">
        <v>408</v>
      </c>
      <c r="G1466" s="6">
        <v>95</v>
      </c>
      <c r="H1466" s="5">
        <v>20729</v>
      </c>
    </row>
    <row r="1467" spans="2:8" ht="17.5" customHeight="1" x14ac:dyDescent="0.4">
      <c r="B1467" t="s">
        <v>7</v>
      </c>
      <c r="C1467" t="s">
        <v>409</v>
      </c>
      <c r="D1467" s="7">
        <f>DATE(2009,9,9)</f>
        <v>40065</v>
      </c>
      <c r="E1467" s="8">
        <f t="shared" si="24"/>
        <v>2009</v>
      </c>
      <c r="F1467" t="s">
        <v>410</v>
      </c>
      <c r="G1467" s="9">
        <v>3728.71</v>
      </c>
      <c r="H1467" s="8">
        <v>9037</v>
      </c>
    </row>
    <row r="1468" spans="2:8" ht="17.5" customHeight="1" x14ac:dyDescent="0.4">
      <c r="B1468" t="s">
        <v>7</v>
      </c>
      <c r="C1468" t="s">
        <v>411</v>
      </c>
      <c r="D1468" s="7">
        <f>DATE(2017,9,22)</f>
        <v>43000</v>
      </c>
      <c r="E1468" s="8">
        <f t="shared" si="24"/>
        <v>2017</v>
      </c>
      <c r="F1468" t="s">
        <v>412</v>
      </c>
      <c r="G1468" s="9">
        <v>41496.269999999997</v>
      </c>
      <c r="H1468" s="8">
        <v>25592</v>
      </c>
    </row>
    <row r="1469" spans="2:8" ht="17.5" customHeight="1" x14ac:dyDescent="0.4">
      <c r="B1469" t="s">
        <v>7</v>
      </c>
      <c r="C1469" t="s">
        <v>411</v>
      </c>
      <c r="D1469" s="7">
        <f>DATE(2019,2,19)</f>
        <v>43515</v>
      </c>
      <c r="E1469" s="8">
        <f t="shared" si="24"/>
        <v>2019</v>
      </c>
      <c r="F1469" t="s">
        <v>412</v>
      </c>
      <c r="G1469" s="9">
        <v>34500</v>
      </c>
      <c r="H1469" s="8">
        <v>28252</v>
      </c>
    </row>
    <row r="1470" spans="2:8" ht="17.5" customHeight="1" x14ac:dyDescent="0.4">
      <c r="B1470" t="s">
        <v>7</v>
      </c>
      <c r="C1470" t="s">
        <v>411</v>
      </c>
      <c r="D1470" s="7">
        <f>DATE(2016,4,1)</f>
        <v>42461</v>
      </c>
      <c r="E1470" s="8">
        <f t="shared" si="24"/>
        <v>2016</v>
      </c>
      <c r="F1470" t="s">
        <v>412</v>
      </c>
      <c r="G1470" s="9">
        <v>491</v>
      </c>
      <c r="H1470" s="8">
        <v>22563</v>
      </c>
    </row>
    <row r="1471" spans="2:8" ht="17.5" customHeight="1" x14ac:dyDescent="0.4">
      <c r="B1471" t="s">
        <v>7</v>
      </c>
      <c r="C1471" t="s">
        <v>411</v>
      </c>
      <c r="D1471" s="7">
        <f>DATE(2016,4,12)</f>
        <v>42472</v>
      </c>
      <c r="E1471" s="8">
        <f t="shared" si="24"/>
        <v>2016</v>
      </c>
      <c r="F1471" t="s">
        <v>412</v>
      </c>
      <c r="G1471" s="9">
        <v>491</v>
      </c>
      <c r="H1471" s="8">
        <v>22610</v>
      </c>
    </row>
    <row r="1472" spans="2:8" ht="17.5" customHeight="1" x14ac:dyDescent="0.4">
      <c r="B1472" t="s">
        <v>7</v>
      </c>
      <c r="C1472" t="s">
        <v>411</v>
      </c>
      <c r="D1472" s="7">
        <f>DATE(2017,9,22)</f>
        <v>43000</v>
      </c>
      <c r="E1472" s="8">
        <f t="shared" si="24"/>
        <v>2017</v>
      </c>
      <c r="F1472" t="s">
        <v>412</v>
      </c>
      <c r="G1472" s="9">
        <v>491</v>
      </c>
      <c r="H1472" s="8">
        <v>25604</v>
      </c>
    </row>
    <row r="1473" spans="2:8" ht="17.5" customHeight="1" x14ac:dyDescent="0.4">
      <c r="B1473" t="s">
        <v>7</v>
      </c>
      <c r="C1473" t="s">
        <v>411</v>
      </c>
      <c r="D1473" s="7">
        <f>DATE(2017,5,2)</f>
        <v>42857</v>
      </c>
      <c r="E1473" s="8">
        <f t="shared" si="24"/>
        <v>2017</v>
      </c>
      <c r="F1473" t="s">
        <v>412</v>
      </c>
      <c r="G1473" s="9">
        <v>6840.91</v>
      </c>
      <c r="H1473" s="8">
        <v>24732</v>
      </c>
    </row>
    <row r="1474" spans="2:8" ht="17.5" customHeight="1" x14ac:dyDescent="0.4">
      <c r="B1474" t="s">
        <v>7</v>
      </c>
      <c r="C1474" t="s">
        <v>411</v>
      </c>
      <c r="D1474" s="7">
        <f>DATE(2012,11,8)</f>
        <v>41221</v>
      </c>
      <c r="E1474" s="8">
        <f t="shared" si="24"/>
        <v>2012</v>
      </c>
      <c r="F1474" t="s">
        <v>412</v>
      </c>
      <c r="G1474" s="9">
        <v>15960</v>
      </c>
      <c r="H1474" s="8">
        <v>11948</v>
      </c>
    </row>
    <row r="1475" spans="2:8" ht="17.5" customHeight="1" x14ac:dyDescent="0.4">
      <c r="B1475" t="s">
        <v>7</v>
      </c>
      <c r="C1475" t="s">
        <v>411</v>
      </c>
      <c r="D1475" s="7">
        <f>DATE(2007,11,1)</f>
        <v>39387</v>
      </c>
      <c r="E1475" s="8">
        <f t="shared" ref="E1475:E1538" si="25">YEAR(D1475)</f>
        <v>2007</v>
      </c>
      <c r="F1475" t="s">
        <v>412</v>
      </c>
      <c r="G1475" s="9">
        <v>7308.25</v>
      </c>
      <c r="H1475" s="8">
        <v>6389</v>
      </c>
    </row>
    <row r="1476" spans="2:8" ht="17.5" customHeight="1" x14ac:dyDescent="0.4">
      <c r="B1476" t="s">
        <v>7</v>
      </c>
      <c r="C1476" t="s">
        <v>411</v>
      </c>
      <c r="D1476" s="7">
        <f>DATE(2008,10,1)</f>
        <v>39722</v>
      </c>
      <c r="E1476" s="8">
        <f t="shared" si="25"/>
        <v>2008</v>
      </c>
      <c r="F1476" t="s">
        <v>412</v>
      </c>
      <c r="G1476" s="9">
        <v>25333.13</v>
      </c>
      <c r="H1476" s="8">
        <v>7374</v>
      </c>
    </row>
    <row r="1477" spans="2:8" ht="17.5" customHeight="1" x14ac:dyDescent="0.4">
      <c r="B1477" t="s">
        <v>7</v>
      </c>
      <c r="C1477" t="s">
        <v>411</v>
      </c>
      <c r="D1477" s="7">
        <f>DATE(2010,2,20)</f>
        <v>40229</v>
      </c>
      <c r="E1477" s="8">
        <f t="shared" si="25"/>
        <v>2010</v>
      </c>
      <c r="F1477" t="s">
        <v>412</v>
      </c>
      <c r="G1477" s="9">
        <v>30661</v>
      </c>
      <c r="H1477" s="8">
        <v>9151</v>
      </c>
    </row>
    <row r="1478" spans="2:8" ht="17.5" customHeight="1" x14ac:dyDescent="0.4">
      <c r="B1478" t="s">
        <v>16</v>
      </c>
      <c r="C1478" t="s">
        <v>411</v>
      </c>
      <c r="D1478" s="7">
        <f>DATE(2010,2,20)</f>
        <v>40229</v>
      </c>
      <c r="E1478" s="8">
        <f t="shared" si="25"/>
        <v>2010</v>
      </c>
      <c r="F1478" t="s">
        <v>412</v>
      </c>
      <c r="G1478" s="9">
        <v>30661</v>
      </c>
      <c r="H1478" s="8">
        <v>10015</v>
      </c>
    </row>
    <row r="1479" spans="2:8" ht="17.5" customHeight="1" x14ac:dyDescent="0.4">
      <c r="B1479" s="3" t="s">
        <v>7</v>
      </c>
      <c r="C1479" s="3" t="s">
        <v>411</v>
      </c>
      <c r="D1479" s="4">
        <f>DATE(2014,4,11)</f>
        <v>41740</v>
      </c>
      <c r="E1479" s="5">
        <f t="shared" si="25"/>
        <v>2014</v>
      </c>
      <c r="F1479" s="3" t="s">
        <v>412</v>
      </c>
      <c r="G1479" s="6">
        <v>491</v>
      </c>
      <c r="H1479" s="5">
        <v>19790</v>
      </c>
    </row>
    <row r="1480" spans="2:8" ht="17.5" customHeight="1" x14ac:dyDescent="0.4">
      <c r="B1480" t="s">
        <v>7</v>
      </c>
      <c r="C1480" t="s">
        <v>409</v>
      </c>
      <c r="D1480" s="7">
        <f>DATE(2010,11,2)</f>
        <v>40484</v>
      </c>
      <c r="E1480" s="8">
        <f t="shared" si="25"/>
        <v>2010</v>
      </c>
      <c r="F1480" t="s">
        <v>413</v>
      </c>
      <c r="G1480" s="9">
        <v>7896.69</v>
      </c>
      <c r="H1480" s="8">
        <v>10206</v>
      </c>
    </row>
    <row r="1481" spans="2:8" ht="17.5" customHeight="1" x14ac:dyDescent="0.4">
      <c r="B1481" t="s">
        <v>7</v>
      </c>
      <c r="C1481" t="s">
        <v>409</v>
      </c>
      <c r="D1481" s="7">
        <f>DATE(2011,11,17)</f>
        <v>40864</v>
      </c>
      <c r="E1481" s="8">
        <f t="shared" si="25"/>
        <v>2011</v>
      </c>
      <c r="F1481" t="s">
        <v>413</v>
      </c>
      <c r="G1481" s="9">
        <v>8981</v>
      </c>
      <c r="H1481" s="8">
        <v>11006</v>
      </c>
    </row>
    <row r="1482" spans="2:8" ht="17.5" customHeight="1" x14ac:dyDescent="0.4">
      <c r="B1482" t="s">
        <v>7</v>
      </c>
      <c r="C1482" t="s">
        <v>409</v>
      </c>
      <c r="D1482" s="7">
        <f>DATE(2007,8,16)</f>
        <v>39310</v>
      </c>
      <c r="E1482" s="8">
        <f t="shared" si="25"/>
        <v>2007</v>
      </c>
      <c r="F1482" t="s">
        <v>413</v>
      </c>
      <c r="G1482" s="9">
        <v>2488.1</v>
      </c>
      <c r="H1482" s="8">
        <v>6290</v>
      </c>
    </row>
    <row r="1483" spans="2:8" ht="17.5" customHeight="1" x14ac:dyDescent="0.4">
      <c r="B1483" t="s">
        <v>7</v>
      </c>
      <c r="C1483" t="s">
        <v>409</v>
      </c>
      <c r="D1483" s="7">
        <f>DATE(2010,11,2)</f>
        <v>40484</v>
      </c>
      <c r="E1483" s="8">
        <f t="shared" si="25"/>
        <v>2010</v>
      </c>
      <c r="F1483" t="s">
        <v>413</v>
      </c>
      <c r="G1483" s="9">
        <v>12407.74</v>
      </c>
      <c r="H1483" s="8">
        <v>10207</v>
      </c>
    </row>
    <row r="1484" spans="2:8" ht="17.5" customHeight="1" x14ac:dyDescent="0.4">
      <c r="B1484" t="s">
        <v>7</v>
      </c>
      <c r="C1484" t="s">
        <v>409</v>
      </c>
      <c r="D1484" s="7">
        <f>DATE(2011,11,17)</f>
        <v>40864</v>
      </c>
      <c r="E1484" s="8">
        <f t="shared" si="25"/>
        <v>2011</v>
      </c>
      <c r="F1484" t="s">
        <v>413</v>
      </c>
      <c r="G1484" s="9">
        <v>13140</v>
      </c>
      <c r="H1484" s="8">
        <v>11005</v>
      </c>
    </row>
    <row r="1485" spans="2:8" ht="17.5" customHeight="1" x14ac:dyDescent="0.4">
      <c r="B1485" t="s">
        <v>7</v>
      </c>
      <c r="C1485" t="s">
        <v>409</v>
      </c>
      <c r="D1485" s="7">
        <f>DATE(2011,12,6)</f>
        <v>40883</v>
      </c>
      <c r="E1485" s="8">
        <f t="shared" si="25"/>
        <v>2011</v>
      </c>
      <c r="F1485" t="s">
        <v>413</v>
      </c>
      <c r="G1485" s="9">
        <v>3640.5</v>
      </c>
      <c r="H1485" s="8">
        <v>11166</v>
      </c>
    </row>
    <row r="1486" spans="2:8" ht="17.5" customHeight="1" x14ac:dyDescent="0.4">
      <c r="B1486" t="s">
        <v>7</v>
      </c>
      <c r="C1486" t="s">
        <v>409</v>
      </c>
      <c r="D1486" s="7">
        <f>DATE(2011,8,17)</f>
        <v>40772</v>
      </c>
      <c r="E1486" s="8">
        <f t="shared" si="25"/>
        <v>2011</v>
      </c>
      <c r="F1486" t="s">
        <v>413</v>
      </c>
      <c r="G1486" s="9">
        <v>2055.4</v>
      </c>
      <c r="H1486" s="8">
        <v>10933</v>
      </c>
    </row>
    <row r="1487" spans="2:8" ht="17.5" customHeight="1" x14ac:dyDescent="0.4">
      <c r="B1487" t="s">
        <v>16</v>
      </c>
      <c r="C1487" t="s">
        <v>409</v>
      </c>
      <c r="D1487" s="7">
        <f>DATE(2011,12,6)</f>
        <v>40883</v>
      </c>
      <c r="E1487" s="8">
        <f t="shared" si="25"/>
        <v>2011</v>
      </c>
      <c r="F1487" t="s">
        <v>413</v>
      </c>
      <c r="G1487" s="9">
        <v>1140.5</v>
      </c>
      <c r="H1487" s="8">
        <v>11290</v>
      </c>
    </row>
    <row r="1488" spans="2:8" ht="17.5" customHeight="1" x14ac:dyDescent="0.4">
      <c r="B1488" s="3" t="s">
        <v>7</v>
      </c>
      <c r="C1488" s="3" t="s">
        <v>409</v>
      </c>
      <c r="D1488" s="4">
        <f>DATE(2010,12,21)</f>
        <v>40533</v>
      </c>
      <c r="E1488" s="5">
        <f t="shared" si="25"/>
        <v>2010</v>
      </c>
      <c r="F1488" s="3" t="s">
        <v>413</v>
      </c>
      <c r="G1488" s="6">
        <v>2529</v>
      </c>
      <c r="H1488" s="5">
        <v>14815</v>
      </c>
    </row>
    <row r="1489" spans="2:8" ht="17.5" customHeight="1" x14ac:dyDescent="0.4">
      <c r="B1489" s="3" t="s">
        <v>7</v>
      </c>
      <c r="C1489" s="3" t="s">
        <v>409</v>
      </c>
      <c r="D1489" s="4">
        <f>DATE(2011,11,29)</f>
        <v>40876</v>
      </c>
      <c r="E1489" s="5">
        <f t="shared" si="25"/>
        <v>2011</v>
      </c>
      <c r="F1489" s="3" t="s">
        <v>413</v>
      </c>
      <c r="G1489" s="6">
        <v>1305.74</v>
      </c>
      <c r="H1489" s="5">
        <v>16244</v>
      </c>
    </row>
    <row r="1490" spans="2:8" ht="17.5" customHeight="1" x14ac:dyDescent="0.4">
      <c r="B1490" s="3" t="s">
        <v>7</v>
      </c>
      <c r="C1490" s="3" t="s">
        <v>409</v>
      </c>
      <c r="D1490" s="4">
        <f>DATE(2012,9,12)</f>
        <v>41164</v>
      </c>
      <c r="E1490" s="5">
        <f t="shared" si="25"/>
        <v>2012</v>
      </c>
      <c r="F1490" s="3" t="s">
        <v>413</v>
      </c>
      <c r="G1490" s="6">
        <v>638.5</v>
      </c>
      <c r="H1490" s="5">
        <v>17514</v>
      </c>
    </row>
    <row r="1491" spans="2:8" ht="17.5" customHeight="1" x14ac:dyDescent="0.4">
      <c r="B1491" s="3" t="s">
        <v>7</v>
      </c>
      <c r="C1491" s="3" t="s">
        <v>409</v>
      </c>
      <c r="D1491" s="4">
        <f>DATE(2014,11,21)</f>
        <v>41964</v>
      </c>
      <c r="E1491" s="5">
        <f t="shared" si="25"/>
        <v>2014</v>
      </c>
      <c r="F1491" s="3" t="s">
        <v>413</v>
      </c>
      <c r="G1491" s="6">
        <v>245</v>
      </c>
      <c r="H1491" s="5">
        <v>20655</v>
      </c>
    </row>
    <row r="1492" spans="2:8" ht="17.5" customHeight="1" x14ac:dyDescent="0.4">
      <c r="B1492" s="3" t="s">
        <v>7</v>
      </c>
      <c r="C1492" s="3" t="s">
        <v>414</v>
      </c>
      <c r="D1492" s="4">
        <f>DATE(2011,8,18)</f>
        <v>40773</v>
      </c>
      <c r="E1492" s="5">
        <f t="shared" si="25"/>
        <v>2011</v>
      </c>
      <c r="F1492" s="3" t="s">
        <v>415</v>
      </c>
      <c r="G1492" s="6">
        <v>3642.61</v>
      </c>
      <c r="H1492" s="5">
        <v>15855</v>
      </c>
    </row>
    <row r="1493" spans="2:8" ht="17.5" customHeight="1" x14ac:dyDescent="0.4">
      <c r="B1493" s="3" t="s">
        <v>7</v>
      </c>
      <c r="C1493" s="3" t="s">
        <v>414</v>
      </c>
      <c r="D1493" s="4">
        <f>DATE(2011,8,23)</f>
        <v>40778</v>
      </c>
      <c r="E1493" s="5">
        <f t="shared" si="25"/>
        <v>2011</v>
      </c>
      <c r="F1493" s="3" t="s">
        <v>415</v>
      </c>
      <c r="G1493" s="6">
        <v>1002.31</v>
      </c>
      <c r="H1493" s="5">
        <v>15919</v>
      </c>
    </row>
    <row r="1494" spans="2:8" ht="17.5" customHeight="1" x14ac:dyDescent="0.4">
      <c r="B1494" s="3" t="s">
        <v>16</v>
      </c>
      <c r="C1494" s="3" t="s">
        <v>414</v>
      </c>
      <c r="D1494" s="4">
        <f>DATE(2011,8,18)</f>
        <v>40773</v>
      </c>
      <c r="E1494" s="5">
        <f t="shared" si="25"/>
        <v>2011</v>
      </c>
      <c r="F1494" s="3" t="s">
        <v>415</v>
      </c>
      <c r="G1494" s="6">
        <v>3642.61</v>
      </c>
      <c r="H1494" s="5">
        <v>15918</v>
      </c>
    </row>
    <row r="1495" spans="2:8" ht="17.5" customHeight="1" x14ac:dyDescent="0.4">
      <c r="B1495" t="s">
        <v>7</v>
      </c>
      <c r="C1495" t="s">
        <v>416</v>
      </c>
      <c r="D1495" s="7">
        <f>DATE(2016,6,1)</f>
        <v>42522</v>
      </c>
      <c r="E1495" s="8">
        <f t="shared" si="25"/>
        <v>2016</v>
      </c>
      <c r="F1495" t="s">
        <v>417</v>
      </c>
      <c r="G1495" s="9">
        <v>41567</v>
      </c>
      <c r="H1495" s="8">
        <v>22135</v>
      </c>
    </row>
    <row r="1496" spans="2:8" ht="17.5" customHeight="1" x14ac:dyDescent="0.4">
      <c r="B1496" t="s">
        <v>7</v>
      </c>
      <c r="C1496" t="s">
        <v>416</v>
      </c>
      <c r="D1496" s="7">
        <f>DATE(2016,6,14)</f>
        <v>42535</v>
      </c>
      <c r="E1496" s="8">
        <f t="shared" si="25"/>
        <v>2016</v>
      </c>
      <c r="F1496" t="s">
        <v>417</v>
      </c>
      <c r="G1496" s="9">
        <v>6744.83</v>
      </c>
      <c r="H1496" s="8">
        <v>22955</v>
      </c>
    </row>
    <row r="1497" spans="2:8" ht="17.5" customHeight="1" x14ac:dyDescent="0.4">
      <c r="B1497" t="s">
        <v>7</v>
      </c>
      <c r="C1497" t="s">
        <v>416</v>
      </c>
      <c r="D1497" s="7">
        <f>DATE(2007,4,1)</f>
        <v>39173</v>
      </c>
      <c r="E1497" s="8">
        <f t="shared" si="25"/>
        <v>2007</v>
      </c>
      <c r="F1497" t="s">
        <v>417</v>
      </c>
      <c r="G1497" s="9">
        <v>35115</v>
      </c>
      <c r="H1497" s="8">
        <v>5709</v>
      </c>
    </row>
    <row r="1498" spans="2:8" ht="17.5" customHeight="1" x14ac:dyDescent="0.4">
      <c r="B1498" t="s">
        <v>7</v>
      </c>
      <c r="C1498" t="s">
        <v>416</v>
      </c>
      <c r="D1498" s="7">
        <f>DATE(2008,5,8)</f>
        <v>39576</v>
      </c>
      <c r="E1498" s="8">
        <f t="shared" si="25"/>
        <v>2008</v>
      </c>
      <c r="F1498" t="s">
        <v>417</v>
      </c>
      <c r="G1498" s="9">
        <v>3498.63</v>
      </c>
      <c r="H1498" s="8">
        <v>7298</v>
      </c>
    </row>
    <row r="1499" spans="2:8" ht="17.5" customHeight="1" x14ac:dyDescent="0.4">
      <c r="B1499" t="s">
        <v>7</v>
      </c>
      <c r="C1499" t="s">
        <v>416</v>
      </c>
      <c r="D1499" s="7">
        <f>DATE(2008,7,17)</f>
        <v>39646</v>
      </c>
      <c r="E1499" s="8">
        <f t="shared" si="25"/>
        <v>2008</v>
      </c>
      <c r="F1499" t="s">
        <v>417</v>
      </c>
      <c r="G1499" s="9">
        <v>3403.17</v>
      </c>
      <c r="H1499" s="8">
        <v>7617</v>
      </c>
    </row>
    <row r="1500" spans="2:8" ht="17.5" customHeight="1" x14ac:dyDescent="0.4">
      <c r="B1500" t="s">
        <v>7</v>
      </c>
      <c r="C1500" t="s">
        <v>416</v>
      </c>
      <c r="D1500" s="7">
        <f>DATE(2011,5,19)</f>
        <v>40682</v>
      </c>
      <c r="E1500" s="8">
        <f t="shared" si="25"/>
        <v>2011</v>
      </c>
      <c r="F1500" t="s">
        <v>417</v>
      </c>
      <c r="G1500" s="9">
        <v>42387</v>
      </c>
      <c r="H1500" s="8">
        <v>10515</v>
      </c>
    </row>
    <row r="1501" spans="2:8" ht="17.5" customHeight="1" x14ac:dyDescent="0.4">
      <c r="B1501" t="s">
        <v>7</v>
      </c>
      <c r="C1501" t="s">
        <v>418</v>
      </c>
      <c r="D1501" s="7">
        <f>DATE(2005,1,12)</f>
        <v>38364</v>
      </c>
      <c r="E1501" s="8">
        <f t="shared" si="25"/>
        <v>2005</v>
      </c>
      <c r="F1501" t="s">
        <v>419</v>
      </c>
      <c r="G1501" s="9">
        <v>10515.93</v>
      </c>
      <c r="H1501" s="8">
        <v>2461</v>
      </c>
    </row>
    <row r="1502" spans="2:8" ht="17.5" customHeight="1" x14ac:dyDescent="0.4">
      <c r="B1502" t="s">
        <v>7</v>
      </c>
      <c r="C1502" t="s">
        <v>420</v>
      </c>
      <c r="D1502" s="7">
        <f>DATE(2004,7,20)</f>
        <v>38188</v>
      </c>
      <c r="E1502" s="8">
        <f t="shared" si="25"/>
        <v>2004</v>
      </c>
      <c r="F1502" t="s">
        <v>421</v>
      </c>
      <c r="G1502" s="9">
        <v>2070.7399999999998</v>
      </c>
      <c r="H1502" s="8">
        <v>1992</v>
      </c>
    </row>
    <row r="1503" spans="2:8" ht="17.5" customHeight="1" x14ac:dyDescent="0.4">
      <c r="B1503" t="s">
        <v>7</v>
      </c>
      <c r="C1503" t="s">
        <v>420</v>
      </c>
      <c r="D1503" s="7">
        <f>DATE(2005,6,15)</f>
        <v>38518</v>
      </c>
      <c r="E1503" s="8">
        <f t="shared" si="25"/>
        <v>2005</v>
      </c>
      <c r="F1503" t="s">
        <v>421</v>
      </c>
      <c r="G1503" s="9">
        <v>1641.55</v>
      </c>
      <c r="H1503" s="8">
        <v>3289</v>
      </c>
    </row>
    <row r="1504" spans="2:8" ht="17.5" customHeight="1" x14ac:dyDescent="0.4">
      <c r="B1504" t="s">
        <v>7</v>
      </c>
      <c r="C1504" t="s">
        <v>420</v>
      </c>
      <c r="D1504" s="7">
        <f>DATE(2005,8,15)</f>
        <v>38579</v>
      </c>
      <c r="E1504" s="8">
        <f t="shared" si="25"/>
        <v>2005</v>
      </c>
      <c r="F1504" t="s">
        <v>421</v>
      </c>
      <c r="G1504" s="9">
        <v>1761.95</v>
      </c>
      <c r="H1504" s="8">
        <v>3490</v>
      </c>
    </row>
    <row r="1505" spans="2:8" ht="17.5" customHeight="1" x14ac:dyDescent="0.4">
      <c r="B1505" t="s">
        <v>7</v>
      </c>
      <c r="C1505" t="s">
        <v>420</v>
      </c>
      <c r="D1505" s="7">
        <f>DATE(2006,7,17)</f>
        <v>38915</v>
      </c>
      <c r="E1505" s="8">
        <f t="shared" si="25"/>
        <v>2006</v>
      </c>
      <c r="F1505" t="s">
        <v>421</v>
      </c>
      <c r="G1505" s="9">
        <v>1794.35</v>
      </c>
      <c r="H1505" s="8">
        <v>4795</v>
      </c>
    </row>
    <row r="1506" spans="2:8" ht="17.5" customHeight="1" x14ac:dyDescent="0.4">
      <c r="B1506" t="s">
        <v>7</v>
      </c>
      <c r="C1506" t="s">
        <v>420</v>
      </c>
      <c r="D1506" s="7">
        <f>DATE(2009,7,24)</f>
        <v>40018</v>
      </c>
      <c r="E1506" s="8">
        <f t="shared" si="25"/>
        <v>2009</v>
      </c>
      <c r="F1506" t="s">
        <v>421</v>
      </c>
      <c r="G1506" s="9">
        <v>1890.2</v>
      </c>
      <c r="H1506" s="8">
        <v>8888</v>
      </c>
    </row>
    <row r="1507" spans="2:8" ht="17.5" customHeight="1" x14ac:dyDescent="0.4">
      <c r="B1507" t="s">
        <v>7</v>
      </c>
      <c r="C1507" t="s">
        <v>420</v>
      </c>
      <c r="D1507" s="7">
        <f>DATE(2009,7,29)</f>
        <v>40023</v>
      </c>
      <c r="E1507" s="8">
        <f t="shared" si="25"/>
        <v>2009</v>
      </c>
      <c r="F1507" t="s">
        <v>421</v>
      </c>
      <c r="G1507" s="9">
        <v>1054.5999999999999</v>
      </c>
      <c r="H1507" s="8">
        <v>8928</v>
      </c>
    </row>
    <row r="1508" spans="2:8" ht="17.5" customHeight="1" x14ac:dyDescent="0.4">
      <c r="B1508" t="s">
        <v>7</v>
      </c>
      <c r="C1508" t="s">
        <v>420</v>
      </c>
      <c r="D1508" s="7">
        <f>DATE(2011,7,20)</f>
        <v>40744</v>
      </c>
      <c r="E1508" s="8">
        <f t="shared" si="25"/>
        <v>2011</v>
      </c>
      <c r="F1508" t="s">
        <v>421</v>
      </c>
      <c r="G1508" s="9">
        <v>1913.45</v>
      </c>
      <c r="H1508" s="8">
        <v>10869</v>
      </c>
    </row>
    <row r="1509" spans="2:8" ht="17.5" customHeight="1" x14ac:dyDescent="0.4">
      <c r="B1509" s="3" t="s">
        <v>7</v>
      </c>
      <c r="C1509" s="3" t="s">
        <v>422</v>
      </c>
      <c r="D1509" s="4">
        <f>DATE(2003,10,16)</f>
        <v>37910</v>
      </c>
      <c r="E1509" s="5">
        <f t="shared" si="25"/>
        <v>2003</v>
      </c>
      <c r="F1509" s="3" t="s">
        <v>423</v>
      </c>
      <c r="G1509" s="6">
        <v>537.5</v>
      </c>
      <c r="H1509" s="5">
        <v>1663</v>
      </c>
    </row>
    <row r="1510" spans="2:8" ht="17.5" customHeight="1" x14ac:dyDescent="0.4">
      <c r="B1510" s="3" t="s">
        <v>7</v>
      </c>
      <c r="C1510" s="3" t="s">
        <v>422</v>
      </c>
      <c r="D1510" s="4">
        <f>DATE(2004,6,29)</f>
        <v>38167</v>
      </c>
      <c r="E1510" s="5">
        <f t="shared" si="25"/>
        <v>2004</v>
      </c>
      <c r="F1510" s="3" t="s">
        <v>423</v>
      </c>
      <c r="G1510" s="6">
        <v>616.25</v>
      </c>
      <c r="H1510" s="5">
        <v>2994</v>
      </c>
    </row>
    <row r="1511" spans="2:8" ht="17.5" customHeight="1" x14ac:dyDescent="0.4">
      <c r="B1511" t="s">
        <v>7</v>
      </c>
      <c r="C1511" t="s">
        <v>424</v>
      </c>
      <c r="D1511" s="7">
        <f>DATE(2015,3,19)</f>
        <v>42082</v>
      </c>
      <c r="E1511" s="8">
        <f t="shared" si="25"/>
        <v>2015</v>
      </c>
      <c r="F1511" t="s">
        <v>425</v>
      </c>
      <c r="G1511" s="9">
        <v>38640.720000000001</v>
      </c>
      <c r="H1511" s="8">
        <v>224</v>
      </c>
    </row>
    <row r="1512" spans="2:8" ht="17.5" customHeight="1" x14ac:dyDescent="0.4">
      <c r="B1512" t="s">
        <v>7</v>
      </c>
      <c r="C1512" t="s">
        <v>424</v>
      </c>
      <c r="D1512" s="7">
        <f>DATE(2015,4,29)</f>
        <v>42123</v>
      </c>
      <c r="E1512" s="8">
        <f t="shared" si="25"/>
        <v>2015</v>
      </c>
      <c r="F1512" t="s">
        <v>425</v>
      </c>
      <c r="G1512" s="9">
        <v>34181.919999999998</v>
      </c>
      <c r="H1512" s="8">
        <v>221</v>
      </c>
    </row>
    <row r="1513" spans="2:8" ht="17.5" customHeight="1" x14ac:dyDescent="0.4">
      <c r="B1513" t="s">
        <v>7</v>
      </c>
      <c r="C1513" t="s">
        <v>424</v>
      </c>
      <c r="D1513" s="7">
        <f>DATE(2015,7,6)</f>
        <v>42191</v>
      </c>
      <c r="E1513" s="8">
        <f t="shared" si="25"/>
        <v>2015</v>
      </c>
      <c r="F1513" t="s">
        <v>425</v>
      </c>
      <c r="G1513" s="9">
        <v>42420.88</v>
      </c>
      <c r="H1513" s="8">
        <v>20829</v>
      </c>
    </row>
    <row r="1514" spans="2:8" ht="17.5" customHeight="1" x14ac:dyDescent="0.4">
      <c r="B1514" t="s">
        <v>7</v>
      </c>
      <c r="C1514" t="s">
        <v>424</v>
      </c>
      <c r="D1514" s="7">
        <f>DATE(2015,8,31)</f>
        <v>42247</v>
      </c>
      <c r="E1514" s="8">
        <f t="shared" si="25"/>
        <v>2015</v>
      </c>
      <c r="F1514" t="s">
        <v>425</v>
      </c>
      <c r="G1514" s="9">
        <v>32458.09</v>
      </c>
      <c r="H1514" s="8">
        <v>21043</v>
      </c>
    </row>
    <row r="1515" spans="2:8" ht="17.5" customHeight="1" x14ac:dyDescent="0.4">
      <c r="B1515" t="s">
        <v>7</v>
      </c>
      <c r="C1515" t="s">
        <v>424</v>
      </c>
      <c r="D1515" s="7">
        <f>DATE(2015,11,10)</f>
        <v>42318</v>
      </c>
      <c r="E1515" s="8">
        <f t="shared" si="25"/>
        <v>2015</v>
      </c>
      <c r="F1515" t="s">
        <v>425</v>
      </c>
      <c r="G1515" s="9">
        <v>31868.62</v>
      </c>
      <c r="H1515" s="8">
        <v>21454</v>
      </c>
    </row>
    <row r="1516" spans="2:8" ht="17.5" customHeight="1" x14ac:dyDescent="0.4">
      <c r="B1516" t="s">
        <v>7</v>
      </c>
      <c r="C1516" t="s">
        <v>424</v>
      </c>
      <c r="D1516" s="7">
        <f>DATE(2016,5,17)</f>
        <v>42507</v>
      </c>
      <c r="E1516" s="8">
        <f t="shared" si="25"/>
        <v>2016</v>
      </c>
      <c r="F1516" t="s">
        <v>425</v>
      </c>
      <c r="G1516" s="9">
        <v>32941.629999999997</v>
      </c>
      <c r="H1516" s="8">
        <v>22480</v>
      </c>
    </row>
    <row r="1517" spans="2:8" ht="17.5" customHeight="1" x14ac:dyDescent="0.4">
      <c r="B1517" t="s">
        <v>7</v>
      </c>
      <c r="C1517" t="s">
        <v>424</v>
      </c>
      <c r="D1517" s="7">
        <f>DATE(2016,5,17)</f>
        <v>42507</v>
      </c>
      <c r="E1517" s="8">
        <f t="shared" si="25"/>
        <v>2016</v>
      </c>
      <c r="F1517" t="s">
        <v>425</v>
      </c>
      <c r="G1517" s="9">
        <v>22877.13</v>
      </c>
      <c r="H1517" s="8">
        <v>22301</v>
      </c>
    </row>
    <row r="1518" spans="2:8" ht="17.5" customHeight="1" x14ac:dyDescent="0.4">
      <c r="B1518" t="s">
        <v>7</v>
      </c>
      <c r="C1518" t="s">
        <v>424</v>
      </c>
      <c r="D1518" s="7">
        <f>DATE(2016,8,30)</f>
        <v>42612</v>
      </c>
      <c r="E1518" s="8">
        <f t="shared" si="25"/>
        <v>2016</v>
      </c>
      <c r="F1518" t="s">
        <v>425</v>
      </c>
      <c r="G1518" s="9">
        <v>51948.04</v>
      </c>
      <c r="H1518" s="8">
        <v>23211</v>
      </c>
    </row>
    <row r="1519" spans="2:8" ht="17.5" customHeight="1" x14ac:dyDescent="0.4">
      <c r="B1519" t="s">
        <v>7</v>
      </c>
      <c r="C1519" t="s">
        <v>424</v>
      </c>
      <c r="D1519" s="7">
        <f>DATE(2016,10,3)</f>
        <v>42646</v>
      </c>
      <c r="E1519" s="8">
        <f t="shared" si="25"/>
        <v>2016</v>
      </c>
      <c r="F1519" t="s">
        <v>425</v>
      </c>
      <c r="G1519" s="9">
        <v>22276.5</v>
      </c>
      <c r="H1519" s="8">
        <v>23423</v>
      </c>
    </row>
    <row r="1520" spans="2:8" ht="17.5" customHeight="1" x14ac:dyDescent="0.4">
      <c r="B1520" t="s">
        <v>7</v>
      </c>
      <c r="C1520" t="s">
        <v>424</v>
      </c>
      <c r="D1520" s="7">
        <f>DATE(2017,5,1)</f>
        <v>42856</v>
      </c>
      <c r="E1520" s="8">
        <f t="shared" si="25"/>
        <v>2017</v>
      </c>
      <c r="F1520" t="s">
        <v>425</v>
      </c>
      <c r="G1520" s="9">
        <v>31607.9</v>
      </c>
      <c r="H1520" s="8">
        <v>24771</v>
      </c>
    </row>
    <row r="1521" spans="2:8" ht="17.5" customHeight="1" x14ac:dyDescent="0.4">
      <c r="B1521" t="s">
        <v>7</v>
      </c>
      <c r="C1521" t="s">
        <v>424</v>
      </c>
      <c r="D1521" s="7">
        <f>DATE(2017,5,15)</f>
        <v>42870</v>
      </c>
      <c r="E1521" s="8">
        <f t="shared" si="25"/>
        <v>2017</v>
      </c>
      <c r="F1521" t="s">
        <v>425</v>
      </c>
      <c r="G1521" s="9">
        <v>20745.7</v>
      </c>
      <c r="H1521" s="8">
        <v>24729</v>
      </c>
    </row>
    <row r="1522" spans="2:8" ht="17.5" customHeight="1" x14ac:dyDescent="0.4">
      <c r="B1522" t="s">
        <v>7</v>
      </c>
      <c r="C1522" t="s">
        <v>424</v>
      </c>
      <c r="D1522" s="7">
        <f>DATE(2017,8,24)</f>
        <v>42971</v>
      </c>
      <c r="E1522" s="8">
        <f t="shared" si="25"/>
        <v>2017</v>
      </c>
      <c r="F1522" t="s">
        <v>425</v>
      </c>
      <c r="G1522" s="9">
        <v>47492.4</v>
      </c>
      <c r="H1522" s="8">
        <v>25311</v>
      </c>
    </row>
    <row r="1523" spans="2:8" ht="17.5" customHeight="1" x14ac:dyDescent="0.4">
      <c r="B1523" t="s">
        <v>7</v>
      </c>
      <c r="C1523" t="s">
        <v>424</v>
      </c>
      <c r="D1523" s="7">
        <f>DATE(2018,7,2)</f>
        <v>43283</v>
      </c>
      <c r="E1523" s="8">
        <f t="shared" si="25"/>
        <v>2018</v>
      </c>
      <c r="F1523" t="s">
        <v>425</v>
      </c>
      <c r="G1523" s="9">
        <v>23206.25</v>
      </c>
      <c r="H1523" s="8">
        <v>26429</v>
      </c>
    </row>
    <row r="1524" spans="2:8" ht="17.5" customHeight="1" x14ac:dyDescent="0.4">
      <c r="B1524" t="s">
        <v>7</v>
      </c>
      <c r="C1524" t="s">
        <v>424</v>
      </c>
      <c r="D1524" s="7">
        <f>DATE(2018,5,24)</f>
        <v>43244</v>
      </c>
      <c r="E1524" s="8">
        <f t="shared" si="25"/>
        <v>2018</v>
      </c>
      <c r="F1524" t="s">
        <v>425</v>
      </c>
      <c r="G1524" s="9">
        <v>33147</v>
      </c>
      <c r="H1524" s="8">
        <v>26427</v>
      </c>
    </row>
    <row r="1525" spans="2:8" ht="17.5" customHeight="1" x14ac:dyDescent="0.4">
      <c r="B1525" t="s">
        <v>7</v>
      </c>
      <c r="C1525" t="s">
        <v>424</v>
      </c>
      <c r="D1525" s="7">
        <f>DATE(2003,9,4)</f>
        <v>37868</v>
      </c>
      <c r="E1525" s="8">
        <f t="shared" si="25"/>
        <v>2003</v>
      </c>
      <c r="F1525" t="s">
        <v>425</v>
      </c>
      <c r="G1525" s="9">
        <v>5982.23</v>
      </c>
      <c r="H1525" s="8">
        <v>847</v>
      </c>
    </row>
    <row r="1526" spans="2:8" ht="17.5" customHeight="1" x14ac:dyDescent="0.4">
      <c r="B1526" t="s">
        <v>7</v>
      </c>
      <c r="C1526" t="s">
        <v>424</v>
      </c>
      <c r="D1526" s="7">
        <f>DATE(2003,9,10)</f>
        <v>37874</v>
      </c>
      <c r="E1526" s="8">
        <f t="shared" si="25"/>
        <v>2003</v>
      </c>
      <c r="F1526" t="s">
        <v>425</v>
      </c>
      <c r="G1526" s="9">
        <v>3808.12</v>
      </c>
      <c r="H1526" s="8">
        <v>868</v>
      </c>
    </row>
    <row r="1527" spans="2:8" ht="17.5" customHeight="1" x14ac:dyDescent="0.4">
      <c r="B1527" t="s">
        <v>7</v>
      </c>
      <c r="C1527" t="s">
        <v>424</v>
      </c>
      <c r="D1527" s="7">
        <f>DATE(2005,4,5)</f>
        <v>38447</v>
      </c>
      <c r="E1527" s="8">
        <f t="shared" si="25"/>
        <v>2005</v>
      </c>
      <c r="F1527" t="s">
        <v>425</v>
      </c>
      <c r="G1527" s="9">
        <v>21770</v>
      </c>
      <c r="H1527" s="8">
        <v>2991</v>
      </c>
    </row>
    <row r="1528" spans="2:8" ht="17.5" customHeight="1" x14ac:dyDescent="0.4">
      <c r="B1528" t="s">
        <v>7</v>
      </c>
      <c r="C1528" t="s">
        <v>424</v>
      </c>
      <c r="D1528" s="7">
        <f>DATE(2005,4,1)</f>
        <v>38443</v>
      </c>
      <c r="E1528" s="8">
        <f t="shared" si="25"/>
        <v>2005</v>
      </c>
      <c r="F1528" t="s">
        <v>425</v>
      </c>
      <c r="G1528" s="9">
        <v>3000</v>
      </c>
      <c r="H1528" s="8">
        <v>2877</v>
      </c>
    </row>
    <row r="1529" spans="2:8" ht="17.5" customHeight="1" x14ac:dyDescent="0.4">
      <c r="B1529" t="s">
        <v>7</v>
      </c>
      <c r="C1529" t="s">
        <v>424</v>
      </c>
      <c r="D1529" s="7">
        <f>DATE(2005,4,23)</f>
        <v>38465</v>
      </c>
      <c r="E1529" s="8">
        <f t="shared" si="25"/>
        <v>2005</v>
      </c>
      <c r="F1529" t="s">
        <v>425</v>
      </c>
      <c r="G1529" s="9">
        <v>18847.599999999999</v>
      </c>
      <c r="H1529" s="8">
        <v>3083</v>
      </c>
    </row>
    <row r="1530" spans="2:8" ht="17.5" customHeight="1" x14ac:dyDescent="0.4">
      <c r="B1530" t="s">
        <v>7</v>
      </c>
      <c r="C1530" t="s">
        <v>424</v>
      </c>
      <c r="D1530" s="7">
        <f>DATE(2006,6,4)</f>
        <v>38872</v>
      </c>
      <c r="E1530" s="8">
        <f t="shared" si="25"/>
        <v>2006</v>
      </c>
      <c r="F1530" t="s">
        <v>425</v>
      </c>
      <c r="G1530" s="9">
        <v>30121.32</v>
      </c>
      <c r="H1530" s="8">
        <v>4656</v>
      </c>
    </row>
    <row r="1531" spans="2:8" ht="17.5" customHeight="1" x14ac:dyDescent="0.4">
      <c r="B1531" t="s">
        <v>7</v>
      </c>
      <c r="C1531" t="s">
        <v>424</v>
      </c>
      <c r="D1531" s="7">
        <f>DATE(2007,4,5)</f>
        <v>39177</v>
      </c>
      <c r="E1531" s="8">
        <f t="shared" si="25"/>
        <v>2007</v>
      </c>
      <c r="F1531" t="s">
        <v>425</v>
      </c>
      <c r="G1531" s="9">
        <v>6095.89</v>
      </c>
      <c r="H1531" s="8">
        <v>5814</v>
      </c>
    </row>
    <row r="1532" spans="2:8" ht="17.5" customHeight="1" x14ac:dyDescent="0.4">
      <c r="B1532" t="s">
        <v>7</v>
      </c>
      <c r="C1532" t="s">
        <v>424</v>
      </c>
      <c r="D1532" s="7">
        <f>DATE(2007,5,6)</f>
        <v>39208</v>
      </c>
      <c r="E1532" s="8">
        <f t="shared" si="25"/>
        <v>2007</v>
      </c>
      <c r="F1532" t="s">
        <v>425</v>
      </c>
      <c r="G1532" s="9">
        <v>31967.49</v>
      </c>
      <c r="H1532" s="8">
        <v>5909</v>
      </c>
    </row>
    <row r="1533" spans="2:8" ht="17.5" customHeight="1" x14ac:dyDescent="0.4">
      <c r="B1533" t="s">
        <v>7</v>
      </c>
      <c r="C1533" t="s">
        <v>424</v>
      </c>
      <c r="D1533" s="7">
        <f>DATE(2008,1,27)</f>
        <v>39474</v>
      </c>
      <c r="E1533" s="8">
        <f t="shared" si="25"/>
        <v>2008</v>
      </c>
      <c r="F1533" t="s">
        <v>425</v>
      </c>
      <c r="G1533" s="9">
        <v>37567.49</v>
      </c>
      <c r="H1533" s="8">
        <v>6860</v>
      </c>
    </row>
    <row r="1534" spans="2:8" ht="17.5" customHeight="1" x14ac:dyDescent="0.4">
      <c r="B1534" t="s">
        <v>7</v>
      </c>
      <c r="C1534" t="s">
        <v>424</v>
      </c>
      <c r="D1534" s="7">
        <f>DATE(2008,4,21)</f>
        <v>39559</v>
      </c>
      <c r="E1534" s="8">
        <f t="shared" si="25"/>
        <v>2008</v>
      </c>
      <c r="F1534" t="s">
        <v>425</v>
      </c>
      <c r="G1534" s="9">
        <v>21577.48</v>
      </c>
      <c r="H1534" s="8">
        <v>7327</v>
      </c>
    </row>
    <row r="1535" spans="2:8" ht="17.5" customHeight="1" x14ac:dyDescent="0.4">
      <c r="B1535" t="s">
        <v>7</v>
      </c>
      <c r="C1535" t="s">
        <v>424</v>
      </c>
      <c r="D1535" s="7">
        <f>DATE(2008,10,9)</f>
        <v>39730</v>
      </c>
      <c r="E1535" s="8">
        <f t="shared" si="25"/>
        <v>2008</v>
      </c>
      <c r="F1535" t="s">
        <v>425</v>
      </c>
      <c r="G1535" s="9">
        <v>34218.31</v>
      </c>
      <c r="H1535" s="8">
        <v>7787</v>
      </c>
    </row>
    <row r="1536" spans="2:8" ht="17.5" customHeight="1" x14ac:dyDescent="0.4">
      <c r="B1536" t="s">
        <v>7</v>
      </c>
      <c r="C1536" t="s">
        <v>424</v>
      </c>
      <c r="D1536" s="7">
        <f>DATE(2008,12,1)</f>
        <v>39783</v>
      </c>
      <c r="E1536" s="8">
        <f t="shared" si="25"/>
        <v>2008</v>
      </c>
      <c r="F1536" t="s">
        <v>425</v>
      </c>
      <c r="G1536" s="9">
        <v>36580.019999999997</v>
      </c>
      <c r="H1536" s="8">
        <v>7786</v>
      </c>
    </row>
    <row r="1537" spans="2:8" ht="17.5" customHeight="1" x14ac:dyDescent="0.4">
      <c r="B1537" t="s">
        <v>7</v>
      </c>
      <c r="C1537" t="s">
        <v>424</v>
      </c>
      <c r="D1537" s="7">
        <f>DATE(2009,4,1)</f>
        <v>39904</v>
      </c>
      <c r="E1537" s="8">
        <f t="shared" si="25"/>
        <v>2009</v>
      </c>
      <c r="F1537" t="s">
        <v>425</v>
      </c>
      <c r="G1537" s="9">
        <v>15343.1</v>
      </c>
      <c r="H1537" s="8">
        <v>8516</v>
      </c>
    </row>
    <row r="1538" spans="2:8" ht="17.5" customHeight="1" x14ac:dyDescent="0.4">
      <c r="B1538" t="s">
        <v>7</v>
      </c>
      <c r="C1538" t="s">
        <v>424</v>
      </c>
      <c r="D1538" s="7">
        <f>DATE(2009,4,14)</f>
        <v>39917</v>
      </c>
      <c r="E1538" s="8">
        <f t="shared" si="25"/>
        <v>2009</v>
      </c>
      <c r="F1538" t="s">
        <v>425</v>
      </c>
      <c r="G1538" s="9">
        <v>36927.050000000003</v>
      </c>
      <c r="H1538" s="8">
        <v>8566</v>
      </c>
    </row>
    <row r="1539" spans="2:8" ht="17.5" customHeight="1" x14ac:dyDescent="0.4">
      <c r="B1539" t="s">
        <v>7</v>
      </c>
      <c r="C1539" t="s">
        <v>424</v>
      </c>
      <c r="D1539" s="7">
        <f>DATE(2009,10,29)</f>
        <v>40115</v>
      </c>
      <c r="E1539" s="8">
        <f t="shared" ref="E1539:E1602" si="26">YEAR(D1539)</f>
        <v>2009</v>
      </c>
      <c r="F1539" t="s">
        <v>425</v>
      </c>
      <c r="G1539" s="9">
        <v>28895</v>
      </c>
      <c r="H1539" s="8">
        <v>9133</v>
      </c>
    </row>
    <row r="1540" spans="2:8" ht="17.5" customHeight="1" x14ac:dyDescent="0.4">
      <c r="B1540" t="s">
        <v>7</v>
      </c>
      <c r="C1540" t="s">
        <v>424</v>
      </c>
      <c r="D1540" s="7">
        <f>DATE(2010,3,16)</f>
        <v>40253</v>
      </c>
      <c r="E1540" s="8">
        <f t="shared" si="26"/>
        <v>2010</v>
      </c>
      <c r="F1540" t="s">
        <v>425</v>
      </c>
      <c r="G1540" s="9">
        <v>23141</v>
      </c>
      <c r="H1540" s="8">
        <v>9571</v>
      </c>
    </row>
    <row r="1541" spans="2:8" ht="17.5" customHeight="1" x14ac:dyDescent="0.4">
      <c r="B1541" t="s">
        <v>7</v>
      </c>
      <c r="C1541" t="s">
        <v>424</v>
      </c>
      <c r="D1541" s="7">
        <f>DATE(2010,3,16)</f>
        <v>40253</v>
      </c>
      <c r="E1541" s="8">
        <f t="shared" si="26"/>
        <v>2010</v>
      </c>
      <c r="F1541" t="s">
        <v>425</v>
      </c>
      <c r="G1541" s="9">
        <v>3320.51</v>
      </c>
      <c r="H1541" s="8">
        <v>9611</v>
      </c>
    </row>
    <row r="1542" spans="2:8" ht="17.5" customHeight="1" x14ac:dyDescent="0.4">
      <c r="B1542" t="s">
        <v>7</v>
      </c>
      <c r="C1542" t="s">
        <v>424</v>
      </c>
      <c r="D1542" s="7">
        <f>DATE(2010,4,14)</f>
        <v>40282</v>
      </c>
      <c r="E1542" s="8">
        <f t="shared" si="26"/>
        <v>2010</v>
      </c>
      <c r="F1542" t="s">
        <v>425</v>
      </c>
      <c r="G1542" s="9">
        <v>22236.61</v>
      </c>
      <c r="H1542" s="8">
        <v>9700</v>
      </c>
    </row>
    <row r="1543" spans="2:8" ht="17.5" customHeight="1" x14ac:dyDescent="0.4">
      <c r="B1543" t="s">
        <v>7</v>
      </c>
      <c r="C1543" t="s">
        <v>424</v>
      </c>
      <c r="D1543" s="7">
        <f>DATE(2011,4,21)</f>
        <v>40654</v>
      </c>
      <c r="E1543" s="8">
        <f t="shared" si="26"/>
        <v>2011</v>
      </c>
      <c r="F1543" t="s">
        <v>425</v>
      </c>
      <c r="G1543" s="9">
        <v>38499.32</v>
      </c>
      <c r="H1543" s="8">
        <v>10442</v>
      </c>
    </row>
    <row r="1544" spans="2:8" ht="17.5" customHeight="1" x14ac:dyDescent="0.4">
      <c r="B1544" t="s">
        <v>7</v>
      </c>
      <c r="C1544" t="s">
        <v>424</v>
      </c>
      <c r="D1544" s="7">
        <f>DATE(2011,5,5)</f>
        <v>40668</v>
      </c>
      <c r="E1544" s="8">
        <f t="shared" si="26"/>
        <v>2011</v>
      </c>
      <c r="F1544" t="s">
        <v>425</v>
      </c>
      <c r="G1544" s="9">
        <v>22017.64</v>
      </c>
      <c r="H1544" s="8">
        <v>10633</v>
      </c>
    </row>
    <row r="1545" spans="2:8" ht="17.5" customHeight="1" x14ac:dyDescent="0.4">
      <c r="B1545" t="s">
        <v>7</v>
      </c>
      <c r="C1545" t="s">
        <v>424</v>
      </c>
      <c r="D1545" s="7">
        <f>DATE(2012,3,21)</f>
        <v>40989</v>
      </c>
      <c r="E1545" s="8">
        <f t="shared" si="26"/>
        <v>2012</v>
      </c>
      <c r="F1545" t="s">
        <v>425</v>
      </c>
      <c r="G1545" s="9">
        <v>35410.57</v>
      </c>
      <c r="H1545" s="8">
        <v>11296</v>
      </c>
    </row>
    <row r="1546" spans="2:8" ht="17.5" customHeight="1" x14ac:dyDescent="0.4">
      <c r="B1546" t="s">
        <v>7</v>
      </c>
      <c r="C1546" t="s">
        <v>424</v>
      </c>
      <c r="D1546" s="7">
        <f>DATE(2012,5,24)</f>
        <v>41053</v>
      </c>
      <c r="E1546" s="8">
        <f t="shared" si="26"/>
        <v>2012</v>
      </c>
      <c r="F1546" t="s">
        <v>425</v>
      </c>
      <c r="G1546" s="9">
        <v>30740.65</v>
      </c>
      <c r="H1546" s="8">
        <v>11297</v>
      </c>
    </row>
    <row r="1547" spans="2:8" ht="17.5" customHeight="1" x14ac:dyDescent="0.4">
      <c r="B1547" t="s">
        <v>7</v>
      </c>
      <c r="C1547" t="s">
        <v>424</v>
      </c>
      <c r="D1547" s="7">
        <f>DATE(2013,2,19)</f>
        <v>41324</v>
      </c>
      <c r="E1547" s="8">
        <f t="shared" si="26"/>
        <v>2013</v>
      </c>
      <c r="F1547" t="s">
        <v>425</v>
      </c>
      <c r="G1547" s="9">
        <v>29963</v>
      </c>
      <c r="H1547" s="8">
        <v>12167</v>
      </c>
    </row>
    <row r="1548" spans="2:8" ht="17.5" customHeight="1" x14ac:dyDescent="0.4">
      <c r="B1548" t="s">
        <v>7</v>
      </c>
      <c r="C1548" t="s">
        <v>424</v>
      </c>
      <c r="D1548" s="7">
        <f>DATE(2013,3,26)</f>
        <v>41359</v>
      </c>
      <c r="E1548" s="8">
        <f t="shared" si="26"/>
        <v>2013</v>
      </c>
      <c r="F1548" t="s">
        <v>425</v>
      </c>
      <c r="G1548" s="9">
        <v>31235.98</v>
      </c>
      <c r="H1548" s="8">
        <v>12208</v>
      </c>
    </row>
    <row r="1549" spans="2:8" ht="17.5" customHeight="1" x14ac:dyDescent="0.4">
      <c r="B1549" t="s">
        <v>7</v>
      </c>
      <c r="C1549" t="s">
        <v>424</v>
      </c>
      <c r="D1549" s="7">
        <f>DATE(2013,8,7)</f>
        <v>41493</v>
      </c>
      <c r="E1549" s="8">
        <f t="shared" si="26"/>
        <v>2013</v>
      </c>
      <c r="F1549" t="s">
        <v>425</v>
      </c>
      <c r="G1549" s="9">
        <v>41383.760000000002</v>
      </c>
      <c r="H1549" s="8">
        <v>12560</v>
      </c>
    </row>
    <row r="1550" spans="2:8" ht="17.5" customHeight="1" x14ac:dyDescent="0.4">
      <c r="B1550" t="s">
        <v>7</v>
      </c>
      <c r="C1550" t="s">
        <v>424</v>
      </c>
      <c r="D1550" s="7">
        <f>DATE(2013,11,20)</f>
        <v>41598</v>
      </c>
      <c r="E1550" s="8">
        <f t="shared" si="26"/>
        <v>2013</v>
      </c>
      <c r="F1550" t="s">
        <v>425</v>
      </c>
      <c r="G1550" s="9">
        <v>39882.51</v>
      </c>
      <c r="H1550" s="8">
        <v>12682</v>
      </c>
    </row>
    <row r="1551" spans="2:8" ht="17.5" customHeight="1" x14ac:dyDescent="0.4">
      <c r="B1551" t="s">
        <v>7</v>
      </c>
      <c r="C1551" t="s">
        <v>424</v>
      </c>
      <c r="D1551" s="7">
        <f>DATE(2013,12,2)</f>
        <v>41610</v>
      </c>
      <c r="E1551" s="8">
        <f t="shared" si="26"/>
        <v>2013</v>
      </c>
      <c r="F1551" t="s">
        <v>425</v>
      </c>
      <c r="G1551" s="9">
        <v>52220.68</v>
      </c>
      <c r="H1551" s="8">
        <v>12681</v>
      </c>
    </row>
    <row r="1552" spans="2:8" ht="17.5" customHeight="1" x14ac:dyDescent="0.4">
      <c r="B1552" t="s">
        <v>7</v>
      </c>
      <c r="C1552" t="s">
        <v>424</v>
      </c>
      <c r="D1552" s="7">
        <f>DATE(2014,2,25)</f>
        <v>41695</v>
      </c>
      <c r="E1552" s="8">
        <f t="shared" si="26"/>
        <v>2014</v>
      </c>
      <c r="F1552" t="s">
        <v>425</v>
      </c>
      <c r="G1552" s="9">
        <v>33263.18</v>
      </c>
      <c r="H1552" s="8">
        <v>12960</v>
      </c>
    </row>
    <row r="1553" spans="2:8" ht="17.5" customHeight="1" x14ac:dyDescent="0.4">
      <c r="B1553" t="s">
        <v>7</v>
      </c>
      <c r="C1553" t="s">
        <v>424</v>
      </c>
      <c r="D1553" s="7">
        <f>DATE(2014,4,11)</f>
        <v>41740</v>
      </c>
      <c r="E1553" s="8">
        <f t="shared" si="26"/>
        <v>2014</v>
      </c>
      <c r="F1553" t="s">
        <v>425</v>
      </c>
      <c r="G1553" s="9">
        <v>65725.48</v>
      </c>
      <c r="H1553" s="8">
        <v>13086</v>
      </c>
    </row>
    <row r="1554" spans="2:8" ht="17.5" customHeight="1" x14ac:dyDescent="0.4">
      <c r="B1554" t="s">
        <v>7</v>
      </c>
      <c r="C1554" t="s">
        <v>424</v>
      </c>
      <c r="D1554" s="7">
        <f>DATE(2014,5,27)</f>
        <v>41786</v>
      </c>
      <c r="E1554" s="8">
        <f t="shared" si="26"/>
        <v>2014</v>
      </c>
      <c r="F1554" t="s">
        <v>425</v>
      </c>
      <c r="G1554" s="9">
        <v>37630.300000000003</v>
      </c>
      <c r="H1554" s="8">
        <v>13209</v>
      </c>
    </row>
    <row r="1555" spans="2:8" ht="17.5" customHeight="1" x14ac:dyDescent="0.4">
      <c r="B1555" t="s">
        <v>7</v>
      </c>
      <c r="C1555" t="s">
        <v>424</v>
      </c>
      <c r="D1555" s="7">
        <f>DATE(2014,6,10)</f>
        <v>41800</v>
      </c>
      <c r="E1555" s="8">
        <f t="shared" si="26"/>
        <v>2014</v>
      </c>
      <c r="F1555" t="s">
        <v>425</v>
      </c>
      <c r="G1555" s="9">
        <v>27498</v>
      </c>
      <c r="H1555" s="8">
        <v>13161</v>
      </c>
    </row>
    <row r="1556" spans="2:8" ht="17.5" customHeight="1" x14ac:dyDescent="0.4">
      <c r="B1556" t="s">
        <v>7</v>
      </c>
      <c r="C1556" t="s">
        <v>424</v>
      </c>
      <c r="D1556" s="7">
        <f>DATE(2014,8,22)</f>
        <v>41873</v>
      </c>
      <c r="E1556" s="8">
        <f t="shared" si="26"/>
        <v>2014</v>
      </c>
      <c r="F1556" t="s">
        <v>425</v>
      </c>
      <c r="G1556" s="9">
        <v>38750.6</v>
      </c>
      <c r="H1556" s="8">
        <v>13385</v>
      </c>
    </row>
    <row r="1557" spans="2:8" ht="17.5" customHeight="1" x14ac:dyDescent="0.4">
      <c r="B1557" t="s">
        <v>7</v>
      </c>
      <c r="C1557" t="s">
        <v>424</v>
      </c>
      <c r="D1557" s="7">
        <f>DATE(2014,12,12)</f>
        <v>41985</v>
      </c>
      <c r="E1557" s="8">
        <f t="shared" si="26"/>
        <v>2014</v>
      </c>
      <c r="F1557" t="s">
        <v>425</v>
      </c>
      <c r="G1557" s="9">
        <v>46921.46</v>
      </c>
      <c r="H1557" s="8">
        <v>13537</v>
      </c>
    </row>
    <row r="1558" spans="2:8" ht="17.5" customHeight="1" x14ac:dyDescent="0.4">
      <c r="B1558" t="s">
        <v>7</v>
      </c>
      <c r="C1558" t="s">
        <v>424</v>
      </c>
      <c r="D1558" s="7">
        <f>DATE(2010,5,5)</f>
        <v>40303</v>
      </c>
      <c r="E1558" s="8">
        <f t="shared" si="26"/>
        <v>2010</v>
      </c>
      <c r="F1558" t="s">
        <v>425</v>
      </c>
      <c r="G1558" s="9">
        <v>2215.6</v>
      </c>
      <c r="H1558" s="8">
        <v>9784</v>
      </c>
    </row>
    <row r="1559" spans="2:8" ht="17.5" customHeight="1" x14ac:dyDescent="0.4">
      <c r="B1559" t="s">
        <v>7</v>
      </c>
      <c r="C1559" t="s">
        <v>424</v>
      </c>
      <c r="D1559" s="7">
        <f>DATE(2013,11,1)</f>
        <v>41579</v>
      </c>
      <c r="E1559" s="8">
        <f t="shared" si="26"/>
        <v>2013</v>
      </c>
      <c r="F1559" t="s">
        <v>425</v>
      </c>
      <c r="G1559" s="9">
        <v>7109.26</v>
      </c>
      <c r="H1559" s="8">
        <v>12718</v>
      </c>
    </row>
    <row r="1560" spans="2:8" ht="17.5" customHeight="1" x14ac:dyDescent="0.4">
      <c r="B1560" t="s">
        <v>7</v>
      </c>
      <c r="C1560" t="s">
        <v>424</v>
      </c>
      <c r="D1560" s="7">
        <f>DATE(2014,2,14)</f>
        <v>41684</v>
      </c>
      <c r="E1560" s="8">
        <f t="shared" si="26"/>
        <v>2014</v>
      </c>
      <c r="F1560" t="s">
        <v>425</v>
      </c>
      <c r="G1560" s="9">
        <v>3503.64</v>
      </c>
      <c r="H1560" s="8">
        <v>12946</v>
      </c>
    </row>
    <row r="1561" spans="2:8" ht="17.5" customHeight="1" x14ac:dyDescent="0.4">
      <c r="B1561" s="3" t="s">
        <v>7</v>
      </c>
      <c r="C1561" s="3" t="s">
        <v>424</v>
      </c>
      <c r="D1561" s="4">
        <f>DATE(2006,5,24)</f>
        <v>38861</v>
      </c>
      <c r="E1561" s="5">
        <f t="shared" si="26"/>
        <v>2006</v>
      </c>
      <c r="F1561" s="3" t="s">
        <v>425</v>
      </c>
      <c r="G1561" s="6">
        <v>6000</v>
      </c>
      <c r="H1561" s="5">
        <v>6756</v>
      </c>
    </row>
    <row r="1562" spans="2:8" ht="17.5" customHeight="1" x14ac:dyDescent="0.4">
      <c r="B1562" s="3" t="s">
        <v>7</v>
      </c>
      <c r="C1562" s="3" t="s">
        <v>424</v>
      </c>
      <c r="D1562" s="4">
        <f>DATE(2006,8,10)</f>
        <v>38939</v>
      </c>
      <c r="E1562" s="5">
        <f t="shared" si="26"/>
        <v>2006</v>
      </c>
      <c r="F1562" s="3" t="s">
        <v>425</v>
      </c>
      <c r="G1562" s="6">
        <v>1149</v>
      </c>
      <c r="H1562" s="5">
        <v>7019</v>
      </c>
    </row>
    <row r="1563" spans="2:8" ht="17.5" customHeight="1" x14ac:dyDescent="0.4">
      <c r="B1563" s="3" t="s">
        <v>7</v>
      </c>
      <c r="C1563" s="3" t="s">
        <v>424</v>
      </c>
      <c r="D1563" s="4">
        <f>DATE(2008,1,24)</f>
        <v>39471</v>
      </c>
      <c r="E1563" s="5">
        <f t="shared" si="26"/>
        <v>2008</v>
      </c>
      <c r="F1563" s="3" t="s">
        <v>425</v>
      </c>
      <c r="G1563" s="6">
        <v>23155</v>
      </c>
      <c r="H1563" s="5">
        <v>9809</v>
      </c>
    </row>
    <row r="1564" spans="2:8" ht="17.5" customHeight="1" x14ac:dyDescent="0.4">
      <c r="B1564" s="3" t="s">
        <v>7</v>
      </c>
      <c r="C1564" s="3" t="s">
        <v>424</v>
      </c>
      <c r="D1564" s="4">
        <f>DATE(2009,10,29)</f>
        <v>40115</v>
      </c>
      <c r="E1564" s="5">
        <f t="shared" si="26"/>
        <v>2009</v>
      </c>
      <c r="F1564" s="3" t="s">
        <v>425</v>
      </c>
      <c r="G1564" s="6">
        <v>23155</v>
      </c>
      <c r="H1564" s="5">
        <v>13104</v>
      </c>
    </row>
    <row r="1565" spans="2:8" ht="17.5" customHeight="1" x14ac:dyDescent="0.4">
      <c r="B1565" s="3" t="s">
        <v>7</v>
      </c>
      <c r="C1565" s="3" t="s">
        <v>424</v>
      </c>
      <c r="D1565" s="4">
        <f>DATE(2014,2,20)</f>
        <v>41690</v>
      </c>
      <c r="E1565" s="5">
        <f t="shared" si="26"/>
        <v>2014</v>
      </c>
      <c r="F1565" s="3" t="s">
        <v>425</v>
      </c>
      <c r="G1565" s="6">
        <v>32467.62</v>
      </c>
      <c r="H1565" s="5">
        <v>19525</v>
      </c>
    </row>
    <row r="1566" spans="2:8" ht="17.5" customHeight="1" x14ac:dyDescent="0.4">
      <c r="B1566" s="3" t="s">
        <v>7</v>
      </c>
      <c r="C1566" s="3" t="s">
        <v>426</v>
      </c>
      <c r="D1566" s="4">
        <f>DATE(2007,5,5)</f>
        <v>39207</v>
      </c>
      <c r="E1566" s="5">
        <f t="shared" si="26"/>
        <v>2007</v>
      </c>
      <c r="F1566" s="3" t="s">
        <v>427</v>
      </c>
      <c r="G1566" s="6">
        <v>13734.1</v>
      </c>
      <c r="H1566" s="5">
        <v>2117</v>
      </c>
    </row>
    <row r="1567" spans="2:8" ht="17.5" customHeight="1" x14ac:dyDescent="0.4">
      <c r="B1567" t="s">
        <v>7</v>
      </c>
      <c r="C1567" t="s">
        <v>428</v>
      </c>
      <c r="D1567" s="7">
        <f>DATE(2015,6,15)</f>
        <v>42170</v>
      </c>
      <c r="E1567" s="8">
        <f t="shared" si="26"/>
        <v>2015</v>
      </c>
      <c r="F1567" t="s">
        <v>429</v>
      </c>
      <c r="G1567" s="9">
        <v>7067.2</v>
      </c>
      <c r="H1567" s="8">
        <v>20770</v>
      </c>
    </row>
    <row r="1568" spans="2:8" ht="17.5" customHeight="1" x14ac:dyDescent="0.4">
      <c r="B1568" t="s">
        <v>7</v>
      </c>
      <c r="C1568" t="s">
        <v>428</v>
      </c>
      <c r="D1568" s="7">
        <f>DATE(2015,9,11)</f>
        <v>42258</v>
      </c>
      <c r="E1568" s="8">
        <f t="shared" si="26"/>
        <v>2015</v>
      </c>
      <c r="F1568" t="s">
        <v>429</v>
      </c>
      <c r="G1568" s="9">
        <v>5100</v>
      </c>
      <c r="H1568" s="8">
        <v>21015</v>
      </c>
    </row>
    <row r="1569" spans="2:8" ht="17.5" customHeight="1" x14ac:dyDescent="0.4">
      <c r="B1569" t="s">
        <v>7</v>
      </c>
      <c r="C1569" t="s">
        <v>430</v>
      </c>
      <c r="D1569" s="7">
        <f>DATE(2019,4,3)</f>
        <v>43558</v>
      </c>
      <c r="E1569" s="8">
        <f t="shared" si="26"/>
        <v>2019</v>
      </c>
      <c r="F1569" t="s">
        <v>431</v>
      </c>
      <c r="G1569" s="9">
        <v>9500</v>
      </c>
      <c r="H1569" s="8">
        <v>28519</v>
      </c>
    </row>
    <row r="1570" spans="2:8" ht="17.5" customHeight="1" x14ac:dyDescent="0.4">
      <c r="B1570" t="s">
        <v>7</v>
      </c>
      <c r="C1570" t="s">
        <v>430</v>
      </c>
      <c r="D1570" s="7">
        <f>DATE(2019,5,13)</f>
        <v>43598</v>
      </c>
      <c r="E1570" s="8">
        <f t="shared" si="26"/>
        <v>2019</v>
      </c>
      <c r="F1570" t="s">
        <v>431</v>
      </c>
      <c r="G1570" s="9">
        <v>205745.19</v>
      </c>
      <c r="H1570" s="8">
        <v>28778</v>
      </c>
    </row>
    <row r="1571" spans="2:8" ht="17.5" customHeight="1" x14ac:dyDescent="0.4">
      <c r="B1571" t="s">
        <v>7</v>
      </c>
      <c r="C1571" t="s">
        <v>430</v>
      </c>
      <c r="D1571" s="7">
        <f>DATE(2019,5,13)</f>
        <v>43598</v>
      </c>
      <c r="E1571" s="8">
        <f t="shared" si="26"/>
        <v>2019</v>
      </c>
      <c r="F1571" t="s">
        <v>431</v>
      </c>
      <c r="G1571" s="9">
        <v>108920.95</v>
      </c>
      <c r="H1571" s="8">
        <v>28780</v>
      </c>
    </row>
    <row r="1572" spans="2:8" ht="17.5" customHeight="1" x14ac:dyDescent="0.4">
      <c r="B1572" t="s">
        <v>7</v>
      </c>
      <c r="C1572" t="s">
        <v>432</v>
      </c>
      <c r="D1572" s="7">
        <f>DATE(2018,4,3)</f>
        <v>43193</v>
      </c>
      <c r="E1572" s="8">
        <f t="shared" si="26"/>
        <v>2018</v>
      </c>
      <c r="F1572" t="s">
        <v>433</v>
      </c>
      <c r="G1572" s="9">
        <v>22390.26</v>
      </c>
      <c r="H1572" s="8">
        <v>26608</v>
      </c>
    </row>
    <row r="1573" spans="2:8" ht="17.5" customHeight="1" x14ac:dyDescent="0.4">
      <c r="B1573" t="s">
        <v>7</v>
      </c>
      <c r="C1573" t="s">
        <v>434</v>
      </c>
      <c r="D1573" s="7">
        <f>DATE(2005,1,28)</f>
        <v>38380</v>
      </c>
      <c r="E1573" s="8">
        <f t="shared" si="26"/>
        <v>2005</v>
      </c>
      <c r="F1573" t="s">
        <v>435</v>
      </c>
      <c r="G1573" s="9">
        <v>2873</v>
      </c>
      <c r="H1573" s="8">
        <v>2642</v>
      </c>
    </row>
    <row r="1574" spans="2:8" ht="17.5" customHeight="1" x14ac:dyDescent="0.4">
      <c r="B1574" t="s">
        <v>7</v>
      </c>
      <c r="C1574" t="s">
        <v>434</v>
      </c>
      <c r="D1574" s="7">
        <f>DATE(2003,12,12)</f>
        <v>37967</v>
      </c>
      <c r="E1574" s="8">
        <f t="shared" si="26"/>
        <v>2003</v>
      </c>
      <c r="F1574" t="s">
        <v>435</v>
      </c>
      <c r="G1574" s="9">
        <v>18000</v>
      </c>
      <c r="H1574" s="8">
        <v>1070</v>
      </c>
    </row>
    <row r="1575" spans="2:8" ht="17.5" customHeight="1" x14ac:dyDescent="0.4">
      <c r="B1575" t="s">
        <v>7</v>
      </c>
      <c r="C1575" t="s">
        <v>434</v>
      </c>
      <c r="D1575" s="7">
        <f>DATE(2006,4,6)</f>
        <v>38813</v>
      </c>
      <c r="E1575" s="8">
        <f t="shared" si="26"/>
        <v>2006</v>
      </c>
      <c r="F1575" t="s">
        <v>435</v>
      </c>
      <c r="G1575" s="9">
        <v>19307.5</v>
      </c>
      <c r="H1575" s="8">
        <v>3949</v>
      </c>
    </row>
    <row r="1576" spans="2:8" ht="17.5" customHeight="1" x14ac:dyDescent="0.4">
      <c r="B1576" t="s">
        <v>7</v>
      </c>
      <c r="C1576" t="s">
        <v>434</v>
      </c>
      <c r="D1576" s="7">
        <f>DATE(2006,4,6)</f>
        <v>38813</v>
      </c>
      <c r="E1576" s="8">
        <f t="shared" si="26"/>
        <v>2006</v>
      </c>
      <c r="F1576" t="s">
        <v>435</v>
      </c>
      <c r="G1576" s="9">
        <v>500</v>
      </c>
      <c r="H1576" s="8">
        <v>4742</v>
      </c>
    </row>
    <row r="1577" spans="2:8" ht="17.5" customHeight="1" x14ac:dyDescent="0.4">
      <c r="B1577" t="s">
        <v>7</v>
      </c>
      <c r="C1577" t="s">
        <v>434</v>
      </c>
      <c r="D1577" s="7">
        <f>DATE(2009,1,24)</f>
        <v>39837</v>
      </c>
      <c r="E1577" s="8">
        <f t="shared" si="26"/>
        <v>2009</v>
      </c>
      <c r="F1577" t="s">
        <v>435</v>
      </c>
      <c r="G1577" s="9">
        <v>15885</v>
      </c>
      <c r="H1577" s="8">
        <v>8247</v>
      </c>
    </row>
    <row r="1578" spans="2:8" ht="17.5" customHeight="1" x14ac:dyDescent="0.4">
      <c r="B1578" t="s">
        <v>7</v>
      </c>
      <c r="C1578" t="s">
        <v>434</v>
      </c>
      <c r="D1578" s="7">
        <f>DATE(2011,10,4)</f>
        <v>40820</v>
      </c>
      <c r="E1578" s="8">
        <f t="shared" si="26"/>
        <v>2011</v>
      </c>
      <c r="F1578" t="s">
        <v>435</v>
      </c>
      <c r="G1578" s="9">
        <v>23050</v>
      </c>
      <c r="H1578" s="8">
        <v>11029</v>
      </c>
    </row>
    <row r="1579" spans="2:8" ht="17.5" customHeight="1" x14ac:dyDescent="0.4">
      <c r="B1579" t="s">
        <v>16</v>
      </c>
      <c r="C1579" t="s">
        <v>434</v>
      </c>
      <c r="D1579" s="7">
        <f>DATE(2006,4,6)</f>
        <v>38813</v>
      </c>
      <c r="E1579" s="8">
        <f t="shared" si="26"/>
        <v>2006</v>
      </c>
      <c r="F1579" t="s">
        <v>435</v>
      </c>
      <c r="G1579" s="9">
        <v>1307.5</v>
      </c>
      <c r="H1579" s="8">
        <v>4743</v>
      </c>
    </row>
    <row r="1580" spans="2:8" ht="17.5" customHeight="1" x14ac:dyDescent="0.4">
      <c r="B1580" t="s">
        <v>16</v>
      </c>
      <c r="C1580" t="s">
        <v>434</v>
      </c>
      <c r="D1580" s="7">
        <f>DATE(2009,2,18)</f>
        <v>39862</v>
      </c>
      <c r="E1580" s="8">
        <f t="shared" si="26"/>
        <v>2009</v>
      </c>
      <c r="F1580" t="s">
        <v>435</v>
      </c>
      <c r="G1580" s="9">
        <v>90</v>
      </c>
      <c r="H1580" s="8">
        <v>8390</v>
      </c>
    </row>
    <row r="1581" spans="2:8" ht="17.5" customHeight="1" x14ac:dyDescent="0.4">
      <c r="B1581" s="3" t="s">
        <v>7</v>
      </c>
      <c r="C1581" s="3" t="s">
        <v>434</v>
      </c>
      <c r="D1581" s="4">
        <f>DATE(2003,3,19)</f>
        <v>37699</v>
      </c>
      <c r="E1581" s="5">
        <f t="shared" si="26"/>
        <v>2003</v>
      </c>
      <c r="F1581" s="3" t="s">
        <v>435</v>
      </c>
      <c r="G1581" s="6">
        <v>6469.25</v>
      </c>
      <c r="H1581" s="5">
        <v>477</v>
      </c>
    </row>
    <row r="1582" spans="2:8" ht="17.5" customHeight="1" x14ac:dyDescent="0.4">
      <c r="B1582" s="3" t="s">
        <v>7</v>
      </c>
      <c r="C1582" s="3" t="s">
        <v>434</v>
      </c>
      <c r="D1582" s="4">
        <f>DATE(2003,5,2)</f>
        <v>37743</v>
      </c>
      <c r="E1582" s="5">
        <f t="shared" si="26"/>
        <v>2003</v>
      </c>
      <c r="F1582" s="3" t="s">
        <v>435</v>
      </c>
      <c r="G1582" s="6">
        <v>15748.28</v>
      </c>
      <c r="H1582" s="5">
        <v>699</v>
      </c>
    </row>
    <row r="1583" spans="2:8" ht="17.5" customHeight="1" x14ac:dyDescent="0.4">
      <c r="B1583" s="3" t="s">
        <v>7</v>
      </c>
      <c r="C1583" s="3" t="s">
        <v>434</v>
      </c>
      <c r="D1583" s="4">
        <f>DATE(2003,5,29)</f>
        <v>37770</v>
      </c>
      <c r="E1583" s="5">
        <f t="shared" si="26"/>
        <v>2003</v>
      </c>
      <c r="F1583" s="3" t="s">
        <v>435</v>
      </c>
      <c r="G1583" s="6">
        <v>16417.89</v>
      </c>
      <c r="H1583" s="5">
        <v>907</v>
      </c>
    </row>
    <row r="1584" spans="2:8" ht="17.5" customHeight="1" x14ac:dyDescent="0.4">
      <c r="B1584" s="3" t="s">
        <v>7</v>
      </c>
      <c r="C1584" s="3" t="s">
        <v>434</v>
      </c>
      <c r="D1584" s="4">
        <f>DATE(2003,11,26)</f>
        <v>37951</v>
      </c>
      <c r="E1584" s="5">
        <f t="shared" si="26"/>
        <v>2003</v>
      </c>
      <c r="F1584" s="3" t="s">
        <v>435</v>
      </c>
      <c r="G1584" s="6">
        <v>6607</v>
      </c>
      <c r="H1584" s="5">
        <v>1809</v>
      </c>
    </row>
    <row r="1585" spans="2:8" ht="17.5" customHeight="1" x14ac:dyDescent="0.4">
      <c r="B1585" s="3" t="s">
        <v>7</v>
      </c>
      <c r="C1585" s="3" t="s">
        <v>434</v>
      </c>
      <c r="D1585" s="4">
        <f>DATE(2003,12,4)</f>
        <v>37959</v>
      </c>
      <c r="E1585" s="5">
        <f t="shared" si="26"/>
        <v>2003</v>
      </c>
      <c r="F1585" s="3" t="s">
        <v>435</v>
      </c>
      <c r="G1585" s="6">
        <v>7590.75</v>
      </c>
      <c r="H1585" s="5">
        <v>1846</v>
      </c>
    </row>
    <row r="1586" spans="2:8" ht="17.5" customHeight="1" x14ac:dyDescent="0.4">
      <c r="B1586" s="3" t="s">
        <v>7</v>
      </c>
      <c r="C1586" s="3" t="s">
        <v>434</v>
      </c>
      <c r="D1586" s="4">
        <f>DATE(2003,12,10)</f>
        <v>37965</v>
      </c>
      <c r="E1586" s="5">
        <f t="shared" si="26"/>
        <v>2003</v>
      </c>
      <c r="F1586" s="3" t="s">
        <v>435</v>
      </c>
      <c r="G1586" s="6">
        <v>785</v>
      </c>
      <c r="H1586" s="5">
        <v>1882</v>
      </c>
    </row>
    <row r="1587" spans="2:8" ht="17.5" customHeight="1" x14ac:dyDescent="0.4">
      <c r="B1587" s="3" t="s">
        <v>7</v>
      </c>
      <c r="C1587" s="3" t="s">
        <v>434</v>
      </c>
      <c r="D1587" s="4">
        <f>DATE(2003,12,11)</f>
        <v>37966</v>
      </c>
      <c r="E1587" s="5">
        <f t="shared" si="26"/>
        <v>2003</v>
      </c>
      <c r="F1587" s="3" t="s">
        <v>435</v>
      </c>
      <c r="G1587" s="6">
        <v>3011.25</v>
      </c>
      <c r="H1587" s="5">
        <v>1887</v>
      </c>
    </row>
    <row r="1588" spans="2:8" ht="17.5" customHeight="1" x14ac:dyDescent="0.4">
      <c r="B1588" s="3" t="s">
        <v>7</v>
      </c>
      <c r="C1588" s="3" t="s">
        <v>434</v>
      </c>
      <c r="D1588" s="4">
        <f>DATE(2003,12,15)</f>
        <v>37970</v>
      </c>
      <c r="E1588" s="5">
        <f t="shared" si="26"/>
        <v>2003</v>
      </c>
      <c r="F1588" s="3" t="s">
        <v>435</v>
      </c>
      <c r="G1588" s="6">
        <v>5327.25</v>
      </c>
      <c r="H1588" s="5">
        <v>1887</v>
      </c>
    </row>
    <row r="1589" spans="2:8" ht="17.5" customHeight="1" x14ac:dyDescent="0.4">
      <c r="B1589" s="3" t="s">
        <v>7</v>
      </c>
      <c r="C1589" s="3" t="s">
        <v>434</v>
      </c>
      <c r="D1589" s="4">
        <f>DATE(2004,1,9)</f>
        <v>37995</v>
      </c>
      <c r="E1589" s="5">
        <f t="shared" si="26"/>
        <v>2004</v>
      </c>
      <c r="F1589" s="3" t="s">
        <v>435</v>
      </c>
      <c r="G1589" s="6">
        <v>3285</v>
      </c>
      <c r="H1589" s="5">
        <v>1958</v>
      </c>
    </row>
    <row r="1590" spans="2:8" ht="17.5" customHeight="1" x14ac:dyDescent="0.4">
      <c r="B1590" s="3" t="s">
        <v>7</v>
      </c>
      <c r="C1590" s="3" t="s">
        <v>434</v>
      </c>
      <c r="D1590" s="4">
        <f>DATE(2004,3,12)</f>
        <v>38058</v>
      </c>
      <c r="E1590" s="5">
        <f t="shared" si="26"/>
        <v>2004</v>
      </c>
      <c r="F1590" s="3" t="s">
        <v>435</v>
      </c>
      <c r="G1590" s="6">
        <v>3285</v>
      </c>
      <c r="H1590" s="5">
        <v>2337</v>
      </c>
    </row>
    <row r="1591" spans="2:8" ht="17.5" customHeight="1" x14ac:dyDescent="0.4">
      <c r="B1591" s="3" t="s">
        <v>7</v>
      </c>
      <c r="C1591" s="3" t="s">
        <v>434</v>
      </c>
      <c r="D1591" s="4">
        <f>DATE(2005,1,18)</f>
        <v>38370</v>
      </c>
      <c r="E1591" s="5">
        <f t="shared" si="26"/>
        <v>2005</v>
      </c>
      <c r="F1591" s="3" t="s">
        <v>435</v>
      </c>
      <c r="G1591" s="6">
        <v>3646.25</v>
      </c>
      <c r="H1591" s="5">
        <v>3928</v>
      </c>
    </row>
    <row r="1592" spans="2:8" ht="17.5" customHeight="1" x14ac:dyDescent="0.4">
      <c r="B1592" s="3" t="s">
        <v>7</v>
      </c>
      <c r="C1592" s="3" t="s">
        <v>434</v>
      </c>
      <c r="D1592" s="4">
        <f>DATE(2005,2,9)</f>
        <v>38392</v>
      </c>
      <c r="E1592" s="5">
        <f t="shared" si="26"/>
        <v>2005</v>
      </c>
      <c r="F1592" s="3" t="s">
        <v>435</v>
      </c>
      <c r="G1592" s="6">
        <v>16627.73</v>
      </c>
      <c r="H1592" s="5">
        <v>3927</v>
      </c>
    </row>
    <row r="1593" spans="2:8" ht="17.5" customHeight="1" x14ac:dyDescent="0.4">
      <c r="B1593" s="3" t="s">
        <v>7</v>
      </c>
      <c r="C1593" s="3" t="s">
        <v>434</v>
      </c>
      <c r="D1593" s="4">
        <f>DATE(2005,4,4)</f>
        <v>38446</v>
      </c>
      <c r="E1593" s="5">
        <f t="shared" si="26"/>
        <v>2005</v>
      </c>
      <c r="F1593" s="3" t="s">
        <v>435</v>
      </c>
      <c r="G1593" s="6">
        <v>7259.75</v>
      </c>
      <c r="H1593" s="5">
        <v>4289</v>
      </c>
    </row>
    <row r="1594" spans="2:8" ht="17.5" customHeight="1" x14ac:dyDescent="0.4">
      <c r="B1594" s="3" t="s">
        <v>7</v>
      </c>
      <c r="C1594" s="3" t="s">
        <v>434</v>
      </c>
      <c r="D1594" s="4">
        <f>DATE(2005,5,2)</f>
        <v>38474</v>
      </c>
      <c r="E1594" s="5">
        <f t="shared" si="26"/>
        <v>2005</v>
      </c>
      <c r="F1594" s="3" t="s">
        <v>435</v>
      </c>
      <c r="G1594" s="6">
        <v>34026.400000000001</v>
      </c>
      <c r="H1594" s="5">
        <v>4289</v>
      </c>
    </row>
    <row r="1595" spans="2:8" ht="17.5" customHeight="1" x14ac:dyDescent="0.4">
      <c r="B1595" s="3" t="s">
        <v>7</v>
      </c>
      <c r="C1595" s="3" t="s">
        <v>434</v>
      </c>
      <c r="D1595" s="4">
        <f>DATE(2005,5,27)</f>
        <v>38499</v>
      </c>
      <c r="E1595" s="5">
        <f t="shared" si="26"/>
        <v>2005</v>
      </c>
      <c r="F1595" s="3" t="s">
        <v>435</v>
      </c>
      <c r="G1595" s="6">
        <v>4085</v>
      </c>
      <c r="H1595" s="5">
        <v>4305</v>
      </c>
    </row>
    <row r="1596" spans="2:8" ht="17.5" customHeight="1" x14ac:dyDescent="0.4">
      <c r="B1596" s="3" t="s">
        <v>7</v>
      </c>
      <c r="C1596" s="3" t="s">
        <v>434</v>
      </c>
      <c r="D1596" s="4">
        <f>DATE(2006,2,10)</f>
        <v>38758</v>
      </c>
      <c r="E1596" s="5">
        <f t="shared" si="26"/>
        <v>2006</v>
      </c>
      <c r="F1596" s="3" t="s">
        <v>435</v>
      </c>
      <c r="G1596" s="6">
        <v>1281</v>
      </c>
      <c r="H1596" s="5">
        <v>6027</v>
      </c>
    </row>
    <row r="1597" spans="2:8" ht="17.5" customHeight="1" x14ac:dyDescent="0.4">
      <c r="B1597" s="3" t="s">
        <v>7</v>
      </c>
      <c r="C1597" s="3" t="s">
        <v>434</v>
      </c>
      <c r="D1597" s="4">
        <f>DATE(2006,3,8)</f>
        <v>38784</v>
      </c>
      <c r="E1597" s="5">
        <f t="shared" si="26"/>
        <v>2006</v>
      </c>
      <c r="F1597" s="3" t="s">
        <v>435</v>
      </c>
      <c r="G1597" s="6">
        <v>857.53</v>
      </c>
      <c r="H1597" s="5">
        <v>6240</v>
      </c>
    </row>
    <row r="1598" spans="2:8" ht="17.5" customHeight="1" x14ac:dyDescent="0.4">
      <c r="B1598" s="3" t="s">
        <v>7</v>
      </c>
      <c r="C1598" s="3" t="s">
        <v>434</v>
      </c>
      <c r="D1598" s="4">
        <f>DATE(2006,3,24)</f>
        <v>38800</v>
      </c>
      <c r="E1598" s="5">
        <f t="shared" si="26"/>
        <v>2006</v>
      </c>
      <c r="F1598" s="3" t="s">
        <v>435</v>
      </c>
      <c r="G1598" s="6">
        <v>18923.95</v>
      </c>
      <c r="H1598" s="5">
        <v>6124</v>
      </c>
    </row>
    <row r="1599" spans="2:8" ht="17.5" customHeight="1" x14ac:dyDescent="0.4">
      <c r="B1599" s="3" t="s">
        <v>7</v>
      </c>
      <c r="C1599" s="3" t="s">
        <v>434</v>
      </c>
      <c r="D1599" s="4">
        <f>DATE(2006,3,31)</f>
        <v>38807</v>
      </c>
      <c r="E1599" s="5">
        <f t="shared" si="26"/>
        <v>2006</v>
      </c>
      <c r="F1599" s="3" t="s">
        <v>435</v>
      </c>
      <c r="G1599" s="6">
        <v>4160.6099999999997</v>
      </c>
      <c r="H1599" s="5">
        <v>6240</v>
      </c>
    </row>
    <row r="1600" spans="2:8" ht="17.5" customHeight="1" x14ac:dyDescent="0.4">
      <c r="B1600" s="3" t="s">
        <v>7</v>
      </c>
      <c r="C1600" s="3" t="s">
        <v>434</v>
      </c>
      <c r="D1600" s="4">
        <f>DATE(2009,1,23)</f>
        <v>39836</v>
      </c>
      <c r="E1600" s="5">
        <f t="shared" si="26"/>
        <v>2009</v>
      </c>
      <c r="F1600" s="3" t="s">
        <v>435</v>
      </c>
      <c r="G1600" s="6">
        <v>5700</v>
      </c>
      <c r="H1600" s="5">
        <v>11838</v>
      </c>
    </row>
    <row r="1601" spans="2:8" ht="17.5" customHeight="1" x14ac:dyDescent="0.4">
      <c r="B1601" t="s">
        <v>7</v>
      </c>
      <c r="C1601" t="s">
        <v>436</v>
      </c>
      <c r="D1601" s="7">
        <f>DATE(2017,5,15)</f>
        <v>42870</v>
      </c>
      <c r="E1601" s="8">
        <f t="shared" si="26"/>
        <v>2017</v>
      </c>
      <c r="F1601" t="s">
        <v>437</v>
      </c>
      <c r="G1601" s="9">
        <v>33100</v>
      </c>
      <c r="H1601" s="8">
        <v>24155</v>
      </c>
    </row>
    <row r="1602" spans="2:8" ht="17.5" customHeight="1" x14ac:dyDescent="0.4">
      <c r="B1602" t="s">
        <v>7</v>
      </c>
      <c r="C1602" t="s">
        <v>436</v>
      </c>
      <c r="D1602" s="7">
        <f>DATE(2015,12,29)</f>
        <v>42367</v>
      </c>
      <c r="E1602" s="8">
        <f t="shared" si="26"/>
        <v>2015</v>
      </c>
      <c r="F1602" t="s">
        <v>437</v>
      </c>
      <c r="G1602" s="9">
        <v>11377.27</v>
      </c>
      <c r="H1602" s="8">
        <v>21801</v>
      </c>
    </row>
    <row r="1603" spans="2:8" ht="17.5" customHeight="1" x14ac:dyDescent="0.4">
      <c r="B1603" t="s">
        <v>7</v>
      </c>
      <c r="C1603" t="s">
        <v>436</v>
      </c>
      <c r="D1603" s="7">
        <f>DATE(2006,4,24)</f>
        <v>38831</v>
      </c>
      <c r="E1603" s="8">
        <f t="shared" ref="E1603:E1666" si="27">YEAR(D1603)</f>
        <v>2006</v>
      </c>
      <c r="F1603" t="s">
        <v>437</v>
      </c>
      <c r="G1603" s="9">
        <v>11423.75</v>
      </c>
      <c r="H1603" s="8">
        <v>4074</v>
      </c>
    </row>
    <row r="1604" spans="2:8" ht="17.5" customHeight="1" x14ac:dyDescent="0.4">
      <c r="B1604" t="s">
        <v>7</v>
      </c>
      <c r="C1604" t="s">
        <v>436</v>
      </c>
      <c r="D1604" s="7">
        <f>DATE(2007,3,28)</f>
        <v>39169</v>
      </c>
      <c r="E1604" s="8">
        <f t="shared" si="27"/>
        <v>2007</v>
      </c>
      <c r="F1604" t="s">
        <v>437</v>
      </c>
      <c r="G1604" s="9">
        <v>7751.45</v>
      </c>
      <c r="H1604" s="8">
        <v>5728</v>
      </c>
    </row>
    <row r="1605" spans="2:8" ht="17.5" customHeight="1" x14ac:dyDescent="0.4">
      <c r="B1605" t="s">
        <v>7</v>
      </c>
      <c r="C1605" t="s">
        <v>436</v>
      </c>
      <c r="D1605" s="7">
        <f>DATE(2007,10,28)</f>
        <v>39383</v>
      </c>
      <c r="E1605" s="8">
        <f t="shared" si="27"/>
        <v>2007</v>
      </c>
      <c r="F1605" t="s">
        <v>437</v>
      </c>
      <c r="G1605" s="9">
        <v>8827.98</v>
      </c>
      <c r="H1605" s="8">
        <v>6528</v>
      </c>
    </row>
    <row r="1606" spans="2:8" ht="17.5" customHeight="1" x14ac:dyDescent="0.4">
      <c r="B1606" t="s">
        <v>7</v>
      </c>
      <c r="C1606" t="s">
        <v>436</v>
      </c>
      <c r="D1606" s="7">
        <f>DATE(2008,4,2)</f>
        <v>39540</v>
      </c>
      <c r="E1606" s="8">
        <f t="shared" si="27"/>
        <v>2008</v>
      </c>
      <c r="F1606" t="s">
        <v>437</v>
      </c>
      <c r="G1606" s="9">
        <v>7422.58</v>
      </c>
      <c r="H1606" s="8">
        <v>7174</v>
      </c>
    </row>
    <row r="1607" spans="2:8" ht="17.5" customHeight="1" x14ac:dyDescent="0.4">
      <c r="B1607" t="s">
        <v>7</v>
      </c>
      <c r="C1607" t="s">
        <v>436</v>
      </c>
      <c r="D1607" s="7">
        <f>DATE(2009,2,20)</f>
        <v>39864</v>
      </c>
      <c r="E1607" s="8">
        <f t="shared" si="27"/>
        <v>2009</v>
      </c>
      <c r="F1607" t="s">
        <v>437</v>
      </c>
      <c r="G1607" s="9">
        <v>7696.07</v>
      </c>
      <c r="H1607" s="8">
        <v>8313</v>
      </c>
    </row>
    <row r="1608" spans="2:8" ht="17.5" customHeight="1" x14ac:dyDescent="0.4">
      <c r="B1608" t="s">
        <v>7</v>
      </c>
      <c r="C1608" t="s">
        <v>436</v>
      </c>
      <c r="D1608" s="7">
        <f>DATE(2012,11,16)</f>
        <v>41229</v>
      </c>
      <c r="E1608" s="8">
        <f t="shared" si="27"/>
        <v>2012</v>
      </c>
      <c r="F1608" t="s">
        <v>437</v>
      </c>
      <c r="G1608" s="9">
        <v>3982.17</v>
      </c>
      <c r="H1608" s="8">
        <v>11893</v>
      </c>
    </row>
    <row r="1609" spans="2:8" ht="17.5" customHeight="1" x14ac:dyDescent="0.4">
      <c r="B1609" t="s">
        <v>7</v>
      </c>
      <c r="C1609" t="s">
        <v>436</v>
      </c>
      <c r="D1609" s="7">
        <f>DATE(2012,10,19)</f>
        <v>41201</v>
      </c>
      <c r="E1609" s="8">
        <f t="shared" si="27"/>
        <v>2012</v>
      </c>
      <c r="F1609" t="s">
        <v>437</v>
      </c>
      <c r="G1609" s="9">
        <v>7864.03</v>
      </c>
      <c r="H1609" s="8">
        <v>11889</v>
      </c>
    </row>
    <row r="1610" spans="2:8" ht="17.5" customHeight="1" x14ac:dyDescent="0.4">
      <c r="B1610" t="s">
        <v>7</v>
      </c>
      <c r="C1610" t="s">
        <v>438</v>
      </c>
      <c r="D1610" s="7">
        <f>DATE(2016,11,2)</f>
        <v>42676</v>
      </c>
      <c r="E1610" s="8">
        <f t="shared" si="27"/>
        <v>2016</v>
      </c>
      <c r="F1610" t="s">
        <v>439</v>
      </c>
      <c r="G1610" s="9">
        <v>10948.5</v>
      </c>
      <c r="H1610" s="8">
        <v>23727</v>
      </c>
    </row>
    <row r="1611" spans="2:8" ht="17.5" customHeight="1" x14ac:dyDescent="0.4">
      <c r="B1611" t="s">
        <v>7</v>
      </c>
      <c r="C1611" t="s">
        <v>438</v>
      </c>
      <c r="D1611" s="7">
        <f>DATE(2017,6,22)</f>
        <v>42908</v>
      </c>
      <c r="E1611" s="8">
        <f t="shared" si="27"/>
        <v>2017</v>
      </c>
      <c r="F1611" t="s">
        <v>439</v>
      </c>
      <c r="G1611" s="9">
        <v>8260.76</v>
      </c>
      <c r="H1611" s="8">
        <v>25073</v>
      </c>
    </row>
    <row r="1612" spans="2:8" ht="17.5" customHeight="1" x14ac:dyDescent="0.4">
      <c r="B1612" t="s">
        <v>7</v>
      </c>
      <c r="C1612" t="s">
        <v>438</v>
      </c>
      <c r="D1612" s="7">
        <f>DATE(2010,3,2)</f>
        <v>40239</v>
      </c>
      <c r="E1612" s="8">
        <f t="shared" si="27"/>
        <v>2010</v>
      </c>
      <c r="F1612" t="s">
        <v>439</v>
      </c>
      <c r="G1612" s="9">
        <v>550</v>
      </c>
      <c r="H1612" s="8">
        <v>9570</v>
      </c>
    </row>
    <row r="1613" spans="2:8" ht="17.5" customHeight="1" x14ac:dyDescent="0.4">
      <c r="B1613" t="s">
        <v>7</v>
      </c>
      <c r="C1613" t="s">
        <v>440</v>
      </c>
      <c r="D1613" s="7">
        <f>DATE(2018,4,20)</f>
        <v>43210</v>
      </c>
      <c r="E1613" s="8">
        <f t="shared" si="27"/>
        <v>2018</v>
      </c>
      <c r="F1613" t="s">
        <v>441</v>
      </c>
      <c r="G1613" s="9">
        <v>5859</v>
      </c>
      <c r="H1613" s="8">
        <v>26875</v>
      </c>
    </row>
    <row r="1614" spans="2:8" ht="17.5" customHeight="1" x14ac:dyDescent="0.4">
      <c r="B1614" t="s">
        <v>7</v>
      </c>
      <c r="C1614" t="s">
        <v>440</v>
      </c>
      <c r="D1614" s="7">
        <f>DATE(2014,10,2)</f>
        <v>41914</v>
      </c>
      <c r="E1614" s="8">
        <f t="shared" si="27"/>
        <v>2014</v>
      </c>
      <c r="F1614" t="s">
        <v>441</v>
      </c>
      <c r="G1614" s="9">
        <v>18814</v>
      </c>
      <c r="H1614" s="8">
        <v>13425</v>
      </c>
    </row>
    <row r="1615" spans="2:8" ht="17.5" customHeight="1" x14ac:dyDescent="0.4">
      <c r="B1615" t="s">
        <v>7</v>
      </c>
      <c r="C1615" t="s">
        <v>440</v>
      </c>
      <c r="D1615" s="7">
        <f>DATE(2006,5,9)</f>
        <v>38846</v>
      </c>
      <c r="E1615" s="8">
        <f t="shared" si="27"/>
        <v>2006</v>
      </c>
      <c r="F1615" t="s">
        <v>441</v>
      </c>
      <c r="G1615" s="9">
        <v>7593.38</v>
      </c>
      <c r="H1615" s="8">
        <v>4516</v>
      </c>
    </row>
    <row r="1616" spans="2:8" ht="17.5" customHeight="1" x14ac:dyDescent="0.4">
      <c r="B1616" t="s">
        <v>7</v>
      </c>
      <c r="C1616" t="s">
        <v>440</v>
      </c>
      <c r="D1616" s="7">
        <f>DATE(2008,5,8)</f>
        <v>39576</v>
      </c>
      <c r="E1616" s="8">
        <f t="shared" si="27"/>
        <v>2008</v>
      </c>
      <c r="F1616" t="s">
        <v>441</v>
      </c>
      <c r="G1616" s="9">
        <v>27800</v>
      </c>
      <c r="H1616" s="8">
        <v>7248</v>
      </c>
    </row>
    <row r="1617" spans="2:8" ht="17.5" customHeight="1" x14ac:dyDescent="0.4">
      <c r="B1617" t="s">
        <v>7</v>
      </c>
      <c r="C1617" t="s">
        <v>440</v>
      </c>
      <c r="D1617" s="7">
        <f>DATE(2010,5,12)</f>
        <v>40310</v>
      </c>
      <c r="E1617" s="8">
        <f t="shared" si="27"/>
        <v>2010</v>
      </c>
      <c r="F1617" t="s">
        <v>441</v>
      </c>
      <c r="G1617" s="9">
        <v>30856</v>
      </c>
      <c r="H1617" s="8">
        <v>9800</v>
      </c>
    </row>
    <row r="1618" spans="2:8" ht="17.5" customHeight="1" x14ac:dyDescent="0.4">
      <c r="B1618" t="s">
        <v>7</v>
      </c>
      <c r="C1618" t="s">
        <v>440</v>
      </c>
      <c r="D1618" s="7">
        <f>DATE(2014,9,30)</f>
        <v>41912</v>
      </c>
      <c r="E1618" s="8">
        <f t="shared" si="27"/>
        <v>2014</v>
      </c>
      <c r="F1618" t="s">
        <v>441</v>
      </c>
      <c r="G1618" s="9">
        <v>25381</v>
      </c>
      <c r="H1618" s="8">
        <v>13424</v>
      </c>
    </row>
    <row r="1619" spans="2:8" ht="17.5" customHeight="1" x14ac:dyDescent="0.4">
      <c r="B1619" t="s">
        <v>7</v>
      </c>
      <c r="C1619" t="s">
        <v>442</v>
      </c>
      <c r="D1619" s="7">
        <f>DATE(2004,3,31)</f>
        <v>38077</v>
      </c>
      <c r="E1619" s="8">
        <f t="shared" si="27"/>
        <v>2004</v>
      </c>
      <c r="F1619" t="s">
        <v>443</v>
      </c>
      <c r="G1619" s="9">
        <v>9055.6200000000008</v>
      </c>
      <c r="H1619" s="8">
        <v>1583</v>
      </c>
    </row>
    <row r="1620" spans="2:8" ht="17.5" customHeight="1" x14ac:dyDescent="0.4">
      <c r="B1620" t="s">
        <v>7</v>
      </c>
      <c r="C1620" t="s">
        <v>442</v>
      </c>
      <c r="D1620" s="7">
        <f>DATE(2004,4,30)</f>
        <v>38107</v>
      </c>
      <c r="E1620" s="8">
        <f t="shared" si="27"/>
        <v>2004</v>
      </c>
      <c r="F1620" t="s">
        <v>443</v>
      </c>
      <c r="G1620" s="9">
        <v>8241.49</v>
      </c>
      <c r="H1620" s="8">
        <v>1712</v>
      </c>
    </row>
    <row r="1621" spans="2:8" ht="17.5" customHeight="1" x14ac:dyDescent="0.4">
      <c r="B1621" t="s">
        <v>7</v>
      </c>
      <c r="C1621" t="s">
        <v>442</v>
      </c>
      <c r="D1621" s="7">
        <f>DATE(2008,7,26)</f>
        <v>39655</v>
      </c>
      <c r="E1621" s="8">
        <f t="shared" si="27"/>
        <v>2008</v>
      </c>
      <c r="F1621" t="s">
        <v>443</v>
      </c>
      <c r="G1621" s="9">
        <v>7357.05</v>
      </c>
      <c r="H1621" s="8">
        <v>7644</v>
      </c>
    </row>
    <row r="1622" spans="2:8" ht="17.5" customHeight="1" x14ac:dyDescent="0.4">
      <c r="B1622" t="s">
        <v>7</v>
      </c>
      <c r="C1622" t="s">
        <v>442</v>
      </c>
      <c r="D1622" s="7">
        <f>DATE(2009,6,15)</f>
        <v>39979</v>
      </c>
      <c r="E1622" s="8">
        <f t="shared" si="27"/>
        <v>2009</v>
      </c>
      <c r="F1622" t="s">
        <v>443</v>
      </c>
      <c r="G1622" s="9">
        <v>9077.56</v>
      </c>
      <c r="H1622" s="8">
        <v>8787</v>
      </c>
    </row>
    <row r="1623" spans="2:8" ht="17.5" customHeight="1" x14ac:dyDescent="0.4">
      <c r="B1623" t="s">
        <v>7</v>
      </c>
      <c r="C1623" t="s">
        <v>442</v>
      </c>
      <c r="D1623" s="7">
        <f>DATE(2009,7,10)</f>
        <v>40004</v>
      </c>
      <c r="E1623" s="8">
        <f t="shared" si="27"/>
        <v>2009</v>
      </c>
      <c r="F1623" t="s">
        <v>443</v>
      </c>
      <c r="G1623" s="9">
        <v>18296.150000000001</v>
      </c>
      <c r="H1623" s="8">
        <v>8847</v>
      </c>
    </row>
    <row r="1624" spans="2:8" ht="17.5" customHeight="1" x14ac:dyDescent="0.4">
      <c r="B1624" t="s">
        <v>7</v>
      </c>
      <c r="C1624" t="s">
        <v>442</v>
      </c>
      <c r="D1624" s="7">
        <f>DATE(2010,11,29)</f>
        <v>40511</v>
      </c>
      <c r="E1624" s="8">
        <f t="shared" si="27"/>
        <v>2010</v>
      </c>
      <c r="F1624" t="s">
        <v>443</v>
      </c>
      <c r="G1624" s="9">
        <v>3958.34</v>
      </c>
      <c r="H1624" s="8">
        <v>10272</v>
      </c>
    </row>
    <row r="1625" spans="2:8" ht="17.5" customHeight="1" x14ac:dyDescent="0.4">
      <c r="B1625" t="s">
        <v>7</v>
      </c>
      <c r="C1625" t="s">
        <v>442</v>
      </c>
      <c r="D1625" s="7">
        <f>DATE(2011,1,11)</f>
        <v>40554</v>
      </c>
      <c r="E1625" s="8">
        <f t="shared" si="27"/>
        <v>2011</v>
      </c>
      <c r="F1625" t="s">
        <v>443</v>
      </c>
      <c r="G1625" s="9">
        <v>5538.53</v>
      </c>
      <c r="H1625" s="8">
        <v>10319</v>
      </c>
    </row>
    <row r="1626" spans="2:8" ht="17.5" customHeight="1" x14ac:dyDescent="0.4">
      <c r="B1626" t="s">
        <v>7</v>
      </c>
      <c r="C1626" t="s">
        <v>442</v>
      </c>
      <c r="D1626" s="7">
        <f>DATE(2011,8,17)</f>
        <v>40772</v>
      </c>
      <c r="E1626" s="8">
        <f t="shared" si="27"/>
        <v>2011</v>
      </c>
      <c r="F1626" t="s">
        <v>443</v>
      </c>
      <c r="G1626" s="9">
        <v>5918.09</v>
      </c>
      <c r="H1626" s="8">
        <v>10945</v>
      </c>
    </row>
    <row r="1627" spans="2:8" ht="17.5" customHeight="1" x14ac:dyDescent="0.4">
      <c r="B1627" t="s">
        <v>7</v>
      </c>
      <c r="C1627" t="s">
        <v>444</v>
      </c>
      <c r="D1627" s="7">
        <f>DATE(2019,4,30)</f>
        <v>43585</v>
      </c>
      <c r="E1627" s="8">
        <f t="shared" si="27"/>
        <v>2019</v>
      </c>
      <c r="F1627" t="s">
        <v>445</v>
      </c>
      <c r="G1627" s="9">
        <v>15675.05</v>
      </c>
      <c r="H1627" s="8">
        <v>28864</v>
      </c>
    </row>
    <row r="1628" spans="2:8" ht="17.5" customHeight="1" x14ac:dyDescent="0.4">
      <c r="B1628" t="s">
        <v>7</v>
      </c>
      <c r="C1628" t="s">
        <v>444</v>
      </c>
      <c r="D1628" s="7">
        <f>DATE(2019,5,8)</f>
        <v>43593</v>
      </c>
      <c r="E1628" s="8">
        <f t="shared" si="27"/>
        <v>2019</v>
      </c>
      <c r="F1628" t="s">
        <v>445</v>
      </c>
      <c r="G1628" s="9">
        <v>13044.82</v>
      </c>
      <c r="H1628" s="8">
        <v>28984</v>
      </c>
    </row>
    <row r="1629" spans="2:8" ht="17.5" customHeight="1" x14ac:dyDescent="0.4">
      <c r="B1629" t="s">
        <v>16</v>
      </c>
      <c r="C1629" t="s">
        <v>444</v>
      </c>
      <c r="D1629" s="7">
        <f>DATE(2019,5,7)</f>
        <v>43592</v>
      </c>
      <c r="E1629" s="8">
        <f t="shared" si="27"/>
        <v>2019</v>
      </c>
      <c r="F1629" t="s">
        <v>445</v>
      </c>
      <c r="G1629" s="9">
        <v>15675.05</v>
      </c>
      <c r="H1629" s="8">
        <v>28983</v>
      </c>
    </row>
    <row r="1630" spans="2:8" ht="17.5" customHeight="1" x14ac:dyDescent="0.4">
      <c r="B1630" t="s">
        <v>7</v>
      </c>
      <c r="C1630" t="s">
        <v>446</v>
      </c>
      <c r="D1630" s="7">
        <f>DATE(2007,5,1)</f>
        <v>39203</v>
      </c>
      <c r="E1630" s="8">
        <f t="shared" si="27"/>
        <v>2007</v>
      </c>
      <c r="F1630" t="s">
        <v>447</v>
      </c>
      <c r="G1630" s="9">
        <v>3312.24</v>
      </c>
      <c r="H1630" s="8">
        <v>5769</v>
      </c>
    </row>
    <row r="1631" spans="2:8" ht="17.5" customHeight="1" x14ac:dyDescent="0.4">
      <c r="B1631" t="s">
        <v>7</v>
      </c>
      <c r="C1631" t="s">
        <v>446</v>
      </c>
      <c r="D1631" s="7">
        <f>DATE(2007,5,1)</f>
        <v>39203</v>
      </c>
      <c r="E1631" s="8">
        <f t="shared" si="27"/>
        <v>2007</v>
      </c>
      <c r="F1631" t="s">
        <v>447</v>
      </c>
      <c r="G1631" s="9">
        <v>4433.28</v>
      </c>
      <c r="H1631" s="8">
        <v>5874</v>
      </c>
    </row>
    <row r="1632" spans="2:8" ht="17.5" customHeight="1" x14ac:dyDescent="0.4">
      <c r="B1632" s="3" t="s">
        <v>7</v>
      </c>
      <c r="C1632" s="3" t="s">
        <v>446</v>
      </c>
      <c r="D1632" s="4">
        <f>DATE(2007,4,17)</f>
        <v>39189</v>
      </c>
      <c r="E1632" s="5">
        <f t="shared" si="27"/>
        <v>2007</v>
      </c>
      <c r="F1632" s="3" t="s">
        <v>447</v>
      </c>
      <c r="G1632" s="6">
        <v>3040</v>
      </c>
      <c r="H1632" s="5">
        <v>8397</v>
      </c>
    </row>
    <row r="1633" spans="2:8" ht="17.5" customHeight="1" x14ac:dyDescent="0.4">
      <c r="B1633" s="3" t="s">
        <v>7</v>
      </c>
      <c r="C1633" s="3" t="s">
        <v>446</v>
      </c>
      <c r="D1633" s="4">
        <f>DATE(2007,4,30)</f>
        <v>39202</v>
      </c>
      <c r="E1633" s="5">
        <f t="shared" si="27"/>
        <v>2007</v>
      </c>
      <c r="F1633" s="3" t="s">
        <v>447</v>
      </c>
      <c r="G1633" s="6">
        <v>1424.05</v>
      </c>
      <c r="H1633" s="5">
        <v>8490</v>
      </c>
    </row>
    <row r="1634" spans="2:8" ht="17.5" customHeight="1" x14ac:dyDescent="0.4">
      <c r="B1634" s="3" t="s">
        <v>7</v>
      </c>
      <c r="C1634" s="3" t="s">
        <v>446</v>
      </c>
      <c r="D1634" s="4">
        <f>DATE(2007,5,3)</f>
        <v>39205</v>
      </c>
      <c r="E1634" s="5">
        <f t="shared" si="27"/>
        <v>2007</v>
      </c>
      <c r="F1634" s="3" t="s">
        <v>447</v>
      </c>
      <c r="G1634" s="6">
        <v>1688.4</v>
      </c>
      <c r="H1634" s="5">
        <v>8512</v>
      </c>
    </row>
    <row r="1635" spans="2:8" ht="17.5" customHeight="1" x14ac:dyDescent="0.4">
      <c r="B1635" s="3" t="s">
        <v>16</v>
      </c>
      <c r="C1635" s="3" t="s">
        <v>446</v>
      </c>
      <c r="D1635" s="4">
        <f>DATE(2007,5,15)</f>
        <v>39217</v>
      </c>
      <c r="E1635" s="5">
        <f t="shared" si="27"/>
        <v>2007</v>
      </c>
      <c r="F1635" s="3" t="s">
        <v>447</v>
      </c>
      <c r="G1635" s="6">
        <v>1330</v>
      </c>
      <c r="H1635" s="5">
        <v>8491</v>
      </c>
    </row>
    <row r="1636" spans="2:8" ht="17.5" customHeight="1" x14ac:dyDescent="0.4">
      <c r="B1636" t="s">
        <v>7</v>
      </c>
      <c r="C1636" t="s">
        <v>448</v>
      </c>
      <c r="D1636" s="7">
        <f>DATE(2018,4,9)</f>
        <v>43199</v>
      </c>
      <c r="E1636" s="8">
        <f t="shared" si="27"/>
        <v>2018</v>
      </c>
      <c r="F1636" t="s">
        <v>449</v>
      </c>
      <c r="G1636" s="9">
        <v>16188.75</v>
      </c>
      <c r="H1636" s="8">
        <v>26823</v>
      </c>
    </row>
    <row r="1637" spans="2:8" ht="17.5" customHeight="1" x14ac:dyDescent="0.4">
      <c r="B1637" t="s">
        <v>7</v>
      </c>
      <c r="C1637" t="s">
        <v>448</v>
      </c>
      <c r="D1637" s="7">
        <f>DATE(2019,4,9)</f>
        <v>43564</v>
      </c>
      <c r="E1637" s="8">
        <f t="shared" si="27"/>
        <v>2019</v>
      </c>
      <c r="F1637" t="s">
        <v>449</v>
      </c>
      <c r="G1637" s="9">
        <v>11691</v>
      </c>
      <c r="H1637" s="8">
        <v>28395</v>
      </c>
    </row>
    <row r="1638" spans="2:8" ht="17.5" customHeight="1" x14ac:dyDescent="0.4">
      <c r="B1638" t="s">
        <v>7</v>
      </c>
      <c r="C1638" t="s">
        <v>448</v>
      </c>
      <c r="D1638" s="7">
        <f>DATE(2015,4,1)</f>
        <v>42095</v>
      </c>
      <c r="E1638" s="8">
        <f t="shared" si="27"/>
        <v>2015</v>
      </c>
      <c r="F1638" t="s">
        <v>449</v>
      </c>
      <c r="G1638" s="9">
        <v>2091.62</v>
      </c>
      <c r="H1638" s="8">
        <v>20226</v>
      </c>
    </row>
    <row r="1639" spans="2:8" ht="17.5" customHeight="1" x14ac:dyDescent="0.4">
      <c r="B1639" t="s">
        <v>7</v>
      </c>
      <c r="C1639" t="s">
        <v>448</v>
      </c>
      <c r="D1639" s="7">
        <f>DATE(2016,6,29)</f>
        <v>42550</v>
      </c>
      <c r="E1639" s="8">
        <f t="shared" si="27"/>
        <v>2016</v>
      </c>
      <c r="F1639" t="s">
        <v>449</v>
      </c>
      <c r="G1639" s="9">
        <v>2296.2800000000002</v>
      </c>
      <c r="H1639" s="8">
        <v>23030</v>
      </c>
    </row>
    <row r="1640" spans="2:8" ht="17.5" customHeight="1" x14ac:dyDescent="0.4">
      <c r="B1640" t="s">
        <v>7</v>
      </c>
      <c r="C1640" t="s">
        <v>448</v>
      </c>
      <c r="D1640" s="7">
        <f>DATE(2018,9,24)</f>
        <v>43367</v>
      </c>
      <c r="E1640" s="8">
        <f t="shared" si="27"/>
        <v>2018</v>
      </c>
      <c r="F1640" t="s">
        <v>449</v>
      </c>
      <c r="G1640" s="9">
        <v>4217.2299999999996</v>
      </c>
      <c r="H1640" s="8">
        <v>27643</v>
      </c>
    </row>
    <row r="1641" spans="2:8" ht="17.5" customHeight="1" x14ac:dyDescent="0.4">
      <c r="B1641" t="s">
        <v>7</v>
      </c>
      <c r="C1641" t="s">
        <v>448</v>
      </c>
      <c r="D1641" s="7">
        <f>DATE(2004,4,12)</f>
        <v>38089</v>
      </c>
      <c r="E1641" s="8">
        <f t="shared" si="27"/>
        <v>2004</v>
      </c>
      <c r="F1641" t="s">
        <v>449</v>
      </c>
      <c r="G1641" s="9">
        <v>2090.5500000000002</v>
      </c>
      <c r="H1641" s="8">
        <v>1671</v>
      </c>
    </row>
    <row r="1642" spans="2:8" ht="17.5" customHeight="1" x14ac:dyDescent="0.4">
      <c r="B1642" t="s">
        <v>7</v>
      </c>
      <c r="C1642" t="s">
        <v>448</v>
      </c>
      <c r="D1642" s="7">
        <f>DATE(2012,4,4)</f>
        <v>41003</v>
      </c>
      <c r="E1642" s="8">
        <f t="shared" si="27"/>
        <v>2012</v>
      </c>
      <c r="F1642" t="s">
        <v>449</v>
      </c>
      <c r="G1642" s="9">
        <v>12097.25</v>
      </c>
      <c r="H1642" s="8">
        <v>11417</v>
      </c>
    </row>
    <row r="1643" spans="2:8" ht="17.5" customHeight="1" x14ac:dyDescent="0.4">
      <c r="B1643" t="s">
        <v>7</v>
      </c>
      <c r="C1643" t="s">
        <v>448</v>
      </c>
      <c r="D1643" s="7">
        <f>DATE(2014,4,17)</f>
        <v>41746</v>
      </c>
      <c r="E1643" s="8">
        <f t="shared" si="27"/>
        <v>2014</v>
      </c>
      <c r="F1643" t="s">
        <v>449</v>
      </c>
      <c r="G1643" s="9">
        <v>16060.06</v>
      </c>
      <c r="H1643" s="8">
        <v>13128</v>
      </c>
    </row>
    <row r="1644" spans="2:8" ht="17.5" customHeight="1" x14ac:dyDescent="0.4">
      <c r="B1644" t="s">
        <v>7</v>
      </c>
      <c r="C1644" t="s">
        <v>448</v>
      </c>
      <c r="D1644" s="7">
        <f>DATE(2011,7,26)</f>
        <v>40750</v>
      </c>
      <c r="E1644" s="8">
        <f t="shared" si="27"/>
        <v>2011</v>
      </c>
      <c r="F1644" t="s">
        <v>449</v>
      </c>
      <c r="G1644" s="9">
        <v>3728.91</v>
      </c>
      <c r="H1644" s="8">
        <v>10899</v>
      </c>
    </row>
    <row r="1645" spans="2:8" ht="17.5" customHeight="1" x14ac:dyDescent="0.4">
      <c r="B1645" t="s">
        <v>7</v>
      </c>
      <c r="C1645" t="s">
        <v>448</v>
      </c>
      <c r="D1645" s="7">
        <f>DATE(2014,6,25)</f>
        <v>41815</v>
      </c>
      <c r="E1645" s="8">
        <f t="shared" si="27"/>
        <v>2014</v>
      </c>
      <c r="F1645" t="s">
        <v>449</v>
      </c>
      <c r="G1645" s="9">
        <v>2495.98</v>
      </c>
      <c r="H1645" s="8">
        <v>13263</v>
      </c>
    </row>
    <row r="1646" spans="2:8" ht="17.5" customHeight="1" x14ac:dyDescent="0.4">
      <c r="B1646" s="3" t="s">
        <v>7</v>
      </c>
      <c r="C1646" s="3" t="s">
        <v>448</v>
      </c>
      <c r="D1646" s="4">
        <f>DATE(2004,4,28)</f>
        <v>38105</v>
      </c>
      <c r="E1646" s="5">
        <f t="shared" si="27"/>
        <v>2004</v>
      </c>
      <c r="F1646" s="3" t="s">
        <v>449</v>
      </c>
      <c r="G1646" s="6">
        <v>110</v>
      </c>
      <c r="H1646" s="5">
        <v>2744</v>
      </c>
    </row>
    <row r="1647" spans="2:8" ht="17.5" customHeight="1" x14ac:dyDescent="0.4">
      <c r="B1647" t="s">
        <v>7</v>
      </c>
      <c r="C1647" t="s">
        <v>448</v>
      </c>
      <c r="D1647" s="7">
        <f>DATE(2003,4,26)</f>
        <v>37737</v>
      </c>
      <c r="E1647" s="8">
        <f t="shared" si="27"/>
        <v>2003</v>
      </c>
      <c r="F1647" t="s">
        <v>450</v>
      </c>
      <c r="G1647" s="9">
        <v>1079.77</v>
      </c>
      <c r="H1647" s="8">
        <v>536</v>
      </c>
    </row>
    <row r="1648" spans="2:8" ht="17.5" customHeight="1" x14ac:dyDescent="0.4">
      <c r="B1648" t="s">
        <v>7</v>
      </c>
      <c r="C1648" t="s">
        <v>448</v>
      </c>
      <c r="D1648" s="7">
        <f>DATE(2003,4,26)</f>
        <v>37737</v>
      </c>
      <c r="E1648" s="8">
        <f t="shared" si="27"/>
        <v>2003</v>
      </c>
      <c r="F1648" t="s">
        <v>450</v>
      </c>
      <c r="G1648" s="9">
        <v>2867.08</v>
      </c>
      <c r="H1648" s="8">
        <v>531</v>
      </c>
    </row>
    <row r="1649" spans="2:8" ht="17.5" customHeight="1" x14ac:dyDescent="0.4">
      <c r="B1649" t="s">
        <v>7</v>
      </c>
      <c r="C1649" t="s">
        <v>451</v>
      </c>
      <c r="D1649" s="7">
        <f>DATE(2015,5,1)</f>
        <v>42125</v>
      </c>
      <c r="E1649" s="8">
        <f t="shared" si="27"/>
        <v>2015</v>
      </c>
      <c r="F1649" t="s">
        <v>452</v>
      </c>
      <c r="G1649" s="9">
        <v>416</v>
      </c>
      <c r="H1649" s="8">
        <v>20472</v>
      </c>
    </row>
    <row r="1650" spans="2:8" ht="17.5" customHeight="1" x14ac:dyDescent="0.4">
      <c r="B1650" s="3" t="s">
        <v>7</v>
      </c>
      <c r="C1650" s="3" t="s">
        <v>453</v>
      </c>
      <c r="D1650" s="4">
        <f>DATE(2013,3,29)</f>
        <v>41362</v>
      </c>
      <c r="E1650" s="5">
        <f t="shared" si="27"/>
        <v>2013</v>
      </c>
      <c r="F1650" s="3" t="s">
        <v>454</v>
      </c>
      <c r="G1650" s="6">
        <v>785</v>
      </c>
      <c r="H1650" s="5">
        <v>18382</v>
      </c>
    </row>
    <row r="1651" spans="2:8" ht="17.5" customHeight="1" x14ac:dyDescent="0.4">
      <c r="B1651" s="3" t="s">
        <v>7</v>
      </c>
      <c r="C1651" s="3" t="s">
        <v>455</v>
      </c>
      <c r="D1651" s="4">
        <f>DATE(2003,4,23)</f>
        <v>37734</v>
      </c>
      <c r="E1651" s="5">
        <f t="shared" si="27"/>
        <v>2003</v>
      </c>
      <c r="F1651" s="3" t="s">
        <v>456</v>
      </c>
      <c r="G1651" s="6">
        <v>358.1</v>
      </c>
      <c r="H1651" s="5">
        <v>790</v>
      </c>
    </row>
    <row r="1652" spans="2:8" ht="17.5" customHeight="1" x14ac:dyDescent="0.4">
      <c r="B1652" t="s">
        <v>7</v>
      </c>
      <c r="C1652" t="s">
        <v>311</v>
      </c>
      <c r="D1652" s="7">
        <f>DATE(2007,10,17)</f>
        <v>39372</v>
      </c>
      <c r="E1652" s="8">
        <f t="shared" si="27"/>
        <v>2007</v>
      </c>
      <c r="F1652" t="s">
        <v>457</v>
      </c>
      <c r="G1652" s="9">
        <v>4268.7299999999996</v>
      </c>
      <c r="H1652" s="8">
        <v>6498</v>
      </c>
    </row>
    <row r="1653" spans="2:8" ht="17.5" customHeight="1" x14ac:dyDescent="0.4">
      <c r="B1653" t="s">
        <v>7</v>
      </c>
      <c r="C1653" t="s">
        <v>311</v>
      </c>
      <c r="D1653" s="7">
        <f>DATE(2009,4,27)</f>
        <v>39930</v>
      </c>
      <c r="E1653" s="8">
        <f t="shared" si="27"/>
        <v>2009</v>
      </c>
      <c r="F1653" t="s">
        <v>457</v>
      </c>
      <c r="G1653" s="9">
        <v>15813</v>
      </c>
      <c r="H1653" s="8">
        <v>8224</v>
      </c>
    </row>
    <row r="1654" spans="2:8" ht="17.5" customHeight="1" x14ac:dyDescent="0.4">
      <c r="B1654" s="3" t="s">
        <v>7</v>
      </c>
      <c r="C1654" s="3" t="s">
        <v>458</v>
      </c>
      <c r="D1654" s="4">
        <f>DATE(2011,5,17)</f>
        <v>40680</v>
      </c>
      <c r="E1654" s="5">
        <f t="shared" si="27"/>
        <v>2011</v>
      </c>
      <c r="F1654" s="3" t="s">
        <v>459</v>
      </c>
      <c r="G1654" s="6">
        <v>328.37</v>
      </c>
      <c r="H1654" s="5">
        <v>15470</v>
      </c>
    </row>
    <row r="1655" spans="2:8" ht="17.5" customHeight="1" x14ac:dyDescent="0.4">
      <c r="B1655" s="3" t="s">
        <v>7</v>
      </c>
      <c r="C1655" s="3" t="s">
        <v>458</v>
      </c>
      <c r="D1655" s="4">
        <f>DATE(2011,5,17)</f>
        <v>40680</v>
      </c>
      <c r="E1655" s="5">
        <f t="shared" si="27"/>
        <v>2011</v>
      </c>
      <c r="F1655" s="3" t="s">
        <v>459</v>
      </c>
      <c r="G1655" s="6">
        <v>302</v>
      </c>
      <c r="H1655" s="5">
        <v>15516</v>
      </c>
    </row>
    <row r="1656" spans="2:8" ht="17.5" customHeight="1" x14ac:dyDescent="0.4">
      <c r="B1656" s="3" t="s">
        <v>7</v>
      </c>
      <c r="C1656" s="3" t="s">
        <v>458</v>
      </c>
      <c r="D1656" s="4">
        <f>DATE(2011,5,17)</f>
        <v>40680</v>
      </c>
      <c r="E1656" s="5">
        <f t="shared" si="27"/>
        <v>2011</v>
      </c>
      <c r="F1656" s="3" t="s">
        <v>459</v>
      </c>
      <c r="G1656" s="6">
        <v>630.54</v>
      </c>
      <c r="H1656" s="5">
        <v>15517</v>
      </c>
    </row>
    <row r="1657" spans="2:8" ht="17.5" customHeight="1" x14ac:dyDescent="0.4">
      <c r="B1657" t="s">
        <v>7</v>
      </c>
      <c r="C1657" t="s">
        <v>460</v>
      </c>
      <c r="D1657" s="7">
        <f>DATE(2018,12,17)</f>
        <v>43451</v>
      </c>
      <c r="E1657" s="8">
        <f t="shared" si="27"/>
        <v>2018</v>
      </c>
      <c r="F1657" t="s">
        <v>461</v>
      </c>
      <c r="G1657" s="9">
        <v>6949.44</v>
      </c>
      <c r="H1657" s="8">
        <v>27707</v>
      </c>
    </row>
    <row r="1658" spans="2:8" ht="17.5" customHeight="1" x14ac:dyDescent="0.4">
      <c r="B1658" t="s">
        <v>7</v>
      </c>
      <c r="C1658" t="s">
        <v>460</v>
      </c>
      <c r="D1658" s="7">
        <f>DATE(2007,5,1)</f>
        <v>39203</v>
      </c>
      <c r="E1658" s="8">
        <f t="shared" si="27"/>
        <v>2007</v>
      </c>
      <c r="F1658" t="s">
        <v>461</v>
      </c>
      <c r="G1658" s="9">
        <v>42714</v>
      </c>
      <c r="H1658" s="8">
        <v>5636</v>
      </c>
    </row>
    <row r="1659" spans="2:8" ht="17.5" customHeight="1" x14ac:dyDescent="0.4">
      <c r="B1659" t="s">
        <v>7</v>
      </c>
      <c r="C1659" t="s">
        <v>462</v>
      </c>
      <c r="D1659" s="7">
        <f>DATE(2015,6,10)</f>
        <v>42165</v>
      </c>
      <c r="E1659" s="8">
        <f t="shared" si="27"/>
        <v>2015</v>
      </c>
      <c r="F1659" t="s">
        <v>463</v>
      </c>
      <c r="G1659" s="9">
        <v>290.32</v>
      </c>
      <c r="H1659" s="8">
        <v>20687</v>
      </c>
    </row>
    <row r="1660" spans="2:8" ht="17.5" customHeight="1" x14ac:dyDescent="0.4">
      <c r="B1660" t="s">
        <v>7</v>
      </c>
      <c r="C1660" t="s">
        <v>462</v>
      </c>
      <c r="D1660" s="7">
        <f>DATE(2019,2,18)</f>
        <v>43514</v>
      </c>
      <c r="E1660" s="8">
        <f t="shared" si="27"/>
        <v>2019</v>
      </c>
      <c r="F1660" t="s">
        <v>463</v>
      </c>
      <c r="G1660" s="9">
        <v>21792.15</v>
      </c>
      <c r="H1660" s="8">
        <v>28259</v>
      </c>
    </row>
    <row r="1661" spans="2:8" ht="17.5" customHeight="1" x14ac:dyDescent="0.4">
      <c r="B1661" s="3" t="s">
        <v>7</v>
      </c>
      <c r="C1661" s="3" t="s">
        <v>462</v>
      </c>
      <c r="D1661" s="4">
        <f>DATE(2003,4,30)</f>
        <v>37741</v>
      </c>
      <c r="E1661" s="5">
        <f t="shared" si="27"/>
        <v>2003</v>
      </c>
      <c r="F1661" s="3" t="s">
        <v>463</v>
      </c>
      <c r="G1661" s="6">
        <v>18021.080000000002</v>
      </c>
      <c r="H1661" s="5">
        <v>855</v>
      </c>
    </row>
    <row r="1662" spans="2:8" ht="17.5" customHeight="1" x14ac:dyDescent="0.4">
      <c r="B1662" s="3" t="s">
        <v>7</v>
      </c>
      <c r="C1662" s="3" t="s">
        <v>462</v>
      </c>
      <c r="D1662" s="4">
        <f>DATE(2004,1,15)</f>
        <v>38001</v>
      </c>
      <c r="E1662" s="5">
        <f t="shared" si="27"/>
        <v>2004</v>
      </c>
      <c r="F1662" s="3" t="s">
        <v>463</v>
      </c>
      <c r="G1662" s="6">
        <v>1547.89</v>
      </c>
      <c r="H1662" s="5">
        <v>1996</v>
      </c>
    </row>
    <row r="1663" spans="2:8" ht="17.5" customHeight="1" x14ac:dyDescent="0.4">
      <c r="B1663" s="3" t="s">
        <v>7</v>
      </c>
      <c r="C1663" s="3" t="s">
        <v>462</v>
      </c>
      <c r="D1663" s="4">
        <f>DATE(2004,3,16)</f>
        <v>38062</v>
      </c>
      <c r="E1663" s="5">
        <f t="shared" si="27"/>
        <v>2004</v>
      </c>
      <c r="F1663" s="3" t="s">
        <v>463</v>
      </c>
      <c r="G1663" s="6">
        <v>133</v>
      </c>
      <c r="H1663" s="5">
        <v>2370</v>
      </c>
    </row>
    <row r="1664" spans="2:8" ht="17.5" customHeight="1" x14ac:dyDescent="0.4">
      <c r="B1664" s="3" t="s">
        <v>7</v>
      </c>
      <c r="C1664" s="3" t="s">
        <v>462</v>
      </c>
      <c r="D1664" s="4">
        <f>DATE(2004,5,6)</f>
        <v>38113</v>
      </c>
      <c r="E1664" s="5">
        <f t="shared" si="27"/>
        <v>2004</v>
      </c>
      <c r="F1664" s="3" t="s">
        <v>463</v>
      </c>
      <c r="G1664" s="6">
        <v>412.75</v>
      </c>
      <c r="H1664" s="5">
        <v>2828</v>
      </c>
    </row>
    <row r="1665" spans="2:8" ht="17.5" customHeight="1" x14ac:dyDescent="0.4">
      <c r="B1665" s="3" t="s">
        <v>7</v>
      </c>
      <c r="C1665" s="3" t="s">
        <v>462</v>
      </c>
      <c r="D1665" s="4">
        <f>DATE(2004,5,5)</f>
        <v>38112</v>
      </c>
      <c r="E1665" s="5">
        <f t="shared" si="27"/>
        <v>2004</v>
      </c>
      <c r="F1665" s="3" t="s">
        <v>463</v>
      </c>
      <c r="G1665" s="6">
        <v>8383.15</v>
      </c>
      <c r="H1665" s="5">
        <v>2815</v>
      </c>
    </row>
    <row r="1666" spans="2:8" ht="17.5" customHeight="1" x14ac:dyDescent="0.4">
      <c r="B1666" s="3" t="s">
        <v>7</v>
      </c>
      <c r="C1666" s="3" t="s">
        <v>462</v>
      </c>
      <c r="D1666" s="4">
        <f>DATE(2004,6,21)</f>
        <v>38159</v>
      </c>
      <c r="E1666" s="5">
        <f t="shared" si="27"/>
        <v>2004</v>
      </c>
      <c r="F1666" s="3" t="s">
        <v>463</v>
      </c>
      <c r="G1666" s="6">
        <v>19009.439999999999</v>
      </c>
      <c r="H1666" s="5">
        <v>3023</v>
      </c>
    </row>
    <row r="1667" spans="2:8" ht="17.5" customHeight="1" x14ac:dyDescent="0.4">
      <c r="B1667" s="3" t="s">
        <v>7</v>
      </c>
      <c r="C1667" s="3" t="s">
        <v>462</v>
      </c>
      <c r="D1667" s="4">
        <f>DATE(2004,6,30)</f>
        <v>38168</v>
      </c>
      <c r="E1667" s="5">
        <f t="shared" ref="E1667:E1730" si="28">YEAR(D1667)</f>
        <v>2004</v>
      </c>
      <c r="F1667" s="3" t="s">
        <v>463</v>
      </c>
      <c r="G1667" s="6">
        <v>1534.79</v>
      </c>
      <c r="H1667" s="5">
        <v>2852</v>
      </c>
    </row>
    <row r="1668" spans="2:8" ht="17.5" customHeight="1" x14ac:dyDescent="0.4">
      <c r="B1668" s="3" t="s">
        <v>7</v>
      </c>
      <c r="C1668" s="3" t="s">
        <v>462</v>
      </c>
      <c r="D1668" s="4">
        <f>DATE(2004,10,19)</f>
        <v>38279</v>
      </c>
      <c r="E1668" s="5">
        <f t="shared" si="28"/>
        <v>2004</v>
      </c>
      <c r="F1668" s="3" t="s">
        <v>463</v>
      </c>
      <c r="G1668" s="6">
        <v>4346</v>
      </c>
      <c r="H1668" s="5">
        <v>3586</v>
      </c>
    </row>
    <row r="1669" spans="2:8" ht="17.5" customHeight="1" x14ac:dyDescent="0.4">
      <c r="B1669" s="3" t="s">
        <v>7</v>
      </c>
      <c r="C1669" s="3" t="s">
        <v>462</v>
      </c>
      <c r="D1669" s="4">
        <f>DATE(2005,2,10)</f>
        <v>38393</v>
      </c>
      <c r="E1669" s="5">
        <f t="shared" si="28"/>
        <v>2005</v>
      </c>
      <c r="F1669" s="3" t="s">
        <v>463</v>
      </c>
      <c r="G1669" s="6">
        <v>1672.5</v>
      </c>
      <c r="H1669" s="5">
        <v>4121</v>
      </c>
    </row>
    <row r="1670" spans="2:8" ht="17.5" customHeight="1" x14ac:dyDescent="0.4">
      <c r="B1670" s="3" t="s">
        <v>7</v>
      </c>
      <c r="C1670" s="3" t="s">
        <v>462</v>
      </c>
      <c r="D1670" s="4">
        <f>DATE(2006,4,3)</f>
        <v>38810</v>
      </c>
      <c r="E1670" s="5">
        <f t="shared" si="28"/>
        <v>2006</v>
      </c>
      <c r="F1670" s="3" t="s">
        <v>463</v>
      </c>
      <c r="G1670" s="6">
        <v>223.26</v>
      </c>
      <c r="H1670" s="5">
        <v>6426</v>
      </c>
    </row>
    <row r="1671" spans="2:8" ht="17.5" customHeight="1" x14ac:dyDescent="0.4">
      <c r="B1671" s="3" t="s">
        <v>7</v>
      </c>
      <c r="C1671" s="3" t="s">
        <v>462</v>
      </c>
      <c r="D1671" s="4">
        <f>DATE(2006,8,22)</f>
        <v>38951</v>
      </c>
      <c r="E1671" s="5">
        <f t="shared" si="28"/>
        <v>2006</v>
      </c>
      <c r="F1671" s="3" t="s">
        <v>463</v>
      </c>
      <c r="G1671" s="6">
        <v>25482.29</v>
      </c>
      <c r="H1671" s="5">
        <v>7142</v>
      </c>
    </row>
    <row r="1672" spans="2:8" ht="17.5" customHeight="1" x14ac:dyDescent="0.4">
      <c r="B1672" s="3" t="s">
        <v>7</v>
      </c>
      <c r="C1672" s="3" t="s">
        <v>462</v>
      </c>
      <c r="D1672" s="4">
        <f>DATE(2006,9,21)</f>
        <v>38981</v>
      </c>
      <c r="E1672" s="5">
        <f t="shared" si="28"/>
        <v>2006</v>
      </c>
      <c r="F1672" s="3" t="s">
        <v>463</v>
      </c>
      <c r="G1672" s="6">
        <v>3975.32</v>
      </c>
      <c r="H1672" s="5">
        <v>7167</v>
      </c>
    </row>
    <row r="1673" spans="2:8" ht="17.5" customHeight="1" x14ac:dyDescent="0.4">
      <c r="B1673" s="3" t="s">
        <v>7</v>
      </c>
      <c r="C1673" s="3" t="s">
        <v>462</v>
      </c>
      <c r="D1673" s="4">
        <f>DATE(2007,7,26)</f>
        <v>39289</v>
      </c>
      <c r="E1673" s="5">
        <f t="shared" si="28"/>
        <v>2007</v>
      </c>
      <c r="F1673" s="3" t="s">
        <v>463</v>
      </c>
      <c r="G1673" s="6">
        <v>23932.82</v>
      </c>
      <c r="H1673" s="5">
        <v>8935</v>
      </c>
    </row>
    <row r="1674" spans="2:8" ht="17.5" customHeight="1" x14ac:dyDescent="0.4">
      <c r="B1674" s="3" t="s">
        <v>7</v>
      </c>
      <c r="C1674" s="3" t="s">
        <v>462</v>
      </c>
      <c r="D1674" s="4">
        <f>DATE(2009,2,4)</f>
        <v>39848</v>
      </c>
      <c r="E1674" s="5">
        <f t="shared" si="28"/>
        <v>2009</v>
      </c>
      <c r="F1674" s="3" t="s">
        <v>463</v>
      </c>
      <c r="G1674" s="6">
        <v>25508.560000000001</v>
      </c>
      <c r="H1674" s="5">
        <v>11878</v>
      </c>
    </row>
    <row r="1675" spans="2:8" ht="17.5" customHeight="1" x14ac:dyDescent="0.4">
      <c r="B1675" s="3" t="s">
        <v>7</v>
      </c>
      <c r="C1675" s="3" t="s">
        <v>462</v>
      </c>
      <c r="D1675" s="4">
        <f>DATE(2009,6,17)</f>
        <v>39981</v>
      </c>
      <c r="E1675" s="5">
        <f t="shared" si="28"/>
        <v>2009</v>
      </c>
      <c r="F1675" s="3" t="s">
        <v>463</v>
      </c>
      <c r="G1675" s="6">
        <v>459.1</v>
      </c>
      <c r="H1675" s="5">
        <v>12583</v>
      </c>
    </row>
    <row r="1676" spans="2:8" ht="17.5" customHeight="1" x14ac:dyDescent="0.4">
      <c r="B1676" s="3" t="s">
        <v>7</v>
      </c>
      <c r="C1676" s="3" t="s">
        <v>462</v>
      </c>
      <c r="D1676" s="4">
        <f>DATE(2009,6,24)</f>
        <v>39988</v>
      </c>
      <c r="E1676" s="5">
        <f t="shared" si="28"/>
        <v>2009</v>
      </c>
      <c r="F1676" s="3" t="s">
        <v>463</v>
      </c>
      <c r="G1676" s="6">
        <v>660.79</v>
      </c>
      <c r="H1676" s="5">
        <v>12720</v>
      </c>
    </row>
    <row r="1677" spans="2:8" ht="17.5" customHeight="1" x14ac:dyDescent="0.4">
      <c r="B1677" s="3" t="s">
        <v>7</v>
      </c>
      <c r="C1677" s="3" t="s">
        <v>462</v>
      </c>
      <c r="D1677" s="4">
        <f>DATE(2009,7,24)</f>
        <v>40018</v>
      </c>
      <c r="E1677" s="5">
        <f t="shared" si="28"/>
        <v>2009</v>
      </c>
      <c r="F1677" s="3" t="s">
        <v>463</v>
      </c>
      <c r="G1677" s="6">
        <v>286.02999999999997</v>
      </c>
      <c r="H1677" s="5">
        <v>12831</v>
      </c>
    </row>
    <row r="1678" spans="2:8" ht="17.5" customHeight="1" x14ac:dyDescent="0.4">
      <c r="B1678" s="3" t="s">
        <v>7</v>
      </c>
      <c r="C1678" s="3" t="s">
        <v>462</v>
      </c>
      <c r="D1678" s="4">
        <f>DATE(2010,3,3)</f>
        <v>40240</v>
      </c>
      <c r="E1678" s="5">
        <f t="shared" si="28"/>
        <v>2010</v>
      </c>
      <c r="F1678" s="3" t="s">
        <v>463</v>
      </c>
      <c r="G1678" s="6">
        <v>25614.87</v>
      </c>
      <c r="H1678" s="5">
        <v>13689</v>
      </c>
    </row>
    <row r="1679" spans="2:8" ht="17.5" customHeight="1" x14ac:dyDescent="0.4">
      <c r="B1679" s="3" t="s">
        <v>7</v>
      </c>
      <c r="C1679" s="3" t="s">
        <v>462</v>
      </c>
      <c r="D1679" s="4">
        <f>DATE(2011,3,23)</f>
        <v>40625</v>
      </c>
      <c r="E1679" s="5">
        <f t="shared" si="28"/>
        <v>2011</v>
      </c>
      <c r="F1679" s="3" t="s">
        <v>463</v>
      </c>
      <c r="G1679" s="6">
        <v>25625.279999999999</v>
      </c>
      <c r="H1679" s="5">
        <v>15247</v>
      </c>
    </row>
    <row r="1680" spans="2:8" ht="17.5" customHeight="1" x14ac:dyDescent="0.4">
      <c r="B1680" s="3" t="s">
        <v>7</v>
      </c>
      <c r="C1680" s="3" t="s">
        <v>462</v>
      </c>
      <c r="D1680" s="4">
        <f>DATE(2012,3,27)</f>
        <v>40995</v>
      </c>
      <c r="E1680" s="5">
        <f t="shared" si="28"/>
        <v>2012</v>
      </c>
      <c r="F1680" s="3" t="s">
        <v>463</v>
      </c>
      <c r="G1680" s="6">
        <v>895.37</v>
      </c>
      <c r="H1680" s="5">
        <v>16845</v>
      </c>
    </row>
    <row r="1681" spans="2:8" ht="17.5" customHeight="1" x14ac:dyDescent="0.4">
      <c r="B1681" s="3" t="s">
        <v>7</v>
      </c>
      <c r="C1681" s="3" t="s">
        <v>462</v>
      </c>
      <c r="D1681" s="4">
        <f>DATE(2012,7,19)</f>
        <v>41109</v>
      </c>
      <c r="E1681" s="5">
        <f t="shared" si="28"/>
        <v>2012</v>
      </c>
      <c r="F1681" s="3" t="s">
        <v>463</v>
      </c>
      <c r="G1681" s="6">
        <v>288.16000000000003</v>
      </c>
      <c r="H1681" s="5">
        <v>17371</v>
      </c>
    </row>
    <row r="1682" spans="2:8" ht="17.5" customHeight="1" x14ac:dyDescent="0.4">
      <c r="B1682" s="3" t="s">
        <v>7</v>
      </c>
      <c r="C1682" s="3" t="s">
        <v>462</v>
      </c>
      <c r="D1682" s="4">
        <f>DATE(2012,10,26)</f>
        <v>41208</v>
      </c>
      <c r="E1682" s="5">
        <f t="shared" si="28"/>
        <v>2012</v>
      </c>
      <c r="F1682" s="3" t="s">
        <v>463</v>
      </c>
      <c r="G1682" s="6">
        <v>110.88</v>
      </c>
      <c r="H1682" s="5">
        <v>17768</v>
      </c>
    </row>
    <row r="1683" spans="2:8" ht="17.5" customHeight="1" x14ac:dyDescent="0.4">
      <c r="B1683" s="3" t="s">
        <v>7</v>
      </c>
      <c r="C1683" s="3" t="s">
        <v>462</v>
      </c>
      <c r="D1683" s="4">
        <f>DATE(2013,11,14)</f>
        <v>41592</v>
      </c>
      <c r="E1683" s="5">
        <f t="shared" si="28"/>
        <v>2013</v>
      </c>
      <c r="F1683" s="3" t="s">
        <v>463</v>
      </c>
      <c r="G1683" s="6">
        <v>459.22</v>
      </c>
      <c r="H1683" s="5">
        <v>19218</v>
      </c>
    </row>
    <row r="1684" spans="2:8" ht="17.5" customHeight="1" x14ac:dyDescent="0.4">
      <c r="B1684" s="3" t="s">
        <v>7</v>
      </c>
      <c r="C1684" s="3" t="s">
        <v>462</v>
      </c>
      <c r="D1684" s="4">
        <f>DATE(2014,2,20)</f>
        <v>41690</v>
      </c>
      <c r="E1684" s="5">
        <f t="shared" si="28"/>
        <v>2014</v>
      </c>
      <c r="F1684" s="3" t="s">
        <v>463</v>
      </c>
      <c r="G1684" s="6">
        <v>19815.22</v>
      </c>
      <c r="H1684" s="5">
        <v>19565</v>
      </c>
    </row>
    <row r="1685" spans="2:8" ht="17.5" customHeight="1" x14ac:dyDescent="0.4">
      <c r="B1685" s="3" t="s">
        <v>7</v>
      </c>
      <c r="C1685" s="3" t="s">
        <v>462</v>
      </c>
      <c r="D1685" s="4">
        <f>DATE(2014,3,27)</f>
        <v>41725</v>
      </c>
      <c r="E1685" s="5">
        <f t="shared" si="28"/>
        <v>2014</v>
      </c>
      <c r="F1685" s="3" t="s">
        <v>463</v>
      </c>
      <c r="G1685" s="6">
        <v>219.6</v>
      </c>
      <c r="H1685" s="5">
        <v>19743</v>
      </c>
    </row>
    <row r="1686" spans="2:8" ht="17.5" customHeight="1" x14ac:dyDescent="0.4">
      <c r="B1686" s="3" t="s">
        <v>7</v>
      </c>
      <c r="C1686" s="3" t="s">
        <v>462</v>
      </c>
      <c r="D1686" s="4">
        <f>DATE(2014,11,26)</f>
        <v>41969</v>
      </c>
      <c r="E1686" s="5">
        <f t="shared" si="28"/>
        <v>2014</v>
      </c>
      <c r="F1686" s="3" t="s">
        <v>463</v>
      </c>
      <c r="G1686" s="6">
        <v>27992.11</v>
      </c>
      <c r="H1686" s="5">
        <v>20620</v>
      </c>
    </row>
    <row r="1687" spans="2:8" ht="17.5" customHeight="1" x14ac:dyDescent="0.4">
      <c r="B1687" s="3" t="s">
        <v>7</v>
      </c>
      <c r="C1687" s="3" t="s">
        <v>462</v>
      </c>
      <c r="D1687" s="4">
        <f>DATE(2014,12,5)</f>
        <v>41978</v>
      </c>
      <c r="E1687" s="5">
        <f t="shared" si="28"/>
        <v>2014</v>
      </c>
      <c r="F1687" s="3" t="s">
        <v>463</v>
      </c>
      <c r="G1687" s="6">
        <v>691.58</v>
      </c>
      <c r="H1687" s="5">
        <v>20692</v>
      </c>
    </row>
    <row r="1688" spans="2:8" ht="17.5" customHeight="1" x14ac:dyDescent="0.4">
      <c r="B1688" s="3" t="s">
        <v>7</v>
      </c>
      <c r="C1688" s="3" t="s">
        <v>462</v>
      </c>
      <c r="D1688" s="4">
        <f>DATE(2003,5,9)</f>
        <v>37750</v>
      </c>
      <c r="E1688" s="5">
        <f t="shared" si="28"/>
        <v>2003</v>
      </c>
      <c r="F1688" s="3" t="s">
        <v>464</v>
      </c>
      <c r="G1688" s="6">
        <v>3182.75</v>
      </c>
      <c r="H1688" s="5">
        <v>920</v>
      </c>
    </row>
    <row r="1689" spans="2:8" ht="17.5" customHeight="1" x14ac:dyDescent="0.4">
      <c r="B1689" s="3" t="s">
        <v>7</v>
      </c>
      <c r="C1689" s="3" t="s">
        <v>462</v>
      </c>
      <c r="D1689" s="4">
        <f>DATE(2003,5,9)</f>
        <v>37750</v>
      </c>
      <c r="E1689" s="5">
        <f t="shared" si="28"/>
        <v>2003</v>
      </c>
      <c r="F1689" s="3" t="s">
        <v>464</v>
      </c>
      <c r="G1689" s="6">
        <v>7297.38</v>
      </c>
      <c r="H1689" s="5">
        <v>920</v>
      </c>
    </row>
    <row r="1690" spans="2:8" ht="17.5" customHeight="1" x14ac:dyDescent="0.4">
      <c r="B1690" t="s">
        <v>7</v>
      </c>
      <c r="C1690" t="s">
        <v>465</v>
      </c>
      <c r="D1690" s="7">
        <f>DATE(2004,9,23)</f>
        <v>38253</v>
      </c>
      <c r="E1690" s="8">
        <f t="shared" si="28"/>
        <v>2004</v>
      </c>
      <c r="F1690" t="s">
        <v>466</v>
      </c>
      <c r="G1690" s="9">
        <v>7220.21</v>
      </c>
      <c r="H1690" s="8">
        <v>2190</v>
      </c>
    </row>
    <row r="1691" spans="2:8" ht="17.5" customHeight="1" x14ac:dyDescent="0.4">
      <c r="B1691" t="s">
        <v>7</v>
      </c>
      <c r="C1691" t="s">
        <v>465</v>
      </c>
      <c r="D1691" s="7">
        <f>DATE(2004,9,22)</f>
        <v>38252</v>
      </c>
      <c r="E1691" s="8">
        <f t="shared" si="28"/>
        <v>2004</v>
      </c>
      <c r="F1691" t="s">
        <v>466</v>
      </c>
      <c r="G1691" s="9">
        <v>2101</v>
      </c>
      <c r="H1691" s="8">
        <v>2191</v>
      </c>
    </row>
    <row r="1692" spans="2:8" ht="17.5" customHeight="1" x14ac:dyDescent="0.4">
      <c r="B1692" t="s">
        <v>7</v>
      </c>
      <c r="C1692" t="s">
        <v>465</v>
      </c>
      <c r="D1692" s="7">
        <f>DATE(2004,11,24)</f>
        <v>38315</v>
      </c>
      <c r="E1692" s="8">
        <f t="shared" si="28"/>
        <v>2004</v>
      </c>
      <c r="F1692" t="s">
        <v>466</v>
      </c>
      <c r="G1692" s="9">
        <v>2288.87</v>
      </c>
      <c r="H1692" s="8">
        <v>2388</v>
      </c>
    </row>
    <row r="1693" spans="2:8" ht="17.5" customHeight="1" x14ac:dyDescent="0.4">
      <c r="B1693" t="s">
        <v>7</v>
      </c>
      <c r="C1693" t="s">
        <v>465</v>
      </c>
      <c r="D1693" s="7">
        <f>DATE(2004,12,10)</f>
        <v>38331</v>
      </c>
      <c r="E1693" s="8">
        <f t="shared" si="28"/>
        <v>2004</v>
      </c>
      <c r="F1693" t="s">
        <v>466</v>
      </c>
      <c r="G1693" s="9">
        <v>3307</v>
      </c>
      <c r="H1693" s="8">
        <v>2426</v>
      </c>
    </row>
    <row r="1694" spans="2:8" ht="17.5" customHeight="1" x14ac:dyDescent="0.4">
      <c r="B1694" s="3" t="s">
        <v>7</v>
      </c>
      <c r="C1694" s="3" t="s">
        <v>465</v>
      </c>
      <c r="D1694" s="4">
        <f>DATE(2004,11,24)</f>
        <v>38315</v>
      </c>
      <c r="E1694" s="5">
        <f t="shared" si="28"/>
        <v>2004</v>
      </c>
      <c r="F1694" s="3" t="s">
        <v>466</v>
      </c>
      <c r="G1694" s="6">
        <v>7200</v>
      </c>
      <c r="H1694" s="5">
        <v>3727</v>
      </c>
    </row>
    <row r="1695" spans="2:8" ht="17.5" customHeight="1" x14ac:dyDescent="0.4">
      <c r="B1695" t="s">
        <v>7</v>
      </c>
      <c r="C1695" t="s">
        <v>467</v>
      </c>
      <c r="D1695" s="7">
        <f>DATE(2005,7,21)</f>
        <v>38554</v>
      </c>
      <c r="E1695" s="8">
        <f t="shared" si="28"/>
        <v>2005</v>
      </c>
      <c r="F1695" t="s">
        <v>468</v>
      </c>
      <c r="G1695" s="9">
        <v>3303.1</v>
      </c>
      <c r="H1695" s="8">
        <v>3388</v>
      </c>
    </row>
    <row r="1696" spans="2:8" ht="17.5" customHeight="1" x14ac:dyDescent="0.4">
      <c r="B1696" t="s">
        <v>7</v>
      </c>
      <c r="C1696" t="s">
        <v>467</v>
      </c>
      <c r="D1696" s="7">
        <f>DATE(2009,9,10)</f>
        <v>40066</v>
      </c>
      <c r="E1696" s="8">
        <f t="shared" si="28"/>
        <v>2009</v>
      </c>
      <c r="F1696" t="s">
        <v>468</v>
      </c>
      <c r="G1696" s="9">
        <v>11323.99</v>
      </c>
      <c r="H1696" s="8">
        <v>9045</v>
      </c>
    </row>
    <row r="1697" spans="2:8" ht="17.5" customHeight="1" x14ac:dyDescent="0.4">
      <c r="B1697" s="3" t="s">
        <v>7</v>
      </c>
      <c r="C1697" s="3" t="s">
        <v>467</v>
      </c>
      <c r="D1697" s="4">
        <f>DATE(2003,2,10)</f>
        <v>37662</v>
      </c>
      <c r="E1697" s="5">
        <f t="shared" si="28"/>
        <v>2003</v>
      </c>
      <c r="F1697" s="3" t="s">
        <v>468</v>
      </c>
      <c r="G1697" s="6">
        <v>54.88</v>
      </c>
      <c r="H1697" s="5">
        <v>252</v>
      </c>
    </row>
    <row r="1698" spans="2:8" ht="17.5" customHeight="1" x14ac:dyDescent="0.4">
      <c r="B1698" s="3" t="s">
        <v>7</v>
      </c>
      <c r="C1698" s="3" t="s">
        <v>467</v>
      </c>
      <c r="D1698" s="4">
        <f>DATE(2003,4,4)</f>
        <v>37715</v>
      </c>
      <c r="E1698" s="5">
        <f t="shared" si="28"/>
        <v>2003</v>
      </c>
      <c r="F1698" s="3" t="s">
        <v>468</v>
      </c>
      <c r="G1698" s="6">
        <v>44.08</v>
      </c>
      <c r="H1698" s="5">
        <v>706</v>
      </c>
    </row>
    <row r="1699" spans="2:8" ht="17.5" customHeight="1" x14ac:dyDescent="0.4">
      <c r="B1699" s="3" t="s">
        <v>7</v>
      </c>
      <c r="C1699" s="3" t="s">
        <v>467</v>
      </c>
      <c r="D1699" s="4">
        <f>DATE(2003,12,1)</f>
        <v>37956</v>
      </c>
      <c r="E1699" s="5">
        <f t="shared" si="28"/>
        <v>2003</v>
      </c>
      <c r="F1699" s="3" t="s">
        <v>468</v>
      </c>
      <c r="G1699" s="6">
        <v>79.44</v>
      </c>
      <c r="H1699" s="5">
        <v>1837</v>
      </c>
    </row>
    <row r="1700" spans="2:8" ht="17.5" customHeight="1" x14ac:dyDescent="0.4">
      <c r="B1700" s="3" t="s">
        <v>7</v>
      </c>
      <c r="C1700" s="3" t="s">
        <v>467</v>
      </c>
      <c r="D1700" s="4">
        <f>DATE(2005,5,13)</f>
        <v>38485</v>
      </c>
      <c r="E1700" s="5">
        <f t="shared" si="28"/>
        <v>2005</v>
      </c>
      <c r="F1700" s="3" t="s">
        <v>468</v>
      </c>
      <c r="G1700" s="6">
        <v>61.88</v>
      </c>
      <c r="H1700" s="5">
        <v>4751</v>
      </c>
    </row>
    <row r="1701" spans="2:8" ht="17.5" customHeight="1" x14ac:dyDescent="0.4">
      <c r="B1701" s="3" t="s">
        <v>7</v>
      </c>
      <c r="C1701" s="3" t="s">
        <v>467</v>
      </c>
      <c r="D1701" s="4">
        <f>DATE(2009,5,14)</f>
        <v>39947</v>
      </c>
      <c r="E1701" s="5">
        <f t="shared" si="28"/>
        <v>2009</v>
      </c>
      <c r="F1701" s="3" t="s">
        <v>468</v>
      </c>
      <c r="G1701" s="6">
        <v>108.6</v>
      </c>
      <c r="H1701" s="5">
        <v>12538</v>
      </c>
    </row>
    <row r="1702" spans="2:8" ht="17.5" customHeight="1" x14ac:dyDescent="0.4">
      <c r="B1702" t="s">
        <v>7</v>
      </c>
      <c r="C1702" t="s">
        <v>469</v>
      </c>
      <c r="D1702" s="7">
        <f>DATE(2019,2,4)</f>
        <v>43500</v>
      </c>
      <c r="E1702" s="8">
        <f t="shared" si="28"/>
        <v>2019</v>
      </c>
      <c r="F1702" t="s">
        <v>470</v>
      </c>
      <c r="G1702" s="9">
        <v>12210.18</v>
      </c>
      <c r="H1702" s="8">
        <v>28276</v>
      </c>
    </row>
    <row r="1703" spans="2:8" ht="17.5" customHeight="1" x14ac:dyDescent="0.4">
      <c r="B1703" t="s">
        <v>7</v>
      </c>
      <c r="C1703" t="s">
        <v>469</v>
      </c>
      <c r="D1703" s="7">
        <f>DATE(2015,7,28)</f>
        <v>42213</v>
      </c>
      <c r="E1703" s="8">
        <f t="shared" si="28"/>
        <v>2015</v>
      </c>
      <c r="F1703" t="s">
        <v>470</v>
      </c>
      <c r="G1703" s="9">
        <v>1079.53</v>
      </c>
      <c r="H1703" s="8">
        <v>21006</v>
      </c>
    </row>
    <row r="1704" spans="2:8" ht="17.5" customHeight="1" x14ac:dyDescent="0.4">
      <c r="B1704" t="s">
        <v>7</v>
      </c>
      <c r="C1704" t="s">
        <v>469</v>
      </c>
      <c r="D1704" s="7">
        <f>DATE(2015,11,12)</f>
        <v>42320</v>
      </c>
      <c r="E1704" s="8">
        <f t="shared" si="28"/>
        <v>2015</v>
      </c>
      <c r="F1704" t="s">
        <v>470</v>
      </c>
      <c r="G1704" s="9">
        <v>867.5</v>
      </c>
      <c r="H1704" s="8">
        <v>21603</v>
      </c>
    </row>
    <row r="1705" spans="2:8" ht="17.5" customHeight="1" x14ac:dyDescent="0.4">
      <c r="B1705" t="s">
        <v>7</v>
      </c>
      <c r="C1705" t="s">
        <v>469</v>
      </c>
      <c r="D1705" s="7">
        <f>DATE(2017,6,16)</f>
        <v>42902</v>
      </c>
      <c r="E1705" s="8">
        <f t="shared" si="28"/>
        <v>2017</v>
      </c>
      <c r="F1705" t="s">
        <v>470</v>
      </c>
      <c r="G1705" s="9">
        <v>1364.55</v>
      </c>
      <c r="H1705" s="8">
        <v>25123</v>
      </c>
    </row>
    <row r="1706" spans="2:8" ht="17.5" customHeight="1" x14ac:dyDescent="0.4">
      <c r="B1706" t="s">
        <v>7</v>
      </c>
      <c r="C1706" t="s">
        <v>469</v>
      </c>
      <c r="D1706" s="7">
        <f>DATE(2017,9,27)</f>
        <v>43005</v>
      </c>
      <c r="E1706" s="8">
        <f t="shared" si="28"/>
        <v>2017</v>
      </c>
      <c r="F1706" t="s">
        <v>470</v>
      </c>
      <c r="G1706" s="9">
        <v>1786</v>
      </c>
      <c r="H1706" s="8">
        <v>25649</v>
      </c>
    </row>
    <row r="1707" spans="2:8" ht="17.5" customHeight="1" x14ac:dyDescent="0.4">
      <c r="B1707" t="s">
        <v>7</v>
      </c>
      <c r="C1707" t="s">
        <v>469</v>
      </c>
      <c r="D1707" s="7">
        <f>DATE(2019,1,15)</f>
        <v>43480</v>
      </c>
      <c r="E1707" s="8">
        <f t="shared" si="28"/>
        <v>2019</v>
      </c>
      <c r="F1707" t="s">
        <v>470</v>
      </c>
      <c r="G1707" s="9">
        <v>10142.200000000001</v>
      </c>
      <c r="H1707" s="8">
        <v>28219</v>
      </c>
    </row>
    <row r="1708" spans="2:8" ht="17.5" customHeight="1" x14ac:dyDescent="0.4">
      <c r="B1708" t="s">
        <v>7</v>
      </c>
      <c r="C1708" t="s">
        <v>469</v>
      </c>
      <c r="D1708" s="7">
        <f>DATE(2019,1,15)</f>
        <v>43480</v>
      </c>
      <c r="E1708" s="8">
        <f t="shared" si="28"/>
        <v>2019</v>
      </c>
      <c r="F1708" t="s">
        <v>470</v>
      </c>
      <c r="G1708" s="9">
        <v>14065.5</v>
      </c>
      <c r="H1708" s="8">
        <v>28207</v>
      </c>
    </row>
    <row r="1709" spans="2:8" ht="17.5" customHeight="1" x14ac:dyDescent="0.4">
      <c r="B1709" t="s">
        <v>7</v>
      </c>
      <c r="C1709" t="s">
        <v>469</v>
      </c>
      <c r="D1709" s="7">
        <f>DATE(2019,2,20)</f>
        <v>43516</v>
      </c>
      <c r="E1709" s="8">
        <f t="shared" si="28"/>
        <v>2019</v>
      </c>
      <c r="F1709" t="s">
        <v>470</v>
      </c>
      <c r="G1709" s="9">
        <v>4560</v>
      </c>
      <c r="H1709" s="8">
        <v>28441</v>
      </c>
    </row>
    <row r="1710" spans="2:8" ht="17.5" customHeight="1" x14ac:dyDescent="0.4">
      <c r="B1710" t="s">
        <v>7</v>
      </c>
      <c r="C1710" t="s">
        <v>469</v>
      </c>
      <c r="D1710" s="7">
        <f>DATE(2019,4,8)</f>
        <v>43563</v>
      </c>
      <c r="E1710" s="8">
        <f t="shared" si="28"/>
        <v>2019</v>
      </c>
      <c r="F1710" t="s">
        <v>470</v>
      </c>
      <c r="G1710" s="9">
        <v>1041.4000000000001</v>
      </c>
      <c r="H1710" s="8">
        <v>28771</v>
      </c>
    </row>
    <row r="1711" spans="2:8" ht="17.5" customHeight="1" x14ac:dyDescent="0.4">
      <c r="B1711" t="s">
        <v>7</v>
      </c>
      <c r="C1711" t="s">
        <v>469</v>
      </c>
      <c r="D1711" s="7">
        <f>DATE(2015,10,20)</f>
        <v>42297</v>
      </c>
      <c r="E1711" s="8">
        <f t="shared" si="28"/>
        <v>2015</v>
      </c>
      <c r="F1711" t="s">
        <v>470</v>
      </c>
      <c r="G1711" s="9">
        <v>3520</v>
      </c>
      <c r="H1711" s="8">
        <v>21307</v>
      </c>
    </row>
    <row r="1712" spans="2:8" ht="17.5" customHeight="1" x14ac:dyDescent="0.4">
      <c r="B1712" t="s">
        <v>7</v>
      </c>
      <c r="C1712" t="s">
        <v>469</v>
      </c>
      <c r="D1712" s="7">
        <f>DATE(2015,11,12)</f>
        <v>42320</v>
      </c>
      <c r="E1712" s="8">
        <f t="shared" si="28"/>
        <v>2015</v>
      </c>
      <c r="F1712" t="s">
        <v>470</v>
      </c>
      <c r="G1712" s="9">
        <v>352</v>
      </c>
      <c r="H1712" s="8">
        <v>21605</v>
      </c>
    </row>
    <row r="1713" spans="2:8" ht="17.5" customHeight="1" x14ac:dyDescent="0.4">
      <c r="B1713" t="s">
        <v>7</v>
      </c>
      <c r="C1713" t="s">
        <v>469</v>
      </c>
      <c r="D1713" s="7">
        <f>DATE(2016,1,12)</f>
        <v>42381</v>
      </c>
      <c r="E1713" s="8">
        <f t="shared" si="28"/>
        <v>2016</v>
      </c>
      <c r="F1713" t="s">
        <v>470</v>
      </c>
      <c r="G1713" s="9">
        <v>9</v>
      </c>
      <c r="H1713" s="8">
        <v>21970</v>
      </c>
    </row>
    <row r="1714" spans="2:8" ht="17.5" customHeight="1" x14ac:dyDescent="0.4">
      <c r="B1714" t="s">
        <v>7</v>
      </c>
      <c r="C1714" t="s">
        <v>469</v>
      </c>
      <c r="D1714" s="7">
        <f>DATE(2016,1,21)</f>
        <v>42390</v>
      </c>
      <c r="E1714" s="8">
        <f t="shared" si="28"/>
        <v>2016</v>
      </c>
      <c r="F1714" t="s">
        <v>470</v>
      </c>
      <c r="G1714" s="9">
        <v>5115.9399999999996</v>
      </c>
      <c r="H1714" s="8">
        <v>22021</v>
      </c>
    </row>
    <row r="1715" spans="2:8" ht="17.5" customHeight="1" x14ac:dyDescent="0.4">
      <c r="B1715" t="s">
        <v>7</v>
      </c>
      <c r="C1715" t="s">
        <v>469</v>
      </c>
      <c r="D1715" s="7">
        <f>DATE(2016,1,27)</f>
        <v>42396</v>
      </c>
      <c r="E1715" s="8">
        <f t="shared" si="28"/>
        <v>2016</v>
      </c>
      <c r="F1715" t="s">
        <v>470</v>
      </c>
      <c r="G1715" s="9">
        <v>638.6</v>
      </c>
      <c r="H1715" s="8">
        <v>22082</v>
      </c>
    </row>
    <row r="1716" spans="2:8" ht="17.5" customHeight="1" x14ac:dyDescent="0.4">
      <c r="B1716" t="s">
        <v>7</v>
      </c>
      <c r="C1716" t="s">
        <v>469</v>
      </c>
      <c r="D1716" s="7">
        <f>DATE(2016,2,3)</f>
        <v>42403</v>
      </c>
      <c r="E1716" s="8">
        <f t="shared" si="28"/>
        <v>2016</v>
      </c>
      <c r="F1716" t="s">
        <v>470</v>
      </c>
      <c r="G1716" s="9">
        <v>672</v>
      </c>
      <c r="H1716" s="8">
        <v>22118</v>
      </c>
    </row>
    <row r="1717" spans="2:8" ht="17.5" customHeight="1" x14ac:dyDescent="0.4">
      <c r="B1717" t="s">
        <v>7</v>
      </c>
      <c r="C1717" t="s">
        <v>469</v>
      </c>
      <c r="D1717" s="7">
        <f>DATE(2016,7,5)</f>
        <v>42556</v>
      </c>
      <c r="E1717" s="8">
        <f t="shared" si="28"/>
        <v>2016</v>
      </c>
      <c r="F1717" t="s">
        <v>470</v>
      </c>
      <c r="G1717" s="9">
        <v>1222.3499999999999</v>
      </c>
      <c r="H1717" s="8">
        <v>23106</v>
      </c>
    </row>
    <row r="1718" spans="2:8" ht="17.5" customHeight="1" x14ac:dyDescent="0.4">
      <c r="B1718" t="s">
        <v>7</v>
      </c>
      <c r="C1718" t="s">
        <v>469</v>
      </c>
      <c r="D1718" s="7">
        <f>DATE(2016,8,3)</f>
        <v>42585</v>
      </c>
      <c r="E1718" s="8">
        <f t="shared" si="28"/>
        <v>2016</v>
      </c>
      <c r="F1718" t="s">
        <v>470</v>
      </c>
      <c r="G1718" s="9">
        <v>5979.09</v>
      </c>
      <c r="H1718" s="8">
        <v>23238</v>
      </c>
    </row>
    <row r="1719" spans="2:8" ht="17.5" customHeight="1" x14ac:dyDescent="0.4">
      <c r="B1719" t="s">
        <v>7</v>
      </c>
      <c r="C1719" t="s">
        <v>469</v>
      </c>
      <c r="D1719" s="7">
        <f>DATE(2016,8,18)</f>
        <v>42600</v>
      </c>
      <c r="E1719" s="8">
        <f t="shared" si="28"/>
        <v>2016</v>
      </c>
      <c r="F1719" t="s">
        <v>470</v>
      </c>
      <c r="G1719" s="9">
        <v>846.2</v>
      </c>
      <c r="H1719" s="8">
        <v>23309</v>
      </c>
    </row>
    <row r="1720" spans="2:8" ht="17.5" customHeight="1" x14ac:dyDescent="0.4">
      <c r="B1720" t="s">
        <v>7</v>
      </c>
      <c r="C1720" t="s">
        <v>469</v>
      </c>
      <c r="D1720" s="7">
        <f>DATE(2016,8,19)</f>
        <v>42601</v>
      </c>
      <c r="E1720" s="8">
        <f t="shared" si="28"/>
        <v>2016</v>
      </c>
      <c r="F1720" t="s">
        <v>470</v>
      </c>
      <c r="G1720" s="9">
        <v>846.2</v>
      </c>
      <c r="H1720" s="8">
        <v>23316</v>
      </c>
    </row>
    <row r="1721" spans="2:8" ht="17.5" customHeight="1" x14ac:dyDescent="0.4">
      <c r="B1721" t="s">
        <v>7</v>
      </c>
      <c r="C1721" t="s">
        <v>469</v>
      </c>
      <c r="D1721" s="7">
        <f>DATE(2016,9,29)</f>
        <v>42642</v>
      </c>
      <c r="E1721" s="8">
        <f t="shared" si="28"/>
        <v>2016</v>
      </c>
      <c r="F1721" t="s">
        <v>470</v>
      </c>
      <c r="G1721" s="9">
        <v>6688</v>
      </c>
      <c r="H1721" s="8">
        <v>23548</v>
      </c>
    </row>
    <row r="1722" spans="2:8" ht="17.5" customHeight="1" x14ac:dyDescent="0.4">
      <c r="B1722" t="s">
        <v>7</v>
      </c>
      <c r="C1722" t="s">
        <v>469</v>
      </c>
      <c r="D1722" s="7">
        <f>DATE(2016,10,21)</f>
        <v>42664</v>
      </c>
      <c r="E1722" s="8">
        <f t="shared" si="28"/>
        <v>2016</v>
      </c>
      <c r="F1722" t="s">
        <v>470</v>
      </c>
      <c r="G1722" s="9">
        <v>4200</v>
      </c>
      <c r="H1722" s="8">
        <v>23714</v>
      </c>
    </row>
    <row r="1723" spans="2:8" ht="17.5" customHeight="1" x14ac:dyDescent="0.4">
      <c r="B1723" t="s">
        <v>7</v>
      </c>
      <c r="C1723" t="s">
        <v>469</v>
      </c>
      <c r="D1723" s="7">
        <f>DATE(2016,10,21)</f>
        <v>42664</v>
      </c>
      <c r="E1723" s="8">
        <f t="shared" si="28"/>
        <v>2016</v>
      </c>
      <c r="F1723" t="s">
        <v>470</v>
      </c>
      <c r="G1723" s="9">
        <v>14484.75</v>
      </c>
      <c r="H1723" s="8">
        <v>23705</v>
      </c>
    </row>
    <row r="1724" spans="2:8" ht="17.5" customHeight="1" x14ac:dyDescent="0.4">
      <c r="B1724" t="s">
        <v>7</v>
      </c>
      <c r="C1724" t="s">
        <v>469</v>
      </c>
      <c r="D1724" s="7">
        <f>DATE(2016,11,14)</f>
        <v>42688</v>
      </c>
      <c r="E1724" s="8">
        <f t="shared" si="28"/>
        <v>2016</v>
      </c>
      <c r="F1724" t="s">
        <v>470</v>
      </c>
      <c r="G1724" s="9">
        <v>5600</v>
      </c>
      <c r="H1724" s="8">
        <v>23821</v>
      </c>
    </row>
    <row r="1725" spans="2:8" ht="17.5" customHeight="1" x14ac:dyDescent="0.4">
      <c r="B1725" t="s">
        <v>7</v>
      </c>
      <c r="C1725" t="s">
        <v>469</v>
      </c>
      <c r="D1725" s="7">
        <f>DATE(2016,12,14)</f>
        <v>42718</v>
      </c>
      <c r="E1725" s="8">
        <f t="shared" si="28"/>
        <v>2016</v>
      </c>
      <c r="F1725" t="s">
        <v>470</v>
      </c>
      <c r="G1725" s="9">
        <v>302.60000000000002</v>
      </c>
      <c r="H1725" s="8">
        <v>23987</v>
      </c>
    </row>
    <row r="1726" spans="2:8" ht="17.5" customHeight="1" x14ac:dyDescent="0.4">
      <c r="B1726" t="s">
        <v>7</v>
      </c>
      <c r="C1726" t="s">
        <v>469</v>
      </c>
      <c r="D1726" s="7">
        <f>DATE(2017,6,22)</f>
        <v>42908</v>
      </c>
      <c r="E1726" s="8">
        <f t="shared" si="28"/>
        <v>2017</v>
      </c>
      <c r="F1726" t="s">
        <v>470</v>
      </c>
      <c r="G1726" s="9">
        <v>1364.55</v>
      </c>
      <c r="H1726" s="8">
        <v>25150</v>
      </c>
    </row>
    <row r="1727" spans="2:8" ht="17.5" customHeight="1" x14ac:dyDescent="0.4">
      <c r="B1727" t="s">
        <v>7</v>
      </c>
      <c r="C1727" t="s">
        <v>469</v>
      </c>
      <c r="D1727" s="7">
        <f>DATE(2017,7,26)</f>
        <v>42942</v>
      </c>
      <c r="E1727" s="8">
        <f t="shared" si="28"/>
        <v>2017</v>
      </c>
      <c r="F1727" t="s">
        <v>470</v>
      </c>
      <c r="G1727" s="9">
        <v>518.94000000000005</v>
      </c>
      <c r="H1727" s="8">
        <v>25322</v>
      </c>
    </row>
    <row r="1728" spans="2:8" ht="17.5" customHeight="1" x14ac:dyDescent="0.4">
      <c r="B1728" t="s">
        <v>7</v>
      </c>
      <c r="C1728" t="s">
        <v>469</v>
      </c>
      <c r="D1728" s="7">
        <f>DATE(2018,1,18)</f>
        <v>43118</v>
      </c>
      <c r="E1728" s="8">
        <f t="shared" si="28"/>
        <v>2018</v>
      </c>
      <c r="F1728" t="s">
        <v>470</v>
      </c>
      <c r="G1728" s="9">
        <v>1403.65</v>
      </c>
      <c r="H1728" s="8">
        <v>26282</v>
      </c>
    </row>
    <row r="1729" spans="2:8" ht="17.5" customHeight="1" x14ac:dyDescent="0.4">
      <c r="B1729" t="s">
        <v>7</v>
      </c>
      <c r="C1729" t="s">
        <v>469</v>
      </c>
      <c r="D1729" s="7">
        <f>DATE(2018,1,18)</f>
        <v>43118</v>
      </c>
      <c r="E1729" s="8">
        <f t="shared" si="28"/>
        <v>2018</v>
      </c>
      <c r="F1729" t="s">
        <v>470</v>
      </c>
      <c r="G1729" s="9">
        <v>1971.77</v>
      </c>
      <c r="H1729" s="8">
        <v>26295</v>
      </c>
    </row>
    <row r="1730" spans="2:8" ht="17.5" customHeight="1" x14ac:dyDescent="0.4">
      <c r="B1730" t="s">
        <v>7</v>
      </c>
      <c r="C1730" t="s">
        <v>469</v>
      </c>
      <c r="D1730" s="7">
        <f>DATE(2018,1,19)</f>
        <v>43119</v>
      </c>
      <c r="E1730" s="8">
        <f t="shared" si="28"/>
        <v>2018</v>
      </c>
      <c r="F1730" t="s">
        <v>470</v>
      </c>
      <c r="G1730" s="9">
        <v>7147</v>
      </c>
      <c r="H1730" s="8">
        <v>26300</v>
      </c>
    </row>
    <row r="1731" spans="2:8" ht="17.5" customHeight="1" x14ac:dyDescent="0.4">
      <c r="B1731" t="s">
        <v>7</v>
      </c>
      <c r="C1731" t="s">
        <v>469</v>
      </c>
      <c r="D1731" s="7">
        <f>DATE(2018,1,24)</f>
        <v>43124</v>
      </c>
      <c r="E1731" s="8">
        <f t="shared" ref="E1731:E1794" si="29">YEAR(D1731)</f>
        <v>2018</v>
      </c>
      <c r="F1731" t="s">
        <v>470</v>
      </c>
      <c r="G1731" s="9">
        <v>1710</v>
      </c>
      <c r="H1731" s="8">
        <v>26302</v>
      </c>
    </row>
    <row r="1732" spans="2:8" ht="17.5" customHeight="1" x14ac:dyDescent="0.4">
      <c r="B1732" t="s">
        <v>7</v>
      </c>
      <c r="C1732" t="s">
        <v>469</v>
      </c>
      <c r="D1732" s="7">
        <f>DATE(2018,2,7)</f>
        <v>43138</v>
      </c>
      <c r="E1732" s="8">
        <f t="shared" si="29"/>
        <v>2018</v>
      </c>
      <c r="F1732" t="s">
        <v>470</v>
      </c>
      <c r="G1732" s="9">
        <v>760</v>
      </c>
      <c r="H1732" s="8">
        <v>26426</v>
      </c>
    </row>
    <row r="1733" spans="2:8" ht="17.5" customHeight="1" x14ac:dyDescent="0.4">
      <c r="B1733" t="s">
        <v>7</v>
      </c>
      <c r="C1733" t="s">
        <v>469</v>
      </c>
      <c r="D1733" s="7">
        <f>DATE(2018,2,14)</f>
        <v>43145</v>
      </c>
      <c r="E1733" s="8">
        <f t="shared" si="29"/>
        <v>2018</v>
      </c>
      <c r="F1733" t="s">
        <v>470</v>
      </c>
      <c r="G1733" s="9">
        <v>483.21</v>
      </c>
      <c r="H1733" s="8">
        <v>26478</v>
      </c>
    </row>
    <row r="1734" spans="2:8" ht="17.5" customHeight="1" x14ac:dyDescent="0.4">
      <c r="B1734" t="s">
        <v>7</v>
      </c>
      <c r="C1734" t="s">
        <v>469</v>
      </c>
      <c r="D1734" s="7">
        <f>DATE(2018,2,14)</f>
        <v>43145</v>
      </c>
      <c r="E1734" s="8">
        <f t="shared" si="29"/>
        <v>2018</v>
      </c>
      <c r="F1734" t="s">
        <v>470</v>
      </c>
      <c r="G1734" s="9">
        <v>556.65</v>
      </c>
      <c r="H1734" s="8">
        <v>26479</v>
      </c>
    </row>
    <row r="1735" spans="2:8" ht="17.5" customHeight="1" x14ac:dyDescent="0.4">
      <c r="B1735" t="s">
        <v>7</v>
      </c>
      <c r="C1735" t="s">
        <v>469</v>
      </c>
      <c r="D1735" s="7">
        <f>DATE(2018,3,5)</f>
        <v>43164</v>
      </c>
      <c r="E1735" s="8">
        <f t="shared" si="29"/>
        <v>2018</v>
      </c>
      <c r="F1735" t="s">
        <v>470</v>
      </c>
      <c r="G1735" s="9">
        <v>752</v>
      </c>
      <c r="H1735" s="8">
        <v>26596</v>
      </c>
    </row>
    <row r="1736" spans="2:8" ht="17.5" customHeight="1" x14ac:dyDescent="0.4">
      <c r="B1736" t="s">
        <v>7</v>
      </c>
      <c r="C1736" t="s">
        <v>469</v>
      </c>
      <c r="D1736" s="7">
        <f>DATE(2018,5,31)</f>
        <v>43251</v>
      </c>
      <c r="E1736" s="8">
        <f t="shared" si="29"/>
        <v>2018</v>
      </c>
      <c r="F1736" t="s">
        <v>470</v>
      </c>
      <c r="G1736" s="9">
        <v>4560.76</v>
      </c>
      <c r="H1736" s="8">
        <v>27160</v>
      </c>
    </row>
    <row r="1737" spans="2:8" ht="17.5" customHeight="1" x14ac:dyDescent="0.4">
      <c r="B1737" t="s">
        <v>7</v>
      </c>
      <c r="C1737" t="s">
        <v>469</v>
      </c>
      <c r="D1737" s="7">
        <f>DATE(2018,10,26)</f>
        <v>43399</v>
      </c>
      <c r="E1737" s="8">
        <f t="shared" si="29"/>
        <v>2018</v>
      </c>
      <c r="F1737" t="s">
        <v>470</v>
      </c>
      <c r="G1737" s="9">
        <v>833</v>
      </c>
      <c r="H1737" s="8">
        <v>27886</v>
      </c>
    </row>
    <row r="1738" spans="2:8" ht="17.5" customHeight="1" x14ac:dyDescent="0.4">
      <c r="B1738" t="s">
        <v>7</v>
      </c>
      <c r="C1738" t="s">
        <v>469</v>
      </c>
      <c r="D1738" s="7">
        <f>DATE(2018,10,31)</f>
        <v>43404</v>
      </c>
      <c r="E1738" s="8">
        <f t="shared" si="29"/>
        <v>2018</v>
      </c>
      <c r="F1738" t="s">
        <v>470</v>
      </c>
      <c r="G1738" s="9">
        <v>646</v>
      </c>
      <c r="H1738" s="8">
        <v>27890</v>
      </c>
    </row>
    <row r="1739" spans="2:8" ht="17.5" customHeight="1" x14ac:dyDescent="0.4">
      <c r="B1739" t="s">
        <v>7</v>
      </c>
      <c r="C1739" t="s">
        <v>469</v>
      </c>
      <c r="D1739" s="7">
        <f>DATE(2019,1,15)</f>
        <v>43480</v>
      </c>
      <c r="E1739" s="8">
        <f t="shared" si="29"/>
        <v>2019</v>
      </c>
      <c r="F1739" t="s">
        <v>470</v>
      </c>
      <c r="G1739" s="9">
        <v>13837.8</v>
      </c>
      <c r="H1739" s="8">
        <v>28224</v>
      </c>
    </row>
    <row r="1740" spans="2:8" ht="17.5" customHeight="1" x14ac:dyDescent="0.4">
      <c r="B1740" t="s">
        <v>7</v>
      </c>
      <c r="C1740" t="s">
        <v>469</v>
      </c>
      <c r="D1740" s="7">
        <f>DATE(2015,2,11)</f>
        <v>42046</v>
      </c>
      <c r="E1740" s="8">
        <f t="shared" si="29"/>
        <v>2015</v>
      </c>
      <c r="F1740" t="s">
        <v>470</v>
      </c>
      <c r="G1740" s="9">
        <v>14104.99</v>
      </c>
      <c r="H1740" s="8">
        <v>230</v>
      </c>
    </row>
    <row r="1741" spans="2:8" ht="17.5" customHeight="1" x14ac:dyDescent="0.4">
      <c r="B1741" t="s">
        <v>7</v>
      </c>
      <c r="C1741" t="s">
        <v>469</v>
      </c>
      <c r="D1741" s="7">
        <f>DATE(2015,11,9)</f>
        <v>42317</v>
      </c>
      <c r="E1741" s="8">
        <f t="shared" si="29"/>
        <v>2015</v>
      </c>
      <c r="F1741" t="s">
        <v>470</v>
      </c>
      <c r="G1741" s="9">
        <v>12931.45</v>
      </c>
      <c r="H1741" s="8">
        <v>21434</v>
      </c>
    </row>
    <row r="1742" spans="2:8" ht="17.5" customHeight="1" x14ac:dyDescent="0.4">
      <c r="B1742" t="s">
        <v>7</v>
      </c>
      <c r="C1742" t="s">
        <v>469</v>
      </c>
      <c r="D1742" s="7">
        <f>DATE(2017,6,12)</f>
        <v>42898</v>
      </c>
      <c r="E1742" s="8">
        <f t="shared" si="29"/>
        <v>2017</v>
      </c>
      <c r="F1742" t="s">
        <v>470</v>
      </c>
      <c r="G1742" s="9">
        <v>9408.9</v>
      </c>
      <c r="H1742" s="8">
        <v>25020</v>
      </c>
    </row>
    <row r="1743" spans="2:8" ht="17.5" customHeight="1" x14ac:dyDescent="0.4">
      <c r="B1743" t="s">
        <v>7</v>
      </c>
      <c r="C1743" t="s">
        <v>469</v>
      </c>
      <c r="D1743" s="7">
        <f>DATE(2017,6,22)</f>
        <v>42908</v>
      </c>
      <c r="E1743" s="8">
        <f t="shared" si="29"/>
        <v>2017</v>
      </c>
      <c r="F1743" t="s">
        <v>470</v>
      </c>
      <c r="G1743" s="9">
        <v>1762.25</v>
      </c>
      <c r="H1743" s="8">
        <v>25118</v>
      </c>
    </row>
    <row r="1744" spans="2:8" ht="17.5" customHeight="1" x14ac:dyDescent="0.4">
      <c r="B1744" t="s">
        <v>7</v>
      </c>
      <c r="C1744" t="s">
        <v>469</v>
      </c>
      <c r="D1744" s="7">
        <f>DATE(2017,7,19)</f>
        <v>42935</v>
      </c>
      <c r="E1744" s="8">
        <f t="shared" si="29"/>
        <v>2017</v>
      </c>
      <c r="F1744" t="s">
        <v>470</v>
      </c>
      <c r="G1744" s="9">
        <v>10619.76</v>
      </c>
      <c r="H1744" s="8">
        <v>25173</v>
      </c>
    </row>
    <row r="1745" spans="2:8" ht="17.5" customHeight="1" x14ac:dyDescent="0.4">
      <c r="B1745" t="s">
        <v>7</v>
      </c>
      <c r="C1745" t="s">
        <v>469</v>
      </c>
      <c r="D1745" s="7">
        <f>DATE(2017,8,9)</f>
        <v>42956</v>
      </c>
      <c r="E1745" s="8">
        <f t="shared" si="29"/>
        <v>2017</v>
      </c>
      <c r="F1745" t="s">
        <v>470</v>
      </c>
      <c r="G1745" s="9">
        <v>3524.5</v>
      </c>
      <c r="H1745" s="8">
        <v>25259</v>
      </c>
    </row>
    <row r="1746" spans="2:8" ht="17.5" customHeight="1" x14ac:dyDescent="0.4">
      <c r="B1746" t="s">
        <v>7</v>
      </c>
      <c r="C1746" t="s">
        <v>469</v>
      </c>
      <c r="D1746" s="7">
        <f>DATE(2017,8,30)</f>
        <v>42977</v>
      </c>
      <c r="E1746" s="8">
        <f t="shared" si="29"/>
        <v>2017</v>
      </c>
      <c r="F1746" t="s">
        <v>470</v>
      </c>
      <c r="G1746" s="9">
        <v>37225</v>
      </c>
      <c r="H1746" s="8">
        <v>25063</v>
      </c>
    </row>
    <row r="1747" spans="2:8" ht="17.5" customHeight="1" x14ac:dyDescent="0.4">
      <c r="B1747" t="s">
        <v>7</v>
      </c>
      <c r="C1747" t="s">
        <v>469</v>
      </c>
      <c r="D1747" s="7">
        <f>DATE(2017,9,7)</f>
        <v>42985</v>
      </c>
      <c r="E1747" s="8">
        <f t="shared" si="29"/>
        <v>2017</v>
      </c>
      <c r="F1747" t="s">
        <v>470</v>
      </c>
      <c r="G1747" s="9">
        <v>950</v>
      </c>
      <c r="H1747" s="8">
        <v>25505</v>
      </c>
    </row>
    <row r="1748" spans="2:8" ht="17.5" customHeight="1" x14ac:dyDescent="0.4">
      <c r="B1748" t="s">
        <v>16</v>
      </c>
      <c r="C1748" t="s">
        <v>469</v>
      </c>
      <c r="D1748" s="7">
        <f>DATE(2017,6,20)</f>
        <v>42906</v>
      </c>
      <c r="E1748" s="8">
        <f t="shared" si="29"/>
        <v>2017</v>
      </c>
      <c r="F1748" t="s">
        <v>470</v>
      </c>
      <c r="G1748" s="9">
        <v>1364.55</v>
      </c>
      <c r="H1748" s="8">
        <v>25141</v>
      </c>
    </row>
    <row r="1749" spans="2:8" ht="17.5" customHeight="1" x14ac:dyDescent="0.4">
      <c r="B1749" t="s">
        <v>7</v>
      </c>
      <c r="C1749" t="s">
        <v>469</v>
      </c>
      <c r="D1749" s="7">
        <f>DATE(2014,11,19)</f>
        <v>41962</v>
      </c>
      <c r="E1749" s="8">
        <f t="shared" si="29"/>
        <v>2014</v>
      </c>
      <c r="F1749" t="s">
        <v>470</v>
      </c>
      <c r="G1749" s="9">
        <v>26035.15</v>
      </c>
      <c r="H1749" s="8">
        <v>13437</v>
      </c>
    </row>
    <row r="1750" spans="2:8" ht="17.5" customHeight="1" x14ac:dyDescent="0.4">
      <c r="B1750" t="s">
        <v>7</v>
      </c>
      <c r="C1750" t="s">
        <v>469</v>
      </c>
      <c r="D1750" s="7">
        <f>DATE(2012,2,2)</f>
        <v>40941</v>
      </c>
      <c r="E1750" s="8">
        <f t="shared" si="29"/>
        <v>2012</v>
      </c>
      <c r="F1750" t="s">
        <v>470</v>
      </c>
      <c r="G1750" s="9">
        <v>5000</v>
      </c>
      <c r="H1750" s="8">
        <v>11233</v>
      </c>
    </row>
    <row r="1751" spans="2:8" ht="17.5" customHeight="1" x14ac:dyDescent="0.4">
      <c r="B1751" t="s">
        <v>7</v>
      </c>
      <c r="C1751" t="s">
        <v>469</v>
      </c>
      <c r="D1751" s="7">
        <f>DATE(2012,11,8)</f>
        <v>41221</v>
      </c>
      <c r="E1751" s="8">
        <f t="shared" si="29"/>
        <v>2012</v>
      </c>
      <c r="F1751" t="s">
        <v>470</v>
      </c>
      <c r="G1751" s="9">
        <v>3199</v>
      </c>
      <c r="H1751" s="8">
        <v>11894</v>
      </c>
    </row>
    <row r="1752" spans="2:8" ht="17.5" customHeight="1" x14ac:dyDescent="0.4">
      <c r="B1752" t="s">
        <v>7</v>
      </c>
      <c r="C1752" t="s">
        <v>469</v>
      </c>
      <c r="D1752" s="7">
        <f>DATE(2013,7,15)</f>
        <v>41470</v>
      </c>
      <c r="E1752" s="8">
        <f t="shared" si="29"/>
        <v>2013</v>
      </c>
      <c r="F1752" t="s">
        <v>470</v>
      </c>
      <c r="G1752" s="9">
        <v>2540</v>
      </c>
      <c r="H1752" s="8">
        <v>12534</v>
      </c>
    </row>
    <row r="1753" spans="2:8" ht="17.5" customHeight="1" x14ac:dyDescent="0.4">
      <c r="B1753" t="s">
        <v>7</v>
      </c>
      <c r="C1753" t="s">
        <v>469</v>
      </c>
      <c r="D1753" s="7">
        <f>DATE(2014,9,22)</f>
        <v>41904</v>
      </c>
      <c r="E1753" s="8">
        <f t="shared" si="29"/>
        <v>2014</v>
      </c>
      <c r="F1753" t="s">
        <v>470</v>
      </c>
      <c r="G1753" s="9">
        <v>7000</v>
      </c>
      <c r="H1753" s="8">
        <v>13451</v>
      </c>
    </row>
    <row r="1754" spans="2:8" ht="17.5" customHeight="1" x14ac:dyDescent="0.4">
      <c r="B1754" t="s">
        <v>7</v>
      </c>
      <c r="C1754" t="s">
        <v>469</v>
      </c>
      <c r="D1754" s="7">
        <f>DATE(2014,11,19)</f>
        <v>41962</v>
      </c>
      <c r="E1754" s="8">
        <f t="shared" si="29"/>
        <v>2014</v>
      </c>
      <c r="F1754" t="s">
        <v>470</v>
      </c>
      <c r="G1754" s="9">
        <v>10894</v>
      </c>
      <c r="H1754" s="8">
        <v>13538</v>
      </c>
    </row>
    <row r="1755" spans="2:8" ht="17.5" customHeight="1" x14ac:dyDescent="0.4">
      <c r="B1755" s="3" t="s">
        <v>7</v>
      </c>
      <c r="C1755" s="3" t="s">
        <v>469</v>
      </c>
      <c r="D1755" s="4">
        <f>DATE(2013,2,19)</f>
        <v>41324</v>
      </c>
      <c r="E1755" s="5">
        <f t="shared" si="29"/>
        <v>2013</v>
      </c>
      <c r="F1755" s="3" t="s">
        <v>470</v>
      </c>
      <c r="G1755" s="6">
        <v>5998.53</v>
      </c>
      <c r="H1755" s="5">
        <v>5266</v>
      </c>
    </row>
    <row r="1756" spans="2:8" ht="17.5" customHeight="1" x14ac:dyDescent="0.4">
      <c r="B1756" s="3" t="s">
        <v>7</v>
      </c>
      <c r="C1756" s="3" t="s">
        <v>469</v>
      </c>
      <c r="D1756" s="4">
        <f>DATE(2013,5,31)</f>
        <v>41425</v>
      </c>
      <c r="E1756" s="5">
        <f t="shared" si="29"/>
        <v>2013</v>
      </c>
      <c r="F1756" s="3" t="s">
        <v>470</v>
      </c>
      <c r="G1756" s="6">
        <v>826.74</v>
      </c>
      <c r="H1756" s="5">
        <v>5321</v>
      </c>
    </row>
    <row r="1757" spans="2:8" ht="17.5" customHeight="1" x14ac:dyDescent="0.4">
      <c r="B1757" s="3" t="s">
        <v>7</v>
      </c>
      <c r="C1757" s="3" t="s">
        <v>469</v>
      </c>
      <c r="D1757" s="4">
        <f>DATE(2014,1,15)</f>
        <v>41654</v>
      </c>
      <c r="E1757" s="5">
        <f t="shared" si="29"/>
        <v>2014</v>
      </c>
      <c r="F1757" s="3" t="s">
        <v>470</v>
      </c>
      <c r="G1757" s="6">
        <v>369.44</v>
      </c>
      <c r="H1757" s="5">
        <v>5979</v>
      </c>
    </row>
    <row r="1758" spans="2:8" ht="17.5" customHeight="1" x14ac:dyDescent="0.4">
      <c r="B1758" s="3" t="s">
        <v>7</v>
      </c>
      <c r="C1758" s="3" t="s">
        <v>469</v>
      </c>
      <c r="D1758" s="4">
        <f>DATE(2014,7,14)</f>
        <v>41834</v>
      </c>
      <c r="E1758" s="5">
        <f t="shared" si="29"/>
        <v>2014</v>
      </c>
      <c r="F1758" s="3" t="s">
        <v>470</v>
      </c>
      <c r="G1758" s="6">
        <v>36277.35</v>
      </c>
      <c r="H1758" s="5">
        <v>6171</v>
      </c>
    </row>
    <row r="1759" spans="2:8" ht="17.5" customHeight="1" x14ac:dyDescent="0.4">
      <c r="B1759" s="3" t="s">
        <v>7</v>
      </c>
      <c r="C1759" s="3" t="s">
        <v>469</v>
      </c>
      <c r="D1759" s="4">
        <f>DATE(2013,5,30)</f>
        <v>41424</v>
      </c>
      <c r="E1759" s="5">
        <f t="shared" si="29"/>
        <v>2013</v>
      </c>
      <c r="F1759" s="3" t="s">
        <v>470</v>
      </c>
      <c r="G1759" s="6">
        <v>704</v>
      </c>
      <c r="H1759" s="5">
        <v>18639</v>
      </c>
    </row>
    <row r="1760" spans="2:8" ht="17.5" customHeight="1" x14ac:dyDescent="0.4">
      <c r="B1760" s="3" t="s">
        <v>7</v>
      </c>
      <c r="C1760" s="3" t="s">
        <v>469</v>
      </c>
      <c r="D1760" s="4">
        <f>DATE(2013,7,8)</f>
        <v>41463</v>
      </c>
      <c r="E1760" s="5">
        <f t="shared" si="29"/>
        <v>2013</v>
      </c>
      <c r="F1760" s="3" t="s">
        <v>470</v>
      </c>
      <c r="G1760" s="6">
        <v>3580</v>
      </c>
      <c r="H1760" s="5">
        <v>18742</v>
      </c>
    </row>
    <row r="1761" spans="2:8" ht="17.5" customHeight="1" x14ac:dyDescent="0.4">
      <c r="B1761" s="3" t="s">
        <v>7</v>
      </c>
      <c r="C1761" s="3" t="s">
        <v>469</v>
      </c>
      <c r="D1761" s="4">
        <f>DATE(2013,7,18)</f>
        <v>41473</v>
      </c>
      <c r="E1761" s="5">
        <f t="shared" si="29"/>
        <v>2013</v>
      </c>
      <c r="F1761" s="3" t="s">
        <v>470</v>
      </c>
      <c r="G1761" s="6">
        <v>4210.05</v>
      </c>
      <c r="H1761" s="5">
        <v>18784</v>
      </c>
    </row>
    <row r="1762" spans="2:8" ht="17.5" customHeight="1" x14ac:dyDescent="0.4">
      <c r="B1762" s="3" t="s">
        <v>7</v>
      </c>
      <c r="C1762" s="3" t="s">
        <v>469</v>
      </c>
      <c r="D1762" s="4">
        <f>DATE(2013,7,18)</f>
        <v>41473</v>
      </c>
      <c r="E1762" s="5">
        <f t="shared" si="29"/>
        <v>2013</v>
      </c>
      <c r="F1762" s="3" t="s">
        <v>470</v>
      </c>
      <c r="G1762" s="6">
        <v>5033.6000000000004</v>
      </c>
      <c r="H1762" s="5">
        <v>18785</v>
      </c>
    </row>
    <row r="1763" spans="2:8" ht="17.5" customHeight="1" x14ac:dyDescent="0.4">
      <c r="B1763" s="3" t="s">
        <v>7</v>
      </c>
      <c r="C1763" s="3" t="s">
        <v>469</v>
      </c>
      <c r="D1763" s="4">
        <f>DATE(2013,8,20)</f>
        <v>41506</v>
      </c>
      <c r="E1763" s="5">
        <f t="shared" si="29"/>
        <v>2013</v>
      </c>
      <c r="F1763" s="3" t="s">
        <v>470</v>
      </c>
      <c r="G1763" s="6">
        <v>1779</v>
      </c>
      <c r="H1763" s="5">
        <v>17855</v>
      </c>
    </row>
    <row r="1764" spans="2:8" ht="17.5" customHeight="1" x14ac:dyDescent="0.4">
      <c r="B1764" s="3" t="s">
        <v>7</v>
      </c>
      <c r="C1764" s="3" t="s">
        <v>469</v>
      </c>
      <c r="D1764" s="4">
        <f>DATE(2013,9,25)</f>
        <v>41542</v>
      </c>
      <c r="E1764" s="5">
        <f t="shared" si="29"/>
        <v>2013</v>
      </c>
      <c r="F1764" s="3" t="s">
        <v>470</v>
      </c>
      <c r="G1764" s="6">
        <v>3758</v>
      </c>
      <c r="H1764" s="5">
        <v>18992</v>
      </c>
    </row>
    <row r="1765" spans="2:8" ht="17.5" customHeight="1" x14ac:dyDescent="0.4">
      <c r="B1765" s="3" t="s">
        <v>7</v>
      </c>
      <c r="C1765" s="3" t="s">
        <v>469</v>
      </c>
      <c r="D1765" s="4">
        <f>DATE(2013,9,25)</f>
        <v>41542</v>
      </c>
      <c r="E1765" s="5">
        <f t="shared" si="29"/>
        <v>2013</v>
      </c>
      <c r="F1765" s="3" t="s">
        <v>470</v>
      </c>
      <c r="G1765" s="6">
        <v>1794.6</v>
      </c>
      <c r="H1765" s="5">
        <v>18926</v>
      </c>
    </row>
    <row r="1766" spans="2:8" ht="17.5" customHeight="1" x14ac:dyDescent="0.4">
      <c r="B1766" s="3" t="s">
        <v>7</v>
      </c>
      <c r="C1766" s="3" t="s">
        <v>469</v>
      </c>
      <c r="D1766" s="4">
        <f>DATE(2013,10,11)</f>
        <v>41558</v>
      </c>
      <c r="E1766" s="5">
        <f t="shared" si="29"/>
        <v>2013</v>
      </c>
      <c r="F1766" s="3" t="s">
        <v>470</v>
      </c>
      <c r="G1766" s="6">
        <v>24.24</v>
      </c>
      <c r="H1766" s="5">
        <v>19062</v>
      </c>
    </row>
    <row r="1767" spans="2:8" ht="17.5" customHeight="1" x14ac:dyDescent="0.4">
      <c r="B1767" s="3" t="s">
        <v>7</v>
      </c>
      <c r="C1767" s="3" t="s">
        <v>469</v>
      </c>
      <c r="D1767" s="4">
        <f>DATE(2013,10,11)</f>
        <v>41558</v>
      </c>
      <c r="E1767" s="5">
        <f t="shared" si="29"/>
        <v>2013</v>
      </c>
      <c r="F1767" s="3" t="s">
        <v>470</v>
      </c>
      <c r="G1767" s="6">
        <v>19247.5</v>
      </c>
      <c r="H1767" s="5">
        <v>18754</v>
      </c>
    </row>
    <row r="1768" spans="2:8" ht="17.5" customHeight="1" x14ac:dyDescent="0.4">
      <c r="B1768" s="3" t="s">
        <v>7</v>
      </c>
      <c r="C1768" s="3" t="s">
        <v>469</v>
      </c>
      <c r="D1768" s="4">
        <f>DATE(2014,2,26)</f>
        <v>41696</v>
      </c>
      <c r="E1768" s="5">
        <f t="shared" si="29"/>
        <v>2014</v>
      </c>
      <c r="F1768" s="3" t="s">
        <v>470</v>
      </c>
      <c r="G1768" s="6">
        <v>704</v>
      </c>
      <c r="H1768" s="5">
        <v>19581</v>
      </c>
    </row>
    <row r="1769" spans="2:8" ht="17.5" customHeight="1" x14ac:dyDescent="0.4">
      <c r="B1769" s="3" t="s">
        <v>7</v>
      </c>
      <c r="C1769" s="3" t="s">
        <v>469</v>
      </c>
      <c r="D1769" s="4">
        <f>DATE(2014,3,17)</f>
        <v>41715</v>
      </c>
      <c r="E1769" s="5">
        <f t="shared" si="29"/>
        <v>2014</v>
      </c>
      <c r="F1769" s="3" t="s">
        <v>470</v>
      </c>
      <c r="G1769" s="6">
        <v>3879.49</v>
      </c>
      <c r="H1769" s="5">
        <v>19714</v>
      </c>
    </row>
    <row r="1770" spans="2:8" ht="17.5" customHeight="1" x14ac:dyDescent="0.4">
      <c r="B1770" s="3" t="s">
        <v>7</v>
      </c>
      <c r="C1770" s="3" t="s">
        <v>469</v>
      </c>
      <c r="D1770" s="4">
        <f>DATE(2014,5,8)</f>
        <v>41767</v>
      </c>
      <c r="E1770" s="5">
        <f t="shared" si="29"/>
        <v>2014</v>
      </c>
      <c r="F1770" s="3" t="s">
        <v>470</v>
      </c>
      <c r="G1770" s="6">
        <v>116.77</v>
      </c>
      <c r="H1770" s="5">
        <v>19955</v>
      </c>
    </row>
    <row r="1771" spans="2:8" ht="17.5" customHeight="1" x14ac:dyDescent="0.4">
      <c r="B1771" s="3" t="s">
        <v>7</v>
      </c>
      <c r="C1771" s="3" t="s">
        <v>469</v>
      </c>
      <c r="D1771" s="4">
        <f>DATE(2014,5,16)</f>
        <v>41775</v>
      </c>
      <c r="E1771" s="5">
        <f t="shared" si="29"/>
        <v>2014</v>
      </c>
      <c r="F1771" s="3" t="s">
        <v>470</v>
      </c>
      <c r="G1771" s="6">
        <v>805.2</v>
      </c>
      <c r="H1771" s="5">
        <v>19993</v>
      </c>
    </row>
    <row r="1772" spans="2:8" ht="17.5" customHeight="1" x14ac:dyDescent="0.4">
      <c r="B1772" s="3" t="s">
        <v>7</v>
      </c>
      <c r="C1772" s="3" t="s">
        <v>469</v>
      </c>
      <c r="D1772" s="4">
        <f>DATE(2014,7,7)</f>
        <v>41827</v>
      </c>
      <c r="E1772" s="5">
        <f t="shared" si="29"/>
        <v>2014</v>
      </c>
      <c r="F1772" s="3" t="s">
        <v>470</v>
      </c>
      <c r="G1772" s="6">
        <v>387.2</v>
      </c>
      <c r="H1772" s="5">
        <v>20146</v>
      </c>
    </row>
    <row r="1773" spans="2:8" ht="17.5" customHeight="1" x14ac:dyDescent="0.4">
      <c r="B1773" s="3" t="s">
        <v>7</v>
      </c>
      <c r="C1773" s="3" t="s">
        <v>469</v>
      </c>
      <c r="D1773" s="4">
        <f>DATE(2014,9,3)</f>
        <v>41885</v>
      </c>
      <c r="E1773" s="5">
        <f t="shared" si="29"/>
        <v>2014</v>
      </c>
      <c r="F1773" s="3" t="s">
        <v>470</v>
      </c>
      <c r="G1773" s="6">
        <v>51106</v>
      </c>
      <c r="H1773" s="5">
        <v>20311</v>
      </c>
    </row>
    <row r="1774" spans="2:8" ht="17.5" customHeight="1" x14ac:dyDescent="0.4">
      <c r="B1774" s="3" t="s">
        <v>7</v>
      </c>
      <c r="C1774" s="3" t="s">
        <v>471</v>
      </c>
      <c r="D1774" s="4">
        <f>DATE(2004,8,12)</f>
        <v>38211</v>
      </c>
      <c r="E1774" s="5">
        <f t="shared" si="29"/>
        <v>2004</v>
      </c>
      <c r="F1774" s="3" t="s">
        <v>472</v>
      </c>
      <c r="G1774" s="6">
        <v>3009.92</v>
      </c>
      <c r="H1774" s="5">
        <v>746</v>
      </c>
    </row>
    <row r="1775" spans="2:8" ht="17.5" customHeight="1" x14ac:dyDescent="0.4">
      <c r="B1775" s="3" t="s">
        <v>7</v>
      </c>
      <c r="C1775" s="3" t="s">
        <v>471</v>
      </c>
      <c r="D1775" s="4">
        <f>DATE(2006,9,5)</f>
        <v>38965</v>
      </c>
      <c r="E1775" s="5">
        <f t="shared" si="29"/>
        <v>2006</v>
      </c>
      <c r="F1775" s="3" t="s">
        <v>472</v>
      </c>
      <c r="G1775" s="6">
        <v>299.8</v>
      </c>
      <c r="H1775" s="5">
        <v>1757</v>
      </c>
    </row>
    <row r="1776" spans="2:8" ht="17.5" customHeight="1" x14ac:dyDescent="0.4">
      <c r="B1776" s="3" t="s">
        <v>7</v>
      </c>
      <c r="C1776" s="3" t="s">
        <v>473</v>
      </c>
      <c r="D1776" s="4">
        <f>DATE(2004,4,27)</f>
        <v>38104</v>
      </c>
      <c r="E1776" s="5">
        <f t="shared" si="29"/>
        <v>2004</v>
      </c>
      <c r="F1776" s="3" t="s">
        <v>474</v>
      </c>
      <c r="G1776" s="6">
        <v>202</v>
      </c>
      <c r="H1776" s="5">
        <v>2747</v>
      </c>
    </row>
    <row r="1777" spans="2:8" ht="17.5" customHeight="1" x14ac:dyDescent="0.4">
      <c r="B1777" s="3" t="s">
        <v>7</v>
      </c>
      <c r="C1777" s="3" t="s">
        <v>473</v>
      </c>
      <c r="D1777" s="4">
        <f>DATE(2011,7,29)</f>
        <v>40753</v>
      </c>
      <c r="E1777" s="5">
        <f t="shared" si="29"/>
        <v>2011</v>
      </c>
      <c r="F1777" s="3" t="s">
        <v>474</v>
      </c>
      <c r="G1777" s="6">
        <v>205</v>
      </c>
      <c r="H1777" s="5">
        <v>15828</v>
      </c>
    </row>
    <row r="1778" spans="2:8" ht="17.5" customHeight="1" x14ac:dyDescent="0.4">
      <c r="B1778" s="3" t="s">
        <v>7</v>
      </c>
      <c r="C1778" s="3" t="s">
        <v>473</v>
      </c>
      <c r="D1778" s="4">
        <f>DATE(2011,8,10)</f>
        <v>40765</v>
      </c>
      <c r="E1778" s="5">
        <f t="shared" si="29"/>
        <v>2011</v>
      </c>
      <c r="F1778" s="3" t="s">
        <v>474</v>
      </c>
      <c r="G1778" s="6">
        <v>2168.6799999999998</v>
      </c>
      <c r="H1778" s="5">
        <v>15863</v>
      </c>
    </row>
    <row r="1779" spans="2:8" ht="17.5" customHeight="1" x14ac:dyDescent="0.4">
      <c r="B1779" t="s">
        <v>7</v>
      </c>
      <c r="C1779" t="s">
        <v>322</v>
      </c>
      <c r="D1779" s="7">
        <f>DATE(2009,7,23)</f>
        <v>40017</v>
      </c>
      <c r="E1779" s="8">
        <f t="shared" si="29"/>
        <v>2009</v>
      </c>
      <c r="F1779" t="s">
        <v>475</v>
      </c>
      <c r="G1779" s="9">
        <v>4217.33</v>
      </c>
      <c r="H1779" s="8">
        <v>8477</v>
      </c>
    </row>
    <row r="1780" spans="2:8" ht="17.5" customHeight="1" x14ac:dyDescent="0.4">
      <c r="B1780" t="s">
        <v>7</v>
      </c>
      <c r="C1780" t="s">
        <v>322</v>
      </c>
      <c r="D1780" s="7">
        <f>DATE(2009,10,6)</f>
        <v>40092</v>
      </c>
      <c r="E1780" s="8">
        <f t="shared" si="29"/>
        <v>2009</v>
      </c>
      <c r="F1780" t="s">
        <v>475</v>
      </c>
      <c r="G1780" s="9">
        <v>15352.5</v>
      </c>
      <c r="H1780" s="8">
        <v>8745</v>
      </c>
    </row>
    <row r="1781" spans="2:8" ht="17.5" customHeight="1" x14ac:dyDescent="0.4">
      <c r="B1781" t="s">
        <v>7</v>
      </c>
      <c r="C1781" t="s">
        <v>322</v>
      </c>
      <c r="D1781" s="7">
        <f>DATE(2010,1,8)</f>
        <v>40186</v>
      </c>
      <c r="E1781" s="8">
        <f t="shared" si="29"/>
        <v>2010</v>
      </c>
      <c r="F1781" t="s">
        <v>475</v>
      </c>
      <c r="G1781" s="9">
        <v>26289.31</v>
      </c>
      <c r="H1781" s="8">
        <v>9155</v>
      </c>
    </row>
    <row r="1782" spans="2:8" ht="17.5" customHeight="1" x14ac:dyDescent="0.4">
      <c r="B1782" t="s">
        <v>7</v>
      </c>
      <c r="C1782" t="s">
        <v>322</v>
      </c>
      <c r="D1782" s="7">
        <f>DATE(2010,7,1)</f>
        <v>40360</v>
      </c>
      <c r="E1782" s="8">
        <f t="shared" si="29"/>
        <v>2010</v>
      </c>
      <c r="F1782" t="s">
        <v>475</v>
      </c>
      <c r="G1782" s="9">
        <v>27059.3</v>
      </c>
      <c r="H1782" s="8">
        <v>9929</v>
      </c>
    </row>
    <row r="1783" spans="2:8" ht="17.5" customHeight="1" x14ac:dyDescent="0.4">
      <c r="B1783" t="s">
        <v>7</v>
      </c>
      <c r="C1783" t="s">
        <v>322</v>
      </c>
      <c r="D1783" s="7">
        <f>DATE(2011,7,14)</f>
        <v>40738</v>
      </c>
      <c r="E1783" s="8">
        <f t="shared" si="29"/>
        <v>2011</v>
      </c>
      <c r="F1783" t="s">
        <v>475</v>
      </c>
      <c r="G1783" s="9">
        <v>8952</v>
      </c>
      <c r="H1783" s="8">
        <v>10842</v>
      </c>
    </row>
    <row r="1784" spans="2:8" ht="17.5" customHeight="1" x14ac:dyDescent="0.4">
      <c r="B1784" t="s">
        <v>7</v>
      </c>
      <c r="C1784" t="s">
        <v>322</v>
      </c>
      <c r="D1784" s="7">
        <f>DATE(2011,7,14)</f>
        <v>40738</v>
      </c>
      <c r="E1784" s="8">
        <f t="shared" si="29"/>
        <v>2011</v>
      </c>
      <c r="F1784" t="s">
        <v>475</v>
      </c>
      <c r="G1784" s="9">
        <v>3693.59</v>
      </c>
      <c r="H1784" s="8">
        <v>10843</v>
      </c>
    </row>
    <row r="1785" spans="2:8" ht="17.5" customHeight="1" x14ac:dyDescent="0.4">
      <c r="B1785" s="3" t="s">
        <v>7</v>
      </c>
      <c r="C1785" s="3" t="s">
        <v>322</v>
      </c>
      <c r="D1785" s="4">
        <f>DATE(2009,5,19)</f>
        <v>39952</v>
      </c>
      <c r="E1785" s="5">
        <f t="shared" si="29"/>
        <v>2009</v>
      </c>
      <c r="F1785" s="3" t="s">
        <v>475</v>
      </c>
      <c r="G1785" s="6">
        <v>52118.82</v>
      </c>
      <c r="H1785" s="5">
        <v>12162</v>
      </c>
    </row>
    <row r="1786" spans="2:8" ht="17.5" customHeight="1" x14ac:dyDescent="0.4">
      <c r="B1786" s="3" t="s">
        <v>7</v>
      </c>
      <c r="C1786" s="3" t="s">
        <v>322</v>
      </c>
      <c r="D1786" s="4">
        <f>DATE(2010,8,2)</f>
        <v>40392</v>
      </c>
      <c r="E1786" s="5">
        <f t="shared" si="29"/>
        <v>2010</v>
      </c>
      <c r="F1786" s="3" t="s">
        <v>475</v>
      </c>
      <c r="G1786" s="6">
        <v>13361.07</v>
      </c>
      <c r="H1786" s="5">
        <v>14279</v>
      </c>
    </row>
    <row r="1787" spans="2:8" ht="17.5" customHeight="1" x14ac:dyDescent="0.4">
      <c r="B1787" s="3" t="s">
        <v>7</v>
      </c>
      <c r="C1787" s="3" t="s">
        <v>322</v>
      </c>
      <c r="D1787" s="4">
        <f>DATE(2010,8,5)</f>
        <v>40395</v>
      </c>
      <c r="E1787" s="5">
        <f t="shared" si="29"/>
        <v>2010</v>
      </c>
      <c r="F1787" s="3" t="s">
        <v>475</v>
      </c>
      <c r="G1787" s="6">
        <v>1899.42</v>
      </c>
      <c r="H1787" s="5">
        <v>14283</v>
      </c>
    </row>
    <row r="1788" spans="2:8" ht="17.5" customHeight="1" x14ac:dyDescent="0.4">
      <c r="B1788" t="s">
        <v>7</v>
      </c>
      <c r="C1788" t="s">
        <v>322</v>
      </c>
      <c r="D1788" s="7">
        <f>DATE(2013,9,26)</f>
        <v>41543</v>
      </c>
      <c r="E1788" s="8">
        <f t="shared" si="29"/>
        <v>2013</v>
      </c>
      <c r="F1788" t="s">
        <v>476</v>
      </c>
      <c r="G1788" s="9">
        <v>6381.3</v>
      </c>
      <c r="H1788" s="8">
        <v>12642</v>
      </c>
    </row>
    <row r="1789" spans="2:8" ht="17.5" customHeight="1" x14ac:dyDescent="0.4">
      <c r="B1789" t="s">
        <v>7</v>
      </c>
      <c r="C1789" t="s">
        <v>322</v>
      </c>
      <c r="D1789" s="7">
        <f>DATE(2013,3,7)</f>
        <v>41340</v>
      </c>
      <c r="E1789" s="8">
        <f t="shared" si="29"/>
        <v>2013</v>
      </c>
      <c r="F1789" t="s">
        <v>476</v>
      </c>
      <c r="G1789" s="9">
        <v>25038.61</v>
      </c>
      <c r="H1789" s="8">
        <v>12233</v>
      </c>
    </row>
    <row r="1790" spans="2:8" ht="17.5" customHeight="1" x14ac:dyDescent="0.4">
      <c r="B1790" t="s">
        <v>7</v>
      </c>
      <c r="C1790" t="s">
        <v>322</v>
      </c>
      <c r="D1790" s="7">
        <f>DATE(2013,4,25)</f>
        <v>41389</v>
      </c>
      <c r="E1790" s="8">
        <f t="shared" si="29"/>
        <v>2013</v>
      </c>
      <c r="F1790" t="s">
        <v>476</v>
      </c>
      <c r="G1790" s="9">
        <v>22079.43</v>
      </c>
      <c r="H1790" s="8">
        <v>12380</v>
      </c>
    </row>
    <row r="1791" spans="2:8" ht="17.5" customHeight="1" x14ac:dyDescent="0.4">
      <c r="B1791" t="s">
        <v>7</v>
      </c>
      <c r="C1791" t="s">
        <v>322</v>
      </c>
      <c r="D1791" s="7">
        <f>DATE(2013,7,9)</f>
        <v>41464</v>
      </c>
      <c r="E1791" s="8">
        <f t="shared" si="29"/>
        <v>2013</v>
      </c>
      <c r="F1791" t="s">
        <v>476</v>
      </c>
      <c r="G1791" s="9">
        <v>13446.06</v>
      </c>
      <c r="H1791" s="8">
        <v>12526</v>
      </c>
    </row>
    <row r="1792" spans="2:8" ht="17.5" customHeight="1" x14ac:dyDescent="0.4">
      <c r="B1792" t="s">
        <v>7</v>
      </c>
      <c r="C1792" t="s">
        <v>322</v>
      </c>
      <c r="D1792" s="7">
        <f>DATE(2013,1,7)</f>
        <v>41281</v>
      </c>
      <c r="E1792" s="8">
        <f t="shared" si="29"/>
        <v>2013</v>
      </c>
      <c r="F1792" t="s">
        <v>476</v>
      </c>
      <c r="G1792" s="9">
        <v>18889.5</v>
      </c>
      <c r="H1792" s="8">
        <v>12796</v>
      </c>
    </row>
    <row r="1793" spans="2:8" ht="17.5" customHeight="1" x14ac:dyDescent="0.4">
      <c r="B1793" t="s">
        <v>7</v>
      </c>
      <c r="C1793" t="s">
        <v>322</v>
      </c>
      <c r="D1793" s="7">
        <f>DATE(2014,1,29)</f>
        <v>41668</v>
      </c>
      <c r="E1793" s="8">
        <f t="shared" si="29"/>
        <v>2014</v>
      </c>
      <c r="F1793" t="s">
        <v>476</v>
      </c>
      <c r="G1793" s="9">
        <v>15538.26</v>
      </c>
      <c r="H1793" s="8">
        <v>12796</v>
      </c>
    </row>
    <row r="1794" spans="2:8" ht="17.5" customHeight="1" x14ac:dyDescent="0.4">
      <c r="B1794" t="s">
        <v>7</v>
      </c>
      <c r="C1794" t="s">
        <v>322</v>
      </c>
      <c r="D1794" s="7">
        <f>DATE(2014,3,18)</f>
        <v>41716</v>
      </c>
      <c r="E1794" s="8">
        <f t="shared" si="29"/>
        <v>2014</v>
      </c>
      <c r="F1794" t="s">
        <v>476</v>
      </c>
      <c r="G1794" s="9">
        <v>15972.58</v>
      </c>
      <c r="H1794" s="8">
        <v>12977</v>
      </c>
    </row>
    <row r="1795" spans="2:8" ht="17.5" customHeight="1" x14ac:dyDescent="0.4">
      <c r="B1795" s="3" t="s">
        <v>7</v>
      </c>
      <c r="C1795" s="3" t="s">
        <v>322</v>
      </c>
      <c r="D1795" s="4">
        <f>DATE(2013,7,10)</f>
        <v>41465</v>
      </c>
      <c r="E1795" s="5">
        <f t="shared" ref="E1795:E1858" si="30">YEAR(D1795)</f>
        <v>2013</v>
      </c>
      <c r="F1795" s="3" t="s">
        <v>476</v>
      </c>
      <c r="G1795" s="6">
        <v>24750</v>
      </c>
      <c r="H1795" s="5">
        <v>18565</v>
      </c>
    </row>
    <row r="1796" spans="2:8" ht="17.5" customHeight="1" x14ac:dyDescent="0.4">
      <c r="B1796" s="3" t="s">
        <v>7</v>
      </c>
      <c r="C1796" s="3" t="s">
        <v>322</v>
      </c>
      <c r="D1796" s="4">
        <f>DATE(2013,9,6)</f>
        <v>41523</v>
      </c>
      <c r="E1796" s="5">
        <f t="shared" si="30"/>
        <v>2013</v>
      </c>
      <c r="F1796" s="3" t="s">
        <v>476</v>
      </c>
      <c r="G1796" s="6">
        <v>3131.62</v>
      </c>
      <c r="H1796" s="5">
        <v>18941</v>
      </c>
    </row>
    <row r="1797" spans="2:8" ht="17.5" customHeight="1" x14ac:dyDescent="0.4">
      <c r="B1797" s="3" t="s">
        <v>7</v>
      </c>
      <c r="C1797" s="3" t="s">
        <v>322</v>
      </c>
      <c r="D1797" s="4">
        <f>DATE(2013,11,15)</f>
        <v>41593</v>
      </c>
      <c r="E1797" s="5">
        <f t="shared" si="30"/>
        <v>2013</v>
      </c>
      <c r="F1797" s="3" t="s">
        <v>476</v>
      </c>
      <c r="G1797" s="6">
        <v>5070</v>
      </c>
      <c r="H1797" s="5">
        <v>19237</v>
      </c>
    </row>
    <row r="1798" spans="2:8" ht="17.5" customHeight="1" x14ac:dyDescent="0.4">
      <c r="B1798" s="3" t="s">
        <v>7</v>
      </c>
      <c r="C1798" s="3" t="s">
        <v>322</v>
      </c>
      <c r="D1798" s="4">
        <f>DATE(2013,11,19)</f>
        <v>41597</v>
      </c>
      <c r="E1798" s="5">
        <f t="shared" si="30"/>
        <v>2013</v>
      </c>
      <c r="F1798" s="3" t="s">
        <v>476</v>
      </c>
      <c r="G1798" s="6">
        <v>7220.83</v>
      </c>
      <c r="H1798" s="5">
        <v>19245</v>
      </c>
    </row>
    <row r="1799" spans="2:8" ht="17.5" customHeight="1" x14ac:dyDescent="0.4">
      <c r="B1799" s="3" t="s">
        <v>7</v>
      </c>
      <c r="C1799" s="3" t="s">
        <v>322</v>
      </c>
      <c r="D1799" s="4">
        <f>DATE(2014,10,8)</f>
        <v>41920</v>
      </c>
      <c r="E1799" s="5">
        <f t="shared" si="30"/>
        <v>2014</v>
      </c>
      <c r="F1799" s="3" t="s">
        <v>476</v>
      </c>
      <c r="G1799" s="6">
        <v>6215</v>
      </c>
      <c r="H1799" s="5">
        <v>20294</v>
      </c>
    </row>
    <row r="1800" spans="2:8" ht="17.5" customHeight="1" x14ac:dyDescent="0.4">
      <c r="B1800" s="3" t="s">
        <v>7</v>
      </c>
      <c r="C1800" s="3" t="s">
        <v>322</v>
      </c>
      <c r="D1800" s="4">
        <f>DATE(2014,11,18)</f>
        <v>41961</v>
      </c>
      <c r="E1800" s="5">
        <f t="shared" si="30"/>
        <v>2014</v>
      </c>
      <c r="F1800" s="3" t="s">
        <v>476</v>
      </c>
      <c r="G1800" s="6">
        <v>315</v>
      </c>
      <c r="H1800" s="5">
        <v>20512</v>
      </c>
    </row>
    <row r="1801" spans="2:8" ht="17.5" customHeight="1" x14ac:dyDescent="0.4">
      <c r="B1801" t="s">
        <v>7</v>
      </c>
      <c r="C1801" t="s">
        <v>477</v>
      </c>
      <c r="D1801" s="7">
        <f>DATE(2015,6,19)</f>
        <v>42174</v>
      </c>
      <c r="E1801" s="8">
        <f t="shared" si="30"/>
        <v>2015</v>
      </c>
      <c r="F1801" t="s">
        <v>478</v>
      </c>
      <c r="G1801" s="9">
        <v>14844.02</v>
      </c>
      <c r="H1801" s="8">
        <v>20646</v>
      </c>
    </row>
    <row r="1802" spans="2:8" ht="17.5" customHeight="1" x14ac:dyDescent="0.4">
      <c r="B1802" t="s">
        <v>7</v>
      </c>
      <c r="C1802" t="s">
        <v>477</v>
      </c>
      <c r="D1802" s="7">
        <f>DATE(2015,11,12)</f>
        <v>42320</v>
      </c>
      <c r="E1802" s="8">
        <f t="shared" si="30"/>
        <v>2015</v>
      </c>
      <c r="F1802" t="s">
        <v>478</v>
      </c>
      <c r="G1802" s="9">
        <v>8951.33</v>
      </c>
      <c r="H1802" s="8">
        <v>21527</v>
      </c>
    </row>
    <row r="1803" spans="2:8" ht="17.5" customHeight="1" x14ac:dyDescent="0.4">
      <c r="B1803" t="s">
        <v>7</v>
      </c>
      <c r="C1803" t="s">
        <v>477</v>
      </c>
      <c r="D1803" s="7">
        <f>DATE(2016,4,20)</f>
        <v>42480</v>
      </c>
      <c r="E1803" s="8">
        <f t="shared" si="30"/>
        <v>2016</v>
      </c>
      <c r="F1803" t="s">
        <v>478</v>
      </c>
      <c r="G1803" s="9">
        <v>13328.13</v>
      </c>
      <c r="H1803" s="8">
        <v>22523</v>
      </c>
    </row>
    <row r="1804" spans="2:8" ht="17.5" customHeight="1" x14ac:dyDescent="0.4">
      <c r="B1804" t="s">
        <v>7</v>
      </c>
      <c r="C1804" t="s">
        <v>477</v>
      </c>
      <c r="D1804" s="7">
        <f>DATE(2016,11,17)</f>
        <v>42691</v>
      </c>
      <c r="E1804" s="8">
        <f t="shared" si="30"/>
        <v>2016</v>
      </c>
      <c r="F1804" t="s">
        <v>478</v>
      </c>
      <c r="G1804" s="9">
        <v>10989.05</v>
      </c>
      <c r="H1804" s="8">
        <v>23809</v>
      </c>
    </row>
    <row r="1805" spans="2:8" ht="17.5" customHeight="1" x14ac:dyDescent="0.4">
      <c r="B1805" t="s">
        <v>7</v>
      </c>
      <c r="C1805" t="s">
        <v>477</v>
      </c>
      <c r="D1805" s="7">
        <f>DATE(2017,7,6)</f>
        <v>42922</v>
      </c>
      <c r="E1805" s="8">
        <f t="shared" si="30"/>
        <v>2017</v>
      </c>
      <c r="F1805" t="s">
        <v>478</v>
      </c>
      <c r="G1805" s="9">
        <v>7426.12</v>
      </c>
      <c r="H1805" s="8">
        <v>25152</v>
      </c>
    </row>
    <row r="1806" spans="2:8" ht="17.5" customHeight="1" x14ac:dyDescent="0.4">
      <c r="B1806" s="3" t="s">
        <v>7</v>
      </c>
      <c r="C1806" s="3" t="s">
        <v>479</v>
      </c>
      <c r="D1806" s="4">
        <f>DATE(2009,2,16)</f>
        <v>39860</v>
      </c>
      <c r="E1806" s="5">
        <f t="shared" si="30"/>
        <v>2009</v>
      </c>
      <c r="F1806" s="3" t="s">
        <v>480</v>
      </c>
      <c r="G1806" s="6">
        <v>226.76</v>
      </c>
      <c r="H1806" s="5">
        <v>11996</v>
      </c>
    </row>
    <row r="1807" spans="2:8" ht="17.5" customHeight="1" x14ac:dyDescent="0.4">
      <c r="B1807" s="3" t="s">
        <v>7</v>
      </c>
      <c r="C1807" s="3" t="s">
        <v>479</v>
      </c>
      <c r="D1807" s="4">
        <f>DATE(2009,2,23)</f>
        <v>39867</v>
      </c>
      <c r="E1807" s="5">
        <f t="shared" si="30"/>
        <v>2009</v>
      </c>
      <c r="F1807" s="3" t="s">
        <v>480</v>
      </c>
      <c r="G1807" s="6">
        <v>453.23</v>
      </c>
      <c r="H1807" s="5">
        <v>12020</v>
      </c>
    </row>
    <row r="1808" spans="2:8" ht="17.5" customHeight="1" x14ac:dyDescent="0.4">
      <c r="B1808" t="s">
        <v>7</v>
      </c>
      <c r="C1808" t="s">
        <v>481</v>
      </c>
      <c r="D1808" s="7">
        <f>DATE(2016,11,21)</f>
        <v>42695</v>
      </c>
      <c r="E1808" s="8">
        <f t="shared" si="30"/>
        <v>2016</v>
      </c>
      <c r="F1808" t="s">
        <v>482</v>
      </c>
      <c r="G1808" s="9">
        <v>3396.25</v>
      </c>
      <c r="H1808" s="8">
        <v>23093</v>
      </c>
    </row>
    <row r="1809" spans="2:8" ht="17.5" customHeight="1" x14ac:dyDescent="0.4">
      <c r="B1809" t="s">
        <v>7</v>
      </c>
      <c r="C1809" t="s">
        <v>481</v>
      </c>
      <c r="D1809" s="7">
        <f>DATE(2019,4,17)</f>
        <v>43572</v>
      </c>
      <c r="E1809" s="8">
        <f t="shared" si="30"/>
        <v>2019</v>
      </c>
      <c r="F1809" t="s">
        <v>482</v>
      </c>
      <c r="G1809" s="9">
        <v>7500</v>
      </c>
      <c r="H1809" s="8">
        <v>28418</v>
      </c>
    </row>
    <row r="1810" spans="2:8" ht="17.5" customHeight="1" x14ac:dyDescent="0.4">
      <c r="B1810" t="s">
        <v>7</v>
      </c>
      <c r="C1810" t="s">
        <v>483</v>
      </c>
      <c r="D1810" s="7">
        <f>DATE(2016,5,31)</f>
        <v>42521</v>
      </c>
      <c r="E1810" s="8">
        <f t="shared" si="30"/>
        <v>2016</v>
      </c>
      <c r="F1810" t="s">
        <v>484</v>
      </c>
      <c r="G1810" s="9">
        <v>475</v>
      </c>
      <c r="H1810" s="8">
        <v>22935</v>
      </c>
    </row>
    <row r="1811" spans="2:8" ht="17.5" customHeight="1" x14ac:dyDescent="0.4">
      <c r="B1811" s="3" t="s">
        <v>7</v>
      </c>
      <c r="C1811" s="3" t="s">
        <v>485</v>
      </c>
      <c r="D1811" s="4">
        <f>DATE(2012,12,11)</f>
        <v>41254</v>
      </c>
      <c r="E1811" s="5">
        <f t="shared" si="30"/>
        <v>2012</v>
      </c>
      <c r="F1811" s="3" t="s">
        <v>486</v>
      </c>
      <c r="G1811" s="6">
        <v>9507.3700000000008</v>
      </c>
      <c r="H1811" s="5">
        <v>5336</v>
      </c>
    </row>
    <row r="1812" spans="2:8" ht="17.5" customHeight="1" x14ac:dyDescent="0.4">
      <c r="B1812" s="3" t="s">
        <v>7</v>
      </c>
      <c r="C1812" s="3" t="s">
        <v>487</v>
      </c>
      <c r="D1812" s="4">
        <f>DATE(2003,8,28)</f>
        <v>37861</v>
      </c>
      <c r="E1812" s="5">
        <f t="shared" si="30"/>
        <v>2003</v>
      </c>
      <c r="F1812" s="3" t="s">
        <v>488</v>
      </c>
      <c r="G1812" s="6">
        <v>1590</v>
      </c>
      <c r="H1812" s="5">
        <v>1339</v>
      </c>
    </row>
    <row r="1813" spans="2:8" ht="17.5" customHeight="1" x14ac:dyDescent="0.4">
      <c r="B1813" s="3" t="s">
        <v>7</v>
      </c>
      <c r="C1813" s="3" t="s">
        <v>487</v>
      </c>
      <c r="D1813" s="4">
        <f>DATE(2006,2,28)</f>
        <v>38776</v>
      </c>
      <c r="E1813" s="5">
        <f t="shared" si="30"/>
        <v>2006</v>
      </c>
      <c r="F1813" s="3" t="s">
        <v>488</v>
      </c>
      <c r="G1813" s="6">
        <v>493.5</v>
      </c>
      <c r="H1813" s="5">
        <v>6177</v>
      </c>
    </row>
    <row r="1814" spans="2:8" ht="17.5" customHeight="1" x14ac:dyDescent="0.4">
      <c r="B1814" s="3" t="s">
        <v>7</v>
      </c>
      <c r="C1814" s="3" t="s">
        <v>487</v>
      </c>
      <c r="D1814" s="4">
        <f>DATE(2007,8,16)</f>
        <v>39310</v>
      </c>
      <c r="E1814" s="5">
        <f t="shared" si="30"/>
        <v>2007</v>
      </c>
      <c r="F1814" s="3" t="s">
        <v>488</v>
      </c>
      <c r="G1814" s="6">
        <v>539</v>
      </c>
      <c r="H1814" s="5">
        <v>8966</v>
      </c>
    </row>
    <row r="1815" spans="2:8" ht="17.5" customHeight="1" x14ac:dyDescent="0.4">
      <c r="B1815" s="3" t="s">
        <v>7</v>
      </c>
      <c r="C1815" s="3" t="s">
        <v>487</v>
      </c>
      <c r="D1815" s="4">
        <f>DATE(2009,8,7)</f>
        <v>40032</v>
      </c>
      <c r="E1815" s="5">
        <f t="shared" si="30"/>
        <v>2009</v>
      </c>
      <c r="F1815" s="3" t="s">
        <v>488</v>
      </c>
      <c r="G1815" s="6">
        <v>491</v>
      </c>
      <c r="H1815" s="5">
        <v>12885</v>
      </c>
    </row>
    <row r="1816" spans="2:8" ht="17.5" customHeight="1" x14ac:dyDescent="0.4">
      <c r="B1816" s="3" t="s">
        <v>7</v>
      </c>
      <c r="C1816" s="3" t="s">
        <v>487</v>
      </c>
      <c r="D1816" s="4">
        <f>DATE(2009,9,21)</f>
        <v>40077</v>
      </c>
      <c r="E1816" s="5">
        <f t="shared" si="30"/>
        <v>2009</v>
      </c>
      <c r="F1816" s="3" t="s">
        <v>488</v>
      </c>
      <c r="G1816" s="6">
        <v>245.5</v>
      </c>
      <c r="H1816" s="5">
        <v>13041</v>
      </c>
    </row>
    <row r="1817" spans="2:8" ht="17.5" customHeight="1" x14ac:dyDescent="0.4">
      <c r="B1817" s="3" t="s">
        <v>7</v>
      </c>
      <c r="C1817" s="3" t="s">
        <v>487</v>
      </c>
      <c r="D1817" s="4">
        <f>DATE(2009,9,29)</f>
        <v>40085</v>
      </c>
      <c r="E1817" s="5">
        <f t="shared" si="30"/>
        <v>2009</v>
      </c>
      <c r="F1817" s="3" t="s">
        <v>488</v>
      </c>
      <c r="G1817" s="6">
        <v>2700.5</v>
      </c>
      <c r="H1817" s="5">
        <v>13041</v>
      </c>
    </row>
    <row r="1818" spans="2:8" ht="17.5" customHeight="1" x14ac:dyDescent="0.4">
      <c r="B1818" s="3" t="s">
        <v>7</v>
      </c>
      <c r="C1818" s="3" t="s">
        <v>487</v>
      </c>
      <c r="D1818" s="4">
        <f>DATE(2010,6,24)</f>
        <v>40353</v>
      </c>
      <c r="E1818" s="5">
        <f t="shared" si="30"/>
        <v>2010</v>
      </c>
      <c r="F1818" s="3" t="s">
        <v>488</v>
      </c>
      <c r="G1818" s="6">
        <v>1078</v>
      </c>
      <c r="H1818" s="5">
        <v>14211</v>
      </c>
    </row>
    <row r="1819" spans="2:8" ht="17.5" customHeight="1" x14ac:dyDescent="0.4">
      <c r="B1819" s="3" t="s">
        <v>7</v>
      </c>
      <c r="C1819" s="3" t="s">
        <v>487</v>
      </c>
      <c r="D1819" s="4">
        <f>DATE(2012,3,1)</f>
        <v>40969</v>
      </c>
      <c r="E1819" s="5">
        <f t="shared" si="30"/>
        <v>2012</v>
      </c>
      <c r="F1819" s="3" t="s">
        <v>488</v>
      </c>
      <c r="G1819" s="6">
        <v>90.24</v>
      </c>
      <c r="H1819" s="5">
        <v>16531</v>
      </c>
    </row>
    <row r="1820" spans="2:8" ht="17.5" customHeight="1" x14ac:dyDescent="0.4">
      <c r="B1820" s="3" t="s">
        <v>7</v>
      </c>
      <c r="C1820" s="3" t="s">
        <v>487</v>
      </c>
      <c r="D1820" s="4">
        <f>DATE(2013,10,10)</f>
        <v>41557</v>
      </c>
      <c r="E1820" s="5">
        <f t="shared" si="30"/>
        <v>2013</v>
      </c>
      <c r="F1820" s="3" t="s">
        <v>488</v>
      </c>
      <c r="G1820" s="6">
        <v>2455</v>
      </c>
      <c r="H1820" s="5">
        <v>19029</v>
      </c>
    </row>
    <row r="1821" spans="2:8" ht="17.5" customHeight="1" x14ac:dyDescent="0.4">
      <c r="B1821" s="3" t="s">
        <v>7</v>
      </c>
      <c r="C1821" s="3" t="s">
        <v>487</v>
      </c>
      <c r="D1821" s="4">
        <f>DATE(2013,12,2)</f>
        <v>41610</v>
      </c>
      <c r="E1821" s="5">
        <f t="shared" si="30"/>
        <v>2013</v>
      </c>
      <c r="F1821" s="3" t="s">
        <v>488</v>
      </c>
      <c r="G1821" s="6">
        <v>2455</v>
      </c>
      <c r="H1821" s="5">
        <v>19252</v>
      </c>
    </row>
    <row r="1822" spans="2:8" ht="17.5" customHeight="1" x14ac:dyDescent="0.4">
      <c r="B1822" s="3" t="s">
        <v>7</v>
      </c>
      <c r="C1822" s="3" t="s">
        <v>489</v>
      </c>
      <c r="D1822" s="4">
        <f>DATE(2006,2,27)</f>
        <v>38775</v>
      </c>
      <c r="E1822" s="5">
        <f t="shared" si="30"/>
        <v>2006</v>
      </c>
      <c r="F1822" s="3" t="s">
        <v>490</v>
      </c>
      <c r="G1822" s="6">
        <v>745.99</v>
      </c>
      <c r="H1822" s="5">
        <v>6092</v>
      </c>
    </row>
    <row r="1823" spans="2:8" ht="17.5" customHeight="1" x14ac:dyDescent="0.4">
      <c r="B1823" s="3" t="s">
        <v>7</v>
      </c>
      <c r="C1823" s="3" t="s">
        <v>491</v>
      </c>
      <c r="D1823" s="4">
        <f>DATE(2003,12,15)</f>
        <v>37970</v>
      </c>
      <c r="E1823" s="5">
        <f t="shared" si="30"/>
        <v>2003</v>
      </c>
      <c r="F1823" s="3" t="s">
        <v>492</v>
      </c>
      <c r="G1823" s="6">
        <v>792.25</v>
      </c>
      <c r="H1823" s="5">
        <v>448</v>
      </c>
    </row>
    <row r="1824" spans="2:8" ht="17.5" customHeight="1" x14ac:dyDescent="0.4">
      <c r="B1824" t="s">
        <v>7</v>
      </c>
      <c r="C1824" t="s">
        <v>493</v>
      </c>
      <c r="D1824" s="7">
        <f>DATE(2016,3,24)</f>
        <v>42453</v>
      </c>
      <c r="E1824" s="8">
        <f t="shared" si="30"/>
        <v>2016</v>
      </c>
      <c r="F1824" t="s">
        <v>494</v>
      </c>
      <c r="G1824" s="9">
        <v>39922.870000000003</v>
      </c>
      <c r="H1824" s="8">
        <v>22144</v>
      </c>
    </row>
    <row r="1825" spans="2:8" ht="17.5" customHeight="1" x14ac:dyDescent="0.4">
      <c r="B1825" t="s">
        <v>7</v>
      </c>
      <c r="C1825" t="s">
        <v>493</v>
      </c>
      <c r="D1825" s="7">
        <f>DATE(2017,6,14)</f>
        <v>42900</v>
      </c>
      <c r="E1825" s="8">
        <f t="shared" si="30"/>
        <v>2017</v>
      </c>
      <c r="F1825" t="s">
        <v>494</v>
      </c>
      <c r="G1825" s="9">
        <v>29200.51</v>
      </c>
      <c r="H1825" s="8">
        <v>23916</v>
      </c>
    </row>
    <row r="1826" spans="2:8" ht="17.5" customHeight="1" x14ac:dyDescent="0.4">
      <c r="B1826" t="s">
        <v>7</v>
      </c>
      <c r="C1826" t="s">
        <v>493</v>
      </c>
      <c r="D1826" s="7">
        <f>DATE(2016,3,24)</f>
        <v>42453</v>
      </c>
      <c r="E1826" s="8">
        <f t="shared" si="30"/>
        <v>2016</v>
      </c>
      <c r="F1826" t="s">
        <v>494</v>
      </c>
      <c r="G1826" s="9">
        <v>23718.73</v>
      </c>
      <c r="H1826" s="8">
        <v>22147</v>
      </c>
    </row>
    <row r="1827" spans="2:8" ht="17.5" customHeight="1" x14ac:dyDescent="0.4">
      <c r="B1827" t="s">
        <v>7</v>
      </c>
      <c r="C1827" t="s">
        <v>493</v>
      </c>
      <c r="D1827" s="7">
        <f>DATE(2017,5,10)</f>
        <v>42865</v>
      </c>
      <c r="E1827" s="8">
        <f t="shared" si="30"/>
        <v>2017</v>
      </c>
      <c r="F1827" t="s">
        <v>494</v>
      </c>
      <c r="G1827" s="9">
        <v>6720</v>
      </c>
      <c r="H1827" s="8">
        <v>24823</v>
      </c>
    </row>
    <row r="1828" spans="2:8" ht="17.5" customHeight="1" x14ac:dyDescent="0.4">
      <c r="B1828" t="s">
        <v>7</v>
      </c>
      <c r="C1828" t="s">
        <v>493</v>
      </c>
      <c r="D1828" s="7">
        <f>DATE(2017,5,23)</f>
        <v>42878</v>
      </c>
      <c r="E1828" s="8">
        <f t="shared" si="30"/>
        <v>2017</v>
      </c>
      <c r="F1828" t="s">
        <v>494</v>
      </c>
      <c r="G1828" s="9">
        <v>2016</v>
      </c>
      <c r="H1828" s="8">
        <v>24823</v>
      </c>
    </row>
    <row r="1829" spans="2:8" ht="17.5" customHeight="1" x14ac:dyDescent="0.4">
      <c r="B1829" t="s">
        <v>7</v>
      </c>
      <c r="C1829" t="s">
        <v>493</v>
      </c>
      <c r="D1829" s="7">
        <f>DATE(2017,5,30)</f>
        <v>42885</v>
      </c>
      <c r="E1829" s="8">
        <f t="shared" si="30"/>
        <v>2017</v>
      </c>
      <c r="F1829" t="s">
        <v>494</v>
      </c>
      <c r="G1829" s="9">
        <v>4032</v>
      </c>
      <c r="H1829" s="8">
        <v>24823</v>
      </c>
    </row>
    <row r="1830" spans="2:8" ht="17.5" customHeight="1" x14ac:dyDescent="0.4">
      <c r="B1830" t="s">
        <v>7</v>
      </c>
      <c r="C1830" t="s">
        <v>493</v>
      </c>
      <c r="D1830" s="7">
        <f>DATE(2017,6,2)</f>
        <v>42888</v>
      </c>
      <c r="E1830" s="8">
        <f t="shared" si="30"/>
        <v>2017</v>
      </c>
      <c r="F1830" t="s">
        <v>494</v>
      </c>
      <c r="G1830" s="9">
        <v>3360</v>
      </c>
      <c r="H1830" s="8">
        <v>24823</v>
      </c>
    </row>
    <row r="1831" spans="2:8" ht="17.5" customHeight="1" x14ac:dyDescent="0.4">
      <c r="B1831" t="s">
        <v>7</v>
      </c>
      <c r="C1831" t="s">
        <v>493</v>
      </c>
      <c r="D1831" s="7">
        <f>DATE(2017,6,14)</f>
        <v>42900</v>
      </c>
      <c r="E1831" s="8">
        <f t="shared" si="30"/>
        <v>2017</v>
      </c>
      <c r="F1831" t="s">
        <v>494</v>
      </c>
      <c r="G1831" s="9">
        <v>4480</v>
      </c>
      <c r="H1831" s="8">
        <v>24823</v>
      </c>
    </row>
    <row r="1832" spans="2:8" ht="17.5" customHeight="1" x14ac:dyDescent="0.4">
      <c r="B1832" t="s">
        <v>7</v>
      </c>
      <c r="C1832" t="s">
        <v>493</v>
      </c>
      <c r="D1832" s="7">
        <f>DATE(2017,6,21)</f>
        <v>42907</v>
      </c>
      <c r="E1832" s="8">
        <f t="shared" si="30"/>
        <v>2017</v>
      </c>
      <c r="F1832" t="s">
        <v>494</v>
      </c>
      <c r="G1832" s="9">
        <v>2016</v>
      </c>
      <c r="H1832" s="8">
        <v>24823</v>
      </c>
    </row>
    <row r="1833" spans="2:8" ht="17.5" customHeight="1" x14ac:dyDescent="0.4">
      <c r="B1833" t="s">
        <v>7</v>
      </c>
      <c r="C1833" t="s">
        <v>493</v>
      </c>
      <c r="D1833" s="7">
        <f>DATE(2017,6,26)</f>
        <v>42912</v>
      </c>
      <c r="E1833" s="8">
        <f t="shared" si="30"/>
        <v>2017</v>
      </c>
      <c r="F1833" t="s">
        <v>494</v>
      </c>
      <c r="G1833" s="9">
        <v>560</v>
      </c>
      <c r="H1833" s="8">
        <v>24823</v>
      </c>
    </row>
    <row r="1834" spans="2:8" ht="17.5" customHeight="1" x14ac:dyDescent="0.4">
      <c r="B1834" t="s">
        <v>7</v>
      </c>
      <c r="C1834" t="s">
        <v>493</v>
      </c>
      <c r="D1834" s="7">
        <f>DATE(2017,6,28)</f>
        <v>42914</v>
      </c>
      <c r="E1834" s="8">
        <f t="shared" si="30"/>
        <v>2017</v>
      </c>
      <c r="F1834" t="s">
        <v>494</v>
      </c>
      <c r="G1834" s="9">
        <v>1008</v>
      </c>
      <c r="H1834" s="8">
        <v>24823</v>
      </c>
    </row>
    <row r="1835" spans="2:8" ht="17.5" customHeight="1" x14ac:dyDescent="0.4">
      <c r="B1835" t="s">
        <v>7</v>
      </c>
      <c r="C1835" t="s">
        <v>493</v>
      </c>
      <c r="D1835" s="7">
        <f>DATE(2017,7,3)</f>
        <v>42919</v>
      </c>
      <c r="E1835" s="8">
        <f t="shared" si="30"/>
        <v>2017</v>
      </c>
      <c r="F1835" t="s">
        <v>494</v>
      </c>
      <c r="G1835" s="9">
        <v>2016</v>
      </c>
      <c r="H1835" s="8">
        <v>24823</v>
      </c>
    </row>
    <row r="1836" spans="2:8" ht="17.5" customHeight="1" x14ac:dyDescent="0.4">
      <c r="B1836" t="s">
        <v>7</v>
      </c>
      <c r="C1836" t="s">
        <v>493</v>
      </c>
      <c r="D1836" s="7">
        <f>DATE(2017,7,3)</f>
        <v>42919</v>
      </c>
      <c r="E1836" s="8">
        <f t="shared" si="30"/>
        <v>2017</v>
      </c>
      <c r="F1836" t="s">
        <v>494</v>
      </c>
      <c r="G1836" s="9">
        <v>896</v>
      </c>
      <c r="H1836" s="8">
        <v>24823</v>
      </c>
    </row>
    <row r="1837" spans="2:8" ht="17.5" customHeight="1" x14ac:dyDescent="0.4">
      <c r="B1837" t="s">
        <v>7</v>
      </c>
      <c r="C1837" t="s">
        <v>493</v>
      </c>
      <c r="D1837" s="7">
        <f>DATE(2017,7,6)</f>
        <v>42922</v>
      </c>
      <c r="E1837" s="8">
        <f t="shared" si="30"/>
        <v>2017</v>
      </c>
      <c r="F1837" t="s">
        <v>494</v>
      </c>
      <c r="G1837" s="9">
        <v>2016</v>
      </c>
      <c r="H1837" s="8">
        <v>24823</v>
      </c>
    </row>
    <row r="1838" spans="2:8" ht="17.5" customHeight="1" x14ac:dyDescent="0.4">
      <c r="B1838" t="s">
        <v>7</v>
      </c>
      <c r="C1838" t="s">
        <v>493</v>
      </c>
      <c r="D1838" s="7">
        <f>DATE(2017,7,6)</f>
        <v>42922</v>
      </c>
      <c r="E1838" s="8">
        <f t="shared" si="30"/>
        <v>2017</v>
      </c>
      <c r="F1838" t="s">
        <v>494</v>
      </c>
      <c r="G1838" s="9">
        <v>560</v>
      </c>
      <c r="H1838" s="8">
        <v>24823</v>
      </c>
    </row>
    <row r="1839" spans="2:8" ht="17.5" customHeight="1" x14ac:dyDescent="0.4">
      <c r="B1839" t="s">
        <v>16</v>
      </c>
      <c r="C1839" t="s">
        <v>493</v>
      </c>
      <c r="D1839" s="7">
        <f>DATE(2017,7,25)</f>
        <v>42941</v>
      </c>
      <c r="E1839" s="8">
        <f t="shared" si="30"/>
        <v>2017</v>
      </c>
      <c r="F1839" t="s">
        <v>494</v>
      </c>
      <c r="G1839" s="9">
        <v>108.59</v>
      </c>
      <c r="H1839" s="8">
        <v>25315</v>
      </c>
    </row>
    <row r="1840" spans="2:8" ht="17.5" customHeight="1" x14ac:dyDescent="0.4">
      <c r="B1840" t="s">
        <v>7</v>
      </c>
      <c r="C1840" t="s">
        <v>493</v>
      </c>
      <c r="D1840" s="7">
        <f>DATE(2010,5,20)</f>
        <v>40318</v>
      </c>
      <c r="E1840" s="8">
        <f t="shared" si="30"/>
        <v>2010</v>
      </c>
      <c r="F1840" t="s">
        <v>494</v>
      </c>
      <c r="G1840" s="9">
        <v>6481.8</v>
      </c>
      <c r="H1840" s="8">
        <v>9745</v>
      </c>
    </row>
    <row r="1841" spans="2:8" ht="17.5" customHeight="1" x14ac:dyDescent="0.4">
      <c r="B1841" t="s">
        <v>7</v>
      </c>
      <c r="C1841" t="s">
        <v>493</v>
      </c>
      <c r="D1841" s="7">
        <f>DATE(2011,5,11)</f>
        <v>40674</v>
      </c>
      <c r="E1841" s="8">
        <f t="shared" si="30"/>
        <v>2011</v>
      </c>
      <c r="F1841" t="s">
        <v>494</v>
      </c>
      <c r="G1841" s="9">
        <v>12330</v>
      </c>
      <c r="H1841" s="8">
        <v>10579</v>
      </c>
    </row>
    <row r="1842" spans="2:8" ht="17.5" customHeight="1" x14ac:dyDescent="0.4">
      <c r="B1842" t="s">
        <v>7</v>
      </c>
      <c r="C1842" t="s">
        <v>493</v>
      </c>
      <c r="D1842" s="7">
        <f>DATE(2004,5,18)</f>
        <v>38125</v>
      </c>
      <c r="E1842" s="8">
        <f t="shared" si="30"/>
        <v>2004</v>
      </c>
      <c r="F1842" t="s">
        <v>494</v>
      </c>
      <c r="G1842" s="9">
        <v>9502</v>
      </c>
      <c r="H1842" s="8">
        <v>1538</v>
      </c>
    </row>
    <row r="1843" spans="2:8" ht="17.5" customHeight="1" x14ac:dyDescent="0.4">
      <c r="B1843" t="s">
        <v>7</v>
      </c>
      <c r="C1843" t="s">
        <v>493</v>
      </c>
      <c r="D1843" s="7">
        <f>DATE(2004,5,22)</f>
        <v>38129</v>
      </c>
      <c r="E1843" s="8">
        <f t="shared" si="30"/>
        <v>2004</v>
      </c>
      <c r="F1843" t="s">
        <v>494</v>
      </c>
      <c r="G1843" s="9">
        <v>4222</v>
      </c>
      <c r="H1843" s="8">
        <v>1735</v>
      </c>
    </row>
    <row r="1844" spans="2:8" ht="17.5" customHeight="1" x14ac:dyDescent="0.4">
      <c r="B1844" t="s">
        <v>7</v>
      </c>
      <c r="C1844" t="s">
        <v>493</v>
      </c>
      <c r="D1844" s="7">
        <f>DATE(2005,5,6)</f>
        <v>38478</v>
      </c>
      <c r="E1844" s="8">
        <f t="shared" si="30"/>
        <v>2005</v>
      </c>
      <c r="F1844" t="s">
        <v>494</v>
      </c>
      <c r="G1844" s="9">
        <v>6539</v>
      </c>
      <c r="H1844" s="8">
        <v>2944</v>
      </c>
    </row>
    <row r="1845" spans="2:8" ht="17.5" customHeight="1" x14ac:dyDescent="0.4">
      <c r="B1845" t="s">
        <v>7</v>
      </c>
      <c r="C1845" t="s">
        <v>493</v>
      </c>
      <c r="D1845" s="7">
        <f>DATE(2005,5,22)</f>
        <v>38494</v>
      </c>
      <c r="E1845" s="8">
        <f t="shared" si="30"/>
        <v>2005</v>
      </c>
      <c r="F1845" t="s">
        <v>494</v>
      </c>
      <c r="G1845" s="9">
        <v>149540.41</v>
      </c>
      <c r="H1845" s="8">
        <v>2924</v>
      </c>
    </row>
    <row r="1846" spans="2:8" ht="17.5" customHeight="1" x14ac:dyDescent="0.4">
      <c r="B1846" t="s">
        <v>7</v>
      </c>
      <c r="C1846" t="s">
        <v>493</v>
      </c>
      <c r="D1846" s="7">
        <f>DATE(2005,10,28)</f>
        <v>38653</v>
      </c>
      <c r="E1846" s="8">
        <f t="shared" si="30"/>
        <v>2005</v>
      </c>
      <c r="F1846" t="s">
        <v>494</v>
      </c>
      <c r="G1846" s="9">
        <v>8284.58</v>
      </c>
      <c r="H1846" s="8">
        <v>3711</v>
      </c>
    </row>
    <row r="1847" spans="2:8" ht="17.5" customHeight="1" x14ac:dyDescent="0.4">
      <c r="B1847" t="s">
        <v>7</v>
      </c>
      <c r="C1847" t="s">
        <v>493</v>
      </c>
      <c r="D1847" s="7">
        <f>DATE(2005,12,23)</f>
        <v>38709</v>
      </c>
      <c r="E1847" s="8">
        <f t="shared" si="30"/>
        <v>2005</v>
      </c>
      <c r="F1847" t="s">
        <v>494</v>
      </c>
      <c r="G1847" s="9">
        <v>43580.09</v>
      </c>
      <c r="H1847" s="8">
        <v>3856</v>
      </c>
    </row>
    <row r="1848" spans="2:8" ht="17.5" customHeight="1" x14ac:dyDescent="0.4">
      <c r="B1848" t="s">
        <v>7</v>
      </c>
      <c r="C1848" t="s">
        <v>493</v>
      </c>
      <c r="D1848" s="7">
        <f>DATE(2007,5,18)</f>
        <v>39220</v>
      </c>
      <c r="E1848" s="8">
        <f t="shared" si="30"/>
        <v>2007</v>
      </c>
      <c r="F1848" t="s">
        <v>494</v>
      </c>
      <c r="G1848" s="9">
        <v>9409.2999999999993</v>
      </c>
      <c r="H1848" s="8">
        <v>5624</v>
      </c>
    </row>
    <row r="1849" spans="2:8" ht="17.5" customHeight="1" x14ac:dyDescent="0.4">
      <c r="B1849" t="s">
        <v>7</v>
      </c>
      <c r="C1849" t="s">
        <v>493</v>
      </c>
      <c r="D1849" s="7">
        <f>DATE(2008,5,7)</f>
        <v>39575</v>
      </c>
      <c r="E1849" s="8">
        <f t="shared" si="30"/>
        <v>2008</v>
      </c>
      <c r="F1849" t="s">
        <v>494</v>
      </c>
      <c r="G1849" s="9">
        <v>13864.72</v>
      </c>
      <c r="H1849" s="8">
        <v>6903</v>
      </c>
    </row>
    <row r="1850" spans="2:8" ht="17.5" customHeight="1" x14ac:dyDescent="0.4">
      <c r="B1850" t="s">
        <v>7</v>
      </c>
      <c r="C1850" t="s">
        <v>493</v>
      </c>
      <c r="D1850" s="7">
        <f>DATE(2009,4,29)</f>
        <v>39932</v>
      </c>
      <c r="E1850" s="8">
        <f t="shared" si="30"/>
        <v>2009</v>
      </c>
      <c r="F1850" t="s">
        <v>494</v>
      </c>
      <c r="G1850" s="9">
        <v>16793.8</v>
      </c>
      <c r="H1850" s="8">
        <v>8488</v>
      </c>
    </row>
    <row r="1851" spans="2:8" ht="17.5" customHeight="1" x14ac:dyDescent="0.4">
      <c r="B1851" t="s">
        <v>7</v>
      </c>
      <c r="C1851" t="s">
        <v>493</v>
      </c>
      <c r="D1851" s="7">
        <f>DATE(2010,5,20)</f>
        <v>40318</v>
      </c>
      <c r="E1851" s="8">
        <f t="shared" si="30"/>
        <v>2010</v>
      </c>
      <c r="F1851" t="s">
        <v>494</v>
      </c>
      <c r="G1851" s="9">
        <v>15018.84</v>
      </c>
      <c r="H1851" s="8">
        <v>9740</v>
      </c>
    </row>
    <row r="1852" spans="2:8" ht="17.5" customHeight="1" x14ac:dyDescent="0.4">
      <c r="B1852" t="s">
        <v>7</v>
      </c>
      <c r="C1852" t="s">
        <v>493</v>
      </c>
      <c r="D1852" s="7">
        <f>DATE(2011,5,11)</f>
        <v>40674</v>
      </c>
      <c r="E1852" s="8">
        <f t="shared" si="30"/>
        <v>2011</v>
      </c>
      <c r="F1852" t="s">
        <v>494</v>
      </c>
      <c r="G1852" s="9">
        <v>11271.35</v>
      </c>
      <c r="H1852" s="8">
        <v>10578</v>
      </c>
    </row>
    <row r="1853" spans="2:8" ht="17.5" customHeight="1" x14ac:dyDescent="0.4">
      <c r="B1853" t="s">
        <v>7</v>
      </c>
      <c r="C1853" t="s">
        <v>493</v>
      </c>
      <c r="D1853" s="7">
        <f>DATE(2012,4,27)</f>
        <v>41026</v>
      </c>
      <c r="E1853" s="8">
        <f t="shared" si="30"/>
        <v>2012</v>
      </c>
      <c r="F1853" t="s">
        <v>494</v>
      </c>
      <c r="G1853" s="9">
        <v>18002.900000000001</v>
      </c>
      <c r="H1853" s="8">
        <v>11512</v>
      </c>
    </row>
    <row r="1854" spans="2:8" ht="17.5" customHeight="1" x14ac:dyDescent="0.4">
      <c r="B1854" t="s">
        <v>7</v>
      </c>
      <c r="C1854" t="s">
        <v>493</v>
      </c>
      <c r="D1854" s="7">
        <f>DATE(2013,5,9)</f>
        <v>41403</v>
      </c>
      <c r="E1854" s="8">
        <f t="shared" si="30"/>
        <v>2013</v>
      </c>
      <c r="F1854" t="s">
        <v>494</v>
      </c>
      <c r="G1854" s="9">
        <v>12754.53</v>
      </c>
      <c r="H1854" s="8">
        <v>12196</v>
      </c>
    </row>
    <row r="1855" spans="2:8" ht="17.5" customHeight="1" x14ac:dyDescent="0.4">
      <c r="B1855" t="s">
        <v>7</v>
      </c>
      <c r="C1855" t="s">
        <v>493</v>
      </c>
      <c r="D1855" s="7">
        <f>DATE(2014,5,7)</f>
        <v>41766</v>
      </c>
      <c r="E1855" s="8">
        <f t="shared" si="30"/>
        <v>2014</v>
      </c>
      <c r="F1855" t="s">
        <v>494</v>
      </c>
      <c r="G1855" s="9">
        <v>13774.9</v>
      </c>
      <c r="H1855" s="8">
        <v>13078</v>
      </c>
    </row>
    <row r="1856" spans="2:8" ht="17.5" customHeight="1" x14ac:dyDescent="0.4">
      <c r="B1856" s="3" t="s">
        <v>7</v>
      </c>
      <c r="C1856" s="3" t="s">
        <v>495</v>
      </c>
      <c r="D1856" s="4">
        <f>DATE(2003,8,29)</f>
        <v>37862</v>
      </c>
      <c r="E1856" s="5">
        <f t="shared" si="30"/>
        <v>2003</v>
      </c>
      <c r="F1856" s="3" t="s">
        <v>496</v>
      </c>
      <c r="G1856" s="6">
        <v>393.12</v>
      </c>
      <c r="H1856" s="5">
        <v>304</v>
      </c>
    </row>
    <row r="1857" spans="2:8" ht="17.5" customHeight="1" x14ac:dyDescent="0.4">
      <c r="B1857" s="3" t="s">
        <v>7</v>
      </c>
      <c r="C1857" s="3" t="s">
        <v>497</v>
      </c>
      <c r="D1857" s="4">
        <f>DATE(2004,8,19)</f>
        <v>38218</v>
      </c>
      <c r="E1857" s="5">
        <f t="shared" si="30"/>
        <v>2004</v>
      </c>
      <c r="F1857" s="3" t="s">
        <v>498</v>
      </c>
      <c r="G1857" s="6">
        <v>2673.25</v>
      </c>
      <c r="H1857" s="5">
        <v>3293</v>
      </c>
    </row>
    <row r="1858" spans="2:8" ht="17.5" customHeight="1" x14ac:dyDescent="0.4">
      <c r="B1858" s="3" t="s">
        <v>7</v>
      </c>
      <c r="C1858" s="3" t="s">
        <v>497</v>
      </c>
      <c r="D1858" s="4">
        <f>DATE(2004,9,22)</f>
        <v>38252</v>
      </c>
      <c r="E1858" s="5">
        <f t="shared" si="30"/>
        <v>2004</v>
      </c>
      <c r="F1858" s="3" t="s">
        <v>498</v>
      </c>
      <c r="G1858" s="6">
        <v>1994</v>
      </c>
      <c r="H1858" s="5">
        <v>3437</v>
      </c>
    </row>
    <row r="1859" spans="2:8" ht="17.5" customHeight="1" x14ac:dyDescent="0.4">
      <c r="B1859" s="3" t="s">
        <v>7</v>
      </c>
      <c r="C1859" s="3" t="s">
        <v>497</v>
      </c>
      <c r="D1859" s="4">
        <f>DATE(2004,11,9)</f>
        <v>38300</v>
      </c>
      <c r="E1859" s="5">
        <f t="shared" ref="E1859:E1922" si="31">YEAR(D1859)</f>
        <v>2004</v>
      </c>
      <c r="F1859" s="3" t="s">
        <v>499</v>
      </c>
      <c r="G1859" s="6">
        <v>76.099999999999994</v>
      </c>
      <c r="H1859" s="5">
        <v>3689</v>
      </c>
    </row>
    <row r="1860" spans="2:8" ht="17.5" customHeight="1" x14ac:dyDescent="0.4">
      <c r="B1860" s="3" t="s">
        <v>7</v>
      </c>
      <c r="C1860" s="3" t="s">
        <v>497</v>
      </c>
      <c r="D1860" s="4">
        <f>DATE(2005,8,3)</f>
        <v>38567</v>
      </c>
      <c r="E1860" s="5">
        <f t="shared" si="31"/>
        <v>2005</v>
      </c>
      <c r="F1860" s="3" t="s">
        <v>499</v>
      </c>
      <c r="G1860" s="6">
        <v>2366.25</v>
      </c>
      <c r="H1860" s="5">
        <v>5062</v>
      </c>
    </row>
    <row r="1861" spans="2:8" ht="17.5" customHeight="1" x14ac:dyDescent="0.4">
      <c r="B1861" s="3" t="s">
        <v>7</v>
      </c>
      <c r="C1861" s="3" t="s">
        <v>497</v>
      </c>
      <c r="D1861" s="4">
        <f>DATE(2005,9,19)</f>
        <v>38614</v>
      </c>
      <c r="E1861" s="5">
        <f t="shared" si="31"/>
        <v>2005</v>
      </c>
      <c r="F1861" s="3" t="s">
        <v>499</v>
      </c>
      <c r="G1861" s="6">
        <v>3878.8</v>
      </c>
      <c r="H1861" s="5">
        <v>5290</v>
      </c>
    </row>
    <row r="1862" spans="2:8" ht="17.5" customHeight="1" x14ac:dyDescent="0.4">
      <c r="B1862" s="3" t="s">
        <v>7</v>
      </c>
      <c r="C1862" s="3" t="s">
        <v>497</v>
      </c>
      <c r="D1862" s="4">
        <f>DATE(2005,11,23)</f>
        <v>38679</v>
      </c>
      <c r="E1862" s="5">
        <f t="shared" si="31"/>
        <v>2005</v>
      </c>
      <c r="F1862" s="3" t="s">
        <v>499</v>
      </c>
      <c r="G1862" s="6">
        <v>2708.5</v>
      </c>
      <c r="H1862" s="5">
        <v>5615</v>
      </c>
    </row>
    <row r="1863" spans="2:8" ht="17.5" customHeight="1" x14ac:dyDescent="0.4">
      <c r="B1863" s="3" t="s">
        <v>7</v>
      </c>
      <c r="C1863" s="3" t="s">
        <v>497</v>
      </c>
      <c r="D1863" s="4">
        <f>DATE(2010,9,2)</f>
        <v>40423</v>
      </c>
      <c r="E1863" s="5">
        <f t="shared" si="31"/>
        <v>2010</v>
      </c>
      <c r="F1863" s="3" t="s">
        <v>499</v>
      </c>
      <c r="G1863" s="6">
        <v>3963.21</v>
      </c>
      <c r="H1863" s="5">
        <v>14446</v>
      </c>
    </row>
    <row r="1864" spans="2:8" ht="17.5" customHeight="1" x14ac:dyDescent="0.4">
      <c r="B1864" s="3" t="s">
        <v>7</v>
      </c>
      <c r="C1864" s="3" t="s">
        <v>500</v>
      </c>
      <c r="D1864" s="4">
        <f>DATE(2012,3,1)</f>
        <v>40969</v>
      </c>
      <c r="E1864" s="5">
        <f t="shared" si="31"/>
        <v>2012</v>
      </c>
      <c r="F1864" s="3" t="s">
        <v>501</v>
      </c>
      <c r="G1864" s="6">
        <v>805.5</v>
      </c>
      <c r="H1864" s="5">
        <v>16679</v>
      </c>
    </row>
    <row r="1865" spans="2:8" ht="17.5" customHeight="1" x14ac:dyDescent="0.4">
      <c r="B1865" s="3" t="s">
        <v>7</v>
      </c>
      <c r="C1865" s="3" t="s">
        <v>500</v>
      </c>
      <c r="D1865" s="4">
        <f>DATE(2012,10,8)</f>
        <v>41190</v>
      </c>
      <c r="E1865" s="5">
        <f t="shared" si="31"/>
        <v>2012</v>
      </c>
      <c r="F1865" s="3" t="s">
        <v>501</v>
      </c>
      <c r="G1865" s="6">
        <v>2112.2399999999998</v>
      </c>
      <c r="H1865" s="5">
        <v>17672</v>
      </c>
    </row>
    <row r="1866" spans="2:8" ht="17.5" customHeight="1" x14ac:dyDescent="0.4">
      <c r="B1866" t="s">
        <v>7</v>
      </c>
      <c r="C1866" t="s">
        <v>502</v>
      </c>
      <c r="D1866" s="7">
        <f>DATE(2004,12,16)</f>
        <v>38337</v>
      </c>
      <c r="E1866" s="8">
        <f t="shared" si="31"/>
        <v>2004</v>
      </c>
      <c r="F1866" t="s">
        <v>503</v>
      </c>
      <c r="G1866" s="9">
        <v>29500</v>
      </c>
      <c r="H1866" s="8">
        <v>2216</v>
      </c>
    </row>
    <row r="1867" spans="2:8" ht="17.5" customHeight="1" x14ac:dyDescent="0.4">
      <c r="B1867" s="3" t="s">
        <v>7</v>
      </c>
      <c r="C1867" s="3" t="s">
        <v>502</v>
      </c>
      <c r="D1867" s="4">
        <f>DATE(2003,5,12)</f>
        <v>37753</v>
      </c>
      <c r="E1867" s="5">
        <f t="shared" si="31"/>
        <v>2003</v>
      </c>
      <c r="F1867" s="3" t="s">
        <v>503</v>
      </c>
      <c r="G1867" s="6">
        <v>9.18</v>
      </c>
      <c r="H1867" s="5">
        <v>172</v>
      </c>
    </row>
    <row r="1868" spans="2:8" ht="17.5" customHeight="1" x14ac:dyDescent="0.4">
      <c r="B1868" s="3" t="s">
        <v>7</v>
      </c>
      <c r="C1868" s="3" t="s">
        <v>502</v>
      </c>
      <c r="D1868" s="4">
        <f>DATE(2003,5,23)</f>
        <v>37764</v>
      </c>
      <c r="E1868" s="5">
        <f t="shared" si="31"/>
        <v>2003</v>
      </c>
      <c r="F1868" s="3" t="s">
        <v>503</v>
      </c>
      <c r="G1868" s="6">
        <v>9.18</v>
      </c>
      <c r="H1868" s="5">
        <v>179</v>
      </c>
    </row>
    <row r="1869" spans="2:8" ht="17.5" customHeight="1" x14ac:dyDescent="0.4">
      <c r="B1869" s="3" t="s">
        <v>7</v>
      </c>
      <c r="C1869" s="3" t="s">
        <v>502</v>
      </c>
      <c r="D1869" s="4">
        <f>DATE(2003,9,5)</f>
        <v>37869</v>
      </c>
      <c r="E1869" s="5">
        <f t="shared" si="31"/>
        <v>2003</v>
      </c>
      <c r="F1869" s="3" t="s">
        <v>503</v>
      </c>
      <c r="G1869" s="6">
        <v>9.1</v>
      </c>
      <c r="H1869" s="5">
        <v>316</v>
      </c>
    </row>
    <row r="1870" spans="2:8" ht="17.5" customHeight="1" x14ac:dyDescent="0.4">
      <c r="B1870" s="3" t="s">
        <v>7</v>
      </c>
      <c r="C1870" s="3" t="s">
        <v>502</v>
      </c>
      <c r="D1870" s="4">
        <f>DATE(2003,11,25)</f>
        <v>37950</v>
      </c>
      <c r="E1870" s="5">
        <f t="shared" si="31"/>
        <v>2003</v>
      </c>
      <c r="F1870" s="3" t="s">
        <v>503</v>
      </c>
      <c r="G1870" s="6">
        <v>14.95</v>
      </c>
      <c r="H1870" s="5">
        <v>432</v>
      </c>
    </row>
    <row r="1871" spans="2:8" ht="17.5" customHeight="1" x14ac:dyDescent="0.4">
      <c r="B1871" s="3" t="s">
        <v>7</v>
      </c>
      <c r="C1871" s="3" t="s">
        <v>502</v>
      </c>
      <c r="D1871" s="4">
        <f>DATE(2003,12,1)</f>
        <v>37956</v>
      </c>
      <c r="E1871" s="5">
        <f t="shared" si="31"/>
        <v>2003</v>
      </c>
      <c r="F1871" s="3" t="s">
        <v>503</v>
      </c>
      <c r="G1871" s="6">
        <v>9.35</v>
      </c>
      <c r="H1871" s="5">
        <v>443</v>
      </c>
    </row>
    <row r="1872" spans="2:8" ht="17.5" customHeight="1" x14ac:dyDescent="0.4">
      <c r="B1872" s="3" t="s">
        <v>7</v>
      </c>
      <c r="C1872" s="3" t="s">
        <v>502</v>
      </c>
      <c r="D1872" s="4">
        <f>DATE(2004,6,11)</f>
        <v>38149</v>
      </c>
      <c r="E1872" s="5">
        <f t="shared" si="31"/>
        <v>2004</v>
      </c>
      <c r="F1872" s="3" t="s">
        <v>503</v>
      </c>
      <c r="G1872" s="6">
        <v>15.18</v>
      </c>
      <c r="H1872" s="5">
        <v>690</v>
      </c>
    </row>
    <row r="1873" spans="2:8" ht="17.5" customHeight="1" x14ac:dyDescent="0.4">
      <c r="B1873" s="3" t="s">
        <v>7</v>
      </c>
      <c r="C1873" s="3" t="s">
        <v>502</v>
      </c>
      <c r="D1873" s="4">
        <f>DATE(2004,12,15)</f>
        <v>38336</v>
      </c>
      <c r="E1873" s="5">
        <f t="shared" si="31"/>
        <v>2004</v>
      </c>
      <c r="F1873" s="3" t="s">
        <v>503</v>
      </c>
      <c r="G1873" s="6">
        <v>21.66</v>
      </c>
      <c r="H1873" s="5">
        <v>883</v>
      </c>
    </row>
    <row r="1874" spans="2:8" ht="17.5" customHeight="1" x14ac:dyDescent="0.4">
      <c r="B1874" s="3" t="s">
        <v>7</v>
      </c>
      <c r="C1874" s="3" t="s">
        <v>502</v>
      </c>
      <c r="D1874" s="4">
        <f>DATE(2006,1,18)</f>
        <v>38735</v>
      </c>
      <c r="E1874" s="5">
        <f t="shared" si="31"/>
        <v>2006</v>
      </c>
      <c r="F1874" s="3" t="s">
        <v>503</v>
      </c>
      <c r="G1874" s="6">
        <v>15.63</v>
      </c>
      <c r="H1874" s="5">
        <v>1410</v>
      </c>
    </row>
    <row r="1875" spans="2:8" ht="17.5" customHeight="1" x14ac:dyDescent="0.4">
      <c r="B1875" s="3" t="s">
        <v>7</v>
      </c>
      <c r="C1875" s="3" t="s">
        <v>502</v>
      </c>
      <c r="D1875" s="4">
        <f>DATE(2006,2,1)</f>
        <v>38749</v>
      </c>
      <c r="E1875" s="5">
        <f t="shared" si="31"/>
        <v>2006</v>
      </c>
      <c r="F1875" s="3" t="s">
        <v>503</v>
      </c>
      <c r="G1875" s="6">
        <v>4.95</v>
      </c>
      <c r="H1875" s="5">
        <v>1447</v>
      </c>
    </row>
    <row r="1876" spans="2:8" ht="17.5" customHeight="1" x14ac:dyDescent="0.4">
      <c r="B1876" s="3" t="s">
        <v>7</v>
      </c>
      <c r="C1876" s="3" t="s">
        <v>502</v>
      </c>
      <c r="D1876" s="4">
        <f>DATE(2006,6,26)</f>
        <v>38894</v>
      </c>
      <c r="E1876" s="5">
        <f t="shared" si="31"/>
        <v>2006</v>
      </c>
      <c r="F1876" s="3" t="s">
        <v>503</v>
      </c>
      <c r="G1876" s="6">
        <v>26.85</v>
      </c>
      <c r="H1876" s="5">
        <v>1629</v>
      </c>
    </row>
    <row r="1877" spans="2:8" ht="17.5" customHeight="1" x14ac:dyDescent="0.4">
      <c r="B1877" s="3" t="s">
        <v>7</v>
      </c>
      <c r="C1877" s="3" t="s">
        <v>502</v>
      </c>
      <c r="D1877" s="4">
        <f>DATE(2006,11,29)</f>
        <v>39050</v>
      </c>
      <c r="E1877" s="5">
        <f t="shared" si="31"/>
        <v>2006</v>
      </c>
      <c r="F1877" s="3" t="s">
        <v>503</v>
      </c>
      <c r="G1877" s="6">
        <v>4.95</v>
      </c>
      <c r="H1877" s="5">
        <v>1938</v>
      </c>
    </row>
    <row r="1878" spans="2:8" ht="17.5" customHeight="1" x14ac:dyDescent="0.4">
      <c r="B1878" s="3" t="s">
        <v>7</v>
      </c>
      <c r="C1878" s="3" t="s">
        <v>502</v>
      </c>
      <c r="D1878" s="4">
        <f>DATE(2007,6,13)</f>
        <v>39246</v>
      </c>
      <c r="E1878" s="5">
        <f t="shared" si="31"/>
        <v>2007</v>
      </c>
      <c r="F1878" s="3" t="s">
        <v>503</v>
      </c>
      <c r="G1878" s="6">
        <v>29.7</v>
      </c>
      <c r="H1878" s="5">
        <v>2301</v>
      </c>
    </row>
    <row r="1879" spans="2:8" ht="17.5" customHeight="1" x14ac:dyDescent="0.4">
      <c r="B1879" s="3" t="s">
        <v>7</v>
      </c>
      <c r="C1879" s="3" t="s">
        <v>504</v>
      </c>
      <c r="D1879" s="4">
        <f>DATE(2010,1,21)</f>
        <v>40199</v>
      </c>
      <c r="E1879" s="5">
        <f t="shared" si="31"/>
        <v>2010</v>
      </c>
      <c r="F1879" s="3" t="s">
        <v>505</v>
      </c>
      <c r="G1879" s="6">
        <v>281.75</v>
      </c>
      <c r="H1879" s="5">
        <v>13468</v>
      </c>
    </row>
    <row r="1880" spans="2:8" ht="17.5" customHeight="1" x14ac:dyDescent="0.4">
      <c r="B1880" t="s">
        <v>7</v>
      </c>
      <c r="C1880" t="s">
        <v>506</v>
      </c>
      <c r="D1880" s="7">
        <f>DATE(2003,11,5)</f>
        <v>37930</v>
      </c>
      <c r="E1880" s="8">
        <f t="shared" si="31"/>
        <v>2003</v>
      </c>
      <c r="F1880" t="s">
        <v>507</v>
      </c>
      <c r="G1880" s="9">
        <v>180</v>
      </c>
      <c r="H1880" s="8">
        <v>908</v>
      </c>
    </row>
    <row r="1881" spans="2:8" ht="17.5" customHeight="1" x14ac:dyDescent="0.4">
      <c r="B1881" t="s">
        <v>7</v>
      </c>
      <c r="C1881" t="s">
        <v>506</v>
      </c>
      <c r="D1881" s="7">
        <f>DATE(2005,4,5)</f>
        <v>38447</v>
      </c>
      <c r="E1881" s="8">
        <f t="shared" si="31"/>
        <v>2005</v>
      </c>
      <c r="F1881" t="s">
        <v>507</v>
      </c>
      <c r="G1881" s="9">
        <v>382</v>
      </c>
      <c r="H1881" s="8">
        <v>3034</v>
      </c>
    </row>
    <row r="1882" spans="2:8" ht="17.5" customHeight="1" x14ac:dyDescent="0.4">
      <c r="B1882" t="s">
        <v>7</v>
      </c>
      <c r="C1882" t="s">
        <v>508</v>
      </c>
      <c r="D1882" s="7">
        <f>DATE(2015,2,2)</f>
        <v>42037</v>
      </c>
      <c r="E1882" s="8">
        <f t="shared" si="31"/>
        <v>2015</v>
      </c>
      <c r="F1882" t="s">
        <v>509</v>
      </c>
      <c r="G1882" s="9">
        <v>34138</v>
      </c>
      <c r="H1882" s="8">
        <v>155</v>
      </c>
    </row>
    <row r="1883" spans="2:8" ht="17.5" customHeight="1" x14ac:dyDescent="0.4">
      <c r="B1883" t="s">
        <v>7</v>
      </c>
      <c r="C1883" t="s">
        <v>508</v>
      </c>
      <c r="D1883" s="7">
        <f>DATE(2015,10,30)</f>
        <v>42307</v>
      </c>
      <c r="E1883" s="8">
        <f t="shared" si="31"/>
        <v>2015</v>
      </c>
      <c r="F1883" t="s">
        <v>509</v>
      </c>
      <c r="G1883" s="9">
        <v>34695</v>
      </c>
      <c r="H1883" s="8">
        <v>20886</v>
      </c>
    </row>
    <row r="1884" spans="2:8" ht="17.5" customHeight="1" x14ac:dyDescent="0.4">
      <c r="B1884" t="s">
        <v>7</v>
      </c>
      <c r="C1884" t="s">
        <v>508</v>
      </c>
      <c r="D1884" s="7">
        <f>DATE(2016,10,11)</f>
        <v>42654</v>
      </c>
      <c r="E1884" s="8">
        <f t="shared" si="31"/>
        <v>2016</v>
      </c>
      <c r="F1884" t="s">
        <v>509</v>
      </c>
      <c r="G1884" s="9">
        <v>35655</v>
      </c>
      <c r="H1884" s="8">
        <v>23308</v>
      </c>
    </row>
    <row r="1885" spans="2:8" ht="17.5" customHeight="1" x14ac:dyDescent="0.4">
      <c r="B1885" t="s">
        <v>7</v>
      </c>
      <c r="C1885" t="s">
        <v>508</v>
      </c>
      <c r="D1885" s="7">
        <f>DATE(2015,2,2)</f>
        <v>42037</v>
      </c>
      <c r="E1885" s="8">
        <f t="shared" si="31"/>
        <v>2015</v>
      </c>
      <c r="F1885" t="s">
        <v>509</v>
      </c>
      <c r="G1885" s="9">
        <v>20812</v>
      </c>
      <c r="H1885" s="8">
        <v>157</v>
      </c>
    </row>
    <row r="1886" spans="2:8" ht="17.5" customHeight="1" x14ac:dyDescent="0.4">
      <c r="B1886" t="s">
        <v>7</v>
      </c>
      <c r="C1886" t="s">
        <v>508</v>
      </c>
      <c r="D1886" s="7">
        <f>DATE(2009,3,4)</f>
        <v>39876</v>
      </c>
      <c r="E1886" s="8">
        <f t="shared" si="31"/>
        <v>2009</v>
      </c>
      <c r="F1886" t="s">
        <v>509</v>
      </c>
      <c r="G1886" s="9">
        <v>25697.63</v>
      </c>
      <c r="H1886" s="8">
        <v>8248</v>
      </c>
    </row>
    <row r="1887" spans="2:8" ht="17.5" customHeight="1" x14ac:dyDescent="0.4">
      <c r="B1887" t="s">
        <v>7</v>
      </c>
      <c r="C1887" t="s">
        <v>508</v>
      </c>
      <c r="D1887" s="7">
        <f>DATE(2010,10,7)</f>
        <v>40458</v>
      </c>
      <c r="E1887" s="8">
        <f t="shared" si="31"/>
        <v>2010</v>
      </c>
      <c r="F1887" t="s">
        <v>509</v>
      </c>
      <c r="G1887" s="9">
        <v>34574</v>
      </c>
      <c r="H1887" s="8">
        <v>10123</v>
      </c>
    </row>
    <row r="1888" spans="2:8" ht="17.5" customHeight="1" x14ac:dyDescent="0.4">
      <c r="B1888" t="s">
        <v>7</v>
      </c>
      <c r="C1888" t="s">
        <v>508</v>
      </c>
      <c r="D1888" s="7">
        <f>DATE(2011,11,10)</f>
        <v>40857</v>
      </c>
      <c r="E1888" s="8">
        <f t="shared" si="31"/>
        <v>2011</v>
      </c>
      <c r="F1888" t="s">
        <v>509</v>
      </c>
      <c r="G1888" s="9">
        <v>44530</v>
      </c>
      <c r="H1888" s="8">
        <v>10984</v>
      </c>
    </row>
    <row r="1889" spans="2:8" ht="17.5" customHeight="1" x14ac:dyDescent="0.4">
      <c r="B1889" t="s">
        <v>7</v>
      </c>
      <c r="C1889" t="s">
        <v>508</v>
      </c>
      <c r="D1889" s="7">
        <f>DATE(2011,11,10)</f>
        <v>40857</v>
      </c>
      <c r="E1889" s="8">
        <f t="shared" si="31"/>
        <v>2011</v>
      </c>
      <c r="F1889" t="s">
        <v>509</v>
      </c>
      <c r="G1889" s="9">
        <v>2997</v>
      </c>
      <c r="H1889" s="8">
        <v>10922</v>
      </c>
    </row>
    <row r="1890" spans="2:8" ht="17.5" customHeight="1" x14ac:dyDescent="0.4">
      <c r="B1890" t="s">
        <v>7</v>
      </c>
      <c r="C1890" t="s">
        <v>508</v>
      </c>
      <c r="D1890" s="7">
        <f>DATE(2014,11,12)</f>
        <v>41955</v>
      </c>
      <c r="E1890" s="8">
        <f t="shared" si="31"/>
        <v>2014</v>
      </c>
      <c r="F1890" t="s">
        <v>509</v>
      </c>
      <c r="G1890" s="9">
        <v>34695</v>
      </c>
      <c r="H1890" s="8">
        <v>13471</v>
      </c>
    </row>
    <row r="1891" spans="2:8" ht="17.5" customHeight="1" x14ac:dyDescent="0.4">
      <c r="B1891" s="3" t="s">
        <v>7</v>
      </c>
      <c r="C1891" s="3" t="s">
        <v>508</v>
      </c>
      <c r="D1891" s="4">
        <f>DATE(2003,1,13)</f>
        <v>37634</v>
      </c>
      <c r="E1891" s="5">
        <f t="shared" si="31"/>
        <v>2003</v>
      </c>
      <c r="F1891" s="3" t="s">
        <v>509</v>
      </c>
      <c r="G1891" s="6">
        <v>12495.79</v>
      </c>
      <c r="H1891" s="5">
        <v>7</v>
      </c>
    </row>
    <row r="1892" spans="2:8" ht="17.5" customHeight="1" x14ac:dyDescent="0.4">
      <c r="B1892" s="3" t="s">
        <v>7</v>
      </c>
      <c r="C1892" s="3" t="s">
        <v>508</v>
      </c>
      <c r="D1892" s="4">
        <f>DATE(2003,2,18)</f>
        <v>37670</v>
      </c>
      <c r="E1892" s="5">
        <f t="shared" si="31"/>
        <v>2003</v>
      </c>
      <c r="F1892" s="3" t="s">
        <v>509</v>
      </c>
      <c r="G1892" s="6">
        <v>11000</v>
      </c>
      <c r="H1892" s="5">
        <v>436</v>
      </c>
    </row>
    <row r="1893" spans="2:8" ht="17.5" customHeight="1" x14ac:dyDescent="0.4">
      <c r="B1893" s="3" t="s">
        <v>7</v>
      </c>
      <c r="C1893" s="3" t="s">
        <v>508</v>
      </c>
      <c r="D1893" s="4">
        <f>DATE(2004,3,19)</f>
        <v>38065</v>
      </c>
      <c r="E1893" s="5">
        <f t="shared" si="31"/>
        <v>2004</v>
      </c>
      <c r="F1893" s="3" t="s">
        <v>509</v>
      </c>
      <c r="G1893" s="6">
        <v>10500</v>
      </c>
      <c r="H1893" s="5">
        <v>2346</v>
      </c>
    </row>
    <row r="1894" spans="2:8" ht="17.5" customHeight="1" x14ac:dyDescent="0.4">
      <c r="B1894" s="3" t="s">
        <v>7</v>
      </c>
      <c r="C1894" s="3" t="s">
        <v>508</v>
      </c>
      <c r="D1894" s="4">
        <f>DATE(2004,3,19)</f>
        <v>38065</v>
      </c>
      <c r="E1894" s="5">
        <f t="shared" si="31"/>
        <v>2004</v>
      </c>
      <c r="F1894" s="3" t="s">
        <v>509</v>
      </c>
      <c r="G1894" s="6">
        <v>433.71</v>
      </c>
      <c r="H1894" s="5">
        <v>2594</v>
      </c>
    </row>
    <row r="1895" spans="2:8" ht="17.5" customHeight="1" x14ac:dyDescent="0.4">
      <c r="B1895" s="3" t="s">
        <v>16</v>
      </c>
      <c r="C1895" s="3" t="s">
        <v>508</v>
      </c>
      <c r="D1895" s="4">
        <f>DATE(2003,2,18)</f>
        <v>37670</v>
      </c>
      <c r="E1895" s="5">
        <f t="shared" si="31"/>
        <v>2003</v>
      </c>
      <c r="F1895" s="3" t="s">
        <v>509</v>
      </c>
      <c r="G1895" s="6">
        <v>12100</v>
      </c>
      <c r="H1895" s="5">
        <v>435</v>
      </c>
    </row>
    <row r="1896" spans="2:8" ht="17.5" customHeight="1" x14ac:dyDescent="0.4">
      <c r="B1896" t="s">
        <v>7</v>
      </c>
      <c r="C1896" t="s">
        <v>510</v>
      </c>
      <c r="D1896" s="7">
        <f>DATE(2017,6,29)</f>
        <v>42915</v>
      </c>
      <c r="E1896" s="8">
        <f t="shared" si="31"/>
        <v>2017</v>
      </c>
      <c r="F1896" t="s">
        <v>511</v>
      </c>
      <c r="G1896" s="9">
        <v>42728.89</v>
      </c>
      <c r="H1896" s="8">
        <v>25085</v>
      </c>
    </row>
    <row r="1897" spans="2:8" ht="17.5" customHeight="1" x14ac:dyDescent="0.4">
      <c r="B1897" t="s">
        <v>7</v>
      </c>
      <c r="C1897" t="s">
        <v>510</v>
      </c>
      <c r="D1897" s="7">
        <f>DATE(2015,8,12)</f>
        <v>42228</v>
      </c>
      <c r="E1897" s="8">
        <f t="shared" si="31"/>
        <v>2015</v>
      </c>
      <c r="F1897" t="s">
        <v>511</v>
      </c>
      <c r="G1897" s="9">
        <v>5190.38</v>
      </c>
      <c r="H1897" s="8">
        <v>21051</v>
      </c>
    </row>
    <row r="1898" spans="2:8" ht="17.5" customHeight="1" x14ac:dyDescent="0.4">
      <c r="B1898" t="s">
        <v>7</v>
      </c>
      <c r="C1898" t="s">
        <v>510</v>
      </c>
      <c r="D1898" s="7">
        <f>DATE(2015,8,12)</f>
        <v>42228</v>
      </c>
      <c r="E1898" s="8">
        <f t="shared" si="31"/>
        <v>2015</v>
      </c>
      <c r="F1898" t="s">
        <v>511</v>
      </c>
      <c r="G1898" s="9">
        <v>8271.14</v>
      </c>
      <c r="H1898" s="8">
        <v>21063</v>
      </c>
    </row>
    <row r="1899" spans="2:8" ht="17.5" customHeight="1" x14ac:dyDescent="0.4">
      <c r="B1899" t="s">
        <v>7</v>
      </c>
      <c r="C1899" t="s">
        <v>510</v>
      </c>
      <c r="D1899" s="7">
        <f>DATE(2015,8,27)</f>
        <v>42243</v>
      </c>
      <c r="E1899" s="8">
        <f t="shared" si="31"/>
        <v>2015</v>
      </c>
      <c r="F1899" t="s">
        <v>511</v>
      </c>
      <c r="G1899" s="9">
        <v>5157.3900000000003</v>
      </c>
      <c r="H1899" s="8">
        <v>21121</v>
      </c>
    </row>
    <row r="1900" spans="2:8" ht="17.5" customHeight="1" x14ac:dyDescent="0.4">
      <c r="B1900" t="s">
        <v>7</v>
      </c>
      <c r="C1900" t="s">
        <v>510</v>
      </c>
      <c r="D1900" s="7">
        <f>DATE(2015,9,9)</f>
        <v>42256</v>
      </c>
      <c r="E1900" s="8">
        <f t="shared" si="31"/>
        <v>2015</v>
      </c>
      <c r="F1900" t="s">
        <v>511</v>
      </c>
      <c r="G1900" s="9">
        <v>6205.11</v>
      </c>
      <c r="H1900" s="8">
        <v>21172</v>
      </c>
    </row>
    <row r="1901" spans="2:8" ht="17.5" customHeight="1" x14ac:dyDescent="0.4">
      <c r="B1901" t="s">
        <v>7</v>
      </c>
      <c r="C1901" t="s">
        <v>510</v>
      </c>
      <c r="D1901" s="7">
        <f>DATE(2015,9,18)</f>
        <v>42265</v>
      </c>
      <c r="E1901" s="8">
        <f t="shared" si="31"/>
        <v>2015</v>
      </c>
      <c r="F1901" t="s">
        <v>511</v>
      </c>
      <c r="G1901" s="9">
        <v>7664.2</v>
      </c>
      <c r="H1901" s="8">
        <v>21199</v>
      </c>
    </row>
    <row r="1902" spans="2:8" ht="17.5" customHeight="1" x14ac:dyDescent="0.4">
      <c r="B1902" t="s">
        <v>7</v>
      </c>
      <c r="C1902" t="s">
        <v>510</v>
      </c>
      <c r="D1902" s="7">
        <f>DATE(2015,9,24)</f>
        <v>42271</v>
      </c>
      <c r="E1902" s="8">
        <f t="shared" si="31"/>
        <v>2015</v>
      </c>
      <c r="F1902" t="s">
        <v>511</v>
      </c>
      <c r="G1902" s="9">
        <v>10171.93</v>
      </c>
      <c r="H1902" s="8">
        <v>21258</v>
      </c>
    </row>
    <row r="1903" spans="2:8" ht="17.5" customHeight="1" x14ac:dyDescent="0.4">
      <c r="B1903" t="s">
        <v>7</v>
      </c>
      <c r="C1903" t="s">
        <v>510</v>
      </c>
      <c r="D1903" s="7">
        <f>DATE(2016,2,10)</f>
        <v>42410</v>
      </c>
      <c r="E1903" s="8">
        <f t="shared" si="31"/>
        <v>2016</v>
      </c>
      <c r="F1903" t="s">
        <v>511</v>
      </c>
      <c r="G1903" s="9">
        <v>1130.9000000000001</v>
      </c>
      <c r="H1903" s="8">
        <v>22150</v>
      </c>
    </row>
    <row r="1904" spans="2:8" ht="17.5" customHeight="1" x14ac:dyDescent="0.4">
      <c r="B1904" t="s">
        <v>7</v>
      </c>
      <c r="C1904" t="s">
        <v>510</v>
      </c>
      <c r="D1904" s="7">
        <f>DATE(2016,2,25)</f>
        <v>42425</v>
      </c>
      <c r="E1904" s="8">
        <f t="shared" si="31"/>
        <v>2016</v>
      </c>
      <c r="F1904" t="s">
        <v>511</v>
      </c>
      <c r="G1904" s="9">
        <v>3860</v>
      </c>
      <c r="H1904" s="8">
        <v>22065</v>
      </c>
    </row>
    <row r="1905" spans="2:8" ht="17.5" customHeight="1" x14ac:dyDescent="0.4">
      <c r="B1905" t="s">
        <v>7</v>
      </c>
      <c r="C1905" t="s">
        <v>510</v>
      </c>
      <c r="D1905" s="7">
        <f>DATE(2007,8,21)</f>
        <v>39315</v>
      </c>
      <c r="E1905" s="8">
        <f t="shared" si="31"/>
        <v>2007</v>
      </c>
      <c r="F1905" t="s">
        <v>511</v>
      </c>
      <c r="G1905" s="9">
        <v>18986.93</v>
      </c>
      <c r="H1905" s="8">
        <v>6280</v>
      </c>
    </row>
    <row r="1906" spans="2:8" ht="17.5" customHeight="1" x14ac:dyDescent="0.4">
      <c r="B1906" t="s">
        <v>7</v>
      </c>
      <c r="C1906" t="s">
        <v>510</v>
      </c>
      <c r="D1906" s="7">
        <f>DATE(2007,8,21)</f>
        <v>39315</v>
      </c>
      <c r="E1906" s="8">
        <f t="shared" si="31"/>
        <v>2007</v>
      </c>
      <c r="F1906" t="s">
        <v>511</v>
      </c>
      <c r="G1906" s="9">
        <v>15989.43</v>
      </c>
      <c r="H1906" s="8">
        <v>6286</v>
      </c>
    </row>
    <row r="1907" spans="2:8" ht="17.5" customHeight="1" x14ac:dyDescent="0.4">
      <c r="B1907" t="s">
        <v>7</v>
      </c>
      <c r="C1907" t="s">
        <v>512</v>
      </c>
      <c r="D1907" s="7">
        <f>DATE(2017,9,22)</f>
        <v>43000</v>
      </c>
      <c r="E1907" s="8">
        <f t="shared" si="31"/>
        <v>2017</v>
      </c>
      <c r="F1907" t="s">
        <v>513</v>
      </c>
      <c r="G1907" s="9">
        <v>20431.5</v>
      </c>
      <c r="H1907" s="8">
        <v>25575</v>
      </c>
    </row>
    <row r="1908" spans="2:8" ht="17.5" customHeight="1" x14ac:dyDescent="0.4">
      <c r="B1908" t="s">
        <v>7</v>
      </c>
      <c r="C1908" t="s">
        <v>514</v>
      </c>
      <c r="D1908" s="7">
        <f>DATE(2019,5,3)</f>
        <v>43588</v>
      </c>
      <c r="E1908" s="8">
        <f t="shared" si="31"/>
        <v>2019</v>
      </c>
      <c r="F1908" t="s">
        <v>515</v>
      </c>
      <c r="G1908" s="9">
        <v>128791.24</v>
      </c>
      <c r="H1908" s="8">
        <v>27651</v>
      </c>
    </row>
    <row r="1909" spans="2:8" ht="17.5" customHeight="1" x14ac:dyDescent="0.4">
      <c r="B1909" t="s">
        <v>7</v>
      </c>
      <c r="C1909" t="s">
        <v>514</v>
      </c>
      <c r="D1909" s="7">
        <f>DATE(2019,5,14)</f>
        <v>43599</v>
      </c>
      <c r="E1909" s="8">
        <f t="shared" si="31"/>
        <v>2019</v>
      </c>
      <c r="F1909" t="s">
        <v>515</v>
      </c>
      <c r="G1909" s="9">
        <v>116760.89</v>
      </c>
      <c r="H1909" s="8">
        <v>27990</v>
      </c>
    </row>
    <row r="1910" spans="2:8" ht="17.5" customHeight="1" x14ac:dyDescent="0.4">
      <c r="B1910" t="s">
        <v>16</v>
      </c>
      <c r="C1910" t="s">
        <v>514</v>
      </c>
      <c r="D1910" s="7">
        <f>DATE(2017,10,1)</f>
        <v>43009</v>
      </c>
      <c r="E1910" s="8">
        <f t="shared" si="31"/>
        <v>2017</v>
      </c>
      <c r="F1910" t="s">
        <v>515</v>
      </c>
      <c r="G1910" s="9">
        <v>2003.96</v>
      </c>
      <c r="H1910" s="8">
        <v>25735</v>
      </c>
    </row>
    <row r="1911" spans="2:8" ht="17.5" customHeight="1" x14ac:dyDescent="0.4">
      <c r="B1911" s="3" t="s">
        <v>7</v>
      </c>
      <c r="C1911" s="3" t="s">
        <v>516</v>
      </c>
      <c r="D1911" s="4">
        <f>DATE(2004,4,29)</f>
        <v>38106</v>
      </c>
      <c r="E1911" s="5">
        <f t="shared" si="31"/>
        <v>2004</v>
      </c>
      <c r="F1911" s="3" t="s">
        <v>517</v>
      </c>
      <c r="G1911" s="6">
        <v>242.8</v>
      </c>
      <c r="H1911" s="5">
        <v>2767</v>
      </c>
    </row>
    <row r="1912" spans="2:8" ht="17.5" customHeight="1" x14ac:dyDescent="0.4">
      <c r="B1912" t="s">
        <v>7</v>
      </c>
      <c r="C1912" t="s">
        <v>518</v>
      </c>
      <c r="D1912" s="7">
        <f>DATE(2009,9,22)</f>
        <v>40078</v>
      </c>
      <c r="E1912" s="8">
        <f t="shared" si="31"/>
        <v>2009</v>
      </c>
      <c r="F1912" t="s">
        <v>519</v>
      </c>
      <c r="G1912" s="9">
        <v>10535.32</v>
      </c>
      <c r="H1912" s="8">
        <v>9082</v>
      </c>
    </row>
    <row r="1913" spans="2:8" ht="17.5" customHeight="1" x14ac:dyDescent="0.4">
      <c r="B1913" t="s">
        <v>7</v>
      </c>
      <c r="C1913" t="s">
        <v>518</v>
      </c>
      <c r="D1913" s="7">
        <f>DATE(2013,2,11)</f>
        <v>41316</v>
      </c>
      <c r="E1913" s="8">
        <f t="shared" si="31"/>
        <v>2013</v>
      </c>
      <c r="F1913" t="s">
        <v>519</v>
      </c>
      <c r="G1913" s="9">
        <v>28626.05</v>
      </c>
      <c r="H1913" s="8">
        <v>11973</v>
      </c>
    </row>
    <row r="1914" spans="2:8" ht="17.5" customHeight="1" x14ac:dyDescent="0.4">
      <c r="B1914" t="s">
        <v>7</v>
      </c>
      <c r="C1914" t="s">
        <v>518</v>
      </c>
      <c r="D1914" s="7">
        <f>DATE(2011,9,15)</f>
        <v>40801</v>
      </c>
      <c r="E1914" s="8">
        <f t="shared" si="31"/>
        <v>2011</v>
      </c>
      <c r="F1914" t="s">
        <v>519</v>
      </c>
      <c r="G1914" s="9">
        <v>9265.23</v>
      </c>
      <c r="H1914" s="8">
        <v>11012</v>
      </c>
    </row>
    <row r="1915" spans="2:8" ht="17.5" customHeight="1" x14ac:dyDescent="0.4">
      <c r="B1915" s="3" t="s">
        <v>7</v>
      </c>
      <c r="C1915" s="3" t="s">
        <v>518</v>
      </c>
      <c r="D1915" s="4">
        <f>DATE(2010,2,26)</f>
        <v>40235</v>
      </c>
      <c r="E1915" s="5">
        <f t="shared" si="31"/>
        <v>2010</v>
      </c>
      <c r="F1915" s="3" t="s">
        <v>519</v>
      </c>
      <c r="G1915" s="6">
        <v>12612.62</v>
      </c>
      <c r="H1915" s="5">
        <v>3788</v>
      </c>
    </row>
    <row r="1916" spans="2:8" ht="17.5" customHeight="1" x14ac:dyDescent="0.4">
      <c r="B1916" s="3" t="s">
        <v>7</v>
      </c>
      <c r="C1916" s="3" t="s">
        <v>518</v>
      </c>
      <c r="D1916" s="4">
        <f>DATE(2010,12,16)</f>
        <v>40528</v>
      </c>
      <c r="E1916" s="5">
        <f t="shared" si="31"/>
        <v>2010</v>
      </c>
      <c r="F1916" s="3" t="s">
        <v>519</v>
      </c>
      <c r="G1916" s="6">
        <v>3615.59</v>
      </c>
      <c r="H1916" s="5">
        <v>4232</v>
      </c>
    </row>
    <row r="1917" spans="2:8" ht="17.5" customHeight="1" x14ac:dyDescent="0.4">
      <c r="B1917" s="3" t="s">
        <v>7</v>
      </c>
      <c r="C1917" s="3" t="s">
        <v>518</v>
      </c>
      <c r="D1917" s="4">
        <f>DATE(2011,1,10)</f>
        <v>40553</v>
      </c>
      <c r="E1917" s="5">
        <f t="shared" si="31"/>
        <v>2011</v>
      </c>
      <c r="F1917" s="3" t="s">
        <v>519</v>
      </c>
      <c r="G1917" s="6">
        <v>2471</v>
      </c>
      <c r="H1917" s="5">
        <v>4260</v>
      </c>
    </row>
    <row r="1918" spans="2:8" ht="17.5" customHeight="1" x14ac:dyDescent="0.4">
      <c r="B1918" s="3" t="s">
        <v>7</v>
      </c>
      <c r="C1918" s="3" t="s">
        <v>518</v>
      </c>
      <c r="D1918" s="4">
        <f>DATE(2011,5,10)</f>
        <v>40673</v>
      </c>
      <c r="E1918" s="5">
        <f t="shared" si="31"/>
        <v>2011</v>
      </c>
      <c r="F1918" s="3" t="s">
        <v>519</v>
      </c>
      <c r="G1918" s="6">
        <v>11068.27</v>
      </c>
      <c r="H1918" s="5">
        <v>4412</v>
      </c>
    </row>
    <row r="1919" spans="2:8" ht="17.5" customHeight="1" x14ac:dyDescent="0.4">
      <c r="B1919" t="s">
        <v>7</v>
      </c>
      <c r="C1919" t="s">
        <v>520</v>
      </c>
      <c r="D1919" s="7">
        <f>DATE(2009,7,23)</f>
        <v>40017</v>
      </c>
      <c r="E1919" s="8">
        <f t="shared" si="31"/>
        <v>2009</v>
      </c>
      <c r="F1919" t="s">
        <v>521</v>
      </c>
      <c r="G1919" s="9">
        <v>11308.01</v>
      </c>
      <c r="H1919" s="8">
        <v>8743</v>
      </c>
    </row>
    <row r="1920" spans="2:8" ht="17.5" customHeight="1" x14ac:dyDescent="0.4">
      <c r="B1920" s="3" t="s">
        <v>7</v>
      </c>
      <c r="C1920" s="3" t="s">
        <v>520</v>
      </c>
      <c r="D1920" s="4">
        <f>DATE(2009,8,12)</f>
        <v>40037</v>
      </c>
      <c r="E1920" s="5">
        <f t="shared" si="31"/>
        <v>2009</v>
      </c>
      <c r="F1920" s="3" t="s">
        <v>521</v>
      </c>
      <c r="G1920" s="6">
        <v>170346.17</v>
      </c>
      <c r="H1920" s="5">
        <v>3344</v>
      </c>
    </row>
    <row r="1921" spans="2:8" ht="17.5" customHeight="1" x14ac:dyDescent="0.4">
      <c r="B1921" s="3" t="s">
        <v>7</v>
      </c>
      <c r="C1921" s="3" t="s">
        <v>314</v>
      </c>
      <c r="D1921" s="4">
        <f>DATE(2006,11,1)</f>
        <v>39022</v>
      </c>
      <c r="E1921" s="5">
        <f t="shared" si="31"/>
        <v>2006</v>
      </c>
      <c r="F1921" s="3" t="s">
        <v>522</v>
      </c>
      <c r="G1921" s="6">
        <v>4241.66</v>
      </c>
      <c r="H1921" s="5">
        <v>1914</v>
      </c>
    </row>
    <row r="1922" spans="2:8" ht="17.5" customHeight="1" x14ac:dyDescent="0.4">
      <c r="B1922" s="3" t="s">
        <v>7</v>
      </c>
      <c r="C1922" s="3" t="s">
        <v>314</v>
      </c>
      <c r="D1922" s="4">
        <f>DATE(2006,11,3)</f>
        <v>39024</v>
      </c>
      <c r="E1922" s="5">
        <f t="shared" si="31"/>
        <v>2006</v>
      </c>
      <c r="F1922" s="3" t="s">
        <v>522</v>
      </c>
      <c r="G1922" s="6">
        <v>5165</v>
      </c>
      <c r="H1922" s="5">
        <v>1859</v>
      </c>
    </row>
    <row r="1923" spans="2:8" ht="17.5" customHeight="1" x14ac:dyDescent="0.4">
      <c r="B1923" t="s">
        <v>7</v>
      </c>
      <c r="C1923" t="s">
        <v>523</v>
      </c>
      <c r="D1923" s="7">
        <f>DATE(2015,1,23)</f>
        <v>42027</v>
      </c>
      <c r="E1923" s="8">
        <f t="shared" ref="E1923:E1986" si="32">YEAR(D1923)</f>
        <v>2015</v>
      </c>
      <c r="F1923" t="s">
        <v>524</v>
      </c>
      <c r="G1923" s="9">
        <v>30064.49</v>
      </c>
      <c r="H1923" s="8">
        <v>4</v>
      </c>
    </row>
    <row r="1924" spans="2:8" ht="17.5" customHeight="1" x14ac:dyDescent="0.4">
      <c r="B1924" t="s">
        <v>7</v>
      </c>
      <c r="C1924" t="s">
        <v>523</v>
      </c>
      <c r="D1924" s="7">
        <f>DATE(2016,3,4)</f>
        <v>42433</v>
      </c>
      <c r="E1924" s="8">
        <f t="shared" si="32"/>
        <v>2016</v>
      </c>
      <c r="F1924" t="s">
        <v>524</v>
      </c>
      <c r="G1924" s="9">
        <v>34294.57</v>
      </c>
      <c r="H1924" s="8">
        <v>22152</v>
      </c>
    </row>
    <row r="1925" spans="2:8" ht="17.5" customHeight="1" x14ac:dyDescent="0.4">
      <c r="B1925" t="s">
        <v>7</v>
      </c>
      <c r="C1925" t="s">
        <v>523</v>
      </c>
      <c r="D1925" s="7">
        <f>DATE(2018,1,18)</f>
        <v>43118</v>
      </c>
      <c r="E1925" s="8">
        <f t="shared" si="32"/>
        <v>2018</v>
      </c>
      <c r="F1925" t="s">
        <v>524</v>
      </c>
      <c r="G1925" s="9">
        <v>21939.25</v>
      </c>
      <c r="H1925" s="8">
        <v>26158</v>
      </c>
    </row>
    <row r="1926" spans="2:8" ht="17.5" customHeight="1" x14ac:dyDescent="0.4">
      <c r="B1926" t="s">
        <v>7</v>
      </c>
      <c r="C1926" t="s">
        <v>523</v>
      </c>
      <c r="D1926" s="7">
        <f>DATE(2018,6,8)</f>
        <v>43259</v>
      </c>
      <c r="E1926" s="8">
        <f t="shared" si="32"/>
        <v>2018</v>
      </c>
      <c r="F1926" t="s">
        <v>524</v>
      </c>
      <c r="G1926" s="9">
        <v>21256.21</v>
      </c>
      <c r="H1926" s="8">
        <v>26960</v>
      </c>
    </row>
    <row r="1927" spans="2:8" ht="17.5" customHeight="1" x14ac:dyDescent="0.4">
      <c r="B1927" t="s">
        <v>7</v>
      </c>
      <c r="C1927" t="s">
        <v>523</v>
      </c>
      <c r="D1927" s="7">
        <f>DATE(2015,7,10)</f>
        <v>42195</v>
      </c>
      <c r="E1927" s="8">
        <f t="shared" si="32"/>
        <v>2015</v>
      </c>
      <c r="F1927" t="s">
        <v>524</v>
      </c>
      <c r="G1927" s="9">
        <v>1845</v>
      </c>
      <c r="H1927" s="8">
        <v>20387</v>
      </c>
    </row>
    <row r="1928" spans="2:8" ht="17.5" customHeight="1" x14ac:dyDescent="0.4">
      <c r="B1928" t="s">
        <v>7</v>
      </c>
      <c r="C1928" t="s">
        <v>523</v>
      </c>
      <c r="D1928" s="7">
        <f>DATE(2015,7,10)</f>
        <v>42195</v>
      </c>
      <c r="E1928" s="8">
        <f t="shared" si="32"/>
        <v>2015</v>
      </c>
      <c r="F1928" t="s">
        <v>524</v>
      </c>
      <c r="G1928" s="9">
        <v>1900</v>
      </c>
      <c r="H1928" s="8">
        <v>20386</v>
      </c>
    </row>
    <row r="1929" spans="2:8" ht="17.5" customHeight="1" x14ac:dyDescent="0.4">
      <c r="B1929" t="s">
        <v>7</v>
      </c>
      <c r="C1929" t="s">
        <v>523</v>
      </c>
      <c r="D1929" s="7">
        <f>DATE(2015,10,6)</f>
        <v>42283</v>
      </c>
      <c r="E1929" s="8">
        <f t="shared" si="32"/>
        <v>2015</v>
      </c>
      <c r="F1929" t="s">
        <v>524</v>
      </c>
      <c r="G1929" s="9">
        <v>1535</v>
      </c>
      <c r="H1929" s="8">
        <v>21288</v>
      </c>
    </row>
    <row r="1930" spans="2:8" ht="17.5" customHeight="1" x14ac:dyDescent="0.4">
      <c r="B1930" t="s">
        <v>7</v>
      </c>
      <c r="C1930" t="s">
        <v>523</v>
      </c>
      <c r="D1930" s="7">
        <f>DATE(2015,11,27)</f>
        <v>42335</v>
      </c>
      <c r="E1930" s="8">
        <f t="shared" si="32"/>
        <v>2015</v>
      </c>
      <c r="F1930" t="s">
        <v>524</v>
      </c>
      <c r="G1930" s="9">
        <v>3690</v>
      </c>
      <c r="H1930" s="8">
        <v>21386</v>
      </c>
    </row>
    <row r="1931" spans="2:8" ht="17.5" customHeight="1" x14ac:dyDescent="0.4">
      <c r="B1931" t="s">
        <v>7</v>
      </c>
      <c r="C1931" t="s">
        <v>523</v>
      </c>
      <c r="D1931" s="7">
        <f>DATE(2015,12,1)</f>
        <v>42339</v>
      </c>
      <c r="E1931" s="8">
        <f t="shared" si="32"/>
        <v>2015</v>
      </c>
      <c r="F1931" t="s">
        <v>524</v>
      </c>
      <c r="G1931" s="9">
        <v>1975.31</v>
      </c>
      <c r="H1931" s="8">
        <v>20880</v>
      </c>
    </row>
    <row r="1932" spans="2:8" ht="17.5" customHeight="1" x14ac:dyDescent="0.4">
      <c r="B1932" t="s">
        <v>7</v>
      </c>
      <c r="C1932" t="s">
        <v>523</v>
      </c>
      <c r="D1932" s="7">
        <f>DATE(2016,9,16)</f>
        <v>42629</v>
      </c>
      <c r="E1932" s="8">
        <f t="shared" si="32"/>
        <v>2016</v>
      </c>
      <c r="F1932" t="s">
        <v>524</v>
      </c>
      <c r="G1932" s="9">
        <v>1916</v>
      </c>
      <c r="H1932" s="8">
        <v>23475</v>
      </c>
    </row>
    <row r="1933" spans="2:8" ht="17.5" customHeight="1" x14ac:dyDescent="0.4">
      <c r="B1933" t="s">
        <v>7</v>
      </c>
      <c r="C1933" t="s">
        <v>523</v>
      </c>
      <c r="D1933" s="7">
        <f>DATE(2016,10,26)</f>
        <v>42669</v>
      </c>
      <c r="E1933" s="8">
        <f t="shared" si="32"/>
        <v>2016</v>
      </c>
      <c r="F1933" t="s">
        <v>524</v>
      </c>
      <c r="G1933" s="9">
        <v>4517.59</v>
      </c>
      <c r="H1933" s="8">
        <v>23138</v>
      </c>
    </row>
    <row r="1934" spans="2:8" ht="17.5" customHeight="1" x14ac:dyDescent="0.4">
      <c r="B1934" t="s">
        <v>7</v>
      </c>
      <c r="C1934" t="s">
        <v>523</v>
      </c>
      <c r="D1934" s="7">
        <f>DATE(2017,4,27)</f>
        <v>42852</v>
      </c>
      <c r="E1934" s="8">
        <f t="shared" si="32"/>
        <v>2017</v>
      </c>
      <c r="F1934" t="s">
        <v>524</v>
      </c>
      <c r="G1934" s="9">
        <v>1916</v>
      </c>
      <c r="H1934" s="8">
        <v>24836</v>
      </c>
    </row>
    <row r="1935" spans="2:8" ht="17.5" customHeight="1" x14ac:dyDescent="0.4">
      <c r="B1935" t="s">
        <v>7</v>
      </c>
      <c r="C1935" t="s">
        <v>523</v>
      </c>
      <c r="D1935" s="7">
        <f>DATE(2017,6,26)</f>
        <v>42912</v>
      </c>
      <c r="E1935" s="8">
        <f t="shared" si="32"/>
        <v>2017</v>
      </c>
      <c r="F1935" t="s">
        <v>524</v>
      </c>
      <c r="G1935" s="9">
        <v>3282.22</v>
      </c>
      <c r="H1935" s="8">
        <v>24339</v>
      </c>
    </row>
    <row r="1936" spans="2:8" ht="17.5" customHeight="1" x14ac:dyDescent="0.4">
      <c r="B1936" t="s">
        <v>7</v>
      </c>
      <c r="C1936" t="s">
        <v>523</v>
      </c>
      <c r="D1936" s="7">
        <f>DATE(2017,10,5)</f>
        <v>43013</v>
      </c>
      <c r="E1936" s="8">
        <f t="shared" si="32"/>
        <v>2017</v>
      </c>
      <c r="F1936" t="s">
        <v>524</v>
      </c>
      <c r="G1936" s="9">
        <v>3255.02</v>
      </c>
      <c r="H1936" s="8">
        <v>25268</v>
      </c>
    </row>
    <row r="1937" spans="2:8" ht="17.5" customHeight="1" x14ac:dyDescent="0.4">
      <c r="B1937" t="s">
        <v>7</v>
      </c>
      <c r="C1937" t="s">
        <v>523</v>
      </c>
      <c r="D1937" s="7">
        <f>DATE(2018,10,17)</f>
        <v>43390</v>
      </c>
      <c r="E1937" s="8">
        <f t="shared" si="32"/>
        <v>2018</v>
      </c>
      <c r="F1937" t="s">
        <v>524</v>
      </c>
      <c r="G1937" s="9">
        <v>6474.95</v>
      </c>
      <c r="H1937" s="8">
        <v>25905</v>
      </c>
    </row>
    <row r="1938" spans="2:8" ht="17.5" customHeight="1" x14ac:dyDescent="0.4">
      <c r="B1938" t="s">
        <v>7</v>
      </c>
      <c r="C1938" t="s">
        <v>523</v>
      </c>
      <c r="D1938" s="7">
        <f>DATE(2019,2,7)</f>
        <v>43503</v>
      </c>
      <c r="E1938" s="8">
        <f t="shared" si="32"/>
        <v>2019</v>
      </c>
      <c r="F1938" t="s">
        <v>524</v>
      </c>
      <c r="G1938" s="9">
        <v>4690</v>
      </c>
      <c r="H1938" s="8">
        <v>27838</v>
      </c>
    </row>
    <row r="1939" spans="2:8" ht="17.5" customHeight="1" x14ac:dyDescent="0.4">
      <c r="B1939" t="s">
        <v>7</v>
      </c>
      <c r="C1939" t="s">
        <v>523</v>
      </c>
      <c r="D1939" s="7">
        <f>DATE(2018,6,13)</f>
        <v>43264</v>
      </c>
      <c r="E1939" s="8">
        <f t="shared" si="32"/>
        <v>2018</v>
      </c>
      <c r="F1939" t="s">
        <v>524</v>
      </c>
      <c r="G1939" s="9">
        <v>19655.650000000001</v>
      </c>
      <c r="H1939" s="8">
        <v>27169</v>
      </c>
    </row>
    <row r="1940" spans="2:8" ht="17.5" customHeight="1" x14ac:dyDescent="0.4">
      <c r="B1940" t="s">
        <v>7</v>
      </c>
      <c r="C1940" t="s">
        <v>523</v>
      </c>
      <c r="D1940" s="7">
        <f>DATE(2019,1,3)</f>
        <v>43468</v>
      </c>
      <c r="E1940" s="8">
        <f t="shared" si="32"/>
        <v>2019</v>
      </c>
      <c r="F1940" t="s">
        <v>524</v>
      </c>
      <c r="G1940" s="9">
        <v>14129.96</v>
      </c>
      <c r="H1940" s="8">
        <v>27849</v>
      </c>
    </row>
    <row r="1941" spans="2:8" ht="17.5" customHeight="1" x14ac:dyDescent="0.4">
      <c r="B1941" t="s">
        <v>7</v>
      </c>
      <c r="C1941" t="s">
        <v>523</v>
      </c>
      <c r="D1941" s="7">
        <f>DATE(2019,1,23)</f>
        <v>43488</v>
      </c>
      <c r="E1941" s="8">
        <f t="shared" si="32"/>
        <v>2019</v>
      </c>
      <c r="F1941" t="s">
        <v>524</v>
      </c>
      <c r="G1941" s="9">
        <v>11775.94</v>
      </c>
      <c r="H1941" s="8">
        <v>28021</v>
      </c>
    </row>
    <row r="1942" spans="2:8" ht="17.5" customHeight="1" x14ac:dyDescent="0.4">
      <c r="B1942" t="s">
        <v>7</v>
      </c>
      <c r="C1942" t="s">
        <v>523</v>
      </c>
      <c r="D1942" s="7">
        <f>DATE(2011,6,9)</f>
        <v>40703</v>
      </c>
      <c r="E1942" s="8">
        <f t="shared" si="32"/>
        <v>2011</v>
      </c>
      <c r="F1942" t="s">
        <v>524</v>
      </c>
      <c r="G1942" s="9">
        <v>2673.42</v>
      </c>
      <c r="H1942" s="8">
        <v>10496</v>
      </c>
    </row>
    <row r="1943" spans="2:8" ht="17.5" customHeight="1" x14ac:dyDescent="0.4">
      <c r="B1943" t="s">
        <v>7</v>
      </c>
      <c r="C1943" t="s">
        <v>523</v>
      </c>
      <c r="D1943" s="7">
        <f>DATE(2012,5,9)</f>
        <v>41038</v>
      </c>
      <c r="E1943" s="8">
        <f t="shared" si="32"/>
        <v>2012</v>
      </c>
      <c r="F1943" t="s">
        <v>524</v>
      </c>
      <c r="G1943" s="9">
        <v>2712.85</v>
      </c>
      <c r="H1943" s="8">
        <v>11401</v>
      </c>
    </row>
    <row r="1944" spans="2:8" ht="17.5" customHeight="1" x14ac:dyDescent="0.4">
      <c r="B1944" t="s">
        <v>7</v>
      </c>
      <c r="C1944" t="s">
        <v>523</v>
      </c>
      <c r="D1944" s="7">
        <f>DATE(2012,11,1)</f>
        <v>41214</v>
      </c>
      <c r="E1944" s="8">
        <f t="shared" si="32"/>
        <v>2012</v>
      </c>
      <c r="F1944" t="s">
        <v>524</v>
      </c>
      <c r="G1944" s="9">
        <v>4939.54</v>
      </c>
      <c r="H1944" s="8">
        <v>11921</v>
      </c>
    </row>
    <row r="1945" spans="2:8" ht="17.5" customHeight="1" x14ac:dyDescent="0.4">
      <c r="B1945" t="s">
        <v>7</v>
      </c>
      <c r="C1945" t="s">
        <v>523</v>
      </c>
      <c r="D1945" s="7">
        <f>DATE(2003,1,24)</f>
        <v>37645</v>
      </c>
      <c r="E1945" s="8">
        <f t="shared" si="32"/>
        <v>2003</v>
      </c>
      <c r="F1945" t="s">
        <v>524</v>
      </c>
      <c r="G1945" s="9">
        <v>25412.02</v>
      </c>
      <c r="H1945" s="8">
        <v>10</v>
      </c>
    </row>
    <row r="1946" spans="2:8" ht="17.5" customHeight="1" x14ac:dyDescent="0.4">
      <c r="B1946" t="s">
        <v>7</v>
      </c>
      <c r="C1946" t="s">
        <v>523</v>
      </c>
      <c r="D1946" s="7">
        <f>DATE(2003,5,23)</f>
        <v>37764</v>
      </c>
      <c r="E1946" s="8">
        <f t="shared" si="32"/>
        <v>2003</v>
      </c>
      <c r="F1946" t="s">
        <v>524</v>
      </c>
      <c r="G1946" s="9">
        <v>18125.86</v>
      </c>
      <c r="H1946" s="8">
        <v>26</v>
      </c>
    </row>
    <row r="1947" spans="2:8" ht="17.5" customHeight="1" x14ac:dyDescent="0.4">
      <c r="B1947" t="s">
        <v>7</v>
      </c>
      <c r="C1947" t="s">
        <v>523</v>
      </c>
      <c r="D1947" s="7">
        <f>DATE(2003,5,28)</f>
        <v>37769</v>
      </c>
      <c r="E1947" s="8">
        <f t="shared" si="32"/>
        <v>2003</v>
      </c>
      <c r="F1947" t="s">
        <v>524</v>
      </c>
      <c r="G1947" s="9">
        <v>10059.82</v>
      </c>
      <c r="H1947" s="8">
        <v>294</v>
      </c>
    </row>
    <row r="1948" spans="2:8" ht="17.5" customHeight="1" x14ac:dyDescent="0.4">
      <c r="B1948" t="s">
        <v>7</v>
      </c>
      <c r="C1948" t="s">
        <v>523</v>
      </c>
      <c r="D1948" s="7">
        <f>DATE(2004,1,23)</f>
        <v>38009</v>
      </c>
      <c r="E1948" s="8">
        <f t="shared" si="32"/>
        <v>2004</v>
      </c>
      <c r="F1948" t="s">
        <v>524</v>
      </c>
      <c r="G1948" s="9">
        <v>11215.99</v>
      </c>
      <c r="H1948" s="8">
        <v>1146</v>
      </c>
    </row>
    <row r="1949" spans="2:8" ht="17.5" customHeight="1" x14ac:dyDescent="0.4">
      <c r="B1949" t="s">
        <v>7</v>
      </c>
      <c r="C1949" t="s">
        <v>523</v>
      </c>
      <c r="D1949" s="7">
        <f>DATE(2004,3,10)</f>
        <v>38056</v>
      </c>
      <c r="E1949" s="8">
        <f t="shared" si="32"/>
        <v>2004</v>
      </c>
      <c r="F1949" t="s">
        <v>524</v>
      </c>
      <c r="G1949" s="9">
        <v>8490.01</v>
      </c>
      <c r="H1949" s="8">
        <v>1291</v>
      </c>
    </row>
    <row r="1950" spans="2:8" ht="17.5" customHeight="1" x14ac:dyDescent="0.4">
      <c r="B1950" t="s">
        <v>7</v>
      </c>
      <c r="C1950" t="s">
        <v>523</v>
      </c>
      <c r="D1950" s="7">
        <f>DATE(2004,4,24)</f>
        <v>38101</v>
      </c>
      <c r="E1950" s="8">
        <f t="shared" si="32"/>
        <v>2004</v>
      </c>
      <c r="F1950" t="s">
        <v>524</v>
      </c>
      <c r="G1950" s="9">
        <v>24162.98</v>
      </c>
      <c r="H1950" s="8">
        <v>1621</v>
      </c>
    </row>
    <row r="1951" spans="2:8" ht="17.5" customHeight="1" x14ac:dyDescent="0.4">
      <c r="B1951" t="s">
        <v>7</v>
      </c>
      <c r="C1951" t="s">
        <v>523</v>
      </c>
      <c r="D1951" s="7">
        <f>DATE(2005,1,19)</f>
        <v>38371</v>
      </c>
      <c r="E1951" s="8">
        <f t="shared" si="32"/>
        <v>2005</v>
      </c>
      <c r="F1951" t="s">
        <v>524</v>
      </c>
      <c r="G1951" s="9">
        <v>35256.79</v>
      </c>
      <c r="H1951" s="8">
        <v>2498</v>
      </c>
    </row>
    <row r="1952" spans="2:8" ht="17.5" customHeight="1" x14ac:dyDescent="0.4">
      <c r="B1952" t="s">
        <v>7</v>
      </c>
      <c r="C1952" t="s">
        <v>523</v>
      </c>
      <c r="D1952" s="7">
        <f>DATE(2006,3,17)</f>
        <v>38793</v>
      </c>
      <c r="E1952" s="8">
        <f t="shared" si="32"/>
        <v>2006</v>
      </c>
      <c r="F1952" t="s">
        <v>524</v>
      </c>
      <c r="G1952" s="9">
        <v>16526.689999999999</v>
      </c>
      <c r="H1952" s="8">
        <v>4302</v>
      </c>
    </row>
    <row r="1953" spans="2:8" ht="17.5" customHeight="1" x14ac:dyDescent="0.4">
      <c r="B1953" t="s">
        <v>7</v>
      </c>
      <c r="C1953" t="s">
        <v>523</v>
      </c>
      <c r="D1953" s="7">
        <f>DATE(2008,3,1)</f>
        <v>39508</v>
      </c>
      <c r="E1953" s="8">
        <f t="shared" si="32"/>
        <v>2008</v>
      </c>
      <c r="F1953" t="s">
        <v>524</v>
      </c>
      <c r="G1953" s="9">
        <v>22454.55</v>
      </c>
      <c r="H1953" s="8">
        <v>6641</v>
      </c>
    </row>
    <row r="1954" spans="2:8" ht="17.5" customHeight="1" x14ac:dyDescent="0.4">
      <c r="B1954" t="s">
        <v>7</v>
      </c>
      <c r="C1954" t="s">
        <v>523</v>
      </c>
      <c r="D1954" s="7">
        <f>DATE(2008,4,9)</f>
        <v>39547</v>
      </c>
      <c r="E1954" s="8">
        <f t="shared" si="32"/>
        <v>2008</v>
      </c>
      <c r="F1954" t="s">
        <v>524</v>
      </c>
      <c r="G1954" s="9">
        <v>11806.6</v>
      </c>
      <c r="H1954" s="8">
        <v>6643</v>
      </c>
    </row>
    <row r="1955" spans="2:8" ht="17.5" customHeight="1" x14ac:dyDescent="0.4">
      <c r="B1955" t="s">
        <v>7</v>
      </c>
      <c r="C1955" t="s">
        <v>523</v>
      </c>
      <c r="D1955" s="7">
        <f>DATE(2008,5,1)</f>
        <v>39569</v>
      </c>
      <c r="E1955" s="8">
        <f t="shared" si="32"/>
        <v>2008</v>
      </c>
      <c r="F1955" t="s">
        <v>524</v>
      </c>
      <c r="G1955" s="9">
        <v>3775</v>
      </c>
      <c r="H1955" s="8">
        <v>7397</v>
      </c>
    </row>
    <row r="1956" spans="2:8" ht="17.5" customHeight="1" x14ac:dyDescent="0.4">
      <c r="B1956" t="s">
        <v>7</v>
      </c>
      <c r="C1956" t="s">
        <v>523</v>
      </c>
      <c r="D1956" s="7">
        <f>DATE(2009,3,10)</f>
        <v>39882</v>
      </c>
      <c r="E1956" s="8">
        <f t="shared" si="32"/>
        <v>2009</v>
      </c>
      <c r="F1956" t="s">
        <v>524</v>
      </c>
      <c r="G1956" s="9">
        <v>20898.009999999998</v>
      </c>
      <c r="H1956" s="8">
        <v>8333</v>
      </c>
    </row>
    <row r="1957" spans="2:8" ht="17.5" customHeight="1" x14ac:dyDescent="0.4">
      <c r="B1957" t="s">
        <v>7</v>
      </c>
      <c r="C1957" t="s">
        <v>523</v>
      </c>
      <c r="D1957" s="7">
        <f>DATE(2009,4,30)</f>
        <v>39933</v>
      </c>
      <c r="E1957" s="8">
        <f t="shared" si="32"/>
        <v>2009</v>
      </c>
      <c r="F1957" t="s">
        <v>524</v>
      </c>
      <c r="G1957" s="9">
        <v>2865.72</v>
      </c>
      <c r="H1957" s="8">
        <v>8345</v>
      </c>
    </row>
    <row r="1958" spans="2:8" ht="17.5" customHeight="1" x14ac:dyDescent="0.4">
      <c r="B1958" t="s">
        <v>7</v>
      </c>
      <c r="C1958" t="s">
        <v>523</v>
      </c>
      <c r="D1958" s="7">
        <f>DATE(2009,10,23)</f>
        <v>40109</v>
      </c>
      <c r="E1958" s="8">
        <f t="shared" si="32"/>
        <v>2009</v>
      </c>
      <c r="F1958" t="s">
        <v>524</v>
      </c>
      <c r="G1958" s="9">
        <v>1685.73</v>
      </c>
      <c r="H1958" s="8">
        <v>9109</v>
      </c>
    </row>
    <row r="1959" spans="2:8" ht="17.5" customHeight="1" x14ac:dyDescent="0.4">
      <c r="B1959" t="s">
        <v>7</v>
      </c>
      <c r="C1959" t="s">
        <v>523</v>
      </c>
      <c r="D1959" s="7">
        <f>DATE(2009,10,23)</f>
        <v>40109</v>
      </c>
      <c r="E1959" s="8">
        <f t="shared" si="32"/>
        <v>2009</v>
      </c>
      <c r="F1959" t="s">
        <v>524</v>
      </c>
      <c r="G1959" s="9">
        <v>600</v>
      </c>
      <c r="H1959" s="8">
        <v>9149</v>
      </c>
    </row>
    <row r="1960" spans="2:8" ht="17.5" customHeight="1" x14ac:dyDescent="0.4">
      <c r="B1960" t="s">
        <v>7</v>
      </c>
      <c r="C1960" t="s">
        <v>523</v>
      </c>
      <c r="D1960" s="7">
        <f>DATE(2010,11,5)</f>
        <v>40487</v>
      </c>
      <c r="E1960" s="8">
        <f t="shared" si="32"/>
        <v>2010</v>
      </c>
      <c r="F1960" t="s">
        <v>524</v>
      </c>
      <c r="G1960" s="9">
        <v>15308.72</v>
      </c>
      <c r="H1960" s="8">
        <v>10210</v>
      </c>
    </row>
    <row r="1961" spans="2:8" ht="17.5" customHeight="1" x14ac:dyDescent="0.4">
      <c r="B1961" t="s">
        <v>7</v>
      </c>
      <c r="C1961" t="s">
        <v>523</v>
      </c>
      <c r="D1961" s="7">
        <f>DATE(2011,10,19)</f>
        <v>40835</v>
      </c>
      <c r="E1961" s="8">
        <f t="shared" si="32"/>
        <v>2011</v>
      </c>
      <c r="F1961" t="s">
        <v>524</v>
      </c>
      <c r="G1961" s="9">
        <v>46633.79</v>
      </c>
      <c r="H1961" s="8">
        <v>11022</v>
      </c>
    </row>
    <row r="1962" spans="2:8" ht="17.5" customHeight="1" x14ac:dyDescent="0.4">
      <c r="B1962" t="s">
        <v>7</v>
      </c>
      <c r="C1962" t="s">
        <v>523</v>
      </c>
      <c r="D1962" s="7">
        <f>DATE(2011,10,19)</f>
        <v>40835</v>
      </c>
      <c r="E1962" s="8">
        <f t="shared" si="32"/>
        <v>2011</v>
      </c>
      <c r="F1962" t="s">
        <v>524</v>
      </c>
      <c r="G1962" s="9">
        <v>41391.61</v>
      </c>
      <c r="H1962" s="8">
        <v>11085</v>
      </c>
    </row>
    <row r="1963" spans="2:8" ht="17.5" customHeight="1" x14ac:dyDescent="0.4">
      <c r="B1963" t="s">
        <v>7</v>
      </c>
      <c r="C1963" t="s">
        <v>523</v>
      </c>
      <c r="D1963" s="7">
        <f>DATE(2012,2,20)</f>
        <v>40959</v>
      </c>
      <c r="E1963" s="8">
        <f t="shared" si="32"/>
        <v>2012</v>
      </c>
      <c r="F1963" t="s">
        <v>524</v>
      </c>
      <c r="G1963" s="9">
        <v>23995.17</v>
      </c>
      <c r="H1963" s="8">
        <v>11288</v>
      </c>
    </row>
    <row r="1964" spans="2:8" ht="17.5" customHeight="1" x14ac:dyDescent="0.4">
      <c r="B1964" t="s">
        <v>7</v>
      </c>
      <c r="C1964" t="s">
        <v>523</v>
      </c>
      <c r="D1964" s="7">
        <f>DATE(2014,3,5)</f>
        <v>41703</v>
      </c>
      <c r="E1964" s="8">
        <f t="shared" si="32"/>
        <v>2014</v>
      </c>
      <c r="F1964" t="s">
        <v>524</v>
      </c>
      <c r="G1964" s="9">
        <v>20384.599999999999</v>
      </c>
      <c r="H1964" s="8">
        <v>12954</v>
      </c>
    </row>
    <row r="1965" spans="2:8" ht="17.5" customHeight="1" x14ac:dyDescent="0.4">
      <c r="B1965" t="s">
        <v>7</v>
      </c>
      <c r="C1965" t="s">
        <v>523</v>
      </c>
      <c r="D1965" s="7">
        <f>DATE(2012,1,13)</f>
        <v>40921</v>
      </c>
      <c r="E1965" s="8">
        <f t="shared" si="32"/>
        <v>2012</v>
      </c>
      <c r="F1965" t="s">
        <v>524</v>
      </c>
      <c r="G1965" s="9">
        <v>7553.03</v>
      </c>
      <c r="H1965" s="8">
        <v>11223</v>
      </c>
    </row>
    <row r="1966" spans="2:8" ht="17.5" customHeight="1" x14ac:dyDescent="0.4">
      <c r="B1966" s="3" t="s">
        <v>7</v>
      </c>
      <c r="C1966" s="3" t="s">
        <v>523</v>
      </c>
      <c r="D1966" s="4">
        <f>DATE(2005,1,6)</f>
        <v>38358</v>
      </c>
      <c r="E1966" s="5">
        <f t="shared" si="32"/>
        <v>2005</v>
      </c>
      <c r="F1966" s="3" t="s">
        <v>524</v>
      </c>
      <c r="G1966" s="6">
        <v>56812.06</v>
      </c>
      <c r="H1966" s="5">
        <v>3883</v>
      </c>
    </row>
    <row r="1967" spans="2:8" ht="17.5" customHeight="1" x14ac:dyDescent="0.4">
      <c r="B1967" s="3" t="s">
        <v>7</v>
      </c>
      <c r="C1967" s="3" t="s">
        <v>523</v>
      </c>
      <c r="D1967" s="4">
        <f>DATE(2007,9,4)</f>
        <v>39329</v>
      </c>
      <c r="E1967" s="5">
        <f t="shared" si="32"/>
        <v>2007</v>
      </c>
      <c r="F1967" s="3" t="s">
        <v>524</v>
      </c>
      <c r="G1967" s="6">
        <v>1070</v>
      </c>
      <c r="H1967" s="5">
        <v>9105</v>
      </c>
    </row>
    <row r="1968" spans="2:8" ht="17.5" customHeight="1" x14ac:dyDescent="0.4">
      <c r="B1968" s="3" t="s">
        <v>7</v>
      </c>
      <c r="C1968" s="3" t="s">
        <v>523</v>
      </c>
      <c r="D1968" s="4">
        <f>DATE(2007,12,26)</f>
        <v>39442</v>
      </c>
      <c r="E1968" s="5">
        <f t="shared" si="32"/>
        <v>2007</v>
      </c>
      <c r="F1968" s="3" t="s">
        <v>524</v>
      </c>
      <c r="G1968" s="6">
        <v>545</v>
      </c>
      <c r="H1968" s="5">
        <v>9606</v>
      </c>
    </row>
    <row r="1969" spans="2:8" ht="17.5" customHeight="1" x14ac:dyDescent="0.4">
      <c r="B1969" s="3" t="s">
        <v>7</v>
      </c>
      <c r="C1969" s="3" t="s">
        <v>523</v>
      </c>
      <c r="D1969" s="4">
        <f>DATE(2008,5,1)</f>
        <v>39569</v>
      </c>
      <c r="E1969" s="5">
        <f t="shared" si="32"/>
        <v>2008</v>
      </c>
      <c r="F1969" s="3" t="s">
        <v>524</v>
      </c>
      <c r="G1969" s="6">
        <v>1742.5</v>
      </c>
      <c r="H1969" s="5">
        <v>10590</v>
      </c>
    </row>
    <row r="1970" spans="2:8" ht="17.5" customHeight="1" x14ac:dyDescent="0.4">
      <c r="B1970" s="3" t="s">
        <v>7</v>
      </c>
      <c r="C1970" s="3" t="s">
        <v>523</v>
      </c>
      <c r="D1970" s="4">
        <f>DATE(2009,1,29)</f>
        <v>39842</v>
      </c>
      <c r="E1970" s="5">
        <f t="shared" si="32"/>
        <v>2009</v>
      </c>
      <c r="F1970" s="3" t="s">
        <v>524</v>
      </c>
      <c r="G1970" s="6">
        <v>3248</v>
      </c>
      <c r="H1970" s="5">
        <v>11898</v>
      </c>
    </row>
    <row r="1971" spans="2:8" ht="17.5" customHeight="1" x14ac:dyDescent="0.4">
      <c r="B1971" s="3" t="s">
        <v>7</v>
      </c>
      <c r="C1971" s="3" t="s">
        <v>523</v>
      </c>
      <c r="D1971" s="4">
        <f>DATE(2009,3,11)</f>
        <v>39883</v>
      </c>
      <c r="E1971" s="5">
        <f t="shared" si="32"/>
        <v>2009</v>
      </c>
      <c r="F1971" s="3" t="s">
        <v>524</v>
      </c>
      <c r="G1971" s="6">
        <v>2012.29</v>
      </c>
      <c r="H1971" s="5">
        <v>12144</v>
      </c>
    </row>
    <row r="1972" spans="2:8" ht="17.5" customHeight="1" x14ac:dyDescent="0.4">
      <c r="B1972" s="3" t="s">
        <v>7</v>
      </c>
      <c r="C1972" s="3" t="s">
        <v>523</v>
      </c>
      <c r="D1972" s="4">
        <f>DATE(2009,6,30)</f>
        <v>39994</v>
      </c>
      <c r="E1972" s="5">
        <f t="shared" si="32"/>
        <v>2009</v>
      </c>
      <c r="F1972" s="3" t="s">
        <v>524</v>
      </c>
      <c r="G1972" s="6">
        <v>5740.27</v>
      </c>
      <c r="H1972" s="5">
        <v>12755</v>
      </c>
    </row>
    <row r="1973" spans="2:8" ht="17.5" customHeight="1" x14ac:dyDescent="0.4">
      <c r="B1973" s="3" t="s">
        <v>7</v>
      </c>
      <c r="C1973" s="3" t="s">
        <v>523</v>
      </c>
      <c r="D1973" s="4">
        <f>DATE(2009,7,1)</f>
        <v>39995</v>
      </c>
      <c r="E1973" s="5">
        <f t="shared" si="32"/>
        <v>2009</v>
      </c>
      <c r="F1973" s="3" t="s">
        <v>524</v>
      </c>
      <c r="G1973" s="6">
        <v>3248</v>
      </c>
      <c r="H1973" s="5">
        <v>11964</v>
      </c>
    </row>
    <row r="1974" spans="2:8" ht="17.5" customHeight="1" x14ac:dyDescent="0.4">
      <c r="B1974" s="3" t="s">
        <v>7</v>
      </c>
      <c r="C1974" s="3" t="s">
        <v>523</v>
      </c>
      <c r="D1974" s="4">
        <f>DATE(2009,9,1)</f>
        <v>40057</v>
      </c>
      <c r="E1974" s="5">
        <f t="shared" si="32"/>
        <v>2009</v>
      </c>
      <c r="F1974" s="3" t="s">
        <v>524</v>
      </c>
      <c r="G1974" s="6">
        <v>3826.91</v>
      </c>
      <c r="H1974" s="5">
        <v>12972</v>
      </c>
    </row>
    <row r="1975" spans="2:8" ht="17.5" customHeight="1" x14ac:dyDescent="0.4">
      <c r="B1975" s="3" t="s">
        <v>7</v>
      </c>
      <c r="C1975" s="3" t="s">
        <v>523</v>
      </c>
      <c r="D1975" s="4">
        <f>DATE(2011,4,26)</f>
        <v>40659</v>
      </c>
      <c r="E1975" s="5">
        <f t="shared" si="32"/>
        <v>2011</v>
      </c>
      <c r="F1975" s="3" t="s">
        <v>524</v>
      </c>
      <c r="G1975" s="6">
        <v>3800</v>
      </c>
      <c r="H1975" s="5">
        <v>15491</v>
      </c>
    </row>
    <row r="1976" spans="2:8" ht="17.5" customHeight="1" x14ac:dyDescent="0.4">
      <c r="B1976" s="3" t="s">
        <v>7</v>
      </c>
      <c r="C1976" s="3" t="s">
        <v>523</v>
      </c>
      <c r="D1976" s="4">
        <f>DATE(2011,12,7)</f>
        <v>40884</v>
      </c>
      <c r="E1976" s="5">
        <f t="shared" si="32"/>
        <v>2011</v>
      </c>
      <c r="F1976" s="3" t="s">
        <v>524</v>
      </c>
      <c r="G1976" s="6">
        <v>3251</v>
      </c>
      <c r="H1976" s="5">
        <v>16272</v>
      </c>
    </row>
    <row r="1977" spans="2:8" ht="17.5" customHeight="1" x14ac:dyDescent="0.4">
      <c r="B1977" s="3" t="s">
        <v>7</v>
      </c>
      <c r="C1977" s="3" t="s">
        <v>523</v>
      </c>
      <c r="D1977" s="4">
        <f>DATE(2012,2,20)</f>
        <v>40959</v>
      </c>
      <c r="E1977" s="5">
        <f t="shared" si="32"/>
        <v>2012</v>
      </c>
      <c r="F1977" s="3" t="s">
        <v>524</v>
      </c>
      <c r="G1977" s="6">
        <v>7445.48</v>
      </c>
      <c r="H1977" s="5">
        <v>16432</v>
      </c>
    </row>
    <row r="1978" spans="2:8" ht="17.5" customHeight="1" x14ac:dyDescent="0.4">
      <c r="B1978" s="3" t="s">
        <v>7</v>
      </c>
      <c r="C1978" s="3" t="s">
        <v>523</v>
      </c>
      <c r="D1978" s="4">
        <f>DATE(2012,11,1)</f>
        <v>41214</v>
      </c>
      <c r="E1978" s="5">
        <f t="shared" si="32"/>
        <v>2012</v>
      </c>
      <c r="F1978" s="3" t="s">
        <v>524</v>
      </c>
      <c r="G1978" s="6">
        <v>800</v>
      </c>
      <c r="H1978" s="5">
        <v>17709</v>
      </c>
    </row>
    <row r="1979" spans="2:8" ht="17.5" customHeight="1" x14ac:dyDescent="0.4">
      <c r="B1979" t="s">
        <v>7</v>
      </c>
      <c r="C1979" t="s">
        <v>525</v>
      </c>
      <c r="D1979" s="7">
        <f>DATE(2015,4,28)</f>
        <v>42122</v>
      </c>
      <c r="E1979" s="8">
        <f t="shared" si="32"/>
        <v>2015</v>
      </c>
      <c r="F1979" t="s">
        <v>526</v>
      </c>
      <c r="G1979" s="9">
        <v>22201.63</v>
      </c>
      <c r="H1979" s="8">
        <v>20187</v>
      </c>
    </row>
    <row r="1980" spans="2:8" ht="17.5" customHeight="1" x14ac:dyDescent="0.4">
      <c r="B1980" t="s">
        <v>7</v>
      </c>
      <c r="C1980" t="s">
        <v>525</v>
      </c>
      <c r="D1980" s="7">
        <f>DATE(2015,5,11)</f>
        <v>42135</v>
      </c>
      <c r="E1980" s="8">
        <f t="shared" si="32"/>
        <v>2015</v>
      </c>
      <c r="F1980" t="s">
        <v>526</v>
      </c>
      <c r="G1980" s="9">
        <v>27268.13</v>
      </c>
      <c r="H1980" s="8">
        <v>20513</v>
      </c>
    </row>
    <row r="1981" spans="2:8" ht="17.5" customHeight="1" x14ac:dyDescent="0.4">
      <c r="B1981" t="s">
        <v>7</v>
      </c>
      <c r="C1981" t="s">
        <v>525</v>
      </c>
      <c r="D1981" s="7">
        <f>DATE(2016,4,8)</f>
        <v>42468</v>
      </c>
      <c r="E1981" s="8">
        <f t="shared" si="32"/>
        <v>2016</v>
      </c>
      <c r="F1981" t="s">
        <v>526</v>
      </c>
      <c r="G1981" s="9">
        <v>18500</v>
      </c>
      <c r="H1981" s="8">
        <v>22504</v>
      </c>
    </row>
    <row r="1982" spans="2:8" ht="17.5" customHeight="1" x14ac:dyDescent="0.4">
      <c r="B1982" t="s">
        <v>7</v>
      </c>
      <c r="C1982" t="s">
        <v>525</v>
      </c>
      <c r="D1982" s="7">
        <f>DATE(2016,6,9)</f>
        <v>42530</v>
      </c>
      <c r="E1982" s="8">
        <f t="shared" si="32"/>
        <v>2016</v>
      </c>
      <c r="F1982" t="s">
        <v>526</v>
      </c>
      <c r="G1982" s="9">
        <v>67501.25</v>
      </c>
      <c r="H1982" s="8">
        <v>22422</v>
      </c>
    </row>
    <row r="1983" spans="2:8" ht="17.5" customHeight="1" x14ac:dyDescent="0.4">
      <c r="B1983" t="s">
        <v>7</v>
      </c>
      <c r="C1983" t="s">
        <v>525</v>
      </c>
      <c r="D1983" s="7">
        <f>DATE(2016,10,14)</f>
        <v>42657</v>
      </c>
      <c r="E1983" s="8">
        <f t="shared" si="32"/>
        <v>2016</v>
      </c>
      <c r="F1983" t="s">
        <v>526</v>
      </c>
      <c r="G1983" s="9">
        <v>3575</v>
      </c>
      <c r="H1983" s="8">
        <v>23631</v>
      </c>
    </row>
    <row r="1984" spans="2:8" ht="17.5" customHeight="1" x14ac:dyDescent="0.4">
      <c r="B1984" t="s">
        <v>7</v>
      </c>
      <c r="C1984" t="s">
        <v>525</v>
      </c>
      <c r="D1984" s="7">
        <f>DATE(2016,10,17)</f>
        <v>42660</v>
      </c>
      <c r="E1984" s="8">
        <f t="shared" si="32"/>
        <v>2016</v>
      </c>
      <c r="F1984" t="s">
        <v>526</v>
      </c>
      <c r="G1984" s="9">
        <v>37517.599999999999</v>
      </c>
      <c r="H1984" s="8">
        <v>23644</v>
      </c>
    </row>
    <row r="1985" spans="2:8" ht="17.5" customHeight="1" x14ac:dyDescent="0.4">
      <c r="B1985" t="s">
        <v>7</v>
      </c>
      <c r="C1985" t="s">
        <v>525</v>
      </c>
      <c r="D1985" s="7">
        <f>DATE(2016,12,20)</f>
        <v>42724</v>
      </c>
      <c r="E1985" s="8">
        <f t="shared" si="32"/>
        <v>2016</v>
      </c>
      <c r="F1985" t="s">
        <v>526</v>
      </c>
      <c r="G1985" s="9">
        <v>39726.769999999997</v>
      </c>
      <c r="H1985" s="8">
        <v>24001</v>
      </c>
    </row>
    <row r="1986" spans="2:8" ht="17.5" customHeight="1" x14ac:dyDescent="0.4">
      <c r="B1986" t="s">
        <v>7</v>
      </c>
      <c r="C1986" t="s">
        <v>525</v>
      </c>
      <c r="D1986" s="7">
        <f>DATE(2017,4,17)</f>
        <v>42842</v>
      </c>
      <c r="E1986" s="8">
        <f t="shared" si="32"/>
        <v>2017</v>
      </c>
      <c r="F1986" t="s">
        <v>526</v>
      </c>
      <c r="G1986" s="9">
        <v>18649.59</v>
      </c>
      <c r="H1986" s="8">
        <v>24434</v>
      </c>
    </row>
    <row r="1987" spans="2:8" ht="17.5" customHeight="1" x14ac:dyDescent="0.4">
      <c r="B1987" t="s">
        <v>7</v>
      </c>
      <c r="C1987" t="s">
        <v>525</v>
      </c>
      <c r="D1987" s="7">
        <f>DATE(2018,7,31)</f>
        <v>43312</v>
      </c>
      <c r="E1987" s="8">
        <f t="shared" ref="E1987:E2050" si="33">YEAR(D1987)</f>
        <v>2018</v>
      </c>
      <c r="F1987" t="s">
        <v>526</v>
      </c>
      <c r="G1987" s="9">
        <v>22607</v>
      </c>
      <c r="H1987" s="8">
        <v>26437</v>
      </c>
    </row>
    <row r="1988" spans="2:8" ht="17.5" customHeight="1" x14ac:dyDescent="0.4">
      <c r="B1988" t="s">
        <v>7</v>
      </c>
      <c r="C1988" t="s">
        <v>525</v>
      </c>
      <c r="D1988" s="7">
        <f>DATE(2018,5,15)</f>
        <v>43235</v>
      </c>
      <c r="E1988" s="8">
        <f t="shared" si="33"/>
        <v>2018</v>
      </c>
      <c r="F1988" t="s">
        <v>526</v>
      </c>
      <c r="G1988" s="9">
        <v>18899.400000000001</v>
      </c>
      <c r="H1988" s="8">
        <v>26436</v>
      </c>
    </row>
    <row r="1989" spans="2:8" ht="17.5" customHeight="1" x14ac:dyDescent="0.4">
      <c r="B1989" t="s">
        <v>7</v>
      </c>
      <c r="C1989" t="s">
        <v>525</v>
      </c>
      <c r="D1989" s="7">
        <f>DATE(2018,5,17)</f>
        <v>43237</v>
      </c>
      <c r="E1989" s="8">
        <f t="shared" si="33"/>
        <v>2018</v>
      </c>
      <c r="F1989" t="s">
        <v>526</v>
      </c>
      <c r="G1989" s="9">
        <v>7273.17</v>
      </c>
      <c r="H1989" s="8">
        <v>26926</v>
      </c>
    </row>
    <row r="1990" spans="2:8" ht="17.5" customHeight="1" x14ac:dyDescent="0.4">
      <c r="B1990" t="s">
        <v>7</v>
      </c>
      <c r="C1990" t="s">
        <v>525</v>
      </c>
      <c r="D1990" s="7">
        <f>DATE(2015,6,24)</f>
        <v>42179</v>
      </c>
      <c r="E1990" s="8">
        <f t="shared" si="33"/>
        <v>2015</v>
      </c>
      <c r="F1990" t="s">
        <v>526</v>
      </c>
      <c r="G1990" s="9">
        <v>32010</v>
      </c>
      <c r="H1990" s="8">
        <v>20188</v>
      </c>
    </row>
    <row r="1991" spans="2:8" ht="17.5" customHeight="1" x14ac:dyDescent="0.4">
      <c r="B1991" t="s">
        <v>7</v>
      </c>
      <c r="C1991" t="s">
        <v>525</v>
      </c>
      <c r="D1991" s="7">
        <f>DATE(2016,3,30)</f>
        <v>42459</v>
      </c>
      <c r="E1991" s="8">
        <f t="shared" si="33"/>
        <v>2016</v>
      </c>
      <c r="F1991" t="s">
        <v>526</v>
      </c>
      <c r="G1991" s="9">
        <v>109590</v>
      </c>
      <c r="H1991" s="8">
        <v>22406</v>
      </c>
    </row>
    <row r="1992" spans="2:8" ht="17.5" customHeight="1" x14ac:dyDescent="0.4">
      <c r="B1992" t="s">
        <v>7</v>
      </c>
      <c r="C1992" t="s">
        <v>525</v>
      </c>
      <c r="D1992" s="7">
        <f>DATE(2016,4,12)</f>
        <v>42472</v>
      </c>
      <c r="E1992" s="8">
        <f t="shared" si="33"/>
        <v>2016</v>
      </c>
      <c r="F1992" t="s">
        <v>526</v>
      </c>
      <c r="G1992" s="9">
        <v>15062</v>
      </c>
      <c r="H1992" s="8">
        <v>22461</v>
      </c>
    </row>
    <row r="1993" spans="2:8" ht="17.5" customHeight="1" x14ac:dyDescent="0.4">
      <c r="B1993" t="s">
        <v>7</v>
      </c>
      <c r="C1993" t="s">
        <v>525</v>
      </c>
      <c r="D1993" s="7">
        <f>DATE(2016,5,6)</f>
        <v>42496</v>
      </c>
      <c r="E1993" s="8">
        <f t="shared" si="33"/>
        <v>2016</v>
      </c>
      <c r="F1993" t="s">
        <v>526</v>
      </c>
      <c r="G1993" s="9">
        <v>50374.95</v>
      </c>
      <c r="H1993" s="8">
        <v>22802</v>
      </c>
    </row>
    <row r="1994" spans="2:8" ht="17.5" customHeight="1" x14ac:dyDescent="0.4">
      <c r="B1994" t="s">
        <v>7</v>
      </c>
      <c r="C1994" t="s">
        <v>525</v>
      </c>
      <c r="D1994" s="7">
        <f>DATE(2017,11,15)</f>
        <v>43054</v>
      </c>
      <c r="E1994" s="8">
        <f t="shared" si="33"/>
        <v>2017</v>
      </c>
      <c r="F1994" t="s">
        <v>526</v>
      </c>
      <c r="G1994" s="9">
        <v>15176</v>
      </c>
      <c r="H1994" s="8">
        <v>24320</v>
      </c>
    </row>
    <row r="1995" spans="2:8" ht="17.5" customHeight="1" x14ac:dyDescent="0.4">
      <c r="B1995" t="s">
        <v>7</v>
      </c>
      <c r="C1995" t="s">
        <v>525</v>
      </c>
      <c r="D1995" s="7">
        <f>DATE(2018,4,17)</f>
        <v>43207</v>
      </c>
      <c r="E1995" s="8">
        <f t="shared" si="33"/>
        <v>2018</v>
      </c>
      <c r="F1995" t="s">
        <v>526</v>
      </c>
      <c r="G1995" s="9">
        <v>15176</v>
      </c>
      <c r="H1995" s="8">
        <v>26438</v>
      </c>
    </row>
    <row r="1996" spans="2:8" ht="17.5" customHeight="1" x14ac:dyDescent="0.4">
      <c r="B1996" t="s">
        <v>7</v>
      </c>
      <c r="C1996" t="s">
        <v>525</v>
      </c>
      <c r="D1996" s="7">
        <f>DATE(2018,5,15)</f>
        <v>43235</v>
      </c>
      <c r="E1996" s="8">
        <f t="shared" si="33"/>
        <v>2018</v>
      </c>
      <c r="F1996" t="s">
        <v>526</v>
      </c>
      <c r="G1996" s="9">
        <v>15176</v>
      </c>
      <c r="H1996" s="8">
        <v>26439</v>
      </c>
    </row>
    <row r="1997" spans="2:8" ht="17.5" customHeight="1" x14ac:dyDescent="0.4">
      <c r="B1997" t="s">
        <v>7</v>
      </c>
      <c r="C1997" t="s">
        <v>525</v>
      </c>
      <c r="D1997" s="7">
        <f>DATE(2018,5,25)</f>
        <v>43245</v>
      </c>
      <c r="E1997" s="8">
        <f t="shared" si="33"/>
        <v>2018</v>
      </c>
      <c r="F1997" t="s">
        <v>526</v>
      </c>
      <c r="G1997" s="9">
        <v>46396</v>
      </c>
      <c r="H1997" s="8">
        <v>26930</v>
      </c>
    </row>
    <row r="1998" spans="2:8" ht="17.5" customHeight="1" x14ac:dyDescent="0.4">
      <c r="B1998" t="s">
        <v>7</v>
      </c>
      <c r="C1998" t="s">
        <v>525</v>
      </c>
      <c r="D1998" s="7">
        <f>DATE(2007,7,14)</f>
        <v>39277</v>
      </c>
      <c r="E1998" s="8">
        <f t="shared" si="33"/>
        <v>2007</v>
      </c>
      <c r="F1998" t="s">
        <v>526</v>
      </c>
      <c r="G1998" s="9">
        <v>8022.45</v>
      </c>
      <c r="H1998" s="8">
        <v>6168</v>
      </c>
    </row>
    <row r="1999" spans="2:8" ht="17.5" customHeight="1" x14ac:dyDescent="0.4">
      <c r="B1999" t="s">
        <v>7</v>
      </c>
      <c r="C1999" t="s">
        <v>525</v>
      </c>
      <c r="D1999" s="7">
        <f>DATE(2007,7,24)</f>
        <v>39287</v>
      </c>
      <c r="E1999" s="8">
        <f t="shared" si="33"/>
        <v>2007</v>
      </c>
      <c r="F1999" t="s">
        <v>526</v>
      </c>
      <c r="G1999" s="9">
        <v>2801.9</v>
      </c>
      <c r="H1999" s="8">
        <v>6201</v>
      </c>
    </row>
    <row r="2000" spans="2:8" ht="17.5" customHeight="1" x14ac:dyDescent="0.4">
      <c r="B2000" t="s">
        <v>7</v>
      </c>
      <c r="C2000" t="s">
        <v>525</v>
      </c>
      <c r="D2000" s="7">
        <f>DATE(2008,4,9)</f>
        <v>39547</v>
      </c>
      <c r="E2000" s="8">
        <f t="shared" si="33"/>
        <v>2008</v>
      </c>
      <c r="F2000" t="s">
        <v>526</v>
      </c>
      <c r="G2000" s="9">
        <v>2139.4</v>
      </c>
      <c r="H2000" s="8">
        <v>7254</v>
      </c>
    </row>
    <row r="2001" spans="2:8" ht="17.5" customHeight="1" x14ac:dyDescent="0.4">
      <c r="B2001" t="s">
        <v>7</v>
      </c>
      <c r="C2001" t="s">
        <v>525</v>
      </c>
      <c r="D2001" s="7">
        <f>DATE(2008,4,10)</f>
        <v>39548</v>
      </c>
      <c r="E2001" s="8">
        <f t="shared" si="33"/>
        <v>2008</v>
      </c>
      <c r="F2001" t="s">
        <v>526</v>
      </c>
      <c r="G2001" s="9">
        <v>18655</v>
      </c>
      <c r="H2001" s="8">
        <v>7253</v>
      </c>
    </row>
    <row r="2002" spans="2:8" ht="17.5" customHeight="1" x14ac:dyDescent="0.4">
      <c r="B2002" t="s">
        <v>7</v>
      </c>
      <c r="C2002" t="s">
        <v>525</v>
      </c>
      <c r="D2002" s="7">
        <f>DATE(2008,5,6)</f>
        <v>39574</v>
      </c>
      <c r="E2002" s="8">
        <f t="shared" si="33"/>
        <v>2008</v>
      </c>
      <c r="F2002" t="s">
        <v>526</v>
      </c>
      <c r="G2002" s="9">
        <v>20832.71</v>
      </c>
      <c r="H2002" s="8">
        <v>7383</v>
      </c>
    </row>
    <row r="2003" spans="2:8" ht="17.5" customHeight="1" x14ac:dyDescent="0.4">
      <c r="B2003" t="s">
        <v>7</v>
      </c>
      <c r="C2003" t="s">
        <v>525</v>
      </c>
      <c r="D2003" s="7">
        <f>DATE(2009,5,18)</f>
        <v>39951</v>
      </c>
      <c r="E2003" s="8">
        <f t="shared" si="33"/>
        <v>2009</v>
      </c>
      <c r="F2003" t="s">
        <v>526</v>
      </c>
      <c r="G2003" s="9">
        <v>22755.7</v>
      </c>
      <c r="H2003" s="8">
        <v>8643</v>
      </c>
    </row>
    <row r="2004" spans="2:8" ht="17.5" customHeight="1" x14ac:dyDescent="0.4">
      <c r="B2004" t="s">
        <v>7</v>
      </c>
      <c r="C2004" t="s">
        <v>525</v>
      </c>
      <c r="D2004" s="7">
        <f>DATE(2009,10,29)</f>
        <v>40115</v>
      </c>
      <c r="E2004" s="8">
        <f t="shared" si="33"/>
        <v>2009</v>
      </c>
      <c r="F2004" t="s">
        <v>526</v>
      </c>
      <c r="G2004" s="9">
        <v>7970.26</v>
      </c>
      <c r="H2004" s="8">
        <v>9173</v>
      </c>
    </row>
    <row r="2005" spans="2:8" ht="17.5" customHeight="1" x14ac:dyDescent="0.4">
      <c r="B2005" t="s">
        <v>7</v>
      </c>
      <c r="C2005" t="s">
        <v>525</v>
      </c>
      <c r="D2005" s="7">
        <f>DATE(2009,12,3)</f>
        <v>40150</v>
      </c>
      <c r="E2005" s="8">
        <f t="shared" si="33"/>
        <v>2009</v>
      </c>
      <c r="F2005" t="s">
        <v>526</v>
      </c>
      <c r="G2005" s="9">
        <v>3203.47</v>
      </c>
      <c r="H2005" s="8">
        <v>9282</v>
      </c>
    </row>
    <row r="2006" spans="2:8" ht="17.5" customHeight="1" x14ac:dyDescent="0.4">
      <c r="B2006" t="s">
        <v>7</v>
      </c>
      <c r="C2006" t="s">
        <v>525</v>
      </c>
      <c r="D2006" s="7">
        <f>DATE(2010,1,14)</f>
        <v>40192</v>
      </c>
      <c r="E2006" s="8">
        <f t="shared" si="33"/>
        <v>2010</v>
      </c>
      <c r="F2006" t="s">
        <v>526</v>
      </c>
      <c r="G2006" s="9">
        <v>7894.18</v>
      </c>
      <c r="H2006" s="8">
        <v>9048</v>
      </c>
    </row>
    <row r="2007" spans="2:8" ht="17.5" customHeight="1" x14ac:dyDescent="0.4">
      <c r="B2007" t="s">
        <v>7</v>
      </c>
      <c r="C2007" t="s">
        <v>525</v>
      </c>
      <c r="D2007" s="7">
        <f>DATE(2010,1,22)</f>
        <v>40200</v>
      </c>
      <c r="E2007" s="8">
        <f t="shared" si="33"/>
        <v>2010</v>
      </c>
      <c r="F2007" t="s">
        <v>526</v>
      </c>
      <c r="G2007" s="9">
        <v>20545.29</v>
      </c>
      <c r="H2007" s="8">
        <v>9368</v>
      </c>
    </row>
    <row r="2008" spans="2:8" ht="17.5" customHeight="1" x14ac:dyDescent="0.4">
      <c r="B2008" t="s">
        <v>7</v>
      </c>
      <c r="C2008" t="s">
        <v>525</v>
      </c>
      <c r="D2008" s="7">
        <f>DATE(2010,5,20)</f>
        <v>40318</v>
      </c>
      <c r="E2008" s="8">
        <f t="shared" si="33"/>
        <v>2010</v>
      </c>
      <c r="F2008" t="s">
        <v>526</v>
      </c>
      <c r="G2008" s="9">
        <v>22856.2</v>
      </c>
      <c r="H2008" s="8">
        <v>9791</v>
      </c>
    </row>
    <row r="2009" spans="2:8" ht="17.5" customHeight="1" x14ac:dyDescent="0.4">
      <c r="B2009" t="s">
        <v>7</v>
      </c>
      <c r="C2009" t="s">
        <v>525</v>
      </c>
      <c r="D2009" s="7">
        <f>DATE(2011,4,21)</f>
        <v>40654</v>
      </c>
      <c r="E2009" s="8">
        <f t="shared" si="33"/>
        <v>2011</v>
      </c>
      <c r="F2009" t="s">
        <v>526</v>
      </c>
      <c r="G2009" s="9">
        <v>23605.26</v>
      </c>
      <c r="H2009" s="8">
        <v>10625</v>
      </c>
    </row>
    <row r="2010" spans="2:8" ht="17.5" customHeight="1" x14ac:dyDescent="0.4">
      <c r="B2010" t="s">
        <v>7</v>
      </c>
      <c r="C2010" t="s">
        <v>525</v>
      </c>
      <c r="D2010" s="7">
        <f>DATE(2011,5,12)</f>
        <v>40675</v>
      </c>
      <c r="E2010" s="8">
        <f t="shared" si="33"/>
        <v>2011</v>
      </c>
      <c r="F2010" t="s">
        <v>526</v>
      </c>
      <c r="G2010" s="9">
        <v>27206.06</v>
      </c>
      <c r="H2010" s="8">
        <v>10624</v>
      </c>
    </row>
    <row r="2011" spans="2:8" ht="17.5" customHeight="1" x14ac:dyDescent="0.4">
      <c r="B2011" t="s">
        <v>7</v>
      </c>
      <c r="C2011" t="s">
        <v>525</v>
      </c>
      <c r="D2011" s="7">
        <f>DATE(2011,6,30)</f>
        <v>40724</v>
      </c>
      <c r="E2011" s="8">
        <f t="shared" si="33"/>
        <v>2011</v>
      </c>
      <c r="F2011" t="s">
        <v>526</v>
      </c>
      <c r="G2011" s="9">
        <v>3660</v>
      </c>
      <c r="H2011" s="8">
        <v>10855</v>
      </c>
    </row>
    <row r="2012" spans="2:8" ht="17.5" customHeight="1" x14ac:dyDescent="0.4">
      <c r="B2012" t="s">
        <v>7</v>
      </c>
      <c r="C2012" t="s">
        <v>525</v>
      </c>
      <c r="D2012" s="7">
        <f>DATE(2011,8,31)</f>
        <v>40786</v>
      </c>
      <c r="E2012" s="8">
        <f t="shared" si="33"/>
        <v>2011</v>
      </c>
      <c r="F2012" t="s">
        <v>526</v>
      </c>
      <c r="G2012" s="9">
        <v>4332</v>
      </c>
      <c r="H2012" s="8">
        <v>10967</v>
      </c>
    </row>
    <row r="2013" spans="2:8" ht="17.5" customHeight="1" x14ac:dyDescent="0.4">
      <c r="B2013" t="s">
        <v>7</v>
      </c>
      <c r="C2013" t="s">
        <v>525</v>
      </c>
      <c r="D2013" s="7">
        <f>DATE(2011,10,13)</f>
        <v>40829</v>
      </c>
      <c r="E2013" s="8">
        <f t="shared" si="33"/>
        <v>2011</v>
      </c>
      <c r="F2013" t="s">
        <v>526</v>
      </c>
      <c r="G2013" s="9">
        <v>396788.16</v>
      </c>
      <c r="H2013" s="8">
        <v>10979</v>
      </c>
    </row>
    <row r="2014" spans="2:8" ht="17.5" customHeight="1" x14ac:dyDescent="0.4">
      <c r="B2014" t="s">
        <v>7</v>
      </c>
      <c r="C2014" t="s">
        <v>525</v>
      </c>
      <c r="D2014" s="7">
        <f>DATE(2011,11,26)</f>
        <v>40873</v>
      </c>
      <c r="E2014" s="8">
        <f t="shared" si="33"/>
        <v>2011</v>
      </c>
      <c r="F2014" t="s">
        <v>526</v>
      </c>
      <c r="G2014" s="9">
        <v>6371</v>
      </c>
      <c r="H2014" s="8">
        <v>11167</v>
      </c>
    </row>
    <row r="2015" spans="2:8" ht="17.5" customHeight="1" x14ac:dyDescent="0.4">
      <c r="B2015" t="s">
        <v>7</v>
      </c>
      <c r="C2015" t="s">
        <v>525</v>
      </c>
      <c r="D2015" s="7">
        <f>DATE(2012,5,14)</f>
        <v>41043</v>
      </c>
      <c r="E2015" s="8">
        <f t="shared" si="33"/>
        <v>2012</v>
      </c>
      <c r="F2015" t="s">
        <v>526</v>
      </c>
      <c r="G2015" s="9">
        <v>38189.919999999998</v>
      </c>
      <c r="H2015" s="8">
        <v>11556</v>
      </c>
    </row>
    <row r="2016" spans="2:8" ht="17.5" customHeight="1" x14ac:dyDescent="0.4">
      <c r="B2016" t="s">
        <v>7</v>
      </c>
      <c r="C2016" t="s">
        <v>525</v>
      </c>
      <c r="D2016" s="7">
        <f>DATE(2012,10,23)</f>
        <v>41205</v>
      </c>
      <c r="E2016" s="8">
        <f t="shared" si="33"/>
        <v>2012</v>
      </c>
      <c r="F2016" t="s">
        <v>526</v>
      </c>
      <c r="G2016" s="9">
        <v>23280.83</v>
      </c>
      <c r="H2016" s="8">
        <v>11915</v>
      </c>
    </row>
    <row r="2017" spans="2:8" ht="17.5" customHeight="1" x14ac:dyDescent="0.4">
      <c r="B2017" t="s">
        <v>7</v>
      </c>
      <c r="C2017" t="s">
        <v>525</v>
      </c>
      <c r="D2017" s="7">
        <f>DATE(2013,4,4)</f>
        <v>41368</v>
      </c>
      <c r="E2017" s="8">
        <f t="shared" si="33"/>
        <v>2013</v>
      </c>
      <c r="F2017" t="s">
        <v>526</v>
      </c>
      <c r="G2017" s="9">
        <v>21251.46</v>
      </c>
      <c r="H2017" s="8">
        <v>12272</v>
      </c>
    </row>
    <row r="2018" spans="2:8" ht="17.5" customHeight="1" x14ac:dyDescent="0.4">
      <c r="B2018" t="s">
        <v>7</v>
      </c>
      <c r="C2018" t="s">
        <v>525</v>
      </c>
      <c r="D2018" s="7">
        <f>DATE(2013,5,13)</f>
        <v>41407</v>
      </c>
      <c r="E2018" s="8">
        <f t="shared" si="33"/>
        <v>2013</v>
      </c>
      <c r="F2018" t="s">
        <v>526</v>
      </c>
      <c r="G2018" s="9">
        <v>23280.83</v>
      </c>
      <c r="H2018" s="8">
        <v>12379</v>
      </c>
    </row>
    <row r="2019" spans="2:8" ht="17.5" customHeight="1" x14ac:dyDescent="0.4">
      <c r="B2019" t="s">
        <v>7</v>
      </c>
      <c r="C2019" t="s">
        <v>525</v>
      </c>
      <c r="D2019" s="7">
        <f>DATE(2013,9,24)</f>
        <v>41541</v>
      </c>
      <c r="E2019" s="8">
        <f t="shared" si="33"/>
        <v>2013</v>
      </c>
      <c r="F2019" t="s">
        <v>526</v>
      </c>
      <c r="G2019" s="9">
        <v>4981</v>
      </c>
      <c r="H2019" s="8">
        <v>12680</v>
      </c>
    </row>
    <row r="2020" spans="2:8" ht="17.5" customHeight="1" x14ac:dyDescent="0.4">
      <c r="B2020" t="s">
        <v>7</v>
      </c>
      <c r="C2020" t="s">
        <v>525</v>
      </c>
      <c r="D2020" s="7">
        <f>DATE(2014,5,27)</f>
        <v>41786</v>
      </c>
      <c r="E2020" s="8">
        <f t="shared" si="33"/>
        <v>2014</v>
      </c>
      <c r="F2020" t="s">
        <v>526</v>
      </c>
      <c r="G2020" s="9">
        <v>21899.23</v>
      </c>
      <c r="H2020" s="8">
        <v>13123</v>
      </c>
    </row>
    <row r="2021" spans="2:8" ht="17.5" customHeight="1" x14ac:dyDescent="0.4">
      <c r="B2021" t="s">
        <v>7</v>
      </c>
      <c r="C2021" t="s">
        <v>525</v>
      </c>
      <c r="D2021" s="7">
        <f>DATE(2014,6,11)</f>
        <v>41801</v>
      </c>
      <c r="E2021" s="8">
        <f t="shared" si="33"/>
        <v>2014</v>
      </c>
      <c r="F2021" t="s">
        <v>526</v>
      </c>
      <c r="G2021" s="9">
        <v>21899.23</v>
      </c>
      <c r="H2021" s="8">
        <v>13130</v>
      </c>
    </row>
    <row r="2022" spans="2:8" ht="17.5" customHeight="1" x14ac:dyDescent="0.4">
      <c r="B2022" t="s">
        <v>7</v>
      </c>
      <c r="C2022" t="s">
        <v>525</v>
      </c>
      <c r="D2022" s="7">
        <f>DATE(2011,2,24)</f>
        <v>40598</v>
      </c>
      <c r="E2022" s="8">
        <f t="shared" si="33"/>
        <v>2011</v>
      </c>
      <c r="F2022" t="s">
        <v>526</v>
      </c>
      <c r="G2022" s="9">
        <v>7108.08</v>
      </c>
      <c r="H2022" s="8">
        <v>10506</v>
      </c>
    </row>
    <row r="2023" spans="2:8" ht="17.5" customHeight="1" x14ac:dyDescent="0.4">
      <c r="B2023" s="3" t="s">
        <v>7</v>
      </c>
      <c r="C2023" s="3" t="s">
        <v>525</v>
      </c>
      <c r="D2023" s="4">
        <f>DATE(2008,4,21)</f>
        <v>39559</v>
      </c>
      <c r="E2023" s="5">
        <f t="shared" si="33"/>
        <v>2008</v>
      </c>
      <c r="F2023" s="3" t="s">
        <v>526</v>
      </c>
      <c r="G2023" s="6">
        <v>3568</v>
      </c>
      <c r="H2023" s="5">
        <v>10463</v>
      </c>
    </row>
    <row r="2024" spans="2:8" ht="17.5" customHeight="1" x14ac:dyDescent="0.4">
      <c r="B2024" s="3" t="s">
        <v>7</v>
      </c>
      <c r="C2024" s="3" t="s">
        <v>525</v>
      </c>
      <c r="D2024" s="4">
        <f>DATE(2008,4,8)</f>
        <v>39546</v>
      </c>
      <c r="E2024" s="5">
        <f t="shared" si="33"/>
        <v>2008</v>
      </c>
      <c r="F2024" s="3" t="s">
        <v>526</v>
      </c>
      <c r="G2024" s="6">
        <v>15840</v>
      </c>
      <c r="H2024" s="5">
        <v>10303</v>
      </c>
    </row>
    <row r="2025" spans="2:8" ht="17.5" customHeight="1" x14ac:dyDescent="0.4">
      <c r="B2025" s="3" t="s">
        <v>7</v>
      </c>
      <c r="C2025" s="3" t="s">
        <v>525</v>
      </c>
      <c r="D2025" s="4">
        <f>DATE(2008,5,6)</f>
        <v>39574</v>
      </c>
      <c r="E2025" s="5">
        <f t="shared" si="33"/>
        <v>2008</v>
      </c>
      <c r="F2025" s="3" t="s">
        <v>526</v>
      </c>
      <c r="G2025" s="6">
        <v>15840</v>
      </c>
      <c r="H2025" s="5">
        <v>10573</v>
      </c>
    </row>
    <row r="2026" spans="2:8" ht="17.5" customHeight="1" x14ac:dyDescent="0.4">
      <c r="B2026" s="3" t="s">
        <v>7</v>
      </c>
      <c r="C2026" s="3" t="s">
        <v>525</v>
      </c>
      <c r="D2026" s="4">
        <f>DATE(2008,6,23)</f>
        <v>39622</v>
      </c>
      <c r="E2026" s="5">
        <f t="shared" si="33"/>
        <v>2008</v>
      </c>
      <c r="F2026" s="3" t="s">
        <v>526</v>
      </c>
      <c r="G2026" s="6">
        <v>3290</v>
      </c>
      <c r="H2026" s="5">
        <v>10861</v>
      </c>
    </row>
    <row r="2027" spans="2:8" ht="17.5" customHeight="1" x14ac:dyDescent="0.4">
      <c r="B2027" s="3" t="s">
        <v>7</v>
      </c>
      <c r="C2027" s="3" t="s">
        <v>525</v>
      </c>
      <c r="D2027" s="4">
        <f>DATE(2008,7,1)</f>
        <v>39630</v>
      </c>
      <c r="E2027" s="5">
        <f t="shared" si="33"/>
        <v>2008</v>
      </c>
      <c r="F2027" s="3" t="s">
        <v>526</v>
      </c>
      <c r="G2027" s="6">
        <v>2632</v>
      </c>
      <c r="H2027" s="5">
        <v>10903</v>
      </c>
    </row>
    <row r="2028" spans="2:8" ht="17.5" customHeight="1" x14ac:dyDescent="0.4">
      <c r="B2028" s="3" t="s">
        <v>7</v>
      </c>
      <c r="C2028" s="3" t="s">
        <v>525</v>
      </c>
      <c r="D2028" s="4">
        <f>DATE(2008,7,16)</f>
        <v>39645</v>
      </c>
      <c r="E2028" s="5">
        <f t="shared" si="33"/>
        <v>2008</v>
      </c>
      <c r="F2028" s="3" t="s">
        <v>526</v>
      </c>
      <c r="G2028" s="6">
        <v>3290</v>
      </c>
      <c r="H2028" s="5">
        <v>10956</v>
      </c>
    </row>
    <row r="2029" spans="2:8" ht="17.5" customHeight="1" x14ac:dyDescent="0.4">
      <c r="B2029" s="3" t="s">
        <v>7</v>
      </c>
      <c r="C2029" s="3" t="s">
        <v>525</v>
      </c>
      <c r="D2029" s="4">
        <f>DATE(2009,5,12)</f>
        <v>39945</v>
      </c>
      <c r="E2029" s="5">
        <f t="shared" si="33"/>
        <v>2009</v>
      </c>
      <c r="F2029" s="3" t="s">
        <v>526</v>
      </c>
      <c r="G2029" s="6">
        <v>17683.5</v>
      </c>
      <c r="H2029" s="5">
        <v>12434</v>
      </c>
    </row>
    <row r="2030" spans="2:8" ht="17.5" customHeight="1" x14ac:dyDescent="0.4">
      <c r="B2030" s="3" t="s">
        <v>7</v>
      </c>
      <c r="C2030" s="3" t="s">
        <v>525</v>
      </c>
      <c r="D2030" s="4">
        <f>DATE(2010,1,20)</f>
        <v>40198</v>
      </c>
      <c r="E2030" s="5">
        <f t="shared" si="33"/>
        <v>2010</v>
      </c>
      <c r="F2030" s="3" t="s">
        <v>526</v>
      </c>
      <c r="G2030" s="6">
        <v>17950</v>
      </c>
      <c r="H2030" s="5">
        <v>13418</v>
      </c>
    </row>
    <row r="2031" spans="2:8" ht="17.5" customHeight="1" x14ac:dyDescent="0.4">
      <c r="B2031" s="3" t="s">
        <v>7</v>
      </c>
      <c r="C2031" s="3" t="s">
        <v>525</v>
      </c>
      <c r="D2031" s="4">
        <f>DATE(2010,5,19)</f>
        <v>40317</v>
      </c>
      <c r="E2031" s="5">
        <f t="shared" si="33"/>
        <v>2010</v>
      </c>
      <c r="F2031" s="3" t="s">
        <v>526</v>
      </c>
      <c r="G2031" s="6">
        <v>17335</v>
      </c>
      <c r="H2031" s="5">
        <v>13963</v>
      </c>
    </row>
    <row r="2032" spans="2:8" ht="17.5" customHeight="1" x14ac:dyDescent="0.4">
      <c r="B2032" s="3" t="s">
        <v>7</v>
      </c>
      <c r="C2032" s="3" t="s">
        <v>525</v>
      </c>
      <c r="D2032" s="4">
        <f>DATE(2011,4,21)</f>
        <v>40654</v>
      </c>
      <c r="E2032" s="5">
        <f t="shared" si="33"/>
        <v>2011</v>
      </c>
      <c r="F2032" s="3" t="s">
        <v>526</v>
      </c>
      <c r="G2032" s="6">
        <v>14910</v>
      </c>
      <c r="H2032" s="5">
        <v>15244</v>
      </c>
    </row>
    <row r="2033" spans="2:8" ht="17.5" customHeight="1" x14ac:dyDescent="0.4">
      <c r="B2033" s="3" t="s">
        <v>7</v>
      </c>
      <c r="C2033" s="3" t="s">
        <v>525</v>
      </c>
      <c r="D2033" s="4">
        <f>DATE(2011,5,3)</f>
        <v>40666</v>
      </c>
      <c r="E2033" s="5">
        <f t="shared" si="33"/>
        <v>2011</v>
      </c>
      <c r="F2033" s="3" t="s">
        <v>526</v>
      </c>
      <c r="G2033" s="6">
        <v>14910</v>
      </c>
      <c r="H2033" s="5">
        <v>15243</v>
      </c>
    </row>
    <row r="2034" spans="2:8" ht="17.5" customHeight="1" x14ac:dyDescent="0.4">
      <c r="B2034" s="3" t="s">
        <v>7</v>
      </c>
      <c r="C2034" s="3" t="s">
        <v>525</v>
      </c>
      <c r="D2034" s="4">
        <f>DATE(2011,8,26)</f>
        <v>40781</v>
      </c>
      <c r="E2034" s="5">
        <f t="shared" si="33"/>
        <v>2011</v>
      </c>
      <c r="F2034" s="3" t="s">
        <v>526</v>
      </c>
      <c r="G2034" s="6">
        <v>530.08000000000004</v>
      </c>
      <c r="H2034" s="5">
        <v>15908</v>
      </c>
    </row>
    <row r="2035" spans="2:8" ht="17.5" customHeight="1" x14ac:dyDescent="0.4">
      <c r="B2035" s="3" t="s">
        <v>7</v>
      </c>
      <c r="C2035" s="3" t="s">
        <v>525</v>
      </c>
      <c r="D2035" s="4">
        <f>DATE(2012,8,22)</f>
        <v>41143</v>
      </c>
      <c r="E2035" s="5">
        <f t="shared" si="33"/>
        <v>2012</v>
      </c>
      <c r="F2035" s="3" t="s">
        <v>526</v>
      </c>
      <c r="G2035" s="6">
        <v>3290</v>
      </c>
      <c r="H2035" s="5">
        <v>17489</v>
      </c>
    </row>
    <row r="2036" spans="2:8" ht="17.5" customHeight="1" x14ac:dyDescent="0.4">
      <c r="B2036" s="3" t="s">
        <v>7</v>
      </c>
      <c r="C2036" s="3" t="s">
        <v>525</v>
      </c>
      <c r="D2036" s="4">
        <f>DATE(2012,10,11)</f>
        <v>41193</v>
      </c>
      <c r="E2036" s="5">
        <f t="shared" si="33"/>
        <v>2012</v>
      </c>
      <c r="F2036" s="3" t="s">
        <v>526</v>
      </c>
      <c r="G2036" s="6">
        <v>14910</v>
      </c>
      <c r="H2036" s="5">
        <v>17671</v>
      </c>
    </row>
    <row r="2037" spans="2:8" ht="17.5" customHeight="1" x14ac:dyDescent="0.4">
      <c r="B2037" s="3" t="s">
        <v>7</v>
      </c>
      <c r="C2037" s="3" t="s">
        <v>525</v>
      </c>
      <c r="D2037" s="4">
        <f>DATE(2013,4,5)</f>
        <v>41369</v>
      </c>
      <c r="E2037" s="5">
        <f t="shared" si="33"/>
        <v>2013</v>
      </c>
      <c r="F2037" s="3" t="s">
        <v>526</v>
      </c>
      <c r="G2037" s="6">
        <v>14910</v>
      </c>
      <c r="H2037" s="5">
        <v>18271</v>
      </c>
    </row>
    <row r="2038" spans="2:8" ht="17.5" customHeight="1" x14ac:dyDescent="0.4">
      <c r="B2038" s="3" t="s">
        <v>7</v>
      </c>
      <c r="C2038" s="3" t="s">
        <v>525</v>
      </c>
      <c r="D2038" s="4">
        <f>DATE(2013,5,13)</f>
        <v>41407</v>
      </c>
      <c r="E2038" s="5">
        <f t="shared" si="33"/>
        <v>2013</v>
      </c>
      <c r="F2038" s="3" t="s">
        <v>526</v>
      </c>
      <c r="G2038" s="6">
        <v>14910</v>
      </c>
      <c r="H2038" s="5">
        <v>18412</v>
      </c>
    </row>
    <row r="2039" spans="2:8" ht="17.5" customHeight="1" x14ac:dyDescent="0.4">
      <c r="B2039" s="3" t="s">
        <v>7</v>
      </c>
      <c r="C2039" s="3" t="s">
        <v>525</v>
      </c>
      <c r="D2039" s="4">
        <f>DATE(2014,5,30)</f>
        <v>41789</v>
      </c>
      <c r="E2039" s="5">
        <f t="shared" si="33"/>
        <v>2014</v>
      </c>
      <c r="F2039" s="3" t="s">
        <v>526</v>
      </c>
      <c r="G2039" s="6">
        <v>14910</v>
      </c>
      <c r="H2039" s="5">
        <v>19800</v>
      </c>
    </row>
    <row r="2040" spans="2:8" ht="17.5" customHeight="1" x14ac:dyDescent="0.4">
      <c r="B2040" s="3" t="s">
        <v>7</v>
      </c>
      <c r="C2040" s="3" t="s">
        <v>525</v>
      </c>
      <c r="D2040" s="4">
        <f>DATE(2014,6,23)</f>
        <v>41813</v>
      </c>
      <c r="E2040" s="5">
        <f t="shared" si="33"/>
        <v>2014</v>
      </c>
      <c r="F2040" s="3" t="s">
        <v>526</v>
      </c>
      <c r="G2040" s="6">
        <v>14910</v>
      </c>
      <c r="H2040" s="5">
        <v>19807</v>
      </c>
    </row>
    <row r="2041" spans="2:8" ht="17.5" customHeight="1" x14ac:dyDescent="0.4">
      <c r="B2041" t="s">
        <v>7</v>
      </c>
      <c r="C2041" t="s">
        <v>525</v>
      </c>
      <c r="D2041" s="7">
        <f>DATE(2006,1,23)</f>
        <v>38740</v>
      </c>
      <c r="E2041" s="8">
        <f t="shared" si="33"/>
        <v>2006</v>
      </c>
      <c r="F2041" t="s">
        <v>527</v>
      </c>
      <c r="G2041" s="9">
        <v>764.5</v>
      </c>
      <c r="H2041" s="8">
        <v>3996</v>
      </c>
    </row>
    <row r="2042" spans="2:8" ht="17.5" customHeight="1" x14ac:dyDescent="0.4">
      <c r="B2042" t="s">
        <v>7</v>
      </c>
      <c r="C2042" t="s">
        <v>525</v>
      </c>
      <c r="D2042" s="7">
        <f>DATE(2006,10,20)</f>
        <v>39010</v>
      </c>
      <c r="E2042" s="8">
        <f t="shared" si="33"/>
        <v>2006</v>
      </c>
      <c r="F2042" t="s">
        <v>527</v>
      </c>
      <c r="G2042" s="9">
        <v>2486</v>
      </c>
      <c r="H2042" s="8">
        <v>4921</v>
      </c>
    </row>
    <row r="2043" spans="2:8" ht="17.5" customHeight="1" x14ac:dyDescent="0.4">
      <c r="B2043" t="s">
        <v>7</v>
      </c>
      <c r="C2043" t="s">
        <v>525</v>
      </c>
      <c r="D2043" s="7">
        <f>DATE(2005,11,30)</f>
        <v>38686</v>
      </c>
      <c r="E2043" s="8">
        <f t="shared" si="33"/>
        <v>2005</v>
      </c>
      <c r="F2043" t="s">
        <v>527</v>
      </c>
      <c r="G2043" s="9">
        <v>15910</v>
      </c>
      <c r="H2043" s="8">
        <v>3526</v>
      </c>
    </row>
    <row r="2044" spans="2:8" ht="17.5" customHeight="1" x14ac:dyDescent="0.4">
      <c r="B2044" t="s">
        <v>7</v>
      </c>
      <c r="C2044" t="s">
        <v>525</v>
      </c>
      <c r="D2044" s="7">
        <f>DATE(2005,11,29)</f>
        <v>38685</v>
      </c>
      <c r="E2044" s="8">
        <f t="shared" si="33"/>
        <v>2005</v>
      </c>
      <c r="F2044" t="s">
        <v>527</v>
      </c>
      <c r="G2044" s="9">
        <v>1463.2</v>
      </c>
      <c r="H2044" s="8">
        <v>3818</v>
      </c>
    </row>
    <row r="2045" spans="2:8" ht="17.5" customHeight="1" x14ac:dyDescent="0.4">
      <c r="B2045" t="s">
        <v>7</v>
      </c>
      <c r="C2045" t="s">
        <v>525</v>
      </c>
      <c r="D2045" s="7">
        <f>DATE(2006,4,30)</f>
        <v>38837</v>
      </c>
      <c r="E2045" s="8">
        <f t="shared" si="33"/>
        <v>2006</v>
      </c>
      <c r="F2045" t="s">
        <v>527</v>
      </c>
      <c r="G2045" s="9">
        <v>16429.8</v>
      </c>
      <c r="H2045" s="8">
        <v>4296</v>
      </c>
    </row>
    <row r="2046" spans="2:8" ht="17.5" customHeight="1" x14ac:dyDescent="0.4">
      <c r="B2046" t="s">
        <v>7</v>
      </c>
      <c r="C2046" t="s">
        <v>525</v>
      </c>
      <c r="D2046" s="7">
        <f>DATE(2006,5,23)</f>
        <v>38860</v>
      </c>
      <c r="E2046" s="8">
        <f t="shared" si="33"/>
        <v>2006</v>
      </c>
      <c r="F2046" t="s">
        <v>527</v>
      </c>
      <c r="G2046" s="9">
        <v>16429.8</v>
      </c>
      <c r="H2046" s="8">
        <v>4471</v>
      </c>
    </row>
    <row r="2047" spans="2:8" ht="17.5" customHeight="1" x14ac:dyDescent="0.4">
      <c r="B2047" t="s">
        <v>7</v>
      </c>
      <c r="C2047" t="s">
        <v>525</v>
      </c>
      <c r="D2047" s="7">
        <f>DATE(2006,5,20)</f>
        <v>38857</v>
      </c>
      <c r="E2047" s="8">
        <f t="shared" si="33"/>
        <v>2006</v>
      </c>
      <c r="F2047" t="s">
        <v>527</v>
      </c>
      <c r="G2047" s="9">
        <v>1473.2</v>
      </c>
      <c r="H2047" s="8">
        <v>4580</v>
      </c>
    </row>
    <row r="2048" spans="2:8" ht="17.5" customHeight="1" x14ac:dyDescent="0.4">
      <c r="B2048" t="s">
        <v>7</v>
      </c>
      <c r="C2048" t="s">
        <v>525</v>
      </c>
      <c r="D2048" s="7">
        <f>DATE(2007,4,17)</f>
        <v>39189</v>
      </c>
      <c r="E2048" s="8">
        <f t="shared" si="33"/>
        <v>2007</v>
      </c>
      <c r="F2048" t="s">
        <v>527</v>
      </c>
      <c r="G2048" s="9">
        <v>21844.400000000001</v>
      </c>
      <c r="H2048" s="8">
        <v>5446</v>
      </c>
    </row>
    <row r="2049" spans="2:8" ht="17.5" customHeight="1" x14ac:dyDescent="0.4">
      <c r="B2049" t="s">
        <v>7</v>
      </c>
      <c r="C2049" t="s">
        <v>525</v>
      </c>
      <c r="D2049" s="7">
        <f>DATE(2007,5,1)</f>
        <v>39203</v>
      </c>
      <c r="E2049" s="8">
        <f t="shared" si="33"/>
        <v>2007</v>
      </c>
      <c r="F2049" t="s">
        <v>527</v>
      </c>
      <c r="G2049" s="9">
        <v>22424.1</v>
      </c>
      <c r="H2049" s="8">
        <v>5751</v>
      </c>
    </row>
    <row r="2050" spans="2:8" ht="17.5" customHeight="1" x14ac:dyDescent="0.4">
      <c r="B2050" s="3" t="s">
        <v>7</v>
      </c>
      <c r="C2050" s="3" t="s">
        <v>525</v>
      </c>
      <c r="D2050" s="4">
        <f>DATE(2006,4,29)</f>
        <v>38836</v>
      </c>
      <c r="E2050" s="5">
        <f t="shared" si="33"/>
        <v>2006</v>
      </c>
      <c r="F2050" s="3" t="s">
        <v>527</v>
      </c>
      <c r="G2050" s="6">
        <v>15180</v>
      </c>
      <c r="H2050" s="5">
        <v>6460</v>
      </c>
    </row>
    <row r="2051" spans="2:8" ht="17.5" customHeight="1" x14ac:dyDescent="0.4">
      <c r="B2051" s="3" t="s">
        <v>7</v>
      </c>
      <c r="C2051" s="3" t="s">
        <v>525</v>
      </c>
      <c r="D2051" s="4">
        <f>DATE(2006,5,20)</f>
        <v>38857</v>
      </c>
      <c r="E2051" s="5">
        <f t="shared" ref="E2051:E2114" si="34">YEAR(D2051)</f>
        <v>2006</v>
      </c>
      <c r="F2051" s="3" t="s">
        <v>527</v>
      </c>
      <c r="G2051" s="6">
        <v>916.5</v>
      </c>
      <c r="H2051" s="5">
        <v>6658</v>
      </c>
    </row>
    <row r="2052" spans="2:8" ht="17.5" customHeight="1" x14ac:dyDescent="0.4">
      <c r="B2052" s="3" t="s">
        <v>7</v>
      </c>
      <c r="C2052" s="3" t="s">
        <v>525</v>
      </c>
      <c r="D2052" s="4">
        <f>DATE(2006,5,20)</f>
        <v>38857</v>
      </c>
      <c r="E2052" s="5">
        <f t="shared" si="34"/>
        <v>2006</v>
      </c>
      <c r="F2052" s="3" t="s">
        <v>527</v>
      </c>
      <c r="G2052" s="6">
        <v>15180</v>
      </c>
      <c r="H2052" s="5">
        <v>6493</v>
      </c>
    </row>
    <row r="2053" spans="2:8" ht="17.5" customHeight="1" x14ac:dyDescent="0.4">
      <c r="B2053" s="3" t="s">
        <v>7</v>
      </c>
      <c r="C2053" s="3" t="s">
        <v>525</v>
      </c>
      <c r="D2053" s="4">
        <f>DATE(2006,6,1)</f>
        <v>38869</v>
      </c>
      <c r="E2053" s="5">
        <f t="shared" si="34"/>
        <v>2006</v>
      </c>
      <c r="F2053" s="3" t="s">
        <v>527</v>
      </c>
      <c r="G2053" s="6">
        <v>987</v>
      </c>
      <c r="H2053" s="5">
        <v>6794</v>
      </c>
    </row>
    <row r="2054" spans="2:8" ht="17.5" customHeight="1" x14ac:dyDescent="0.4">
      <c r="B2054" s="3" t="s">
        <v>7</v>
      </c>
      <c r="C2054" s="3" t="s">
        <v>525</v>
      </c>
      <c r="D2054" s="4">
        <f>DATE(2007,4,14)</f>
        <v>39186</v>
      </c>
      <c r="E2054" s="5">
        <f t="shared" si="34"/>
        <v>2007</v>
      </c>
      <c r="F2054" s="3" t="s">
        <v>527</v>
      </c>
      <c r="G2054" s="6">
        <v>15180</v>
      </c>
      <c r="H2054" s="5">
        <v>8209</v>
      </c>
    </row>
    <row r="2055" spans="2:8" ht="17.5" customHeight="1" x14ac:dyDescent="0.4">
      <c r="B2055" s="3" t="s">
        <v>7</v>
      </c>
      <c r="C2055" s="3" t="s">
        <v>525</v>
      </c>
      <c r="D2055" s="4">
        <f>DATE(2007,5,1)</f>
        <v>39203</v>
      </c>
      <c r="E2055" s="5">
        <f t="shared" si="34"/>
        <v>2007</v>
      </c>
      <c r="F2055" s="3" t="s">
        <v>527</v>
      </c>
      <c r="G2055" s="6">
        <v>15180</v>
      </c>
      <c r="H2055" s="5">
        <v>8187</v>
      </c>
    </row>
    <row r="2056" spans="2:8" ht="17.5" customHeight="1" x14ac:dyDescent="0.4">
      <c r="B2056" s="3" t="s">
        <v>7</v>
      </c>
      <c r="C2056" s="3" t="s">
        <v>525</v>
      </c>
      <c r="D2056" s="4">
        <f>DATE(2007,5,11)</f>
        <v>39213</v>
      </c>
      <c r="E2056" s="5">
        <f t="shared" si="34"/>
        <v>2007</v>
      </c>
      <c r="F2056" s="3" t="s">
        <v>527</v>
      </c>
      <c r="G2056" s="6">
        <v>260</v>
      </c>
      <c r="H2056" s="5">
        <v>8555</v>
      </c>
    </row>
    <row r="2057" spans="2:8" ht="17.5" customHeight="1" x14ac:dyDescent="0.4">
      <c r="B2057" t="s">
        <v>7</v>
      </c>
      <c r="C2057" t="s">
        <v>525</v>
      </c>
      <c r="D2057" s="7">
        <f>DATE(2004,7,28)</f>
        <v>38196</v>
      </c>
      <c r="E2057" s="8">
        <f t="shared" si="34"/>
        <v>2004</v>
      </c>
      <c r="F2057" t="s">
        <v>528</v>
      </c>
      <c r="G2057" s="9">
        <v>463</v>
      </c>
      <c r="H2057" s="8">
        <v>2015</v>
      </c>
    </row>
    <row r="2058" spans="2:8" ht="17.5" customHeight="1" x14ac:dyDescent="0.4">
      <c r="B2058" t="s">
        <v>7</v>
      </c>
      <c r="C2058" t="s">
        <v>525</v>
      </c>
      <c r="D2058" s="7">
        <f>DATE(2005,3,7)</f>
        <v>38418</v>
      </c>
      <c r="E2058" s="8">
        <f t="shared" si="34"/>
        <v>2005</v>
      </c>
      <c r="F2058" t="s">
        <v>528</v>
      </c>
      <c r="G2058" s="9">
        <v>761</v>
      </c>
      <c r="H2058" s="8">
        <v>2641</v>
      </c>
    </row>
    <row r="2059" spans="2:8" ht="17.5" customHeight="1" x14ac:dyDescent="0.4">
      <c r="B2059" t="s">
        <v>7</v>
      </c>
      <c r="C2059" t="s">
        <v>525</v>
      </c>
      <c r="D2059" s="7">
        <f>DATE(2005,3,18)</f>
        <v>38429</v>
      </c>
      <c r="E2059" s="8">
        <f t="shared" si="34"/>
        <v>2005</v>
      </c>
      <c r="F2059" t="s">
        <v>528</v>
      </c>
      <c r="G2059" s="9">
        <v>175</v>
      </c>
      <c r="H2059" s="8">
        <v>2967</v>
      </c>
    </row>
    <row r="2060" spans="2:8" ht="17.5" customHeight="1" x14ac:dyDescent="0.4">
      <c r="B2060" t="s">
        <v>7</v>
      </c>
      <c r="C2060" t="s">
        <v>525</v>
      </c>
      <c r="D2060" s="7">
        <f>DATE(2003,1,24)</f>
        <v>37645</v>
      </c>
      <c r="E2060" s="8">
        <f t="shared" si="34"/>
        <v>2003</v>
      </c>
      <c r="F2060" t="s">
        <v>528</v>
      </c>
      <c r="G2060" s="9">
        <v>529</v>
      </c>
      <c r="H2060" s="8">
        <v>138</v>
      </c>
    </row>
    <row r="2061" spans="2:8" ht="17.5" customHeight="1" x14ac:dyDescent="0.4">
      <c r="B2061" t="s">
        <v>7</v>
      </c>
      <c r="C2061" t="s">
        <v>525</v>
      </c>
      <c r="D2061" s="7">
        <f>DATE(2003,5,27)</f>
        <v>37768</v>
      </c>
      <c r="E2061" s="8">
        <f t="shared" si="34"/>
        <v>2003</v>
      </c>
      <c r="F2061" t="s">
        <v>528</v>
      </c>
      <c r="G2061" s="9">
        <v>456</v>
      </c>
      <c r="H2061" s="8">
        <v>626</v>
      </c>
    </row>
    <row r="2062" spans="2:8" ht="17.5" customHeight="1" x14ac:dyDescent="0.4">
      <c r="B2062" t="s">
        <v>7</v>
      </c>
      <c r="C2062" t="s">
        <v>525</v>
      </c>
      <c r="D2062" s="7">
        <f>DATE(2003,5,8)</f>
        <v>37749</v>
      </c>
      <c r="E2062" s="8">
        <f t="shared" si="34"/>
        <v>2003</v>
      </c>
      <c r="F2062" t="s">
        <v>528</v>
      </c>
      <c r="G2062" s="9">
        <v>54439</v>
      </c>
      <c r="H2062" s="8">
        <v>462</v>
      </c>
    </row>
    <row r="2063" spans="2:8" ht="17.5" customHeight="1" x14ac:dyDescent="0.4">
      <c r="B2063" t="s">
        <v>7</v>
      </c>
      <c r="C2063" t="s">
        <v>525</v>
      </c>
      <c r="D2063" s="7">
        <f>DATE(2003,10,12)</f>
        <v>37906</v>
      </c>
      <c r="E2063" s="8">
        <f t="shared" si="34"/>
        <v>2003</v>
      </c>
      <c r="F2063" t="s">
        <v>528</v>
      </c>
      <c r="G2063" s="9">
        <v>3209.83</v>
      </c>
      <c r="H2063" s="8">
        <v>921</v>
      </c>
    </row>
    <row r="2064" spans="2:8" ht="17.5" customHeight="1" x14ac:dyDescent="0.4">
      <c r="B2064" t="s">
        <v>7</v>
      </c>
      <c r="C2064" t="s">
        <v>525</v>
      </c>
      <c r="D2064" s="7">
        <f>DATE(2004,5,20)</f>
        <v>38127</v>
      </c>
      <c r="E2064" s="8">
        <f t="shared" si="34"/>
        <v>2004</v>
      </c>
      <c r="F2064" t="s">
        <v>528</v>
      </c>
      <c r="G2064" s="9">
        <v>13233</v>
      </c>
      <c r="H2064" s="8">
        <v>1676</v>
      </c>
    </row>
    <row r="2065" spans="2:8" ht="17.5" customHeight="1" x14ac:dyDescent="0.4">
      <c r="B2065" t="s">
        <v>7</v>
      </c>
      <c r="C2065" t="s">
        <v>525</v>
      </c>
      <c r="D2065" s="7">
        <f>DATE(2004,5,4)</f>
        <v>38111</v>
      </c>
      <c r="E2065" s="8">
        <f t="shared" si="34"/>
        <v>2004</v>
      </c>
      <c r="F2065" t="s">
        <v>528</v>
      </c>
      <c r="G2065" s="9">
        <v>14928</v>
      </c>
      <c r="H2065" s="8">
        <v>1675</v>
      </c>
    </row>
    <row r="2066" spans="2:8" ht="17.5" customHeight="1" x14ac:dyDescent="0.4">
      <c r="B2066" t="s">
        <v>7</v>
      </c>
      <c r="C2066" t="s">
        <v>525</v>
      </c>
      <c r="D2066" s="7">
        <f>DATE(2005,4,24)</f>
        <v>38466</v>
      </c>
      <c r="E2066" s="8">
        <f t="shared" si="34"/>
        <v>2005</v>
      </c>
      <c r="F2066" t="s">
        <v>528</v>
      </c>
      <c r="G2066" s="9">
        <v>2590.35</v>
      </c>
      <c r="H2066" s="8">
        <v>3103</v>
      </c>
    </row>
    <row r="2067" spans="2:8" ht="17.5" customHeight="1" x14ac:dyDescent="0.4">
      <c r="B2067" t="s">
        <v>7</v>
      </c>
      <c r="C2067" t="s">
        <v>525</v>
      </c>
      <c r="D2067" s="7">
        <f>DATE(2005,5,23)</f>
        <v>38495</v>
      </c>
      <c r="E2067" s="8">
        <f t="shared" si="34"/>
        <v>2005</v>
      </c>
      <c r="F2067" t="s">
        <v>528</v>
      </c>
      <c r="G2067" s="9">
        <v>17070</v>
      </c>
      <c r="H2067" s="8">
        <v>3171</v>
      </c>
    </row>
    <row r="2068" spans="2:8" ht="17.5" customHeight="1" x14ac:dyDescent="0.4">
      <c r="B2068" t="s">
        <v>7</v>
      </c>
      <c r="C2068" t="s">
        <v>525</v>
      </c>
      <c r="D2068" s="7">
        <f>DATE(2005,11,20)</f>
        <v>38676</v>
      </c>
      <c r="E2068" s="8">
        <f t="shared" si="34"/>
        <v>2005</v>
      </c>
      <c r="F2068" t="s">
        <v>528</v>
      </c>
      <c r="G2068" s="9">
        <v>5474.85</v>
      </c>
      <c r="H2068" s="8">
        <v>3763</v>
      </c>
    </row>
    <row r="2069" spans="2:8" ht="17.5" customHeight="1" x14ac:dyDescent="0.4">
      <c r="B2069" s="3" t="s">
        <v>7</v>
      </c>
      <c r="C2069" s="3" t="s">
        <v>525</v>
      </c>
      <c r="D2069" s="4">
        <f>DATE(2003,2,7)</f>
        <v>37659</v>
      </c>
      <c r="E2069" s="5">
        <f t="shared" si="34"/>
        <v>2003</v>
      </c>
      <c r="F2069" s="3" t="s">
        <v>528</v>
      </c>
      <c r="G2069" s="6">
        <v>598</v>
      </c>
      <c r="H2069" s="5">
        <v>236</v>
      </c>
    </row>
    <row r="2070" spans="2:8" ht="17.5" customHeight="1" x14ac:dyDescent="0.4">
      <c r="B2070" s="3" t="s">
        <v>7</v>
      </c>
      <c r="C2070" s="3" t="s">
        <v>525</v>
      </c>
      <c r="D2070" s="4">
        <f>DATE(2003,10,16)</f>
        <v>37910</v>
      </c>
      <c r="E2070" s="5">
        <f t="shared" si="34"/>
        <v>2003</v>
      </c>
      <c r="F2070" s="3" t="s">
        <v>528</v>
      </c>
      <c r="G2070" s="6">
        <v>57.8</v>
      </c>
      <c r="H2070" s="5">
        <v>1654</v>
      </c>
    </row>
    <row r="2071" spans="2:8" ht="17.5" customHeight="1" x14ac:dyDescent="0.4">
      <c r="B2071" s="3" t="s">
        <v>7</v>
      </c>
      <c r="C2071" s="3" t="s">
        <v>525</v>
      </c>
      <c r="D2071" s="4">
        <f>DATE(2003,11,5)</f>
        <v>37930</v>
      </c>
      <c r="E2071" s="5">
        <f t="shared" si="34"/>
        <v>2003</v>
      </c>
      <c r="F2071" s="3" t="s">
        <v>528</v>
      </c>
      <c r="G2071" s="6">
        <v>1307.58</v>
      </c>
      <c r="H2071" s="5">
        <v>1736</v>
      </c>
    </row>
    <row r="2072" spans="2:8" ht="17.5" customHeight="1" x14ac:dyDescent="0.4">
      <c r="B2072" s="3" t="s">
        <v>7</v>
      </c>
      <c r="C2072" s="3" t="s">
        <v>525</v>
      </c>
      <c r="D2072" s="4">
        <f>DATE(2003,11,12)</f>
        <v>37937</v>
      </c>
      <c r="E2072" s="5">
        <f t="shared" si="34"/>
        <v>2003</v>
      </c>
      <c r="F2072" s="3" t="s">
        <v>528</v>
      </c>
      <c r="G2072" s="6">
        <v>878.75</v>
      </c>
      <c r="H2072" s="5">
        <v>1736</v>
      </c>
    </row>
    <row r="2073" spans="2:8" ht="17.5" customHeight="1" x14ac:dyDescent="0.4">
      <c r="B2073" s="3" t="s">
        <v>7</v>
      </c>
      <c r="C2073" s="3" t="s">
        <v>525</v>
      </c>
      <c r="D2073" s="4">
        <f>DATE(2004,5,6)</f>
        <v>38113</v>
      </c>
      <c r="E2073" s="5">
        <f t="shared" si="34"/>
        <v>2004</v>
      </c>
      <c r="F2073" s="3" t="s">
        <v>528</v>
      </c>
      <c r="G2073" s="6">
        <v>500</v>
      </c>
      <c r="H2073" s="5">
        <v>2833</v>
      </c>
    </row>
    <row r="2074" spans="2:8" ht="17.5" customHeight="1" x14ac:dyDescent="0.4">
      <c r="B2074" s="3" t="s">
        <v>7</v>
      </c>
      <c r="C2074" s="3" t="s">
        <v>525</v>
      </c>
      <c r="D2074" s="4">
        <f>DATE(2004,5,1)</f>
        <v>38108</v>
      </c>
      <c r="E2074" s="5">
        <f t="shared" si="34"/>
        <v>2004</v>
      </c>
      <c r="F2074" s="3" t="s">
        <v>528</v>
      </c>
      <c r="G2074" s="6">
        <v>15180</v>
      </c>
      <c r="H2074" s="5">
        <v>2731</v>
      </c>
    </row>
    <row r="2075" spans="2:8" ht="17.5" customHeight="1" x14ac:dyDescent="0.4">
      <c r="B2075" s="3" t="s">
        <v>7</v>
      </c>
      <c r="C2075" s="3" t="s">
        <v>525</v>
      </c>
      <c r="D2075" s="4">
        <f>DATE(2004,5,15)</f>
        <v>38122</v>
      </c>
      <c r="E2075" s="5">
        <f t="shared" si="34"/>
        <v>2004</v>
      </c>
      <c r="F2075" s="3" t="s">
        <v>528</v>
      </c>
      <c r="G2075" s="6">
        <v>15180</v>
      </c>
      <c r="H2075" s="5">
        <v>2730</v>
      </c>
    </row>
    <row r="2076" spans="2:8" ht="17.5" customHeight="1" x14ac:dyDescent="0.4">
      <c r="B2076" s="3" t="s">
        <v>7</v>
      </c>
      <c r="C2076" s="3" t="s">
        <v>525</v>
      </c>
      <c r="D2076" s="4">
        <f>DATE(2004,5,26)</f>
        <v>38133</v>
      </c>
      <c r="E2076" s="5">
        <f t="shared" si="34"/>
        <v>2004</v>
      </c>
      <c r="F2076" s="3" t="s">
        <v>528</v>
      </c>
      <c r="G2076" s="6">
        <v>150</v>
      </c>
      <c r="H2076" s="5">
        <v>2928</v>
      </c>
    </row>
    <row r="2077" spans="2:8" ht="17.5" customHeight="1" x14ac:dyDescent="0.4">
      <c r="B2077" s="3" t="s">
        <v>7</v>
      </c>
      <c r="C2077" s="3" t="s">
        <v>525</v>
      </c>
      <c r="D2077" s="4">
        <f>DATE(2004,6,11)</f>
        <v>38149</v>
      </c>
      <c r="E2077" s="5">
        <f t="shared" si="34"/>
        <v>2004</v>
      </c>
      <c r="F2077" s="3" t="s">
        <v>528</v>
      </c>
      <c r="G2077" s="6">
        <v>2137.5</v>
      </c>
      <c r="H2077" s="5">
        <v>2973</v>
      </c>
    </row>
    <row r="2078" spans="2:8" ht="17.5" customHeight="1" x14ac:dyDescent="0.4">
      <c r="B2078" s="3" t="s">
        <v>7</v>
      </c>
      <c r="C2078" s="3" t="s">
        <v>525</v>
      </c>
      <c r="D2078" s="4">
        <f>DATE(2004,8,30)</f>
        <v>38229</v>
      </c>
      <c r="E2078" s="5">
        <f t="shared" si="34"/>
        <v>2004</v>
      </c>
      <c r="F2078" s="3" t="s">
        <v>528</v>
      </c>
      <c r="G2078" s="6">
        <v>250</v>
      </c>
      <c r="H2078" s="5">
        <v>3317</v>
      </c>
    </row>
    <row r="2079" spans="2:8" ht="17.5" customHeight="1" x14ac:dyDescent="0.4">
      <c r="B2079" s="3" t="s">
        <v>7</v>
      </c>
      <c r="C2079" s="3" t="s">
        <v>525</v>
      </c>
      <c r="D2079" s="4">
        <f>DATE(2004,11,16)</f>
        <v>38307</v>
      </c>
      <c r="E2079" s="5">
        <f t="shared" si="34"/>
        <v>2004</v>
      </c>
      <c r="F2079" s="3" t="s">
        <v>528</v>
      </c>
      <c r="G2079" s="6">
        <v>825</v>
      </c>
      <c r="H2079" s="5">
        <v>3717</v>
      </c>
    </row>
    <row r="2080" spans="2:8" ht="17.5" customHeight="1" x14ac:dyDescent="0.4">
      <c r="B2080" s="3" t="s">
        <v>7</v>
      </c>
      <c r="C2080" s="3" t="s">
        <v>525</v>
      </c>
      <c r="D2080" s="4">
        <f>DATE(2005,4,11)</f>
        <v>38453</v>
      </c>
      <c r="E2080" s="5">
        <f t="shared" si="34"/>
        <v>2005</v>
      </c>
      <c r="F2080" s="3" t="s">
        <v>528</v>
      </c>
      <c r="G2080" s="6">
        <v>4082</v>
      </c>
      <c r="H2080" s="5">
        <v>4445</v>
      </c>
    </row>
    <row r="2081" spans="2:8" ht="17.5" customHeight="1" x14ac:dyDescent="0.4">
      <c r="B2081" s="3" t="s">
        <v>7</v>
      </c>
      <c r="C2081" s="3" t="s">
        <v>525</v>
      </c>
      <c r="D2081" s="4">
        <f>DATE(2005,5,21)</f>
        <v>38493</v>
      </c>
      <c r="E2081" s="5">
        <f t="shared" si="34"/>
        <v>2005</v>
      </c>
      <c r="F2081" s="3" t="s">
        <v>528</v>
      </c>
      <c r="G2081" s="6">
        <v>15180</v>
      </c>
      <c r="H2081" s="5">
        <v>4727</v>
      </c>
    </row>
    <row r="2082" spans="2:8" ht="17.5" customHeight="1" x14ac:dyDescent="0.4">
      <c r="B2082" s="3" t="s">
        <v>7</v>
      </c>
      <c r="C2082" s="3" t="s">
        <v>525</v>
      </c>
      <c r="D2082" s="4">
        <f>DATE(2005,11,10)</f>
        <v>38666</v>
      </c>
      <c r="E2082" s="5">
        <f t="shared" si="34"/>
        <v>2005</v>
      </c>
      <c r="F2082" s="3" t="s">
        <v>528</v>
      </c>
      <c r="G2082" s="6">
        <v>4575</v>
      </c>
      <c r="H2082" s="5">
        <v>5523</v>
      </c>
    </row>
    <row r="2083" spans="2:8" ht="17.5" customHeight="1" x14ac:dyDescent="0.4">
      <c r="B2083" s="3" t="s">
        <v>7</v>
      </c>
      <c r="C2083" s="3" t="s">
        <v>525</v>
      </c>
      <c r="D2083" s="4">
        <f>DATE(2005,12,1)</f>
        <v>38687</v>
      </c>
      <c r="E2083" s="5">
        <f t="shared" si="34"/>
        <v>2005</v>
      </c>
      <c r="F2083" s="3" t="s">
        <v>528</v>
      </c>
      <c r="G2083" s="6">
        <v>4075</v>
      </c>
      <c r="H2083" s="5">
        <v>5632</v>
      </c>
    </row>
    <row r="2084" spans="2:8" ht="17.5" customHeight="1" x14ac:dyDescent="0.4">
      <c r="B2084" s="3" t="s">
        <v>7</v>
      </c>
      <c r="C2084" s="3" t="s">
        <v>525</v>
      </c>
      <c r="D2084" s="4">
        <f>DATE(2005,11,28)</f>
        <v>38684</v>
      </c>
      <c r="E2084" s="5">
        <f t="shared" si="34"/>
        <v>2005</v>
      </c>
      <c r="F2084" s="3" t="s">
        <v>528</v>
      </c>
      <c r="G2084" s="6">
        <v>750</v>
      </c>
      <c r="H2084" s="5">
        <v>5677</v>
      </c>
    </row>
    <row r="2085" spans="2:8" ht="17.5" customHeight="1" x14ac:dyDescent="0.4">
      <c r="B2085" s="3" t="s">
        <v>7</v>
      </c>
      <c r="C2085" s="3" t="s">
        <v>525</v>
      </c>
      <c r="D2085" s="4">
        <f>DATE(2005,11,27)</f>
        <v>38683</v>
      </c>
      <c r="E2085" s="5">
        <f t="shared" si="34"/>
        <v>2005</v>
      </c>
      <c r="F2085" s="3" t="s">
        <v>528</v>
      </c>
      <c r="G2085" s="6">
        <v>15180</v>
      </c>
      <c r="H2085" s="5">
        <v>4978</v>
      </c>
    </row>
    <row r="2086" spans="2:8" ht="17.5" customHeight="1" x14ac:dyDescent="0.4">
      <c r="B2086" s="3" t="s">
        <v>7</v>
      </c>
      <c r="C2086" s="3" t="s">
        <v>525</v>
      </c>
      <c r="D2086" s="4">
        <f>DATE(2005,12,7)</f>
        <v>38693</v>
      </c>
      <c r="E2086" s="5">
        <f t="shared" si="34"/>
        <v>2005</v>
      </c>
      <c r="F2086" s="3" t="s">
        <v>528</v>
      </c>
      <c r="G2086" s="6">
        <v>1711.5</v>
      </c>
      <c r="H2086" s="5">
        <v>5686</v>
      </c>
    </row>
    <row r="2087" spans="2:8" ht="17.5" customHeight="1" x14ac:dyDescent="0.4">
      <c r="B2087" s="3" t="s">
        <v>7</v>
      </c>
      <c r="C2087" s="3" t="s">
        <v>525</v>
      </c>
      <c r="D2087" s="4">
        <f>DATE(2005,12,7)</f>
        <v>38693</v>
      </c>
      <c r="E2087" s="5">
        <f t="shared" si="34"/>
        <v>2005</v>
      </c>
      <c r="F2087" s="3" t="s">
        <v>528</v>
      </c>
      <c r="G2087" s="6">
        <v>2363.5</v>
      </c>
      <c r="H2087" s="5">
        <v>5686</v>
      </c>
    </row>
    <row r="2088" spans="2:8" ht="17.5" customHeight="1" x14ac:dyDescent="0.4">
      <c r="B2088" t="s">
        <v>7</v>
      </c>
      <c r="C2088" t="s">
        <v>529</v>
      </c>
      <c r="D2088" s="7">
        <f>DATE(2016,4,6)</f>
        <v>42466</v>
      </c>
      <c r="E2088" s="8">
        <f t="shared" si="34"/>
        <v>2016</v>
      </c>
      <c r="F2088" t="s">
        <v>530</v>
      </c>
      <c r="G2088" s="9">
        <v>2507.79</v>
      </c>
      <c r="H2088" s="8">
        <v>22537</v>
      </c>
    </row>
    <row r="2089" spans="2:8" ht="17.5" customHeight="1" x14ac:dyDescent="0.4">
      <c r="B2089" t="s">
        <v>7</v>
      </c>
      <c r="C2089" t="s">
        <v>531</v>
      </c>
      <c r="D2089" s="7">
        <f>DATE(2008,5,8)</f>
        <v>39576</v>
      </c>
      <c r="E2089" s="8">
        <f t="shared" si="34"/>
        <v>2008</v>
      </c>
      <c r="F2089" t="s">
        <v>532</v>
      </c>
      <c r="G2089" s="9">
        <v>58</v>
      </c>
      <c r="H2089" s="8">
        <v>7431</v>
      </c>
    </row>
    <row r="2090" spans="2:8" ht="17.5" customHeight="1" x14ac:dyDescent="0.4">
      <c r="B2090" t="s">
        <v>7</v>
      </c>
      <c r="C2090" t="s">
        <v>531</v>
      </c>
      <c r="D2090" s="7">
        <f>DATE(2008,9,11)</f>
        <v>39702</v>
      </c>
      <c r="E2090" s="8">
        <f t="shared" si="34"/>
        <v>2008</v>
      </c>
      <c r="F2090" t="s">
        <v>532</v>
      </c>
      <c r="G2090" s="9">
        <v>828.67</v>
      </c>
      <c r="H2090" s="8">
        <v>7809</v>
      </c>
    </row>
    <row r="2091" spans="2:8" ht="17.5" customHeight="1" x14ac:dyDescent="0.4">
      <c r="B2091" t="s">
        <v>7</v>
      </c>
      <c r="C2091" t="s">
        <v>531</v>
      </c>
      <c r="D2091" s="7">
        <f>DATE(2007,8,17)</f>
        <v>39311</v>
      </c>
      <c r="E2091" s="8">
        <f t="shared" si="34"/>
        <v>2007</v>
      </c>
      <c r="F2091" t="s">
        <v>532</v>
      </c>
      <c r="G2091" s="9">
        <v>4771.07</v>
      </c>
      <c r="H2091" s="8">
        <v>6272</v>
      </c>
    </row>
    <row r="2092" spans="2:8" ht="17.5" customHeight="1" x14ac:dyDescent="0.4">
      <c r="B2092" t="s">
        <v>7</v>
      </c>
      <c r="C2092" t="s">
        <v>531</v>
      </c>
      <c r="D2092" s="7">
        <f>DATE(2014,8,8)</f>
        <v>41859</v>
      </c>
      <c r="E2092" s="8">
        <f t="shared" si="34"/>
        <v>2014</v>
      </c>
      <c r="F2092" t="s">
        <v>532</v>
      </c>
      <c r="G2092" s="9">
        <v>5940</v>
      </c>
      <c r="H2092" s="8">
        <v>13340</v>
      </c>
    </row>
    <row r="2093" spans="2:8" ht="17.5" customHeight="1" x14ac:dyDescent="0.4">
      <c r="B2093" t="s">
        <v>7</v>
      </c>
      <c r="C2093" t="s">
        <v>533</v>
      </c>
      <c r="D2093" s="7">
        <f>DATE(2015,3,5)</f>
        <v>42068</v>
      </c>
      <c r="E2093" s="8">
        <f t="shared" si="34"/>
        <v>2015</v>
      </c>
      <c r="F2093" t="s">
        <v>534</v>
      </c>
      <c r="G2093" s="9">
        <v>8161.34</v>
      </c>
      <c r="H2093" s="8">
        <v>20049</v>
      </c>
    </row>
    <row r="2094" spans="2:8" ht="17.5" customHeight="1" x14ac:dyDescent="0.4">
      <c r="B2094" t="s">
        <v>7</v>
      </c>
      <c r="C2094" t="s">
        <v>533</v>
      </c>
      <c r="D2094" s="7">
        <f>DATE(2017,1,30)</f>
        <v>42765</v>
      </c>
      <c r="E2094" s="8">
        <f t="shared" si="34"/>
        <v>2017</v>
      </c>
      <c r="F2094" t="s">
        <v>534</v>
      </c>
      <c r="G2094" s="9">
        <v>7272.74</v>
      </c>
      <c r="H2094" s="8">
        <v>24118</v>
      </c>
    </row>
    <row r="2095" spans="2:8" ht="17.5" customHeight="1" x14ac:dyDescent="0.4">
      <c r="B2095" t="s">
        <v>7</v>
      </c>
      <c r="C2095" t="s">
        <v>533</v>
      </c>
      <c r="D2095" s="7">
        <f>DATE(2007,3,4)</f>
        <v>39145</v>
      </c>
      <c r="E2095" s="8">
        <f t="shared" si="34"/>
        <v>2007</v>
      </c>
      <c r="F2095" t="s">
        <v>534</v>
      </c>
      <c r="G2095" s="9">
        <v>7143.23</v>
      </c>
      <c r="H2095" s="8">
        <v>5643</v>
      </c>
    </row>
    <row r="2096" spans="2:8" ht="17.5" customHeight="1" x14ac:dyDescent="0.4">
      <c r="B2096" t="s">
        <v>7</v>
      </c>
      <c r="C2096" t="s">
        <v>533</v>
      </c>
      <c r="D2096" s="7">
        <f>DATE(2007,3,25)</f>
        <v>39166</v>
      </c>
      <c r="E2096" s="8">
        <f t="shared" si="34"/>
        <v>2007</v>
      </c>
      <c r="F2096" t="s">
        <v>534</v>
      </c>
      <c r="G2096" s="9">
        <v>6986.6</v>
      </c>
      <c r="H2096" s="8">
        <v>5745</v>
      </c>
    </row>
    <row r="2097" spans="2:8" ht="17.5" customHeight="1" x14ac:dyDescent="0.4">
      <c r="B2097" t="s">
        <v>7</v>
      </c>
      <c r="C2097" t="s">
        <v>533</v>
      </c>
      <c r="D2097" s="7">
        <f>DATE(2007,4,25)</f>
        <v>39197</v>
      </c>
      <c r="E2097" s="8">
        <f t="shared" si="34"/>
        <v>2007</v>
      </c>
      <c r="F2097" t="s">
        <v>534</v>
      </c>
      <c r="G2097" s="9">
        <v>4758.8599999999997</v>
      </c>
      <c r="H2097" s="8">
        <v>5899</v>
      </c>
    </row>
    <row r="2098" spans="2:8" ht="17.5" customHeight="1" x14ac:dyDescent="0.4">
      <c r="B2098" t="s">
        <v>7</v>
      </c>
      <c r="C2098" t="s">
        <v>533</v>
      </c>
      <c r="D2098" s="7">
        <f>DATE(2007,8,31)</f>
        <v>39325</v>
      </c>
      <c r="E2098" s="8">
        <f t="shared" si="34"/>
        <v>2007</v>
      </c>
      <c r="F2098" t="s">
        <v>534</v>
      </c>
      <c r="G2098" s="9">
        <v>6998.58</v>
      </c>
      <c r="H2098" s="8">
        <v>6331</v>
      </c>
    </row>
    <row r="2099" spans="2:8" ht="17.5" customHeight="1" x14ac:dyDescent="0.4">
      <c r="B2099" t="s">
        <v>7</v>
      </c>
      <c r="C2099" t="s">
        <v>533</v>
      </c>
      <c r="D2099" s="7">
        <f>DATE(2007,9,8)</f>
        <v>39333</v>
      </c>
      <c r="E2099" s="8">
        <f t="shared" si="34"/>
        <v>2007</v>
      </c>
      <c r="F2099" t="s">
        <v>534</v>
      </c>
      <c r="G2099" s="9">
        <v>7764.28</v>
      </c>
      <c r="H2099" s="8">
        <v>6348</v>
      </c>
    </row>
    <row r="2100" spans="2:8" ht="17.5" customHeight="1" x14ac:dyDescent="0.4">
      <c r="B2100" t="s">
        <v>7</v>
      </c>
      <c r="C2100" t="s">
        <v>533</v>
      </c>
      <c r="D2100" s="7">
        <f>DATE(2007,11,20)</f>
        <v>39406</v>
      </c>
      <c r="E2100" s="8">
        <f t="shared" si="34"/>
        <v>2007</v>
      </c>
      <c r="F2100" t="s">
        <v>534</v>
      </c>
      <c r="G2100" s="9">
        <v>7565.17</v>
      </c>
      <c r="H2100" s="8">
        <v>6610</v>
      </c>
    </row>
    <row r="2101" spans="2:8" ht="17.5" customHeight="1" x14ac:dyDescent="0.4">
      <c r="B2101" t="s">
        <v>7</v>
      </c>
      <c r="C2101" t="s">
        <v>533</v>
      </c>
      <c r="D2101" s="7">
        <f>DATE(2008,5,2)</f>
        <v>39570</v>
      </c>
      <c r="E2101" s="8">
        <f t="shared" si="34"/>
        <v>2008</v>
      </c>
      <c r="F2101" t="s">
        <v>534</v>
      </c>
      <c r="G2101" s="9">
        <v>7904.82</v>
      </c>
      <c r="H2101" s="8">
        <v>7372</v>
      </c>
    </row>
    <row r="2102" spans="2:8" ht="17.5" customHeight="1" x14ac:dyDescent="0.4">
      <c r="B2102" t="s">
        <v>7</v>
      </c>
      <c r="C2102" t="s">
        <v>533</v>
      </c>
      <c r="D2102" s="7">
        <f>DATE(2008,5,6)</f>
        <v>39574</v>
      </c>
      <c r="E2102" s="8">
        <f t="shared" si="34"/>
        <v>2008</v>
      </c>
      <c r="F2102" t="s">
        <v>534</v>
      </c>
      <c r="G2102" s="9">
        <v>2627.88</v>
      </c>
      <c r="H2102" s="8">
        <v>7406</v>
      </c>
    </row>
    <row r="2103" spans="2:8" ht="17.5" customHeight="1" x14ac:dyDescent="0.4">
      <c r="B2103" t="s">
        <v>7</v>
      </c>
      <c r="C2103" t="s">
        <v>533</v>
      </c>
      <c r="D2103" s="7">
        <f>DATE(2008,6,26)</f>
        <v>39625</v>
      </c>
      <c r="E2103" s="8">
        <f t="shared" si="34"/>
        <v>2008</v>
      </c>
      <c r="F2103" t="s">
        <v>534</v>
      </c>
      <c r="G2103" s="9">
        <v>7812.79</v>
      </c>
      <c r="H2103" s="8">
        <v>7543</v>
      </c>
    </row>
    <row r="2104" spans="2:8" ht="17.5" customHeight="1" x14ac:dyDescent="0.4">
      <c r="B2104" t="s">
        <v>7</v>
      </c>
      <c r="C2104" t="s">
        <v>533</v>
      </c>
      <c r="D2104" s="7">
        <f>DATE(2008,9,4)</f>
        <v>39695</v>
      </c>
      <c r="E2104" s="8">
        <f t="shared" si="34"/>
        <v>2008</v>
      </c>
      <c r="F2104" t="s">
        <v>534</v>
      </c>
      <c r="G2104" s="9">
        <v>7970.52</v>
      </c>
      <c r="H2104" s="8">
        <v>7751</v>
      </c>
    </row>
    <row r="2105" spans="2:8" ht="17.5" customHeight="1" x14ac:dyDescent="0.4">
      <c r="B2105" t="s">
        <v>7</v>
      </c>
      <c r="C2105" t="s">
        <v>533</v>
      </c>
      <c r="D2105" s="7">
        <f>DATE(2009,12,14)</f>
        <v>40161</v>
      </c>
      <c r="E2105" s="8">
        <f t="shared" si="34"/>
        <v>2009</v>
      </c>
      <c r="F2105" t="s">
        <v>534</v>
      </c>
      <c r="G2105" s="9">
        <v>6670.89</v>
      </c>
      <c r="H2105" s="8">
        <v>9306</v>
      </c>
    </row>
    <row r="2106" spans="2:8" ht="17.5" customHeight="1" x14ac:dyDescent="0.4">
      <c r="B2106" t="s">
        <v>7</v>
      </c>
      <c r="C2106" t="s">
        <v>533</v>
      </c>
      <c r="D2106" s="7">
        <f>DATE(2010,5,4)</f>
        <v>40302</v>
      </c>
      <c r="E2106" s="8">
        <f t="shared" si="34"/>
        <v>2010</v>
      </c>
      <c r="F2106" t="s">
        <v>534</v>
      </c>
      <c r="G2106" s="9">
        <v>6228.71</v>
      </c>
      <c r="H2106" s="8">
        <v>9779</v>
      </c>
    </row>
    <row r="2107" spans="2:8" ht="17.5" customHeight="1" x14ac:dyDescent="0.4">
      <c r="B2107" t="s">
        <v>7</v>
      </c>
      <c r="C2107" t="s">
        <v>533</v>
      </c>
      <c r="D2107" s="7">
        <f>DATE(2011,4,5)</f>
        <v>40638</v>
      </c>
      <c r="E2107" s="8">
        <f t="shared" si="34"/>
        <v>2011</v>
      </c>
      <c r="F2107" t="s">
        <v>534</v>
      </c>
      <c r="G2107" s="9">
        <v>8344.26</v>
      </c>
      <c r="H2107" s="8">
        <v>10634</v>
      </c>
    </row>
    <row r="2108" spans="2:8" ht="17.5" customHeight="1" x14ac:dyDescent="0.4">
      <c r="B2108" t="s">
        <v>7</v>
      </c>
      <c r="C2108" t="s">
        <v>533</v>
      </c>
      <c r="D2108" s="7">
        <f>DATE(2012,1,25)</f>
        <v>40933</v>
      </c>
      <c r="E2108" s="8">
        <f t="shared" si="34"/>
        <v>2012</v>
      </c>
      <c r="F2108" t="s">
        <v>534</v>
      </c>
      <c r="G2108" s="9">
        <v>7774.28</v>
      </c>
      <c r="H2108" s="8">
        <v>11254</v>
      </c>
    </row>
    <row r="2109" spans="2:8" ht="17.5" customHeight="1" x14ac:dyDescent="0.4">
      <c r="B2109" t="s">
        <v>7</v>
      </c>
      <c r="C2109" t="s">
        <v>533</v>
      </c>
      <c r="D2109" s="7">
        <f>DATE(2014,3,27)</f>
        <v>41725</v>
      </c>
      <c r="E2109" s="8">
        <f t="shared" si="34"/>
        <v>2014</v>
      </c>
      <c r="F2109" t="s">
        <v>534</v>
      </c>
      <c r="G2109" s="9">
        <v>9985.68</v>
      </c>
      <c r="H2109" s="8">
        <v>13073</v>
      </c>
    </row>
    <row r="2110" spans="2:8" ht="17.5" customHeight="1" x14ac:dyDescent="0.4">
      <c r="B2110" t="s">
        <v>7</v>
      </c>
      <c r="C2110" t="s">
        <v>533</v>
      </c>
      <c r="D2110" s="7">
        <f>DATE(2014,7,31)</f>
        <v>41851</v>
      </c>
      <c r="E2110" s="8">
        <f t="shared" si="34"/>
        <v>2014</v>
      </c>
      <c r="F2110" t="s">
        <v>534</v>
      </c>
      <c r="G2110" s="9">
        <v>6845.91</v>
      </c>
      <c r="H2110" s="8">
        <v>13308</v>
      </c>
    </row>
    <row r="2111" spans="2:8" ht="17.5" customHeight="1" x14ac:dyDescent="0.4">
      <c r="B2111" t="s">
        <v>7</v>
      </c>
      <c r="C2111" t="s">
        <v>535</v>
      </c>
      <c r="D2111" s="7">
        <f>DATE(2015,5,21)</f>
        <v>42145</v>
      </c>
      <c r="E2111" s="8">
        <f t="shared" si="34"/>
        <v>2015</v>
      </c>
      <c r="F2111" t="s">
        <v>536</v>
      </c>
      <c r="G2111" s="9">
        <v>12631.21</v>
      </c>
      <c r="H2111" s="8">
        <v>20495</v>
      </c>
    </row>
    <row r="2112" spans="2:8" ht="17.5" customHeight="1" x14ac:dyDescent="0.4">
      <c r="B2112" t="s">
        <v>7</v>
      </c>
      <c r="C2112" t="s">
        <v>535</v>
      </c>
      <c r="D2112" s="7">
        <f>DATE(2018,3,8)</f>
        <v>43167</v>
      </c>
      <c r="E2112" s="8">
        <f t="shared" si="34"/>
        <v>2018</v>
      </c>
      <c r="F2112" t="s">
        <v>536</v>
      </c>
      <c r="G2112" s="9">
        <v>8698.2900000000009</v>
      </c>
      <c r="H2112" s="8">
        <v>26559</v>
      </c>
    </row>
    <row r="2113" spans="2:8" ht="17.5" customHeight="1" x14ac:dyDescent="0.4">
      <c r="B2113" t="s">
        <v>7</v>
      </c>
      <c r="C2113" t="s">
        <v>535</v>
      </c>
      <c r="D2113" s="7">
        <f>DATE(2014,3,11)</f>
        <v>41709</v>
      </c>
      <c r="E2113" s="8">
        <f t="shared" si="34"/>
        <v>2014</v>
      </c>
      <c r="F2113" t="s">
        <v>536</v>
      </c>
      <c r="G2113" s="9">
        <v>10212.9</v>
      </c>
      <c r="H2113" s="8">
        <v>13011</v>
      </c>
    </row>
    <row r="2114" spans="2:8" ht="17.5" customHeight="1" x14ac:dyDescent="0.4">
      <c r="B2114" t="s">
        <v>7</v>
      </c>
      <c r="C2114" t="s">
        <v>535</v>
      </c>
      <c r="D2114" s="7">
        <f>DATE(2013,3,6)</f>
        <v>41339</v>
      </c>
      <c r="E2114" s="8">
        <f t="shared" si="34"/>
        <v>2013</v>
      </c>
      <c r="F2114" t="s">
        <v>536</v>
      </c>
      <c r="G2114" s="9">
        <v>18786.37</v>
      </c>
      <c r="H2114" s="8">
        <v>12151</v>
      </c>
    </row>
    <row r="2115" spans="2:8" ht="17.5" customHeight="1" x14ac:dyDescent="0.4">
      <c r="B2115" t="s">
        <v>7</v>
      </c>
      <c r="C2115" t="s">
        <v>535</v>
      </c>
      <c r="D2115" s="7">
        <f>DATE(2013,4,19)</f>
        <v>41383</v>
      </c>
      <c r="E2115" s="8">
        <f t="shared" ref="E2115:E2178" si="35">YEAR(D2115)</f>
        <v>2013</v>
      </c>
      <c r="F2115" t="s">
        <v>536</v>
      </c>
      <c r="G2115" s="9">
        <v>8448.6200000000008</v>
      </c>
      <c r="H2115" s="8">
        <v>12362</v>
      </c>
    </row>
    <row r="2116" spans="2:8" ht="17.5" customHeight="1" x14ac:dyDescent="0.4">
      <c r="B2116" t="s">
        <v>7</v>
      </c>
      <c r="C2116" t="s">
        <v>535</v>
      </c>
      <c r="D2116" s="7">
        <f>DATE(2014,3,11)</f>
        <v>41709</v>
      </c>
      <c r="E2116" s="8">
        <f t="shared" si="35"/>
        <v>2014</v>
      </c>
      <c r="F2116" t="s">
        <v>536</v>
      </c>
      <c r="G2116" s="9">
        <v>11503.73</v>
      </c>
      <c r="H2116" s="8">
        <v>13010</v>
      </c>
    </row>
    <row r="2117" spans="2:8" ht="17.5" customHeight="1" x14ac:dyDescent="0.4">
      <c r="B2117" t="s">
        <v>7</v>
      </c>
      <c r="C2117" t="s">
        <v>535</v>
      </c>
      <c r="D2117" s="7">
        <f>DATE(2014,6,23)</f>
        <v>41813</v>
      </c>
      <c r="E2117" s="8">
        <f t="shared" si="35"/>
        <v>2014</v>
      </c>
      <c r="F2117" t="s">
        <v>536</v>
      </c>
      <c r="G2117" s="9">
        <v>5116.6099999999997</v>
      </c>
      <c r="H2117" s="8">
        <v>13284</v>
      </c>
    </row>
    <row r="2118" spans="2:8" ht="17.5" customHeight="1" x14ac:dyDescent="0.4">
      <c r="B2118" s="3" t="s">
        <v>7</v>
      </c>
      <c r="C2118" s="3" t="s">
        <v>535</v>
      </c>
      <c r="D2118" s="4">
        <f>DATE(2013,3,27)</f>
        <v>41360</v>
      </c>
      <c r="E2118" s="5">
        <f t="shared" si="35"/>
        <v>2013</v>
      </c>
      <c r="F2118" s="3" t="s">
        <v>536</v>
      </c>
      <c r="G2118" s="6">
        <v>1362.46</v>
      </c>
      <c r="H2118" s="5">
        <v>18369</v>
      </c>
    </row>
    <row r="2119" spans="2:8" ht="17.5" customHeight="1" x14ac:dyDescent="0.4">
      <c r="B2119" s="3" t="s">
        <v>7</v>
      </c>
      <c r="C2119" s="3" t="s">
        <v>535</v>
      </c>
      <c r="D2119" s="4">
        <f>DATE(2014,3,27)</f>
        <v>41725</v>
      </c>
      <c r="E2119" s="5">
        <f t="shared" si="35"/>
        <v>2014</v>
      </c>
      <c r="F2119" s="3" t="s">
        <v>536</v>
      </c>
      <c r="G2119" s="6">
        <v>278.72000000000003</v>
      </c>
      <c r="H2119" s="5">
        <v>19756</v>
      </c>
    </row>
    <row r="2120" spans="2:8" ht="17.5" customHeight="1" x14ac:dyDescent="0.4">
      <c r="B2120" t="s">
        <v>7</v>
      </c>
      <c r="C2120" t="s">
        <v>537</v>
      </c>
      <c r="D2120" s="7">
        <f>DATE(2016,5,16)</f>
        <v>42506</v>
      </c>
      <c r="E2120" s="8">
        <f t="shared" si="35"/>
        <v>2016</v>
      </c>
      <c r="F2120" t="s">
        <v>538</v>
      </c>
      <c r="G2120" s="9">
        <v>22372</v>
      </c>
      <c r="H2120" s="8">
        <v>22648</v>
      </c>
    </row>
    <row r="2121" spans="2:8" ht="17.5" customHeight="1" x14ac:dyDescent="0.4">
      <c r="B2121" t="s">
        <v>7</v>
      </c>
      <c r="C2121" t="s">
        <v>537</v>
      </c>
      <c r="D2121" s="7">
        <f>DATE(2017,8,4)</f>
        <v>42951</v>
      </c>
      <c r="E2121" s="8">
        <f t="shared" si="35"/>
        <v>2017</v>
      </c>
      <c r="F2121" t="s">
        <v>538</v>
      </c>
      <c r="G2121" s="9">
        <v>15710</v>
      </c>
      <c r="H2121" s="8">
        <v>25324</v>
      </c>
    </row>
    <row r="2122" spans="2:8" ht="17.5" customHeight="1" x14ac:dyDescent="0.4">
      <c r="B2122" t="s">
        <v>7</v>
      </c>
      <c r="C2122" t="s">
        <v>537</v>
      </c>
      <c r="D2122" s="7">
        <f>DATE(2016,5,16)</f>
        <v>42506</v>
      </c>
      <c r="E2122" s="8">
        <f t="shared" si="35"/>
        <v>2016</v>
      </c>
      <c r="F2122" t="s">
        <v>538</v>
      </c>
      <c r="G2122" s="9">
        <v>10700</v>
      </c>
      <c r="H2122" s="8">
        <v>22651</v>
      </c>
    </row>
    <row r="2123" spans="2:8" ht="17.5" customHeight="1" x14ac:dyDescent="0.4">
      <c r="B2123" t="s">
        <v>7</v>
      </c>
      <c r="C2123" t="s">
        <v>537</v>
      </c>
      <c r="D2123" s="7">
        <f>DATE(2014,11,12)</f>
        <v>41955</v>
      </c>
      <c r="E2123" s="8">
        <f t="shared" si="35"/>
        <v>2014</v>
      </c>
      <c r="F2123" t="s">
        <v>538</v>
      </c>
      <c r="G2123" s="9">
        <v>12100</v>
      </c>
      <c r="H2123" s="8">
        <v>13429</v>
      </c>
    </row>
    <row r="2124" spans="2:8" ht="17.5" customHeight="1" x14ac:dyDescent="0.4">
      <c r="B2124" t="s">
        <v>7</v>
      </c>
      <c r="C2124" t="s">
        <v>537</v>
      </c>
      <c r="D2124" s="7">
        <f>DATE(2002,3,5)</f>
        <v>37320</v>
      </c>
      <c r="E2124" s="8">
        <f t="shared" si="35"/>
        <v>2002</v>
      </c>
      <c r="F2124" t="s">
        <v>538</v>
      </c>
      <c r="G2124" s="9">
        <v>2876.32</v>
      </c>
      <c r="H2124" s="8">
        <v>308</v>
      </c>
    </row>
    <row r="2125" spans="2:8" ht="17.5" customHeight="1" x14ac:dyDescent="0.4">
      <c r="B2125" t="s">
        <v>7</v>
      </c>
      <c r="C2125" t="s">
        <v>537</v>
      </c>
      <c r="D2125" s="7">
        <f>DATE(2003,3,5)</f>
        <v>37685</v>
      </c>
      <c r="E2125" s="8">
        <f t="shared" si="35"/>
        <v>2003</v>
      </c>
      <c r="F2125" t="s">
        <v>538</v>
      </c>
      <c r="G2125" s="9">
        <v>2876.32</v>
      </c>
      <c r="H2125" s="8">
        <v>383</v>
      </c>
    </row>
    <row r="2126" spans="2:8" ht="17.5" customHeight="1" x14ac:dyDescent="0.4">
      <c r="B2126" t="s">
        <v>7</v>
      </c>
      <c r="C2126" t="s">
        <v>537</v>
      </c>
      <c r="D2126" s="7">
        <f>DATE(2003,4,18)</f>
        <v>37729</v>
      </c>
      <c r="E2126" s="8">
        <f t="shared" si="35"/>
        <v>2003</v>
      </c>
      <c r="F2126" t="s">
        <v>538</v>
      </c>
      <c r="G2126" s="9">
        <v>7120</v>
      </c>
      <c r="H2126" s="8">
        <v>241</v>
      </c>
    </row>
    <row r="2127" spans="2:8" ht="17.5" customHeight="1" x14ac:dyDescent="0.4">
      <c r="B2127" t="s">
        <v>7</v>
      </c>
      <c r="C2127" t="s">
        <v>537</v>
      </c>
      <c r="D2127" s="7">
        <f>DATE(2003,5,20)</f>
        <v>37761</v>
      </c>
      <c r="E2127" s="8">
        <f t="shared" si="35"/>
        <v>2003</v>
      </c>
      <c r="F2127" t="s">
        <v>538</v>
      </c>
      <c r="G2127" s="9">
        <v>32651.99</v>
      </c>
      <c r="H2127" s="8">
        <v>377</v>
      </c>
    </row>
    <row r="2128" spans="2:8" ht="17.5" customHeight="1" x14ac:dyDescent="0.4">
      <c r="B2128" t="s">
        <v>7</v>
      </c>
      <c r="C2128" t="s">
        <v>537</v>
      </c>
      <c r="D2128" s="7">
        <f>DATE(2003,4,21)</f>
        <v>37732</v>
      </c>
      <c r="E2128" s="8">
        <f t="shared" si="35"/>
        <v>2003</v>
      </c>
      <c r="F2128" t="s">
        <v>538</v>
      </c>
      <c r="G2128" s="9">
        <v>8902.5300000000007</v>
      </c>
      <c r="H2128" s="8">
        <v>242</v>
      </c>
    </row>
    <row r="2129" spans="2:8" ht="17.5" customHeight="1" x14ac:dyDescent="0.4">
      <c r="B2129" t="s">
        <v>7</v>
      </c>
      <c r="C2129" t="s">
        <v>537</v>
      </c>
      <c r="D2129" s="7">
        <f>DATE(2004,5,8)</f>
        <v>38115</v>
      </c>
      <c r="E2129" s="8">
        <f t="shared" si="35"/>
        <v>2004</v>
      </c>
      <c r="F2129" t="s">
        <v>538</v>
      </c>
      <c r="G2129" s="9">
        <v>4929.79</v>
      </c>
      <c r="H2129" s="8">
        <v>1763</v>
      </c>
    </row>
    <row r="2130" spans="2:8" ht="17.5" customHeight="1" x14ac:dyDescent="0.4">
      <c r="B2130" t="s">
        <v>7</v>
      </c>
      <c r="C2130" t="s">
        <v>537</v>
      </c>
      <c r="D2130" s="7">
        <f>DATE(2004,11,10)</f>
        <v>38301</v>
      </c>
      <c r="E2130" s="8">
        <f t="shared" si="35"/>
        <v>2004</v>
      </c>
      <c r="F2130" t="s">
        <v>538</v>
      </c>
      <c r="G2130" s="9">
        <v>7120</v>
      </c>
      <c r="H2130" s="8">
        <v>2353</v>
      </c>
    </row>
    <row r="2131" spans="2:8" ht="17.5" customHeight="1" x14ac:dyDescent="0.4">
      <c r="B2131" t="s">
        <v>7</v>
      </c>
      <c r="C2131" t="s">
        <v>537</v>
      </c>
      <c r="D2131" s="7">
        <f>DATE(2005,1,18)</f>
        <v>38370</v>
      </c>
      <c r="E2131" s="8">
        <f t="shared" si="35"/>
        <v>2005</v>
      </c>
      <c r="F2131" t="s">
        <v>538</v>
      </c>
      <c r="G2131" s="9">
        <v>2367.46</v>
      </c>
      <c r="H2131" s="8">
        <v>2562</v>
      </c>
    </row>
    <row r="2132" spans="2:8" ht="17.5" customHeight="1" x14ac:dyDescent="0.4">
      <c r="B2132" t="s">
        <v>7</v>
      </c>
      <c r="C2132" t="s">
        <v>537</v>
      </c>
      <c r="D2132" s="7">
        <f>DATE(2005,7,31)</f>
        <v>38564</v>
      </c>
      <c r="E2132" s="8">
        <f t="shared" si="35"/>
        <v>2005</v>
      </c>
      <c r="F2132" t="s">
        <v>538</v>
      </c>
      <c r="G2132" s="9">
        <v>14835</v>
      </c>
      <c r="H2132" s="8">
        <v>3422</v>
      </c>
    </row>
    <row r="2133" spans="2:8" ht="17.5" customHeight="1" x14ac:dyDescent="0.4">
      <c r="B2133" t="s">
        <v>7</v>
      </c>
      <c r="C2133" t="s">
        <v>537</v>
      </c>
      <c r="D2133" s="7">
        <f>DATE(2006,5,12)</f>
        <v>38849</v>
      </c>
      <c r="E2133" s="8">
        <f t="shared" si="35"/>
        <v>2006</v>
      </c>
      <c r="F2133" t="s">
        <v>538</v>
      </c>
      <c r="G2133" s="9">
        <v>13505.6</v>
      </c>
      <c r="H2133" s="8">
        <v>4353</v>
      </c>
    </row>
    <row r="2134" spans="2:8" ht="17.5" customHeight="1" x14ac:dyDescent="0.4">
      <c r="B2134" t="s">
        <v>7</v>
      </c>
      <c r="C2134" t="s">
        <v>537</v>
      </c>
      <c r="D2134" s="7">
        <f>DATE(2006,8,27)</f>
        <v>38956</v>
      </c>
      <c r="E2134" s="8">
        <f t="shared" si="35"/>
        <v>2006</v>
      </c>
      <c r="F2134" t="s">
        <v>538</v>
      </c>
      <c r="G2134" s="9">
        <v>14266.6</v>
      </c>
      <c r="H2134" s="8">
        <v>4936</v>
      </c>
    </row>
    <row r="2135" spans="2:8" ht="17.5" customHeight="1" x14ac:dyDescent="0.4">
      <c r="B2135" t="s">
        <v>7</v>
      </c>
      <c r="C2135" t="s">
        <v>537</v>
      </c>
      <c r="D2135" s="7">
        <f>DATE(2006,9,3)</f>
        <v>38963</v>
      </c>
      <c r="E2135" s="8">
        <f t="shared" si="35"/>
        <v>2006</v>
      </c>
      <c r="F2135" t="s">
        <v>538</v>
      </c>
      <c r="G2135" s="9">
        <v>10480</v>
      </c>
      <c r="H2135" s="8">
        <v>4959</v>
      </c>
    </row>
    <row r="2136" spans="2:8" ht="17.5" customHeight="1" x14ac:dyDescent="0.4">
      <c r="B2136" t="s">
        <v>7</v>
      </c>
      <c r="C2136" t="s">
        <v>537</v>
      </c>
      <c r="D2136" s="7">
        <f>DATE(2007,3,14)</f>
        <v>39155</v>
      </c>
      <c r="E2136" s="8">
        <f t="shared" si="35"/>
        <v>2007</v>
      </c>
      <c r="F2136" t="s">
        <v>538</v>
      </c>
      <c r="G2136" s="9">
        <v>5247.34</v>
      </c>
      <c r="H2136" s="8">
        <v>5685</v>
      </c>
    </row>
    <row r="2137" spans="2:8" ht="17.5" customHeight="1" x14ac:dyDescent="0.4">
      <c r="B2137" t="s">
        <v>7</v>
      </c>
      <c r="C2137" t="s">
        <v>537</v>
      </c>
      <c r="D2137" s="7">
        <f>DATE(2007,5,5)</f>
        <v>39207</v>
      </c>
      <c r="E2137" s="8">
        <f t="shared" si="35"/>
        <v>2007</v>
      </c>
      <c r="F2137" t="s">
        <v>538</v>
      </c>
      <c r="G2137" s="9">
        <v>13505.6</v>
      </c>
      <c r="H2137" s="8">
        <v>5678</v>
      </c>
    </row>
    <row r="2138" spans="2:8" ht="17.5" customHeight="1" x14ac:dyDescent="0.4">
      <c r="B2138" t="s">
        <v>7</v>
      </c>
      <c r="C2138" t="s">
        <v>537</v>
      </c>
      <c r="D2138" s="7">
        <f>DATE(2007,7,15)</f>
        <v>39278</v>
      </c>
      <c r="E2138" s="8">
        <f t="shared" si="35"/>
        <v>2007</v>
      </c>
      <c r="F2138" t="s">
        <v>538</v>
      </c>
      <c r="G2138" s="9">
        <v>3594.79</v>
      </c>
      <c r="H2138" s="8">
        <v>6186</v>
      </c>
    </row>
    <row r="2139" spans="2:8" ht="17.5" customHeight="1" x14ac:dyDescent="0.4">
      <c r="B2139" t="s">
        <v>7</v>
      </c>
      <c r="C2139" t="s">
        <v>537</v>
      </c>
      <c r="D2139" s="7">
        <f>DATE(2007,7,15)</f>
        <v>39278</v>
      </c>
      <c r="E2139" s="8">
        <f t="shared" si="35"/>
        <v>2007</v>
      </c>
      <c r="F2139" t="s">
        <v>538</v>
      </c>
      <c r="G2139" s="9">
        <v>17266.599999999999</v>
      </c>
      <c r="H2139" s="8">
        <v>6167</v>
      </c>
    </row>
    <row r="2140" spans="2:8" ht="17.5" customHeight="1" x14ac:dyDescent="0.4">
      <c r="B2140" t="s">
        <v>7</v>
      </c>
      <c r="C2140" t="s">
        <v>537</v>
      </c>
      <c r="D2140" s="7">
        <f>DATE(2007,10,12)</f>
        <v>39367</v>
      </c>
      <c r="E2140" s="8">
        <f t="shared" si="35"/>
        <v>2007</v>
      </c>
      <c r="F2140" t="s">
        <v>538</v>
      </c>
      <c r="G2140" s="9">
        <v>7350.8</v>
      </c>
      <c r="H2140" s="8">
        <v>6385</v>
      </c>
    </row>
    <row r="2141" spans="2:8" ht="17.5" customHeight="1" x14ac:dyDescent="0.4">
      <c r="B2141" t="s">
        <v>7</v>
      </c>
      <c r="C2141" t="s">
        <v>537</v>
      </c>
      <c r="D2141" s="7">
        <f>DATE(2007,10,26)</f>
        <v>39381</v>
      </c>
      <c r="E2141" s="8">
        <f t="shared" si="35"/>
        <v>2007</v>
      </c>
      <c r="F2141" t="s">
        <v>538</v>
      </c>
      <c r="G2141" s="9">
        <v>13505.6</v>
      </c>
      <c r="H2141" s="8">
        <v>6386</v>
      </c>
    </row>
    <row r="2142" spans="2:8" ht="17.5" customHeight="1" x14ac:dyDescent="0.4">
      <c r="B2142" t="s">
        <v>7</v>
      </c>
      <c r="C2142" t="s">
        <v>537</v>
      </c>
      <c r="D2142" s="7">
        <f>DATE(2008,4,27)</f>
        <v>39565</v>
      </c>
      <c r="E2142" s="8">
        <f t="shared" si="35"/>
        <v>2008</v>
      </c>
      <c r="F2142" t="s">
        <v>538</v>
      </c>
      <c r="G2142" s="9">
        <v>13505.6</v>
      </c>
      <c r="H2142" s="8">
        <v>7354</v>
      </c>
    </row>
    <row r="2143" spans="2:8" ht="17.5" customHeight="1" x14ac:dyDescent="0.4">
      <c r="B2143" t="s">
        <v>7</v>
      </c>
      <c r="C2143" t="s">
        <v>537</v>
      </c>
      <c r="D2143" s="7">
        <f>DATE(2008,5,14)</f>
        <v>39582</v>
      </c>
      <c r="E2143" s="8">
        <f t="shared" si="35"/>
        <v>2008</v>
      </c>
      <c r="F2143" t="s">
        <v>538</v>
      </c>
      <c r="G2143" s="9">
        <v>7350.8</v>
      </c>
      <c r="H2143" s="8">
        <v>7420</v>
      </c>
    </row>
    <row r="2144" spans="2:8" ht="17.5" customHeight="1" x14ac:dyDescent="0.4">
      <c r="B2144" t="s">
        <v>7</v>
      </c>
      <c r="C2144" t="s">
        <v>537</v>
      </c>
      <c r="D2144" s="7">
        <f>DATE(2008,7,2)</f>
        <v>39631</v>
      </c>
      <c r="E2144" s="8">
        <f t="shared" si="35"/>
        <v>2008</v>
      </c>
      <c r="F2144" t="s">
        <v>538</v>
      </c>
      <c r="G2144" s="9">
        <v>14266.6</v>
      </c>
      <c r="H2144" s="8">
        <v>7584</v>
      </c>
    </row>
    <row r="2145" spans="2:8" ht="17.5" customHeight="1" x14ac:dyDescent="0.4">
      <c r="B2145" t="s">
        <v>7</v>
      </c>
      <c r="C2145" t="s">
        <v>537</v>
      </c>
      <c r="D2145" s="7">
        <f>DATE(2009,2,20)</f>
        <v>39864</v>
      </c>
      <c r="E2145" s="8">
        <f t="shared" si="35"/>
        <v>2009</v>
      </c>
      <c r="F2145" t="s">
        <v>538</v>
      </c>
      <c r="G2145" s="9">
        <v>3467.46</v>
      </c>
      <c r="H2145" s="8">
        <v>8331</v>
      </c>
    </row>
    <row r="2146" spans="2:8" ht="17.5" customHeight="1" x14ac:dyDescent="0.4">
      <c r="B2146" t="s">
        <v>7</v>
      </c>
      <c r="C2146" t="s">
        <v>537</v>
      </c>
      <c r="D2146" s="7">
        <f>DATE(2009,3,16)</f>
        <v>39888</v>
      </c>
      <c r="E2146" s="8">
        <f t="shared" si="35"/>
        <v>2009</v>
      </c>
      <c r="F2146" t="s">
        <v>538</v>
      </c>
      <c r="G2146" s="9">
        <v>9689.6</v>
      </c>
      <c r="H2146" s="8">
        <v>8478</v>
      </c>
    </row>
    <row r="2147" spans="2:8" ht="17.5" customHeight="1" x14ac:dyDescent="0.4">
      <c r="B2147" t="s">
        <v>7</v>
      </c>
      <c r="C2147" t="s">
        <v>537</v>
      </c>
      <c r="D2147" s="7">
        <f>DATE(2009,7,14)</f>
        <v>40008</v>
      </c>
      <c r="E2147" s="8">
        <f t="shared" si="35"/>
        <v>2009</v>
      </c>
      <c r="F2147" t="s">
        <v>538</v>
      </c>
      <c r="G2147" s="9">
        <v>13505.24</v>
      </c>
      <c r="H2147" s="8">
        <v>8869</v>
      </c>
    </row>
    <row r="2148" spans="2:8" ht="17.5" customHeight="1" x14ac:dyDescent="0.4">
      <c r="B2148" t="s">
        <v>7</v>
      </c>
      <c r="C2148" t="s">
        <v>537</v>
      </c>
      <c r="D2148" s="7">
        <f>DATE(2009,8,26)</f>
        <v>40051</v>
      </c>
      <c r="E2148" s="8">
        <f t="shared" si="35"/>
        <v>2009</v>
      </c>
      <c r="F2148" t="s">
        <v>538</v>
      </c>
      <c r="G2148" s="9">
        <v>14030.6</v>
      </c>
      <c r="H2148" s="8">
        <v>9006</v>
      </c>
    </row>
    <row r="2149" spans="2:8" ht="17.5" customHeight="1" x14ac:dyDescent="0.4">
      <c r="B2149" t="s">
        <v>7</v>
      </c>
      <c r="C2149" t="s">
        <v>537</v>
      </c>
      <c r="D2149" s="7">
        <f>DATE(2010,2,5)</f>
        <v>40214</v>
      </c>
      <c r="E2149" s="8">
        <f t="shared" si="35"/>
        <v>2010</v>
      </c>
      <c r="F2149" t="s">
        <v>538</v>
      </c>
      <c r="G2149" s="9">
        <v>4558.7</v>
      </c>
      <c r="H2149" s="8">
        <v>9426</v>
      </c>
    </row>
    <row r="2150" spans="2:8" ht="17.5" customHeight="1" x14ac:dyDescent="0.4">
      <c r="B2150" t="s">
        <v>7</v>
      </c>
      <c r="C2150" t="s">
        <v>537</v>
      </c>
      <c r="D2150" s="7">
        <f>DATE(2010,2,5)</f>
        <v>40214</v>
      </c>
      <c r="E2150" s="8">
        <f t="shared" si="35"/>
        <v>2010</v>
      </c>
      <c r="F2150" t="s">
        <v>538</v>
      </c>
      <c r="G2150" s="9">
        <v>4190.5</v>
      </c>
      <c r="H2150" s="8">
        <v>9461</v>
      </c>
    </row>
    <row r="2151" spans="2:8" ht="17.5" customHeight="1" x14ac:dyDescent="0.4">
      <c r="B2151" t="s">
        <v>7</v>
      </c>
      <c r="C2151" t="s">
        <v>537</v>
      </c>
      <c r="D2151" s="7">
        <f>DATE(2010,6,1)</f>
        <v>40330</v>
      </c>
      <c r="E2151" s="8">
        <f t="shared" si="35"/>
        <v>2010</v>
      </c>
      <c r="F2151" t="s">
        <v>538</v>
      </c>
      <c r="G2151" s="9">
        <v>14266.6</v>
      </c>
      <c r="H2151" s="8">
        <v>9881</v>
      </c>
    </row>
    <row r="2152" spans="2:8" ht="17.5" customHeight="1" x14ac:dyDescent="0.4">
      <c r="B2152" t="s">
        <v>7</v>
      </c>
      <c r="C2152" t="s">
        <v>537</v>
      </c>
      <c r="D2152" s="7">
        <f>DATE(2010,8,12)</f>
        <v>40402</v>
      </c>
      <c r="E2152" s="8">
        <f t="shared" si="35"/>
        <v>2010</v>
      </c>
      <c r="F2152" t="s">
        <v>538</v>
      </c>
      <c r="G2152" s="9">
        <v>19367</v>
      </c>
      <c r="H2152" s="8">
        <v>10022</v>
      </c>
    </row>
    <row r="2153" spans="2:8" ht="17.5" customHeight="1" x14ac:dyDescent="0.4">
      <c r="B2153" t="s">
        <v>7</v>
      </c>
      <c r="C2153" t="s">
        <v>537</v>
      </c>
      <c r="D2153" s="7">
        <f>DATE(2011,5,12)</f>
        <v>40675</v>
      </c>
      <c r="E2153" s="8">
        <f t="shared" si="35"/>
        <v>2011</v>
      </c>
      <c r="F2153" t="s">
        <v>538</v>
      </c>
      <c r="G2153" s="9">
        <v>13505.6</v>
      </c>
      <c r="H2153" s="8">
        <v>10640</v>
      </c>
    </row>
    <row r="2154" spans="2:8" ht="17.5" customHeight="1" x14ac:dyDescent="0.4">
      <c r="B2154" t="s">
        <v>7</v>
      </c>
      <c r="C2154" t="s">
        <v>537</v>
      </c>
      <c r="D2154" s="7">
        <f>DATE(2011,7,28)</f>
        <v>40752</v>
      </c>
      <c r="E2154" s="8">
        <f t="shared" si="35"/>
        <v>2011</v>
      </c>
      <c r="F2154" t="s">
        <v>538</v>
      </c>
      <c r="G2154" s="9">
        <v>17755.599999999999</v>
      </c>
      <c r="H2154" s="8">
        <v>10903</v>
      </c>
    </row>
    <row r="2155" spans="2:8" ht="17.5" customHeight="1" x14ac:dyDescent="0.4">
      <c r="B2155" t="s">
        <v>7</v>
      </c>
      <c r="C2155" t="s">
        <v>537</v>
      </c>
      <c r="D2155" s="7">
        <f>DATE(2012,5,15)</f>
        <v>41044</v>
      </c>
      <c r="E2155" s="8">
        <f t="shared" si="35"/>
        <v>2012</v>
      </c>
      <c r="F2155" t="s">
        <v>538</v>
      </c>
      <c r="G2155" s="9">
        <v>14913.94</v>
      </c>
      <c r="H2155" s="8">
        <v>11584</v>
      </c>
    </row>
    <row r="2156" spans="2:8" ht="17.5" customHeight="1" x14ac:dyDescent="0.4">
      <c r="B2156" t="s">
        <v>7</v>
      </c>
      <c r="C2156" t="s">
        <v>537</v>
      </c>
      <c r="D2156" s="7">
        <f>DATE(2012,7,17)</f>
        <v>41107</v>
      </c>
      <c r="E2156" s="8">
        <f t="shared" si="35"/>
        <v>2012</v>
      </c>
      <c r="F2156" t="s">
        <v>538</v>
      </c>
      <c r="G2156" s="9">
        <v>8251.3700000000008</v>
      </c>
      <c r="H2156" s="8">
        <v>11743</v>
      </c>
    </row>
    <row r="2157" spans="2:8" ht="17.5" customHeight="1" x14ac:dyDescent="0.4">
      <c r="B2157" t="s">
        <v>7</v>
      </c>
      <c r="C2157" t="s">
        <v>537</v>
      </c>
      <c r="D2157" s="7">
        <f>DATE(2013,4,30)</f>
        <v>41394</v>
      </c>
      <c r="E2157" s="8">
        <f t="shared" si="35"/>
        <v>2013</v>
      </c>
      <c r="F2157" t="s">
        <v>538</v>
      </c>
      <c r="G2157" s="9">
        <v>8251.3700000000008</v>
      </c>
      <c r="H2157" s="8">
        <v>12264</v>
      </c>
    </row>
    <row r="2158" spans="2:8" ht="17.5" customHeight="1" x14ac:dyDescent="0.4">
      <c r="B2158" t="s">
        <v>7</v>
      </c>
      <c r="C2158" t="s">
        <v>537</v>
      </c>
      <c r="D2158" s="7">
        <f>DATE(2013,5,27)</f>
        <v>41421</v>
      </c>
      <c r="E2158" s="8">
        <f t="shared" si="35"/>
        <v>2013</v>
      </c>
      <c r="F2158" t="s">
        <v>538</v>
      </c>
      <c r="G2158" s="9">
        <v>14913.94</v>
      </c>
      <c r="H2158" s="8">
        <v>12265</v>
      </c>
    </row>
    <row r="2159" spans="2:8" ht="17.5" customHeight="1" x14ac:dyDescent="0.4">
      <c r="B2159" t="s">
        <v>7</v>
      </c>
      <c r="C2159" t="s">
        <v>537</v>
      </c>
      <c r="D2159" s="7">
        <f>DATE(2014,11,12)</f>
        <v>41955</v>
      </c>
      <c r="E2159" s="8">
        <f t="shared" si="35"/>
        <v>2014</v>
      </c>
      <c r="F2159" t="s">
        <v>538</v>
      </c>
      <c r="G2159" s="9">
        <v>11736.39</v>
      </c>
      <c r="H2159" s="8">
        <v>13428</v>
      </c>
    </row>
    <row r="2160" spans="2:8" ht="17.5" customHeight="1" x14ac:dyDescent="0.4">
      <c r="B2160" t="s">
        <v>7</v>
      </c>
      <c r="C2160" t="s">
        <v>537</v>
      </c>
      <c r="D2160" s="7">
        <f>DATE(2012,7,25)</f>
        <v>41115</v>
      </c>
      <c r="E2160" s="8">
        <f t="shared" si="35"/>
        <v>2012</v>
      </c>
      <c r="F2160" t="s">
        <v>538</v>
      </c>
      <c r="G2160" s="9">
        <v>4383.3900000000003</v>
      </c>
      <c r="H2160" s="8">
        <v>11756</v>
      </c>
    </row>
    <row r="2161" spans="2:8" ht="17.5" customHeight="1" x14ac:dyDescent="0.4">
      <c r="B2161" t="s">
        <v>16</v>
      </c>
      <c r="C2161" t="s">
        <v>537</v>
      </c>
      <c r="D2161" s="7">
        <f>DATE(2013,1,10)</f>
        <v>41284</v>
      </c>
      <c r="E2161" s="8">
        <f t="shared" si="35"/>
        <v>2013</v>
      </c>
      <c r="F2161" t="s">
        <v>538</v>
      </c>
      <c r="G2161" s="9">
        <v>411.67</v>
      </c>
      <c r="H2161" s="8">
        <v>12108</v>
      </c>
    </row>
    <row r="2162" spans="2:8" ht="17.5" customHeight="1" x14ac:dyDescent="0.4">
      <c r="B2162" t="s">
        <v>16</v>
      </c>
      <c r="C2162" t="s">
        <v>537</v>
      </c>
      <c r="D2162" s="7">
        <f>DATE(2002,3,5)</f>
        <v>37320</v>
      </c>
      <c r="E2162" s="8">
        <f t="shared" si="35"/>
        <v>2002</v>
      </c>
      <c r="F2162" t="s">
        <v>538</v>
      </c>
      <c r="G2162" s="9">
        <v>2876.32</v>
      </c>
      <c r="H2162" s="8">
        <v>382</v>
      </c>
    </row>
    <row r="2163" spans="2:8" ht="17.5" customHeight="1" x14ac:dyDescent="0.4">
      <c r="B2163" t="s">
        <v>16</v>
      </c>
      <c r="C2163" t="s">
        <v>537</v>
      </c>
      <c r="D2163" s="7">
        <f>DATE(2003,6,10)</f>
        <v>37782</v>
      </c>
      <c r="E2163" s="8">
        <f t="shared" si="35"/>
        <v>2003</v>
      </c>
      <c r="F2163" t="s">
        <v>538</v>
      </c>
      <c r="G2163" s="9">
        <v>602.5</v>
      </c>
      <c r="H2163" s="8">
        <v>727</v>
      </c>
    </row>
    <row r="2164" spans="2:8" ht="17.5" customHeight="1" x14ac:dyDescent="0.4">
      <c r="B2164" t="s">
        <v>16</v>
      </c>
      <c r="C2164" t="s">
        <v>537</v>
      </c>
      <c r="D2164" s="7">
        <f>DATE(2005,1,18)</f>
        <v>38370</v>
      </c>
      <c r="E2164" s="8">
        <f t="shared" si="35"/>
        <v>2005</v>
      </c>
      <c r="F2164" t="s">
        <v>538</v>
      </c>
      <c r="G2164" s="9">
        <v>20</v>
      </c>
      <c r="H2164" s="8">
        <v>2917</v>
      </c>
    </row>
    <row r="2165" spans="2:8" ht="17.5" customHeight="1" x14ac:dyDescent="0.4">
      <c r="B2165" t="s">
        <v>16</v>
      </c>
      <c r="C2165" t="s">
        <v>537</v>
      </c>
      <c r="D2165" s="7">
        <f>DATE(2009,4,21)</f>
        <v>39924</v>
      </c>
      <c r="E2165" s="8">
        <f t="shared" si="35"/>
        <v>2009</v>
      </c>
      <c r="F2165" t="s">
        <v>538</v>
      </c>
      <c r="G2165" s="9">
        <v>673</v>
      </c>
      <c r="H2165" s="8">
        <v>8648</v>
      </c>
    </row>
    <row r="2166" spans="2:8" ht="17.5" customHeight="1" x14ac:dyDescent="0.4">
      <c r="B2166" s="3" t="s">
        <v>7</v>
      </c>
      <c r="C2166" s="3" t="s">
        <v>537</v>
      </c>
      <c r="D2166" s="4">
        <f>DATE(2003,4,21)</f>
        <v>37732</v>
      </c>
      <c r="E2166" s="5">
        <f t="shared" si="35"/>
        <v>2003</v>
      </c>
      <c r="F2166" s="3" t="s">
        <v>538</v>
      </c>
      <c r="G2166" s="6">
        <v>347.5</v>
      </c>
      <c r="H2166" s="5">
        <v>1095</v>
      </c>
    </row>
    <row r="2167" spans="2:8" ht="17.5" customHeight="1" x14ac:dyDescent="0.4">
      <c r="B2167" s="3" t="s">
        <v>7</v>
      </c>
      <c r="C2167" s="3" t="s">
        <v>537</v>
      </c>
      <c r="D2167" s="4">
        <f>DATE(2009,3,16)</f>
        <v>39888</v>
      </c>
      <c r="E2167" s="5">
        <f t="shared" si="35"/>
        <v>2009</v>
      </c>
      <c r="F2167" s="3" t="s">
        <v>538</v>
      </c>
      <c r="G2167" s="6">
        <v>5250</v>
      </c>
      <c r="H2167" s="5">
        <v>12182</v>
      </c>
    </row>
    <row r="2168" spans="2:8" ht="17.5" customHeight="1" x14ac:dyDescent="0.4">
      <c r="B2168" s="3" t="s">
        <v>7</v>
      </c>
      <c r="C2168" s="3" t="s">
        <v>537</v>
      </c>
      <c r="D2168" s="4">
        <f>DATE(2009,7,14)</f>
        <v>40008</v>
      </c>
      <c r="E2168" s="5">
        <f t="shared" si="35"/>
        <v>2009</v>
      </c>
      <c r="F2168" s="3" t="s">
        <v>538</v>
      </c>
      <c r="G2168" s="6">
        <v>3150</v>
      </c>
      <c r="H2168" s="5">
        <v>12783</v>
      </c>
    </row>
    <row r="2169" spans="2:8" ht="17.5" customHeight="1" x14ac:dyDescent="0.4">
      <c r="B2169" s="3" t="s">
        <v>7</v>
      </c>
      <c r="C2169" s="3" t="s">
        <v>537</v>
      </c>
      <c r="D2169" s="4">
        <f>DATE(2010,6,4)</f>
        <v>40333</v>
      </c>
      <c r="E2169" s="5">
        <f t="shared" si="35"/>
        <v>2010</v>
      </c>
      <c r="F2169" s="3" t="s">
        <v>538</v>
      </c>
      <c r="G2169" s="6">
        <v>1400</v>
      </c>
      <c r="H2169" s="5">
        <v>14098</v>
      </c>
    </row>
    <row r="2170" spans="2:8" ht="17.5" customHeight="1" x14ac:dyDescent="0.4">
      <c r="B2170" t="s">
        <v>7</v>
      </c>
      <c r="C2170" t="s">
        <v>539</v>
      </c>
      <c r="D2170" s="7">
        <f>DATE(2017,12,13)</f>
        <v>43082</v>
      </c>
      <c r="E2170" s="8">
        <f t="shared" si="35"/>
        <v>2017</v>
      </c>
      <c r="F2170" t="s">
        <v>540</v>
      </c>
      <c r="G2170" s="9">
        <v>2160</v>
      </c>
      <c r="H2170" s="8">
        <v>26016</v>
      </c>
    </row>
    <row r="2171" spans="2:8" ht="17.5" customHeight="1" x14ac:dyDescent="0.4">
      <c r="B2171" t="s">
        <v>7</v>
      </c>
      <c r="C2171" t="s">
        <v>541</v>
      </c>
      <c r="D2171" s="7">
        <f>DATE(2017,9,7)</f>
        <v>42985</v>
      </c>
      <c r="E2171" s="8">
        <f t="shared" si="35"/>
        <v>2017</v>
      </c>
      <c r="F2171" t="s">
        <v>542</v>
      </c>
      <c r="G2171" s="9">
        <v>4620.41</v>
      </c>
      <c r="H2171" s="8">
        <v>25509</v>
      </c>
    </row>
    <row r="2172" spans="2:8" ht="17.5" customHeight="1" x14ac:dyDescent="0.4">
      <c r="B2172" t="s">
        <v>7</v>
      </c>
      <c r="C2172" t="s">
        <v>541</v>
      </c>
      <c r="D2172" s="7">
        <f>DATE(2017,12,18)</f>
        <v>43087</v>
      </c>
      <c r="E2172" s="8">
        <f t="shared" si="35"/>
        <v>2017</v>
      </c>
      <c r="F2172" t="s">
        <v>542</v>
      </c>
      <c r="G2172" s="9">
        <v>5080.72</v>
      </c>
      <c r="H2172" s="8">
        <v>25978</v>
      </c>
    </row>
    <row r="2173" spans="2:8" ht="17.5" customHeight="1" x14ac:dyDescent="0.4">
      <c r="B2173" t="s">
        <v>7</v>
      </c>
      <c r="C2173" t="s">
        <v>543</v>
      </c>
      <c r="D2173" s="7">
        <f>DATE(2004,6,2)</f>
        <v>38140</v>
      </c>
      <c r="E2173" s="8">
        <f t="shared" si="35"/>
        <v>2004</v>
      </c>
      <c r="F2173" t="s">
        <v>544</v>
      </c>
      <c r="G2173" s="9">
        <v>5751.72</v>
      </c>
      <c r="H2173" s="8">
        <v>1841</v>
      </c>
    </row>
    <row r="2174" spans="2:8" ht="17.5" customHeight="1" x14ac:dyDescent="0.4">
      <c r="B2174" t="s">
        <v>7</v>
      </c>
      <c r="C2174" t="s">
        <v>543</v>
      </c>
      <c r="D2174" s="7">
        <f>DATE(2005,10,22)</f>
        <v>38647</v>
      </c>
      <c r="E2174" s="8">
        <f t="shared" si="35"/>
        <v>2005</v>
      </c>
      <c r="F2174" t="s">
        <v>544</v>
      </c>
      <c r="G2174" s="9">
        <v>4720.49</v>
      </c>
      <c r="H2174" s="8">
        <v>3703</v>
      </c>
    </row>
    <row r="2175" spans="2:8" ht="17.5" customHeight="1" x14ac:dyDescent="0.4">
      <c r="B2175" t="s">
        <v>7</v>
      </c>
      <c r="C2175" t="s">
        <v>543</v>
      </c>
      <c r="D2175" s="7">
        <f>DATE(2006,8,28)</f>
        <v>38957</v>
      </c>
      <c r="E2175" s="8">
        <f t="shared" si="35"/>
        <v>2006</v>
      </c>
      <c r="F2175" t="s">
        <v>545</v>
      </c>
      <c r="G2175" s="9">
        <v>2411.92</v>
      </c>
      <c r="H2175" s="8">
        <v>4945</v>
      </c>
    </row>
    <row r="2176" spans="2:8" ht="17.5" customHeight="1" x14ac:dyDescent="0.4">
      <c r="B2176" t="s">
        <v>7</v>
      </c>
      <c r="C2176" t="s">
        <v>543</v>
      </c>
      <c r="D2176" s="7">
        <f>DATE(2007,2,18)</f>
        <v>39131</v>
      </c>
      <c r="E2176" s="8">
        <f t="shared" si="35"/>
        <v>2007</v>
      </c>
      <c r="F2176" t="s">
        <v>545</v>
      </c>
      <c r="G2176" s="9">
        <v>2805.45</v>
      </c>
      <c r="H2176" s="8">
        <v>5370</v>
      </c>
    </row>
    <row r="2177" spans="2:8" ht="17.5" customHeight="1" x14ac:dyDescent="0.4">
      <c r="B2177" t="s">
        <v>7</v>
      </c>
      <c r="C2177" t="s">
        <v>543</v>
      </c>
      <c r="D2177" s="7">
        <f>DATE(2007,6,5)</f>
        <v>39238</v>
      </c>
      <c r="E2177" s="8">
        <f t="shared" si="35"/>
        <v>2007</v>
      </c>
      <c r="F2177" t="s">
        <v>545</v>
      </c>
      <c r="G2177" s="9">
        <v>3127.39</v>
      </c>
      <c r="H2177" s="8">
        <v>6053</v>
      </c>
    </row>
    <row r="2178" spans="2:8" ht="17.5" customHeight="1" x14ac:dyDescent="0.4">
      <c r="B2178" t="s">
        <v>7</v>
      </c>
      <c r="C2178" t="s">
        <v>543</v>
      </c>
      <c r="D2178" s="7">
        <f>DATE(2008,5,7)</f>
        <v>39575</v>
      </c>
      <c r="E2178" s="8">
        <f t="shared" si="35"/>
        <v>2008</v>
      </c>
      <c r="F2178" t="s">
        <v>545</v>
      </c>
      <c r="G2178" s="9">
        <v>2276.0300000000002</v>
      </c>
      <c r="H2178" s="8">
        <v>7391</v>
      </c>
    </row>
    <row r="2179" spans="2:8" ht="17.5" customHeight="1" x14ac:dyDescent="0.4">
      <c r="B2179" t="s">
        <v>7</v>
      </c>
      <c r="C2179" t="s">
        <v>543</v>
      </c>
      <c r="D2179" s="7">
        <f>DATE(2009,2,5)</f>
        <v>39849</v>
      </c>
      <c r="E2179" s="8">
        <f t="shared" ref="E2179:E2242" si="36">YEAR(D2179)</f>
        <v>2009</v>
      </c>
      <c r="F2179" t="s">
        <v>545</v>
      </c>
      <c r="G2179" s="9">
        <v>4014.15</v>
      </c>
      <c r="H2179" s="8">
        <v>8281</v>
      </c>
    </row>
    <row r="2180" spans="2:8" ht="17.5" customHeight="1" x14ac:dyDescent="0.4">
      <c r="B2180" t="s">
        <v>7</v>
      </c>
      <c r="C2180" t="s">
        <v>543</v>
      </c>
      <c r="D2180" s="7">
        <f>DATE(2009,7,30)</f>
        <v>40024</v>
      </c>
      <c r="E2180" s="8">
        <f t="shared" si="36"/>
        <v>2009</v>
      </c>
      <c r="F2180" t="s">
        <v>545</v>
      </c>
      <c r="G2180" s="9">
        <v>3744.19</v>
      </c>
      <c r="H2180" s="8">
        <v>8897</v>
      </c>
    </row>
    <row r="2181" spans="2:8" ht="17.5" customHeight="1" x14ac:dyDescent="0.4">
      <c r="B2181" t="s">
        <v>7</v>
      </c>
      <c r="C2181" t="s">
        <v>543</v>
      </c>
      <c r="D2181" s="7">
        <f>DATE(2010,1,4)</f>
        <v>40182</v>
      </c>
      <c r="E2181" s="8">
        <f t="shared" si="36"/>
        <v>2010</v>
      </c>
      <c r="F2181" t="s">
        <v>545</v>
      </c>
      <c r="G2181" s="9">
        <v>40331.519999999997</v>
      </c>
      <c r="H2181" s="8">
        <v>9353</v>
      </c>
    </row>
    <row r="2182" spans="2:8" ht="17.5" customHeight="1" x14ac:dyDescent="0.4">
      <c r="B2182" t="s">
        <v>7</v>
      </c>
      <c r="C2182" t="s">
        <v>546</v>
      </c>
      <c r="D2182" s="7">
        <f>DATE(2010,5,26)</f>
        <v>40324</v>
      </c>
      <c r="E2182" s="8">
        <f t="shared" si="36"/>
        <v>2010</v>
      </c>
      <c r="F2182" t="s">
        <v>545</v>
      </c>
      <c r="G2182" s="9">
        <v>36102.019999999997</v>
      </c>
      <c r="H2182" s="8">
        <v>9772</v>
      </c>
    </row>
    <row r="2183" spans="2:8" ht="17.5" customHeight="1" x14ac:dyDescent="0.4">
      <c r="B2183" t="s">
        <v>7</v>
      </c>
      <c r="C2183" t="s">
        <v>546</v>
      </c>
      <c r="D2183" s="7">
        <f>DATE(2010,12,22)</f>
        <v>40534</v>
      </c>
      <c r="E2183" s="8">
        <f t="shared" si="36"/>
        <v>2010</v>
      </c>
      <c r="F2183" t="s">
        <v>545</v>
      </c>
      <c r="G2183" s="9">
        <v>39315.86</v>
      </c>
      <c r="H2183" s="8">
        <v>10299</v>
      </c>
    </row>
    <row r="2184" spans="2:8" ht="17.5" customHeight="1" x14ac:dyDescent="0.4">
      <c r="B2184" t="s">
        <v>7</v>
      </c>
      <c r="C2184" t="s">
        <v>546</v>
      </c>
      <c r="D2184" s="7">
        <f>DATE(2011,3,16)</f>
        <v>40618</v>
      </c>
      <c r="E2184" s="8">
        <f t="shared" si="36"/>
        <v>2011</v>
      </c>
      <c r="F2184" t="s">
        <v>545</v>
      </c>
      <c r="G2184" s="9">
        <v>33752.97</v>
      </c>
      <c r="H2184" s="8">
        <v>10468</v>
      </c>
    </row>
    <row r="2185" spans="2:8" ht="17.5" customHeight="1" x14ac:dyDescent="0.4">
      <c r="B2185" t="s">
        <v>7</v>
      </c>
      <c r="C2185" t="s">
        <v>546</v>
      </c>
      <c r="D2185" s="7">
        <f>DATE(2011,10,19)</f>
        <v>40835</v>
      </c>
      <c r="E2185" s="8">
        <f t="shared" si="36"/>
        <v>2011</v>
      </c>
      <c r="F2185" t="s">
        <v>545</v>
      </c>
      <c r="G2185" s="9">
        <v>34611.440000000002</v>
      </c>
      <c r="H2185" s="8">
        <v>11035</v>
      </c>
    </row>
    <row r="2186" spans="2:8" ht="17.5" customHeight="1" x14ac:dyDescent="0.4">
      <c r="B2186" t="s">
        <v>7</v>
      </c>
      <c r="C2186" t="s">
        <v>546</v>
      </c>
      <c r="D2186" s="7">
        <f>DATE(2012,6,7)</f>
        <v>41067</v>
      </c>
      <c r="E2186" s="8">
        <f t="shared" si="36"/>
        <v>2012</v>
      </c>
      <c r="F2186" t="s">
        <v>545</v>
      </c>
      <c r="G2186" s="9">
        <v>34868.839999999997</v>
      </c>
      <c r="H2186" s="8">
        <v>11380</v>
      </c>
    </row>
    <row r="2187" spans="2:8" ht="17.5" customHeight="1" x14ac:dyDescent="0.4">
      <c r="B2187" t="s">
        <v>7</v>
      </c>
      <c r="C2187" t="s">
        <v>546</v>
      </c>
      <c r="D2187" s="7">
        <f>DATE(2012,6,8)</f>
        <v>41068</v>
      </c>
      <c r="E2187" s="8">
        <f t="shared" si="36"/>
        <v>2012</v>
      </c>
      <c r="F2187" t="s">
        <v>545</v>
      </c>
      <c r="G2187" s="9">
        <v>23298.5</v>
      </c>
      <c r="H2187" s="8">
        <v>11638</v>
      </c>
    </row>
    <row r="2188" spans="2:8" ht="17.5" customHeight="1" x14ac:dyDescent="0.4">
      <c r="B2188" t="s">
        <v>7</v>
      </c>
      <c r="C2188" t="s">
        <v>546</v>
      </c>
      <c r="D2188" s="7">
        <f>DATE(2012,11,5)</f>
        <v>41218</v>
      </c>
      <c r="E2188" s="8">
        <f t="shared" si="36"/>
        <v>2012</v>
      </c>
      <c r="F2188" t="s">
        <v>545</v>
      </c>
      <c r="G2188" s="9">
        <v>35823.29</v>
      </c>
      <c r="H2188" s="8">
        <v>11937</v>
      </c>
    </row>
    <row r="2189" spans="2:8" ht="17.5" customHeight="1" x14ac:dyDescent="0.4">
      <c r="B2189" t="s">
        <v>7</v>
      </c>
      <c r="C2189" t="s">
        <v>546</v>
      </c>
      <c r="D2189" s="7">
        <f>DATE(2013,8,21)</f>
        <v>41507</v>
      </c>
      <c r="E2189" s="8">
        <f t="shared" si="36"/>
        <v>2013</v>
      </c>
      <c r="F2189" t="s">
        <v>545</v>
      </c>
      <c r="G2189" s="9">
        <v>53156.99</v>
      </c>
      <c r="H2189" s="8">
        <v>12400</v>
      </c>
    </row>
    <row r="2190" spans="2:8" ht="17.5" customHeight="1" x14ac:dyDescent="0.4">
      <c r="B2190" t="s">
        <v>7</v>
      </c>
      <c r="C2190" t="s">
        <v>546</v>
      </c>
      <c r="D2190" s="7">
        <f>DATE(2013,11,14)</f>
        <v>41592</v>
      </c>
      <c r="E2190" s="8">
        <f t="shared" si="36"/>
        <v>2013</v>
      </c>
      <c r="F2190" t="s">
        <v>545</v>
      </c>
      <c r="G2190" s="9">
        <v>33293.449999999997</v>
      </c>
      <c r="H2190" s="8">
        <v>12673</v>
      </c>
    </row>
    <row r="2191" spans="2:8" ht="17.5" customHeight="1" x14ac:dyDescent="0.4">
      <c r="B2191" t="s">
        <v>7</v>
      </c>
      <c r="C2191" t="s">
        <v>546</v>
      </c>
      <c r="D2191" s="7">
        <f>DATE(2010,7,1)</f>
        <v>40360</v>
      </c>
      <c r="E2191" s="8">
        <f t="shared" si="36"/>
        <v>2010</v>
      </c>
      <c r="F2191" t="s">
        <v>545</v>
      </c>
      <c r="G2191" s="9">
        <v>5228.68</v>
      </c>
      <c r="H2191" s="8">
        <v>9953</v>
      </c>
    </row>
    <row r="2192" spans="2:8" ht="17.5" customHeight="1" x14ac:dyDescent="0.4">
      <c r="B2192" s="3" t="s">
        <v>7</v>
      </c>
      <c r="C2192" s="3" t="s">
        <v>546</v>
      </c>
      <c r="D2192" s="4">
        <f>DATE(2011,3,18)</f>
        <v>40620</v>
      </c>
      <c r="E2192" s="5">
        <f t="shared" si="36"/>
        <v>2011</v>
      </c>
      <c r="F2192" s="3" t="s">
        <v>545</v>
      </c>
      <c r="G2192" s="6">
        <v>732.43</v>
      </c>
      <c r="H2192" s="5">
        <v>15239</v>
      </c>
    </row>
    <row r="2193" spans="2:8" ht="17.5" customHeight="1" x14ac:dyDescent="0.4">
      <c r="B2193" s="3" t="s">
        <v>7</v>
      </c>
      <c r="C2193" s="3" t="s">
        <v>546</v>
      </c>
      <c r="D2193" s="4">
        <f>DATE(2012,4,25)</f>
        <v>41024</v>
      </c>
      <c r="E2193" s="5">
        <f t="shared" si="36"/>
        <v>2012</v>
      </c>
      <c r="F2193" s="3" t="s">
        <v>545</v>
      </c>
      <c r="G2193" s="6">
        <v>206.94</v>
      </c>
      <c r="H2193" s="5">
        <v>17036</v>
      </c>
    </row>
    <row r="2194" spans="2:8" ht="17.5" customHeight="1" x14ac:dyDescent="0.4">
      <c r="B2194" s="3" t="s">
        <v>7</v>
      </c>
      <c r="C2194" s="3" t="s">
        <v>546</v>
      </c>
      <c r="D2194" s="4">
        <f>DATE(2012,5,4)</f>
        <v>41033</v>
      </c>
      <c r="E2194" s="5">
        <f t="shared" si="36"/>
        <v>2012</v>
      </c>
      <c r="F2194" s="3" t="s">
        <v>545</v>
      </c>
      <c r="G2194" s="6">
        <v>212.07</v>
      </c>
      <c r="H2194" s="5">
        <v>17083</v>
      </c>
    </row>
    <row r="2195" spans="2:8" ht="17.5" customHeight="1" x14ac:dyDescent="0.4">
      <c r="B2195" t="s">
        <v>7</v>
      </c>
      <c r="C2195" t="s">
        <v>543</v>
      </c>
      <c r="D2195" s="7">
        <f>DATE(2004,5,21)</f>
        <v>38128</v>
      </c>
      <c r="E2195" s="8">
        <f t="shared" si="36"/>
        <v>2004</v>
      </c>
      <c r="F2195" t="s">
        <v>547</v>
      </c>
      <c r="G2195" s="9">
        <v>5226.8500000000004</v>
      </c>
      <c r="H2195" s="8">
        <v>1809</v>
      </c>
    </row>
    <row r="2196" spans="2:8" ht="17.5" customHeight="1" x14ac:dyDescent="0.4">
      <c r="B2196" t="s">
        <v>7</v>
      </c>
      <c r="C2196" t="s">
        <v>543</v>
      </c>
      <c r="D2196" s="7">
        <f>DATE(2004,9,24)</f>
        <v>38254</v>
      </c>
      <c r="E2196" s="8">
        <f t="shared" si="36"/>
        <v>2004</v>
      </c>
      <c r="F2196" t="s">
        <v>547</v>
      </c>
      <c r="G2196" s="9">
        <v>4689.55</v>
      </c>
      <c r="H2196" s="8">
        <v>2237</v>
      </c>
    </row>
    <row r="2197" spans="2:8" ht="17.5" customHeight="1" x14ac:dyDescent="0.4">
      <c r="B2197" t="s">
        <v>7</v>
      </c>
      <c r="C2197" t="s">
        <v>543</v>
      </c>
      <c r="D2197" s="7">
        <f>DATE(2004,12,13)</f>
        <v>38334</v>
      </c>
      <c r="E2197" s="8">
        <f t="shared" si="36"/>
        <v>2004</v>
      </c>
      <c r="F2197" t="s">
        <v>547</v>
      </c>
      <c r="G2197" s="9">
        <v>5384.33</v>
      </c>
      <c r="H2197" s="8">
        <v>2437</v>
      </c>
    </row>
    <row r="2198" spans="2:8" ht="17.5" customHeight="1" x14ac:dyDescent="0.4">
      <c r="B2198" t="s">
        <v>7</v>
      </c>
      <c r="C2198" t="s">
        <v>543</v>
      </c>
      <c r="D2198" s="7">
        <f>DATE(2005,1,9)</f>
        <v>38361</v>
      </c>
      <c r="E2198" s="8">
        <f t="shared" si="36"/>
        <v>2005</v>
      </c>
      <c r="F2198" t="s">
        <v>547</v>
      </c>
      <c r="G2198" s="9">
        <v>5383.57</v>
      </c>
      <c r="H2198" s="8">
        <v>2535</v>
      </c>
    </row>
    <row r="2199" spans="2:8" ht="17.5" customHeight="1" x14ac:dyDescent="0.4">
      <c r="B2199" t="s">
        <v>7</v>
      </c>
      <c r="C2199" t="s">
        <v>543</v>
      </c>
      <c r="D2199" s="7">
        <f>DATE(2005,1,14)</f>
        <v>38366</v>
      </c>
      <c r="E2199" s="8">
        <f t="shared" si="36"/>
        <v>2005</v>
      </c>
      <c r="F2199" t="s">
        <v>547</v>
      </c>
      <c r="G2199" s="9">
        <v>4837.83</v>
      </c>
      <c r="H2199" s="8">
        <v>2570</v>
      </c>
    </row>
    <row r="2200" spans="2:8" ht="17.5" customHeight="1" x14ac:dyDescent="0.4">
      <c r="B2200" t="s">
        <v>7</v>
      </c>
      <c r="C2200" t="s">
        <v>543</v>
      </c>
      <c r="D2200" s="7">
        <f>DATE(2005,2,5)</f>
        <v>38388</v>
      </c>
      <c r="E2200" s="8">
        <f t="shared" si="36"/>
        <v>2005</v>
      </c>
      <c r="F2200" t="s">
        <v>547</v>
      </c>
      <c r="G2200" s="9">
        <v>4855.93</v>
      </c>
      <c r="H2200" s="8">
        <v>2702</v>
      </c>
    </row>
    <row r="2201" spans="2:8" ht="17.5" customHeight="1" x14ac:dyDescent="0.4">
      <c r="B2201" t="s">
        <v>7</v>
      </c>
      <c r="C2201" t="s">
        <v>543</v>
      </c>
      <c r="D2201" s="7">
        <f>DATE(2005,3,6)</f>
        <v>38417</v>
      </c>
      <c r="E2201" s="8">
        <f t="shared" si="36"/>
        <v>2005</v>
      </c>
      <c r="F2201" t="s">
        <v>547</v>
      </c>
      <c r="G2201" s="9">
        <v>6214.62</v>
      </c>
      <c r="H2201" s="8">
        <v>2857</v>
      </c>
    </row>
    <row r="2202" spans="2:8" ht="17.5" customHeight="1" x14ac:dyDescent="0.4">
      <c r="B2202" t="s">
        <v>7</v>
      </c>
      <c r="C2202" t="s">
        <v>543</v>
      </c>
      <c r="D2202" s="7">
        <f>DATE(2005,3,17)</f>
        <v>38428</v>
      </c>
      <c r="E2202" s="8">
        <f t="shared" si="36"/>
        <v>2005</v>
      </c>
      <c r="F2202" t="s">
        <v>547</v>
      </c>
      <c r="G2202" s="9">
        <v>4503.9799999999996</v>
      </c>
      <c r="H2202" s="8">
        <v>2949</v>
      </c>
    </row>
    <row r="2203" spans="2:8" ht="17.5" customHeight="1" x14ac:dyDescent="0.4">
      <c r="B2203" t="s">
        <v>7</v>
      </c>
      <c r="C2203" t="s">
        <v>543</v>
      </c>
      <c r="D2203" s="7">
        <f>DATE(2006,4,20)</f>
        <v>38827</v>
      </c>
      <c r="E2203" s="8">
        <f t="shared" si="36"/>
        <v>2006</v>
      </c>
      <c r="F2203" t="s">
        <v>547</v>
      </c>
      <c r="G2203" s="9">
        <v>4568.82</v>
      </c>
      <c r="H2203" s="8">
        <v>4474</v>
      </c>
    </row>
    <row r="2204" spans="2:8" ht="17.5" customHeight="1" x14ac:dyDescent="0.4">
      <c r="B2204" t="s">
        <v>7</v>
      </c>
      <c r="C2204" t="s">
        <v>543</v>
      </c>
      <c r="D2204" s="7">
        <f>DATE(2006,4,25)</f>
        <v>38832</v>
      </c>
      <c r="E2204" s="8">
        <f t="shared" si="36"/>
        <v>2006</v>
      </c>
      <c r="F2204" t="s">
        <v>547</v>
      </c>
      <c r="G2204" s="9">
        <v>23261.33</v>
      </c>
      <c r="H2204" s="8">
        <v>4464</v>
      </c>
    </row>
    <row r="2205" spans="2:8" ht="17.5" customHeight="1" x14ac:dyDescent="0.4">
      <c r="B2205" t="s">
        <v>7</v>
      </c>
      <c r="C2205" t="s">
        <v>543</v>
      </c>
      <c r="D2205" s="7">
        <f>DATE(2006,8,6)</f>
        <v>38935</v>
      </c>
      <c r="E2205" s="8">
        <f t="shared" si="36"/>
        <v>2006</v>
      </c>
      <c r="F2205" t="s">
        <v>547</v>
      </c>
      <c r="G2205" s="9">
        <v>7731.5</v>
      </c>
      <c r="H2205" s="8">
        <v>4869</v>
      </c>
    </row>
    <row r="2206" spans="2:8" ht="17.5" customHeight="1" x14ac:dyDescent="0.4">
      <c r="B2206" t="s">
        <v>7</v>
      </c>
      <c r="C2206" t="s">
        <v>543</v>
      </c>
      <c r="D2206" s="7">
        <f>DATE(2007,5,1)</f>
        <v>39203</v>
      </c>
      <c r="E2206" s="8">
        <f t="shared" si="36"/>
        <v>2007</v>
      </c>
      <c r="F2206" t="s">
        <v>547</v>
      </c>
      <c r="G2206" s="9">
        <v>20815.63</v>
      </c>
      <c r="H2206" s="8">
        <v>5924</v>
      </c>
    </row>
    <row r="2207" spans="2:8" ht="17.5" customHeight="1" x14ac:dyDescent="0.4">
      <c r="B2207" t="s">
        <v>7</v>
      </c>
      <c r="C2207" t="s">
        <v>543</v>
      </c>
      <c r="D2207" s="7">
        <f>DATE(2007,5,16)</f>
        <v>39218</v>
      </c>
      <c r="E2207" s="8">
        <f t="shared" si="36"/>
        <v>2007</v>
      </c>
      <c r="F2207" t="s">
        <v>547</v>
      </c>
      <c r="G2207" s="9">
        <v>6201.13</v>
      </c>
      <c r="H2207" s="8">
        <v>5991</v>
      </c>
    </row>
    <row r="2208" spans="2:8" ht="17.5" customHeight="1" x14ac:dyDescent="0.4">
      <c r="B2208" t="s">
        <v>7</v>
      </c>
      <c r="C2208" t="s">
        <v>543</v>
      </c>
      <c r="D2208" s="7">
        <f>DATE(2008,4,29)</f>
        <v>39567</v>
      </c>
      <c r="E2208" s="8">
        <f t="shared" si="36"/>
        <v>2008</v>
      </c>
      <c r="F2208" t="s">
        <v>547</v>
      </c>
      <c r="G2208" s="9">
        <v>19955.63</v>
      </c>
      <c r="H2208" s="8">
        <v>7299</v>
      </c>
    </row>
    <row r="2209" spans="2:8" ht="17.5" customHeight="1" x14ac:dyDescent="0.4">
      <c r="B2209" t="s">
        <v>7</v>
      </c>
      <c r="C2209" t="s">
        <v>543</v>
      </c>
      <c r="D2209" s="7">
        <f>DATE(2009,12,21)</f>
        <v>40168</v>
      </c>
      <c r="E2209" s="8">
        <f t="shared" si="36"/>
        <v>2009</v>
      </c>
      <c r="F2209" t="s">
        <v>547</v>
      </c>
      <c r="G2209" s="9">
        <v>40331.519999999997</v>
      </c>
      <c r="H2209" s="8">
        <v>9190</v>
      </c>
    </row>
    <row r="2210" spans="2:8" ht="17.5" customHeight="1" x14ac:dyDescent="0.4">
      <c r="B2210" t="s">
        <v>16</v>
      </c>
      <c r="C2210" t="s">
        <v>543</v>
      </c>
      <c r="D2210" s="7">
        <f>DATE(2009,12,21)</f>
        <v>40168</v>
      </c>
      <c r="E2210" s="8">
        <f t="shared" si="36"/>
        <v>2009</v>
      </c>
      <c r="F2210" t="s">
        <v>547</v>
      </c>
      <c r="G2210" s="9">
        <v>40331.519999999997</v>
      </c>
      <c r="H2210" s="8">
        <v>9351</v>
      </c>
    </row>
    <row r="2211" spans="2:8" ht="17.5" customHeight="1" x14ac:dyDescent="0.4">
      <c r="B2211" t="s">
        <v>7</v>
      </c>
      <c r="C2211" t="s">
        <v>548</v>
      </c>
      <c r="D2211" s="7">
        <f>DATE(2005,3,15)</f>
        <v>38426</v>
      </c>
      <c r="E2211" s="8">
        <f t="shared" si="36"/>
        <v>2005</v>
      </c>
      <c r="F2211" t="s">
        <v>549</v>
      </c>
      <c r="G2211" s="9">
        <v>5012.53</v>
      </c>
      <c r="H2211" s="8">
        <v>2927</v>
      </c>
    </row>
    <row r="2212" spans="2:8" ht="17.5" customHeight="1" x14ac:dyDescent="0.4">
      <c r="B2212" t="s">
        <v>7</v>
      </c>
      <c r="C2212" t="s">
        <v>548</v>
      </c>
      <c r="D2212" s="7">
        <f>DATE(2006,2,25)</f>
        <v>38773</v>
      </c>
      <c r="E2212" s="8">
        <f t="shared" si="36"/>
        <v>2006</v>
      </c>
      <c r="F2212" t="s">
        <v>549</v>
      </c>
      <c r="G2212" s="9">
        <v>2593.44</v>
      </c>
      <c r="H2212" s="8">
        <v>4222</v>
      </c>
    </row>
    <row r="2213" spans="2:8" ht="17.5" customHeight="1" x14ac:dyDescent="0.4">
      <c r="B2213" t="s">
        <v>7</v>
      </c>
      <c r="C2213" t="s">
        <v>550</v>
      </c>
      <c r="D2213" s="7">
        <f>DATE(2016,5,3)</f>
        <v>42493</v>
      </c>
      <c r="E2213" s="8">
        <f t="shared" si="36"/>
        <v>2016</v>
      </c>
      <c r="F2213" t="s">
        <v>551</v>
      </c>
      <c r="G2213" s="9">
        <v>220.5</v>
      </c>
      <c r="H2213" s="8">
        <v>22710</v>
      </c>
    </row>
    <row r="2214" spans="2:8" ht="17.5" customHeight="1" x14ac:dyDescent="0.4">
      <c r="B2214" s="3" t="s">
        <v>7</v>
      </c>
      <c r="C2214" s="3" t="s">
        <v>550</v>
      </c>
      <c r="D2214" s="4">
        <f>DATE(2004,1,14)</f>
        <v>38000</v>
      </c>
      <c r="E2214" s="5">
        <f t="shared" si="36"/>
        <v>2004</v>
      </c>
      <c r="F2214" s="3" t="s">
        <v>551</v>
      </c>
      <c r="G2214" s="6">
        <v>2168</v>
      </c>
      <c r="H2214" s="5">
        <v>1995</v>
      </c>
    </row>
    <row r="2215" spans="2:8" ht="17.5" customHeight="1" x14ac:dyDescent="0.4">
      <c r="B2215" s="3" t="s">
        <v>7</v>
      </c>
      <c r="C2215" s="3" t="s">
        <v>550</v>
      </c>
      <c r="D2215" s="4">
        <f>DATE(2006,1,19)</f>
        <v>38736</v>
      </c>
      <c r="E2215" s="5">
        <f t="shared" si="36"/>
        <v>2006</v>
      </c>
      <c r="F2215" s="3" t="s">
        <v>551</v>
      </c>
      <c r="G2215" s="6">
        <v>2290</v>
      </c>
      <c r="H2215" s="5">
        <v>5871</v>
      </c>
    </row>
    <row r="2216" spans="2:8" ht="17.5" customHeight="1" x14ac:dyDescent="0.4">
      <c r="B2216" s="3" t="s">
        <v>7</v>
      </c>
      <c r="C2216" s="3" t="s">
        <v>550</v>
      </c>
      <c r="D2216" s="4">
        <f>DATE(2014,3,5)</f>
        <v>41703</v>
      </c>
      <c r="E2216" s="5">
        <f t="shared" si="36"/>
        <v>2014</v>
      </c>
      <c r="F2216" s="3" t="s">
        <v>551</v>
      </c>
      <c r="G2216" s="6">
        <v>56.6</v>
      </c>
      <c r="H2216" s="5">
        <v>19604</v>
      </c>
    </row>
    <row r="2217" spans="2:8" ht="17.5" customHeight="1" x14ac:dyDescent="0.4">
      <c r="B2217" s="3" t="s">
        <v>7</v>
      </c>
      <c r="C2217" s="3" t="s">
        <v>550</v>
      </c>
      <c r="D2217" s="4">
        <f>DATE(2014,3,20)</f>
        <v>41718</v>
      </c>
      <c r="E2217" s="5">
        <f t="shared" si="36"/>
        <v>2014</v>
      </c>
      <c r="F2217" s="3" t="s">
        <v>551</v>
      </c>
      <c r="G2217" s="6">
        <v>111.2</v>
      </c>
      <c r="H2217" s="5">
        <v>19726</v>
      </c>
    </row>
    <row r="2218" spans="2:8" ht="17.5" customHeight="1" x14ac:dyDescent="0.4">
      <c r="B2218" t="s">
        <v>7</v>
      </c>
      <c r="C2218" t="s">
        <v>552</v>
      </c>
      <c r="D2218" s="7">
        <f>DATE(2016,2,4)</f>
        <v>42404</v>
      </c>
      <c r="E2218" s="8">
        <f t="shared" si="36"/>
        <v>2016</v>
      </c>
      <c r="F2218" t="s">
        <v>553</v>
      </c>
      <c r="G2218" s="9">
        <v>8921.75</v>
      </c>
      <c r="H2218" s="8">
        <v>21989</v>
      </c>
    </row>
    <row r="2219" spans="2:8" ht="17.5" customHeight="1" x14ac:dyDescent="0.4">
      <c r="B2219" t="s">
        <v>7</v>
      </c>
      <c r="C2219" t="s">
        <v>14</v>
      </c>
      <c r="D2219" s="7">
        <f>DATE(2005,10,5)</f>
        <v>38630</v>
      </c>
      <c r="E2219" s="8">
        <f t="shared" si="36"/>
        <v>2005</v>
      </c>
      <c r="F2219" t="s">
        <v>554</v>
      </c>
      <c r="G2219" s="9">
        <v>28539.67</v>
      </c>
      <c r="H2219" s="8">
        <v>3553</v>
      </c>
    </row>
    <row r="2220" spans="2:8" ht="17.5" customHeight="1" x14ac:dyDescent="0.4">
      <c r="B2220" t="s">
        <v>7</v>
      </c>
      <c r="C2220" t="s">
        <v>14</v>
      </c>
      <c r="D2220" s="7">
        <f>DATE(2004,8,30)</f>
        <v>38229</v>
      </c>
      <c r="E2220" s="8">
        <f t="shared" si="36"/>
        <v>2004</v>
      </c>
      <c r="F2220" t="s">
        <v>554</v>
      </c>
      <c r="G2220" s="9">
        <v>5417.63</v>
      </c>
      <c r="H2220" s="8">
        <v>2126</v>
      </c>
    </row>
    <row r="2221" spans="2:8" ht="17.5" customHeight="1" x14ac:dyDescent="0.4">
      <c r="B2221" t="s">
        <v>7</v>
      </c>
      <c r="C2221" t="s">
        <v>14</v>
      </c>
      <c r="D2221" s="7">
        <f>DATE(2004,10,31)</f>
        <v>38291</v>
      </c>
      <c r="E2221" s="8">
        <f t="shared" si="36"/>
        <v>2004</v>
      </c>
      <c r="F2221" t="s">
        <v>554</v>
      </c>
      <c r="G2221" s="9">
        <v>5602.55</v>
      </c>
      <c r="H2221" s="8">
        <v>2343</v>
      </c>
    </row>
    <row r="2222" spans="2:8" ht="17.5" customHeight="1" x14ac:dyDescent="0.4">
      <c r="B2222" t="s">
        <v>7</v>
      </c>
      <c r="C2222" t="s">
        <v>14</v>
      </c>
      <c r="D2222" s="7">
        <f>DATE(2005,2,16)</f>
        <v>38399</v>
      </c>
      <c r="E2222" s="8">
        <f t="shared" si="36"/>
        <v>2005</v>
      </c>
      <c r="F2222" t="s">
        <v>554</v>
      </c>
      <c r="G2222" s="9">
        <v>5347.05</v>
      </c>
      <c r="H2222" s="8">
        <v>2763</v>
      </c>
    </row>
    <row r="2223" spans="2:8" ht="17.5" customHeight="1" x14ac:dyDescent="0.4">
      <c r="B2223" t="s">
        <v>7</v>
      </c>
      <c r="C2223" t="s">
        <v>14</v>
      </c>
      <c r="D2223" s="7">
        <f>DATE(2005,4,9)</f>
        <v>38451</v>
      </c>
      <c r="E2223" s="8">
        <f t="shared" si="36"/>
        <v>2005</v>
      </c>
      <c r="F2223" t="s">
        <v>554</v>
      </c>
      <c r="G2223" s="9">
        <v>11814.95</v>
      </c>
      <c r="H2223" s="8">
        <v>3050</v>
      </c>
    </row>
    <row r="2224" spans="2:8" ht="17.5" customHeight="1" x14ac:dyDescent="0.4">
      <c r="B2224" t="s">
        <v>7</v>
      </c>
      <c r="C2224" t="s">
        <v>14</v>
      </c>
      <c r="D2224" s="7">
        <f>DATE(2005,10,18)</f>
        <v>38643</v>
      </c>
      <c r="E2224" s="8">
        <f t="shared" si="36"/>
        <v>2005</v>
      </c>
      <c r="F2224" t="s">
        <v>554</v>
      </c>
      <c r="G2224" s="9">
        <v>5417.8</v>
      </c>
      <c r="H2224" s="8">
        <v>3697</v>
      </c>
    </row>
    <row r="2225" spans="2:8" ht="17.5" customHeight="1" x14ac:dyDescent="0.4">
      <c r="B2225" t="s">
        <v>7</v>
      </c>
      <c r="C2225" t="s">
        <v>14</v>
      </c>
      <c r="D2225" s="7">
        <f>DATE(2005,11,4)</f>
        <v>38660</v>
      </c>
      <c r="E2225" s="8">
        <f t="shared" si="36"/>
        <v>2005</v>
      </c>
      <c r="F2225" t="s">
        <v>554</v>
      </c>
      <c r="G2225" s="9">
        <v>3211.61</v>
      </c>
      <c r="H2225" s="8">
        <v>3599</v>
      </c>
    </row>
    <row r="2226" spans="2:8" ht="17.5" customHeight="1" x14ac:dyDescent="0.4">
      <c r="B2226" t="s">
        <v>7</v>
      </c>
      <c r="C2226" t="s">
        <v>14</v>
      </c>
      <c r="D2226" s="7">
        <f>DATE(2006,1,7)</f>
        <v>38724</v>
      </c>
      <c r="E2226" s="8">
        <f t="shared" si="36"/>
        <v>2006</v>
      </c>
      <c r="F2226" t="s">
        <v>554</v>
      </c>
      <c r="G2226" s="9">
        <v>5269.62</v>
      </c>
      <c r="H2226" s="8">
        <v>3912</v>
      </c>
    </row>
    <row r="2227" spans="2:8" ht="17.5" customHeight="1" x14ac:dyDescent="0.4">
      <c r="B2227" t="s">
        <v>7</v>
      </c>
      <c r="C2227" t="s">
        <v>14</v>
      </c>
      <c r="D2227" s="7">
        <f>DATE(2006,1,10)</f>
        <v>38727</v>
      </c>
      <c r="E2227" s="8">
        <f t="shared" si="36"/>
        <v>2006</v>
      </c>
      <c r="F2227" t="s">
        <v>554</v>
      </c>
      <c r="G2227" s="9">
        <v>6075.47</v>
      </c>
      <c r="H2227" s="8">
        <v>3932</v>
      </c>
    </row>
    <row r="2228" spans="2:8" ht="17.5" customHeight="1" x14ac:dyDescent="0.4">
      <c r="B2228" t="s">
        <v>7</v>
      </c>
      <c r="C2228" t="s">
        <v>14</v>
      </c>
      <c r="D2228" s="7">
        <f>DATE(2007,1,5)</f>
        <v>39087</v>
      </c>
      <c r="E2228" s="8">
        <f t="shared" si="36"/>
        <v>2007</v>
      </c>
      <c r="F2228" t="s">
        <v>554</v>
      </c>
      <c r="G2228" s="9">
        <v>4827.5200000000004</v>
      </c>
      <c r="H2228" s="8">
        <v>5326</v>
      </c>
    </row>
    <row r="2229" spans="2:8" ht="17.5" customHeight="1" x14ac:dyDescent="0.4">
      <c r="B2229" t="s">
        <v>7</v>
      </c>
      <c r="C2229" t="s">
        <v>14</v>
      </c>
      <c r="D2229" s="7">
        <f>DATE(2007,5,1)</f>
        <v>39203</v>
      </c>
      <c r="E2229" s="8">
        <f t="shared" si="36"/>
        <v>2007</v>
      </c>
      <c r="F2229" t="s">
        <v>554</v>
      </c>
      <c r="G2229" s="9">
        <v>5941.59</v>
      </c>
      <c r="H2229" s="8">
        <v>5935</v>
      </c>
    </row>
    <row r="2230" spans="2:8" ht="17.5" customHeight="1" x14ac:dyDescent="0.4">
      <c r="B2230" s="3" t="s">
        <v>7</v>
      </c>
      <c r="C2230" s="3" t="s">
        <v>14</v>
      </c>
      <c r="D2230" s="4">
        <f>DATE(2004,5,24)</f>
        <v>38131</v>
      </c>
      <c r="E2230" s="5">
        <f t="shared" si="36"/>
        <v>2004</v>
      </c>
      <c r="F2230" s="3" t="s">
        <v>554</v>
      </c>
      <c r="G2230" s="6">
        <v>3257.46</v>
      </c>
      <c r="H2230" s="5">
        <v>2914</v>
      </c>
    </row>
    <row r="2231" spans="2:8" ht="17.5" customHeight="1" x14ac:dyDescent="0.4">
      <c r="B2231" s="3" t="s">
        <v>7</v>
      </c>
      <c r="C2231" s="3" t="s">
        <v>14</v>
      </c>
      <c r="D2231" s="4">
        <f>DATE(2006,2,22)</f>
        <v>38770</v>
      </c>
      <c r="E2231" s="5">
        <f t="shared" si="36"/>
        <v>2006</v>
      </c>
      <c r="F2231" s="3" t="s">
        <v>554</v>
      </c>
      <c r="G2231" s="6">
        <v>4371</v>
      </c>
      <c r="H2231" s="5">
        <v>6076</v>
      </c>
    </row>
    <row r="2232" spans="2:8" ht="17.5" customHeight="1" x14ac:dyDescent="0.4">
      <c r="B2232" s="3" t="s">
        <v>7</v>
      </c>
      <c r="C2232" s="3" t="s">
        <v>14</v>
      </c>
      <c r="D2232" s="4">
        <f>DATE(2006,5,9)</f>
        <v>38846</v>
      </c>
      <c r="E2232" s="5">
        <f t="shared" si="36"/>
        <v>2006</v>
      </c>
      <c r="F2232" s="3" t="s">
        <v>554</v>
      </c>
      <c r="G2232" s="6">
        <v>1135</v>
      </c>
      <c r="H2232" s="5">
        <v>6679</v>
      </c>
    </row>
    <row r="2233" spans="2:8" ht="17.5" customHeight="1" x14ac:dyDescent="0.4">
      <c r="B2233" s="3" t="s">
        <v>7</v>
      </c>
      <c r="C2233" s="3" t="s">
        <v>14</v>
      </c>
      <c r="D2233" s="4">
        <f>DATE(2007,4,3)</f>
        <v>39175</v>
      </c>
      <c r="E2233" s="5">
        <f t="shared" si="36"/>
        <v>2007</v>
      </c>
      <c r="F2233" s="3" t="s">
        <v>554</v>
      </c>
      <c r="G2233" s="6">
        <v>3242</v>
      </c>
      <c r="H2233" s="5">
        <v>8268</v>
      </c>
    </row>
    <row r="2234" spans="2:8" ht="17.5" customHeight="1" x14ac:dyDescent="0.4">
      <c r="B2234" t="s">
        <v>7</v>
      </c>
      <c r="C2234" t="s">
        <v>14</v>
      </c>
      <c r="D2234" s="7">
        <f>DATE(2003,3,27)</f>
        <v>37707</v>
      </c>
      <c r="E2234" s="8">
        <f t="shared" si="36"/>
        <v>2003</v>
      </c>
      <c r="F2234" t="s">
        <v>555</v>
      </c>
      <c r="G2234" s="9">
        <v>5557.41</v>
      </c>
      <c r="H2234" s="8">
        <v>348</v>
      </c>
    </row>
    <row r="2235" spans="2:8" ht="17.5" customHeight="1" x14ac:dyDescent="0.4">
      <c r="B2235" t="s">
        <v>7</v>
      </c>
      <c r="C2235" t="s">
        <v>14</v>
      </c>
      <c r="D2235" s="7">
        <f>DATE(2003,12,23)</f>
        <v>37978</v>
      </c>
      <c r="E2235" s="8">
        <f t="shared" si="36"/>
        <v>2003</v>
      </c>
      <c r="F2235" t="s">
        <v>555</v>
      </c>
      <c r="G2235" s="9">
        <v>5801.96</v>
      </c>
      <c r="H2235" s="8">
        <v>1106</v>
      </c>
    </row>
    <row r="2236" spans="2:8" ht="17.5" customHeight="1" x14ac:dyDescent="0.4">
      <c r="B2236" t="s">
        <v>7</v>
      </c>
      <c r="C2236" t="s">
        <v>14</v>
      </c>
      <c r="D2236" s="7">
        <f>DATE(2003,12,30)</f>
        <v>37985</v>
      </c>
      <c r="E2236" s="8">
        <f t="shared" si="36"/>
        <v>2003</v>
      </c>
      <c r="F2236" t="s">
        <v>555</v>
      </c>
      <c r="G2236" s="9">
        <v>5114.1899999999996</v>
      </c>
      <c r="H2236" s="8">
        <v>1109</v>
      </c>
    </row>
    <row r="2237" spans="2:8" ht="17.5" customHeight="1" x14ac:dyDescent="0.4">
      <c r="B2237" t="s">
        <v>7</v>
      </c>
      <c r="C2237" t="s">
        <v>14</v>
      </c>
      <c r="D2237" s="7">
        <f>DATE(2004,5,22)</f>
        <v>38129</v>
      </c>
      <c r="E2237" s="8">
        <f t="shared" si="36"/>
        <v>2004</v>
      </c>
      <c r="F2237" t="s">
        <v>555</v>
      </c>
      <c r="G2237" s="9">
        <v>14457.5</v>
      </c>
      <c r="H2237" s="8">
        <v>1804</v>
      </c>
    </row>
    <row r="2238" spans="2:8" ht="17.5" customHeight="1" x14ac:dyDescent="0.4">
      <c r="B2238" s="3" t="s">
        <v>7</v>
      </c>
      <c r="C2238" s="3" t="s">
        <v>14</v>
      </c>
      <c r="D2238" s="4">
        <f>DATE(2004,3,25)</f>
        <v>38071</v>
      </c>
      <c r="E2238" s="5">
        <f t="shared" si="36"/>
        <v>2004</v>
      </c>
      <c r="F2238" s="3" t="s">
        <v>555</v>
      </c>
      <c r="G2238" s="6">
        <v>1406</v>
      </c>
      <c r="H2238" s="5">
        <v>2473</v>
      </c>
    </row>
    <row r="2239" spans="2:8" ht="17.5" customHeight="1" x14ac:dyDescent="0.4">
      <c r="B2239" t="s">
        <v>7</v>
      </c>
      <c r="C2239" t="s">
        <v>556</v>
      </c>
      <c r="D2239" s="7">
        <f>DATE(2019,5,20)</f>
        <v>43605</v>
      </c>
      <c r="E2239" s="8">
        <f t="shared" si="36"/>
        <v>2019</v>
      </c>
      <c r="F2239" t="s">
        <v>557</v>
      </c>
      <c r="G2239" s="9">
        <v>13015.69</v>
      </c>
      <c r="H2239" s="8">
        <v>29014</v>
      </c>
    </row>
    <row r="2240" spans="2:8" ht="17.5" customHeight="1" x14ac:dyDescent="0.4">
      <c r="B2240" t="s">
        <v>7</v>
      </c>
      <c r="C2240" t="s">
        <v>556</v>
      </c>
      <c r="D2240" s="7">
        <f>DATE(2007,10,7)</f>
        <v>39362</v>
      </c>
      <c r="E2240" s="8">
        <f t="shared" si="36"/>
        <v>2007</v>
      </c>
      <c r="F2240" t="s">
        <v>557</v>
      </c>
      <c r="G2240" s="9">
        <v>10063.91</v>
      </c>
      <c r="H2240" s="8">
        <v>6462</v>
      </c>
    </row>
    <row r="2241" spans="2:8" ht="17.5" customHeight="1" x14ac:dyDescent="0.4">
      <c r="B2241" t="s">
        <v>7</v>
      </c>
      <c r="C2241" t="s">
        <v>556</v>
      </c>
      <c r="D2241" s="7">
        <f>DATE(2008,9,7)</f>
        <v>39698</v>
      </c>
      <c r="E2241" s="8">
        <f t="shared" si="36"/>
        <v>2008</v>
      </c>
      <c r="F2241" t="s">
        <v>557</v>
      </c>
      <c r="G2241" s="9">
        <v>3443.61</v>
      </c>
      <c r="H2241" s="8">
        <v>7796</v>
      </c>
    </row>
    <row r="2242" spans="2:8" ht="17.5" customHeight="1" x14ac:dyDescent="0.4">
      <c r="B2242" t="s">
        <v>7</v>
      </c>
      <c r="C2242" t="s">
        <v>556</v>
      </c>
      <c r="D2242" s="7">
        <f>DATE(2010,11,4)</f>
        <v>40486</v>
      </c>
      <c r="E2242" s="8">
        <f t="shared" si="36"/>
        <v>2010</v>
      </c>
      <c r="F2242" t="s">
        <v>557</v>
      </c>
      <c r="G2242" s="9">
        <v>90967</v>
      </c>
      <c r="H2242" s="8">
        <v>10154</v>
      </c>
    </row>
    <row r="2243" spans="2:8" ht="17.5" customHeight="1" x14ac:dyDescent="0.4">
      <c r="B2243" t="s">
        <v>7</v>
      </c>
      <c r="C2243" t="s">
        <v>556</v>
      </c>
      <c r="D2243" s="7">
        <f>DATE(2011,3,23)</f>
        <v>40625</v>
      </c>
      <c r="E2243" s="8">
        <f t="shared" ref="E2243:E2306" si="37">YEAR(D2243)</f>
        <v>2011</v>
      </c>
      <c r="F2243" t="s">
        <v>557</v>
      </c>
      <c r="G2243" s="9">
        <v>124168.45</v>
      </c>
      <c r="H2243" s="8">
        <v>10464</v>
      </c>
    </row>
    <row r="2244" spans="2:8" ht="17.5" customHeight="1" x14ac:dyDescent="0.4">
      <c r="B2244" t="s">
        <v>7</v>
      </c>
      <c r="C2244" t="s">
        <v>556</v>
      </c>
      <c r="D2244" s="7">
        <f>DATE(2011,6,3)</f>
        <v>40697</v>
      </c>
      <c r="E2244" s="8">
        <f t="shared" si="37"/>
        <v>2011</v>
      </c>
      <c r="F2244" t="s">
        <v>557</v>
      </c>
      <c r="G2244" s="9">
        <v>180341.01</v>
      </c>
      <c r="H2244" s="8">
        <v>10731</v>
      </c>
    </row>
    <row r="2245" spans="2:8" ht="17.5" customHeight="1" x14ac:dyDescent="0.4">
      <c r="B2245" t="s">
        <v>7</v>
      </c>
      <c r="C2245" t="s">
        <v>556</v>
      </c>
      <c r="D2245" s="7">
        <f>DATE(2012,11,6)</f>
        <v>41219</v>
      </c>
      <c r="E2245" s="8">
        <f t="shared" si="37"/>
        <v>2012</v>
      </c>
      <c r="F2245" t="s">
        <v>557</v>
      </c>
      <c r="G2245" s="9">
        <v>117886.01</v>
      </c>
      <c r="H2245" s="8">
        <v>11856</v>
      </c>
    </row>
    <row r="2246" spans="2:8" ht="17.5" customHeight="1" x14ac:dyDescent="0.4">
      <c r="B2246" t="s">
        <v>7</v>
      </c>
      <c r="C2246" t="s">
        <v>556</v>
      </c>
      <c r="D2246" s="7">
        <f>DATE(2013,4,10)</f>
        <v>41374</v>
      </c>
      <c r="E2246" s="8">
        <f t="shared" si="37"/>
        <v>2013</v>
      </c>
      <c r="F2246" t="s">
        <v>557</v>
      </c>
      <c r="G2246" s="9">
        <v>122010.99</v>
      </c>
      <c r="H2246" s="8">
        <v>12226</v>
      </c>
    </row>
    <row r="2247" spans="2:8" ht="17.5" customHeight="1" x14ac:dyDescent="0.4">
      <c r="B2247" t="s">
        <v>7</v>
      </c>
      <c r="C2247" t="s">
        <v>556</v>
      </c>
      <c r="D2247" s="7">
        <f>DATE(2014,3,21)</f>
        <v>41719</v>
      </c>
      <c r="E2247" s="8">
        <f t="shared" si="37"/>
        <v>2014</v>
      </c>
      <c r="F2247" t="s">
        <v>557</v>
      </c>
      <c r="G2247" s="9">
        <v>104609.11</v>
      </c>
      <c r="H2247" s="8">
        <v>12888</v>
      </c>
    </row>
    <row r="2248" spans="2:8" ht="17.5" customHeight="1" x14ac:dyDescent="0.4">
      <c r="B2248" t="s">
        <v>7</v>
      </c>
      <c r="C2248" t="s">
        <v>556</v>
      </c>
      <c r="D2248" s="7">
        <f>DATE(2010,7,21)</f>
        <v>40380</v>
      </c>
      <c r="E2248" s="8">
        <f t="shared" si="37"/>
        <v>2010</v>
      </c>
      <c r="F2248" t="s">
        <v>557</v>
      </c>
      <c r="G2248" s="9">
        <v>17727.34</v>
      </c>
      <c r="H2248" s="8">
        <v>9975</v>
      </c>
    </row>
    <row r="2249" spans="2:8" ht="17.5" customHeight="1" x14ac:dyDescent="0.4">
      <c r="B2249" s="3" t="s">
        <v>7</v>
      </c>
      <c r="C2249" s="3" t="s">
        <v>556</v>
      </c>
      <c r="D2249" s="4">
        <f>DATE(2003,11,10)</f>
        <v>37935</v>
      </c>
      <c r="E2249" s="5">
        <f t="shared" si="37"/>
        <v>2003</v>
      </c>
      <c r="F2249" s="3" t="s">
        <v>557</v>
      </c>
      <c r="G2249" s="6">
        <v>1092.5</v>
      </c>
      <c r="H2249" s="5">
        <v>1741</v>
      </c>
    </row>
    <row r="2250" spans="2:8" ht="17.5" customHeight="1" x14ac:dyDescent="0.4">
      <c r="B2250" s="3" t="s">
        <v>7</v>
      </c>
      <c r="C2250" s="3" t="s">
        <v>556</v>
      </c>
      <c r="D2250" s="4">
        <f>DATE(2003,11,4)</f>
        <v>37929</v>
      </c>
      <c r="E2250" s="5">
        <f t="shared" si="37"/>
        <v>2003</v>
      </c>
      <c r="F2250" s="3" t="s">
        <v>557</v>
      </c>
      <c r="G2250" s="6">
        <v>304</v>
      </c>
      <c r="H2250" s="5">
        <v>1740</v>
      </c>
    </row>
    <row r="2251" spans="2:8" ht="17.5" customHeight="1" x14ac:dyDescent="0.4">
      <c r="B2251" s="3" t="s">
        <v>7</v>
      </c>
      <c r="C2251" s="3" t="s">
        <v>556</v>
      </c>
      <c r="D2251" s="4">
        <f>DATE(2004,4,2)</f>
        <v>38079</v>
      </c>
      <c r="E2251" s="5">
        <f t="shared" si="37"/>
        <v>2004</v>
      </c>
      <c r="F2251" s="3" t="s">
        <v>557</v>
      </c>
      <c r="G2251" s="6">
        <v>96.8</v>
      </c>
      <c r="H2251" s="5">
        <v>2532</v>
      </c>
    </row>
    <row r="2252" spans="2:8" ht="17.5" customHeight="1" x14ac:dyDescent="0.4">
      <c r="B2252" t="s">
        <v>7</v>
      </c>
      <c r="C2252" t="s">
        <v>558</v>
      </c>
      <c r="D2252" s="7">
        <f>DATE(2015,3,17)</f>
        <v>42080</v>
      </c>
      <c r="E2252" s="8">
        <f t="shared" si="37"/>
        <v>2015</v>
      </c>
      <c r="F2252" t="s">
        <v>559</v>
      </c>
      <c r="G2252" s="9">
        <v>26465</v>
      </c>
      <c r="H2252" s="8">
        <v>398</v>
      </c>
    </row>
    <row r="2253" spans="2:8" ht="17.5" customHeight="1" x14ac:dyDescent="0.4">
      <c r="B2253" t="s">
        <v>7</v>
      </c>
      <c r="C2253" t="s">
        <v>558</v>
      </c>
      <c r="D2253" s="7">
        <f>DATE(2015,3,17)</f>
        <v>42080</v>
      </c>
      <c r="E2253" s="8">
        <f t="shared" si="37"/>
        <v>2015</v>
      </c>
      <c r="F2253" t="s">
        <v>559</v>
      </c>
      <c r="G2253" s="9">
        <v>26465</v>
      </c>
      <c r="H2253" s="8">
        <v>392</v>
      </c>
    </row>
    <row r="2254" spans="2:8" ht="17.5" customHeight="1" x14ac:dyDescent="0.4">
      <c r="B2254" t="s">
        <v>7</v>
      </c>
      <c r="C2254" t="s">
        <v>558</v>
      </c>
      <c r="D2254" s="7">
        <f>DATE(2015,6,2)</f>
        <v>42157</v>
      </c>
      <c r="E2254" s="8">
        <f t="shared" si="37"/>
        <v>2015</v>
      </c>
      <c r="F2254" t="s">
        <v>559</v>
      </c>
      <c r="G2254" s="9">
        <v>26465</v>
      </c>
      <c r="H2254" s="8">
        <v>396</v>
      </c>
    </row>
    <row r="2255" spans="2:8" ht="17.5" customHeight="1" x14ac:dyDescent="0.4">
      <c r="B2255" t="s">
        <v>7</v>
      </c>
      <c r="C2255" t="s">
        <v>558</v>
      </c>
      <c r="D2255" s="7">
        <f>DATE(2016,4,11)</f>
        <v>42471</v>
      </c>
      <c r="E2255" s="8">
        <f t="shared" si="37"/>
        <v>2016</v>
      </c>
      <c r="F2255" t="s">
        <v>559</v>
      </c>
      <c r="G2255" s="9">
        <v>25245</v>
      </c>
      <c r="H2255" s="8">
        <v>21833</v>
      </c>
    </row>
    <row r="2256" spans="2:8" ht="17.5" customHeight="1" x14ac:dyDescent="0.4">
      <c r="B2256" t="s">
        <v>7</v>
      </c>
      <c r="C2256" t="s">
        <v>558</v>
      </c>
      <c r="D2256" s="7">
        <f>DATE(2016,6,14)</f>
        <v>42535</v>
      </c>
      <c r="E2256" s="8">
        <f t="shared" si="37"/>
        <v>2016</v>
      </c>
      <c r="F2256" t="s">
        <v>559</v>
      </c>
      <c r="G2256" s="9">
        <v>23942</v>
      </c>
      <c r="H2256" s="8">
        <v>22977</v>
      </c>
    </row>
    <row r="2257" spans="2:8" ht="17.5" customHeight="1" x14ac:dyDescent="0.4">
      <c r="B2257" t="s">
        <v>7</v>
      </c>
      <c r="C2257" t="s">
        <v>558</v>
      </c>
      <c r="D2257" s="7">
        <f>DATE(2017,4,21)</f>
        <v>42846</v>
      </c>
      <c r="E2257" s="8">
        <f t="shared" si="37"/>
        <v>2017</v>
      </c>
      <c r="F2257" t="s">
        <v>559</v>
      </c>
      <c r="G2257" s="9">
        <v>42821</v>
      </c>
      <c r="H2257" s="8">
        <v>24721</v>
      </c>
    </row>
    <row r="2258" spans="2:8" ht="17.5" customHeight="1" x14ac:dyDescent="0.4">
      <c r="B2258" t="s">
        <v>7</v>
      </c>
      <c r="C2258" t="s">
        <v>558</v>
      </c>
      <c r="D2258" s="7">
        <f>DATE(2017,4,21)</f>
        <v>42846</v>
      </c>
      <c r="E2258" s="8">
        <f t="shared" si="37"/>
        <v>2017</v>
      </c>
      <c r="F2258" t="s">
        <v>559</v>
      </c>
      <c r="G2258" s="9">
        <v>26825</v>
      </c>
      <c r="H2258" s="8">
        <v>24736</v>
      </c>
    </row>
    <row r="2259" spans="2:8" ht="17.5" customHeight="1" x14ac:dyDescent="0.4">
      <c r="B2259" t="s">
        <v>7</v>
      </c>
      <c r="C2259" t="s">
        <v>558</v>
      </c>
      <c r="D2259" s="7">
        <f>DATE(2018,2,28)</f>
        <v>43159</v>
      </c>
      <c r="E2259" s="8">
        <f t="shared" si="37"/>
        <v>2018</v>
      </c>
      <c r="F2259" t="s">
        <v>559</v>
      </c>
      <c r="G2259" s="9">
        <v>57473.45</v>
      </c>
      <c r="H2259" s="8">
        <v>26498</v>
      </c>
    </row>
    <row r="2260" spans="2:8" ht="17.5" customHeight="1" x14ac:dyDescent="0.4">
      <c r="B2260" t="s">
        <v>7</v>
      </c>
      <c r="C2260" t="s">
        <v>558</v>
      </c>
      <c r="D2260" s="7">
        <f>DATE(2018,5,31)</f>
        <v>43251</v>
      </c>
      <c r="E2260" s="8">
        <f t="shared" si="37"/>
        <v>2018</v>
      </c>
      <c r="F2260" t="s">
        <v>559</v>
      </c>
      <c r="G2260" s="9">
        <v>59896.5</v>
      </c>
      <c r="H2260" s="8">
        <v>27051</v>
      </c>
    </row>
    <row r="2261" spans="2:8" ht="17.5" customHeight="1" x14ac:dyDescent="0.4">
      <c r="B2261" t="s">
        <v>7</v>
      </c>
      <c r="C2261" t="s">
        <v>558</v>
      </c>
      <c r="D2261" s="7">
        <f>DATE(2015,3,24)</f>
        <v>42087</v>
      </c>
      <c r="E2261" s="8">
        <f t="shared" si="37"/>
        <v>2015</v>
      </c>
      <c r="F2261" t="s">
        <v>559</v>
      </c>
      <c r="G2261" s="9">
        <v>21050</v>
      </c>
      <c r="H2261" s="8">
        <v>388</v>
      </c>
    </row>
    <row r="2262" spans="2:8" ht="17.5" customHeight="1" x14ac:dyDescent="0.4">
      <c r="B2262" t="s">
        <v>7</v>
      </c>
      <c r="C2262" t="s">
        <v>558</v>
      </c>
      <c r="D2262" s="7">
        <f>DATE(2015,3,24)</f>
        <v>42087</v>
      </c>
      <c r="E2262" s="8">
        <f t="shared" si="37"/>
        <v>2015</v>
      </c>
      <c r="F2262" t="s">
        <v>559</v>
      </c>
      <c r="G2262" s="9">
        <v>21050</v>
      </c>
      <c r="H2262" s="8">
        <v>399</v>
      </c>
    </row>
    <row r="2263" spans="2:8" ht="17.5" customHeight="1" x14ac:dyDescent="0.4">
      <c r="B2263" t="s">
        <v>7</v>
      </c>
      <c r="C2263" t="s">
        <v>558</v>
      </c>
      <c r="D2263" s="7">
        <f>DATE(2015,6,5)</f>
        <v>42160</v>
      </c>
      <c r="E2263" s="8">
        <f t="shared" si="37"/>
        <v>2015</v>
      </c>
      <c r="F2263" t="s">
        <v>559</v>
      </c>
      <c r="G2263" s="9">
        <v>21050</v>
      </c>
      <c r="H2263" s="8">
        <v>397</v>
      </c>
    </row>
    <row r="2264" spans="2:8" ht="17.5" customHeight="1" x14ac:dyDescent="0.4">
      <c r="B2264" t="s">
        <v>7</v>
      </c>
      <c r="C2264" t="s">
        <v>558</v>
      </c>
      <c r="D2264" s="7">
        <f>DATE(2016,4,12)</f>
        <v>42472</v>
      </c>
      <c r="E2264" s="8">
        <f t="shared" si="37"/>
        <v>2016</v>
      </c>
      <c r="F2264" t="s">
        <v>559</v>
      </c>
      <c r="G2264" s="9">
        <v>13350</v>
      </c>
      <c r="H2264" s="8">
        <v>21968</v>
      </c>
    </row>
    <row r="2265" spans="2:8" ht="17.5" customHeight="1" x14ac:dyDescent="0.4">
      <c r="B2265" t="s">
        <v>7</v>
      </c>
      <c r="C2265" t="s">
        <v>558</v>
      </c>
      <c r="D2265" s="7">
        <f>DATE(2016,6,14)</f>
        <v>42535</v>
      </c>
      <c r="E2265" s="8">
        <f t="shared" si="37"/>
        <v>2016</v>
      </c>
      <c r="F2265" t="s">
        <v>559</v>
      </c>
      <c r="G2265" s="9">
        <v>21050</v>
      </c>
      <c r="H2265" s="8">
        <v>22268</v>
      </c>
    </row>
    <row r="2266" spans="2:8" ht="17.5" customHeight="1" x14ac:dyDescent="0.4">
      <c r="B2266" t="s">
        <v>7</v>
      </c>
      <c r="C2266" t="s">
        <v>558</v>
      </c>
      <c r="D2266" s="7">
        <f>DATE(2018,5,17)</f>
        <v>43237</v>
      </c>
      <c r="E2266" s="8">
        <f t="shared" si="37"/>
        <v>2018</v>
      </c>
      <c r="F2266" t="s">
        <v>559</v>
      </c>
      <c r="G2266" s="9">
        <v>16236.78</v>
      </c>
      <c r="H2266" s="8">
        <v>27049</v>
      </c>
    </row>
    <row r="2267" spans="2:8" ht="17.5" customHeight="1" x14ac:dyDescent="0.4">
      <c r="B2267" t="s">
        <v>7</v>
      </c>
      <c r="C2267" t="s">
        <v>558</v>
      </c>
      <c r="D2267" s="7">
        <f>DATE(2018,8,21)</f>
        <v>43333</v>
      </c>
      <c r="E2267" s="8">
        <f t="shared" si="37"/>
        <v>2018</v>
      </c>
      <c r="F2267" t="s">
        <v>559</v>
      </c>
      <c r="G2267" s="9">
        <v>2345</v>
      </c>
      <c r="H2267" s="8">
        <v>27510</v>
      </c>
    </row>
    <row r="2268" spans="2:8" ht="17.5" customHeight="1" x14ac:dyDescent="0.4">
      <c r="B2268" t="s">
        <v>7</v>
      </c>
      <c r="C2268" t="s">
        <v>558</v>
      </c>
      <c r="D2268" s="7">
        <f>DATE(2018,8,29)</f>
        <v>43341</v>
      </c>
      <c r="E2268" s="8">
        <f t="shared" si="37"/>
        <v>2018</v>
      </c>
      <c r="F2268" t="s">
        <v>559</v>
      </c>
      <c r="G2268" s="9">
        <v>2345</v>
      </c>
      <c r="H2268" s="8">
        <v>27543</v>
      </c>
    </row>
    <row r="2269" spans="2:8" ht="17.5" customHeight="1" x14ac:dyDescent="0.4">
      <c r="B2269" t="s">
        <v>7</v>
      </c>
      <c r="C2269" t="s">
        <v>558</v>
      </c>
      <c r="D2269" s="7">
        <f>DATE(2015,1,19)</f>
        <v>42023</v>
      </c>
      <c r="E2269" s="8">
        <f t="shared" si="37"/>
        <v>2015</v>
      </c>
      <c r="F2269" t="s">
        <v>559</v>
      </c>
      <c r="G2269" s="9">
        <v>93.85</v>
      </c>
      <c r="H2269" s="8">
        <v>249</v>
      </c>
    </row>
    <row r="2270" spans="2:8" ht="17.5" customHeight="1" x14ac:dyDescent="0.4">
      <c r="B2270" t="s">
        <v>7</v>
      </c>
      <c r="C2270" t="s">
        <v>558</v>
      </c>
      <c r="D2270" s="7">
        <f>DATE(2015,2,26)</f>
        <v>42061</v>
      </c>
      <c r="E2270" s="8">
        <f t="shared" si="37"/>
        <v>2015</v>
      </c>
      <c r="F2270" t="s">
        <v>559</v>
      </c>
      <c r="G2270" s="9">
        <v>4962.16</v>
      </c>
      <c r="H2270" s="8">
        <v>5024</v>
      </c>
    </row>
    <row r="2271" spans="2:8" ht="17.5" customHeight="1" x14ac:dyDescent="0.4">
      <c r="B2271" t="s">
        <v>7</v>
      </c>
      <c r="C2271" t="s">
        <v>558</v>
      </c>
      <c r="D2271" s="7">
        <f>DATE(2017,9,7)</f>
        <v>42985</v>
      </c>
      <c r="E2271" s="8">
        <f t="shared" si="37"/>
        <v>2017</v>
      </c>
      <c r="F2271" t="s">
        <v>559</v>
      </c>
      <c r="G2271" s="9">
        <v>5237.37</v>
      </c>
      <c r="H2271" s="8">
        <v>25473</v>
      </c>
    </row>
    <row r="2272" spans="2:8" ht="17.5" customHeight="1" x14ac:dyDescent="0.4">
      <c r="B2272" t="s">
        <v>7</v>
      </c>
      <c r="C2272" t="s">
        <v>558</v>
      </c>
      <c r="D2272" s="7">
        <f>DATE(2018,7,25)</f>
        <v>43306</v>
      </c>
      <c r="E2272" s="8">
        <f t="shared" si="37"/>
        <v>2018</v>
      </c>
      <c r="F2272" t="s">
        <v>559</v>
      </c>
      <c r="G2272" s="9">
        <v>13505</v>
      </c>
      <c r="H2272" s="8">
        <v>27356</v>
      </c>
    </row>
    <row r="2273" spans="2:8" ht="17.5" customHeight="1" x14ac:dyDescent="0.4">
      <c r="B2273" t="s">
        <v>7</v>
      </c>
      <c r="C2273" t="s">
        <v>558</v>
      </c>
      <c r="D2273" s="7">
        <f>DATE(2018,8,23)</f>
        <v>43335</v>
      </c>
      <c r="E2273" s="8">
        <f t="shared" si="37"/>
        <v>2018</v>
      </c>
      <c r="F2273" t="s">
        <v>559</v>
      </c>
      <c r="G2273" s="9">
        <v>34846.78</v>
      </c>
      <c r="H2273" s="8">
        <v>27507</v>
      </c>
    </row>
    <row r="2274" spans="2:8" ht="17.5" customHeight="1" x14ac:dyDescent="0.4">
      <c r="B2274" t="s">
        <v>7</v>
      </c>
      <c r="C2274" t="s">
        <v>558</v>
      </c>
      <c r="D2274" s="7">
        <f>DATE(2003,2,5)</f>
        <v>37657</v>
      </c>
      <c r="E2274" s="8">
        <f t="shared" si="37"/>
        <v>2003</v>
      </c>
      <c r="F2274" t="s">
        <v>559</v>
      </c>
      <c r="G2274" s="9">
        <v>20016.5</v>
      </c>
      <c r="H2274" s="8">
        <v>2</v>
      </c>
    </row>
    <row r="2275" spans="2:8" ht="17.5" customHeight="1" x14ac:dyDescent="0.4">
      <c r="B2275" t="s">
        <v>7</v>
      </c>
      <c r="C2275" t="s">
        <v>558</v>
      </c>
      <c r="D2275" s="7">
        <f>DATE(2003,2,11)</f>
        <v>37663</v>
      </c>
      <c r="E2275" s="8">
        <f t="shared" si="37"/>
        <v>2003</v>
      </c>
      <c r="F2275" t="s">
        <v>559</v>
      </c>
      <c r="G2275" s="9">
        <v>36543</v>
      </c>
      <c r="H2275" s="8">
        <v>28</v>
      </c>
    </row>
    <row r="2276" spans="2:8" ht="17.5" customHeight="1" x14ac:dyDescent="0.4">
      <c r="B2276" t="s">
        <v>7</v>
      </c>
      <c r="C2276" t="s">
        <v>558</v>
      </c>
      <c r="D2276" s="7">
        <f>DATE(2003,3,12)</f>
        <v>37692</v>
      </c>
      <c r="E2276" s="8">
        <f t="shared" si="37"/>
        <v>2003</v>
      </c>
      <c r="F2276" t="s">
        <v>559</v>
      </c>
      <c r="G2276" s="9">
        <v>1469.24</v>
      </c>
      <c r="H2276" s="8">
        <v>321</v>
      </c>
    </row>
    <row r="2277" spans="2:8" ht="17.5" customHeight="1" x14ac:dyDescent="0.4">
      <c r="B2277" t="s">
        <v>7</v>
      </c>
      <c r="C2277" t="s">
        <v>558</v>
      </c>
      <c r="D2277" s="7">
        <f>DATE(2003,5,3)</f>
        <v>37744</v>
      </c>
      <c r="E2277" s="8">
        <f t="shared" si="37"/>
        <v>2003</v>
      </c>
      <c r="F2277" t="s">
        <v>559</v>
      </c>
      <c r="G2277" s="9">
        <v>19632.62</v>
      </c>
      <c r="H2277" s="8">
        <v>430</v>
      </c>
    </row>
    <row r="2278" spans="2:8" ht="17.5" customHeight="1" x14ac:dyDescent="0.4">
      <c r="B2278" t="s">
        <v>7</v>
      </c>
      <c r="C2278" t="s">
        <v>558</v>
      </c>
      <c r="D2278" s="7">
        <f>DATE(2003,5,9)</f>
        <v>37750</v>
      </c>
      <c r="E2278" s="8">
        <f t="shared" si="37"/>
        <v>2003</v>
      </c>
      <c r="F2278" t="s">
        <v>559</v>
      </c>
      <c r="G2278" s="9">
        <v>20280</v>
      </c>
      <c r="H2278" s="8">
        <v>480</v>
      </c>
    </row>
    <row r="2279" spans="2:8" ht="17.5" customHeight="1" x14ac:dyDescent="0.4">
      <c r="B2279" t="s">
        <v>7</v>
      </c>
      <c r="C2279" t="s">
        <v>558</v>
      </c>
      <c r="D2279" s="7">
        <f>DATE(2003,10,3)</f>
        <v>37897</v>
      </c>
      <c r="E2279" s="8">
        <f t="shared" si="37"/>
        <v>2003</v>
      </c>
      <c r="F2279" t="s">
        <v>559</v>
      </c>
      <c r="G2279" s="9">
        <v>19559</v>
      </c>
      <c r="H2279" s="8">
        <v>761</v>
      </c>
    </row>
    <row r="2280" spans="2:8" ht="17.5" customHeight="1" x14ac:dyDescent="0.4">
      <c r="B2280" t="s">
        <v>7</v>
      </c>
      <c r="C2280" t="s">
        <v>558</v>
      </c>
      <c r="D2280" s="7">
        <f>DATE(2004,4,4)</f>
        <v>38081</v>
      </c>
      <c r="E2280" s="8">
        <f t="shared" si="37"/>
        <v>2004</v>
      </c>
      <c r="F2280" t="s">
        <v>559</v>
      </c>
      <c r="G2280" s="9">
        <v>19600</v>
      </c>
      <c r="H2280" s="8">
        <v>1188</v>
      </c>
    </row>
    <row r="2281" spans="2:8" ht="17.5" customHeight="1" x14ac:dyDescent="0.4">
      <c r="B2281" t="s">
        <v>7</v>
      </c>
      <c r="C2281" t="s">
        <v>558</v>
      </c>
      <c r="D2281" s="7">
        <f>DATE(2004,4,11)</f>
        <v>38088</v>
      </c>
      <c r="E2281" s="8">
        <f t="shared" si="37"/>
        <v>2004</v>
      </c>
      <c r="F2281" t="s">
        <v>559</v>
      </c>
      <c r="G2281" s="9">
        <v>22360</v>
      </c>
      <c r="H2281" s="8">
        <v>1645</v>
      </c>
    </row>
    <row r="2282" spans="2:8" ht="17.5" customHeight="1" x14ac:dyDescent="0.4">
      <c r="B2282" t="s">
        <v>7</v>
      </c>
      <c r="C2282" t="s">
        <v>558</v>
      </c>
      <c r="D2282" s="7">
        <f>DATE(2004,9,4)</f>
        <v>38234</v>
      </c>
      <c r="E2282" s="8">
        <f t="shared" si="37"/>
        <v>2004</v>
      </c>
      <c r="F2282" t="s">
        <v>559</v>
      </c>
      <c r="G2282" s="9">
        <v>6033.38</v>
      </c>
      <c r="H2282" s="8">
        <v>2120</v>
      </c>
    </row>
    <row r="2283" spans="2:8" ht="17.5" customHeight="1" x14ac:dyDescent="0.4">
      <c r="B2283" t="s">
        <v>7</v>
      </c>
      <c r="C2283" t="s">
        <v>558</v>
      </c>
      <c r="D2283" s="7">
        <f>DATE(2004,10,31)</f>
        <v>38291</v>
      </c>
      <c r="E2283" s="8">
        <f t="shared" si="37"/>
        <v>2004</v>
      </c>
      <c r="F2283" t="s">
        <v>559</v>
      </c>
      <c r="G2283" s="9">
        <v>6660.66</v>
      </c>
      <c r="H2283" s="8">
        <v>2336</v>
      </c>
    </row>
    <row r="2284" spans="2:8" ht="17.5" customHeight="1" x14ac:dyDescent="0.4">
      <c r="B2284" t="s">
        <v>7</v>
      </c>
      <c r="C2284" t="s">
        <v>558</v>
      </c>
      <c r="D2284" s="7">
        <f>DATE(2005,3,8)</f>
        <v>38419</v>
      </c>
      <c r="E2284" s="8">
        <f t="shared" si="37"/>
        <v>2005</v>
      </c>
      <c r="F2284" t="s">
        <v>559</v>
      </c>
      <c r="G2284" s="9">
        <v>20200</v>
      </c>
      <c r="H2284" s="8">
        <v>2708</v>
      </c>
    </row>
    <row r="2285" spans="2:8" ht="17.5" customHeight="1" x14ac:dyDescent="0.4">
      <c r="B2285" t="s">
        <v>7</v>
      </c>
      <c r="C2285" t="s">
        <v>558</v>
      </c>
      <c r="D2285" s="7">
        <f>DATE(2005,4,8)</f>
        <v>38450</v>
      </c>
      <c r="E2285" s="8">
        <f t="shared" si="37"/>
        <v>2005</v>
      </c>
      <c r="F2285" t="s">
        <v>559</v>
      </c>
      <c r="G2285" s="9">
        <v>11500</v>
      </c>
      <c r="H2285" s="8">
        <v>2714</v>
      </c>
    </row>
    <row r="2286" spans="2:8" ht="17.5" customHeight="1" x14ac:dyDescent="0.4">
      <c r="B2286" t="s">
        <v>7</v>
      </c>
      <c r="C2286" t="s">
        <v>558</v>
      </c>
      <c r="D2286" s="7">
        <f>DATE(2005,4,30)</f>
        <v>38472</v>
      </c>
      <c r="E2286" s="8">
        <f t="shared" si="37"/>
        <v>2005</v>
      </c>
      <c r="F2286" t="s">
        <v>559</v>
      </c>
      <c r="G2286" s="9">
        <v>4227.03</v>
      </c>
      <c r="H2286" s="8">
        <v>3150</v>
      </c>
    </row>
    <row r="2287" spans="2:8" ht="17.5" customHeight="1" x14ac:dyDescent="0.4">
      <c r="B2287" t="s">
        <v>7</v>
      </c>
      <c r="C2287" t="s">
        <v>558</v>
      </c>
      <c r="D2287" s="7">
        <f>DATE(2005,7,24)</f>
        <v>38557</v>
      </c>
      <c r="E2287" s="8">
        <f t="shared" si="37"/>
        <v>2005</v>
      </c>
      <c r="F2287" t="s">
        <v>559</v>
      </c>
      <c r="G2287" s="9">
        <v>20200</v>
      </c>
      <c r="H2287" s="8">
        <v>3382</v>
      </c>
    </row>
    <row r="2288" spans="2:8" ht="17.5" customHeight="1" x14ac:dyDescent="0.4">
      <c r="B2288" t="s">
        <v>7</v>
      </c>
      <c r="C2288" t="s">
        <v>558</v>
      </c>
      <c r="D2288" s="7">
        <f>DATE(2005,10,8)</f>
        <v>38633</v>
      </c>
      <c r="E2288" s="8">
        <f t="shared" si="37"/>
        <v>2005</v>
      </c>
      <c r="F2288" t="s">
        <v>559</v>
      </c>
      <c r="G2288" s="9">
        <v>22055</v>
      </c>
      <c r="H2288" s="8">
        <v>2547</v>
      </c>
    </row>
    <row r="2289" spans="2:8" ht="17.5" customHeight="1" x14ac:dyDescent="0.4">
      <c r="B2289" t="s">
        <v>7</v>
      </c>
      <c r="C2289" t="s">
        <v>558</v>
      </c>
      <c r="D2289" s="7">
        <f>DATE(2006,2,18)</f>
        <v>38766</v>
      </c>
      <c r="E2289" s="8">
        <f t="shared" si="37"/>
        <v>2006</v>
      </c>
      <c r="F2289" t="s">
        <v>559</v>
      </c>
      <c r="G2289" s="9">
        <v>5964.82</v>
      </c>
      <c r="H2289" s="8">
        <v>4148</v>
      </c>
    </row>
    <row r="2290" spans="2:8" ht="17.5" customHeight="1" x14ac:dyDescent="0.4">
      <c r="B2290" t="s">
        <v>7</v>
      </c>
      <c r="C2290" t="s">
        <v>558</v>
      </c>
      <c r="D2290" s="7">
        <f>DATE(2006,3,31)</f>
        <v>38807</v>
      </c>
      <c r="E2290" s="8">
        <f t="shared" si="37"/>
        <v>2006</v>
      </c>
      <c r="F2290" t="s">
        <v>559</v>
      </c>
      <c r="G2290" s="9">
        <v>12500</v>
      </c>
      <c r="H2290" s="8">
        <v>4318</v>
      </c>
    </row>
    <row r="2291" spans="2:8" ht="17.5" customHeight="1" x14ac:dyDescent="0.4">
      <c r="B2291" t="s">
        <v>7</v>
      </c>
      <c r="C2291" t="s">
        <v>558</v>
      </c>
      <c r="D2291" s="7">
        <f>DATE(2006,4,15)</f>
        <v>38822</v>
      </c>
      <c r="E2291" s="8">
        <f t="shared" si="37"/>
        <v>2006</v>
      </c>
      <c r="F2291" t="s">
        <v>559</v>
      </c>
      <c r="G2291" s="9">
        <v>25275.1</v>
      </c>
      <c r="H2291" s="8">
        <v>4037</v>
      </c>
    </row>
    <row r="2292" spans="2:8" ht="17.5" customHeight="1" x14ac:dyDescent="0.4">
      <c r="B2292" t="s">
        <v>7</v>
      </c>
      <c r="C2292" t="s">
        <v>558</v>
      </c>
      <c r="D2292" s="7">
        <f>DATE(2006,4,23)</f>
        <v>38830</v>
      </c>
      <c r="E2292" s="8">
        <f t="shared" si="37"/>
        <v>2006</v>
      </c>
      <c r="F2292" t="s">
        <v>559</v>
      </c>
      <c r="G2292" s="9">
        <v>12300</v>
      </c>
      <c r="H2292" s="8">
        <v>4443</v>
      </c>
    </row>
    <row r="2293" spans="2:8" ht="17.5" customHeight="1" x14ac:dyDescent="0.4">
      <c r="B2293" t="s">
        <v>7</v>
      </c>
      <c r="C2293" t="s">
        <v>558</v>
      </c>
      <c r="D2293" s="7">
        <f>DATE(2006,9,16)</f>
        <v>38976</v>
      </c>
      <c r="E2293" s="8">
        <f t="shared" si="37"/>
        <v>2006</v>
      </c>
      <c r="F2293" t="s">
        <v>559</v>
      </c>
      <c r="G2293" s="9">
        <v>20980</v>
      </c>
      <c r="H2293" s="8">
        <v>4332</v>
      </c>
    </row>
    <row r="2294" spans="2:8" ht="17.5" customHeight="1" x14ac:dyDescent="0.4">
      <c r="B2294" t="s">
        <v>7</v>
      </c>
      <c r="C2294" t="s">
        <v>558</v>
      </c>
      <c r="D2294" s="7">
        <f>DATE(2007,1,24)</f>
        <v>39106</v>
      </c>
      <c r="E2294" s="8">
        <f t="shared" si="37"/>
        <v>2007</v>
      </c>
      <c r="F2294" t="s">
        <v>559</v>
      </c>
      <c r="G2294" s="9">
        <v>22500</v>
      </c>
      <c r="H2294" s="8">
        <v>5413</v>
      </c>
    </row>
    <row r="2295" spans="2:8" ht="17.5" customHeight="1" x14ac:dyDescent="0.4">
      <c r="B2295" t="s">
        <v>7</v>
      </c>
      <c r="C2295" t="s">
        <v>558</v>
      </c>
      <c r="D2295" s="7">
        <f>DATE(2007,3,11)</f>
        <v>39152</v>
      </c>
      <c r="E2295" s="8">
        <f t="shared" si="37"/>
        <v>2007</v>
      </c>
      <c r="F2295" t="s">
        <v>559</v>
      </c>
      <c r="G2295" s="9">
        <v>5984.19</v>
      </c>
      <c r="H2295" s="8">
        <v>5596</v>
      </c>
    </row>
    <row r="2296" spans="2:8" ht="17.5" customHeight="1" x14ac:dyDescent="0.4">
      <c r="B2296" t="s">
        <v>7</v>
      </c>
      <c r="C2296" t="s">
        <v>558</v>
      </c>
      <c r="D2296" s="7">
        <f>DATE(2007,4,20)</f>
        <v>39192</v>
      </c>
      <c r="E2296" s="8">
        <f t="shared" si="37"/>
        <v>2007</v>
      </c>
      <c r="F2296" t="s">
        <v>559</v>
      </c>
      <c r="G2296" s="9">
        <v>2155.3200000000002</v>
      </c>
      <c r="H2296" s="8">
        <v>5848</v>
      </c>
    </row>
    <row r="2297" spans="2:8" ht="17.5" customHeight="1" x14ac:dyDescent="0.4">
      <c r="B2297" t="s">
        <v>7</v>
      </c>
      <c r="C2297" t="s">
        <v>558</v>
      </c>
      <c r="D2297" s="7">
        <f>DATE(2007,5,1)</f>
        <v>39203</v>
      </c>
      <c r="E2297" s="8">
        <f t="shared" si="37"/>
        <v>2007</v>
      </c>
      <c r="F2297" t="s">
        <v>559</v>
      </c>
      <c r="G2297" s="9">
        <v>21210</v>
      </c>
      <c r="H2297" s="8">
        <v>5496</v>
      </c>
    </row>
    <row r="2298" spans="2:8" ht="17.5" customHeight="1" x14ac:dyDescent="0.4">
      <c r="B2298" t="s">
        <v>7</v>
      </c>
      <c r="C2298" t="s">
        <v>558</v>
      </c>
      <c r="D2298" s="7">
        <f>DATE(2007,5,31)</f>
        <v>39233</v>
      </c>
      <c r="E2298" s="8">
        <f t="shared" si="37"/>
        <v>2007</v>
      </c>
      <c r="F2298" t="s">
        <v>559</v>
      </c>
      <c r="G2298" s="9">
        <v>21210</v>
      </c>
      <c r="H2298" s="8">
        <v>5431</v>
      </c>
    </row>
    <row r="2299" spans="2:8" ht="17.5" customHeight="1" x14ac:dyDescent="0.4">
      <c r="B2299" t="s">
        <v>7</v>
      </c>
      <c r="C2299" t="s">
        <v>558</v>
      </c>
      <c r="D2299" s="7">
        <f>DATE(2007,7,1)</f>
        <v>39264</v>
      </c>
      <c r="E2299" s="8">
        <f t="shared" si="37"/>
        <v>2007</v>
      </c>
      <c r="F2299" t="s">
        <v>559</v>
      </c>
      <c r="G2299" s="9">
        <v>209.96</v>
      </c>
      <c r="H2299" s="8">
        <v>6171</v>
      </c>
    </row>
    <row r="2300" spans="2:8" ht="17.5" customHeight="1" x14ac:dyDescent="0.4">
      <c r="B2300" t="s">
        <v>7</v>
      </c>
      <c r="C2300" t="s">
        <v>558</v>
      </c>
      <c r="D2300" s="7">
        <f>DATE(2007,9,15)</f>
        <v>39340</v>
      </c>
      <c r="E2300" s="8">
        <f t="shared" si="37"/>
        <v>2007</v>
      </c>
      <c r="F2300" t="s">
        <v>559</v>
      </c>
      <c r="G2300" s="9">
        <v>22540</v>
      </c>
      <c r="H2300" s="8">
        <v>6229</v>
      </c>
    </row>
    <row r="2301" spans="2:8" ht="17.5" customHeight="1" x14ac:dyDescent="0.4">
      <c r="B2301" t="s">
        <v>7</v>
      </c>
      <c r="C2301" t="s">
        <v>558</v>
      </c>
      <c r="D2301" s="7">
        <f>DATE(2007,12,18)</f>
        <v>39434</v>
      </c>
      <c r="E2301" s="8">
        <f t="shared" si="37"/>
        <v>2007</v>
      </c>
      <c r="F2301" t="s">
        <v>559</v>
      </c>
      <c r="G2301" s="9">
        <v>2992</v>
      </c>
      <c r="H2301" s="8">
        <v>6701</v>
      </c>
    </row>
    <row r="2302" spans="2:8" ht="17.5" customHeight="1" x14ac:dyDescent="0.4">
      <c r="B2302" t="s">
        <v>7</v>
      </c>
      <c r="C2302" t="s">
        <v>558</v>
      </c>
      <c r="D2302" s="7">
        <f>DATE(2008,2,5)</f>
        <v>39483</v>
      </c>
      <c r="E2302" s="8">
        <f t="shared" si="37"/>
        <v>2008</v>
      </c>
      <c r="F2302" t="s">
        <v>559</v>
      </c>
      <c r="G2302" s="9">
        <v>4650.6000000000004</v>
      </c>
      <c r="H2302" s="8">
        <v>6936</v>
      </c>
    </row>
    <row r="2303" spans="2:8" ht="17.5" customHeight="1" x14ac:dyDescent="0.4">
      <c r="B2303" t="s">
        <v>7</v>
      </c>
      <c r="C2303" t="s">
        <v>558</v>
      </c>
      <c r="D2303" s="7">
        <f>DATE(2008,5,9)</f>
        <v>39577</v>
      </c>
      <c r="E2303" s="8">
        <f t="shared" si="37"/>
        <v>2008</v>
      </c>
      <c r="F2303" t="s">
        <v>559</v>
      </c>
      <c r="G2303" s="9">
        <v>21210</v>
      </c>
      <c r="H2303" s="8">
        <v>6805</v>
      </c>
    </row>
    <row r="2304" spans="2:8" ht="17.5" customHeight="1" x14ac:dyDescent="0.4">
      <c r="B2304" t="s">
        <v>7</v>
      </c>
      <c r="C2304" t="s">
        <v>558</v>
      </c>
      <c r="D2304" s="7">
        <f>DATE(2008,7,10)</f>
        <v>39639</v>
      </c>
      <c r="E2304" s="8">
        <f t="shared" si="37"/>
        <v>2008</v>
      </c>
      <c r="F2304" t="s">
        <v>559</v>
      </c>
      <c r="G2304" s="9">
        <v>4942.2299999999996</v>
      </c>
      <c r="H2304" s="8">
        <v>7608</v>
      </c>
    </row>
    <row r="2305" spans="2:8" ht="17.5" customHeight="1" x14ac:dyDescent="0.4">
      <c r="B2305" t="s">
        <v>7</v>
      </c>
      <c r="C2305" t="s">
        <v>558</v>
      </c>
      <c r="D2305" s="7">
        <f>DATE(2008,10,4)</f>
        <v>39725</v>
      </c>
      <c r="E2305" s="8">
        <f t="shared" si="37"/>
        <v>2008</v>
      </c>
      <c r="F2305" t="s">
        <v>559</v>
      </c>
      <c r="G2305" s="9">
        <v>5146.66</v>
      </c>
      <c r="H2305" s="8">
        <v>7892</v>
      </c>
    </row>
    <row r="2306" spans="2:8" ht="17.5" customHeight="1" x14ac:dyDescent="0.4">
      <c r="B2306" t="s">
        <v>7</v>
      </c>
      <c r="C2306" t="s">
        <v>558</v>
      </c>
      <c r="D2306" s="7">
        <f>DATE(2009,2,24)</f>
        <v>39868</v>
      </c>
      <c r="E2306" s="8">
        <f t="shared" si="37"/>
        <v>2009</v>
      </c>
      <c r="F2306" t="s">
        <v>559</v>
      </c>
      <c r="G2306" s="9">
        <v>22350</v>
      </c>
      <c r="H2306" s="8">
        <v>8128</v>
      </c>
    </row>
    <row r="2307" spans="2:8" ht="17.5" customHeight="1" x14ac:dyDescent="0.4">
      <c r="B2307" t="s">
        <v>7</v>
      </c>
      <c r="C2307" t="s">
        <v>558</v>
      </c>
      <c r="D2307" s="7">
        <f>DATE(2009,5,12)</f>
        <v>39945</v>
      </c>
      <c r="E2307" s="8">
        <f t="shared" ref="E2307:E2370" si="38">YEAR(D2307)</f>
        <v>2009</v>
      </c>
      <c r="F2307" t="s">
        <v>559</v>
      </c>
      <c r="G2307" s="9">
        <v>22350</v>
      </c>
      <c r="H2307" s="8">
        <v>8222</v>
      </c>
    </row>
    <row r="2308" spans="2:8" ht="17.5" customHeight="1" x14ac:dyDescent="0.4">
      <c r="B2308" t="s">
        <v>7</v>
      </c>
      <c r="C2308" t="s">
        <v>558</v>
      </c>
      <c r="D2308" s="7">
        <f>DATE(2009,7,31)</f>
        <v>40025</v>
      </c>
      <c r="E2308" s="8">
        <f t="shared" si="38"/>
        <v>2009</v>
      </c>
      <c r="F2308" t="s">
        <v>559</v>
      </c>
      <c r="G2308" s="9">
        <v>7000.84</v>
      </c>
      <c r="H2308" s="8">
        <v>8896</v>
      </c>
    </row>
    <row r="2309" spans="2:8" ht="17.5" customHeight="1" x14ac:dyDescent="0.4">
      <c r="B2309" t="s">
        <v>7</v>
      </c>
      <c r="C2309" t="s">
        <v>558</v>
      </c>
      <c r="D2309" s="7">
        <f>DATE(2009,11,11)</f>
        <v>40128</v>
      </c>
      <c r="E2309" s="8">
        <f t="shared" si="38"/>
        <v>2009</v>
      </c>
      <c r="F2309" t="s">
        <v>559</v>
      </c>
      <c r="G2309" s="9">
        <v>7666.11</v>
      </c>
      <c r="H2309" s="8">
        <v>9159</v>
      </c>
    </row>
    <row r="2310" spans="2:8" ht="17.5" customHeight="1" x14ac:dyDescent="0.4">
      <c r="B2310" t="s">
        <v>7</v>
      </c>
      <c r="C2310" t="s">
        <v>558</v>
      </c>
      <c r="D2310" s="7">
        <f>DATE(2010,1,20)</f>
        <v>40198</v>
      </c>
      <c r="E2310" s="8">
        <f t="shared" si="38"/>
        <v>2010</v>
      </c>
      <c r="F2310" t="s">
        <v>559</v>
      </c>
      <c r="G2310" s="9">
        <v>6333.46</v>
      </c>
      <c r="H2310" s="8">
        <v>9371</v>
      </c>
    </row>
    <row r="2311" spans="2:8" ht="17.5" customHeight="1" x14ac:dyDescent="0.4">
      <c r="B2311" t="s">
        <v>7</v>
      </c>
      <c r="C2311" t="s">
        <v>558</v>
      </c>
      <c r="D2311" s="7">
        <f>DATE(2010,1,26)</f>
        <v>40204</v>
      </c>
      <c r="E2311" s="8">
        <f t="shared" si="38"/>
        <v>2010</v>
      </c>
      <c r="F2311" t="s">
        <v>559</v>
      </c>
      <c r="G2311" s="9">
        <v>6211.61</v>
      </c>
      <c r="H2311" s="8">
        <v>9393</v>
      </c>
    </row>
    <row r="2312" spans="2:8" ht="17.5" customHeight="1" x14ac:dyDescent="0.4">
      <c r="B2312" t="s">
        <v>7</v>
      </c>
      <c r="C2312" t="s">
        <v>558</v>
      </c>
      <c r="D2312" s="7">
        <f>DATE(2010,3,4)</f>
        <v>40241</v>
      </c>
      <c r="E2312" s="8">
        <f t="shared" si="38"/>
        <v>2010</v>
      </c>
      <c r="F2312" t="s">
        <v>559</v>
      </c>
      <c r="G2312" s="9">
        <v>22559</v>
      </c>
      <c r="H2312" s="8">
        <v>9459</v>
      </c>
    </row>
    <row r="2313" spans="2:8" ht="17.5" customHeight="1" x14ac:dyDescent="0.4">
      <c r="B2313" t="s">
        <v>7</v>
      </c>
      <c r="C2313" t="s">
        <v>558</v>
      </c>
      <c r="D2313" s="7">
        <f>DATE(2010,5,4)</f>
        <v>40302</v>
      </c>
      <c r="E2313" s="8">
        <f t="shared" si="38"/>
        <v>2010</v>
      </c>
      <c r="F2313" t="s">
        <v>559</v>
      </c>
      <c r="G2313" s="9">
        <v>13727</v>
      </c>
      <c r="H2313" s="8">
        <v>9380</v>
      </c>
    </row>
    <row r="2314" spans="2:8" ht="17.5" customHeight="1" x14ac:dyDescent="0.4">
      <c r="B2314" t="s">
        <v>7</v>
      </c>
      <c r="C2314" t="s">
        <v>558</v>
      </c>
      <c r="D2314" s="7">
        <f>DATE(2011,4,25)</f>
        <v>40658</v>
      </c>
      <c r="E2314" s="8">
        <f t="shared" si="38"/>
        <v>2011</v>
      </c>
      <c r="F2314" t="s">
        <v>559</v>
      </c>
      <c r="G2314" s="9">
        <v>23235</v>
      </c>
      <c r="H2314" s="8">
        <v>10487</v>
      </c>
    </row>
    <row r="2315" spans="2:8" ht="17.5" customHeight="1" x14ac:dyDescent="0.4">
      <c r="B2315" t="s">
        <v>7</v>
      </c>
      <c r="C2315" t="s">
        <v>558</v>
      </c>
      <c r="D2315" s="7">
        <f>DATE(2011,5,31)</f>
        <v>40694</v>
      </c>
      <c r="E2315" s="8">
        <f t="shared" si="38"/>
        <v>2011</v>
      </c>
      <c r="F2315" t="s">
        <v>559</v>
      </c>
      <c r="G2315" s="9">
        <v>14092</v>
      </c>
      <c r="H2315" s="8">
        <v>10486</v>
      </c>
    </row>
    <row r="2316" spans="2:8" ht="17.5" customHeight="1" x14ac:dyDescent="0.4">
      <c r="B2316" t="s">
        <v>7</v>
      </c>
      <c r="C2316" t="s">
        <v>558</v>
      </c>
      <c r="D2316" s="7">
        <f>DATE(2011,9,26)</f>
        <v>40812</v>
      </c>
      <c r="E2316" s="8">
        <f t="shared" si="38"/>
        <v>2011</v>
      </c>
      <c r="F2316" t="s">
        <v>559</v>
      </c>
      <c r="G2316" s="9">
        <v>14092</v>
      </c>
      <c r="H2316" s="8">
        <v>10795</v>
      </c>
    </row>
    <row r="2317" spans="2:8" ht="17.5" customHeight="1" x14ac:dyDescent="0.4">
      <c r="B2317" t="s">
        <v>7</v>
      </c>
      <c r="C2317" t="s">
        <v>558</v>
      </c>
      <c r="D2317" s="7">
        <f>DATE(2012,4,26)</f>
        <v>41025</v>
      </c>
      <c r="E2317" s="8">
        <f t="shared" si="38"/>
        <v>2012</v>
      </c>
      <c r="F2317" t="s">
        <v>559</v>
      </c>
      <c r="G2317" s="9">
        <v>23965</v>
      </c>
      <c r="H2317" s="8">
        <v>11572</v>
      </c>
    </row>
    <row r="2318" spans="2:8" ht="17.5" customHeight="1" x14ac:dyDescent="0.4">
      <c r="B2318" t="s">
        <v>7</v>
      </c>
      <c r="C2318" t="s">
        <v>558</v>
      </c>
      <c r="D2318" s="7">
        <f>DATE(2012,4,26)</f>
        <v>41025</v>
      </c>
      <c r="E2318" s="8">
        <f t="shared" si="38"/>
        <v>2012</v>
      </c>
      <c r="F2318" t="s">
        <v>559</v>
      </c>
      <c r="G2318" s="9">
        <v>14300</v>
      </c>
      <c r="H2318" s="8">
        <v>11278</v>
      </c>
    </row>
    <row r="2319" spans="2:8" ht="17.5" customHeight="1" x14ac:dyDescent="0.4">
      <c r="B2319" t="s">
        <v>7</v>
      </c>
      <c r="C2319" t="s">
        <v>558</v>
      </c>
      <c r="D2319" s="7">
        <f>DATE(2012,5,25)</f>
        <v>41054</v>
      </c>
      <c r="E2319" s="8">
        <f t="shared" si="38"/>
        <v>2012</v>
      </c>
      <c r="F2319" t="s">
        <v>559</v>
      </c>
      <c r="G2319" s="9">
        <v>14300</v>
      </c>
      <c r="H2319" s="8">
        <v>11277</v>
      </c>
    </row>
    <row r="2320" spans="2:8" ht="17.5" customHeight="1" x14ac:dyDescent="0.4">
      <c r="B2320" t="s">
        <v>7</v>
      </c>
      <c r="C2320" t="s">
        <v>558</v>
      </c>
      <c r="D2320" s="7">
        <f>DATE(2012,6,11)</f>
        <v>41071</v>
      </c>
      <c r="E2320" s="8">
        <f t="shared" si="38"/>
        <v>2012</v>
      </c>
      <c r="F2320" t="s">
        <v>559</v>
      </c>
      <c r="G2320" s="9">
        <v>14300</v>
      </c>
      <c r="H2320" s="8">
        <v>11672</v>
      </c>
    </row>
    <row r="2321" spans="2:8" ht="17.5" customHeight="1" x14ac:dyDescent="0.4">
      <c r="B2321" t="s">
        <v>7</v>
      </c>
      <c r="C2321" t="s">
        <v>558</v>
      </c>
      <c r="D2321" s="7">
        <f>DATE(2013,3,19)</f>
        <v>41352</v>
      </c>
      <c r="E2321" s="8">
        <f t="shared" si="38"/>
        <v>2013</v>
      </c>
      <c r="F2321" t="s">
        <v>559</v>
      </c>
      <c r="G2321" s="9">
        <v>24465</v>
      </c>
      <c r="H2321" s="8">
        <v>12277</v>
      </c>
    </row>
    <row r="2322" spans="2:8" ht="17.5" customHeight="1" x14ac:dyDescent="0.4">
      <c r="B2322" t="s">
        <v>7</v>
      </c>
      <c r="C2322" t="s">
        <v>558</v>
      </c>
      <c r="D2322" s="7">
        <f>DATE(2013,10,16)</f>
        <v>41563</v>
      </c>
      <c r="E2322" s="8">
        <f t="shared" si="38"/>
        <v>2013</v>
      </c>
      <c r="F2322" t="s">
        <v>559</v>
      </c>
      <c r="G2322" s="9">
        <v>23594</v>
      </c>
      <c r="H2322" s="8">
        <v>12519</v>
      </c>
    </row>
    <row r="2323" spans="2:8" ht="17.5" customHeight="1" x14ac:dyDescent="0.4">
      <c r="B2323" t="s">
        <v>7</v>
      </c>
      <c r="C2323" t="s">
        <v>558</v>
      </c>
      <c r="D2323" s="7">
        <f>DATE(2014,4,15)</f>
        <v>41744</v>
      </c>
      <c r="E2323" s="8">
        <f t="shared" si="38"/>
        <v>2014</v>
      </c>
      <c r="F2323" t="s">
        <v>559</v>
      </c>
      <c r="G2323" s="9">
        <v>26465</v>
      </c>
      <c r="H2323" s="8">
        <v>12996</v>
      </c>
    </row>
    <row r="2324" spans="2:8" ht="17.5" customHeight="1" x14ac:dyDescent="0.4">
      <c r="B2324" t="s">
        <v>7</v>
      </c>
      <c r="C2324" t="s">
        <v>558</v>
      </c>
      <c r="D2324" s="7">
        <f>DATE(2014,5,5)</f>
        <v>41764</v>
      </c>
      <c r="E2324" s="8">
        <f t="shared" si="38"/>
        <v>2014</v>
      </c>
      <c r="F2324" t="s">
        <v>559</v>
      </c>
      <c r="G2324" s="9">
        <v>26465</v>
      </c>
      <c r="H2324" s="8">
        <v>12278</v>
      </c>
    </row>
    <row r="2325" spans="2:8" ht="17.5" customHeight="1" x14ac:dyDescent="0.4">
      <c r="B2325" t="s">
        <v>7</v>
      </c>
      <c r="C2325" t="s">
        <v>558</v>
      </c>
      <c r="D2325" s="7">
        <f>DATE(2014,6,2)</f>
        <v>41792</v>
      </c>
      <c r="E2325" s="8">
        <f t="shared" si="38"/>
        <v>2014</v>
      </c>
      <c r="F2325" t="s">
        <v>559</v>
      </c>
      <c r="G2325" s="9">
        <v>26465</v>
      </c>
      <c r="H2325" s="8">
        <v>12276</v>
      </c>
    </row>
    <row r="2326" spans="2:8" ht="17.5" customHeight="1" x14ac:dyDescent="0.4">
      <c r="B2326" t="s">
        <v>7</v>
      </c>
      <c r="C2326" t="s">
        <v>558</v>
      </c>
      <c r="D2326" s="7">
        <f>DATE(2014,10,13)</f>
        <v>41925</v>
      </c>
      <c r="E2326" s="8">
        <f t="shared" si="38"/>
        <v>2014</v>
      </c>
      <c r="F2326" t="s">
        <v>559</v>
      </c>
      <c r="G2326" s="9">
        <v>24500</v>
      </c>
      <c r="H2326" s="8">
        <v>13162</v>
      </c>
    </row>
    <row r="2327" spans="2:8" ht="17.5" customHeight="1" x14ac:dyDescent="0.4">
      <c r="B2327" t="s">
        <v>7</v>
      </c>
      <c r="C2327" t="s">
        <v>558</v>
      </c>
      <c r="D2327" s="7">
        <f>DATE(2010,10,6)</f>
        <v>40457</v>
      </c>
      <c r="E2327" s="8">
        <f t="shared" si="38"/>
        <v>2010</v>
      </c>
      <c r="F2327" t="s">
        <v>559</v>
      </c>
      <c r="G2327" s="9">
        <v>9390.08</v>
      </c>
      <c r="H2327" s="8">
        <v>10170</v>
      </c>
    </row>
    <row r="2328" spans="2:8" ht="17.5" customHeight="1" x14ac:dyDescent="0.4">
      <c r="B2328" t="s">
        <v>7</v>
      </c>
      <c r="C2328" t="s">
        <v>558</v>
      </c>
      <c r="D2328" s="7">
        <f>DATE(2010,11,5)</f>
        <v>40487</v>
      </c>
      <c r="E2328" s="8">
        <f t="shared" si="38"/>
        <v>2010</v>
      </c>
      <c r="F2328" t="s">
        <v>559</v>
      </c>
      <c r="G2328" s="9">
        <v>5891.01</v>
      </c>
      <c r="H2328" s="8">
        <v>10223</v>
      </c>
    </row>
    <row r="2329" spans="2:8" ht="17.5" customHeight="1" x14ac:dyDescent="0.4">
      <c r="B2329" t="s">
        <v>7</v>
      </c>
      <c r="C2329" t="s">
        <v>558</v>
      </c>
      <c r="D2329" s="7">
        <f>DATE(2011,1,8)</f>
        <v>40551</v>
      </c>
      <c r="E2329" s="8">
        <f t="shared" si="38"/>
        <v>2011</v>
      </c>
      <c r="F2329" t="s">
        <v>559</v>
      </c>
      <c r="G2329" s="9">
        <v>7746.95</v>
      </c>
      <c r="H2329" s="8">
        <v>10341</v>
      </c>
    </row>
    <row r="2330" spans="2:8" ht="17.5" customHeight="1" x14ac:dyDescent="0.4">
      <c r="B2330" t="s">
        <v>7</v>
      </c>
      <c r="C2330" t="s">
        <v>558</v>
      </c>
      <c r="D2330" s="7">
        <f>DATE(2011,6,2)</f>
        <v>40696</v>
      </c>
      <c r="E2330" s="8">
        <f t="shared" si="38"/>
        <v>2011</v>
      </c>
      <c r="F2330" t="s">
        <v>559</v>
      </c>
      <c r="G2330" s="9">
        <v>2637.22</v>
      </c>
      <c r="H2330" s="8">
        <v>10756</v>
      </c>
    </row>
    <row r="2331" spans="2:8" ht="17.5" customHeight="1" x14ac:dyDescent="0.4">
      <c r="B2331" t="s">
        <v>7</v>
      </c>
      <c r="C2331" t="s">
        <v>558</v>
      </c>
      <c r="D2331" s="7">
        <f>DATE(2012,4,26)</f>
        <v>41025</v>
      </c>
      <c r="E2331" s="8">
        <f t="shared" si="38"/>
        <v>2012</v>
      </c>
      <c r="F2331" t="s">
        <v>559</v>
      </c>
      <c r="G2331" s="9">
        <v>6594.78</v>
      </c>
      <c r="H2331" s="8">
        <v>11557</v>
      </c>
    </row>
    <row r="2332" spans="2:8" ht="17.5" customHeight="1" x14ac:dyDescent="0.4">
      <c r="B2332" t="s">
        <v>7</v>
      </c>
      <c r="C2332" t="s">
        <v>558</v>
      </c>
      <c r="D2332" s="7">
        <f>DATE(2012,6,12)</f>
        <v>41072</v>
      </c>
      <c r="E2332" s="8">
        <f t="shared" si="38"/>
        <v>2012</v>
      </c>
      <c r="F2332" t="s">
        <v>559</v>
      </c>
      <c r="G2332" s="9">
        <v>5144.3999999999996</v>
      </c>
      <c r="H2332" s="8">
        <v>11679</v>
      </c>
    </row>
    <row r="2333" spans="2:8" ht="17.5" customHeight="1" x14ac:dyDescent="0.4">
      <c r="B2333" t="s">
        <v>7</v>
      </c>
      <c r="C2333" t="s">
        <v>558</v>
      </c>
      <c r="D2333" s="7">
        <f>DATE(2012,6,22)</f>
        <v>41082</v>
      </c>
      <c r="E2333" s="8">
        <f t="shared" si="38"/>
        <v>2012</v>
      </c>
      <c r="F2333" t="s">
        <v>559</v>
      </c>
      <c r="G2333" s="9">
        <v>4621.2</v>
      </c>
      <c r="H2333" s="8">
        <v>11706</v>
      </c>
    </row>
    <row r="2334" spans="2:8" ht="17.5" customHeight="1" x14ac:dyDescent="0.4">
      <c r="B2334" t="s">
        <v>7</v>
      </c>
      <c r="C2334" t="s">
        <v>558</v>
      </c>
      <c r="D2334" s="7">
        <f>DATE(2013,3,7)</f>
        <v>41340</v>
      </c>
      <c r="E2334" s="8">
        <f t="shared" si="38"/>
        <v>2013</v>
      </c>
      <c r="F2334" t="s">
        <v>559</v>
      </c>
      <c r="G2334" s="9">
        <v>4259.2700000000004</v>
      </c>
      <c r="H2334" s="8">
        <v>12263</v>
      </c>
    </row>
    <row r="2335" spans="2:8" ht="17.5" customHeight="1" x14ac:dyDescent="0.4">
      <c r="B2335" t="s">
        <v>7</v>
      </c>
      <c r="C2335" t="s">
        <v>558</v>
      </c>
      <c r="D2335" s="7">
        <f>DATE(2013,3,28)</f>
        <v>41361</v>
      </c>
      <c r="E2335" s="8">
        <f t="shared" si="38"/>
        <v>2013</v>
      </c>
      <c r="F2335" t="s">
        <v>559</v>
      </c>
      <c r="G2335" s="9">
        <v>3548.86</v>
      </c>
      <c r="H2335" s="8">
        <v>12318</v>
      </c>
    </row>
    <row r="2336" spans="2:8" ht="17.5" customHeight="1" x14ac:dyDescent="0.4">
      <c r="B2336" t="s">
        <v>7</v>
      </c>
      <c r="C2336" t="s">
        <v>558</v>
      </c>
      <c r="D2336" s="7">
        <f>DATE(2013,9,4)</f>
        <v>41521</v>
      </c>
      <c r="E2336" s="8">
        <f t="shared" si="38"/>
        <v>2013</v>
      </c>
      <c r="F2336" t="s">
        <v>559</v>
      </c>
      <c r="G2336" s="9">
        <v>5212.3900000000003</v>
      </c>
      <c r="H2336" s="8">
        <v>12628</v>
      </c>
    </row>
    <row r="2337" spans="2:8" ht="17.5" customHeight="1" x14ac:dyDescent="0.4">
      <c r="B2337" t="s">
        <v>7</v>
      </c>
      <c r="C2337" t="s">
        <v>558</v>
      </c>
      <c r="D2337" s="7">
        <f>DATE(2013,10,1)</f>
        <v>41548</v>
      </c>
      <c r="E2337" s="8">
        <f t="shared" si="38"/>
        <v>2013</v>
      </c>
      <c r="F2337" t="s">
        <v>559</v>
      </c>
      <c r="G2337" s="9">
        <v>4401.3999999999996</v>
      </c>
      <c r="H2337" s="8">
        <v>12689</v>
      </c>
    </row>
    <row r="2338" spans="2:8" ht="17.5" customHeight="1" x14ac:dyDescent="0.4">
      <c r="B2338" t="s">
        <v>7</v>
      </c>
      <c r="C2338" t="s">
        <v>558</v>
      </c>
      <c r="D2338" s="7">
        <f>DATE(2014,3,3)</f>
        <v>41701</v>
      </c>
      <c r="E2338" s="8">
        <f t="shared" si="38"/>
        <v>2014</v>
      </c>
      <c r="F2338" t="s">
        <v>559</v>
      </c>
      <c r="G2338" s="9">
        <v>11115.99</v>
      </c>
      <c r="H2338" s="8">
        <v>12991</v>
      </c>
    </row>
    <row r="2339" spans="2:8" ht="17.5" customHeight="1" x14ac:dyDescent="0.4">
      <c r="B2339" t="s">
        <v>7</v>
      </c>
      <c r="C2339" t="s">
        <v>558</v>
      </c>
      <c r="D2339" s="7">
        <f>DATE(2014,4,24)</f>
        <v>41753</v>
      </c>
      <c r="E2339" s="8">
        <f t="shared" si="38"/>
        <v>2014</v>
      </c>
      <c r="F2339" t="s">
        <v>559</v>
      </c>
      <c r="G2339" s="9">
        <v>8029.21</v>
      </c>
      <c r="H2339" s="8">
        <v>13132</v>
      </c>
    </row>
    <row r="2340" spans="2:8" ht="17.5" customHeight="1" x14ac:dyDescent="0.4">
      <c r="B2340" t="s">
        <v>7</v>
      </c>
      <c r="C2340" t="s">
        <v>558</v>
      </c>
      <c r="D2340" s="7">
        <f>DATE(2014,5,14)</f>
        <v>41773</v>
      </c>
      <c r="E2340" s="8">
        <f t="shared" si="38"/>
        <v>2014</v>
      </c>
      <c r="F2340" t="s">
        <v>559</v>
      </c>
      <c r="G2340" s="9">
        <v>5078.3500000000004</v>
      </c>
      <c r="H2340" s="8">
        <v>13191</v>
      </c>
    </row>
    <row r="2341" spans="2:8" ht="17.5" customHeight="1" x14ac:dyDescent="0.4">
      <c r="B2341" t="s">
        <v>7</v>
      </c>
      <c r="C2341" t="s">
        <v>558</v>
      </c>
      <c r="D2341" s="7">
        <f>DATE(2014,6,3)</f>
        <v>41793</v>
      </c>
      <c r="E2341" s="8">
        <f t="shared" si="38"/>
        <v>2014</v>
      </c>
      <c r="F2341" t="s">
        <v>559</v>
      </c>
      <c r="G2341" s="9">
        <v>4481.37</v>
      </c>
      <c r="H2341" s="8">
        <v>13224</v>
      </c>
    </row>
    <row r="2342" spans="2:8" ht="17.5" customHeight="1" x14ac:dyDescent="0.4">
      <c r="B2342" t="s">
        <v>7</v>
      </c>
      <c r="C2342" t="s">
        <v>558</v>
      </c>
      <c r="D2342" s="7">
        <f>DATE(2014,6,10)</f>
        <v>41800</v>
      </c>
      <c r="E2342" s="8">
        <f t="shared" si="38"/>
        <v>2014</v>
      </c>
      <c r="F2342" t="s">
        <v>559</v>
      </c>
      <c r="G2342" s="9">
        <v>4291.95</v>
      </c>
      <c r="H2342" s="8">
        <v>13244</v>
      </c>
    </row>
    <row r="2343" spans="2:8" ht="17.5" customHeight="1" x14ac:dyDescent="0.4">
      <c r="B2343" s="3" t="s">
        <v>7</v>
      </c>
      <c r="C2343" s="3" t="s">
        <v>558</v>
      </c>
      <c r="D2343" s="4">
        <f>DATE(2003,2,17)</f>
        <v>37669</v>
      </c>
      <c r="E2343" s="5">
        <f t="shared" si="38"/>
        <v>2003</v>
      </c>
      <c r="F2343" s="3" t="s">
        <v>559</v>
      </c>
      <c r="G2343" s="6">
        <v>12400</v>
      </c>
      <c r="H2343" s="5">
        <v>248</v>
      </c>
    </row>
    <row r="2344" spans="2:8" ht="17.5" customHeight="1" x14ac:dyDescent="0.4">
      <c r="B2344" s="3" t="s">
        <v>7</v>
      </c>
      <c r="C2344" s="3" t="s">
        <v>558</v>
      </c>
      <c r="D2344" s="4">
        <f>DATE(2003,2,21)</f>
        <v>37673</v>
      </c>
      <c r="E2344" s="5">
        <f t="shared" si="38"/>
        <v>2003</v>
      </c>
      <c r="F2344" s="3" t="s">
        <v>559</v>
      </c>
      <c r="G2344" s="6">
        <v>6200</v>
      </c>
      <c r="H2344" s="5">
        <v>328</v>
      </c>
    </row>
    <row r="2345" spans="2:8" ht="17.5" customHeight="1" x14ac:dyDescent="0.4">
      <c r="B2345" s="3" t="s">
        <v>7</v>
      </c>
      <c r="C2345" s="3" t="s">
        <v>558</v>
      </c>
      <c r="D2345" s="4">
        <f>DATE(2003,2,28)</f>
        <v>37680</v>
      </c>
      <c r="E2345" s="5">
        <f t="shared" si="38"/>
        <v>2003</v>
      </c>
      <c r="F2345" s="3" t="s">
        <v>559</v>
      </c>
      <c r="G2345" s="6">
        <v>9300</v>
      </c>
      <c r="H2345" s="5">
        <v>425</v>
      </c>
    </row>
    <row r="2346" spans="2:8" ht="17.5" customHeight="1" x14ac:dyDescent="0.4">
      <c r="B2346" s="3" t="s">
        <v>7</v>
      </c>
      <c r="C2346" s="3" t="s">
        <v>558</v>
      </c>
      <c r="D2346" s="4">
        <f>DATE(2003,3,17)</f>
        <v>37697</v>
      </c>
      <c r="E2346" s="5">
        <f t="shared" si="38"/>
        <v>2003</v>
      </c>
      <c r="F2346" s="3" t="s">
        <v>559</v>
      </c>
      <c r="G2346" s="6">
        <v>3100</v>
      </c>
      <c r="H2346" s="5">
        <v>511</v>
      </c>
    </row>
    <row r="2347" spans="2:8" ht="17.5" customHeight="1" x14ac:dyDescent="0.4">
      <c r="B2347" s="3" t="s">
        <v>7</v>
      </c>
      <c r="C2347" s="3" t="s">
        <v>558</v>
      </c>
      <c r="D2347" s="4">
        <f>DATE(2003,4,28)</f>
        <v>37739</v>
      </c>
      <c r="E2347" s="5">
        <f t="shared" si="38"/>
        <v>2003</v>
      </c>
      <c r="F2347" s="3" t="s">
        <v>559</v>
      </c>
      <c r="G2347" s="6">
        <v>24862.25</v>
      </c>
      <c r="H2347" s="5">
        <v>838</v>
      </c>
    </row>
    <row r="2348" spans="2:8" ht="17.5" customHeight="1" x14ac:dyDescent="0.4">
      <c r="B2348" s="3" t="s">
        <v>7</v>
      </c>
      <c r="C2348" s="3" t="s">
        <v>558</v>
      </c>
      <c r="D2348" s="4">
        <f>DATE(2003,10,7)</f>
        <v>37901</v>
      </c>
      <c r="E2348" s="5">
        <f t="shared" si="38"/>
        <v>2003</v>
      </c>
      <c r="F2348" s="3" t="s">
        <v>559</v>
      </c>
      <c r="G2348" s="6">
        <v>9300</v>
      </c>
      <c r="H2348" s="5">
        <v>1609</v>
      </c>
    </row>
    <row r="2349" spans="2:8" ht="17.5" customHeight="1" x14ac:dyDescent="0.4">
      <c r="B2349" s="3" t="s">
        <v>7</v>
      </c>
      <c r="C2349" s="3" t="s">
        <v>558</v>
      </c>
      <c r="D2349" s="4">
        <f>DATE(2003,10,9)</f>
        <v>37903</v>
      </c>
      <c r="E2349" s="5">
        <f t="shared" si="38"/>
        <v>2003</v>
      </c>
      <c r="F2349" s="3" t="s">
        <v>559</v>
      </c>
      <c r="G2349" s="6">
        <v>894</v>
      </c>
      <c r="H2349" s="5">
        <v>1601</v>
      </c>
    </row>
    <row r="2350" spans="2:8" ht="17.5" customHeight="1" x14ac:dyDescent="0.4">
      <c r="B2350" s="3" t="s">
        <v>7</v>
      </c>
      <c r="C2350" s="3" t="s">
        <v>558</v>
      </c>
      <c r="D2350" s="4">
        <f>DATE(2004,4,14)</f>
        <v>38091</v>
      </c>
      <c r="E2350" s="5">
        <f t="shared" si="38"/>
        <v>2004</v>
      </c>
      <c r="F2350" s="3" t="s">
        <v>559</v>
      </c>
      <c r="G2350" s="6">
        <v>18600</v>
      </c>
      <c r="H2350" s="5">
        <v>2590</v>
      </c>
    </row>
    <row r="2351" spans="2:8" ht="17.5" customHeight="1" x14ac:dyDescent="0.4">
      <c r="B2351" s="3" t="s">
        <v>7</v>
      </c>
      <c r="C2351" s="3" t="s">
        <v>558</v>
      </c>
      <c r="D2351" s="4">
        <f>DATE(2004,4,2)</f>
        <v>38079</v>
      </c>
      <c r="E2351" s="5">
        <f t="shared" si="38"/>
        <v>2004</v>
      </c>
      <c r="F2351" s="3" t="s">
        <v>559</v>
      </c>
      <c r="G2351" s="6">
        <v>20750</v>
      </c>
      <c r="H2351" s="5">
        <v>2047</v>
      </c>
    </row>
    <row r="2352" spans="2:8" ht="17.5" customHeight="1" x14ac:dyDescent="0.4">
      <c r="B2352" s="3" t="s">
        <v>7</v>
      </c>
      <c r="C2352" s="3" t="s">
        <v>558</v>
      </c>
      <c r="D2352" s="4">
        <f>DATE(2005,8,1)</f>
        <v>38565</v>
      </c>
      <c r="E2352" s="5">
        <f t="shared" si="38"/>
        <v>2005</v>
      </c>
      <c r="F2352" s="3" t="s">
        <v>559</v>
      </c>
      <c r="G2352" s="6">
        <v>20460</v>
      </c>
      <c r="H2352" s="5">
        <v>5027</v>
      </c>
    </row>
    <row r="2353" spans="2:8" ht="17.5" customHeight="1" x14ac:dyDescent="0.4">
      <c r="B2353" s="3" t="s">
        <v>7</v>
      </c>
      <c r="C2353" s="3" t="s">
        <v>558</v>
      </c>
      <c r="D2353" s="4">
        <f>DATE(2005,9,27)</f>
        <v>38622</v>
      </c>
      <c r="E2353" s="5">
        <f t="shared" si="38"/>
        <v>2005</v>
      </c>
      <c r="F2353" s="3" t="s">
        <v>559</v>
      </c>
      <c r="G2353" s="6">
        <v>6200</v>
      </c>
      <c r="H2353" s="5">
        <v>5342</v>
      </c>
    </row>
    <row r="2354" spans="2:8" ht="17.5" customHeight="1" x14ac:dyDescent="0.4">
      <c r="B2354" s="3" t="s">
        <v>7</v>
      </c>
      <c r="C2354" s="3" t="s">
        <v>558</v>
      </c>
      <c r="D2354" s="4">
        <f>DATE(2005,11,2)</f>
        <v>38658</v>
      </c>
      <c r="E2354" s="5">
        <f t="shared" si="38"/>
        <v>2005</v>
      </c>
      <c r="F2354" s="3" t="s">
        <v>559</v>
      </c>
      <c r="G2354" s="6">
        <v>4917</v>
      </c>
      <c r="H2354" s="5">
        <v>5512</v>
      </c>
    </row>
    <row r="2355" spans="2:8" ht="17.5" customHeight="1" x14ac:dyDescent="0.4">
      <c r="B2355" s="3" t="s">
        <v>7</v>
      </c>
      <c r="C2355" s="3" t="s">
        <v>558</v>
      </c>
      <c r="D2355" s="4">
        <f>DATE(2005,11,14)</f>
        <v>38670</v>
      </c>
      <c r="E2355" s="5">
        <f t="shared" si="38"/>
        <v>2005</v>
      </c>
      <c r="F2355" s="3" t="s">
        <v>559</v>
      </c>
      <c r="G2355" s="6">
        <v>5364</v>
      </c>
      <c r="H2355" s="5">
        <v>5561</v>
      </c>
    </row>
    <row r="2356" spans="2:8" ht="17.5" customHeight="1" x14ac:dyDescent="0.4">
      <c r="B2356" s="3" t="s">
        <v>7</v>
      </c>
      <c r="C2356" s="3" t="s">
        <v>558</v>
      </c>
      <c r="D2356" s="4">
        <f>DATE(2005,11,17)</f>
        <v>38673</v>
      </c>
      <c r="E2356" s="5">
        <f t="shared" si="38"/>
        <v>2005</v>
      </c>
      <c r="F2356" s="3" t="s">
        <v>559</v>
      </c>
      <c r="G2356" s="6">
        <v>3576</v>
      </c>
      <c r="H2356" s="5">
        <v>5587</v>
      </c>
    </row>
    <row r="2357" spans="2:8" ht="17.5" customHeight="1" x14ac:dyDescent="0.4">
      <c r="B2357" s="3" t="s">
        <v>7</v>
      </c>
      <c r="C2357" s="3" t="s">
        <v>558</v>
      </c>
      <c r="D2357" s="4">
        <f>DATE(2005,11,21)</f>
        <v>38677</v>
      </c>
      <c r="E2357" s="5">
        <f t="shared" si="38"/>
        <v>2005</v>
      </c>
      <c r="F2357" s="3" t="s">
        <v>559</v>
      </c>
      <c r="G2357" s="6">
        <v>2235</v>
      </c>
      <c r="H2357" s="5">
        <v>5605</v>
      </c>
    </row>
    <row r="2358" spans="2:8" ht="17.5" customHeight="1" x14ac:dyDescent="0.4">
      <c r="B2358" s="3" t="s">
        <v>7</v>
      </c>
      <c r="C2358" s="3" t="s">
        <v>558</v>
      </c>
      <c r="D2358" s="4">
        <f>DATE(2005,12,1)</f>
        <v>38687</v>
      </c>
      <c r="E2358" s="5">
        <f t="shared" si="38"/>
        <v>2005</v>
      </c>
      <c r="F2358" s="3" t="s">
        <v>559</v>
      </c>
      <c r="G2358" s="6">
        <v>391.44</v>
      </c>
      <c r="H2358" s="5">
        <v>5667</v>
      </c>
    </row>
    <row r="2359" spans="2:8" ht="17.5" customHeight="1" x14ac:dyDescent="0.4">
      <c r="B2359" s="3" t="s">
        <v>7</v>
      </c>
      <c r="C2359" s="3" t="s">
        <v>558</v>
      </c>
      <c r="D2359" s="4">
        <f>DATE(2006,4,7)</f>
        <v>38814</v>
      </c>
      <c r="E2359" s="5">
        <f t="shared" si="38"/>
        <v>2006</v>
      </c>
      <c r="F2359" s="3" t="s">
        <v>559</v>
      </c>
      <c r="G2359" s="6">
        <v>15500</v>
      </c>
      <c r="H2359" s="5">
        <v>6444</v>
      </c>
    </row>
    <row r="2360" spans="2:8" ht="17.5" customHeight="1" x14ac:dyDescent="0.4">
      <c r="B2360" s="3" t="s">
        <v>7</v>
      </c>
      <c r="C2360" s="3" t="s">
        <v>558</v>
      </c>
      <c r="D2360" s="4">
        <f>DATE(2006,4,19)</f>
        <v>38826</v>
      </c>
      <c r="E2360" s="5">
        <f t="shared" si="38"/>
        <v>2006</v>
      </c>
      <c r="F2360" s="3" t="s">
        <v>559</v>
      </c>
      <c r="G2360" s="6">
        <v>6200</v>
      </c>
      <c r="H2360" s="5">
        <v>6530</v>
      </c>
    </row>
    <row r="2361" spans="2:8" ht="17.5" customHeight="1" x14ac:dyDescent="0.4">
      <c r="B2361" s="3" t="s">
        <v>7</v>
      </c>
      <c r="C2361" s="3" t="s">
        <v>558</v>
      </c>
      <c r="D2361" s="4">
        <f>DATE(2006,9,13)</f>
        <v>38973</v>
      </c>
      <c r="E2361" s="5">
        <f t="shared" si="38"/>
        <v>2006</v>
      </c>
      <c r="F2361" s="3" t="s">
        <v>559</v>
      </c>
      <c r="G2361" s="6">
        <v>13400</v>
      </c>
      <c r="H2361" s="5">
        <v>7214</v>
      </c>
    </row>
    <row r="2362" spans="2:8" ht="17.5" customHeight="1" x14ac:dyDescent="0.4">
      <c r="B2362" s="3" t="s">
        <v>7</v>
      </c>
      <c r="C2362" s="3" t="s">
        <v>558</v>
      </c>
      <c r="D2362" s="4">
        <f>DATE(2006,9,26)</f>
        <v>38986</v>
      </c>
      <c r="E2362" s="5">
        <f t="shared" si="38"/>
        <v>2006</v>
      </c>
      <c r="F2362" s="3" t="s">
        <v>559</v>
      </c>
      <c r="G2362" s="6">
        <v>469</v>
      </c>
      <c r="H2362" s="5">
        <v>7293</v>
      </c>
    </row>
    <row r="2363" spans="2:8" ht="17.5" customHeight="1" x14ac:dyDescent="0.4">
      <c r="B2363" s="3" t="s">
        <v>7</v>
      </c>
      <c r="C2363" s="3" t="s">
        <v>558</v>
      </c>
      <c r="D2363" s="4">
        <f>DATE(2006,9,28)</f>
        <v>38988</v>
      </c>
      <c r="E2363" s="5">
        <f t="shared" si="38"/>
        <v>2006</v>
      </c>
      <c r="F2363" s="3" t="s">
        <v>559</v>
      </c>
      <c r="G2363" s="6">
        <v>4221</v>
      </c>
      <c r="H2363" s="5">
        <v>7307</v>
      </c>
    </row>
    <row r="2364" spans="2:8" ht="17.5" customHeight="1" x14ac:dyDescent="0.4">
      <c r="B2364" s="3" t="s">
        <v>7</v>
      </c>
      <c r="C2364" s="3" t="s">
        <v>558</v>
      </c>
      <c r="D2364" s="4">
        <f>DATE(2006,9,28)</f>
        <v>38988</v>
      </c>
      <c r="E2364" s="5">
        <f t="shared" si="38"/>
        <v>2006</v>
      </c>
      <c r="F2364" s="3" t="s">
        <v>559</v>
      </c>
      <c r="G2364" s="6">
        <v>7035</v>
      </c>
      <c r="H2364" s="5">
        <v>7319</v>
      </c>
    </row>
    <row r="2365" spans="2:8" ht="17.5" customHeight="1" x14ac:dyDescent="0.4">
      <c r="B2365" s="3" t="s">
        <v>7</v>
      </c>
      <c r="C2365" s="3" t="s">
        <v>558</v>
      </c>
      <c r="D2365" s="4">
        <f>DATE(2006,9,29)</f>
        <v>38989</v>
      </c>
      <c r="E2365" s="5">
        <f t="shared" si="38"/>
        <v>2006</v>
      </c>
      <c r="F2365" s="3" t="s">
        <v>559</v>
      </c>
      <c r="G2365" s="6">
        <v>3283</v>
      </c>
      <c r="H2365" s="5">
        <v>7328</v>
      </c>
    </row>
    <row r="2366" spans="2:8" ht="17.5" customHeight="1" x14ac:dyDescent="0.4">
      <c r="B2366" s="3" t="s">
        <v>7</v>
      </c>
      <c r="C2366" s="3" t="s">
        <v>558</v>
      </c>
      <c r="D2366" s="4">
        <f>DATE(2006,10,4)</f>
        <v>38994</v>
      </c>
      <c r="E2366" s="5">
        <f t="shared" si="38"/>
        <v>2006</v>
      </c>
      <c r="F2366" s="3" t="s">
        <v>559</v>
      </c>
      <c r="G2366" s="6">
        <v>469</v>
      </c>
      <c r="H2366" s="5">
        <v>7347</v>
      </c>
    </row>
    <row r="2367" spans="2:8" ht="17.5" customHeight="1" x14ac:dyDescent="0.4">
      <c r="B2367" s="3" t="s">
        <v>7</v>
      </c>
      <c r="C2367" s="3" t="s">
        <v>558</v>
      </c>
      <c r="D2367" s="4">
        <f>DATE(2007,1,23)</f>
        <v>39105</v>
      </c>
      <c r="E2367" s="5">
        <f t="shared" si="38"/>
        <v>2007</v>
      </c>
      <c r="F2367" s="3" t="s">
        <v>559</v>
      </c>
      <c r="G2367" s="6">
        <v>6700</v>
      </c>
      <c r="H2367" s="5">
        <v>7799</v>
      </c>
    </row>
    <row r="2368" spans="2:8" ht="17.5" customHeight="1" x14ac:dyDescent="0.4">
      <c r="B2368" s="3" t="s">
        <v>7</v>
      </c>
      <c r="C2368" s="3" t="s">
        <v>558</v>
      </c>
      <c r="D2368" s="4">
        <f>DATE(2007,3,27)</f>
        <v>39168</v>
      </c>
      <c r="E2368" s="5">
        <f t="shared" si="38"/>
        <v>2007</v>
      </c>
      <c r="F2368" s="3" t="s">
        <v>559</v>
      </c>
      <c r="G2368" s="6">
        <v>20100</v>
      </c>
      <c r="H2368" s="5">
        <v>8248</v>
      </c>
    </row>
    <row r="2369" spans="2:8" ht="17.5" customHeight="1" x14ac:dyDescent="0.4">
      <c r="B2369" s="3" t="s">
        <v>7</v>
      </c>
      <c r="C2369" s="3" t="s">
        <v>558</v>
      </c>
      <c r="D2369" s="4">
        <f>DATE(2007,5,1)</f>
        <v>39203</v>
      </c>
      <c r="E2369" s="5">
        <f t="shared" si="38"/>
        <v>2007</v>
      </c>
      <c r="F2369" s="3" t="s">
        <v>559</v>
      </c>
      <c r="G2369" s="6">
        <v>6700</v>
      </c>
      <c r="H2369" s="5">
        <v>8483</v>
      </c>
    </row>
    <row r="2370" spans="2:8" ht="17.5" customHeight="1" x14ac:dyDescent="0.4">
      <c r="B2370" s="3" t="s">
        <v>7</v>
      </c>
      <c r="C2370" s="3" t="s">
        <v>558</v>
      </c>
      <c r="D2370" s="4">
        <f>DATE(2007,9,5)</f>
        <v>39330</v>
      </c>
      <c r="E2370" s="5">
        <f t="shared" si="38"/>
        <v>2007</v>
      </c>
      <c r="F2370" s="3" t="s">
        <v>559</v>
      </c>
      <c r="G2370" s="6">
        <v>9849</v>
      </c>
      <c r="H2370" s="5">
        <v>9095</v>
      </c>
    </row>
    <row r="2371" spans="2:8" ht="17.5" customHeight="1" x14ac:dyDescent="0.4">
      <c r="B2371" s="3" t="s">
        <v>7</v>
      </c>
      <c r="C2371" s="3" t="s">
        <v>558</v>
      </c>
      <c r="D2371" s="4">
        <f>DATE(2007,9,7)</f>
        <v>39332</v>
      </c>
      <c r="E2371" s="5">
        <f t="shared" ref="E2371:E2434" si="39">YEAR(D2371)</f>
        <v>2007</v>
      </c>
      <c r="F2371" s="3" t="s">
        <v>559</v>
      </c>
      <c r="G2371" s="6">
        <v>12761.25</v>
      </c>
      <c r="H2371" s="5">
        <v>8954</v>
      </c>
    </row>
    <row r="2372" spans="2:8" ht="17.5" customHeight="1" x14ac:dyDescent="0.4">
      <c r="B2372" s="3" t="s">
        <v>7</v>
      </c>
      <c r="C2372" s="3" t="s">
        <v>558</v>
      </c>
      <c r="D2372" s="4">
        <f>DATE(2007,10,4)</f>
        <v>39359</v>
      </c>
      <c r="E2372" s="5">
        <f t="shared" si="39"/>
        <v>2007</v>
      </c>
      <c r="F2372" s="3" t="s">
        <v>559</v>
      </c>
      <c r="G2372" s="6">
        <v>7504</v>
      </c>
      <c r="H2372" s="5">
        <v>9275</v>
      </c>
    </row>
    <row r="2373" spans="2:8" ht="17.5" customHeight="1" x14ac:dyDescent="0.4">
      <c r="B2373" s="3" t="s">
        <v>7</v>
      </c>
      <c r="C2373" s="3" t="s">
        <v>558</v>
      </c>
      <c r="D2373" s="4">
        <f>DATE(2007,10,9)</f>
        <v>39364</v>
      </c>
      <c r="E2373" s="5">
        <f t="shared" si="39"/>
        <v>2007</v>
      </c>
      <c r="F2373" s="3" t="s">
        <v>559</v>
      </c>
      <c r="G2373" s="6">
        <v>938</v>
      </c>
      <c r="H2373" s="5">
        <v>9300</v>
      </c>
    </row>
    <row r="2374" spans="2:8" ht="17.5" customHeight="1" x14ac:dyDescent="0.4">
      <c r="B2374" s="3" t="s">
        <v>7</v>
      </c>
      <c r="C2374" s="3" t="s">
        <v>558</v>
      </c>
      <c r="D2374" s="4">
        <f>DATE(2008,4,4)</f>
        <v>39542</v>
      </c>
      <c r="E2374" s="5">
        <f t="shared" si="39"/>
        <v>2008</v>
      </c>
      <c r="F2374" s="3" t="s">
        <v>559</v>
      </c>
      <c r="G2374" s="6">
        <v>938</v>
      </c>
      <c r="H2374" s="5">
        <v>10396</v>
      </c>
    </row>
    <row r="2375" spans="2:8" ht="17.5" customHeight="1" x14ac:dyDescent="0.4">
      <c r="B2375" s="3" t="s">
        <v>7</v>
      </c>
      <c r="C2375" s="3" t="s">
        <v>558</v>
      </c>
      <c r="D2375" s="4">
        <f>DATE(2008,4,7)</f>
        <v>39545</v>
      </c>
      <c r="E2375" s="5">
        <f t="shared" si="39"/>
        <v>2008</v>
      </c>
      <c r="F2375" s="3" t="s">
        <v>559</v>
      </c>
      <c r="G2375" s="6">
        <v>469</v>
      </c>
      <c r="H2375" s="5">
        <v>10394</v>
      </c>
    </row>
    <row r="2376" spans="2:8" ht="17.5" customHeight="1" x14ac:dyDescent="0.4">
      <c r="B2376" s="3" t="s">
        <v>7</v>
      </c>
      <c r="C2376" s="3" t="s">
        <v>558</v>
      </c>
      <c r="D2376" s="4">
        <f>DATE(2008,4,8)</f>
        <v>39546</v>
      </c>
      <c r="E2376" s="5">
        <f t="shared" si="39"/>
        <v>2008</v>
      </c>
      <c r="F2376" s="3" t="s">
        <v>559</v>
      </c>
      <c r="G2376" s="6">
        <v>469</v>
      </c>
      <c r="H2376" s="5">
        <v>10409</v>
      </c>
    </row>
    <row r="2377" spans="2:8" ht="17.5" customHeight="1" x14ac:dyDescent="0.4">
      <c r="B2377" s="3" t="s">
        <v>7</v>
      </c>
      <c r="C2377" s="3" t="s">
        <v>558</v>
      </c>
      <c r="D2377" s="4">
        <f>DATE(2008,5,8)</f>
        <v>39576</v>
      </c>
      <c r="E2377" s="5">
        <f t="shared" si="39"/>
        <v>2008</v>
      </c>
      <c r="F2377" s="3" t="s">
        <v>559</v>
      </c>
      <c r="G2377" s="6">
        <v>20750</v>
      </c>
      <c r="H2377" s="5">
        <v>9933</v>
      </c>
    </row>
    <row r="2378" spans="2:8" ht="17.5" customHeight="1" x14ac:dyDescent="0.4">
      <c r="B2378" s="3" t="s">
        <v>7</v>
      </c>
      <c r="C2378" s="3" t="s">
        <v>558</v>
      </c>
      <c r="D2378" s="4">
        <f>DATE(2008,5,15)</f>
        <v>39583</v>
      </c>
      <c r="E2378" s="5">
        <f t="shared" si="39"/>
        <v>2008</v>
      </c>
      <c r="F2378" s="3" t="s">
        <v>559</v>
      </c>
      <c r="G2378" s="6">
        <v>3283</v>
      </c>
      <c r="H2378" s="5">
        <v>10650</v>
      </c>
    </row>
    <row r="2379" spans="2:8" ht="17.5" customHeight="1" x14ac:dyDescent="0.4">
      <c r="B2379" s="3" t="s">
        <v>7</v>
      </c>
      <c r="C2379" s="3" t="s">
        <v>558</v>
      </c>
      <c r="D2379" s="4">
        <f>DATE(2008,5,16)</f>
        <v>39584</v>
      </c>
      <c r="E2379" s="5">
        <f t="shared" si="39"/>
        <v>2008</v>
      </c>
      <c r="F2379" s="3" t="s">
        <v>559</v>
      </c>
      <c r="G2379" s="6">
        <v>6097</v>
      </c>
      <c r="H2379" s="5">
        <v>10650</v>
      </c>
    </row>
    <row r="2380" spans="2:8" ht="17.5" customHeight="1" x14ac:dyDescent="0.4">
      <c r="B2380" s="3" t="s">
        <v>7</v>
      </c>
      <c r="C2380" s="3" t="s">
        <v>558</v>
      </c>
      <c r="D2380" s="4">
        <f>DATE(2009,3,18)</f>
        <v>39890</v>
      </c>
      <c r="E2380" s="5">
        <f t="shared" si="39"/>
        <v>2009</v>
      </c>
      <c r="F2380" s="3" t="s">
        <v>559</v>
      </c>
      <c r="G2380" s="6">
        <v>20750</v>
      </c>
      <c r="H2380" s="5">
        <v>11724</v>
      </c>
    </row>
    <row r="2381" spans="2:8" ht="17.5" customHeight="1" x14ac:dyDescent="0.4">
      <c r="B2381" s="3" t="s">
        <v>7</v>
      </c>
      <c r="C2381" s="3" t="s">
        <v>558</v>
      </c>
      <c r="D2381" s="4">
        <f>DATE(2009,5,14)</f>
        <v>39947</v>
      </c>
      <c r="E2381" s="5">
        <f t="shared" si="39"/>
        <v>2009</v>
      </c>
      <c r="F2381" s="3" t="s">
        <v>559</v>
      </c>
      <c r="G2381" s="6">
        <v>20750</v>
      </c>
      <c r="H2381" s="5">
        <v>11816</v>
      </c>
    </row>
    <row r="2382" spans="2:8" ht="17.5" customHeight="1" x14ac:dyDescent="0.4">
      <c r="B2382" s="3" t="s">
        <v>7</v>
      </c>
      <c r="C2382" s="3" t="s">
        <v>558</v>
      </c>
      <c r="D2382" s="4">
        <f>DATE(2009,10,21)</f>
        <v>40107</v>
      </c>
      <c r="E2382" s="5">
        <f t="shared" si="39"/>
        <v>2009</v>
      </c>
      <c r="F2382" s="3" t="s">
        <v>559</v>
      </c>
      <c r="G2382" s="6">
        <v>20750</v>
      </c>
      <c r="H2382" s="5">
        <v>11819</v>
      </c>
    </row>
    <row r="2383" spans="2:8" ht="17.5" customHeight="1" x14ac:dyDescent="0.4">
      <c r="B2383" s="3" t="s">
        <v>7</v>
      </c>
      <c r="C2383" s="3" t="s">
        <v>558</v>
      </c>
      <c r="D2383" s="4">
        <f>DATE(2010,3,3)</f>
        <v>40240</v>
      </c>
      <c r="E2383" s="5">
        <f t="shared" si="39"/>
        <v>2010</v>
      </c>
      <c r="F2383" s="3" t="s">
        <v>559</v>
      </c>
      <c r="G2383" s="6">
        <v>21050</v>
      </c>
      <c r="H2383" s="5">
        <v>13560</v>
      </c>
    </row>
    <row r="2384" spans="2:8" ht="17.5" customHeight="1" x14ac:dyDescent="0.4">
      <c r="B2384" s="3" t="s">
        <v>7</v>
      </c>
      <c r="C2384" s="3" t="s">
        <v>558</v>
      </c>
      <c r="D2384" s="4">
        <f>DATE(2010,3,24)</f>
        <v>40261</v>
      </c>
      <c r="E2384" s="5">
        <f t="shared" si="39"/>
        <v>2010</v>
      </c>
      <c r="F2384" s="3" t="s">
        <v>559</v>
      </c>
      <c r="G2384" s="6">
        <v>4690</v>
      </c>
      <c r="H2384" s="5">
        <v>13773</v>
      </c>
    </row>
    <row r="2385" spans="2:8" ht="17.5" customHeight="1" x14ac:dyDescent="0.4">
      <c r="B2385" s="3" t="s">
        <v>7</v>
      </c>
      <c r="C2385" s="3" t="s">
        <v>558</v>
      </c>
      <c r="D2385" s="4">
        <f>DATE(2010,8,4)</f>
        <v>40394</v>
      </c>
      <c r="E2385" s="5">
        <f t="shared" si="39"/>
        <v>2010</v>
      </c>
      <c r="F2385" s="3" t="s">
        <v>559</v>
      </c>
      <c r="G2385" s="6">
        <v>369.54</v>
      </c>
      <c r="H2385" s="5">
        <v>14342</v>
      </c>
    </row>
    <row r="2386" spans="2:8" ht="17.5" customHeight="1" x14ac:dyDescent="0.4">
      <c r="B2386" s="3" t="s">
        <v>7</v>
      </c>
      <c r="C2386" s="3" t="s">
        <v>558</v>
      </c>
      <c r="D2386" s="4">
        <f>DATE(2010,11,10)</f>
        <v>40492</v>
      </c>
      <c r="E2386" s="5">
        <f t="shared" si="39"/>
        <v>2010</v>
      </c>
      <c r="F2386" s="3" t="s">
        <v>559</v>
      </c>
      <c r="G2386" s="6">
        <v>938</v>
      </c>
      <c r="H2386" s="5">
        <v>14708</v>
      </c>
    </row>
    <row r="2387" spans="2:8" ht="17.5" customHeight="1" x14ac:dyDescent="0.4">
      <c r="B2387" s="3" t="s">
        <v>7</v>
      </c>
      <c r="C2387" s="3" t="s">
        <v>558</v>
      </c>
      <c r="D2387" s="4">
        <f>DATE(2011,4,4)</f>
        <v>40637</v>
      </c>
      <c r="E2387" s="5">
        <f t="shared" si="39"/>
        <v>2011</v>
      </c>
      <c r="F2387" s="3" t="s">
        <v>559</v>
      </c>
      <c r="G2387" s="6">
        <v>5628</v>
      </c>
      <c r="H2387" s="5">
        <v>15373</v>
      </c>
    </row>
    <row r="2388" spans="2:8" ht="17.5" customHeight="1" x14ac:dyDescent="0.4">
      <c r="B2388" s="3" t="s">
        <v>7</v>
      </c>
      <c r="C2388" s="3" t="s">
        <v>558</v>
      </c>
      <c r="D2388" s="4">
        <f>DATE(2011,4,5)</f>
        <v>40638</v>
      </c>
      <c r="E2388" s="5">
        <f t="shared" si="39"/>
        <v>2011</v>
      </c>
      <c r="F2388" s="3" t="s">
        <v>559</v>
      </c>
      <c r="G2388" s="6">
        <v>3752</v>
      </c>
      <c r="H2388" s="5">
        <v>15389</v>
      </c>
    </row>
    <row r="2389" spans="2:8" ht="17.5" customHeight="1" x14ac:dyDescent="0.4">
      <c r="B2389" s="3" t="s">
        <v>7</v>
      </c>
      <c r="C2389" s="3" t="s">
        <v>558</v>
      </c>
      <c r="D2389" s="4">
        <f>DATE(2011,4,7)</f>
        <v>40640</v>
      </c>
      <c r="E2389" s="5">
        <f t="shared" si="39"/>
        <v>2011</v>
      </c>
      <c r="F2389" s="3" t="s">
        <v>559</v>
      </c>
      <c r="G2389" s="6">
        <v>7973</v>
      </c>
      <c r="H2389" s="5">
        <v>15389</v>
      </c>
    </row>
    <row r="2390" spans="2:8" ht="17.5" customHeight="1" x14ac:dyDescent="0.4">
      <c r="B2390" s="3" t="s">
        <v>7</v>
      </c>
      <c r="C2390" s="3" t="s">
        <v>558</v>
      </c>
      <c r="D2390" s="4">
        <f>DATE(2011,4,11)</f>
        <v>40644</v>
      </c>
      <c r="E2390" s="5">
        <f t="shared" si="39"/>
        <v>2011</v>
      </c>
      <c r="F2390" s="3" t="s">
        <v>559</v>
      </c>
      <c r="G2390" s="6">
        <v>1876</v>
      </c>
      <c r="H2390" s="5">
        <v>15403</v>
      </c>
    </row>
    <row r="2391" spans="2:8" ht="17.5" customHeight="1" x14ac:dyDescent="0.4">
      <c r="B2391" s="3" t="s">
        <v>7</v>
      </c>
      <c r="C2391" s="3" t="s">
        <v>558</v>
      </c>
      <c r="D2391" s="4">
        <f>DATE(2011,4,25)</f>
        <v>40658</v>
      </c>
      <c r="E2391" s="5">
        <f t="shared" si="39"/>
        <v>2011</v>
      </c>
      <c r="F2391" s="3" t="s">
        <v>559</v>
      </c>
      <c r="G2391" s="6">
        <v>20500</v>
      </c>
      <c r="H2391" s="5">
        <v>15067</v>
      </c>
    </row>
    <row r="2392" spans="2:8" ht="17.5" customHeight="1" x14ac:dyDescent="0.4">
      <c r="B2392" s="3" t="s">
        <v>7</v>
      </c>
      <c r="C2392" s="3" t="s">
        <v>558</v>
      </c>
      <c r="D2392" s="4">
        <f>DATE(2011,6,8)</f>
        <v>40702</v>
      </c>
      <c r="E2392" s="5">
        <f t="shared" si="39"/>
        <v>2011</v>
      </c>
      <c r="F2392" s="3" t="s">
        <v>559</v>
      </c>
      <c r="G2392" s="6">
        <v>20500</v>
      </c>
      <c r="H2392" s="5">
        <v>15031</v>
      </c>
    </row>
    <row r="2393" spans="2:8" ht="17.5" customHeight="1" x14ac:dyDescent="0.4">
      <c r="B2393" s="3" t="s">
        <v>7</v>
      </c>
      <c r="C2393" s="3" t="s">
        <v>558</v>
      </c>
      <c r="D2393" s="4">
        <f>DATE(2012,4,24)</f>
        <v>41023</v>
      </c>
      <c r="E2393" s="5">
        <f t="shared" si="39"/>
        <v>2012</v>
      </c>
      <c r="F2393" s="3" t="s">
        <v>559</v>
      </c>
      <c r="G2393" s="6">
        <v>21050</v>
      </c>
      <c r="H2393" s="5">
        <v>16986</v>
      </c>
    </row>
    <row r="2394" spans="2:8" ht="17.5" customHeight="1" x14ac:dyDescent="0.4">
      <c r="B2394" s="3" t="s">
        <v>7</v>
      </c>
      <c r="C2394" s="3" t="s">
        <v>558</v>
      </c>
      <c r="D2394" s="4">
        <f>DATE(2012,4,24)</f>
        <v>41023</v>
      </c>
      <c r="E2394" s="5">
        <f t="shared" si="39"/>
        <v>2012</v>
      </c>
      <c r="F2394" s="3" t="s">
        <v>559</v>
      </c>
      <c r="G2394" s="6">
        <v>21050</v>
      </c>
      <c r="H2394" s="5">
        <v>16875</v>
      </c>
    </row>
    <row r="2395" spans="2:8" ht="17.5" customHeight="1" x14ac:dyDescent="0.4">
      <c r="B2395" s="3" t="s">
        <v>7</v>
      </c>
      <c r="C2395" s="3" t="s">
        <v>558</v>
      </c>
      <c r="D2395" s="4">
        <f>DATE(2012,5,23)</f>
        <v>41052</v>
      </c>
      <c r="E2395" s="5">
        <f t="shared" si="39"/>
        <v>2012</v>
      </c>
      <c r="F2395" s="3" t="s">
        <v>559</v>
      </c>
      <c r="G2395" s="6">
        <v>21050</v>
      </c>
      <c r="H2395" s="5">
        <v>16434</v>
      </c>
    </row>
    <row r="2396" spans="2:8" ht="17.5" customHeight="1" x14ac:dyDescent="0.4">
      <c r="B2396" s="3" t="s">
        <v>7</v>
      </c>
      <c r="C2396" s="3" t="s">
        <v>558</v>
      </c>
      <c r="D2396" s="4">
        <f>DATE(2013,3,27)</f>
        <v>41360</v>
      </c>
      <c r="E2396" s="5">
        <f t="shared" si="39"/>
        <v>2013</v>
      </c>
      <c r="F2396" s="3" t="s">
        <v>559</v>
      </c>
      <c r="G2396" s="6">
        <v>21050</v>
      </c>
      <c r="H2396" s="5">
        <v>18212</v>
      </c>
    </row>
    <row r="2397" spans="2:8" ht="17.5" customHeight="1" x14ac:dyDescent="0.4">
      <c r="B2397" s="3" t="s">
        <v>7</v>
      </c>
      <c r="C2397" s="3" t="s">
        <v>558</v>
      </c>
      <c r="D2397" s="4">
        <f>DATE(2013,5,23)</f>
        <v>41417</v>
      </c>
      <c r="E2397" s="5">
        <f t="shared" si="39"/>
        <v>2013</v>
      </c>
      <c r="F2397" s="3" t="s">
        <v>559</v>
      </c>
      <c r="G2397" s="6">
        <v>508</v>
      </c>
      <c r="H2397" s="5">
        <v>18610</v>
      </c>
    </row>
    <row r="2398" spans="2:8" ht="17.5" customHeight="1" x14ac:dyDescent="0.4">
      <c r="B2398" s="3" t="s">
        <v>7</v>
      </c>
      <c r="C2398" s="3" t="s">
        <v>558</v>
      </c>
      <c r="D2398" s="4">
        <f>DATE(2013,6,27)</f>
        <v>41452</v>
      </c>
      <c r="E2398" s="5">
        <f t="shared" si="39"/>
        <v>2013</v>
      </c>
      <c r="F2398" s="3" t="s">
        <v>559</v>
      </c>
      <c r="G2398" s="6">
        <v>1016</v>
      </c>
      <c r="H2398" s="5">
        <v>18592</v>
      </c>
    </row>
    <row r="2399" spans="2:8" ht="17.5" customHeight="1" x14ac:dyDescent="0.4">
      <c r="B2399" s="3" t="s">
        <v>7</v>
      </c>
      <c r="C2399" s="3" t="s">
        <v>558</v>
      </c>
      <c r="D2399" s="4">
        <f>DATE(2013,8,27)</f>
        <v>41513</v>
      </c>
      <c r="E2399" s="5">
        <f t="shared" si="39"/>
        <v>2013</v>
      </c>
      <c r="F2399" s="3" t="s">
        <v>559</v>
      </c>
      <c r="G2399" s="6">
        <v>489.12</v>
      </c>
      <c r="H2399" s="5">
        <v>18902</v>
      </c>
    </row>
    <row r="2400" spans="2:8" ht="17.5" customHeight="1" x14ac:dyDescent="0.4">
      <c r="B2400" s="3" t="s">
        <v>7</v>
      </c>
      <c r="C2400" s="3" t="s">
        <v>558</v>
      </c>
      <c r="D2400" s="4">
        <f>DATE(2013,10,18)</f>
        <v>41565</v>
      </c>
      <c r="E2400" s="5">
        <f t="shared" si="39"/>
        <v>2013</v>
      </c>
      <c r="F2400" s="3" t="s">
        <v>559</v>
      </c>
      <c r="G2400" s="6">
        <v>13051</v>
      </c>
      <c r="H2400" s="5">
        <v>18686</v>
      </c>
    </row>
    <row r="2401" spans="2:8" ht="17.5" customHeight="1" x14ac:dyDescent="0.4">
      <c r="B2401" s="3" t="s">
        <v>7</v>
      </c>
      <c r="C2401" s="3" t="s">
        <v>558</v>
      </c>
      <c r="D2401" s="4">
        <f>DATE(2014,4,18)</f>
        <v>41747</v>
      </c>
      <c r="E2401" s="5">
        <f t="shared" si="39"/>
        <v>2014</v>
      </c>
      <c r="F2401" s="3" t="s">
        <v>559</v>
      </c>
      <c r="G2401" s="6">
        <v>21050</v>
      </c>
      <c r="H2401" s="5">
        <v>19561</v>
      </c>
    </row>
    <row r="2402" spans="2:8" ht="17.5" customHeight="1" x14ac:dyDescent="0.4">
      <c r="B2402" s="3" t="s">
        <v>7</v>
      </c>
      <c r="C2402" s="3" t="s">
        <v>558</v>
      </c>
      <c r="D2402" s="4">
        <f>DATE(2014,5,10)</f>
        <v>41769</v>
      </c>
      <c r="E2402" s="5">
        <f t="shared" si="39"/>
        <v>2014</v>
      </c>
      <c r="F2402" s="3" t="s">
        <v>559</v>
      </c>
      <c r="G2402" s="6">
        <v>21050</v>
      </c>
      <c r="H2402" s="5">
        <v>18213</v>
      </c>
    </row>
    <row r="2403" spans="2:8" ht="17.5" customHeight="1" x14ac:dyDescent="0.4">
      <c r="B2403" s="3" t="s">
        <v>7</v>
      </c>
      <c r="C2403" s="3" t="s">
        <v>558</v>
      </c>
      <c r="D2403" s="4">
        <f>DATE(2014,5,30)</f>
        <v>41789</v>
      </c>
      <c r="E2403" s="5">
        <f t="shared" si="39"/>
        <v>2014</v>
      </c>
      <c r="F2403" s="3" t="s">
        <v>559</v>
      </c>
      <c r="G2403" s="6">
        <v>21050</v>
      </c>
      <c r="H2403" s="5">
        <v>18210</v>
      </c>
    </row>
    <row r="2404" spans="2:8" ht="17.5" customHeight="1" x14ac:dyDescent="0.4">
      <c r="B2404" s="3" t="s">
        <v>7</v>
      </c>
      <c r="C2404" s="3" t="s">
        <v>558</v>
      </c>
      <c r="D2404" s="4">
        <f>DATE(2014,10,13)</f>
        <v>41925</v>
      </c>
      <c r="E2404" s="5">
        <f t="shared" si="39"/>
        <v>2014</v>
      </c>
      <c r="F2404" s="3" t="s">
        <v>559</v>
      </c>
      <c r="G2404" s="6">
        <v>13051</v>
      </c>
      <c r="H2404" s="5">
        <v>19564</v>
      </c>
    </row>
    <row r="2405" spans="2:8" ht="17.5" customHeight="1" x14ac:dyDescent="0.4">
      <c r="B2405" t="s">
        <v>7</v>
      </c>
      <c r="C2405" t="s">
        <v>560</v>
      </c>
      <c r="D2405" s="7">
        <f>DATE(2004,11,3)</f>
        <v>38294</v>
      </c>
      <c r="E2405" s="8">
        <f t="shared" si="39"/>
        <v>2004</v>
      </c>
      <c r="F2405" t="s">
        <v>561</v>
      </c>
      <c r="G2405" s="9">
        <v>5758</v>
      </c>
      <c r="H2405" s="8">
        <v>2349</v>
      </c>
    </row>
    <row r="2406" spans="2:8" ht="17.5" customHeight="1" x14ac:dyDescent="0.4">
      <c r="B2406" t="s">
        <v>7</v>
      </c>
      <c r="C2406" t="s">
        <v>560</v>
      </c>
      <c r="D2406" s="7">
        <f>DATE(2004,11,3)</f>
        <v>38294</v>
      </c>
      <c r="E2406" s="8">
        <f t="shared" si="39"/>
        <v>2004</v>
      </c>
      <c r="F2406" t="s">
        <v>561</v>
      </c>
      <c r="G2406" s="9">
        <v>2690</v>
      </c>
      <c r="H2406" s="8">
        <v>2351</v>
      </c>
    </row>
    <row r="2407" spans="2:8" ht="17.5" customHeight="1" x14ac:dyDescent="0.4">
      <c r="B2407" t="s">
        <v>7</v>
      </c>
      <c r="C2407" t="s">
        <v>560</v>
      </c>
      <c r="D2407" s="7">
        <f>DATE(2005,8,11)</f>
        <v>38575</v>
      </c>
      <c r="E2407" s="8">
        <f t="shared" si="39"/>
        <v>2005</v>
      </c>
      <c r="F2407" t="s">
        <v>561</v>
      </c>
      <c r="G2407" s="9">
        <v>1256</v>
      </c>
      <c r="H2407" s="8">
        <v>3419</v>
      </c>
    </row>
    <row r="2408" spans="2:8" ht="17.5" customHeight="1" x14ac:dyDescent="0.4">
      <c r="B2408" t="s">
        <v>7</v>
      </c>
      <c r="C2408" t="s">
        <v>560</v>
      </c>
      <c r="D2408" s="7">
        <f>DATE(2006,4,19)</f>
        <v>38826</v>
      </c>
      <c r="E2408" s="8">
        <f t="shared" si="39"/>
        <v>2006</v>
      </c>
      <c r="F2408" t="s">
        <v>561</v>
      </c>
      <c r="G2408" s="9">
        <v>20600</v>
      </c>
      <c r="H2408" s="8">
        <v>4391</v>
      </c>
    </row>
    <row r="2409" spans="2:8" ht="17.5" customHeight="1" x14ac:dyDescent="0.4">
      <c r="B2409" t="s">
        <v>7</v>
      </c>
      <c r="C2409" t="s">
        <v>560</v>
      </c>
      <c r="D2409" s="7">
        <f>DATE(2006,6,5)</f>
        <v>38873</v>
      </c>
      <c r="E2409" s="8">
        <f t="shared" si="39"/>
        <v>2006</v>
      </c>
      <c r="F2409" t="s">
        <v>561</v>
      </c>
      <c r="G2409" s="9">
        <v>20600</v>
      </c>
      <c r="H2409" s="8">
        <v>4391</v>
      </c>
    </row>
    <row r="2410" spans="2:8" ht="17.5" customHeight="1" x14ac:dyDescent="0.4">
      <c r="B2410" t="s">
        <v>7</v>
      </c>
      <c r="C2410" t="s">
        <v>560</v>
      </c>
      <c r="D2410" s="7">
        <f>DATE(2007,6,18)</f>
        <v>39251</v>
      </c>
      <c r="E2410" s="8">
        <f t="shared" si="39"/>
        <v>2007</v>
      </c>
      <c r="F2410" t="s">
        <v>561</v>
      </c>
      <c r="G2410" s="9">
        <v>292</v>
      </c>
      <c r="H2410" s="8">
        <v>6084</v>
      </c>
    </row>
    <row r="2411" spans="2:8" ht="17.5" customHeight="1" x14ac:dyDescent="0.4">
      <c r="B2411" t="s">
        <v>7</v>
      </c>
      <c r="C2411" t="s">
        <v>560</v>
      </c>
      <c r="D2411" s="7">
        <f>DATE(2007,6,26)</f>
        <v>39259</v>
      </c>
      <c r="E2411" s="8">
        <f t="shared" si="39"/>
        <v>2007</v>
      </c>
      <c r="F2411" t="s">
        <v>561</v>
      </c>
      <c r="G2411" s="9">
        <v>875</v>
      </c>
      <c r="H2411" s="8">
        <v>6123</v>
      </c>
    </row>
    <row r="2412" spans="2:8" ht="17.5" customHeight="1" x14ac:dyDescent="0.4">
      <c r="B2412" t="s">
        <v>7</v>
      </c>
      <c r="C2412" t="s">
        <v>560</v>
      </c>
      <c r="D2412" s="7">
        <f>DATE(2007,7,17)</f>
        <v>39280</v>
      </c>
      <c r="E2412" s="8">
        <f t="shared" si="39"/>
        <v>2007</v>
      </c>
      <c r="F2412" t="s">
        <v>561</v>
      </c>
      <c r="G2412" s="9">
        <v>120</v>
      </c>
      <c r="H2412" s="8">
        <v>6154</v>
      </c>
    </row>
    <row r="2413" spans="2:8" ht="17.5" customHeight="1" x14ac:dyDescent="0.4">
      <c r="B2413" t="s">
        <v>7</v>
      </c>
      <c r="C2413" t="s">
        <v>560</v>
      </c>
      <c r="D2413" s="7">
        <f>DATE(2007,7,17)</f>
        <v>39280</v>
      </c>
      <c r="E2413" s="8">
        <f t="shared" si="39"/>
        <v>2007</v>
      </c>
      <c r="F2413" t="s">
        <v>561</v>
      </c>
      <c r="G2413" s="9">
        <v>4200</v>
      </c>
      <c r="H2413" s="8">
        <v>6187</v>
      </c>
    </row>
    <row r="2414" spans="2:8" ht="17.5" customHeight="1" x14ac:dyDescent="0.4">
      <c r="B2414" t="s">
        <v>7</v>
      </c>
      <c r="C2414" t="s">
        <v>560</v>
      </c>
      <c r="D2414" s="7">
        <f>DATE(2007,12,13)</f>
        <v>39429</v>
      </c>
      <c r="E2414" s="8">
        <f t="shared" si="39"/>
        <v>2007</v>
      </c>
      <c r="F2414" t="s">
        <v>561</v>
      </c>
      <c r="G2414" s="9">
        <v>4359.88</v>
      </c>
      <c r="H2414" s="8">
        <v>6605</v>
      </c>
    </row>
    <row r="2415" spans="2:8" ht="17.5" customHeight="1" x14ac:dyDescent="0.4">
      <c r="B2415" t="s">
        <v>7</v>
      </c>
      <c r="C2415" t="s">
        <v>560</v>
      </c>
      <c r="D2415" s="7">
        <f>DATE(2003,3,6)</f>
        <v>37686</v>
      </c>
      <c r="E2415" s="8">
        <f t="shared" si="39"/>
        <v>2003</v>
      </c>
      <c r="F2415" t="s">
        <v>561</v>
      </c>
      <c r="G2415" s="9">
        <v>7738.56</v>
      </c>
      <c r="H2415" s="8">
        <v>226</v>
      </c>
    </row>
    <row r="2416" spans="2:8" ht="17.5" customHeight="1" x14ac:dyDescent="0.4">
      <c r="B2416" s="3" t="s">
        <v>7</v>
      </c>
      <c r="C2416" s="3" t="s">
        <v>560</v>
      </c>
      <c r="D2416" s="4">
        <f>DATE(2003,12,11)</f>
        <v>37966</v>
      </c>
      <c r="E2416" s="5">
        <f t="shared" si="39"/>
        <v>2003</v>
      </c>
      <c r="F2416" s="3" t="s">
        <v>561</v>
      </c>
      <c r="G2416" s="6">
        <v>3113.4</v>
      </c>
      <c r="H2416" s="5">
        <v>1869</v>
      </c>
    </row>
    <row r="2417" spans="2:8" ht="17.5" customHeight="1" x14ac:dyDescent="0.4">
      <c r="B2417" s="3" t="s">
        <v>7</v>
      </c>
      <c r="C2417" s="3" t="s">
        <v>560</v>
      </c>
      <c r="D2417" s="4">
        <f>DATE(2005,2,28)</f>
        <v>38411</v>
      </c>
      <c r="E2417" s="5">
        <f t="shared" si="39"/>
        <v>2005</v>
      </c>
      <c r="F2417" s="3" t="s">
        <v>561</v>
      </c>
      <c r="G2417" s="6">
        <v>462</v>
      </c>
      <c r="H2417" s="5">
        <v>4158</v>
      </c>
    </row>
    <row r="2418" spans="2:8" ht="17.5" customHeight="1" x14ac:dyDescent="0.4">
      <c r="B2418" s="3" t="s">
        <v>7</v>
      </c>
      <c r="C2418" s="3" t="s">
        <v>560</v>
      </c>
      <c r="D2418" s="4">
        <f>DATE(2005,4,20)</f>
        <v>38462</v>
      </c>
      <c r="E2418" s="5">
        <f t="shared" si="39"/>
        <v>2005</v>
      </c>
      <c r="F2418" s="3" t="s">
        <v>561</v>
      </c>
      <c r="G2418" s="6">
        <v>2860</v>
      </c>
      <c r="H2418" s="5">
        <v>4500</v>
      </c>
    </row>
    <row r="2419" spans="2:8" ht="17.5" customHeight="1" x14ac:dyDescent="0.4">
      <c r="B2419" s="3" t="s">
        <v>7</v>
      </c>
      <c r="C2419" s="3" t="s">
        <v>560</v>
      </c>
      <c r="D2419" s="4">
        <f>DATE(2005,12,6)</f>
        <v>38692</v>
      </c>
      <c r="E2419" s="5">
        <f t="shared" si="39"/>
        <v>2005</v>
      </c>
      <c r="F2419" s="3" t="s">
        <v>561</v>
      </c>
      <c r="G2419" s="6">
        <v>2931.5</v>
      </c>
      <c r="H2419" s="5">
        <v>5650</v>
      </c>
    </row>
    <row r="2420" spans="2:8" ht="17.5" customHeight="1" x14ac:dyDescent="0.4">
      <c r="B2420" s="3" t="s">
        <v>7</v>
      </c>
      <c r="C2420" s="3" t="s">
        <v>560</v>
      </c>
      <c r="D2420" s="4">
        <f>DATE(2006,5,17)</f>
        <v>38854</v>
      </c>
      <c r="E2420" s="5">
        <f t="shared" si="39"/>
        <v>2006</v>
      </c>
      <c r="F2420" s="3" t="s">
        <v>561</v>
      </c>
      <c r="G2420" s="6">
        <v>1075</v>
      </c>
      <c r="H2420" s="5">
        <v>6702</v>
      </c>
    </row>
    <row r="2421" spans="2:8" ht="17.5" customHeight="1" x14ac:dyDescent="0.4">
      <c r="B2421" s="3" t="s">
        <v>7</v>
      </c>
      <c r="C2421" s="3" t="s">
        <v>560</v>
      </c>
      <c r="D2421" s="4">
        <f>DATE(2006,6,1)</f>
        <v>38869</v>
      </c>
      <c r="E2421" s="5">
        <f t="shared" si="39"/>
        <v>2006</v>
      </c>
      <c r="F2421" s="3" t="s">
        <v>561</v>
      </c>
      <c r="G2421" s="6">
        <v>1300</v>
      </c>
      <c r="H2421" s="5">
        <v>6782</v>
      </c>
    </row>
    <row r="2422" spans="2:8" ht="17.5" customHeight="1" x14ac:dyDescent="0.4">
      <c r="B2422" s="3" t="s">
        <v>7</v>
      </c>
      <c r="C2422" s="3" t="s">
        <v>560</v>
      </c>
      <c r="D2422" s="4">
        <f>DATE(2006,7,19)</f>
        <v>38917</v>
      </c>
      <c r="E2422" s="5">
        <f t="shared" si="39"/>
        <v>2006</v>
      </c>
      <c r="F2422" s="3" t="s">
        <v>561</v>
      </c>
      <c r="G2422" s="6">
        <v>3843</v>
      </c>
      <c r="H2422" s="5">
        <v>6880</v>
      </c>
    </row>
    <row r="2423" spans="2:8" ht="17.5" customHeight="1" x14ac:dyDescent="0.4">
      <c r="B2423" s="3" t="s">
        <v>7</v>
      </c>
      <c r="C2423" s="3" t="s">
        <v>560</v>
      </c>
      <c r="D2423" s="4">
        <f>DATE(2006,11,16)</f>
        <v>39037</v>
      </c>
      <c r="E2423" s="5">
        <f t="shared" si="39"/>
        <v>2006</v>
      </c>
      <c r="F2423" s="3" t="s">
        <v>561</v>
      </c>
      <c r="G2423" s="6">
        <v>12825</v>
      </c>
      <c r="H2423" s="5">
        <v>7403</v>
      </c>
    </row>
    <row r="2424" spans="2:8" ht="17.5" customHeight="1" x14ac:dyDescent="0.4">
      <c r="B2424" s="3" t="s">
        <v>7</v>
      </c>
      <c r="C2424" s="3" t="s">
        <v>560</v>
      </c>
      <c r="D2424" s="4">
        <f>DATE(2006,12,27)</f>
        <v>39078</v>
      </c>
      <c r="E2424" s="5">
        <f t="shared" si="39"/>
        <v>2006</v>
      </c>
      <c r="F2424" s="3" t="s">
        <v>561</v>
      </c>
      <c r="G2424" s="6">
        <v>1990</v>
      </c>
      <c r="H2424" s="5">
        <v>7668</v>
      </c>
    </row>
    <row r="2425" spans="2:8" ht="17.5" customHeight="1" x14ac:dyDescent="0.4">
      <c r="B2425" s="3" t="s">
        <v>7</v>
      </c>
      <c r="C2425" s="3" t="s">
        <v>560</v>
      </c>
      <c r="D2425" s="4">
        <f>DATE(2007,2,12)</f>
        <v>39125</v>
      </c>
      <c r="E2425" s="5">
        <f t="shared" si="39"/>
        <v>2007</v>
      </c>
      <c r="F2425" s="3" t="s">
        <v>561</v>
      </c>
      <c r="G2425" s="6">
        <v>11625</v>
      </c>
      <c r="H2425" s="5">
        <v>7766</v>
      </c>
    </row>
    <row r="2426" spans="2:8" ht="17.5" customHeight="1" x14ac:dyDescent="0.4">
      <c r="B2426" s="3" t="s">
        <v>7</v>
      </c>
      <c r="C2426" s="3" t="s">
        <v>560</v>
      </c>
      <c r="D2426" s="4">
        <f>DATE(2007,3,1)</f>
        <v>39142</v>
      </c>
      <c r="E2426" s="5">
        <f t="shared" si="39"/>
        <v>2007</v>
      </c>
      <c r="F2426" s="3" t="s">
        <v>561</v>
      </c>
      <c r="G2426" s="6">
        <v>8475</v>
      </c>
      <c r="H2426" s="5">
        <v>7766</v>
      </c>
    </row>
    <row r="2427" spans="2:8" ht="17.5" customHeight="1" x14ac:dyDescent="0.4">
      <c r="B2427" s="3" t="s">
        <v>7</v>
      </c>
      <c r="C2427" s="3" t="s">
        <v>560</v>
      </c>
      <c r="D2427" s="4">
        <f>DATE(2007,4,11)</f>
        <v>39183</v>
      </c>
      <c r="E2427" s="5">
        <f t="shared" si="39"/>
        <v>2007</v>
      </c>
      <c r="F2427" s="3" t="s">
        <v>561</v>
      </c>
      <c r="G2427" s="6">
        <v>11625</v>
      </c>
      <c r="H2427" s="5">
        <v>7854</v>
      </c>
    </row>
    <row r="2428" spans="2:8" ht="17.5" customHeight="1" x14ac:dyDescent="0.4">
      <c r="B2428" s="3" t="s">
        <v>7</v>
      </c>
      <c r="C2428" s="3" t="s">
        <v>560</v>
      </c>
      <c r="D2428" s="4">
        <f>DATE(2007,4,26)</f>
        <v>39198</v>
      </c>
      <c r="E2428" s="5">
        <f t="shared" si="39"/>
        <v>2007</v>
      </c>
      <c r="F2428" s="3" t="s">
        <v>561</v>
      </c>
      <c r="G2428" s="6">
        <v>750</v>
      </c>
      <c r="H2428" s="5">
        <v>8412</v>
      </c>
    </row>
    <row r="2429" spans="2:8" ht="17.5" customHeight="1" x14ac:dyDescent="0.4">
      <c r="B2429" s="3" t="s">
        <v>7</v>
      </c>
      <c r="C2429" s="3" t="s">
        <v>560</v>
      </c>
      <c r="D2429" s="4">
        <f>DATE(2007,10,31)</f>
        <v>39386</v>
      </c>
      <c r="E2429" s="5">
        <f t="shared" si="39"/>
        <v>2007</v>
      </c>
      <c r="F2429" s="3" t="s">
        <v>561</v>
      </c>
      <c r="G2429" s="6">
        <v>11970</v>
      </c>
      <c r="H2429" s="5">
        <v>9346</v>
      </c>
    </row>
    <row r="2430" spans="2:8" ht="17.5" customHeight="1" x14ac:dyDescent="0.4">
      <c r="B2430" s="3" t="s">
        <v>7</v>
      </c>
      <c r="C2430" s="3" t="s">
        <v>560</v>
      </c>
      <c r="D2430" s="4">
        <f>DATE(2007,12,7)</f>
        <v>39423</v>
      </c>
      <c r="E2430" s="5">
        <f t="shared" si="39"/>
        <v>2007</v>
      </c>
      <c r="F2430" s="3" t="s">
        <v>561</v>
      </c>
      <c r="G2430" s="6">
        <v>8977.5</v>
      </c>
      <c r="H2430" s="5">
        <v>9346</v>
      </c>
    </row>
    <row r="2431" spans="2:8" ht="17.5" customHeight="1" x14ac:dyDescent="0.4">
      <c r="B2431" s="3" t="s">
        <v>7</v>
      </c>
      <c r="C2431" s="3" t="s">
        <v>560</v>
      </c>
      <c r="D2431" s="4">
        <f>DATE(2008,1,3)</f>
        <v>39450</v>
      </c>
      <c r="E2431" s="5">
        <f t="shared" si="39"/>
        <v>2008</v>
      </c>
      <c r="F2431" s="3" t="s">
        <v>561</v>
      </c>
      <c r="G2431" s="6">
        <v>1020</v>
      </c>
      <c r="H2431" s="5">
        <v>9434</v>
      </c>
    </row>
    <row r="2432" spans="2:8" ht="17.5" customHeight="1" x14ac:dyDescent="0.4">
      <c r="B2432" s="3" t="s">
        <v>7</v>
      </c>
      <c r="C2432" s="3" t="s">
        <v>560</v>
      </c>
      <c r="D2432" s="4">
        <f>DATE(2008,2,28)</f>
        <v>39506</v>
      </c>
      <c r="E2432" s="5">
        <f t="shared" si="39"/>
        <v>2008</v>
      </c>
      <c r="F2432" s="3" t="s">
        <v>561</v>
      </c>
      <c r="G2432" s="6">
        <v>2080</v>
      </c>
      <c r="H2432" s="5">
        <v>10074</v>
      </c>
    </row>
    <row r="2433" spans="2:8" ht="17.5" customHeight="1" x14ac:dyDescent="0.4">
      <c r="B2433" s="3" t="s">
        <v>7</v>
      </c>
      <c r="C2433" s="3" t="s">
        <v>560</v>
      </c>
      <c r="D2433" s="4">
        <f>DATE(2008,12,8)</f>
        <v>39790</v>
      </c>
      <c r="E2433" s="5">
        <f t="shared" si="39"/>
        <v>2008</v>
      </c>
      <c r="F2433" s="3" t="s">
        <v>561</v>
      </c>
      <c r="G2433" s="6">
        <v>2688.75</v>
      </c>
      <c r="H2433" s="5">
        <v>11597</v>
      </c>
    </row>
    <row r="2434" spans="2:8" ht="17.5" customHeight="1" x14ac:dyDescent="0.4">
      <c r="B2434" s="3" t="s">
        <v>7</v>
      </c>
      <c r="C2434" s="3" t="s">
        <v>560</v>
      </c>
      <c r="D2434" s="4">
        <f>DATE(2008,9,10)</f>
        <v>39701</v>
      </c>
      <c r="E2434" s="5">
        <f t="shared" si="39"/>
        <v>2008</v>
      </c>
      <c r="F2434" s="3" t="s">
        <v>562</v>
      </c>
      <c r="G2434" s="6">
        <v>1195</v>
      </c>
      <c r="H2434" s="5">
        <v>11197</v>
      </c>
    </row>
    <row r="2435" spans="2:8" ht="17.5" customHeight="1" x14ac:dyDescent="0.4">
      <c r="B2435" t="s">
        <v>7</v>
      </c>
      <c r="C2435" t="s">
        <v>560</v>
      </c>
      <c r="D2435" s="7">
        <f>DATE(2017,11,13)</f>
        <v>43052</v>
      </c>
      <c r="E2435" s="8">
        <f t="shared" ref="E2435:E2498" si="40">YEAR(D2435)</f>
        <v>2017</v>
      </c>
      <c r="F2435" t="s">
        <v>563</v>
      </c>
      <c r="G2435" s="9">
        <v>2192.7399999999998</v>
      </c>
      <c r="H2435" s="8">
        <v>25823</v>
      </c>
    </row>
    <row r="2436" spans="2:8" ht="17.5" customHeight="1" x14ac:dyDescent="0.4">
      <c r="B2436" t="s">
        <v>7</v>
      </c>
      <c r="C2436" t="s">
        <v>560</v>
      </c>
      <c r="D2436" s="7">
        <f>DATE(2018,9,24)</f>
        <v>43367</v>
      </c>
      <c r="E2436" s="8">
        <f t="shared" si="40"/>
        <v>2018</v>
      </c>
      <c r="F2436" t="s">
        <v>563</v>
      </c>
      <c r="G2436" s="9">
        <v>436.54</v>
      </c>
      <c r="H2436" s="8">
        <v>27528</v>
      </c>
    </row>
    <row r="2437" spans="2:8" ht="17.5" customHeight="1" x14ac:dyDescent="0.4">
      <c r="B2437" t="s">
        <v>7</v>
      </c>
      <c r="C2437" t="s">
        <v>560</v>
      </c>
      <c r="D2437" s="7">
        <f>DATE(2018,10,3)</f>
        <v>43376</v>
      </c>
      <c r="E2437" s="8">
        <f t="shared" si="40"/>
        <v>2018</v>
      </c>
      <c r="F2437" t="s">
        <v>563</v>
      </c>
      <c r="G2437" s="9">
        <v>436.54</v>
      </c>
      <c r="H2437" s="8">
        <v>27739</v>
      </c>
    </row>
    <row r="2438" spans="2:8" ht="17.5" customHeight="1" x14ac:dyDescent="0.4">
      <c r="B2438" t="s">
        <v>7</v>
      </c>
      <c r="C2438" t="s">
        <v>560</v>
      </c>
      <c r="D2438" s="7">
        <f>DATE(2015,2,13)</f>
        <v>42048</v>
      </c>
      <c r="E2438" s="8">
        <f t="shared" si="40"/>
        <v>2015</v>
      </c>
      <c r="F2438" t="s">
        <v>563</v>
      </c>
      <c r="G2438" s="9">
        <v>9480.9</v>
      </c>
      <c r="H2438" s="8">
        <v>338</v>
      </c>
    </row>
    <row r="2439" spans="2:8" ht="17.5" customHeight="1" x14ac:dyDescent="0.4">
      <c r="B2439" t="s">
        <v>7</v>
      </c>
      <c r="C2439" t="s">
        <v>560</v>
      </c>
      <c r="D2439" s="7">
        <f>DATE(2016,5,16)</f>
        <v>42506</v>
      </c>
      <c r="E2439" s="8">
        <f t="shared" si="40"/>
        <v>2016</v>
      </c>
      <c r="F2439" t="s">
        <v>563</v>
      </c>
      <c r="G2439" s="9">
        <v>1511.63</v>
      </c>
      <c r="H2439" s="8">
        <v>22825</v>
      </c>
    </row>
    <row r="2440" spans="2:8" ht="17.5" customHeight="1" x14ac:dyDescent="0.4">
      <c r="B2440" t="s">
        <v>7</v>
      </c>
      <c r="C2440" t="s">
        <v>560</v>
      </c>
      <c r="D2440" s="7">
        <f>DATE(2016,10,6)</f>
        <v>42649</v>
      </c>
      <c r="E2440" s="8">
        <f t="shared" si="40"/>
        <v>2016</v>
      </c>
      <c r="F2440" t="s">
        <v>563</v>
      </c>
      <c r="G2440" s="9">
        <v>1340</v>
      </c>
      <c r="H2440" s="8">
        <v>23563</v>
      </c>
    </row>
    <row r="2441" spans="2:8" ht="17.5" customHeight="1" x14ac:dyDescent="0.4">
      <c r="B2441" t="s">
        <v>7</v>
      </c>
      <c r="C2441" t="s">
        <v>560</v>
      </c>
      <c r="D2441" s="7">
        <f>DATE(2017,7,17)</f>
        <v>42933</v>
      </c>
      <c r="E2441" s="8">
        <f t="shared" si="40"/>
        <v>2017</v>
      </c>
      <c r="F2441" t="s">
        <v>563</v>
      </c>
      <c r="G2441" s="9">
        <v>32128</v>
      </c>
      <c r="H2441" s="8">
        <v>25098</v>
      </c>
    </row>
    <row r="2442" spans="2:8" ht="17.5" customHeight="1" x14ac:dyDescent="0.4">
      <c r="B2442" t="s">
        <v>7</v>
      </c>
      <c r="C2442" t="s">
        <v>560</v>
      </c>
      <c r="D2442" s="7">
        <f>DATE(2017,9,5)</f>
        <v>42983</v>
      </c>
      <c r="E2442" s="8">
        <f t="shared" si="40"/>
        <v>2017</v>
      </c>
      <c r="F2442" t="s">
        <v>563</v>
      </c>
      <c r="G2442" s="9">
        <v>2010</v>
      </c>
      <c r="H2442" s="8">
        <v>25494</v>
      </c>
    </row>
    <row r="2443" spans="2:8" ht="17.5" customHeight="1" x14ac:dyDescent="0.4">
      <c r="B2443" t="s">
        <v>7</v>
      </c>
      <c r="C2443" t="s">
        <v>560</v>
      </c>
      <c r="D2443" s="7">
        <f>DATE(2013,6,7)</f>
        <v>41432</v>
      </c>
      <c r="E2443" s="8">
        <f t="shared" si="40"/>
        <v>2013</v>
      </c>
      <c r="F2443" t="s">
        <v>563</v>
      </c>
      <c r="G2443" s="9">
        <v>1350</v>
      </c>
      <c r="H2443" s="8">
        <v>12507</v>
      </c>
    </row>
    <row r="2444" spans="2:8" ht="17.5" customHeight="1" x14ac:dyDescent="0.4">
      <c r="B2444" t="s">
        <v>7</v>
      </c>
      <c r="C2444" t="s">
        <v>560</v>
      </c>
      <c r="D2444" s="7">
        <f>DATE(2013,6,25)</f>
        <v>41450</v>
      </c>
      <c r="E2444" s="8">
        <f t="shared" si="40"/>
        <v>2013</v>
      </c>
      <c r="F2444" t="s">
        <v>563</v>
      </c>
      <c r="G2444" s="9">
        <v>371.11</v>
      </c>
      <c r="H2444" s="8">
        <v>12542</v>
      </c>
    </row>
    <row r="2445" spans="2:8" ht="17.5" customHeight="1" x14ac:dyDescent="0.4">
      <c r="B2445" t="s">
        <v>7</v>
      </c>
      <c r="C2445" t="s">
        <v>560</v>
      </c>
      <c r="D2445" s="7">
        <f>DATE(2014,7,29)</f>
        <v>41849</v>
      </c>
      <c r="E2445" s="8">
        <f t="shared" si="40"/>
        <v>2014</v>
      </c>
      <c r="F2445" t="s">
        <v>563</v>
      </c>
      <c r="G2445" s="9">
        <v>63</v>
      </c>
      <c r="H2445" s="8">
        <v>13353</v>
      </c>
    </row>
    <row r="2446" spans="2:8" ht="17.5" customHeight="1" x14ac:dyDescent="0.4">
      <c r="B2446" t="s">
        <v>16</v>
      </c>
      <c r="C2446" t="s">
        <v>560</v>
      </c>
      <c r="D2446" s="7">
        <f>DATE(2013,6,26)</f>
        <v>41451</v>
      </c>
      <c r="E2446" s="8">
        <f t="shared" si="40"/>
        <v>2013</v>
      </c>
      <c r="F2446" t="s">
        <v>563</v>
      </c>
      <c r="G2446" s="9">
        <v>371.11</v>
      </c>
      <c r="H2446" s="8">
        <v>12543</v>
      </c>
    </row>
    <row r="2447" spans="2:8" ht="17.5" customHeight="1" x14ac:dyDescent="0.4">
      <c r="B2447" s="3" t="s">
        <v>7</v>
      </c>
      <c r="C2447" s="3" t="s">
        <v>560</v>
      </c>
      <c r="D2447" s="4">
        <f>DATE(2009,5,8)</f>
        <v>39941</v>
      </c>
      <c r="E2447" s="5">
        <f t="shared" si="40"/>
        <v>2009</v>
      </c>
      <c r="F2447" s="3" t="s">
        <v>563</v>
      </c>
      <c r="G2447" s="6">
        <v>1040</v>
      </c>
      <c r="H2447" s="5">
        <v>12520</v>
      </c>
    </row>
    <row r="2448" spans="2:8" ht="17.5" customHeight="1" x14ac:dyDescent="0.4">
      <c r="B2448" s="3" t="s">
        <v>7</v>
      </c>
      <c r="C2448" s="3" t="s">
        <v>560</v>
      </c>
      <c r="D2448" s="4">
        <f>DATE(2010,10,28)</f>
        <v>40479</v>
      </c>
      <c r="E2448" s="5">
        <f t="shared" si="40"/>
        <v>2010</v>
      </c>
      <c r="F2448" s="3" t="s">
        <v>563</v>
      </c>
      <c r="G2448" s="6">
        <v>500</v>
      </c>
      <c r="H2448" s="5">
        <v>14669</v>
      </c>
    </row>
    <row r="2449" spans="2:8" ht="17.5" customHeight="1" x14ac:dyDescent="0.4">
      <c r="B2449" s="3" t="s">
        <v>7</v>
      </c>
      <c r="C2449" s="3" t="s">
        <v>560</v>
      </c>
      <c r="D2449" s="4">
        <f>DATE(2011,6,16)</f>
        <v>40710</v>
      </c>
      <c r="E2449" s="5">
        <f t="shared" si="40"/>
        <v>2011</v>
      </c>
      <c r="F2449" s="3" t="s">
        <v>563</v>
      </c>
      <c r="G2449" s="6">
        <v>572</v>
      </c>
      <c r="H2449" s="5">
        <v>15626</v>
      </c>
    </row>
    <row r="2450" spans="2:8" ht="17.5" customHeight="1" x14ac:dyDescent="0.4">
      <c r="B2450" s="3" t="s">
        <v>7</v>
      </c>
      <c r="C2450" s="3" t="s">
        <v>560</v>
      </c>
      <c r="D2450" s="4">
        <f>DATE(2013,2,1)</f>
        <v>41306</v>
      </c>
      <c r="E2450" s="5">
        <f t="shared" si="40"/>
        <v>2013</v>
      </c>
      <c r="F2450" s="3" t="s">
        <v>563</v>
      </c>
      <c r="G2450" s="6">
        <v>317.2</v>
      </c>
      <c r="H2450" s="5">
        <v>18035</v>
      </c>
    </row>
    <row r="2451" spans="2:8" ht="17.5" customHeight="1" x14ac:dyDescent="0.4">
      <c r="B2451" t="s">
        <v>7</v>
      </c>
      <c r="C2451" t="s">
        <v>564</v>
      </c>
      <c r="D2451" s="7">
        <f>DATE(2015,1,23)</f>
        <v>42027</v>
      </c>
      <c r="E2451" s="8">
        <f t="shared" si="40"/>
        <v>2015</v>
      </c>
      <c r="F2451" t="s">
        <v>565</v>
      </c>
      <c r="G2451" s="9">
        <v>448.5</v>
      </c>
      <c r="H2451" s="8">
        <v>109</v>
      </c>
    </row>
    <row r="2452" spans="2:8" ht="17.5" customHeight="1" x14ac:dyDescent="0.4">
      <c r="B2452" t="s">
        <v>7</v>
      </c>
      <c r="C2452" t="s">
        <v>564</v>
      </c>
      <c r="D2452" s="7">
        <f>DATE(2015,12,16)</f>
        <v>42354</v>
      </c>
      <c r="E2452" s="8">
        <f t="shared" si="40"/>
        <v>2015</v>
      </c>
      <c r="F2452" t="s">
        <v>565</v>
      </c>
      <c r="G2452" s="9">
        <v>15295</v>
      </c>
      <c r="H2452" s="8">
        <v>21819</v>
      </c>
    </row>
    <row r="2453" spans="2:8" ht="17.5" customHeight="1" x14ac:dyDescent="0.4">
      <c r="B2453" s="3" t="s">
        <v>7</v>
      </c>
      <c r="C2453" s="3" t="s">
        <v>564</v>
      </c>
      <c r="D2453" s="4">
        <f>DATE(2006,12,20)</f>
        <v>39071</v>
      </c>
      <c r="E2453" s="5">
        <f t="shared" si="40"/>
        <v>2006</v>
      </c>
      <c r="F2453" s="3" t="s">
        <v>565</v>
      </c>
      <c r="G2453" s="6">
        <v>2813</v>
      </c>
      <c r="H2453" s="5">
        <v>7637</v>
      </c>
    </row>
    <row r="2454" spans="2:8" ht="17.5" customHeight="1" x14ac:dyDescent="0.4">
      <c r="B2454" s="3" t="s">
        <v>7</v>
      </c>
      <c r="C2454" s="3" t="s">
        <v>564</v>
      </c>
      <c r="D2454" s="4">
        <f>DATE(2007,3,19)</f>
        <v>39160</v>
      </c>
      <c r="E2454" s="5">
        <f t="shared" si="40"/>
        <v>2007</v>
      </c>
      <c r="F2454" s="3" t="s">
        <v>565</v>
      </c>
      <c r="G2454" s="6">
        <v>4359</v>
      </c>
      <c r="H2454" s="5">
        <v>8127</v>
      </c>
    </row>
    <row r="2455" spans="2:8" ht="17.5" customHeight="1" x14ac:dyDescent="0.4">
      <c r="B2455" s="3" t="s">
        <v>7</v>
      </c>
      <c r="C2455" s="3" t="s">
        <v>564</v>
      </c>
      <c r="D2455" s="4">
        <f>DATE(2007,9,12)</f>
        <v>39337</v>
      </c>
      <c r="E2455" s="5">
        <f t="shared" si="40"/>
        <v>2007</v>
      </c>
      <c r="F2455" s="3" t="s">
        <v>565</v>
      </c>
      <c r="G2455" s="6">
        <v>1472</v>
      </c>
      <c r="H2455" s="5">
        <v>9153</v>
      </c>
    </row>
    <row r="2456" spans="2:8" ht="17.5" customHeight="1" x14ac:dyDescent="0.4">
      <c r="B2456" s="3" t="s">
        <v>7</v>
      </c>
      <c r="C2456" s="3" t="s">
        <v>564</v>
      </c>
      <c r="D2456" s="4">
        <f>DATE(2007,9,18)</f>
        <v>39343</v>
      </c>
      <c r="E2456" s="5">
        <f t="shared" si="40"/>
        <v>2007</v>
      </c>
      <c r="F2456" s="3" t="s">
        <v>565</v>
      </c>
      <c r="G2456" s="6">
        <v>1505.09</v>
      </c>
      <c r="H2456" s="5">
        <v>9186</v>
      </c>
    </row>
    <row r="2457" spans="2:8" ht="17.5" customHeight="1" x14ac:dyDescent="0.4">
      <c r="B2457" s="3" t="s">
        <v>7</v>
      </c>
      <c r="C2457" s="3" t="s">
        <v>564</v>
      </c>
      <c r="D2457" s="4">
        <f>DATE(2007,10,17)</f>
        <v>39372</v>
      </c>
      <c r="E2457" s="5">
        <f t="shared" si="40"/>
        <v>2007</v>
      </c>
      <c r="F2457" s="3" t="s">
        <v>565</v>
      </c>
      <c r="G2457" s="6">
        <v>3354.41</v>
      </c>
      <c r="H2457" s="5">
        <v>9330</v>
      </c>
    </row>
    <row r="2458" spans="2:8" ht="17.5" customHeight="1" x14ac:dyDescent="0.4">
      <c r="B2458" s="3" t="s">
        <v>7</v>
      </c>
      <c r="C2458" s="3" t="s">
        <v>564</v>
      </c>
      <c r="D2458" s="4">
        <f>DATE(2008,2,27)</f>
        <v>39505</v>
      </c>
      <c r="E2458" s="5">
        <f t="shared" si="40"/>
        <v>2008</v>
      </c>
      <c r="F2458" s="3" t="s">
        <v>565</v>
      </c>
      <c r="G2458" s="6">
        <v>1230.5999999999999</v>
      </c>
      <c r="H2458" s="5">
        <v>10005</v>
      </c>
    </row>
    <row r="2459" spans="2:8" ht="17.5" customHeight="1" x14ac:dyDescent="0.4">
      <c r="B2459" s="3" t="s">
        <v>7</v>
      </c>
      <c r="C2459" s="3" t="s">
        <v>564</v>
      </c>
      <c r="D2459" s="4">
        <f>DATE(2009,5,6)</f>
        <v>39939</v>
      </c>
      <c r="E2459" s="5">
        <f t="shared" si="40"/>
        <v>2009</v>
      </c>
      <c r="F2459" s="3" t="s">
        <v>565</v>
      </c>
      <c r="G2459" s="6">
        <v>5932</v>
      </c>
      <c r="H2459" s="5">
        <v>12486</v>
      </c>
    </row>
    <row r="2460" spans="2:8" ht="17.5" customHeight="1" x14ac:dyDescent="0.4">
      <c r="B2460" s="3" t="s">
        <v>7</v>
      </c>
      <c r="C2460" s="3" t="s">
        <v>564</v>
      </c>
      <c r="D2460" s="4">
        <f>DATE(2011,4,5)</f>
        <v>40638</v>
      </c>
      <c r="E2460" s="5">
        <f t="shared" si="40"/>
        <v>2011</v>
      </c>
      <c r="F2460" s="3" t="s">
        <v>565</v>
      </c>
      <c r="G2460" s="6">
        <v>46.1</v>
      </c>
      <c r="H2460" s="5">
        <v>15351</v>
      </c>
    </row>
    <row r="2461" spans="2:8" ht="17.5" customHeight="1" x14ac:dyDescent="0.4">
      <c r="B2461" s="3" t="s">
        <v>7</v>
      </c>
      <c r="C2461" s="3" t="s">
        <v>564</v>
      </c>
      <c r="D2461" s="4">
        <f>DATE(2013,1,9)</f>
        <v>41283</v>
      </c>
      <c r="E2461" s="5">
        <f t="shared" si="40"/>
        <v>2013</v>
      </c>
      <c r="F2461" s="3" t="s">
        <v>565</v>
      </c>
      <c r="G2461" s="6">
        <v>10925</v>
      </c>
      <c r="H2461" s="5">
        <v>17946</v>
      </c>
    </row>
    <row r="2462" spans="2:8" ht="17.5" customHeight="1" x14ac:dyDescent="0.4">
      <c r="B2462" s="3" t="s">
        <v>7</v>
      </c>
      <c r="C2462" s="3" t="s">
        <v>564</v>
      </c>
      <c r="D2462" s="4">
        <f>DATE(2014,11,25)</f>
        <v>41968</v>
      </c>
      <c r="E2462" s="5">
        <f t="shared" si="40"/>
        <v>2014</v>
      </c>
      <c r="F2462" s="3" t="s">
        <v>565</v>
      </c>
      <c r="G2462" s="6">
        <v>6555</v>
      </c>
      <c r="H2462" s="5">
        <v>20664</v>
      </c>
    </row>
    <row r="2463" spans="2:8" ht="17.5" customHeight="1" x14ac:dyDescent="0.4">
      <c r="B2463" s="3" t="s">
        <v>7</v>
      </c>
      <c r="C2463" s="3" t="s">
        <v>564</v>
      </c>
      <c r="D2463" s="4">
        <f>DATE(2014,12,11)</f>
        <v>41984</v>
      </c>
      <c r="E2463" s="5">
        <f t="shared" si="40"/>
        <v>2014</v>
      </c>
      <c r="F2463" s="3" t="s">
        <v>565</v>
      </c>
      <c r="G2463" s="6">
        <v>13110</v>
      </c>
      <c r="H2463" s="5">
        <v>20716</v>
      </c>
    </row>
    <row r="2464" spans="2:8" ht="17.5" customHeight="1" x14ac:dyDescent="0.4">
      <c r="B2464" t="s">
        <v>7</v>
      </c>
      <c r="C2464" t="s">
        <v>566</v>
      </c>
      <c r="D2464" s="7">
        <f>DATE(2015,5,11)</f>
        <v>42135</v>
      </c>
      <c r="E2464" s="8">
        <f t="shared" si="40"/>
        <v>2015</v>
      </c>
      <c r="F2464" t="s">
        <v>567</v>
      </c>
      <c r="G2464" s="9">
        <v>107184.22</v>
      </c>
      <c r="H2464" s="8">
        <v>20317</v>
      </c>
    </row>
    <row r="2465" spans="2:8" ht="17.5" customHeight="1" x14ac:dyDescent="0.4">
      <c r="B2465" t="s">
        <v>7</v>
      </c>
      <c r="C2465" t="s">
        <v>566</v>
      </c>
      <c r="D2465" s="7">
        <f>DATE(2005,2,27)</f>
        <v>38410</v>
      </c>
      <c r="E2465" s="8">
        <f t="shared" si="40"/>
        <v>2005</v>
      </c>
      <c r="F2465" t="s">
        <v>567</v>
      </c>
      <c r="G2465" s="9">
        <v>2071.1999999999998</v>
      </c>
      <c r="H2465" s="8">
        <v>2836</v>
      </c>
    </row>
    <row r="2466" spans="2:8" ht="17.5" customHeight="1" x14ac:dyDescent="0.4">
      <c r="B2466" t="s">
        <v>7</v>
      </c>
      <c r="C2466" t="s">
        <v>566</v>
      </c>
      <c r="D2466" s="7">
        <f>DATE(2006,3,14)</f>
        <v>38790</v>
      </c>
      <c r="E2466" s="8">
        <f t="shared" si="40"/>
        <v>2006</v>
      </c>
      <c r="F2466" t="s">
        <v>567</v>
      </c>
      <c r="G2466" s="9">
        <v>13511</v>
      </c>
      <c r="H2466" s="8">
        <v>4032</v>
      </c>
    </row>
    <row r="2467" spans="2:8" ht="17.5" customHeight="1" x14ac:dyDescent="0.4">
      <c r="B2467" t="s">
        <v>7</v>
      </c>
      <c r="C2467" t="s">
        <v>566</v>
      </c>
      <c r="D2467" s="7">
        <f>DATE(2006,5,12)</f>
        <v>38849</v>
      </c>
      <c r="E2467" s="8">
        <f t="shared" si="40"/>
        <v>2006</v>
      </c>
      <c r="F2467" t="s">
        <v>567</v>
      </c>
      <c r="G2467" s="9">
        <v>42159</v>
      </c>
      <c r="H2467" s="8">
        <v>4030</v>
      </c>
    </row>
    <row r="2468" spans="2:8" ht="17.5" customHeight="1" x14ac:dyDescent="0.4">
      <c r="B2468" t="s">
        <v>7</v>
      </c>
      <c r="C2468" t="s">
        <v>566</v>
      </c>
      <c r="D2468" s="7">
        <f>DATE(2006,5,17)</f>
        <v>38854</v>
      </c>
      <c r="E2468" s="8">
        <f t="shared" si="40"/>
        <v>2006</v>
      </c>
      <c r="F2468" t="s">
        <v>567</v>
      </c>
      <c r="G2468" s="9">
        <v>23688</v>
      </c>
      <c r="H2468" s="8">
        <v>4031</v>
      </c>
    </row>
    <row r="2469" spans="2:8" ht="17.5" customHeight="1" x14ac:dyDescent="0.4">
      <c r="B2469" t="s">
        <v>7</v>
      </c>
      <c r="C2469" t="s">
        <v>566</v>
      </c>
      <c r="D2469" s="7">
        <f>DATE(2008,5,14)</f>
        <v>39582</v>
      </c>
      <c r="E2469" s="8">
        <f t="shared" si="40"/>
        <v>2008</v>
      </c>
      <c r="F2469" t="s">
        <v>567</v>
      </c>
      <c r="G2469" s="9">
        <v>14487.5</v>
      </c>
      <c r="H2469" s="8">
        <v>7142</v>
      </c>
    </row>
    <row r="2470" spans="2:8" ht="17.5" customHeight="1" x14ac:dyDescent="0.4">
      <c r="B2470" t="s">
        <v>7</v>
      </c>
      <c r="C2470" t="s">
        <v>566</v>
      </c>
      <c r="D2470" s="7">
        <f>DATE(2008,5,23)</f>
        <v>39591</v>
      </c>
      <c r="E2470" s="8">
        <f t="shared" si="40"/>
        <v>2008</v>
      </c>
      <c r="F2470" t="s">
        <v>567</v>
      </c>
      <c r="G2470" s="9">
        <v>28500</v>
      </c>
      <c r="H2470" s="8">
        <v>7141</v>
      </c>
    </row>
    <row r="2471" spans="2:8" ht="17.5" customHeight="1" x14ac:dyDescent="0.4">
      <c r="B2471" t="s">
        <v>7</v>
      </c>
      <c r="C2471" t="s">
        <v>566</v>
      </c>
      <c r="D2471" s="7">
        <f>DATE(2012,5,7)</f>
        <v>41036</v>
      </c>
      <c r="E2471" s="8">
        <f t="shared" si="40"/>
        <v>2012</v>
      </c>
      <c r="F2471" t="s">
        <v>567</v>
      </c>
      <c r="G2471" s="9">
        <v>125491.86</v>
      </c>
      <c r="H2471" s="8">
        <v>11281</v>
      </c>
    </row>
    <row r="2472" spans="2:8" ht="17.5" customHeight="1" x14ac:dyDescent="0.4">
      <c r="B2472" s="3" t="s">
        <v>7</v>
      </c>
      <c r="C2472" s="3" t="s">
        <v>566</v>
      </c>
      <c r="D2472" s="4">
        <f>DATE(2010,5,4)</f>
        <v>40302</v>
      </c>
      <c r="E2472" s="5">
        <f t="shared" si="40"/>
        <v>2010</v>
      </c>
      <c r="F2472" s="3" t="s">
        <v>567</v>
      </c>
      <c r="G2472" s="6">
        <v>114008.24</v>
      </c>
      <c r="H2472" s="5">
        <v>3915</v>
      </c>
    </row>
    <row r="2473" spans="2:8" ht="17.5" customHeight="1" x14ac:dyDescent="0.4">
      <c r="B2473" s="3" t="s">
        <v>7</v>
      </c>
      <c r="C2473" s="3" t="s">
        <v>566</v>
      </c>
      <c r="D2473" s="4">
        <f>DATE(2003,10,9)</f>
        <v>37903</v>
      </c>
      <c r="E2473" s="5">
        <f t="shared" si="40"/>
        <v>2003</v>
      </c>
      <c r="F2473" s="3" t="s">
        <v>567</v>
      </c>
      <c r="G2473" s="6">
        <v>810</v>
      </c>
      <c r="H2473" s="5">
        <v>1598</v>
      </c>
    </row>
    <row r="2474" spans="2:8" ht="17.5" customHeight="1" x14ac:dyDescent="0.4">
      <c r="B2474" s="3" t="s">
        <v>7</v>
      </c>
      <c r="C2474" s="3" t="s">
        <v>566</v>
      </c>
      <c r="D2474" s="4">
        <f>DATE(2005,2,25)</f>
        <v>38408</v>
      </c>
      <c r="E2474" s="5">
        <f t="shared" si="40"/>
        <v>2005</v>
      </c>
      <c r="F2474" s="3" t="s">
        <v>567</v>
      </c>
      <c r="G2474" s="6">
        <v>438.75</v>
      </c>
      <c r="H2474" s="5">
        <v>4203</v>
      </c>
    </row>
    <row r="2475" spans="2:8" ht="17.5" customHeight="1" x14ac:dyDescent="0.4">
      <c r="B2475" s="3" t="s">
        <v>7</v>
      </c>
      <c r="C2475" s="3" t="s">
        <v>566</v>
      </c>
      <c r="D2475" s="4">
        <f>DATE(2005,5,11)</f>
        <v>38483</v>
      </c>
      <c r="E2475" s="5">
        <f t="shared" si="40"/>
        <v>2005</v>
      </c>
      <c r="F2475" s="3" t="s">
        <v>567</v>
      </c>
      <c r="G2475" s="6">
        <v>540</v>
      </c>
      <c r="H2475" s="5">
        <v>4705</v>
      </c>
    </row>
    <row r="2476" spans="2:8" ht="17.5" customHeight="1" x14ac:dyDescent="0.4">
      <c r="B2476" s="3" t="s">
        <v>7</v>
      </c>
      <c r="C2476" s="3" t="s">
        <v>566</v>
      </c>
      <c r="D2476" s="4">
        <f>DATE(2005,9,27)</f>
        <v>38622</v>
      </c>
      <c r="E2476" s="5">
        <f t="shared" si="40"/>
        <v>2005</v>
      </c>
      <c r="F2476" s="3" t="s">
        <v>567</v>
      </c>
      <c r="G2476" s="6">
        <v>506.25</v>
      </c>
      <c r="H2476" s="5">
        <v>5336</v>
      </c>
    </row>
    <row r="2477" spans="2:8" ht="17.5" customHeight="1" x14ac:dyDescent="0.4">
      <c r="B2477" s="3" t="s">
        <v>7</v>
      </c>
      <c r="C2477" s="3" t="s">
        <v>566</v>
      </c>
      <c r="D2477" s="4">
        <f>DATE(2005,10,18)</f>
        <v>38643</v>
      </c>
      <c r="E2477" s="5">
        <f t="shared" si="40"/>
        <v>2005</v>
      </c>
      <c r="F2477" s="3" t="s">
        <v>567</v>
      </c>
      <c r="G2477" s="6">
        <v>810</v>
      </c>
      <c r="H2477" s="5">
        <v>5422</v>
      </c>
    </row>
    <row r="2478" spans="2:8" ht="17.5" customHeight="1" x14ac:dyDescent="0.4">
      <c r="B2478" s="3" t="s">
        <v>7</v>
      </c>
      <c r="C2478" s="3" t="s">
        <v>566</v>
      </c>
      <c r="D2478" s="4">
        <f>DATE(2006,3,23)</f>
        <v>38799</v>
      </c>
      <c r="E2478" s="5">
        <f t="shared" si="40"/>
        <v>2006</v>
      </c>
      <c r="F2478" s="3" t="s">
        <v>567</v>
      </c>
      <c r="G2478" s="6">
        <v>906</v>
      </c>
      <c r="H2478" s="5">
        <v>6364</v>
      </c>
    </row>
    <row r="2479" spans="2:8" ht="17.5" customHeight="1" x14ac:dyDescent="0.4">
      <c r="B2479" s="3" t="s">
        <v>7</v>
      </c>
      <c r="C2479" s="3" t="s">
        <v>566</v>
      </c>
      <c r="D2479" s="4">
        <f>DATE(2006,5,17)</f>
        <v>38854</v>
      </c>
      <c r="E2479" s="5">
        <f t="shared" si="40"/>
        <v>2006</v>
      </c>
      <c r="F2479" s="3" t="s">
        <v>567</v>
      </c>
      <c r="G2479" s="6">
        <v>528.5</v>
      </c>
      <c r="H2479" s="5">
        <v>6738</v>
      </c>
    </row>
    <row r="2480" spans="2:8" ht="17.5" customHeight="1" x14ac:dyDescent="0.4">
      <c r="B2480" s="3" t="s">
        <v>7</v>
      </c>
      <c r="C2480" s="3" t="s">
        <v>566</v>
      </c>
      <c r="D2480" s="4">
        <f>DATE(2009,4,9)</f>
        <v>39912</v>
      </c>
      <c r="E2480" s="5">
        <f t="shared" si="40"/>
        <v>2009</v>
      </c>
      <c r="F2480" s="3" t="s">
        <v>567</v>
      </c>
      <c r="G2480" s="6">
        <v>1338</v>
      </c>
      <c r="H2480" s="5">
        <v>12295</v>
      </c>
    </row>
    <row r="2481" spans="2:8" ht="17.5" customHeight="1" x14ac:dyDescent="0.4">
      <c r="B2481" s="3" t="s">
        <v>7</v>
      </c>
      <c r="C2481" s="3" t="s">
        <v>566</v>
      </c>
      <c r="D2481" s="4">
        <f>DATE(2012,4,4)</f>
        <v>41003</v>
      </c>
      <c r="E2481" s="5">
        <f t="shared" si="40"/>
        <v>2012</v>
      </c>
      <c r="F2481" s="3" t="s">
        <v>567</v>
      </c>
      <c r="G2481" s="6">
        <v>1320</v>
      </c>
      <c r="H2481" s="5">
        <v>16829</v>
      </c>
    </row>
    <row r="2482" spans="2:8" ht="17.5" customHeight="1" x14ac:dyDescent="0.4">
      <c r="B2482" s="3" t="s">
        <v>7</v>
      </c>
      <c r="C2482" s="3" t="s">
        <v>566</v>
      </c>
      <c r="D2482" s="4">
        <f>DATE(2012,4,4)</f>
        <v>41003</v>
      </c>
      <c r="E2482" s="5">
        <f t="shared" si="40"/>
        <v>2012</v>
      </c>
      <c r="F2482" s="3" t="s">
        <v>567</v>
      </c>
      <c r="G2482" s="6">
        <v>16500</v>
      </c>
      <c r="H2482" s="5">
        <v>16751</v>
      </c>
    </row>
    <row r="2483" spans="2:8" ht="17.5" customHeight="1" x14ac:dyDescent="0.4">
      <c r="B2483" t="s">
        <v>7</v>
      </c>
      <c r="C2483" t="s">
        <v>568</v>
      </c>
      <c r="D2483" s="7">
        <f>DATE(2017,10,9)</f>
        <v>43017</v>
      </c>
      <c r="E2483" s="8">
        <f t="shared" si="40"/>
        <v>2017</v>
      </c>
      <c r="F2483" t="s">
        <v>569</v>
      </c>
      <c r="G2483" s="9">
        <v>22211</v>
      </c>
      <c r="H2483" s="8">
        <v>25539</v>
      </c>
    </row>
    <row r="2484" spans="2:8" ht="17.5" customHeight="1" x14ac:dyDescent="0.4">
      <c r="B2484" t="s">
        <v>7</v>
      </c>
      <c r="C2484" t="s">
        <v>568</v>
      </c>
      <c r="D2484" s="7">
        <f>DATE(2013,5,7)</f>
        <v>41401</v>
      </c>
      <c r="E2484" s="8">
        <f t="shared" si="40"/>
        <v>2013</v>
      </c>
      <c r="F2484" t="s">
        <v>569</v>
      </c>
      <c r="G2484" s="9">
        <v>18294.8</v>
      </c>
      <c r="H2484" s="8">
        <v>12301</v>
      </c>
    </row>
    <row r="2485" spans="2:8" ht="17.5" customHeight="1" x14ac:dyDescent="0.4">
      <c r="B2485" t="s">
        <v>7</v>
      </c>
      <c r="C2485" t="s">
        <v>570</v>
      </c>
      <c r="D2485" s="7">
        <f>DATE(2016,2,10)</f>
        <v>42410</v>
      </c>
      <c r="E2485" s="8">
        <f t="shared" si="40"/>
        <v>2016</v>
      </c>
      <c r="F2485" t="s">
        <v>571</v>
      </c>
      <c r="G2485" s="9">
        <v>36731.629999999997</v>
      </c>
      <c r="H2485" s="8">
        <v>22018</v>
      </c>
    </row>
    <row r="2486" spans="2:8" ht="17.5" customHeight="1" x14ac:dyDescent="0.4">
      <c r="B2486" t="s">
        <v>7</v>
      </c>
      <c r="C2486" t="s">
        <v>570</v>
      </c>
      <c r="D2486" s="7">
        <f>DATE(2016,3,2)</f>
        <v>42431</v>
      </c>
      <c r="E2486" s="8">
        <f t="shared" si="40"/>
        <v>2016</v>
      </c>
      <c r="F2486" t="s">
        <v>571</v>
      </c>
      <c r="G2486" s="9">
        <v>12211.52</v>
      </c>
      <c r="H2486" s="8">
        <v>22256</v>
      </c>
    </row>
    <row r="2487" spans="2:8" ht="17.5" customHeight="1" x14ac:dyDescent="0.4">
      <c r="B2487" t="s">
        <v>7</v>
      </c>
      <c r="C2487" t="s">
        <v>570</v>
      </c>
      <c r="D2487" s="7">
        <f>DATE(2016,4,7)</f>
        <v>42467</v>
      </c>
      <c r="E2487" s="8">
        <f t="shared" si="40"/>
        <v>2016</v>
      </c>
      <c r="F2487" t="s">
        <v>571</v>
      </c>
      <c r="G2487" s="9">
        <v>7251.89</v>
      </c>
      <c r="H2487" s="8">
        <v>22544</v>
      </c>
    </row>
    <row r="2488" spans="2:8" ht="17.5" customHeight="1" x14ac:dyDescent="0.4">
      <c r="B2488" t="s">
        <v>7</v>
      </c>
      <c r="C2488" t="s">
        <v>570</v>
      </c>
      <c r="D2488" s="7">
        <f>DATE(2016,4,27)</f>
        <v>42487</v>
      </c>
      <c r="E2488" s="8">
        <f t="shared" si="40"/>
        <v>2016</v>
      </c>
      <c r="F2488" t="s">
        <v>571</v>
      </c>
      <c r="G2488" s="9">
        <v>5498.87</v>
      </c>
      <c r="H2488" s="8">
        <v>22697</v>
      </c>
    </row>
    <row r="2489" spans="2:8" ht="17.5" customHeight="1" x14ac:dyDescent="0.4">
      <c r="B2489" t="s">
        <v>7</v>
      </c>
      <c r="C2489" t="s">
        <v>570</v>
      </c>
      <c r="D2489" s="7">
        <f>DATE(2016,8,12)</f>
        <v>42594</v>
      </c>
      <c r="E2489" s="8">
        <f t="shared" si="40"/>
        <v>2016</v>
      </c>
      <c r="F2489" t="s">
        <v>571</v>
      </c>
      <c r="G2489" s="9">
        <v>23444.73</v>
      </c>
      <c r="H2489" s="8">
        <v>23225</v>
      </c>
    </row>
    <row r="2490" spans="2:8" ht="17.5" customHeight="1" x14ac:dyDescent="0.4">
      <c r="B2490" t="s">
        <v>7</v>
      </c>
      <c r="C2490" t="s">
        <v>570</v>
      </c>
      <c r="D2490" s="7">
        <f>DATE(2017,3,22)</f>
        <v>42816</v>
      </c>
      <c r="E2490" s="8">
        <f t="shared" si="40"/>
        <v>2017</v>
      </c>
      <c r="F2490" t="s">
        <v>571</v>
      </c>
      <c r="G2490" s="9">
        <v>17852.439999999999</v>
      </c>
      <c r="H2490" s="8">
        <v>24387</v>
      </c>
    </row>
    <row r="2491" spans="2:8" ht="17.5" customHeight="1" x14ac:dyDescent="0.4">
      <c r="B2491" t="s">
        <v>7</v>
      </c>
      <c r="C2491" t="s">
        <v>572</v>
      </c>
      <c r="D2491" s="7">
        <f>DATE(2015,3,18)</f>
        <v>42081</v>
      </c>
      <c r="E2491" s="8">
        <f t="shared" si="40"/>
        <v>2015</v>
      </c>
      <c r="F2491" t="s">
        <v>573</v>
      </c>
      <c r="G2491" s="9">
        <v>172553.27</v>
      </c>
      <c r="H2491" s="8">
        <v>67</v>
      </c>
    </row>
    <row r="2492" spans="2:8" ht="17.5" customHeight="1" x14ac:dyDescent="0.4">
      <c r="B2492" t="s">
        <v>7</v>
      </c>
      <c r="C2492" t="s">
        <v>572</v>
      </c>
      <c r="D2492" s="7">
        <f>DATE(2008,3,24)</f>
        <v>39531</v>
      </c>
      <c r="E2492" s="8">
        <f t="shared" si="40"/>
        <v>2008</v>
      </c>
      <c r="F2492" t="s">
        <v>573</v>
      </c>
      <c r="G2492" s="9">
        <v>52133.2</v>
      </c>
      <c r="H2492" s="8">
        <v>6202</v>
      </c>
    </row>
    <row r="2493" spans="2:8" ht="17.5" customHeight="1" x14ac:dyDescent="0.4">
      <c r="B2493" t="s">
        <v>7</v>
      </c>
      <c r="C2493" t="s">
        <v>572</v>
      </c>
      <c r="D2493" s="7">
        <f>DATE(2009,6,8)</f>
        <v>39972</v>
      </c>
      <c r="E2493" s="8">
        <f t="shared" si="40"/>
        <v>2009</v>
      </c>
      <c r="F2493" t="s">
        <v>573</v>
      </c>
      <c r="G2493" s="9">
        <v>103269.88</v>
      </c>
      <c r="H2493" s="8">
        <v>7836</v>
      </c>
    </row>
    <row r="2494" spans="2:8" ht="17.5" customHeight="1" x14ac:dyDescent="0.4">
      <c r="B2494" t="s">
        <v>7</v>
      </c>
      <c r="C2494" t="s">
        <v>572</v>
      </c>
      <c r="D2494" s="7">
        <f>DATE(2009,7,6)</f>
        <v>40000</v>
      </c>
      <c r="E2494" s="8">
        <f t="shared" si="40"/>
        <v>2009</v>
      </c>
      <c r="F2494" t="s">
        <v>573</v>
      </c>
      <c r="G2494" s="9">
        <v>57600</v>
      </c>
      <c r="H2494" s="8">
        <v>8821</v>
      </c>
    </row>
    <row r="2495" spans="2:8" ht="17.5" customHeight="1" x14ac:dyDescent="0.4">
      <c r="B2495" t="s">
        <v>7</v>
      </c>
      <c r="C2495" t="s">
        <v>572</v>
      </c>
      <c r="D2495" s="7">
        <f>DATE(2009,7,1)</f>
        <v>39995</v>
      </c>
      <c r="E2495" s="8">
        <f t="shared" si="40"/>
        <v>2009</v>
      </c>
      <c r="F2495" t="s">
        <v>573</v>
      </c>
      <c r="G2495" s="9">
        <v>14374.27</v>
      </c>
      <c r="H2495" s="8">
        <v>8821</v>
      </c>
    </row>
    <row r="2496" spans="2:8" ht="17.5" customHeight="1" x14ac:dyDescent="0.4">
      <c r="B2496" t="s">
        <v>7</v>
      </c>
      <c r="C2496" t="s">
        <v>572</v>
      </c>
      <c r="D2496" s="7">
        <f>DATE(2009,7,1)</f>
        <v>39995</v>
      </c>
      <c r="E2496" s="8">
        <f t="shared" si="40"/>
        <v>2009</v>
      </c>
      <c r="F2496" t="s">
        <v>573</v>
      </c>
      <c r="G2496" s="9">
        <v>28580.21</v>
      </c>
      <c r="H2496" s="8">
        <v>8821</v>
      </c>
    </row>
    <row r="2497" spans="2:8" ht="17.5" customHeight="1" x14ac:dyDescent="0.4">
      <c r="B2497" t="s">
        <v>7</v>
      </c>
      <c r="C2497" t="s">
        <v>572</v>
      </c>
      <c r="D2497" s="7">
        <f>DATE(2010,4,23)</f>
        <v>40291</v>
      </c>
      <c r="E2497" s="8">
        <f t="shared" si="40"/>
        <v>2010</v>
      </c>
      <c r="F2497" t="s">
        <v>573</v>
      </c>
      <c r="G2497" s="9">
        <v>108838.88</v>
      </c>
      <c r="H2497" s="8">
        <v>8685</v>
      </c>
    </row>
    <row r="2498" spans="2:8" ht="17.5" customHeight="1" x14ac:dyDescent="0.4">
      <c r="B2498" t="s">
        <v>7</v>
      </c>
      <c r="C2498" t="s">
        <v>572</v>
      </c>
      <c r="D2498" s="7">
        <f>DATE(2012,3,23)</f>
        <v>40991</v>
      </c>
      <c r="E2498" s="8">
        <f t="shared" si="40"/>
        <v>2012</v>
      </c>
      <c r="F2498" t="s">
        <v>573</v>
      </c>
      <c r="G2498" s="9">
        <v>95936.11</v>
      </c>
      <c r="H2498" s="8">
        <v>11098</v>
      </c>
    </row>
    <row r="2499" spans="2:8" ht="17.5" customHeight="1" x14ac:dyDescent="0.4">
      <c r="B2499" t="s">
        <v>7</v>
      </c>
      <c r="C2499" t="s">
        <v>572</v>
      </c>
      <c r="D2499" s="7">
        <f>DATE(2013,4,15)</f>
        <v>41379</v>
      </c>
      <c r="E2499" s="8">
        <f t="shared" ref="E2499:E2562" si="41">YEAR(D2499)</f>
        <v>2013</v>
      </c>
      <c r="F2499" t="s">
        <v>573</v>
      </c>
      <c r="G2499" s="9">
        <v>105351.02</v>
      </c>
      <c r="H2499" s="8">
        <v>11986</v>
      </c>
    </row>
    <row r="2500" spans="2:8" ht="17.5" customHeight="1" x14ac:dyDescent="0.4">
      <c r="B2500" t="s">
        <v>7</v>
      </c>
      <c r="C2500" t="s">
        <v>572</v>
      </c>
      <c r="D2500" s="7">
        <f>DATE(2014,3,21)</f>
        <v>41719</v>
      </c>
      <c r="E2500" s="8">
        <f t="shared" si="41"/>
        <v>2014</v>
      </c>
      <c r="F2500" t="s">
        <v>573</v>
      </c>
      <c r="G2500" s="9">
        <v>114931.73</v>
      </c>
      <c r="H2500" s="8">
        <v>12801</v>
      </c>
    </row>
    <row r="2501" spans="2:8" ht="17.5" customHeight="1" x14ac:dyDescent="0.4">
      <c r="B2501" t="s">
        <v>16</v>
      </c>
      <c r="C2501" t="s">
        <v>572</v>
      </c>
      <c r="D2501" s="7">
        <f>DATE(2009,6,8)</f>
        <v>39972</v>
      </c>
      <c r="E2501" s="8">
        <f t="shared" si="41"/>
        <v>2009</v>
      </c>
      <c r="F2501" t="s">
        <v>573</v>
      </c>
      <c r="G2501" s="9">
        <v>103269.88</v>
      </c>
      <c r="H2501" s="8">
        <v>8866</v>
      </c>
    </row>
    <row r="2502" spans="2:8" ht="17.5" customHeight="1" x14ac:dyDescent="0.4">
      <c r="B2502" s="3" t="s">
        <v>7</v>
      </c>
      <c r="C2502" s="3" t="s">
        <v>572</v>
      </c>
      <c r="D2502" s="4">
        <f>DATE(2007,3,13)</f>
        <v>39154</v>
      </c>
      <c r="E2502" s="5">
        <f t="shared" si="41"/>
        <v>2007</v>
      </c>
      <c r="F2502" s="3" t="s">
        <v>573</v>
      </c>
      <c r="G2502" s="6">
        <v>1338</v>
      </c>
      <c r="H2502" s="5">
        <v>8146</v>
      </c>
    </row>
    <row r="2503" spans="2:8" ht="17.5" customHeight="1" x14ac:dyDescent="0.4">
      <c r="B2503" s="3" t="s">
        <v>7</v>
      </c>
      <c r="C2503" s="3" t="s">
        <v>572</v>
      </c>
      <c r="D2503" s="4">
        <f>DATE(2007,3,21)</f>
        <v>39162</v>
      </c>
      <c r="E2503" s="5">
        <f t="shared" si="41"/>
        <v>2007</v>
      </c>
      <c r="F2503" s="3" t="s">
        <v>573</v>
      </c>
      <c r="G2503" s="6">
        <v>4237</v>
      </c>
      <c r="H2503" s="5">
        <v>8146</v>
      </c>
    </row>
    <row r="2504" spans="2:8" ht="17.5" customHeight="1" x14ac:dyDescent="0.4">
      <c r="B2504" s="3" t="s">
        <v>7</v>
      </c>
      <c r="C2504" s="3" t="s">
        <v>572</v>
      </c>
      <c r="D2504" s="4">
        <f>DATE(2007,11,14)</f>
        <v>39400</v>
      </c>
      <c r="E2504" s="5">
        <f t="shared" si="41"/>
        <v>2007</v>
      </c>
      <c r="F2504" s="3" t="s">
        <v>573</v>
      </c>
      <c r="G2504" s="6">
        <v>87062.5</v>
      </c>
      <c r="H2504" s="5">
        <v>9274</v>
      </c>
    </row>
    <row r="2505" spans="2:8" ht="17.5" customHeight="1" x14ac:dyDescent="0.4">
      <c r="B2505" s="3" t="s">
        <v>7</v>
      </c>
      <c r="C2505" s="3" t="s">
        <v>572</v>
      </c>
      <c r="D2505" s="4">
        <f>DATE(2007,12,18)</f>
        <v>39434</v>
      </c>
      <c r="E2505" s="5">
        <f t="shared" si="41"/>
        <v>2007</v>
      </c>
      <c r="F2505" s="3" t="s">
        <v>573</v>
      </c>
      <c r="G2505" s="6">
        <v>27875</v>
      </c>
      <c r="H2505" s="5">
        <v>9307</v>
      </c>
    </row>
    <row r="2506" spans="2:8" ht="17.5" customHeight="1" x14ac:dyDescent="0.4">
      <c r="B2506" s="3" t="s">
        <v>7</v>
      </c>
      <c r="C2506" s="3" t="s">
        <v>572</v>
      </c>
      <c r="D2506" s="4">
        <f>DATE(2008,6,5)</f>
        <v>39604</v>
      </c>
      <c r="E2506" s="5">
        <f t="shared" si="41"/>
        <v>2008</v>
      </c>
      <c r="F2506" s="3" t="s">
        <v>573</v>
      </c>
      <c r="G2506" s="6">
        <v>100350</v>
      </c>
      <c r="H2506" s="5">
        <v>10436</v>
      </c>
    </row>
    <row r="2507" spans="2:8" ht="17.5" customHeight="1" x14ac:dyDescent="0.4">
      <c r="B2507" s="3" t="s">
        <v>7</v>
      </c>
      <c r="C2507" s="3" t="s">
        <v>572</v>
      </c>
      <c r="D2507" s="4">
        <f>DATE(2008,11,24)</f>
        <v>39776</v>
      </c>
      <c r="E2507" s="5">
        <f t="shared" si="41"/>
        <v>2008</v>
      </c>
      <c r="F2507" s="3" t="s">
        <v>573</v>
      </c>
      <c r="G2507" s="6">
        <v>14937.5</v>
      </c>
      <c r="H2507" s="5">
        <v>11225</v>
      </c>
    </row>
    <row r="2508" spans="2:8" ht="17.5" customHeight="1" x14ac:dyDescent="0.4">
      <c r="B2508" s="3" t="s">
        <v>7</v>
      </c>
      <c r="C2508" s="3" t="s">
        <v>572</v>
      </c>
      <c r="D2508" s="4">
        <f>DATE(2008,11,24)</f>
        <v>39776</v>
      </c>
      <c r="E2508" s="5">
        <f t="shared" si="41"/>
        <v>2008</v>
      </c>
      <c r="F2508" s="3" t="s">
        <v>573</v>
      </c>
      <c r="G2508" s="6">
        <v>59750</v>
      </c>
      <c r="H2508" s="5">
        <v>10996</v>
      </c>
    </row>
    <row r="2509" spans="2:8" ht="17.5" customHeight="1" x14ac:dyDescent="0.4">
      <c r="B2509" s="3" t="s">
        <v>7</v>
      </c>
      <c r="C2509" s="3" t="s">
        <v>572</v>
      </c>
      <c r="D2509" s="4">
        <f>DATE(2009,2,10)</f>
        <v>39854</v>
      </c>
      <c r="E2509" s="5">
        <f t="shared" si="41"/>
        <v>2009</v>
      </c>
      <c r="F2509" s="3" t="s">
        <v>573</v>
      </c>
      <c r="G2509" s="6">
        <v>222.4</v>
      </c>
      <c r="H2509" s="5">
        <v>11936</v>
      </c>
    </row>
    <row r="2510" spans="2:8" ht="17.5" customHeight="1" x14ac:dyDescent="0.4">
      <c r="B2510" s="3" t="s">
        <v>7</v>
      </c>
      <c r="C2510" s="3" t="s">
        <v>572</v>
      </c>
      <c r="D2510" s="4">
        <f>DATE(2009,3,25)</f>
        <v>39897</v>
      </c>
      <c r="E2510" s="5">
        <f t="shared" si="41"/>
        <v>2009</v>
      </c>
      <c r="F2510" s="3" t="s">
        <v>573</v>
      </c>
      <c r="G2510" s="6">
        <v>556</v>
      </c>
      <c r="H2510" s="5">
        <v>12244</v>
      </c>
    </row>
    <row r="2511" spans="2:8" ht="17.5" customHeight="1" x14ac:dyDescent="0.4">
      <c r="B2511" s="3" t="s">
        <v>7</v>
      </c>
      <c r="C2511" s="3" t="s">
        <v>572</v>
      </c>
      <c r="D2511" s="4">
        <f>DATE(2009,4,2)</f>
        <v>39905</v>
      </c>
      <c r="E2511" s="5">
        <f t="shared" si="41"/>
        <v>2009</v>
      </c>
      <c r="F2511" s="3" t="s">
        <v>573</v>
      </c>
      <c r="G2511" s="6">
        <v>315</v>
      </c>
      <c r="H2511" s="5">
        <v>12296</v>
      </c>
    </row>
    <row r="2512" spans="2:8" ht="17.5" customHeight="1" x14ac:dyDescent="0.4">
      <c r="B2512" s="3" t="s">
        <v>7</v>
      </c>
      <c r="C2512" s="3" t="s">
        <v>572</v>
      </c>
      <c r="D2512" s="4">
        <f>DATE(2009,6,26)</f>
        <v>39990</v>
      </c>
      <c r="E2512" s="5">
        <f t="shared" si="41"/>
        <v>2009</v>
      </c>
      <c r="F2512" s="3" t="s">
        <v>573</v>
      </c>
      <c r="G2512" s="6">
        <v>510.6</v>
      </c>
      <c r="H2512" s="5">
        <v>12736</v>
      </c>
    </row>
    <row r="2513" spans="2:8" ht="17.5" customHeight="1" x14ac:dyDescent="0.4">
      <c r="B2513" s="3" t="s">
        <v>7</v>
      </c>
      <c r="C2513" s="3" t="s">
        <v>572</v>
      </c>
      <c r="D2513" s="4">
        <f>DATE(2009,11,24)</f>
        <v>40141</v>
      </c>
      <c r="E2513" s="5">
        <f t="shared" si="41"/>
        <v>2009</v>
      </c>
      <c r="F2513" s="3" t="s">
        <v>573</v>
      </c>
      <c r="G2513" s="6">
        <v>98875</v>
      </c>
      <c r="H2513" s="5">
        <v>13096</v>
      </c>
    </row>
    <row r="2514" spans="2:8" ht="17.5" customHeight="1" x14ac:dyDescent="0.4">
      <c r="B2514" s="3" t="s">
        <v>7</v>
      </c>
      <c r="C2514" s="3" t="s">
        <v>572</v>
      </c>
      <c r="D2514" s="4">
        <f>DATE(2010,10,27)</f>
        <v>40478</v>
      </c>
      <c r="E2514" s="5">
        <f t="shared" si="41"/>
        <v>2010</v>
      </c>
      <c r="F2514" s="3" t="s">
        <v>573</v>
      </c>
      <c r="G2514" s="6">
        <v>315</v>
      </c>
      <c r="H2514" s="5">
        <v>14674</v>
      </c>
    </row>
    <row r="2515" spans="2:8" ht="17.5" customHeight="1" x14ac:dyDescent="0.4">
      <c r="B2515" s="3" t="s">
        <v>7</v>
      </c>
      <c r="C2515" s="3" t="s">
        <v>572</v>
      </c>
      <c r="D2515" s="4">
        <f>DATE(2011,3,31)</f>
        <v>40633</v>
      </c>
      <c r="E2515" s="5">
        <f t="shared" si="41"/>
        <v>2011</v>
      </c>
      <c r="F2515" s="3" t="s">
        <v>573</v>
      </c>
      <c r="G2515" s="6">
        <v>630</v>
      </c>
      <c r="H2515" s="5">
        <v>15349</v>
      </c>
    </row>
    <row r="2516" spans="2:8" ht="17.5" customHeight="1" x14ac:dyDescent="0.4">
      <c r="B2516" s="3" t="s">
        <v>7</v>
      </c>
      <c r="C2516" s="3" t="s">
        <v>572</v>
      </c>
      <c r="D2516" s="4">
        <f>DATE(2011,8,1)</f>
        <v>40756</v>
      </c>
      <c r="E2516" s="5">
        <f t="shared" si="41"/>
        <v>2011</v>
      </c>
      <c r="F2516" s="3" t="s">
        <v>573</v>
      </c>
      <c r="G2516" s="6">
        <v>105.64</v>
      </c>
      <c r="H2516" s="5">
        <v>15826</v>
      </c>
    </row>
    <row r="2517" spans="2:8" ht="17.5" customHeight="1" x14ac:dyDescent="0.4">
      <c r="B2517" s="3" t="s">
        <v>7</v>
      </c>
      <c r="C2517" s="3" t="s">
        <v>572</v>
      </c>
      <c r="D2517" s="4">
        <f>DATE(2011,10,6)</f>
        <v>40822</v>
      </c>
      <c r="E2517" s="5">
        <f t="shared" si="41"/>
        <v>2011</v>
      </c>
      <c r="F2517" s="3" t="s">
        <v>573</v>
      </c>
      <c r="G2517" s="6">
        <v>88.96</v>
      </c>
      <c r="H2517" s="5">
        <v>16061</v>
      </c>
    </row>
    <row r="2518" spans="2:8" ht="17.5" customHeight="1" x14ac:dyDescent="0.4">
      <c r="B2518" s="3" t="s">
        <v>7</v>
      </c>
      <c r="C2518" s="3" t="s">
        <v>572</v>
      </c>
      <c r="D2518" s="4">
        <f>DATE(2012,1,27)</f>
        <v>40935</v>
      </c>
      <c r="E2518" s="5">
        <f t="shared" si="41"/>
        <v>2012</v>
      </c>
      <c r="F2518" s="3" t="s">
        <v>573</v>
      </c>
      <c r="G2518" s="6">
        <v>111.2</v>
      </c>
      <c r="H2518" s="5">
        <v>16439</v>
      </c>
    </row>
    <row r="2519" spans="2:8" ht="17.5" customHeight="1" x14ac:dyDescent="0.4">
      <c r="B2519" s="3" t="s">
        <v>7</v>
      </c>
      <c r="C2519" s="3" t="s">
        <v>572</v>
      </c>
      <c r="D2519" s="4">
        <f>DATE(2012,2,20)</f>
        <v>40959</v>
      </c>
      <c r="E2519" s="5">
        <f t="shared" si="41"/>
        <v>2012</v>
      </c>
      <c r="F2519" s="3" t="s">
        <v>573</v>
      </c>
      <c r="G2519" s="6">
        <v>54.48</v>
      </c>
      <c r="H2519" s="5">
        <v>16582</v>
      </c>
    </row>
    <row r="2520" spans="2:8" ht="17.5" customHeight="1" x14ac:dyDescent="0.4">
      <c r="B2520" s="3" t="s">
        <v>7</v>
      </c>
      <c r="C2520" s="3" t="s">
        <v>572</v>
      </c>
      <c r="D2520" s="4">
        <f>DATE(2012,4,2)</f>
        <v>41001</v>
      </c>
      <c r="E2520" s="5">
        <f t="shared" si="41"/>
        <v>2012</v>
      </c>
      <c r="F2520" s="3" t="s">
        <v>573</v>
      </c>
      <c r="G2520" s="6">
        <v>66.72</v>
      </c>
      <c r="H2520" s="5">
        <v>16889</v>
      </c>
    </row>
    <row r="2521" spans="2:8" ht="17.5" customHeight="1" x14ac:dyDescent="0.4">
      <c r="B2521" s="3" t="s">
        <v>7</v>
      </c>
      <c r="C2521" s="3" t="s">
        <v>572</v>
      </c>
      <c r="D2521" s="4">
        <f>DATE(2012,5,3)</f>
        <v>41032</v>
      </c>
      <c r="E2521" s="5">
        <f t="shared" si="41"/>
        <v>2012</v>
      </c>
      <c r="F2521" s="3" t="s">
        <v>573</v>
      </c>
      <c r="G2521" s="6">
        <v>55.6</v>
      </c>
      <c r="H2521" s="5">
        <v>17081</v>
      </c>
    </row>
    <row r="2522" spans="2:8" ht="17.5" customHeight="1" x14ac:dyDescent="0.4">
      <c r="B2522" s="3" t="s">
        <v>7</v>
      </c>
      <c r="C2522" s="3" t="s">
        <v>572</v>
      </c>
      <c r="D2522" s="4">
        <f>DATE(2013,11,7)</f>
        <v>41585</v>
      </c>
      <c r="E2522" s="5">
        <f t="shared" si="41"/>
        <v>2013</v>
      </c>
      <c r="F2522" s="3" t="s">
        <v>573</v>
      </c>
      <c r="G2522" s="6">
        <v>66.72</v>
      </c>
      <c r="H2522" s="5">
        <v>19187</v>
      </c>
    </row>
    <row r="2523" spans="2:8" ht="17.5" customHeight="1" x14ac:dyDescent="0.4">
      <c r="B2523" s="3" t="s">
        <v>7</v>
      </c>
      <c r="C2523" s="3" t="s">
        <v>572</v>
      </c>
      <c r="D2523" s="4">
        <f>DATE(2014,2,14)</f>
        <v>41684</v>
      </c>
      <c r="E2523" s="5">
        <f t="shared" si="41"/>
        <v>2014</v>
      </c>
      <c r="F2523" s="3" t="s">
        <v>573</v>
      </c>
      <c r="G2523" s="6">
        <v>630</v>
      </c>
      <c r="H2523" s="5">
        <v>19420</v>
      </c>
    </row>
    <row r="2524" spans="2:8" ht="17.5" customHeight="1" x14ac:dyDescent="0.4">
      <c r="B2524" s="3" t="s">
        <v>7</v>
      </c>
      <c r="C2524" s="3" t="s">
        <v>572</v>
      </c>
      <c r="D2524" s="4">
        <f>DATE(2003,1,10)</f>
        <v>37631</v>
      </c>
      <c r="E2524" s="5">
        <f t="shared" si="41"/>
        <v>2003</v>
      </c>
      <c r="F2524" s="3" t="s">
        <v>574</v>
      </c>
      <c r="G2524" s="6">
        <v>50</v>
      </c>
      <c r="H2524" s="5">
        <v>28</v>
      </c>
    </row>
    <row r="2525" spans="2:8" ht="17.5" customHeight="1" x14ac:dyDescent="0.4">
      <c r="B2525" s="3" t="s">
        <v>7</v>
      </c>
      <c r="C2525" s="3" t="s">
        <v>572</v>
      </c>
      <c r="D2525" s="4">
        <f>DATE(2006,11,17)</f>
        <v>39038</v>
      </c>
      <c r="E2525" s="5">
        <f t="shared" si="41"/>
        <v>2006</v>
      </c>
      <c r="F2525" s="3" t="s">
        <v>574</v>
      </c>
      <c r="G2525" s="6">
        <v>14262.5</v>
      </c>
      <c r="H2525" s="5">
        <v>7376</v>
      </c>
    </row>
    <row r="2526" spans="2:8" ht="17.5" customHeight="1" x14ac:dyDescent="0.4">
      <c r="B2526" s="3" t="s">
        <v>7</v>
      </c>
      <c r="C2526" s="3" t="s">
        <v>572</v>
      </c>
      <c r="D2526" s="4">
        <f>DATE(2006,12,19)</f>
        <v>39070</v>
      </c>
      <c r="E2526" s="5">
        <f t="shared" si="41"/>
        <v>2006</v>
      </c>
      <c r="F2526" s="3" t="s">
        <v>574</v>
      </c>
      <c r="G2526" s="6">
        <v>86145.5</v>
      </c>
      <c r="H2526" s="5">
        <v>7376</v>
      </c>
    </row>
    <row r="2527" spans="2:8" ht="17.5" customHeight="1" x14ac:dyDescent="0.4">
      <c r="B2527" s="3" t="s">
        <v>7</v>
      </c>
      <c r="C2527" s="3" t="s">
        <v>572</v>
      </c>
      <c r="D2527" s="4">
        <f>DATE(2007,4,11)</f>
        <v>39183</v>
      </c>
      <c r="E2527" s="5">
        <f t="shared" si="41"/>
        <v>2007</v>
      </c>
      <c r="F2527" s="3" t="s">
        <v>574</v>
      </c>
      <c r="G2527" s="6">
        <v>13937.5</v>
      </c>
      <c r="H2527" s="5">
        <v>8136</v>
      </c>
    </row>
    <row r="2528" spans="2:8" ht="17.5" customHeight="1" x14ac:dyDescent="0.4">
      <c r="B2528" s="3" t="s">
        <v>7</v>
      </c>
      <c r="C2528" s="3" t="s">
        <v>575</v>
      </c>
      <c r="D2528" s="4">
        <f>DATE(2005,10,17)</f>
        <v>38642</v>
      </c>
      <c r="E2528" s="5">
        <f t="shared" si="41"/>
        <v>2005</v>
      </c>
      <c r="F2528" s="3" t="s">
        <v>576</v>
      </c>
      <c r="G2528" s="6">
        <v>81.510000000000005</v>
      </c>
      <c r="H2528" s="5">
        <v>5451</v>
      </c>
    </row>
    <row r="2529" spans="2:8" ht="17.5" customHeight="1" x14ac:dyDescent="0.4">
      <c r="B2529" t="s">
        <v>7</v>
      </c>
      <c r="C2529" t="s">
        <v>577</v>
      </c>
      <c r="D2529" s="7">
        <f>DATE(2007,9,9)</f>
        <v>39334</v>
      </c>
      <c r="E2529" s="8">
        <f t="shared" si="41"/>
        <v>2007</v>
      </c>
      <c r="F2529" t="s">
        <v>578</v>
      </c>
      <c r="G2529" s="9">
        <v>18887</v>
      </c>
      <c r="H2529" s="8">
        <v>6349</v>
      </c>
    </row>
    <row r="2530" spans="2:8" ht="17.5" customHeight="1" x14ac:dyDescent="0.4">
      <c r="B2530" t="s">
        <v>7</v>
      </c>
      <c r="C2530" t="s">
        <v>577</v>
      </c>
      <c r="D2530" s="7">
        <f>DATE(2008,8,1)</f>
        <v>39661</v>
      </c>
      <c r="E2530" s="8">
        <f t="shared" si="41"/>
        <v>2008</v>
      </c>
      <c r="F2530" t="s">
        <v>578</v>
      </c>
      <c r="G2530" s="9">
        <v>20500</v>
      </c>
      <c r="H2530" s="8">
        <v>7655</v>
      </c>
    </row>
    <row r="2531" spans="2:8" ht="17.5" customHeight="1" x14ac:dyDescent="0.4">
      <c r="B2531" t="s">
        <v>7</v>
      </c>
      <c r="C2531" t="s">
        <v>577</v>
      </c>
      <c r="D2531" s="7">
        <f>DATE(2004,4,21)</f>
        <v>38098</v>
      </c>
      <c r="E2531" s="8">
        <f t="shared" si="41"/>
        <v>2004</v>
      </c>
      <c r="F2531" t="s">
        <v>579</v>
      </c>
      <c r="G2531" s="9">
        <v>8900</v>
      </c>
      <c r="H2531" s="8">
        <v>1660</v>
      </c>
    </row>
    <row r="2532" spans="2:8" ht="17.5" customHeight="1" x14ac:dyDescent="0.4">
      <c r="B2532" t="s">
        <v>7</v>
      </c>
      <c r="C2532" t="s">
        <v>577</v>
      </c>
      <c r="D2532" s="7">
        <f>DATE(2004,5,26)</f>
        <v>38133</v>
      </c>
      <c r="E2532" s="8">
        <f t="shared" si="41"/>
        <v>2004</v>
      </c>
      <c r="F2532" t="s">
        <v>579</v>
      </c>
      <c r="G2532" s="9">
        <v>8900</v>
      </c>
      <c r="H2532" s="8">
        <v>1705</v>
      </c>
    </row>
    <row r="2533" spans="2:8" ht="17.5" customHeight="1" x14ac:dyDescent="0.4">
      <c r="B2533" t="s">
        <v>7</v>
      </c>
      <c r="C2533" t="s">
        <v>577</v>
      </c>
      <c r="D2533" s="7">
        <f>DATE(2006,4,30)</f>
        <v>38837</v>
      </c>
      <c r="E2533" s="8">
        <f t="shared" si="41"/>
        <v>2006</v>
      </c>
      <c r="F2533" t="s">
        <v>579</v>
      </c>
      <c r="G2533" s="9">
        <v>27940</v>
      </c>
      <c r="H2533" s="8">
        <v>4053</v>
      </c>
    </row>
    <row r="2534" spans="2:8" ht="17.5" customHeight="1" x14ac:dyDescent="0.4">
      <c r="B2534" t="s">
        <v>7</v>
      </c>
      <c r="C2534" t="s">
        <v>577</v>
      </c>
      <c r="D2534" s="7">
        <f>DATE(2007,5,28)</f>
        <v>39230</v>
      </c>
      <c r="E2534" s="8">
        <f t="shared" si="41"/>
        <v>2007</v>
      </c>
      <c r="F2534" t="s">
        <v>579</v>
      </c>
      <c r="G2534" s="9">
        <v>16844</v>
      </c>
      <c r="H2534" s="8">
        <v>5700</v>
      </c>
    </row>
    <row r="2535" spans="2:8" ht="17.5" customHeight="1" x14ac:dyDescent="0.4">
      <c r="B2535" s="3" t="s">
        <v>7</v>
      </c>
      <c r="C2535" s="3" t="s">
        <v>577</v>
      </c>
      <c r="D2535" s="4">
        <f>DATE(2005,3,8)</f>
        <v>38419</v>
      </c>
      <c r="E2535" s="5">
        <f t="shared" si="41"/>
        <v>2005</v>
      </c>
      <c r="F2535" s="3" t="s">
        <v>579</v>
      </c>
      <c r="G2535" s="6">
        <v>234.5</v>
      </c>
      <c r="H2535" s="5">
        <v>4271</v>
      </c>
    </row>
    <row r="2536" spans="2:8" ht="17.5" customHeight="1" x14ac:dyDescent="0.4">
      <c r="B2536" t="s">
        <v>7</v>
      </c>
      <c r="C2536" t="s">
        <v>580</v>
      </c>
      <c r="D2536" s="7">
        <f>DATE(2012,9,4)</f>
        <v>41156</v>
      </c>
      <c r="E2536" s="8">
        <f t="shared" si="41"/>
        <v>2012</v>
      </c>
      <c r="F2536" t="s">
        <v>581</v>
      </c>
      <c r="G2536" s="9">
        <v>16476.77</v>
      </c>
      <c r="H2536" s="8">
        <v>11801</v>
      </c>
    </row>
    <row r="2537" spans="2:8" ht="17.5" customHeight="1" x14ac:dyDescent="0.4">
      <c r="B2537" t="s">
        <v>7</v>
      </c>
      <c r="C2537" t="s">
        <v>580</v>
      </c>
      <c r="D2537" s="7">
        <f>DATE(2012,11,7)</f>
        <v>41220</v>
      </c>
      <c r="E2537" s="8">
        <f t="shared" si="41"/>
        <v>2012</v>
      </c>
      <c r="F2537" t="s">
        <v>581</v>
      </c>
      <c r="G2537" s="9">
        <v>14843.7</v>
      </c>
      <c r="H2537" s="8">
        <v>11917</v>
      </c>
    </row>
    <row r="2538" spans="2:8" ht="17.5" customHeight="1" x14ac:dyDescent="0.4">
      <c r="B2538" t="s">
        <v>7</v>
      </c>
      <c r="C2538" t="s">
        <v>580</v>
      </c>
      <c r="D2538" s="7">
        <f>DATE(2012,11,7)</f>
        <v>41220</v>
      </c>
      <c r="E2538" s="8">
        <f t="shared" si="41"/>
        <v>2012</v>
      </c>
      <c r="F2538" t="s">
        <v>581</v>
      </c>
      <c r="G2538" s="9">
        <v>4262.76</v>
      </c>
      <c r="H2538" s="8">
        <v>11916</v>
      </c>
    </row>
    <row r="2539" spans="2:8" ht="17.5" customHeight="1" x14ac:dyDescent="0.4">
      <c r="B2539" t="s">
        <v>7</v>
      </c>
      <c r="C2539" t="s">
        <v>582</v>
      </c>
      <c r="D2539" s="7">
        <f>DATE(2015,12,1)</f>
        <v>42339</v>
      </c>
      <c r="E2539" s="8">
        <f t="shared" si="41"/>
        <v>2015</v>
      </c>
      <c r="F2539" t="s">
        <v>583</v>
      </c>
      <c r="G2539" s="9">
        <v>13127.5</v>
      </c>
      <c r="H2539" s="8">
        <v>21564</v>
      </c>
    </row>
    <row r="2540" spans="2:8" ht="17.5" customHeight="1" x14ac:dyDescent="0.4">
      <c r="B2540" t="s">
        <v>7</v>
      </c>
      <c r="C2540" t="s">
        <v>582</v>
      </c>
      <c r="D2540" s="7">
        <f>DATE(2013,4,1)</f>
        <v>41365</v>
      </c>
      <c r="E2540" s="8">
        <f t="shared" si="41"/>
        <v>2013</v>
      </c>
      <c r="F2540" t="s">
        <v>583</v>
      </c>
      <c r="G2540" s="9">
        <v>1025</v>
      </c>
      <c r="H2540" s="8">
        <v>12352</v>
      </c>
    </row>
    <row r="2541" spans="2:8" ht="17.5" customHeight="1" x14ac:dyDescent="0.4">
      <c r="B2541" t="s">
        <v>7</v>
      </c>
      <c r="C2541" t="s">
        <v>582</v>
      </c>
      <c r="D2541" s="7">
        <f>DATE(2003,9,10)</f>
        <v>37874</v>
      </c>
      <c r="E2541" s="8">
        <f t="shared" si="41"/>
        <v>2003</v>
      </c>
      <c r="F2541" t="s">
        <v>584</v>
      </c>
      <c r="G2541" s="9">
        <v>5457.38</v>
      </c>
      <c r="H2541" s="8">
        <v>859</v>
      </c>
    </row>
    <row r="2542" spans="2:8" ht="17.5" customHeight="1" x14ac:dyDescent="0.4">
      <c r="B2542" t="s">
        <v>7</v>
      </c>
      <c r="C2542" t="s">
        <v>585</v>
      </c>
      <c r="D2542" s="7">
        <f>DATE(2018,11,8)</f>
        <v>43412</v>
      </c>
      <c r="E2542" s="8">
        <f t="shared" si="41"/>
        <v>2018</v>
      </c>
      <c r="F2542" t="s">
        <v>586</v>
      </c>
      <c r="G2542" s="9">
        <v>3007.48</v>
      </c>
      <c r="H2542" s="8">
        <v>27834</v>
      </c>
    </row>
    <row r="2543" spans="2:8" ht="17.5" customHeight="1" x14ac:dyDescent="0.4">
      <c r="B2543" t="s">
        <v>7</v>
      </c>
      <c r="C2543" t="s">
        <v>585</v>
      </c>
      <c r="D2543" s="7">
        <f>DATE(2018,11,8)</f>
        <v>43412</v>
      </c>
      <c r="E2543" s="8">
        <f t="shared" si="41"/>
        <v>2018</v>
      </c>
      <c r="F2543" t="s">
        <v>586</v>
      </c>
      <c r="G2543" s="9">
        <v>10108.799999999999</v>
      </c>
      <c r="H2543" s="8">
        <v>27835</v>
      </c>
    </row>
    <row r="2544" spans="2:8" ht="17.5" customHeight="1" x14ac:dyDescent="0.4">
      <c r="B2544" t="s">
        <v>7</v>
      </c>
      <c r="C2544" t="s">
        <v>587</v>
      </c>
      <c r="D2544" s="7">
        <f>DATE(2015,1,28)</f>
        <v>42032</v>
      </c>
      <c r="E2544" s="8">
        <f t="shared" si="41"/>
        <v>2015</v>
      </c>
      <c r="F2544" t="s">
        <v>588</v>
      </c>
      <c r="G2544" s="9">
        <v>14760</v>
      </c>
      <c r="H2544" s="8">
        <v>293</v>
      </c>
    </row>
    <row r="2545" spans="2:8" ht="17.5" customHeight="1" x14ac:dyDescent="0.4">
      <c r="B2545" t="s">
        <v>7</v>
      </c>
      <c r="C2545" t="s">
        <v>587</v>
      </c>
      <c r="D2545" s="7">
        <f>DATE(2016,3,23)</f>
        <v>42452</v>
      </c>
      <c r="E2545" s="8">
        <f t="shared" si="41"/>
        <v>2016</v>
      </c>
      <c r="F2545" t="s">
        <v>588</v>
      </c>
      <c r="G2545" s="9">
        <v>18040</v>
      </c>
      <c r="H2545" s="8">
        <v>22456</v>
      </c>
    </row>
    <row r="2546" spans="2:8" ht="17.5" customHeight="1" x14ac:dyDescent="0.4">
      <c r="B2546" t="s">
        <v>7</v>
      </c>
      <c r="C2546" t="s">
        <v>587</v>
      </c>
      <c r="D2546" s="7">
        <f>DATE(2017,7,31)</f>
        <v>42947</v>
      </c>
      <c r="E2546" s="8">
        <f t="shared" si="41"/>
        <v>2017</v>
      </c>
      <c r="F2546" t="s">
        <v>588</v>
      </c>
      <c r="G2546" s="9">
        <v>1640</v>
      </c>
      <c r="H2546" s="8">
        <v>25273</v>
      </c>
    </row>
    <row r="2547" spans="2:8" ht="17.5" customHeight="1" x14ac:dyDescent="0.4">
      <c r="B2547" t="s">
        <v>7</v>
      </c>
      <c r="C2547" t="s">
        <v>587</v>
      </c>
      <c r="D2547" s="7">
        <f>DATE(2018,2,6)</f>
        <v>43137</v>
      </c>
      <c r="E2547" s="8">
        <f t="shared" si="41"/>
        <v>2018</v>
      </c>
      <c r="F2547" t="s">
        <v>588</v>
      </c>
      <c r="G2547" s="9">
        <v>7380</v>
      </c>
      <c r="H2547" s="8">
        <v>26391</v>
      </c>
    </row>
    <row r="2548" spans="2:8" ht="17.5" customHeight="1" x14ac:dyDescent="0.4">
      <c r="B2548" t="s">
        <v>7</v>
      </c>
      <c r="C2548" t="s">
        <v>587</v>
      </c>
      <c r="D2548" s="7">
        <f>DATE(2018,3,16)</f>
        <v>43175</v>
      </c>
      <c r="E2548" s="8">
        <f t="shared" si="41"/>
        <v>2018</v>
      </c>
      <c r="F2548" t="s">
        <v>588</v>
      </c>
      <c r="G2548" s="9">
        <v>14760</v>
      </c>
      <c r="H2548" s="8">
        <v>26654</v>
      </c>
    </row>
    <row r="2549" spans="2:8" ht="17.5" customHeight="1" x14ac:dyDescent="0.4">
      <c r="B2549" t="s">
        <v>7</v>
      </c>
      <c r="C2549" t="s">
        <v>587</v>
      </c>
      <c r="D2549" s="7">
        <f>DATE(2018,4,11)</f>
        <v>43201</v>
      </c>
      <c r="E2549" s="8">
        <f t="shared" si="41"/>
        <v>2018</v>
      </c>
      <c r="F2549" t="s">
        <v>588</v>
      </c>
      <c r="G2549" s="9">
        <v>1640</v>
      </c>
      <c r="H2549" s="8">
        <v>26803</v>
      </c>
    </row>
    <row r="2550" spans="2:8" ht="17.5" customHeight="1" x14ac:dyDescent="0.4">
      <c r="B2550" t="s">
        <v>7</v>
      </c>
      <c r="C2550" t="s">
        <v>587</v>
      </c>
      <c r="D2550" s="7">
        <f>DATE(2018,9,24)</f>
        <v>43367</v>
      </c>
      <c r="E2550" s="8">
        <f t="shared" si="41"/>
        <v>2018</v>
      </c>
      <c r="F2550" t="s">
        <v>588</v>
      </c>
      <c r="G2550" s="9">
        <v>17220</v>
      </c>
      <c r="H2550" s="8">
        <v>27678</v>
      </c>
    </row>
    <row r="2551" spans="2:8" ht="17.5" customHeight="1" x14ac:dyDescent="0.4">
      <c r="B2551" t="s">
        <v>7</v>
      </c>
      <c r="C2551" t="s">
        <v>587</v>
      </c>
      <c r="D2551" s="7">
        <f>DATE(2019,3,19)</f>
        <v>43543</v>
      </c>
      <c r="E2551" s="8">
        <f t="shared" si="41"/>
        <v>2019</v>
      </c>
      <c r="F2551" t="s">
        <v>588</v>
      </c>
      <c r="G2551" s="9">
        <v>16400</v>
      </c>
      <c r="H2551" s="8">
        <v>28634</v>
      </c>
    </row>
    <row r="2552" spans="2:8" ht="17.5" customHeight="1" x14ac:dyDescent="0.4">
      <c r="B2552" t="s">
        <v>7</v>
      </c>
      <c r="C2552" t="s">
        <v>587</v>
      </c>
      <c r="D2552" s="7">
        <f>DATE(2004,7,7)</f>
        <v>38175</v>
      </c>
      <c r="E2552" s="8">
        <f t="shared" si="41"/>
        <v>2004</v>
      </c>
      <c r="F2552" t="s">
        <v>588</v>
      </c>
      <c r="G2552" s="9">
        <v>81478</v>
      </c>
      <c r="H2552" s="8">
        <v>1941</v>
      </c>
    </row>
    <row r="2553" spans="2:8" ht="17.5" customHeight="1" x14ac:dyDescent="0.4">
      <c r="B2553" t="s">
        <v>7</v>
      </c>
      <c r="C2553" t="s">
        <v>587</v>
      </c>
      <c r="D2553" s="7">
        <f>DATE(2014,5,13)</f>
        <v>41772</v>
      </c>
      <c r="E2553" s="8">
        <f t="shared" si="41"/>
        <v>2014</v>
      </c>
      <c r="F2553" t="s">
        <v>588</v>
      </c>
      <c r="G2553" s="9">
        <v>27113.759999999998</v>
      </c>
      <c r="H2553" s="8">
        <v>13075</v>
      </c>
    </row>
    <row r="2554" spans="2:8" ht="17.5" customHeight="1" x14ac:dyDescent="0.4">
      <c r="B2554" s="3" t="s">
        <v>7</v>
      </c>
      <c r="C2554" s="3" t="s">
        <v>587</v>
      </c>
      <c r="D2554" s="4">
        <f>DATE(2004,12,10)</f>
        <v>38331</v>
      </c>
      <c r="E2554" s="5">
        <f t="shared" si="41"/>
        <v>2004</v>
      </c>
      <c r="F2554" s="3" t="s">
        <v>588</v>
      </c>
      <c r="G2554" s="6">
        <v>5509</v>
      </c>
      <c r="H2554" s="5">
        <v>3814</v>
      </c>
    </row>
    <row r="2555" spans="2:8" ht="17.5" customHeight="1" x14ac:dyDescent="0.4">
      <c r="B2555" s="3" t="s">
        <v>7</v>
      </c>
      <c r="C2555" s="3" t="s">
        <v>587</v>
      </c>
      <c r="D2555" s="4">
        <f>DATE(2006,2,28)</f>
        <v>38776</v>
      </c>
      <c r="E2555" s="5">
        <f t="shared" si="41"/>
        <v>2006</v>
      </c>
      <c r="F2555" s="3" t="s">
        <v>588</v>
      </c>
      <c r="G2555" s="6">
        <v>37.5</v>
      </c>
      <c r="H2555" s="5">
        <v>6171</v>
      </c>
    </row>
    <row r="2556" spans="2:8" ht="17.5" customHeight="1" x14ac:dyDescent="0.4">
      <c r="B2556" s="3" t="s">
        <v>7</v>
      </c>
      <c r="C2556" s="3" t="s">
        <v>587</v>
      </c>
      <c r="D2556" s="4">
        <f>DATE(2006,3,2)</f>
        <v>38778</v>
      </c>
      <c r="E2556" s="5">
        <f t="shared" si="41"/>
        <v>2006</v>
      </c>
      <c r="F2556" s="3" t="s">
        <v>588</v>
      </c>
      <c r="G2556" s="6">
        <v>5776.03</v>
      </c>
      <c r="H2556" s="5">
        <v>6194</v>
      </c>
    </row>
    <row r="2557" spans="2:8" ht="17.5" customHeight="1" x14ac:dyDescent="0.4">
      <c r="B2557" s="3" t="s">
        <v>7</v>
      </c>
      <c r="C2557" s="3" t="s">
        <v>587</v>
      </c>
      <c r="D2557" s="4">
        <f>DATE(2007,2,9)</f>
        <v>39122</v>
      </c>
      <c r="E2557" s="5">
        <f t="shared" si="41"/>
        <v>2007</v>
      </c>
      <c r="F2557" s="3" t="s">
        <v>588</v>
      </c>
      <c r="G2557" s="6">
        <v>5794.06</v>
      </c>
      <c r="H2557" s="5">
        <v>7924</v>
      </c>
    </row>
    <row r="2558" spans="2:8" ht="17.5" customHeight="1" x14ac:dyDescent="0.4">
      <c r="B2558" s="3" t="s">
        <v>7</v>
      </c>
      <c r="C2558" s="3" t="s">
        <v>587</v>
      </c>
      <c r="D2558" s="4">
        <f>DATE(2007,2,14)</f>
        <v>39127</v>
      </c>
      <c r="E2558" s="5">
        <f t="shared" si="41"/>
        <v>2007</v>
      </c>
      <c r="F2558" s="3" t="s">
        <v>588</v>
      </c>
      <c r="G2558" s="6">
        <v>53.25</v>
      </c>
      <c r="H2558" s="5">
        <v>7946</v>
      </c>
    </row>
    <row r="2559" spans="2:8" ht="17.5" customHeight="1" x14ac:dyDescent="0.4">
      <c r="B2559" s="3" t="s">
        <v>7</v>
      </c>
      <c r="C2559" s="3" t="s">
        <v>587</v>
      </c>
      <c r="D2559" s="4">
        <f>DATE(2007,3,5)</f>
        <v>39146</v>
      </c>
      <c r="E2559" s="5">
        <f t="shared" si="41"/>
        <v>2007</v>
      </c>
      <c r="F2559" s="3" t="s">
        <v>588</v>
      </c>
      <c r="G2559" s="6">
        <v>154</v>
      </c>
      <c r="H2559" s="5">
        <v>8056</v>
      </c>
    </row>
    <row r="2560" spans="2:8" ht="17.5" customHeight="1" x14ac:dyDescent="0.4">
      <c r="B2560" s="3" t="s">
        <v>7</v>
      </c>
      <c r="C2560" s="3" t="s">
        <v>587</v>
      </c>
      <c r="D2560" s="4">
        <f>DATE(2008,1,21)</f>
        <v>39468</v>
      </c>
      <c r="E2560" s="5">
        <f t="shared" si="41"/>
        <v>2008</v>
      </c>
      <c r="F2560" s="3" t="s">
        <v>588</v>
      </c>
      <c r="G2560" s="6">
        <v>20348.03</v>
      </c>
      <c r="H2560" s="5">
        <v>9741</v>
      </c>
    </row>
    <row r="2561" spans="2:8" ht="17.5" customHeight="1" x14ac:dyDescent="0.4">
      <c r="B2561" s="3" t="s">
        <v>7</v>
      </c>
      <c r="C2561" s="3" t="s">
        <v>587</v>
      </c>
      <c r="D2561" s="4">
        <f>DATE(2008,3,11)</f>
        <v>39518</v>
      </c>
      <c r="E2561" s="5">
        <f t="shared" si="41"/>
        <v>2008</v>
      </c>
      <c r="F2561" s="3" t="s">
        <v>588</v>
      </c>
      <c r="G2561" s="6">
        <v>829</v>
      </c>
      <c r="H2561" s="5">
        <v>10167</v>
      </c>
    </row>
    <row r="2562" spans="2:8" ht="17.5" customHeight="1" x14ac:dyDescent="0.4">
      <c r="B2562" s="3" t="s">
        <v>7</v>
      </c>
      <c r="C2562" s="3" t="s">
        <v>587</v>
      </c>
      <c r="D2562" s="4">
        <f>DATE(2009,5,19)</f>
        <v>39952</v>
      </c>
      <c r="E2562" s="5">
        <f t="shared" si="41"/>
        <v>2009</v>
      </c>
      <c r="F2562" s="3" t="s">
        <v>588</v>
      </c>
      <c r="G2562" s="6">
        <v>829</v>
      </c>
      <c r="H2562" s="5">
        <v>12572</v>
      </c>
    </row>
    <row r="2563" spans="2:8" ht="17.5" customHeight="1" x14ac:dyDescent="0.4">
      <c r="B2563" s="3" t="s">
        <v>7</v>
      </c>
      <c r="C2563" s="3" t="s">
        <v>587</v>
      </c>
      <c r="D2563" s="4">
        <f>DATE(2010,1,4)</f>
        <v>40182</v>
      </c>
      <c r="E2563" s="5">
        <f t="shared" ref="E2563:E2626" si="42">YEAR(D2563)</f>
        <v>2010</v>
      </c>
      <c r="F2563" s="3" t="s">
        <v>588</v>
      </c>
      <c r="G2563" s="6">
        <v>1383</v>
      </c>
      <c r="H2563" s="5">
        <v>13385</v>
      </c>
    </row>
    <row r="2564" spans="2:8" ht="17.5" customHeight="1" x14ac:dyDescent="0.4">
      <c r="B2564" s="3" t="s">
        <v>7</v>
      </c>
      <c r="C2564" s="3" t="s">
        <v>587</v>
      </c>
      <c r="D2564" s="4">
        <f>DATE(2010,2,19)</f>
        <v>40228</v>
      </c>
      <c r="E2564" s="5">
        <f t="shared" si="42"/>
        <v>2010</v>
      </c>
      <c r="F2564" s="3" t="s">
        <v>588</v>
      </c>
      <c r="G2564" s="6">
        <v>5785.3</v>
      </c>
      <c r="H2564" s="5">
        <v>13639</v>
      </c>
    </row>
    <row r="2565" spans="2:8" ht="17.5" customHeight="1" x14ac:dyDescent="0.4">
      <c r="B2565" s="3" t="s">
        <v>7</v>
      </c>
      <c r="C2565" s="3" t="s">
        <v>587</v>
      </c>
      <c r="D2565" s="4">
        <f>DATE(2010,2,25)</f>
        <v>40234</v>
      </c>
      <c r="E2565" s="5">
        <f t="shared" si="42"/>
        <v>2010</v>
      </c>
      <c r="F2565" s="3" t="s">
        <v>588</v>
      </c>
      <c r="G2565" s="6">
        <v>10728.88</v>
      </c>
      <c r="H2565" s="5">
        <v>13662</v>
      </c>
    </row>
    <row r="2566" spans="2:8" ht="17.5" customHeight="1" x14ac:dyDescent="0.4">
      <c r="B2566" s="3" t="s">
        <v>7</v>
      </c>
      <c r="C2566" s="3" t="s">
        <v>587</v>
      </c>
      <c r="D2566" s="4">
        <f>DATE(2010,4,8)</f>
        <v>40276</v>
      </c>
      <c r="E2566" s="5">
        <f t="shared" si="42"/>
        <v>2010</v>
      </c>
      <c r="F2566" s="3" t="s">
        <v>588</v>
      </c>
      <c r="G2566" s="6">
        <v>830</v>
      </c>
      <c r="H2566" s="5">
        <v>13870</v>
      </c>
    </row>
    <row r="2567" spans="2:8" ht="17.5" customHeight="1" x14ac:dyDescent="0.4">
      <c r="B2567" s="3" t="s">
        <v>7</v>
      </c>
      <c r="C2567" s="3" t="s">
        <v>587</v>
      </c>
      <c r="D2567" s="4">
        <f>DATE(2011,3,2)</f>
        <v>40604</v>
      </c>
      <c r="E2567" s="5">
        <f t="shared" si="42"/>
        <v>2011</v>
      </c>
      <c r="F2567" s="3" t="s">
        <v>588</v>
      </c>
      <c r="G2567" s="6">
        <v>1656</v>
      </c>
      <c r="H2567" s="5">
        <v>15181</v>
      </c>
    </row>
    <row r="2568" spans="2:8" ht="17.5" customHeight="1" x14ac:dyDescent="0.4">
      <c r="B2568" s="3" t="s">
        <v>7</v>
      </c>
      <c r="C2568" s="3" t="s">
        <v>587</v>
      </c>
      <c r="D2568" s="4">
        <f>DATE(2011,5,17)</f>
        <v>40680</v>
      </c>
      <c r="E2568" s="5">
        <f t="shared" si="42"/>
        <v>2011</v>
      </c>
      <c r="F2568" s="3" t="s">
        <v>588</v>
      </c>
      <c r="G2568" s="6">
        <v>831</v>
      </c>
      <c r="H2568" s="5">
        <v>15588</v>
      </c>
    </row>
    <row r="2569" spans="2:8" ht="17.5" customHeight="1" x14ac:dyDescent="0.4">
      <c r="B2569" s="3" t="s">
        <v>7</v>
      </c>
      <c r="C2569" s="3" t="s">
        <v>587</v>
      </c>
      <c r="D2569" s="4">
        <f>DATE(2011,5,25)</f>
        <v>40688</v>
      </c>
      <c r="E2569" s="5">
        <f t="shared" si="42"/>
        <v>2011</v>
      </c>
      <c r="F2569" s="3" t="s">
        <v>588</v>
      </c>
      <c r="G2569" s="6">
        <v>20500</v>
      </c>
      <c r="H2569" s="5">
        <v>15562</v>
      </c>
    </row>
    <row r="2570" spans="2:8" ht="17.5" customHeight="1" x14ac:dyDescent="0.4">
      <c r="B2570" s="3" t="s">
        <v>7</v>
      </c>
      <c r="C2570" s="3" t="s">
        <v>587</v>
      </c>
      <c r="D2570" s="4">
        <f>DATE(2014,6,16)</f>
        <v>41806</v>
      </c>
      <c r="E2570" s="5">
        <f t="shared" si="42"/>
        <v>2014</v>
      </c>
      <c r="F2570" s="3" t="s">
        <v>588</v>
      </c>
      <c r="G2570" s="6">
        <v>1640</v>
      </c>
      <c r="H2570" s="5">
        <v>20070</v>
      </c>
    </row>
    <row r="2571" spans="2:8" ht="17.5" customHeight="1" x14ac:dyDescent="0.4">
      <c r="B2571" s="3" t="s">
        <v>16</v>
      </c>
      <c r="C2571" s="3" t="s">
        <v>587</v>
      </c>
      <c r="D2571" s="4">
        <f>DATE(2010,3,16)</f>
        <v>40253</v>
      </c>
      <c r="E2571" s="5">
        <f t="shared" si="42"/>
        <v>2010</v>
      </c>
      <c r="F2571" s="3" t="s">
        <v>588</v>
      </c>
      <c r="G2571" s="6">
        <v>5785.3</v>
      </c>
      <c r="H2571" s="5">
        <v>13752</v>
      </c>
    </row>
    <row r="2572" spans="2:8" ht="17.5" customHeight="1" x14ac:dyDescent="0.4">
      <c r="B2572" s="3" t="s">
        <v>16</v>
      </c>
      <c r="C2572" s="3" t="s">
        <v>587</v>
      </c>
      <c r="D2572" s="4">
        <f>DATE(2014,6,11)</f>
        <v>41801</v>
      </c>
      <c r="E2572" s="5">
        <f t="shared" si="42"/>
        <v>2014</v>
      </c>
      <c r="F2572" s="3" t="s">
        <v>588</v>
      </c>
      <c r="G2572" s="6">
        <v>1640</v>
      </c>
      <c r="H2572" s="5">
        <v>20069</v>
      </c>
    </row>
    <row r="2573" spans="2:8" ht="17.5" customHeight="1" x14ac:dyDescent="0.4">
      <c r="B2573" s="3" t="s">
        <v>7</v>
      </c>
      <c r="C2573" s="3" t="s">
        <v>587</v>
      </c>
      <c r="D2573" s="4">
        <f>DATE(2003,2,4)</f>
        <v>37656</v>
      </c>
      <c r="E2573" s="5">
        <f t="shared" si="42"/>
        <v>2003</v>
      </c>
      <c r="F2573" s="3" t="s">
        <v>589</v>
      </c>
      <c r="G2573" s="6">
        <v>787</v>
      </c>
      <c r="H2573" s="5">
        <v>174</v>
      </c>
    </row>
    <row r="2574" spans="2:8" ht="17.5" customHeight="1" x14ac:dyDescent="0.4">
      <c r="B2574" s="3" t="s">
        <v>7</v>
      </c>
      <c r="C2574" s="3" t="s">
        <v>587</v>
      </c>
      <c r="D2574" s="4">
        <f>DATE(2004,5,28)</f>
        <v>38135</v>
      </c>
      <c r="E2574" s="5">
        <f t="shared" si="42"/>
        <v>2004</v>
      </c>
      <c r="F2574" s="3" t="s">
        <v>589</v>
      </c>
      <c r="G2574" s="6">
        <v>788</v>
      </c>
      <c r="H2574" s="5">
        <v>2965</v>
      </c>
    </row>
    <row r="2575" spans="2:8" ht="17.5" customHeight="1" x14ac:dyDescent="0.4">
      <c r="B2575" s="3" t="s">
        <v>7</v>
      </c>
      <c r="C2575" s="3" t="s">
        <v>590</v>
      </c>
      <c r="D2575" s="4">
        <f>DATE(2004,2,13)</f>
        <v>38030</v>
      </c>
      <c r="E2575" s="5">
        <f t="shared" si="42"/>
        <v>2004</v>
      </c>
      <c r="F2575" s="3" t="s">
        <v>591</v>
      </c>
      <c r="G2575" s="6">
        <v>1122</v>
      </c>
      <c r="H2575" s="5">
        <v>2179</v>
      </c>
    </row>
    <row r="2576" spans="2:8" ht="17.5" customHeight="1" x14ac:dyDescent="0.4">
      <c r="B2576" s="3" t="s">
        <v>7</v>
      </c>
      <c r="C2576" s="3" t="s">
        <v>592</v>
      </c>
      <c r="D2576" s="4">
        <f>DATE(2009,4,2)</f>
        <v>39905</v>
      </c>
      <c r="E2576" s="5">
        <f t="shared" si="42"/>
        <v>2009</v>
      </c>
      <c r="F2576" s="3" t="s">
        <v>593</v>
      </c>
      <c r="G2576" s="6">
        <v>1555.03</v>
      </c>
      <c r="H2576" s="5">
        <v>12171</v>
      </c>
    </row>
    <row r="2577" spans="2:8" ht="17.5" customHeight="1" x14ac:dyDescent="0.4">
      <c r="B2577" t="s">
        <v>7</v>
      </c>
      <c r="C2577" t="s">
        <v>594</v>
      </c>
      <c r="D2577" s="7">
        <f>DATE(2009,6,11)</f>
        <v>39975</v>
      </c>
      <c r="E2577" s="8">
        <f t="shared" si="42"/>
        <v>2009</v>
      </c>
      <c r="F2577" t="s">
        <v>595</v>
      </c>
      <c r="G2577" s="9">
        <v>4461.8100000000004</v>
      </c>
      <c r="H2577" s="8">
        <v>8769</v>
      </c>
    </row>
    <row r="2578" spans="2:8" ht="17.5" customHeight="1" x14ac:dyDescent="0.4">
      <c r="B2578" t="s">
        <v>7</v>
      </c>
      <c r="C2578" t="s">
        <v>596</v>
      </c>
      <c r="D2578" s="7">
        <f>DATE(2011,10,6)</f>
        <v>40822</v>
      </c>
      <c r="E2578" s="8">
        <f t="shared" si="42"/>
        <v>2011</v>
      </c>
      <c r="F2578" t="s">
        <v>597</v>
      </c>
      <c r="G2578" s="9">
        <v>6238</v>
      </c>
      <c r="H2578" s="8">
        <v>10975</v>
      </c>
    </row>
    <row r="2579" spans="2:8" ht="17.5" customHeight="1" x14ac:dyDescent="0.4">
      <c r="B2579" t="s">
        <v>7</v>
      </c>
      <c r="C2579" t="s">
        <v>596</v>
      </c>
      <c r="D2579" s="7">
        <f>DATE(2011,10,6)</f>
        <v>40822</v>
      </c>
      <c r="E2579" s="8">
        <f t="shared" si="42"/>
        <v>2011</v>
      </c>
      <c r="F2579" t="s">
        <v>597</v>
      </c>
      <c r="G2579" s="9">
        <v>15536.43</v>
      </c>
      <c r="H2579" s="8">
        <v>10974</v>
      </c>
    </row>
    <row r="2580" spans="2:8" ht="17.5" customHeight="1" x14ac:dyDescent="0.4">
      <c r="B2580" t="s">
        <v>7</v>
      </c>
      <c r="C2580" t="s">
        <v>598</v>
      </c>
      <c r="D2580" s="7">
        <f>DATE(2015,11,19)</f>
        <v>42327</v>
      </c>
      <c r="E2580" s="8">
        <f t="shared" si="42"/>
        <v>2015</v>
      </c>
      <c r="F2580" t="s">
        <v>599</v>
      </c>
      <c r="G2580" s="9">
        <v>298541</v>
      </c>
      <c r="H2580" s="8">
        <v>20640</v>
      </c>
    </row>
    <row r="2581" spans="2:8" ht="17.5" customHeight="1" x14ac:dyDescent="0.4">
      <c r="B2581" t="s">
        <v>7</v>
      </c>
      <c r="C2581" t="s">
        <v>598</v>
      </c>
      <c r="D2581" s="7">
        <f>DATE(2016,5,12)</f>
        <v>42502</v>
      </c>
      <c r="E2581" s="8">
        <f t="shared" si="42"/>
        <v>2016</v>
      </c>
      <c r="F2581" t="s">
        <v>599</v>
      </c>
      <c r="G2581" s="9">
        <v>88473.85</v>
      </c>
      <c r="H2581" s="8">
        <v>22373</v>
      </c>
    </row>
    <row r="2582" spans="2:8" ht="17.5" customHeight="1" x14ac:dyDescent="0.4">
      <c r="B2582" t="s">
        <v>7</v>
      </c>
      <c r="C2582" t="s">
        <v>598</v>
      </c>
      <c r="D2582" s="7">
        <f>DATE(2018,10,17)</f>
        <v>43390</v>
      </c>
      <c r="E2582" s="8">
        <f t="shared" si="42"/>
        <v>2018</v>
      </c>
      <c r="F2582" t="s">
        <v>599</v>
      </c>
      <c r="G2582" s="9">
        <v>32452.720000000001</v>
      </c>
      <c r="H2582" s="8">
        <v>27406</v>
      </c>
    </row>
    <row r="2583" spans="2:8" ht="17.5" customHeight="1" x14ac:dyDescent="0.4">
      <c r="B2583" t="s">
        <v>7</v>
      </c>
      <c r="C2583" t="s">
        <v>598</v>
      </c>
      <c r="D2583" s="7">
        <f>DATE(2015,1,20)</f>
        <v>42024</v>
      </c>
      <c r="E2583" s="8">
        <f t="shared" si="42"/>
        <v>2015</v>
      </c>
      <c r="F2583" t="s">
        <v>599</v>
      </c>
      <c r="G2583" s="9">
        <v>1715.66</v>
      </c>
      <c r="H2583" s="8">
        <v>119</v>
      </c>
    </row>
    <row r="2584" spans="2:8" ht="17.5" customHeight="1" x14ac:dyDescent="0.4">
      <c r="B2584" t="s">
        <v>7</v>
      </c>
      <c r="C2584" t="s">
        <v>598</v>
      </c>
      <c r="D2584" s="7">
        <f>DATE(2015,3,4)</f>
        <v>42067</v>
      </c>
      <c r="E2584" s="8">
        <f t="shared" si="42"/>
        <v>2015</v>
      </c>
      <c r="F2584" t="s">
        <v>599</v>
      </c>
      <c r="G2584" s="9">
        <v>5214.25</v>
      </c>
      <c r="H2584" s="8">
        <v>130</v>
      </c>
    </row>
    <row r="2585" spans="2:8" ht="17.5" customHeight="1" x14ac:dyDescent="0.4">
      <c r="B2585" t="s">
        <v>7</v>
      </c>
      <c r="C2585" t="s">
        <v>598</v>
      </c>
      <c r="D2585" s="7">
        <f>DATE(2018,12,18)</f>
        <v>43452</v>
      </c>
      <c r="E2585" s="8">
        <f t="shared" si="42"/>
        <v>2018</v>
      </c>
      <c r="F2585" t="s">
        <v>599</v>
      </c>
      <c r="G2585" s="9">
        <v>24020.61</v>
      </c>
      <c r="H2585" s="8">
        <v>27679</v>
      </c>
    </row>
    <row r="2586" spans="2:8" ht="17.5" customHeight="1" x14ac:dyDescent="0.4">
      <c r="B2586" t="s">
        <v>7</v>
      </c>
      <c r="C2586" t="s">
        <v>598</v>
      </c>
      <c r="D2586" s="7">
        <f>DATE(2019,4,2)</f>
        <v>43557</v>
      </c>
      <c r="E2586" s="8">
        <f t="shared" si="42"/>
        <v>2019</v>
      </c>
      <c r="F2586" t="s">
        <v>599</v>
      </c>
      <c r="G2586" s="9">
        <v>1230.3800000000001</v>
      </c>
      <c r="H2586" s="8">
        <v>28757</v>
      </c>
    </row>
    <row r="2587" spans="2:8" ht="17.5" customHeight="1" x14ac:dyDescent="0.4">
      <c r="B2587" t="s">
        <v>7</v>
      </c>
      <c r="C2587" t="s">
        <v>598</v>
      </c>
      <c r="D2587" s="7">
        <f>DATE(2015,10,15)</f>
        <v>42292</v>
      </c>
      <c r="E2587" s="8">
        <f t="shared" si="42"/>
        <v>2015</v>
      </c>
      <c r="F2587" t="s">
        <v>599</v>
      </c>
      <c r="G2587" s="9">
        <v>11263.49</v>
      </c>
      <c r="H2587" s="8">
        <v>21270</v>
      </c>
    </row>
    <row r="2588" spans="2:8" ht="17.5" customHeight="1" x14ac:dyDescent="0.4">
      <c r="B2588" t="s">
        <v>7</v>
      </c>
      <c r="C2588" t="s">
        <v>598</v>
      </c>
      <c r="D2588" s="7">
        <f>DATE(2016,2,11)</f>
        <v>42411</v>
      </c>
      <c r="E2588" s="8">
        <f t="shared" si="42"/>
        <v>2016</v>
      </c>
      <c r="F2588" t="s">
        <v>599</v>
      </c>
      <c r="G2588" s="9">
        <v>6343.22</v>
      </c>
      <c r="H2588" s="8">
        <v>22070</v>
      </c>
    </row>
    <row r="2589" spans="2:8" ht="17.5" customHeight="1" x14ac:dyDescent="0.4">
      <c r="B2589" t="s">
        <v>7</v>
      </c>
      <c r="C2589" t="s">
        <v>598</v>
      </c>
      <c r="D2589" s="7">
        <f>DATE(2016,10,3)</f>
        <v>42646</v>
      </c>
      <c r="E2589" s="8">
        <f t="shared" si="42"/>
        <v>2016</v>
      </c>
      <c r="F2589" t="s">
        <v>599</v>
      </c>
      <c r="G2589" s="9">
        <v>4793.8999999999996</v>
      </c>
      <c r="H2589" s="8">
        <v>23485</v>
      </c>
    </row>
    <row r="2590" spans="2:8" ht="17.5" customHeight="1" x14ac:dyDescent="0.4">
      <c r="B2590" t="s">
        <v>7</v>
      </c>
      <c r="C2590" t="s">
        <v>598</v>
      </c>
      <c r="D2590" s="7">
        <f>DATE(2011,5,11)</f>
        <v>40674</v>
      </c>
      <c r="E2590" s="8">
        <f t="shared" si="42"/>
        <v>2011</v>
      </c>
      <c r="F2590" t="s">
        <v>599</v>
      </c>
      <c r="G2590" s="9">
        <v>2715.13</v>
      </c>
      <c r="H2590" s="8">
        <v>10224</v>
      </c>
    </row>
    <row r="2591" spans="2:8" ht="17.5" customHeight="1" x14ac:dyDescent="0.4">
      <c r="B2591" t="s">
        <v>7</v>
      </c>
      <c r="C2591" t="s">
        <v>598</v>
      </c>
      <c r="D2591" s="7">
        <f>DATE(2011,11,10)</f>
        <v>40857</v>
      </c>
      <c r="E2591" s="8">
        <f t="shared" si="42"/>
        <v>2011</v>
      </c>
      <c r="F2591" t="s">
        <v>599</v>
      </c>
      <c r="G2591" s="9">
        <v>346.85</v>
      </c>
      <c r="H2591" s="8">
        <v>10826</v>
      </c>
    </row>
    <row r="2592" spans="2:8" ht="17.5" customHeight="1" x14ac:dyDescent="0.4">
      <c r="B2592" t="s">
        <v>7</v>
      </c>
      <c r="C2592" t="s">
        <v>598</v>
      </c>
      <c r="D2592" s="7">
        <f>DATE(2013,4,26)</f>
        <v>41390</v>
      </c>
      <c r="E2592" s="8">
        <f t="shared" si="42"/>
        <v>2013</v>
      </c>
      <c r="F2592" t="s">
        <v>599</v>
      </c>
      <c r="G2592" s="9">
        <v>750</v>
      </c>
      <c r="H2592" s="8">
        <v>12419</v>
      </c>
    </row>
    <row r="2593" spans="2:8" ht="17.5" customHeight="1" x14ac:dyDescent="0.4">
      <c r="B2593" t="s">
        <v>7</v>
      </c>
      <c r="C2593" t="s">
        <v>598</v>
      </c>
      <c r="D2593" s="7">
        <f>DATE(2006,2,16)</f>
        <v>38764</v>
      </c>
      <c r="E2593" s="8">
        <f t="shared" si="42"/>
        <v>2006</v>
      </c>
      <c r="F2593" t="s">
        <v>599</v>
      </c>
      <c r="G2593" s="9">
        <v>31536.28</v>
      </c>
      <c r="H2593" s="8">
        <v>4101</v>
      </c>
    </row>
    <row r="2594" spans="2:8" ht="17.5" customHeight="1" x14ac:dyDescent="0.4">
      <c r="B2594" t="s">
        <v>7</v>
      </c>
      <c r="C2594" t="s">
        <v>598</v>
      </c>
      <c r="D2594" s="7">
        <f>DATE(2008,10,1)</f>
        <v>39722</v>
      </c>
      <c r="E2594" s="8">
        <f t="shared" si="42"/>
        <v>2008</v>
      </c>
      <c r="F2594" t="s">
        <v>599</v>
      </c>
      <c r="G2594" s="9">
        <v>3668</v>
      </c>
      <c r="H2594" s="8">
        <v>7880</v>
      </c>
    </row>
    <row r="2595" spans="2:8" ht="17.5" customHeight="1" x14ac:dyDescent="0.4">
      <c r="B2595" t="s">
        <v>7</v>
      </c>
      <c r="C2595" t="s">
        <v>598</v>
      </c>
      <c r="D2595" s="7">
        <f>DATE(2009,10,9)</f>
        <v>40095</v>
      </c>
      <c r="E2595" s="8">
        <f t="shared" si="42"/>
        <v>2009</v>
      </c>
      <c r="F2595" t="s">
        <v>599</v>
      </c>
      <c r="G2595" s="9">
        <v>12487.59</v>
      </c>
      <c r="H2595" s="8">
        <v>8961</v>
      </c>
    </row>
    <row r="2596" spans="2:8" ht="17.5" customHeight="1" x14ac:dyDescent="0.4">
      <c r="B2596" t="s">
        <v>7</v>
      </c>
      <c r="C2596" t="s">
        <v>598</v>
      </c>
      <c r="D2596" s="7">
        <f>DATE(2009,10,15)</f>
        <v>40101</v>
      </c>
      <c r="E2596" s="8">
        <f t="shared" si="42"/>
        <v>2009</v>
      </c>
      <c r="F2596" t="s">
        <v>599</v>
      </c>
      <c r="G2596" s="9">
        <v>3447.56</v>
      </c>
      <c r="H2596" s="8">
        <v>8647</v>
      </c>
    </row>
    <row r="2597" spans="2:8" ht="17.5" customHeight="1" x14ac:dyDescent="0.4">
      <c r="B2597" t="s">
        <v>7</v>
      </c>
      <c r="C2597" t="s">
        <v>598</v>
      </c>
      <c r="D2597" s="7">
        <f>DATE(2010,5,17)</f>
        <v>40315</v>
      </c>
      <c r="E2597" s="8">
        <f t="shared" si="42"/>
        <v>2010</v>
      </c>
      <c r="F2597" t="s">
        <v>599</v>
      </c>
      <c r="G2597" s="9">
        <v>15924.03</v>
      </c>
      <c r="H2597" s="8">
        <v>9811</v>
      </c>
    </row>
    <row r="2598" spans="2:8" ht="17.5" customHeight="1" x14ac:dyDescent="0.4">
      <c r="B2598" t="s">
        <v>7</v>
      </c>
      <c r="C2598" t="s">
        <v>598</v>
      </c>
      <c r="D2598" s="7">
        <f>DATE(2010,6,9)</f>
        <v>40338</v>
      </c>
      <c r="E2598" s="8">
        <f t="shared" si="42"/>
        <v>2010</v>
      </c>
      <c r="F2598" t="s">
        <v>599</v>
      </c>
      <c r="G2598" s="9">
        <v>3040.55</v>
      </c>
      <c r="H2598" s="8">
        <v>9448</v>
      </c>
    </row>
    <row r="2599" spans="2:8" ht="17.5" customHeight="1" x14ac:dyDescent="0.4">
      <c r="B2599" t="s">
        <v>7</v>
      </c>
      <c r="C2599" t="s">
        <v>598</v>
      </c>
      <c r="D2599" s="7">
        <f>DATE(2010,6,2)</f>
        <v>40331</v>
      </c>
      <c r="E2599" s="8">
        <f t="shared" si="42"/>
        <v>2010</v>
      </c>
      <c r="F2599" t="s">
        <v>599</v>
      </c>
      <c r="G2599" s="9">
        <v>6808.23</v>
      </c>
      <c r="H2599" s="8">
        <v>9875</v>
      </c>
    </row>
    <row r="2600" spans="2:8" ht="17.5" customHeight="1" x14ac:dyDescent="0.4">
      <c r="B2600" t="s">
        <v>7</v>
      </c>
      <c r="C2600" t="s">
        <v>598</v>
      </c>
      <c r="D2600" s="7">
        <f>DATE(2014,4,25)</f>
        <v>41754</v>
      </c>
      <c r="E2600" s="8">
        <f t="shared" si="42"/>
        <v>2014</v>
      </c>
      <c r="F2600" t="s">
        <v>599</v>
      </c>
      <c r="G2600" s="9">
        <v>7409.53</v>
      </c>
      <c r="H2600" s="8">
        <v>13153</v>
      </c>
    </row>
    <row r="2601" spans="2:8" ht="17.5" customHeight="1" x14ac:dyDescent="0.4">
      <c r="B2601" t="s">
        <v>7</v>
      </c>
      <c r="C2601" t="s">
        <v>598</v>
      </c>
      <c r="D2601" s="7">
        <f>DATE(2014,5,7)</f>
        <v>41766</v>
      </c>
      <c r="E2601" s="8">
        <f t="shared" si="42"/>
        <v>2014</v>
      </c>
      <c r="F2601" t="s">
        <v>599</v>
      </c>
      <c r="G2601" s="9">
        <v>7994.11</v>
      </c>
      <c r="H2601" s="8">
        <v>13166</v>
      </c>
    </row>
    <row r="2602" spans="2:8" ht="17.5" customHeight="1" x14ac:dyDescent="0.4">
      <c r="B2602" t="s">
        <v>7</v>
      </c>
      <c r="C2602" t="s">
        <v>598</v>
      </c>
      <c r="D2602" s="7">
        <f>DATE(2014,5,14)</f>
        <v>41773</v>
      </c>
      <c r="E2602" s="8">
        <f t="shared" si="42"/>
        <v>2014</v>
      </c>
      <c r="F2602" t="s">
        <v>599</v>
      </c>
      <c r="G2602" s="9">
        <v>14474.44</v>
      </c>
      <c r="H2602" s="8">
        <v>13188</v>
      </c>
    </row>
    <row r="2603" spans="2:8" ht="17.5" customHeight="1" x14ac:dyDescent="0.4">
      <c r="B2603" s="3" t="s">
        <v>7</v>
      </c>
      <c r="C2603" s="3" t="s">
        <v>598</v>
      </c>
      <c r="D2603" s="4">
        <f>DATE(2013,4,26)</f>
        <v>41390</v>
      </c>
      <c r="E2603" s="5">
        <f t="shared" si="42"/>
        <v>2013</v>
      </c>
      <c r="F2603" s="3" t="s">
        <v>599</v>
      </c>
      <c r="G2603" s="6">
        <v>121</v>
      </c>
      <c r="H2603" s="5">
        <v>18482</v>
      </c>
    </row>
    <row r="2604" spans="2:8" ht="17.5" customHeight="1" x14ac:dyDescent="0.4">
      <c r="B2604" s="3" t="s">
        <v>7</v>
      </c>
      <c r="C2604" s="3" t="s">
        <v>600</v>
      </c>
      <c r="D2604" s="4">
        <f>DATE(2004,3,30)</f>
        <v>38076</v>
      </c>
      <c r="E2604" s="5">
        <f t="shared" si="42"/>
        <v>2004</v>
      </c>
      <c r="F2604" s="3" t="s">
        <v>601</v>
      </c>
      <c r="G2604" s="6">
        <v>88.5</v>
      </c>
      <c r="H2604" s="5">
        <v>596</v>
      </c>
    </row>
    <row r="2605" spans="2:8" ht="17.5" customHeight="1" x14ac:dyDescent="0.4">
      <c r="B2605" s="3" t="s">
        <v>7</v>
      </c>
      <c r="C2605" s="3" t="s">
        <v>600</v>
      </c>
      <c r="D2605" s="4">
        <f>DATE(2004,11,3)</f>
        <v>38294</v>
      </c>
      <c r="E2605" s="5">
        <f t="shared" si="42"/>
        <v>2004</v>
      </c>
      <c r="F2605" s="3" t="s">
        <v>601</v>
      </c>
      <c r="G2605" s="6">
        <v>177</v>
      </c>
      <c r="H2605" s="5">
        <v>843</v>
      </c>
    </row>
    <row r="2606" spans="2:8" ht="17.5" customHeight="1" x14ac:dyDescent="0.4">
      <c r="B2606" s="3" t="s">
        <v>7</v>
      </c>
      <c r="C2606" s="3" t="s">
        <v>600</v>
      </c>
      <c r="D2606" s="4">
        <f>DATE(2005,2,4)</f>
        <v>38387</v>
      </c>
      <c r="E2606" s="5">
        <f t="shared" si="42"/>
        <v>2005</v>
      </c>
      <c r="F2606" s="3" t="s">
        <v>601</v>
      </c>
      <c r="G2606" s="6">
        <v>118</v>
      </c>
      <c r="H2606" s="5">
        <v>944</v>
      </c>
    </row>
    <row r="2607" spans="2:8" ht="17.5" customHeight="1" x14ac:dyDescent="0.4">
      <c r="B2607" s="3" t="s">
        <v>7</v>
      </c>
      <c r="C2607" s="3" t="s">
        <v>600</v>
      </c>
      <c r="D2607" s="4">
        <f>DATE(2005,4,8)</f>
        <v>38450</v>
      </c>
      <c r="E2607" s="5">
        <f t="shared" si="42"/>
        <v>2005</v>
      </c>
      <c r="F2607" s="3" t="s">
        <v>601</v>
      </c>
      <c r="G2607" s="6">
        <v>186.06</v>
      </c>
      <c r="H2607" s="5">
        <v>1029</v>
      </c>
    </row>
    <row r="2608" spans="2:8" ht="17.5" customHeight="1" x14ac:dyDescent="0.4">
      <c r="B2608" s="3" t="s">
        <v>7</v>
      </c>
      <c r="C2608" s="3" t="s">
        <v>600</v>
      </c>
      <c r="D2608" s="4">
        <f>DATE(2011,4,19)</f>
        <v>40652</v>
      </c>
      <c r="E2608" s="5">
        <f t="shared" si="42"/>
        <v>2011</v>
      </c>
      <c r="F2608" s="3" t="s">
        <v>601</v>
      </c>
      <c r="G2608" s="6">
        <v>67.900000000000006</v>
      </c>
      <c r="H2608" s="5">
        <v>4407</v>
      </c>
    </row>
    <row r="2609" spans="2:8" ht="17.5" customHeight="1" x14ac:dyDescent="0.4">
      <c r="B2609" s="3" t="s">
        <v>7</v>
      </c>
      <c r="C2609" s="3" t="s">
        <v>600</v>
      </c>
      <c r="D2609" s="4">
        <f>DATE(2011,10,19)</f>
        <v>40835</v>
      </c>
      <c r="E2609" s="5">
        <f t="shared" si="42"/>
        <v>2011</v>
      </c>
      <c r="F2609" s="3" t="s">
        <v>601</v>
      </c>
      <c r="G2609" s="6">
        <v>82.8</v>
      </c>
      <c r="H2609" s="5">
        <v>4645</v>
      </c>
    </row>
    <row r="2610" spans="2:8" ht="17.5" customHeight="1" x14ac:dyDescent="0.4">
      <c r="B2610" s="3" t="s">
        <v>7</v>
      </c>
      <c r="C2610" s="3" t="s">
        <v>600</v>
      </c>
      <c r="D2610" s="4">
        <f>DATE(2014,11,20)</f>
        <v>41963</v>
      </c>
      <c r="E2610" s="5">
        <f t="shared" si="42"/>
        <v>2014</v>
      </c>
      <c r="F2610" s="3" t="s">
        <v>601</v>
      </c>
      <c r="G2610" s="6">
        <v>189.3</v>
      </c>
      <c r="H2610" s="5">
        <v>6475</v>
      </c>
    </row>
    <row r="2611" spans="2:8" ht="17.5" customHeight="1" x14ac:dyDescent="0.4">
      <c r="B2611" t="s">
        <v>7</v>
      </c>
      <c r="C2611" t="s">
        <v>602</v>
      </c>
      <c r="D2611" s="7">
        <f>DATE(2013,4,26)</f>
        <v>41390</v>
      </c>
      <c r="E2611" s="8">
        <f t="shared" si="42"/>
        <v>2013</v>
      </c>
      <c r="F2611" t="s">
        <v>603</v>
      </c>
      <c r="G2611" s="9">
        <v>7309</v>
      </c>
      <c r="H2611" s="8">
        <v>12388</v>
      </c>
    </row>
    <row r="2612" spans="2:8" ht="17.5" customHeight="1" x14ac:dyDescent="0.4">
      <c r="B2612" t="s">
        <v>7</v>
      </c>
      <c r="C2612" t="s">
        <v>602</v>
      </c>
      <c r="D2612" s="7">
        <f>DATE(2013,4,26)</f>
        <v>41390</v>
      </c>
      <c r="E2612" s="8">
        <f t="shared" si="42"/>
        <v>2013</v>
      </c>
      <c r="F2612" t="s">
        <v>603</v>
      </c>
      <c r="G2612" s="9">
        <v>8391.82</v>
      </c>
      <c r="H2612" s="8">
        <v>12389</v>
      </c>
    </row>
    <row r="2613" spans="2:8" ht="17.5" customHeight="1" x14ac:dyDescent="0.4">
      <c r="B2613" t="s">
        <v>7</v>
      </c>
      <c r="C2613" t="s">
        <v>604</v>
      </c>
      <c r="D2613" s="7">
        <f>DATE(2015,5,5)</f>
        <v>42129</v>
      </c>
      <c r="E2613" s="8">
        <f t="shared" si="42"/>
        <v>2015</v>
      </c>
      <c r="F2613" t="s">
        <v>605</v>
      </c>
      <c r="G2613" s="9">
        <v>8870</v>
      </c>
      <c r="H2613" s="8">
        <v>20238</v>
      </c>
    </row>
    <row r="2614" spans="2:8" ht="17.5" customHeight="1" x14ac:dyDescent="0.4">
      <c r="B2614" t="s">
        <v>7</v>
      </c>
      <c r="C2614" t="s">
        <v>604</v>
      </c>
      <c r="D2614" s="7">
        <f>DATE(2016,9,1)</f>
        <v>42614</v>
      </c>
      <c r="E2614" s="8">
        <f t="shared" si="42"/>
        <v>2016</v>
      </c>
      <c r="F2614" t="s">
        <v>605</v>
      </c>
      <c r="G2614" s="9">
        <v>43400</v>
      </c>
      <c r="H2614" s="8">
        <v>23183</v>
      </c>
    </row>
    <row r="2615" spans="2:8" ht="17.5" customHeight="1" x14ac:dyDescent="0.4">
      <c r="B2615" t="s">
        <v>7</v>
      </c>
      <c r="C2615" t="s">
        <v>604</v>
      </c>
      <c r="D2615" s="7">
        <f>DATE(2014,5,12)</f>
        <v>41771</v>
      </c>
      <c r="E2615" s="8">
        <f t="shared" si="42"/>
        <v>2014</v>
      </c>
      <c r="F2615" t="s">
        <v>605</v>
      </c>
      <c r="G2615" s="9">
        <v>96154.5</v>
      </c>
      <c r="H2615" s="8">
        <v>13071</v>
      </c>
    </row>
    <row r="2616" spans="2:8" ht="17.5" customHeight="1" x14ac:dyDescent="0.4">
      <c r="B2616" t="s">
        <v>7</v>
      </c>
      <c r="C2616" t="s">
        <v>604</v>
      </c>
      <c r="D2616" s="7">
        <f>DATE(2014,5,13)</f>
        <v>41772</v>
      </c>
      <c r="E2616" s="8">
        <f t="shared" si="42"/>
        <v>2014</v>
      </c>
      <c r="F2616" t="s">
        <v>605</v>
      </c>
      <c r="G2616" s="9">
        <v>100867.76</v>
      </c>
      <c r="H2616" s="8">
        <v>13215</v>
      </c>
    </row>
    <row r="2617" spans="2:8" ht="17.5" customHeight="1" x14ac:dyDescent="0.4">
      <c r="B2617" t="s">
        <v>7</v>
      </c>
      <c r="C2617" t="s">
        <v>604</v>
      </c>
      <c r="D2617" s="7">
        <f>DATE(2014,7,25)</f>
        <v>41845</v>
      </c>
      <c r="E2617" s="8">
        <f t="shared" si="42"/>
        <v>2014</v>
      </c>
      <c r="F2617" t="s">
        <v>605</v>
      </c>
      <c r="G2617" s="9">
        <v>40611.17</v>
      </c>
      <c r="H2617" s="8">
        <v>13317</v>
      </c>
    </row>
    <row r="2618" spans="2:8" ht="17.5" customHeight="1" x14ac:dyDescent="0.4">
      <c r="B2618" t="s">
        <v>16</v>
      </c>
      <c r="C2618" t="s">
        <v>604</v>
      </c>
      <c r="D2618" s="7">
        <f>DATE(2014,5,1)</f>
        <v>41760</v>
      </c>
      <c r="E2618" s="8">
        <f t="shared" si="42"/>
        <v>2014</v>
      </c>
      <c r="F2618" t="s">
        <v>605</v>
      </c>
      <c r="G2618" s="9">
        <v>96154.5</v>
      </c>
      <c r="H2618" s="8">
        <v>13229</v>
      </c>
    </row>
    <row r="2619" spans="2:8" ht="17.5" customHeight="1" x14ac:dyDescent="0.4">
      <c r="B2619" s="3" t="s">
        <v>7</v>
      </c>
      <c r="C2619" s="3" t="s">
        <v>606</v>
      </c>
      <c r="D2619" s="4">
        <f>DATE(2008,9,1)</f>
        <v>39692</v>
      </c>
      <c r="E2619" s="5">
        <f t="shared" si="42"/>
        <v>2008</v>
      </c>
      <c r="F2619" s="3" t="s">
        <v>607</v>
      </c>
      <c r="G2619" s="6">
        <v>8557.4699999999993</v>
      </c>
      <c r="H2619" s="5">
        <v>2997</v>
      </c>
    </row>
    <row r="2620" spans="2:8" ht="17.5" customHeight="1" x14ac:dyDescent="0.4">
      <c r="B2620" s="3" t="s">
        <v>7</v>
      </c>
      <c r="C2620" s="3" t="s">
        <v>606</v>
      </c>
      <c r="D2620" s="4">
        <f>DATE(2008,9,10)</f>
        <v>39701</v>
      </c>
      <c r="E2620" s="5">
        <f t="shared" si="42"/>
        <v>2008</v>
      </c>
      <c r="F2620" s="3" t="s">
        <v>607</v>
      </c>
      <c r="G2620" s="6">
        <v>5641.49</v>
      </c>
      <c r="H2620" s="5">
        <v>3031</v>
      </c>
    </row>
    <row r="2621" spans="2:8" ht="17.5" customHeight="1" x14ac:dyDescent="0.4">
      <c r="B2621" s="3" t="s">
        <v>7</v>
      </c>
      <c r="C2621" s="3" t="s">
        <v>606</v>
      </c>
      <c r="D2621" s="4">
        <f>DATE(2008,10,2)</f>
        <v>39723</v>
      </c>
      <c r="E2621" s="5">
        <f t="shared" si="42"/>
        <v>2008</v>
      </c>
      <c r="F2621" s="3" t="s">
        <v>607</v>
      </c>
      <c r="G2621" s="6">
        <v>5340.7</v>
      </c>
      <c r="H2621" s="5">
        <v>3094</v>
      </c>
    </row>
    <row r="2622" spans="2:8" ht="17.5" customHeight="1" x14ac:dyDescent="0.4">
      <c r="B2622" s="3" t="s">
        <v>7</v>
      </c>
      <c r="C2622" s="3" t="s">
        <v>606</v>
      </c>
      <c r="D2622" s="4">
        <f>DATE(2008,10,10)</f>
        <v>39731</v>
      </c>
      <c r="E2622" s="5">
        <f t="shared" si="42"/>
        <v>2008</v>
      </c>
      <c r="F2622" s="3" t="s">
        <v>607</v>
      </c>
      <c r="G2622" s="6">
        <v>6484.51</v>
      </c>
      <c r="H2622" s="5">
        <v>3097</v>
      </c>
    </row>
    <row r="2623" spans="2:8" ht="17.5" customHeight="1" x14ac:dyDescent="0.4">
      <c r="B2623" s="3" t="s">
        <v>7</v>
      </c>
      <c r="C2623" s="3" t="s">
        <v>606</v>
      </c>
      <c r="D2623" s="4">
        <f>DATE(2009,3,11)</f>
        <v>39883</v>
      </c>
      <c r="E2623" s="5">
        <f t="shared" si="42"/>
        <v>2009</v>
      </c>
      <c r="F2623" s="3" t="s">
        <v>607</v>
      </c>
      <c r="G2623" s="6">
        <v>4304.3</v>
      </c>
      <c r="H2623" s="5">
        <v>3293</v>
      </c>
    </row>
    <row r="2624" spans="2:8" ht="17.5" customHeight="1" x14ac:dyDescent="0.4">
      <c r="B2624" s="3" t="s">
        <v>7</v>
      </c>
      <c r="C2624" s="3" t="s">
        <v>606</v>
      </c>
      <c r="D2624" s="4">
        <f>DATE(2009,3,25)</f>
        <v>39897</v>
      </c>
      <c r="E2624" s="5">
        <f t="shared" si="42"/>
        <v>2009</v>
      </c>
      <c r="F2624" s="3" t="s">
        <v>607</v>
      </c>
      <c r="G2624" s="6">
        <v>6700.72</v>
      </c>
      <c r="H2624" s="5">
        <v>3294</v>
      </c>
    </row>
    <row r="2625" spans="2:8" ht="17.5" customHeight="1" x14ac:dyDescent="0.4">
      <c r="B2625" s="3" t="s">
        <v>7</v>
      </c>
      <c r="C2625" s="3" t="s">
        <v>606</v>
      </c>
      <c r="D2625" s="4">
        <f>DATE(2009,4,2)</f>
        <v>39905</v>
      </c>
      <c r="E2625" s="5">
        <f t="shared" si="42"/>
        <v>2009</v>
      </c>
      <c r="F2625" s="3" t="s">
        <v>607</v>
      </c>
      <c r="G2625" s="6">
        <v>3729.66</v>
      </c>
      <c r="H2625" s="5">
        <v>3363</v>
      </c>
    </row>
    <row r="2626" spans="2:8" ht="17.5" customHeight="1" x14ac:dyDescent="0.4">
      <c r="B2626" s="3" t="s">
        <v>7</v>
      </c>
      <c r="C2626" s="3" t="s">
        <v>606</v>
      </c>
      <c r="D2626" s="4">
        <f>DATE(2009,4,16)</f>
        <v>39919</v>
      </c>
      <c r="E2626" s="5">
        <f t="shared" si="42"/>
        <v>2009</v>
      </c>
      <c r="F2626" s="3" t="s">
        <v>607</v>
      </c>
      <c r="G2626" s="6">
        <v>4201.01</v>
      </c>
      <c r="H2626" s="5">
        <v>3374</v>
      </c>
    </row>
    <row r="2627" spans="2:8" ht="17.5" customHeight="1" x14ac:dyDescent="0.4">
      <c r="B2627" t="s">
        <v>7</v>
      </c>
      <c r="C2627" t="s">
        <v>608</v>
      </c>
      <c r="D2627" s="7">
        <f>DATE(2016,5,5)</f>
        <v>42495</v>
      </c>
      <c r="E2627" s="8">
        <f t="shared" ref="E2627:E2690" si="43">YEAR(D2627)</f>
        <v>2016</v>
      </c>
      <c r="F2627" t="s">
        <v>609</v>
      </c>
      <c r="G2627" s="9">
        <v>4731.99</v>
      </c>
      <c r="H2627" s="8">
        <v>22722</v>
      </c>
    </row>
    <row r="2628" spans="2:8" ht="17.5" customHeight="1" x14ac:dyDescent="0.4">
      <c r="B2628" t="s">
        <v>7</v>
      </c>
      <c r="C2628" t="s">
        <v>608</v>
      </c>
      <c r="D2628" s="7">
        <f>DATE(2017,5,17)</f>
        <v>42872</v>
      </c>
      <c r="E2628" s="8">
        <f t="shared" si="43"/>
        <v>2017</v>
      </c>
      <c r="F2628" t="s">
        <v>609</v>
      </c>
      <c r="G2628" s="9">
        <v>5061.8500000000004</v>
      </c>
      <c r="H2628" s="8">
        <v>24859</v>
      </c>
    </row>
    <row r="2629" spans="2:8" ht="17.5" customHeight="1" x14ac:dyDescent="0.4">
      <c r="B2629" s="3" t="s">
        <v>7</v>
      </c>
      <c r="C2629" s="3" t="s">
        <v>610</v>
      </c>
      <c r="D2629" s="4">
        <f>DATE(2005,4,15)</f>
        <v>38457</v>
      </c>
      <c r="E2629" s="5">
        <f t="shared" si="43"/>
        <v>2005</v>
      </c>
      <c r="F2629" s="3" t="s">
        <v>611</v>
      </c>
      <c r="G2629" s="6">
        <v>1858.71</v>
      </c>
      <c r="H2629" s="5">
        <v>4575</v>
      </c>
    </row>
    <row r="2630" spans="2:8" ht="17.5" customHeight="1" x14ac:dyDescent="0.4">
      <c r="B2630" s="3" t="s">
        <v>7</v>
      </c>
      <c r="C2630" s="3" t="s">
        <v>612</v>
      </c>
      <c r="D2630" s="4">
        <f>DATE(2006,2,6)</f>
        <v>38754</v>
      </c>
      <c r="E2630" s="5">
        <f t="shared" si="43"/>
        <v>2006</v>
      </c>
      <c r="F2630" s="3" t="s">
        <v>611</v>
      </c>
      <c r="G2630" s="6">
        <v>1876.7</v>
      </c>
      <c r="H2630" s="5">
        <v>5978</v>
      </c>
    </row>
    <row r="2631" spans="2:8" ht="17.5" customHeight="1" x14ac:dyDescent="0.4">
      <c r="B2631" t="s">
        <v>7</v>
      </c>
      <c r="C2631" t="s">
        <v>612</v>
      </c>
      <c r="D2631" s="7">
        <f>DATE(2019,5,16)</f>
        <v>43601</v>
      </c>
      <c r="E2631" s="8">
        <f t="shared" si="43"/>
        <v>2019</v>
      </c>
      <c r="F2631" t="s">
        <v>613</v>
      </c>
      <c r="G2631" s="9">
        <v>46550.02</v>
      </c>
      <c r="H2631" s="8">
        <v>28165</v>
      </c>
    </row>
    <row r="2632" spans="2:8" ht="17.5" customHeight="1" x14ac:dyDescent="0.4">
      <c r="B2632" t="s">
        <v>7</v>
      </c>
      <c r="C2632" t="s">
        <v>612</v>
      </c>
      <c r="D2632" s="7">
        <f>DATE(2015,2,10)</f>
        <v>42045</v>
      </c>
      <c r="E2632" s="8">
        <f t="shared" si="43"/>
        <v>2015</v>
      </c>
      <c r="F2632" t="s">
        <v>613</v>
      </c>
      <c r="G2632" s="9">
        <v>64513.09</v>
      </c>
      <c r="H2632" s="8">
        <v>62</v>
      </c>
    </row>
    <row r="2633" spans="2:8" ht="17.5" customHeight="1" x14ac:dyDescent="0.4">
      <c r="B2633" t="s">
        <v>7</v>
      </c>
      <c r="C2633" t="s">
        <v>612</v>
      </c>
      <c r="D2633" s="7">
        <f>DATE(2015,5,8)</f>
        <v>42132</v>
      </c>
      <c r="E2633" s="8">
        <f t="shared" si="43"/>
        <v>2015</v>
      </c>
      <c r="F2633" t="s">
        <v>613</v>
      </c>
      <c r="G2633" s="9">
        <v>136474.82999999999</v>
      </c>
      <c r="H2633" s="8">
        <v>5005</v>
      </c>
    </row>
    <row r="2634" spans="2:8" ht="17.5" customHeight="1" x14ac:dyDescent="0.4">
      <c r="B2634" t="s">
        <v>7</v>
      </c>
      <c r="C2634" t="s">
        <v>612</v>
      </c>
      <c r="D2634" s="7">
        <f>DATE(2015,5,8)</f>
        <v>42132</v>
      </c>
      <c r="E2634" s="8">
        <f t="shared" si="43"/>
        <v>2015</v>
      </c>
      <c r="F2634" t="s">
        <v>613</v>
      </c>
      <c r="G2634" s="9">
        <v>18440.23</v>
      </c>
      <c r="H2634" s="8">
        <v>20140</v>
      </c>
    </row>
    <row r="2635" spans="2:8" ht="17.5" customHeight="1" x14ac:dyDescent="0.4">
      <c r="B2635" t="s">
        <v>7</v>
      </c>
      <c r="C2635" t="s">
        <v>612</v>
      </c>
      <c r="D2635" s="7">
        <f>DATE(2015,5,8)</f>
        <v>42132</v>
      </c>
      <c r="E2635" s="8">
        <f t="shared" si="43"/>
        <v>2015</v>
      </c>
      <c r="F2635" t="s">
        <v>613</v>
      </c>
      <c r="G2635" s="9">
        <v>35195.760000000002</v>
      </c>
      <c r="H2635" s="8">
        <v>20207</v>
      </c>
    </row>
    <row r="2636" spans="2:8" ht="17.5" customHeight="1" x14ac:dyDescent="0.4">
      <c r="B2636" t="s">
        <v>7</v>
      </c>
      <c r="C2636" t="s">
        <v>612</v>
      </c>
      <c r="D2636" s="7">
        <f>DATE(2015,5,8)</f>
        <v>42132</v>
      </c>
      <c r="E2636" s="8">
        <f t="shared" si="43"/>
        <v>2015</v>
      </c>
      <c r="F2636" t="s">
        <v>613</v>
      </c>
      <c r="G2636" s="9">
        <v>5161.05</v>
      </c>
      <c r="H2636" s="8">
        <v>20599</v>
      </c>
    </row>
    <row r="2637" spans="2:8" ht="17.5" customHeight="1" x14ac:dyDescent="0.4">
      <c r="B2637" t="s">
        <v>7</v>
      </c>
      <c r="C2637" t="s">
        <v>612</v>
      </c>
      <c r="D2637" s="7">
        <f>DATE(2015,6,4)</f>
        <v>42159</v>
      </c>
      <c r="E2637" s="8">
        <f t="shared" si="43"/>
        <v>2015</v>
      </c>
      <c r="F2637" t="s">
        <v>613</v>
      </c>
      <c r="G2637" s="9">
        <v>34049.54</v>
      </c>
      <c r="H2637" s="8">
        <v>20208</v>
      </c>
    </row>
    <row r="2638" spans="2:8" ht="17.5" customHeight="1" x14ac:dyDescent="0.4">
      <c r="B2638" t="s">
        <v>7</v>
      </c>
      <c r="C2638" t="s">
        <v>612</v>
      </c>
      <c r="D2638" s="7">
        <f>DATE(2016,1,27)</f>
        <v>42396</v>
      </c>
      <c r="E2638" s="8">
        <f t="shared" si="43"/>
        <v>2016</v>
      </c>
      <c r="F2638" t="s">
        <v>613</v>
      </c>
      <c r="G2638" s="9">
        <v>40207.629999999997</v>
      </c>
      <c r="H2638" s="8">
        <v>21971</v>
      </c>
    </row>
    <row r="2639" spans="2:8" ht="17.5" customHeight="1" x14ac:dyDescent="0.4">
      <c r="B2639" t="s">
        <v>7</v>
      </c>
      <c r="C2639" t="s">
        <v>612</v>
      </c>
      <c r="D2639" s="7">
        <f>DATE(2016,3,30)</f>
        <v>42459</v>
      </c>
      <c r="E2639" s="8">
        <f t="shared" si="43"/>
        <v>2016</v>
      </c>
      <c r="F2639" t="s">
        <v>613</v>
      </c>
      <c r="G2639" s="9">
        <v>87036.09</v>
      </c>
      <c r="H2639" s="8">
        <v>22022</v>
      </c>
    </row>
    <row r="2640" spans="2:8" ht="17.5" customHeight="1" x14ac:dyDescent="0.4">
      <c r="B2640" t="s">
        <v>7</v>
      </c>
      <c r="C2640" t="s">
        <v>612</v>
      </c>
      <c r="D2640" s="7">
        <f>DATE(2016,4,13)</f>
        <v>42473</v>
      </c>
      <c r="E2640" s="8">
        <f t="shared" si="43"/>
        <v>2016</v>
      </c>
      <c r="F2640" t="s">
        <v>613</v>
      </c>
      <c r="G2640" s="9">
        <v>46409.38</v>
      </c>
      <c r="H2640" s="8">
        <v>22023</v>
      </c>
    </row>
    <row r="2641" spans="2:8" ht="17.5" customHeight="1" x14ac:dyDescent="0.4">
      <c r="B2641" t="s">
        <v>7</v>
      </c>
      <c r="C2641" t="s">
        <v>612</v>
      </c>
      <c r="D2641" s="7">
        <f>DATE(2016,5,2)</f>
        <v>42492</v>
      </c>
      <c r="E2641" s="8">
        <f t="shared" si="43"/>
        <v>2016</v>
      </c>
      <c r="F2641" t="s">
        <v>613</v>
      </c>
      <c r="G2641" s="9">
        <v>30885.16</v>
      </c>
      <c r="H2641" s="8">
        <v>22025</v>
      </c>
    </row>
    <row r="2642" spans="2:8" ht="17.5" customHeight="1" x14ac:dyDescent="0.4">
      <c r="B2642" t="s">
        <v>7</v>
      </c>
      <c r="C2642" t="s">
        <v>612</v>
      </c>
      <c r="D2642" s="7">
        <f>DATE(2016,6,1)</f>
        <v>42522</v>
      </c>
      <c r="E2642" s="8">
        <f t="shared" si="43"/>
        <v>2016</v>
      </c>
      <c r="F2642" t="s">
        <v>613</v>
      </c>
      <c r="G2642" s="9">
        <v>30999.94</v>
      </c>
      <c r="H2642" s="8">
        <v>22026</v>
      </c>
    </row>
    <row r="2643" spans="2:8" ht="17.5" customHeight="1" x14ac:dyDescent="0.4">
      <c r="B2643" t="s">
        <v>7</v>
      </c>
      <c r="C2643" t="s">
        <v>612</v>
      </c>
      <c r="D2643" s="7">
        <f>DATE(2016,8,12)</f>
        <v>42594</v>
      </c>
      <c r="E2643" s="8">
        <f t="shared" si="43"/>
        <v>2016</v>
      </c>
      <c r="F2643" t="s">
        <v>613</v>
      </c>
      <c r="G2643" s="9">
        <v>50231.45</v>
      </c>
      <c r="H2643" s="8">
        <v>23208</v>
      </c>
    </row>
    <row r="2644" spans="2:8" ht="17.5" customHeight="1" x14ac:dyDescent="0.4">
      <c r="B2644" t="s">
        <v>7</v>
      </c>
      <c r="C2644" t="s">
        <v>612</v>
      </c>
      <c r="D2644" s="7">
        <f>DATE(2016,8,31)</f>
        <v>42613</v>
      </c>
      <c r="E2644" s="8">
        <f t="shared" si="43"/>
        <v>2016</v>
      </c>
      <c r="F2644" t="s">
        <v>613</v>
      </c>
      <c r="G2644" s="9">
        <v>5385.61</v>
      </c>
      <c r="H2644" s="8">
        <v>23362</v>
      </c>
    </row>
    <row r="2645" spans="2:8" ht="17.5" customHeight="1" x14ac:dyDescent="0.4">
      <c r="B2645" t="s">
        <v>7</v>
      </c>
      <c r="C2645" t="s">
        <v>612</v>
      </c>
      <c r="D2645" s="7">
        <f>DATE(2016,10,17)</f>
        <v>42660</v>
      </c>
      <c r="E2645" s="8">
        <f t="shared" si="43"/>
        <v>2016</v>
      </c>
      <c r="F2645" t="s">
        <v>613</v>
      </c>
      <c r="G2645" s="9">
        <v>39095.56</v>
      </c>
      <c r="H2645" s="8">
        <v>23551</v>
      </c>
    </row>
    <row r="2646" spans="2:8" ht="17.5" customHeight="1" x14ac:dyDescent="0.4">
      <c r="B2646" t="s">
        <v>7</v>
      </c>
      <c r="C2646" t="s">
        <v>612</v>
      </c>
      <c r="D2646" s="7">
        <f>DATE(2017,1,26)</f>
        <v>42761</v>
      </c>
      <c r="E2646" s="8">
        <f t="shared" si="43"/>
        <v>2017</v>
      </c>
      <c r="F2646" t="s">
        <v>613</v>
      </c>
      <c r="G2646" s="9">
        <v>51901.7</v>
      </c>
      <c r="H2646" s="8">
        <v>24087</v>
      </c>
    </row>
    <row r="2647" spans="2:8" ht="17.5" customHeight="1" x14ac:dyDescent="0.4">
      <c r="B2647" t="s">
        <v>7</v>
      </c>
      <c r="C2647" t="s">
        <v>612</v>
      </c>
      <c r="D2647" s="7">
        <f>DATE(2017,2,8)</f>
        <v>42774</v>
      </c>
      <c r="E2647" s="8">
        <f t="shared" si="43"/>
        <v>2017</v>
      </c>
      <c r="F2647" t="s">
        <v>613</v>
      </c>
      <c r="G2647" s="9">
        <v>84756.94</v>
      </c>
      <c r="H2647" s="8">
        <v>24084</v>
      </c>
    </row>
    <row r="2648" spans="2:8" ht="17.5" customHeight="1" x14ac:dyDescent="0.4">
      <c r="B2648" t="s">
        <v>7</v>
      </c>
      <c r="C2648" t="s">
        <v>612</v>
      </c>
      <c r="D2648" s="7">
        <f>DATE(2017,3,29)</f>
        <v>42823</v>
      </c>
      <c r="E2648" s="8">
        <f t="shared" si="43"/>
        <v>2017</v>
      </c>
      <c r="F2648" t="s">
        <v>613</v>
      </c>
      <c r="G2648" s="9">
        <v>59123.9</v>
      </c>
      <c r="H2648" s="8">
        <v>24438</v>
      </c>
    </row>
    <row r="2649" spans="2:8" ht="17.5" customHeight="1" x14ac:dyDescent="0.4">
      <c r="B2649" t="s">
        <v>7</v>
      </c>
      <c r="C2649" t="s">
        <v>612</v>
      </c>
      <c r="D2649" s="7">
        <f>DATE(2017,4,25)</f>
        <v>42850</v>
      </c>
      <c r="E2649" s="8">
        <f t="shared" si="43"/>
        <v>2017</v>
      </c>
      <c r="F2649" t="s">
        <v>613</v>
      </c>
      <c r="G2649" s="9">
        <v>32416.43</v>
      </c>
      <c r="H2649" s="8">
        <v>24440</v>
      </c>
    </row>
    <row r="2650" spans="2:8" ht="17.5" customHeight="1" x14ac:dyDescent="0.4">
      <c r="B2650" t="s">
        <v>7</v>
      </c>
      <c r="C2650" t="s">
        <v>612</v>
      </c>
      <c r="D2650" s="7">
        <f>DATE(2017,6,5)</f>
        <v>42891</v>
      </c>
      <c r="E2650" s="8">
        <f t="shared" si="43"/>
        <v>2017</v>
      </c>
      <c r="F2650" t="s">
        <v>613</v>
      </c>
      <c r="G2650" s="9">
        <v>48195.22</v>
      </c>
      <c r="H2650" s="8">
        <v>25023</v>
      </c>
    </row>
    <row r="2651" spans="2:8" ht="17.5" customHeight="1" x14ac:dyDescent="0.4">
      <c r="B2651" t="s">
        <v>7</v>
      </c>
      <c r="C2651" t="s">
        <v>612</v>
      </c>
      <c r="D2651" s="7">
        <f>DATE(2018,2,23)</f>
        <v>43154</v>
      </c>
      <c r="E2651" s="8">
        <f t="shared" si="43"/>
        <v>2018</v>
      </c>
      <c r="F2651" t="s">
        <v>613</v>
      </c>
      <c r="G2651" s="9">
        <v>66250.259999999995</v>
      </c>
      <c r="H2651" s="8">
        <v>26370</v>
      </c>
    </row>
    <row r="2652" spans="2:8" ht="17.5" customHeight="1" x14ac:dyDescent="0.4">
      <c r="B2652" t="s">
        <v>7</v>
      </c>
      <c r="C2652" t="s">
        <v>612</v>
      </c>
      <c r="D2652" s="7">
        <f>DATE(2018,3,29)</f>
        <v>43188</v>
      </c>
      <c r="E2652" s="8">
        <f t="shared" si="43"/>
        <v>2018</v>
      </c>
      <c r="F2652" t="s">
        <v>613</v>
      </c>
      <c r="G2652" s="9">
        <v>38242.58</v>
      </c>
      <c r="H2652" s="8">
        <v>26462</v>
      </c>
    </row>
    <row r="2653" spans="2:8" ht="17.5" customHeight="1" x14ac:dyDescent="0.4">
      <c r="B2653" t="s">
        <v>7</v>
      </c>
      <c r="C2653" t="s">
        <v>612</v>
      </c>
      <c r="D2653" s="7">
        <f>DATE(2018,4,27)</f>
        <v>43217</v>
      </c>
      <c r="E2653" s="8">
        <f t="shared" si="43"/>
        <v>2018</v>
      </c>
      <c r="F2653" t="s">
        <v>613</v>
      </c>
      <c r="G2653" s="9">
        <v>54455.71</v>
      </c>
      <c r="H2653" s="8">
        <v>26468</v>
      </c>
    </row>
    <row r="2654" spans="2:8" ht="17.5" customHeight="1" x14ac:dyDescent="0.4">
      <c r="B2654" t="s">
        <v>7</v>
      </c>
      <c r="C2654" t="s">
        <v>612</v>
      </c>
      <c r="D2654" s="7">
        <f>DATE(2018,5,17)</f>
        <v>43237</v>
      </c>
      <c r="E2654" s="8">
        <f t="shared" si="43"/>
        <v>2018</v>
      </c>
      <c r="F2654" t="s">
        <v>613</v>
      </c>
      <c r="G2654" s="9">
        <v>45566.43</v>
      </c>
      <c r="H2654" s="8">
        <v>26481</v>
      </c>
    </row>
    <row r="2655" spans="2:8" ht="17.5" customHeight="1" x14ac:dyDescent="0.4">
      <c r="B2655" t="s">
        <v>7</v>
      </c>
      <c r="C2655" t="s">
        <v>612</v>
      </c>
      <c r="D2655" s="7">
        <f>DATE(2019,2,6)</f>
        <v>43502</v>
      </c>
      <c r="E2655" s="8">
        <f t="shared" si="43"/>
        <v>2019</v>
      </c>
      <c r="F2655" t="s">
        <v>613</v>
      </c>
      <c r="G2655" s="9">
        <v>35416.43</v>
      </c>
      <c r="H2655" s="8">
        <v>28159</v>
      </c>
    </row>
    <row r="2656" spans="2:8" ht="17.5" customHeight="1" x14ac:dyDescent="0.4">
      <c r="B2656" t="s">
        <v>7</v>
      </c>
      <c r="C2656" t="s">
        <v>612</v>
      </c>
      <c r="D2656" s="7">
        <f>DATE(2019,4,4)</f>
        <v>43559</v>
      </c>
      <c r="E2656" s="8">
        <f t="shared" si="43"/>
        <v>2019</v>
      </c>
      <c r="F2656" t="s">
        <v>613</v>
      </c>
      <c r="G2656" s="9">
        <v>81712.399999999994</v>
      </c>
      <c r="H2656" s="8">
        <v>28157</v>
      </c>
    </row>
    <row r="2657" spans="2:8" ht="17.5" customHeight="1" x14ac:dyDescent="0.4">
      <c r="B2657" t="s">
        <v>7</v>
      </c>
      <c r="C2657" t="s">
        <v>612</v>
      </c>
      <c r="D2657" s="7">
        <f>DATE(2019,4,15)</f>
        <v>43570</v>
      </c>
      <c r="E2657" s="8">
        <f t="shared" si="43"/>
        <v>2019</v>
      </c>
      <c r="F2657" t="s">
        <v>613</v>
      </c>
      <c r="G2657" s="9">
        <v>56811.14</v>
      </c>
      <c r="H2657" s="8">
        <v>28164</v>
      </c>
    </row>
    <row r="2658" spans="2:8" ht="17.5" customHeight="1" x14ac:dyDescent="0.4">
      <c r="B2658" t="s">
        <v>7</v>
      </c>
      <c r="C2658" t="s">
        <v>612</v>
      </c>
      <c r="D2658" s="7">
        <f>DATE(2016,8,31)</f>
        <v>42613</v>
      </c>
      <c r="E2658" s="8">
        <f t="shared" si="43"/>
        <v>2016</v>
      </c>
      <c r="F2658" t="s">
        <v>613</v>
      </c>
      <c r="G2658" s="9">
        <v>13350</v>
      </c>
      <c r="H2658" s="8">
        <v>23363</v>
      </c>
    </row>
    <row r="2659" spans="2:8" ht="17.5" customHeight="1" x14ac:dyDescent="0.4">
      <c r="B2659" t="s">
        <v>7</v>
      </c>
      <c r="C2659" t="s">
        <v>612</v>
      </c>
      <c r="D2659" s="7">
        <f>DATE(2015,2,10)</f>
        <v>42045</v>
      </c>
      <c r="E2659" s="8">
        <f t="shared" si="43"/>
        <v>2015</v>
      </c>
      <c r="F2659" t="s">
        <v>613</v>
      </c>
      <c r="G2659" s="9">
        <v>1640.93</v>
      </c>
      <c r="H2659" s="8">
        <v>250</v>
      </c>
    </row>
    <row r="2660" spans="2:8" ht="17.5" customHeight="1" x14ac:dyDescent="0.4">
      <c r="B2660" t="s">
        <v>7</v>
      </c>
      <c r="C2660" t="s">
        <v>612</v>
      </c>
      <c r="D2660" s="7">
        <f>DATE(2016,10,14)</f>
        <v>42657</v>
      </c>
      <c r="E2660" s="8">
        <f t="shared" si="43"/>
        <v>2016</v>
      </c>
      <c r="F2660" t="s">
        <v>613</v>
      </c>
      <c r="G2660" s="9">
        <v>2468.89</v>
      </c>
      <c r="H2660" s="8">
        <v>23595</v>
      </c>
    </row>
    <row r="2661" spans="2:8" ht="17.5" customHeight="1" x14ac:dyDescent="0.4">
      <c r="B2661" t="s">
        <v>7</v>
      </c>
      <c r="C2661" t="s">
        <v>612</v>
      </c>
      <c r="D2661" s="7">
        <f>DATE(2016,10,21)</f>
        <v>42664</v>
      </c>
      <c r="E2661" s="8">
        <f t="shared" si="43"/>
        <v>2016</v>
      </c>
      <c r="F2661" t="s">
        <v>613</v>
      </c>
      <c r="G2661" s="9">
        <v>282.42</v>
      </c>
      <c r="H2661" s="8">
        <v>23697</v>
      </c>
    </row>
    <row r="2662" spans="2:8" ht="17.5" customHeight="1" x14ac:dyDescent="0.4">
      <c r="B2662" t="s">
        <v>16</v>
      </c>
      <c r="C2662" t="s">
        <v>612</v>
      </c>
      <c r="D2662" s="7">
        <f>DATE(2015,7,14)</f>
        <v>42199</v>
      </c>
      <c r="E2662" s="8">
        <f t="shared" si="43"/>
        <v>2015</v>
      </c>
      <c r="F2662" t="s">
        <v>613</v>
      </c>
      <c r="G2662" s="9">
        <v>8918.32</v>
      </c>
      <c r="H2662" s="8">
        <v>20959</v>
      </c>
    </row>
    <row r="2663" spans="2:8" ht="17.5" customHeight="1" x14ac:dyDescent="0.4">
      <c r="B2663" t="s">
        <v>16</v>
      </c>
      <c r="C2663" t="s">
        <v>612</v>
      </c>
      <c r="D2663" s="7">
        <f>DATE(2015,7,14)</f>
        <v>42199</v>
      </c>
      <c r="E2663" s="8">
        <f t="shared" si="43"/>
        <v>2015</v>
      </c>
      <c r="F2663" t="s">
        <v>613</v>
      </c>
      <c r="G2663" s="9">
        <v>1365.98</v>
      </c>
      <c r="H2663" s="8">
        <v>20960</v>
      </c>
    </row>
    <row r="2664" spans="2:8" ht="17.5" customHeight="1" x14ac:dyDescent="0.4">
      <c r="B2664" t="s">
        <v>16</v>
      </c>
      <c r="C2664" t="s">
        <v>612</v>
      </c>
      <c r="D2664" s="7">
        <f>DATE(2015,12,24)</f>
        <v>42362</v>
      </c>
      <c r="E2664" s="8">
        <f t="shared" si="43"/>
        <v>2015</v>
      </c>
      <c r="F2664" t="s">
        <v>613</v>
      </c>
      <c r="G2664" s="9">
        <v>2090.29</v>
      </c>
      <c r="H2664" s="8">
        <v>21892</v>
      </c>
    </row>
    <row r="2665" spans="2:8" ht="17.5" customHeight="1" x14ac:dyDescent="0.4">
      <c r="B2665" t="s">
        <v>16</v>
      </c>
      <c r="C2665" t="s">
        <v>612</v>
      </c>
      <c r="D2665" s="7">
        <f>DATE(2015,12,24)</f>
        <v>42362</v>
      </c>
      <c r="E2665" s="8">
        <f t="shared" si="43"/>
        <v>2015</v>
      </c>
      <c r="F2665" t="s">
        <v>613</v>
      </c>
      <c r="G2665" s="9">
        <v>4264.25</v>
      </c>
      <c r="H2665" s="8">
        <v>21893</v>
      </c>
    </row>
    <row r="2666" spans="2:8" ht="17.5" customHeight="1" x14ac:dyDescent="0.4">
      <c r="B2666" t="s">
        <v>7</v>
      </c>
      <c r="C2666" t="s">
        <v>612</v>
      </c>
      <c r="D2666" s="7">
        <f>DATE(2014,5,7)</f>
        <v>41766</v>
      </c>
      <c r="E2666" s="8">
        <f t="shared" si="43"/>
        <v>2014</v>
      </c>
      <c r="F2666" t="s">
        <v>613</v>
      </c>
      <c r="G2666" s="9">
        <v>29859.63</v>
      </c>
      <c r="H2666" s="8">
        <v>13173</v>
      </c>
    </row>
    <row r="2667" spans="2:8" ht="17.5" customHeight="1" x14ac:dyDescent="0.4">
      <c r="B2667" t="s">
        <v>7</v>
      </c>
      <c r="C2667" t="s">
        <v>612</v>
      </c>
      <c r="D2667" s="7">
        <f>DATE(2014,5,9)</f>
        <v>41768</v>
      </c>
      <c r="E2667" s="8">
        <f t="shared" si="43"/>
        <v>2014</v>
      </c>
      <c r="F2667" t="s">
        <v>613</v>
      </c>
      <c r="G2667" s="9">
        <v>46935.61</v>
      </c>
      <c r="H2667" s="8">
        <v>13158</v>
      </c>
    </row>
    <row r="2668" spans="2:8" ht="17.5" customHeight="1" x14ac:dyDescent="0.4">
      <c r="B2668" t="s">
        <v>7</v>
      </c>
      <c r="C2668" t="s">
        <v>612</v>
      </c>
      <c r="D2668" s="7">
        <f>DATE(2014,6,16)</f>
        <v>41806</v>
      </c>
      <c r="E2668" s="8">
        <f t="shared" si="43"/>
        <v>2014</v>
      </c>
      <c r="F2668" t="s">
        <v>613</v>
      </c>
      <c r="G2668" s="9">
        <v>46381.57</v>
      </c>
      <c r="H2668" s="8">
        <v>13216</v>
      </c>
    </row>
    <row r="2669" spans="2:8" ht="17.5" customHeight="1" x14ac:dyDescent="0.4">
      <c r="B2669" s="3" t="s">
        <v>7</v>
      </c>
      <c r="C2669" s="3" t="s">
        <v>612</v>
      </c>
      <c r="D2669" s="4">
        <f>DATE(2011,4,7)</f>
        <v>40640</v>
      </c>
      <c r="E2669" s="5">
        <f t="shared" si="43"/>
        <v>2011</v>
      </c>
      <c r="F2669" s="3" t="s">
        <v>613</v>
      </c>
      <c r="G2669" s="6">
        <v>533.97</v>
      </c>
      <c r="H2669" s="5">
        <v>15399</v>
      </c>
    </row>
    <row r="2670" spans="2:8" ht="17.5" customHeight="1" x14ac:dyDescent="0.4">
      <c r="B2670" s="3" t="s">
        <v>7</v>
      </c>
      <c r="C2670" s="3" t="s">
        <v>612</v>
      </c>
      <c r="D2670" s="4">
        <f>DATE(2011,4,7)</f>
        <v>40640</v>
      </c>
      <c r="E2670" s="5">
        <f t="shared" si="43"/>
        <v>2011</v>
      </c>
      <c r="F2670" s="3" t="s">
        <v>613</v>
      </c>
      <c r="G2670" s="6">
        <v>2135.85</v>
      </c>
      <c r="H2670" s="5">
        <v>15396</v>
      </c>
    </row>
    <row r="2671" spans="2:8" ht="17.5" customHeight="1" x14ac:dyDescent="0.4">
      <c r="B2671" s="3" t="s">
        <v>7</v>
      </c>
      <c r="C2671" s="3" t="s">
        <v>612</v>
      </c>
      <c r="D2671" s="4">
        <f>DATE(2011,4,11)</f>
        <v>40644</v>
      </c>
      <c r="E2671" s="5">
        <f t="shared" si="43"/>
        <v>2011</v>
      </c>
      <c r="F2671" s="3" t="s">
        <v>613</v>
      </c>
      <c r="G2671" s="6">
        <v>2669.82</v>
      </c>
      <c r="H2671" s="5">
        <v>15410</v>
      </c>
    </row>
    <row r="2672" spans="2:8" ht="17.5" customHeight="1" x14ac:dyDescent="0.4">
      <c r="B2672" t="s">
        <v>7</v>
      </c>
      <c r="C2672" t="s">
        <v>614</v>
      </c>
      <c r="D2672" s="7">
        <f>DATE(2012,2,15)</f>
        <v>40954</v>
      </c>
      <c r="E2672" s="8">
        <f t="shared" si="43"/>
        <v>2012</v>
      </c>
      <c r="F2672" t="s">
        <v>615</v>
      </c>
      <c r="G2672" s="9">
        <v>964.69</v>
      </c>
      <c r="H2672" s="8">
        <v>11315</v>
      </c>
    </row>
    <row r="2673" spans="2:8" ht="17.5" customHeight="1" x14ac:dyDescent="0.4">
      <c r="B2673" t="s">
        <v>7</v>
      </c>
      <c r="C2673" t="s">
        <v>614</v>
      </c>
      <c r="D2673" s="7">
        <f>DATE(2003,10,20)</f>
        <v>37914</v>
      </c>
      <c r="E2673" s="8">
        <f t="shared" si="43"/>
        <v>2003</v>
      </c>
      <c r="F2673" t="s">
        <v>616</v>
      </c>
      <c r="G2673" s="9">
        <v>636</v>
      </c>
      <c r="H2673" s="8">
        <v>950</v>
      </c>
    </row>
    <row r="2674" spans="2:8" ht="17.5" customHeight="1" x14ac:dyDescent="0.4">
      <c r="B2674" t="s">
        <v>7</v>
      </c>
      <c r="C2674" t="s">
        <v>614</v>
      </c>
      <c r="D2674" s="7">
        <f>DATE(2004,3,22)</f>
        <v>38068</v>
      </c>
      <c r="E2674" s="8">
        <f t="shared" si="43"/>
        <v>2004</v>
      </c>
      <c r="F2674" t="s">
        <v>616</v>
      </c>
      <c r="G2674" s="9">
        <v>189.7</v>
      </c>
      <c r="H2674" s="8">
        <v>1561</v>
      </c>
    </row>
    <row r="2675" spans="2:8" ht="17.5" customHeight="1" x14ac:dyDescent="0.4">
      <c r="B2675" t="s">
        <v>7</v>
      </c>
      <c r="C2675" t="s">
        <v>614</v>
      </c>
      <c r="D2675" s="7">
        <f>DATE(2005,1,14)</f>
        <v>38366</v>
      </c>
      <c r="E2675" s="8">
        <f t="shared" si="43"/>
        <v>2005</v>
      </c>
      <c r="F2675" t="s">
        <v>616</v>
      </c>
      <c r="G2675" s="9">
        <v>730.81</v>
      </c>
      <c r="H2675" s="8">
        <v>2480</v>
      </c>
    </row>
    <row r="2676" spans="2:8" ht="17.5" customHeight="1" x14ac:dyDescent="0.4">
      <c r="B2676" t="s">
        <v>7</v>
      </c>
      <c r="C2676" t="s">
        <v>614</v>
      </c>
      <c r="D2676" s="7">
        <f>DATE(2005,11,25)</f>
        <v>38681</v>
      </c>
      <c r="E2676" s="8">
        <f t="shared" si="43"/>
        <v>2005</v>
      </c>
      <c r="F2676" t="s">
        <v>616</v>
      </c>
      <c r="G2676" s="9">
        <v>3064.75</v>
      </c>
      <c r="H2676" s="8">
        <v>3464</v>
      </c>
    </row>
    <row r="2677" spans="2:8" ht="17.5" customHeight="1" x14ac:dyDescent="0.4">
      <c r="B2677" t="s">
        <v>7</v>
      </c>
      <c r="C2677" t="s">
        <v>614</v>
      </c>
      <c r="D2677" s="7">
        <f>DATE(2006,6,30)</f>
        <v>38898</v>
      </c>
      <c r="E2677" s="8">
        <f t="shared" si="43"/>
        <v>2006</v>
      </c>
      <c r="F2677" t="s">
        <v>616</v>
      </c>
      <c r="G2677" s="9">
        <v>457</v>
      </c>
      <c r="H2677" s="8">
        <v>4747</v>
      </c>
    </row>
    <row r="2678" spans="2:8" ht="17.5" customHeight="1" x14ac:dyDescent="0.4">
      <c r="B2678" t="s">
        <v>7</v>
      </c>
      <c r="C2678" t="s">
        <v>614</v>
      </c>
      <c r="D2678" s="7">
        <f>DATE(2007,4,12)</f>
        <v>39184</v>
      </c>
      <c r="E2678" s="8">
        <f t="shared" si="43"/>
        <v>2007</v>
      </c>
      <c r="F2678" t="s">
        <v>616</v>
      </c>
      <c r="G2678" s="9">
        <v>3423</v>
      </c>
      <c r="H2678" s="8">
        <v>5694</v>
      </c>
    </row>
    <row r="2679" spans="2:8" ht="17.5" customHeight="1" x14ac:dyDescent="0.4">
      <c r="B2679" t="s">
        <v>7</v>
      </c>
      <c r="C2679" t="s">
        <v>614</v>
      </c>
      <c r="D2679" s="7">
        <f>DATE(2003,2,7)</f>
        <v>37659</v>
      </c>
      <c r="E2679" s="8">
        <f t="shared" si="43"/>
        <v>2003</v>
      </c>
      <c r="F2679" t="s">
        <v>616</v>
      </c>
      <c r="G2679" s="9">
        <v>706</v>
      </c>
      <c r="H2679" s="8">
        <v>166</v>
      </c>
    </row>
    <row r="2680" spans="2:8" ht="17.5" customHeight="1" x14ac:dyDescent="0.4">
      <c r="B2680" t="s">
        <v>7</v>
      </c>
      <c r="C2680" t="s">
        <v>614</v>
      </c>
      <c r="D2680" s="7">
        <f>DATE(2004,11,20)</f>
        <v>38311</v>
      </c>
      <c r="E2680" s="8">
        <f t="shared" si="43"/>
        <v>2004</v>
      </c>
      <c r="F2680" t="s">
        <v>616</v>
      </c>
      <c r="G2680" s="9">
        <v>5798.67</v>
      </c>
      <c r="H2680" s="8">
        <v>2389</v>
      </c>
    </row>
    <row r="2681" spans="2:8" ht="17.5" customHeight="1" x14ac:dyDescent="0.4">
      <c r="B2681" s="3" t="s">
        <v>7</v>
      </c>
      <c r="C2681" s="3" t="s">
        <v>614</v>
      </c>
      <c r="D2681" s="4">
        <f>DATE(2003,2,4)</f>
        <v>37656</v>
      </c>
      <c r="E2681" s="5">
        <f t="shared" si="43"/>
        <v>2003</v>
      </c>
      <c r="F2681" s="3" t="s">
        <v>616</v>
      </c>
      <c r="G2681" s="6">
        <v>763</v>
      </c>
      <c r="H2681" s="5">
        <v>195</v>
      </c>
    </row>
    <row r="2682" spans="2:8" ht="17.5" customHeight="1" x14ac:dyDescent="0.4">
      <c r="B2682" t="s">
        <v>7</v>
      </c>
      <c r="C2682" t="s">
        <v>617</v>
      </c>
      <c r="D2682" s="7">
        <f>DATE(2009,9,9)</f>
        <v>40065</v>
      </c>
      <c r="E2682" s="8">
        <f t="shared" si="43"/>
        <v>2009</v>
      </c>
      <c r="F2682" t="s">
        <v>618</v>
      </c>
      <c r="G2682" s="9">
        <v>2689.49</v>
      </c>
      <c r="H2682" s="8">
        <v>9047</v>
      </c>
    </row>
    <row r="2683" spans="2:8" ht="17.5" customHeight="1" x14ac:dyDescent="0.4">
      <c r="B2683" t="s">
        <v>7</v>
      </c>
      <c r="C2683" t="s">
        <v>619</v>
      </c>
      <c r="D2683" s="7">
        <f>DATE(2005,5,4)</f>
        <v>38476</v>
      </c>
      <c r="E2683" s="8">
        <f t="shared" si="43"/>
        <v>2005</v>
      </c>
      <c r="F2683" t="s">
        <v>620</v>
      </c>
      <c r="G2683" s="9">
        <v>4830.2700000000004</v>
      </c>
      <c r="H2683" s="8">
        <v>3170</v>
      </c>
    </row>
    <row r="2684" spans="2:8" ht="17.5" customHeight="1" x14ac:dyDescent="0.4">
      <c r="B2684" t="s">
        <v>7</v>
      </c>
      <c r="C2684" t="s">
        <v>621</v>
      </c>
      <c r="D2684" s="7">
        <f>DATE(2003,3,18)</f>
        <v>37698</v>
      </c>
      <c r="E2684" s="8">
        <f t="shared" si="43"/>
        <v>2003</v>
      </c>
      <c r="F2684" t="s">
        <v>622</v>
      </c>
      <c r="G2684" s="9">
        <v>3354.32</v>
      </c>
      <c r="H2684" s="8">
        <v>347</v>
      </c>
    </row>
    <row r="2685" spans="2:8" ht="17.5" customHeight="1" x14ac:dyDescent="0.4">
      <c r="B2685" t="s">
        <v>7</v>
      </c>
      <c r="C2685" t="s">
        <v>623</v>
      </c>
      <c r="D2685" s="7">
        <f>DATE(2003,8,5)</f>
        <v>37838</v>
      </c>
      <c r="E2685" s="8">
        <f t="shared" si="43"/>
        <v>2003</v>
      </c>
      <c r="F2685" t="s">
        <v>624</v>
      </c>
      <c r="G2685" s="9">
        <v>1707.16</v>
      </c>
      <c r="H2685" s="8">
        <v>791</v>
      </c>
    </row>
    <row r="2686" spans="2:8" ht="17.5" customHeight="1" x14ac:dyDescent="0.4">
      <c r="B2686" t="s">
        <v>7</v>
      </c>
      <c r="C2686" t="s">
        <v>625</v>
      </c>
      <c r="D2686" s="7">
        <f>DATE(2004,12,16)</f>
        <v>38337</v>
      </c>
      <c r="E2686" s="8">
        <f t="shared" si="43"/>
        <v>2004</v>
      </c>
      <c r="F2686" t="s">
        <v>626</v>
      </c>
      <c r="G2686" s="9">
        <v>4373.2299999999996</v>
      </c>
      <c r="H2686" s="8">
        <v>2436</v>
      </c>
    </row>
    <row r="2687" spans="2:8" ht="17.5" customHeight="1" x14ac:dyDescent="0.4">
      <c r="B2687" t="s">
        <v>7</v>
      </c>
      <c r="C2687" t="s">
        <v>627</v>
      </c>
      <c r="D2687" s="7">
        <f>DATE(2016,6,22)</f>
        <v>42543</v>
      </c>
      <c r="E2687" s="8">
        <f t="shared" si="43"/>
        <v>2016</v>
      </c>
      <c r="F2687" t="s">
        <v>628</v>
      </c>
      <c r="G2687" s="9">
        <v>20877.18</v>
      </c>
      <c r="H2687" s="8">
        <v>22960</v>
      </c>
    </row>
    <row r="2688" spans="2:8" ht="17.5" customHeight="1" x14ac:dyDescent="0.4">
      <c r="B2688" t="s">
        <v>7</v>
      </c>
      <c r="C2688" t="s">
        <v>627</v>
      </c>
      <c r="D2688" s="7">
        <f>DATE(2016,9,15)</f>
        <v>42628</v>
      </c>
      <c r="E2688" s="8">
        <f t="shared" si="43"/>
        <v>2016</v>
      </c>
      <c r="F2688" t="s">
        <v>628</v>
      </c>
      <c r="G2688" s="9">
        <v>20878.03</v>
      </c>
      <c r="H2688" s="8">
        <v>23406</v>
      </c>
    </row>
    <row r="2689" spans="2:8" ht="17.5" customHeight="1" x14ac:dyDescent="0.4">
      <c r="B2689" t="s">
        <v>7</v>
      </c>
      <c r="C2689" t="s">
        <v>627</v>
      </c>
      <c r="D2689" s="7">
        <f>DATE(2016,11,30)</f>
        <v>42704</v>
      </c>
      <c r="E2689" s="8">
        <f t="shared" si="43"/>
        <v>2016</v>
      </c>
      <c r="F2689" t="s">
        <v>628</v>
      </c>
      <c r="G2689" s="9">
        <v>11482.99</v>
      </c>
      <c r="H2689" s="8">
        <v>23758</v>
      </c>
    </row>
    <row r="2690" spans="2:8" ht="17.5" customHeight="1" x14ac:dyDescent="0.4">
      <c r="B2690" t="s">
        <v>7</v>
      </c>
      <c r="C2690" t="s">
        <v>627</v>
      </c>
      <c r="D2690" s="7">
        <f>DATE(2017,4,28)</f>
        <v>42853</v>
      </c>
      <c r="E2690" s="8">
        <f t="shared" si="43"/>
        <v>2017</v>
      </c>
      <c r="F2690" t="s">
        <v>628</v>
      </c>
      <c r="G2690" s="9">
        <v>318.39999999999998</v>
      </c>
      <c r="H2690" s="8">
        <v>24793</v>
      </c>
    </row>
    <row r="2691" spans="2:8" ht="17.5" customHeight="1" x14ac:dyDescent="0.4">
      <c r="B2691" t="s">
        <v>7</v>
      </c>
      <c r="C2691" t="s">
        <v>627</v>
      </c>
      <c r="D2691" s="7">
        <f>DATE(2017,5,19)</f>
        <v>42874</v>
      </c>
      <c r="E2691" s="8">
        <f t="shared" ref="E2691:E2754" si="44">YEAR(D2691)</f>
        <v>2017</v>
      </c>
      <c r="F2691" t="s">
        <v>628</v>
      </c>
      <c r="G2691" s="9">
        <v>2658.64</v>
      </c>
      <c r="H2691" s="8">
        <v>24940</v>
      </c>
    </row>
    <row r="2692" spans="2:8" ht="17.5" customHeight="1" x14ac:dyDescent="0.4">
      <c r="B2692" t="s">
        <v>7</v>
      </c>
      <c r="C2692" t="s">
        <v>627</v>
      </c>
      <c r="D2692" s="7">
        <f>DATE(2017,6,19)</f>
        <v>42905</v>
      </c>
      <c r="E2692" s="8">
        <f t="shared" si="44"/>
        <v>2017</v>
      </c>
      <c r="F2692" t="s">
        <v>628</v>
      </c>
      <c r="G2692" s="9">
        <v>11677.84</v>
      </c>
      <c r="H2692" s="8">
        <v>24865</v>
      </c>
    </row>
    <row r="2693" spans="2:8" ht="17.5" customHeight="1" x14ac:dyDescent="0.4">
      <c r="B2693" t="s">
        <v>7</v>
      </c>
      <c r="C2693" t="s">
        <v>627</v>
      </c>
      <c r="D2693" s="7">
        <f>DATE(2017,10,24)</f>
        <v>43032</v>
      </c>
      <c r="E2693" s="8">
        <f t="shared" si="44"/>
        <v>2017</v>
      </c>
      <c r="F2693" t="s">
        <v>628</v>
      </c>
      <c r="G2693" s="9">
        <v>5785.75</v>
      </c>
      <c r="H2693" s="8">
        <v>25764</v>
      </c>
    </row>
    <row r="2694" spans="2:8" ht="17.5" customHeight="1" x14ac:dyDescent="0.4">
      <c r="B2694" t="s">
        <v>7</v>
      </c>
      <c r="C2694" t="s">
        <v>627</v>
      </c>
      <c r="D2694" s="7">
        <f>DATE(2018,6,12)</f>
        <v>43263</v>
      </c>
      <c r="E2694" s="8">
        <f t="shared" si="44"/>
        <v>2018</v>
      </c>
      <c r="F2694" t="s">
        <v>628</v>
      </c>
      <c r="G2694" s="9">
        <v>20878</v>
      </c>
      <c r="H2694" s="8">
        <v>27045</v>
      </c>
    </row>
    <row r="2695" spans="2:8" ht="17.5" customHeight="1" x14ac:dyDescent="0.4">
      <c r="B2695" t="s">
        <v>7</v>
      </c>
      <c r="C2695" t="s">
        <v>627</v>
      </c>
      <c r="D2695" s="7">
        <f>DATE(2018,6,15)</f>
        <v>43266</v>
      </c>
      <c r="E2695" s="8">
        <f t="shared" si="44"/>
        <v>2018</v>
      </c>
      <c r="F2695" t="s">
        <v>628</v>
      </c>
      <c r="G2695" s="9">
        <v>19000</v>
      </c>
      <c r="H2695" s="8">
        <v>27228</v>
      </c>
    </row>
    <row r="2696" spans="2:8" ht="17.5" customHeight="1" x14ac:dyDescent="0.4">
      <c r="B2696" t="s">
        <v>7</v>
      </c>
      <c r="C2696" t="s">
        <v>627</v>
      </c>
      <c r="D2696" s="7">
        <f>DATE(2018,8,24)</f>
        <v>43336</v>
      </c>
      <c r="E2696" s="8">
        <f t="shared" si="44"/>
        <v>2018</v>
      </c>
      <c r="F2696" t="s">
        <v>628</v>
      </c>
      <c r="G2696" s="9">
        <v>19088.46</v>
      </c>
      <c r="H2696" s="8">
        <v>27541</v>
      </c>
    </row>
    <row r="2697" spans="2:8" ht="17.5" customHeight="1" x14ac:dyDescent="0.4">
      <c r="B2697" t="s">
        <v>7</v>
      </c>
      <c r="C2697" t="s">
        <v>627</v>
      </c>
      <c r="D2697" s="7">
        <f>DATE(2018,11,30)</f>
        <v>43434</v>
      </c>
      <c r="E2697" s="8">
        <f t="shared" si="44"/>
        <v>2018</v>
      </c>
      <c r="F2697" t="s">
        <v>628</v>
      </c>
      <c r="G2697" s="9">
        <v>317.39999999999998</v>
      </c>
      <c r="H2697" s="8">
        <v>28034</v>
      </c>
    </row>
    <row r="2698" spans="2:8" ht="17.5" customHeight="1" x14ac:dyDescent="0.4">
      <c r="B2698" t="s">
        <v>7</v>
      </c>
      <c r="C2698" t="s">
        <v>627</v>
      </c>
      <c r="D2698" s="7">
        <f>DATE(2019,2,27)</f>
        <v>43523</v>
      </c>
      <c r="E2698" s="8">
        <f t="shared" si="44"/>
        <v>2019</v>
      </c>
      <c r="F2698" t="s">
        <v>628</v>
      </c>
      <c r="G2698" s="9">
        <v>54149.88</v>
      </c>
      <c r="H2698" s="8">
        <v>28443</v>
      </c>
    </row>
    <row r="2699" spans="2:8" ht="17.5" customHeight="1" x14ac:dyDescent="0.4">
      <c r="B2699" t="s">
        <v>7</v>
      </c>
      <c r="C2699" t="s">
        <v>627</v>
      </c>
      <c r="D2699" s="7">
        <f>DATE(2019,3,25)</f>
        <v>43549</v>
      </c>
      <c r="E2699" s="8">
        <f t="shared" si="44"/>
        <v>2019</v>
      </c>
      <c r="F2699" t="s">
        <v>628</v>
      </c>
      <c r="G2699" s="9">
        <v>25524.46</v>
      </c>
      <c r="H2699" s="8">
        <v>28377</v>
      </c>
    </row>
    <row r="2700" spans="2:8" ht="17.5" customHeight="1" x14ac:dyDescent="0.4">
      <c r="B2700" t="s">
        <v>16</v>
      </c>
      <c r="C2700" t="s">
        <v>627</v>
      </c>
      <c r="D2700" s="7">
        <f>DATE(2018,6,14)</f>
        <v>43265</v>
      </c>
      <c r="E2700" s="8">
        <f t="shared" si="44"/>
        <v>2018</v>
      </c>
      <c r="F2700" t="s">
        <v>628</v>
      </c>
      <c r="G2700" s="9">
        <v>20878</v>
      </c>
      <c r="H2700" s="8">
        <v>27223</v>
      </c>
    </row>
    <row r="2701" spans="2:8" ht="17.5" customHeight="1" x14ac:dyDescent="0.4">
      <c r="B2701" t="s">
        <v>7</v>
      </c>
      <c r="C2701" t="s">
        <v>627</v>
      </c>
      <c r="D2701" s="7">
        <f>DATE(2003,2,25)</f>
        <v>37677</v>
      </c>
      <c r="E2701" s="8">
        <f t="shared" si="44"/>
        <v>2003</v>
      </c>
      <c r="F2701" t="s">
        <v>628</v>
      </c>
      <c r="G2701" s="9">
        <v>46784.09</v>
      </c>
      <c r="H2701" s="8">
        <v>221</v>
      </c>
    </row>
    <row r="2702" spans="2:8" ht="17.5" customHeight="1" x14ac:dyDescent="0.4">
      <c r="B2702" t="s">
        <v>7</v>
      </c>
      <c r="C2702" t="s">
        <v>627</v>
      </c>
      <c r="D2702" s="7">
        <f>DATE(2003,9,2)</f>
        <v>37866</v>
      </c>
      <c r="E2702" s="8">
        <f t="shared" si="44"/>
        <v>2003</v>
      </c>
      <c r="F2702" t="s">
        <v>628</v>
      </c>
      <c r="G2702" s="9">
        <v>1111</v>
      </c>
      <c r="H2702" s="8">
        <v>826</v>
      </c>
    </row>
    <row r="2703" spans="2:8" ht="17.5" customHeight="1" x14ac:dyDescent="0.4">
      <c r="B2703" t="s">
        <v>7</v>
      </c>
      <c r="C2703" t="s">
        <v>627</v>
      </c>
      <c r="D2703" s="7">
        <f>DATE(2004,4,16)</f>
        <v>38093</v>
      </c>
      <c r="E2703" s="8">
        <f t="shared" si="44"/>
        <v>2004</v>
      </c>
      <c r="F2703" t="s">
        <v>628</v>
      </c>
      <c r="G2703" s="9">
        <v>40041.25</v>
      </c>
      <c r="H2703" s="8">
        <v>1474</v>
      </c>
    </row>
    <row r="2704" spans="2:8" ht="17.5" customHeight="1" x14ac:dyDescent="0.4">
      <c r="B2704" t="s">
        <v>7</v>
      </c>
      <c r="C2704" t="s">
        <v>627</v>
      </c>
      <c r="D2704" s="7">
        <f>DATE(2005,3,5)</f>
        <v>38416</v>
      </c>
      <c r="E2704" s="8">
        <f t="shared" si="44"/>
        <v>2005</v>
      </c>
      <c r="F2704" t="s">
        <v>628</v>
      </c>
      <c r="G2704" s="9">
        <v>51968.25</v>
      </c>
      <c r="H2704" s="8">
        <v>2348</v>
      </c>
    </row>
    <row r="2705" spans="2:8" ht="17.5" customHeight="1" x14ac:dyDescent="0.4">
      <c r="B2705" t="s">
        <v>7</v>
      </c>
      <c r="C2705" t="s">
        <v>627</v>
      </c>
      <c r="D2705" s="7">
        <f>DATE(2005,3,24)</f>
        <v>38435</v>
      </c>
      <c r="E2705" s="8">
        <f t="shared" si="44"/>
        <v>2005</v>
      </c>
      <c r="F2705" t="s">
        <v>628</v>
      </c>
      <c r="G2705" s="9">
        <v>21952.03</v>
      </c>
      <c r="H2705" s="8">
        <v>2929</v>
      </c>
    </row>
    <row r="2706" spans="2:8" ht="17.5" customHeight="1" x14ac:dyDescent="0.4">
      <c r="B2706" t="s">
        <v>7</v>
      </c>
      <c r="C2706" t="s">
        <v>627</v>
      </c>
      <c r="D2706" s="7">
        <f>DATE(2006,2,28)</f>
        <v>38776</v>
      </c>
      <c r="E2706" s="8">
        <f t="shared" si="44"/>
        <v>2006</v>
      </c>
      <c r="F2706" t="s">
        <v>628</v>
      </c>
      <c r="G2706" s="9">
        <v>64783.75</v>
      </c>
      <c r="H2706" s="8">
        <v>4029</v>
      </c>
    </row>
    <row r="2707" spans="2:8" ht="17.5" customHeight="1" x14ac:dyDescent="0.4">
      <c r="B2707" t="s">
        <v>7</v>
      </c>
      <c r="C2707" t="s">
        <v>627</v>
      </c>
      <c r="D2707" s="7">
        <f>DATE(2006,9,30)</f>
        <v>38990</v>
      </c>
      <c r="E2707" s="8">
        <f t="shared" si="44"/>
        <v>2006</v>
      </c>
      <c r="F2707" t="s">
        <v>628</v>
      </c>
      <c r="G2707" s="9">
        <v>65073.75</v>
      </c>
      <c r="H2707" s="8">
        <v>4999</v>
      </c>
    </row>
    <row r="2708" spans="2:8" ht="17.5" customHeight="1" x14ac:dyDescent="0.4">
      <c r="B2708" t="s">
        <v>7</v>
      </c>
      <c r="C2708" t="s">
        <v>627</v>
      </c>
      <c r="D2708" s="7">
        <f>DATE(2007,4,1)</f>
        <v>39173</v>
      </c>
      <c r="E2708" s="8">
        <f t="shared" si="44"/>
        <v>2007</v>
      </c>
      <c r="F2708" t="s">
        <v>628</v>
      </c>
      <c r="G2708" s="9">
        <v>55844.97</v>
      </c>
      <c r="H2708" s="8">
        <v>5318</v>
      </c>
    </row>
    <row r="2709" spans="2:8" ht="17.5" customHeight="1" x14ac:dyDescent="0.4">
      <c r="B2709" t="s">
        <v>7</v>
      </c>
      <c r="C2709" t="s">
        <v>627</v>
      </c>
      <c r="D2709" s="7">
        <f>DATE(2007,9,30)</f>
        <v>39355</v>
      </c>
      <c r="E2709" s="8">
        <f t="shared" si="44"/>
        <v>2007</v>
      </c>
      <c r="F2709" t="s">
        <v>628</v>
      </c>
      <c r="G2709" s="9">
        <v>68164.19</v>
      </c>
      <c r="H2709" s="8">
        <v>6376</v>
      </c>
    </row>
    <row r="2710" spans="2:8" ht="17.5" customHeight="1" x14ac:dyDescent="0.4">
      <c r="B2710" t="s">
        <v>7</v>
      </c>
      <c r="C2710" t="s">
        <v>627</v>
      </c>
      <c r="D2710" s="7">
        <f>DATE(2008,2,29)</f>
        <v>39507</v>
      </c>
      <c r="E2710" s="8">
        <f t="shared" si="44"/>
        <v>2008</v>
      </c>
      <c r="F2710" t="s">
        <v>628</v>
      </c>
      <c r="G2710" s="9">
        <v>137542.63</v>
      </c>
      <c r="H2710" s="8">
        <v>6752</v>
      </c>
    </row>
    <row r="2711" spans="2:8" ht="17.5" customHeight="1" x14ac:dyDescent="0.4">
      <c r="B2711" t="s">
        <v>7</v>
      </c>
      <c r="C2711" t="s">
        <v>627</v>
      </c>
      <c r="D2711" s="7">
        <f>DATE(2008,10,22)</f>
        <v>39743</v>
      </c>
      <c r="E2711" s="8">
        <f t="shared" si="44"/>
        <v>2008</v>
      </c>
      <c r="F2711" t="s">
        <v>628</v>
      </c>
      <c r="G2711" s="9">
        <v>68653.649999999994</v>
      </c>
      <c r="H2711" s="8">
        <v>7734</v>
      </c>
    </row>
    <row r="2712" spans="2:8" ht="17.5" customHeight="1" x14ac:dyDescent="0.4">
      <c r="B2712" t="s">
        <v>7</v>
      </c>
      <c r="C2712" t="s">
        <v>627</v>
      </c>
      <c r="D2712" s="7">
        <f>DATE(2009,3,23)</f>
        <v>39895</v>
      </c>
      <c r="E2712" s="8">
        <f t="shared" si="44"/>
        <v>2009</v>
      </c>
      <c r="F2712" t="s">
        <v>628</v>
      </c>
      <c r="G2712" s="9">
        <v>90518.19</v>
      </c>
      <c r="H2712" s="8">
        <v>8235</v>
      </c>
    </row>
    <row r="2713" spans="2:8" ht="17.5" customHeight="1" x14ac:dyDescent="0.4">
      <c r="B2713" t="s">
        <v>7</v>
      </c>
      <c r="C2713" t="s">
        <v>627</v>
      </c>
      <c r="D2713" s="7">
        <f>DATE(2009,10,23)</f>
        <v>40109</v>
      </c>
      <c r="E2713" s="8">
        <f t="shared" si="44"/>
        <v>2009</v>
      </c>
      <c r="F2713" t="s">
        <v>628</v>
      </c>
      <c r="G2713" s="9">
        <v>63213.33</v>
      </c>
      <c r="H2713" s="8">
        <v>9039</v>
      </c>
    </row>
    <row r="2714" spans="2:8" ht="17.5" customHeight="1" x14ac:dyDescent="0.4">
      <c r="B2714" t="s">
        <v>7</v>
      </c>
      <c r="C2714" t="s">
        <v>627</v>
      </c>
      <c r="D2714" s="7">
        <f>DATE(2010,3,5)</f>
        <v>40242</v>
      </c>
      <c r="E2714" s="8">
        <f t="shared" si="44"/>
        <v>2010</v>
      </c>
      <c r="F2714" t="s">
        <v>628</v>
      </c>
      <c r="G2714" s="9">
        <v>44257.97</v>
      </c>
      <c r="H2714" s="8">
        <v>9419</v>
      </c>
    </row>
    <row r="2715" spans="2:8" ht="17.5" customHeight="1" x14ac:dyDescent="0.4">
      <c r="B2715" t="s">
        <v>7</v>
      </c>
      <c r="C2715" t="s">
        <v>627</v>
      </c>
      <c r="D2715" s="7">
        <f>DATE(2010,3,5)</f>
        <v>40242</v>
      </c>
      <c r="E2715" s="8">
        <f t="shared" si="44"/>
        <v>2010</v>
      </c>
      <c r="F2715" t="s">
        <v>628</v>
      </c>
      <c r="G2715" s="9">
        <v>96160.75</v>
      </c>
      <c r="H2715" s="8">
        <v>9414</v>
      </c>
    </row>
    <row r="2716" spans="2:8" ht="17.5" customHeight="1" x14ac:dyDescent="0.4">
      <c r="B2716" t="s">
        <v>7</v>
      </c>
      <c r="C2716" t="s">
        <v>627</v>
      </c>
      <c r="D2716" s="7">
        <f>DATE(2010,3,24)</f>
        <v>40261</v>
      </c>
      <c r="E2716" s="8">
        <f t="shared" si="44"/>
        <v>2010</v>
      </c>
      <c r="F2716" t="s">
        <v>628</v>
      </c>
      <c r="G2716" s="9">
        <v>4277.8900000000003</v>
      </c>
      <c r="H2716" s="8">
        <v>9678</v>
      </c>
    </row>
    <row r="2717" spans="2:8" ht="17.5" customHeight="1" x14ac:dyDescent="0.4">
      <c r="B2717" t="s">
        <v>7</v>
      </c>
      <c r="C2717" t="s">
        <v>627</v>
      </c>
      <c r="D2717" s="7">
        <f>DATE(2010,10,13)</f>
        <v>40464</v>
      </c>
      <c r="E2717" s="8">
        <f t="shared" si="44"/>
        <v>2010</v>
      </c>
      <c r="F2717" t="s">
        <v>628</v>
      </c>
      <c r="G2717" s="9">
        <v>117148.86</v>
      </c>
      <c r="H2717" s="8">
        <v>9504</v>
      </c>
    </row>
    <row r="2718" spans="2:8" ht="17.5" customHeight="1" x14ac:dyDescent="0.4">
      <c r="B2718" t="s">
        <v>7</v>
      </c>
      <c r="C2718" t="s">
        <v>627</v>
      </c>
      <c r="D2718" s="7">
        <f>DATE(2011,3,10)</f>
        <v>40612</v>
      </c>
      <c r="E2718" s="8">
        <f t="shared" si="44"/>
        <v>2011</v>
      </c>
      <c r="F2718" t="s">
        <v>628</v>
      </c>
      <c r="G2718" s="9">
        <v>112007.25</v>
      </c>
      <c r="H2718" s="8">
        <v>10359</v>
      </c>
    </row>
    <row r="2719" spans="2:8" ht="17.5" customHeight="1" x14ac:dyDescent="0.4">
      <c r="B2719" t="s">
        <v>7</v>
      </c>
      <c r="C2719" t="s">
        <v>627</v>
      </c>
      <c r="D2719" s="7">
        <f>DATE(2011,3,14)</f>
        <v>40616</v>
      </c>
      <c r="E2719" s="8">
        <f t="shared" si="44"/>
        <v>2011</v>
      </c>
      <c r="F2719" t="s">
        <v>628</v>
      </c>
      <c r="G2719" s="9">
        <v>15758.26</v>
      </c>
      <c r="H2719" s="8">
        <v>10360</v>
      </c>
    </row>
    <row r="2720" spans="2:8" ht="17.5" customHeight="1" x14ac:dyDescent="0.4">
      <c r="B2720" t="s">
        <v>7</v>
      </c>
      <c r="C2720" t="s">
        <v>627</v>
      </c>
      <c r="D2720" s="7">
        <f>DATE(2011,10,13)</f>
        <v>40829</v>
      </c>
      <c r="E2720" s="8">
        <f t="shared" si="44"/>
        <v>2011</v>
      </c>
      <c r="F2720" t="s">
        <v>628</v>
      </c>
      <c r="G2720" s="9">
        <v>77892.160000000003</v>
      </c>
      <c r="H2720" s="8">
        <v>10900</v>
      </c>
    </row>
    <row r="2721" spans="2:8" ht="17.5" customHeight="1" x14ac:dyDescent="0.4">
      <c r="B2721" t="s">
        <v>7</v>
      </c>
      <c r="C2721" t="s">
        <v>627</v>
      </c>
      <c r="D2721" s="7">
        <f>DATE(2012,3,27)</f>
        <v>40995</v>
      </c>
      <c r="E2721" s="8">
        <f t="shared" si="44"/>
        <v>2012</v>
      </c>
      <c r="F2721" t="s">
        <v>628</v>
      </c>
      <c r="G2721" s="9">
        <v>26570.01</v>
      </c>
      <c r="H2721" s="8">
        <v>11276</v>
      </c>
    </row>
    <row r="2722" spans="2:8" ht="17.5" customHeight="1" x14ac:dyDescent="0.4">
      <c r="B2722" t="s">
        <v>7</v>
      </c>
      <c r="C2722" t="s">
        <v>627</v>
      </c>
      <c r="D2722" s="7">
        <f>DATE(2012,3,27)</f>
        <v>40995</v>
      </c>
      <c r="E2722" s="8">
        <f t="shared" si="44"/>
        <v>2012</v>
      </c>
      <c r="F2722" t="s">
        <v>628</v>
      </c>
      <c r="G2722" s="9">
        <v>104706.98</v>
      </c>
      <c r="H2722" s="8">
        <v>11174</v>
      </c>
    </row>
    <row r="2723" spans="2:8" ht="17.5" customHeight="1" x14ac:dyDescent="0.4">
      <c r="B2723" t="s">
        <v>7</v>
      </c>
      <c r="C2723" t="s">
        <v>627</v>
      </c>
      <c r="D2723" s="7">
        <f>DATE(2011,3,21)</f>
        <v>40623</v>
      </c>
      <c r="E2723" s="8">
        <f t="shared" si="44"/>
        <v>2011</v>
      </c>
      <c r="F2723" t="s">
        <v>628</v>
      </c>
      <c r="G2723" s="9">
        <v>3667.6</v>
      </c>
      <c r="H2723" s="8">
        <v>10589</v>
      </c>
    </row>
    <row r="2724" spans="2:8" ht="17.5" customHeight="1" x14ac:dyDescent="0.4">
      <c r="B2724" t="s">
        <v>7</v>
      </c>
      <c r="C2724" t="s">
        <v>627</v>
      </c>
      <c r="D2724" s="7">
        <f>DATE(2011,3,23)</f>
        <v>40625</v>
      </c>
      <c r="E2724" s="8">
        <f t="shared" si="44"/>
        <v>2011</v>
      </c>
      <c r="F2724" t="s">
        <v>628</v>
      </c>
      <c r="G2724" s="9">
        <v>3802.6</v>
      </c>
      <c r="H2724" s="8">
        <v>10591</v>
      </c>
    </row>
    <row r="2725" spans="2:8" ht="17.5" customHeight="1" x14ac:dyDescent="0.4">
      <c r="B2725" t="s">
        <v>16</v>
      </c>
      <c r="C2725" t="s">
        <v>627</v>
      </c>
      <c r="D2725" s="7">
        <f>DATE(2011,3,10)</f>
        <v>40612</v>
      </c>
      <c r="E2725" s="8">
        <f t="shared" si="44"/>
        <v>2011</v>
      </c>
      <c r="F2725" t="s">
        <v>628</v>
      </c>
      <c r="G2725" s="9">
        <v>4800</v>
      </c>
      <c r="H2725" s="8">
        <v>10604</v>
      </c>
    </row>
    <row r="2726" spans="2:8" ht="17.5" customHeight="1" x14ac:dyDescent="0.4">
      <c r="B2726" s="3" t="s">
        <v>7</v>
      </c>
      <c r="C2726" s="3" t="s">
        <v>627</v>
      </c>
      <c r="D2726" s="4">
        <f>DATE(2003,10,9)</f>
        <v>37903</v>
      </c>
      <c r="E2726" s="5">
        <f t="shared" si="44"/>
        <v>2003</v>
      </c>
      <c r="F2726" s="3" t="s">
        <v>628</v>
      </c>
      <c r="G2726" s="6">
        <v>7215</v>
      </c>
      <c r="H2726" s="5">
        <v>1620</v>
      </c>
    </row>
    <row r="2727" spans="2:8" ht="17.5" customHeight="1" x14ac:dyDescent="0.4">
      <c r="B2727" s="3" t="s">
        <v>7</v>
      </c>
      <c r="C2727" s="3" t="s">
        <v>627</v>
      </c>
      <c r="D2727" s="4">
        <f>DATE(2004,1,22)</f>
        <v>38008</v>
      </c>
      <c r="E2727" s="5">
        <f t="shared" si="44"/>
        <v>2004</v>
      </c>
      <c r="F2727" s="3" t="s">
        <v>628</v>
      </c>
      <c r="G2727" s="6">
        <v>427.8</v>
      </c>
      <c r="H2727" s="5">
        <v>1972</v>
      </c>
    </row>
    <row r="2728" spans="2:8" ht="17.5" customHeight="1" x14ac:dyDescent="0.4">
      <c r="B2728" s="3" t="s">
        <v>7</v>
      </c>
      <c r="C2728" s="3" t="s">
        <v>627</v>
      </c>
      <c r="D2728" s="4">
        <f>DATE(2004,4,5)</f>
        <v>38082</v>
      </c>
      <c r="E2728" s="5">
        <f t="shared" si="44"/>
        <v>2004</v>
      </c>
      <c r="F2728" s="3" t="s">
        <v>628</v>
      </c>
      <c r="G2728" s="6">
        <v>14231.25</v>
      </c>
      <c r="H2728" s="5">
        <v>2294</v>
      </c>
    </row>
    <row r="2729" spans="2:8" ht="17.5" customHeight="1" x14ac:dyDescent="0.4">
      <c r="B2729" s="3" t="s">
        <v>7</v>
      </c>
      <c r="C2729" s="3" t="s">
        <v>627</v>
      </c>
      <c r="D2729" s="4">
        <f>DATE(2004,4,28)</f>
        <v>38105</v>
      </c>
      <c r="E2729" s="5">
        <f t="shared" si="44"/>
        <v>2004</v>
      </c>
      <c r="F2729" s="3" t="s">
        <v>628</v>
      </c>
      <c r="G2729" s="6">
        <v>5760</v>
      </c>
      <c r="H2729" s="5">
        <v>2728</v>
      </c>
    </row>
    <row r="2730" spans="2:8" ht="17.5" customHeight="1" x14ac:dyDescent="0.4">
      <c r="B2730" s="3" t="s">
        <v>7</v>
      </c>
      <c r="C2730" s="3" t="s">
        <v>627</v>
      </c>
      <c r="D2730" s="4">
        <f>DATE(2004,6,30)</f>
        <v>38168</v>
      </c>
      <c r="E2730" s="5">
        <f t="shared" si="44"/>
        <v>2004</v>
      </c>
      <c r="F2730" s="3" t="s">
        <v>628</v>
      </c>
      <c r="G2730" s="6">
        <v>228.16</v>
      </c>
      <c r="H2730" s="5">
        <v>3042</v>
      </c>
    </row>
    <row r="2731" spans="2:8" ht="17.5" customHeight="1" x14ac:dyDescent="0.4">
      <c r="B2731" s="3" t="s">
        <v>7</v>
      </c>
      <c r="C2731" s="3" t="s">
        <v>627</v>
      </c>
      <c r="D2731" s="4">
        <f>DATE(2005,3,5)</f>
        <v>38416</v>
      </c>
      <c r="E2731" s="5">
        <f t="shared" si="44"/>
        <v>2005</v>
      </c>
      <c r="F2731" s="3" t="s">
        <v>628</v>
      </c>
      <c r="G2731" s="6">
        <v>14231.25</v>
      </c>
      <c r="H2731" s="5">
        <v>3659</v>
      </c>
    </row>
    <row r="2732" spans="2:8" ht="17.5" customHeight="1" x14ac:dyDescent="0.4">
      <c r="B2732" s="3" t="s">
        <v>7</v>
      </c>
      <c r="C2732" s="3" t="s">
        <v>627</v>
      </c>
      <c r="D2732" s="4">
        <f>DATE(2005,4,20)</f>
        <v>38462</v>
      </c>
      <c r="E2732" s="5">
        <f t="shared" si="44"/>
        <v>2005</v>
      </c>
      <c r="F2732" s="3" t="s">
        <v>628</v>
      </c>
      <c r="G2732" s="6">
        <v>46.2</v>
      </c>
      <c r="H2732" s="5">
        <v>4593</v>
      </c>
    </row>
    <row r="2733" spans="2:8" ht="17.5" customHeight="1" x14ac:dyDescent="0.4">
      <c r="B2733" s="3" t="s">
        <v>7</v>
      </c>
      <c r="C2733" s="3" t="s">
        <v>627</v>
      </c>
      <c r="D2733" s="4">
        <f>DATE(2005,8,9)</f>
        <v>38573</v>
      </c>
      <c r="E2733" s="5">
        <f t="shared" si="44"/>
        <v>2005</v>
      </c>
      <c r="F2733" s="3" t="s">
        <v>628</v>
      </c>
      <c r="G2733" s="6">
        <v>6900</v>
      </c>
      <c r="H2733" s="5">
        <v>5083</v>
      </c>
    </row>
    <row r="2734" spans="2:8" ht="17.5" customHeight="1" x14ac:dyDescent="0.4">
      <c r="B2734" s="3" t="s">
        <v>7</v>
      </c>
      <c r="C2734" s="3" t="s">
        <v>627</v>
      </c>
      <c r="D2734" s="4">
        <f>DATE(2006,3,3)</f>
        <v>38779</v>
      </c>
      <c r="E2734" s="5">
        <f t="shared" si="44"/>
        <v>2006</v>
      </c>
      <c r="F2734" s="3" t="s">
        <v>628</v>
      </c>
      <c r="G2734" s="6">
        <v>14231.25</v>
      </c>
      <c r="H2734" s="5">
        <v>5821</v>
      </c>
    </row>
    <row r="2735" spans="2:8" ht="17.5" customHeight="1" x14ac:dyDescent="0.4">
      <c r="B2735" s="3" t="s">
        <v>7</v>
      </c>
      <c r="C2735" s="3" t="s">
        <v>627</v>
      </c>
      <c r="D2735" s="4">
        <f>DATE(2007,2,28)</f>
        <v>39141</v>
      </c>
      <c r="E2735" s="5">
        <f t="shared" si="44"/>
        <v>2007</v>
      </c>
      <c r="F2735" s="3" t="s">
        <v>628</v>
      </c>
      <c r="G2735" s="6">
        <v>14850</v>
      </c>
      <c r="H2735" s="5">
        <v>7817</v>
      </c>
    </row>
    <row r="2736" spans="2:8" ht="17.5" customHeight="1" x14ac:dyDescent="0.4">
      <c r="B2736" s="3" t="s">
        <v>7</v>
      </c>
      <c r="C2736" s="3" t="s">
        <v>627</v>
      </c>
      <c r="D2736" s="4">
        <f>DATE(2007,9,13)</f>
        <v>39338</v>
      </c>
      <c r="E2736" s="5">
        <f t="shared" si="44"/>
        <v>2007</v>
      </c>
      <c r="F2736" s="3" t="s">
        <v>628</v>
      </c>
      <c r="G2736" s="6">
        <v>7600</v>
      </c>
      <c r="H2736" s="5">
        <v>9150</v>
      </c>
    </row>
    <row r="2737" spans="2:8" ht="17.5" customHeight="1" x14ac:dyDescent="0.4">
      <c r="B2737" s="3" t="s">
        <v>7</v>
      </c>
      <c r="C2737" s="3" t="s">
        <v>627</v>
      </c>
      <c r="D2737" s="4">
        <f>DATE(2007,12,14)</f>
        <v>39430</v>
      </c>
      <c r="E2737" s="5">
        <f t="shared" si="44"/>
        <v>2007</v>
      </c>
      <c r="F2737" s="3" t="s">
        <v>628</v>
      </c>
      <c r="G2737" s="6">
        <v>384</v>
      </c>
      <c r="H2737" s="5">
        <v>9568</v>
      </c>
    </row>
    <row r="2738" spans="2:8" ht="17.5" customHeight="1" x14ac:dyDescent="0.4">
      <c r="B2738" s="3" t="s">
        <v>7</v>
      </c>
      <c r="C2738" s="3" t="s">
        <v>627</v>
      </c>
      <c r="D2738" s="4">
        <f>DATE(2008,4,9)</f>
        <v>39547</v>
      </c>
      <c r="E2738" s="5">
        <f t="shared" si="44"/>
        <v>2008</v>
      </c>
      <c r="F2738" s="3" t="s">
        <v>628</v>
      </c>
      <c r="G2738" s="6">
        <v>9500</v>
      </c>
      <c r="H2738" s="5">
        <v>10349</v>
      </c>
    </row>
    <row r="2739" spans="2:8" ht="17.5" customHeight="1" x14ac:dyDescent="0.4">
      <c r="B2739" s="3" t="s">
        <v>7</v>
      </c>
      <c r="C2739" s="3" t="s">
        <v>627</v>
      </c>
      <c r="D2739" s="4">
        <f>DATE(2009,3,9)</f>
        <v>39881</v>
      </c>
      <c r="E2739" s="5">
        <f t="shared" si="44"/>
        <v>2009</v>
      </c>
      <c r="F2739" s="3" t="s">
        <v>628</v>
      </c>
      <c r="G2739" s="6">
        <v>14437.5</v>
      </c>
      <c r="H2739" s="5">
        <v>11825</v>
      </c>
    </row>
    <row r="2740" spans="2:8" ht="17.5" customHeight="1" x14ac:dyDescent="0.4">
      <c r="B2740" s="3" t="s">
        <v>7</v>
      </c>
      <c r="C2740" s="3" t="s">
        <v>627</v>
      </c>
      <c r="D2740" s="4">
        <f>DATE(2011,1,13)</f>
        <v>40556</v>
      </c>
      <c r="E2740" s="5">
        <f t="shared" si="44"/>
        <v>2011</v>
      </c>
      <c r="F2740" s="3" t="s">
        <v>628</v>
      </c>
      <c r="G2740" s="6">
        <v>9500</v>
      </c>
      <c r="H2740" s="5">
        <v>14816</v>
      </c>
    </row>
    <row r="2741" spans="2:8" ht="17.5" customHeight="1" x14ac:dyDescent="0.4">
      <c r="B2741" s="3" t="s">
        <v>7</v>
      </c>
      <c r="C2741" s="3" t="s">
        <v>627</v>
      </c>
      <c r="D2741" s="4">
        <f>DATE(2011,3,10)</f>
        <v>40612</v>
      </c>
      <c r="E2741" s="5">
        <f t="shared" si="44"/>
        <v>2011</v>
      </c>
      <c r="F2741" s="3" t="s">
        <v>628</v>
      </c>
      <c r="G2741" s="6">
        <v>15675</v>
      </c>
      <c r="H2741" s="5">
        <v>14899</v>
      </c>
    </row>
    <row r="2742" spans="2:8" ht="17.5" customHeight="1" x14ac:dyDescent="0.4">
      <c r="B2742" s="3" t="s">
        <v>7</v>
      </c>
      <c r="C2742" s="3" t="s">
        <v>627</v>
      </c>
      <c r="D2742" s="4">
        <f>DATE(2011,5,17)</f>
        <v>40680</v>
      </c>
      <c r="E2742" s="5">
        <f t="shared" si="44"/>
        <v>2011</v>
      </c>
      <c r="F2742" s="3" t="s">
        <v>628</v>
      </c>
      <c r="G2742" s="6">
        <v>104</v>
      </c>
      <c r="H2742" s="5">
        <v>15583</v>
      </c>
    </row>
    <row r="2743" spans="2:8" ht="17.5" customHeight="1" x14ac:dyDescent="0.4">
      <c r="B2743" s="3" t="s">
        <v>7</v>
      </c>
      <c r="C2743" s="3" t="s">
        <v>627</v>
      </c>
      <c r="D2743" s="4">
        <f>DATE(2011,6,14)</f>
        <v>40708</v>
      </c>
      <c r="E2743" s="5">
        <f t="shared" si="44"/>
        <v>2011</v>
      </c>
      <c r="F2743" s="3" t="s">
        <v>628</v>
      </c>
      <c r="G2743" s="6">
        <v>208</v>
      </c>
      <c r="H2743" s="5">
        <v>15687</v>
      </c>
    </row>
    <row r="2744" spans="2:8" ht="17.5" customHeight="1" x14ac:dyDescent="0.4">
      <c r="B2744" s="3" t="s">
        <v>7</v>
      </c>
      <c r="C2744" s="3" t="s">
        <v>627</v>
      </c>
      <c r="D2744" s="4">
        <f>DATE(2011,6,23)</f>
        <v>40717</v>
      </c>
      <c r="E2744" s="5">
        <f t="shared" si="44"/>
        <v>2011</v>
      </c>
      <c r="F2744" s="3" t="s">
        <v>628</v>
      </c>
      <c r="G2744" s="6">
        <v>104</v>
      </c>
      <c r="H2744" s="5">
        <v>15720</v>
      </c>
    </row>
    <row r="2745" spans="2:8" ht="17.5" customHeight="1" x14ac:dyDescent="0.4">
      <c r="B2745" s="3" t="s">
        <v>7</v>
      </c>
      <c r="C2745" s="3" t="s">
        <v>627</v>
      </c>
      <c r="D2745" s="4">
        <f>DATE(2011,9,1)</f>
        <v>40787</v>
      </c>
      <c r="E2745" s="5">
        <f t="shared" si="44"/>
        <v>2011</v>
      </c>
      <c r="F2745" s="3" t="s">
        <v>628</v>
      </c>
      <c r="G2745" s="6">
        <v>2810</v>
      </c>
      <c r="H2745" s="5">
        <v>15914</v>
      </c>
    </row>
    <row r="2746" spans="2:8" ht="17.5" customHeight="1" x14ac:dyDescent="0.4">
      <c r="B2746" s="3" t="s">
        <v>7</v>
      </c>
      <c r="C2746" s="3" t="s">
        <v>627</v>
      </c>
      <c r="D2746" s="4">
        <f>DATE(2011,9,22)</f>
        <v>40808</v>
      </c>
      <c r="E2746" s="5">
        <f t="shared" si="44"/>
        <v>2011</v>
      </c>
      <c r="F2746" s="3" t="s">
        <v>628</v>
      </c>
      <c r="G2746" s="6">
        <v>1920</v>
      </c>
      <c r="H2746" s="5">
        <v>15973</v>
      </c>
    </row>
    <row r="2747" spans="2:8" ht="17.5" customHeight="1" x14ac:dyDescent="0.4">
      <c r="B2747" s="3" t="s">
        <v>7</v>
      </c>
      <c r="C2747" s="3" t="s">
        <v>627</v>
      </c>
      <c r="D2747" s="4">
        <f>DATE(2012,2,1)</f>
        <v>40940</v>
      </c>
      <c r="E2747" s="5">
        <f t="shared" si="44"/>
        <v>2012</v>
      </c>
      <c r="F2747" s="3" t="s">
        <v>628</v>
      </c>
      <c r="G2747" s="6">
        <v>9500</v>
      </c>
      <c r="H2747" s="5">
        <v>16470</v>
      </c>
    </row>
    <row r="2748" spans="2:8" ht="17.5" customHeight="1" x14ac:dyDescent="0.4">
      <c r="B2748" s="3" t="s">
        <v>7</v>
      </c>
      <c r="C2748" s="3" t="s">
        <v>627</v>
      </c>
      <c r="D2748" s="4">
        <f>DATE(2012,2,24)</f>
        <v>40963</v>
      </c>
      <c r="E2748" s="5">
        <f t="shared" si="44"/>
        <v>2012</v>
      </c>
      <c r="F2748" s="3" t="s">
        <v>628</v>
      </c>
      <c r="G2748" s="6">
        <v>15903</v>
      </c>
      <c r="H2748" s="5">
        <v>16269</v>
      </c>
    </row>
    <row r="2749" spans="2:8" ht="17.5" customHeight="1" x14ac:dyDescent="0.4">
      <c r="B2749" s="3" t="s">
        <v>7</v>
      </c>
      <c r="C2749" s="3" t="s">
        <v>627</v>
      </c>
      <c r="D2749" s="4">
        <f>DATE(2014,12,8)</f>
        <v>41981</v>
      </c>
      <c r="E2749" s="5">
        <f t="shared" si="44"/>
        <v>2014</v>
      </c>
      <c r="F2749" s="3" t="s">
        <v>628</v>
      </c>
      <c r="G2749" s="6">
        <v>20863.34</v>
      </c>
      <c r="H2749" s="5">
        <v>20521</v>
      </c>
    </row>
    <row r="2750" spans="2:8" ht="17.5" customHeight="1" x14ac:dyDescent="0.4">
      <c r="B2750" t="s">
        <v>7</v>
      </c>
      <c r="C2750" t="s">
        <v>629</v>
      </c>
      <c r="D2750" s="7">
        <f>DATE(2006,7,25)</f>
        <v>38923</v>
      </c>
      <c r="E2750" s="8">
        <f t="shared" si="44"/>
        <v>2006</v>
      </c>
      <c r="F2750" t="s">
        <v>630</v>
      </c>
      <c r="G2750" s="9">
        <v>1365.33</v>
      </c>
      <c r="H2750" s="8">
        <v>4809</v>
      </c>
    </row>
    <row r="2751" spans="2:8" ht="17.5" customHeight="1" x14ac:dyDescent="0.4">
      <c r="B2751" t="s">
        <v>7</v>
      </c>
      <c r="C2751" t="s">
        <v>629</v>
      </c>
      <c r="D2751" s="7">
        <f>DATE(2005,10,14)</f>
        <v>38639</v>
      </c>
      <c r="E2751" s="8">
        <f t="shared" si="44"/>
        <v>2005</v>
      </c>
      <c r="F2751" t="s">
        <v>631</v>
      </c>
      <c r="G2751" s="9">
        <v>34128.15</v>
      </c>
      <c r="H2751" s="8">
        <v>3304</v>
      </c>
    </row>
    <row r="2752" spans="2:8" ht="17.5" customHeight="1" x14ac:dyDescent="0.4">
      <c r="B2752" t="s">
        <v>7</v>
      </c>
      <c r="C2752" t="s">
        <v>629</v>
      </c>
      <c r="D2752" s="7">
        <f>DATE(2005,10,12)</f>
        <v>38637</v>
      </c>
      <c r="E2752" s="8">
        <f t="shared" si="44"/>
        <v>2005</v>
      </c>
      <c r="F2752" t="s">
        <v>631</v>
      </c>
      <c r="G2752" s="9">
        <v>31989.599999999999</v>
      </c>
      <c r="H2752" s="8">
        <v>3303</v>
      </c>
    </row>
    <row r="2753" spans="2:8" ht="17.5" customHeight="1" x14ac:dyDescent="0.4">
      <c r="B2753" t="s">
        <v>7</v>
      </c>
      <c r="C2753" t="s">
        <v>629</v>
      </c>
      <c r="D2753" s="7">
        <f>DATE(2005,10,22)</f>
        <v>38647</v>
      </c>
      <c r="E2753" s="8">
        <f t="shared" si="44"/>
        <v>2005</v>
      </c>
      <c r="F2753" t="s">
        <v>631</v>
      </c>
      <c r="G2753" s="9">
        <v>86893.21</v>
      </c>
      <c r="H2753" s="8">
        <v>3169</v>
      </c>
    </row>
    <row r="2754" spans="2:8" ht="17.5" customHeight="1" x14ac:dyDescent="0.4">
      <c r="B2754" t="s">
        <v>7</v>
      </c>
      <c r="C2754" t="s">
        <v>629</v>
      </c>
      <c r="D2754" s="7">
        <f>DATE(2005,10,22)</f>
        <v>38647</v>
      </c>
      <c r="E2754" s="8">
        <f t="shared" si="44"/>
        <v>2005</v>
      </c>
      <c r="F2754" t="s">
        <v>631</v>
      </c>
      <c r="G2754" s="9">
        <v>10679.31</v>
      </c>
      <c r="H2754" s="8">
        <v>3707</v>
      </c>
    </row>
    <row r="2755" spans="2:8" ht="17.5" customHeight="1" x14ac:dyDescent="0.4">
      <c r="B2755" t="s">
        <v>7</v>
      </c>
      <c r="C2755" t="s">
        <v>629</v>
      </c>
      <c r="D2755" s="7">
        <f>DATE(2005,11,4)</f>
        <v>38660</v>
      </c>
      <c r="E2755" s="8">
        <f t="shared" ref="E2755:E2818" si="45">YEAR(D2755)</f>
        <v>2005</v>
      </c>
      <c r="F2755" t="s">
        <v>631</v>
      </c>
      <c r="G2755" s="9">
        <v>2987.1</v>
      </c>
      <c r="H2755" s="8">
        <v>3733</v>
      </c>
    </row>
    <row r="2756" spans="2:8" ht="17.5" customHeight="1" x14ac:dyDescent="0.4">
      <c r="B2756" t="s">
        <v>7</v>
      </c>
      <c r="C2756" t="s">
        <v>629</v>
      </c>
      <c r="D2756" s="7">
        <f>DATE(2007,5,1)</f>
        <v>39203</v>
      </c>
      <c r="E2756" s="8">
        <f t="shared" si="45"/>
        <v>2007</v>
      </c>
      <c r="F2756" t="s">
        <v>631</v>
      </c>
      <c r="G2756" s="9">
        <v>2027.73</v>
      </c>
      <c r="H2756" s="8">
        <v>5812</v>
      </c>
    </row>
    <row r="2757" spans="2:8" ht="17.5" customHeight="1" x14ac:dyDescent="0.4">
      <c r="B2757" t="s">
        <v>7</v>
      </c>
      <c r="C2757" t="s">
        <v>629</v>
      </c>
      <c r="D2757" s="7">
        <f>DATE(2007,5,17)</f>
        <v>39219</v>
      </c>
      <c r="E2757" s="8">
        <f t="shared" si="45"/>
        <v>2007</v>
      </c>
      <c r="F2757" t="s">
        <v>631</v>
      </c>
      <c r="G2757" s="9">
        <v>25879.94</v>
      </c>
      <c r="H2757" s="8">
        <v>5133</v>
      </c>
    </row>
    <row r="2758" spans="2:8" ht="17.5" customHeight="1" x14ac:dyDescent="0.4">
      <c r="B2758" t="s">
        <v>7</v>
      </c>
      <c r="C2758" t="s">
        <v>629</v>
      </c>
      <c r="D2758" s="7">
        <f>DATE(2007,5,17)</f>
        <v>39219</v>
      </c>
      <c r="E2758" s="8">
        <f t="shared" si="45"/>
        <v>2007</v>
      </c>
      <c r="F2758" t="s">
        <v>631</v>
      </c>
      <c r="G2758" s="9">
        <v>7388.75</v>
      </c>
      <c r="H2758" s="8">
        <v>5392</v>
      </c>
    </row>
    <row r="2759" spans="2:8" ht="17.5" customHeight="1" x14ac:dyDescent="0.4">
      <c r="B2759" t="s">
        <v>7</v>
      </c>
      <c r="C2759" t="s">
        <v>629</v>
      </c>
      <c r="D2759" s="7">
        <f>DATE(2007,5,17)</f>
        <v>39219</v>
      </c>
      <c r="E2759" s="8">
        <f t="shared" si="45"/>
        <v>2007</v>
      </c>
      <c r="F2759" t="s">
        <v>631</v>
      </c>
      <c r="G2759" s="9">
        <v>3258.92</v>
      </c>
      <c r="H2759" s="8">
        <v>5574</v>
      </c>
    </row>
    <row r="2760" spans="2:8" ht="17.5" customHeight="1" x14ac:dyDescent="0.4">
      <c r="B2760" t="s">
        <v>7</v>
      </c>
      <c r="C2760" t="s">
        <v>629</v>
      </c>
      <c r="D2760" s="7">
        <f>DATE(2007,7,10)</f>
        <v>39273</v>
      </c>
      <c r="E2760" s="8">
        <f t="shared" si="45"/>
        <v>2007</v>
      </c>
      <c r="F2760" t="s">
        <v>631</v>
      </c>
      <c r="G2760" s="9">
        <v>1799.12</v>
      </c>
      <c r="H2760" s="8">
        <v>6115</v>
      </c>
    </row>
    <row r="2761" spans="2:8" ht="17.5" customHeight="1" x14ac:dyDescent="0.4">
      <c r="B2761" t="s">
        <v>7</v>
      </c>
      <c r="C2761" t="s">
        <v>629</v>
      </c>
      <c r="D2761" s="7">
        <f>DATE(2012,5,1)</f>
        <v>41030</v>
      </c>
      <c r="E2761" s="8">
        <f t="shared" si="45"/>
        <v>2012</v>
      </c>
      <c r="F2761" t="s">
        <v>632</v>
      </c>
      <c r="G2761" s="9">
        <v>28352.16</v>
      </c>
      <c r="H2761" s="8">
        <v>11240</v>
      </c>
    </row>
    <row r="2762" spans="2:8" ht="17.5" customHeight="1" x14ac:dyDescent="0.4">
      <c r="B2762" t="s">
        <v>7</v>
      </c>
      <c r="C2762" t="s">
        <v>629</v>
      </c>
      <c r="D2762" s="7">
        <f>DATE(2012,5,1)</f>
        <v>41030</v>
      </c>
      <c r="E2762" s="8">
        <f t="shared" si="45"/>
        <v>2012</v>
      </c>
      <c r="F2762" t="s">
        <v>632</v>
      </c>
      <c r="G2762" s="9">
        <v>5335.41</v>
      </c>
      <c r="H2762" s="8">
        <v>11445</v>
      </c>
    </row>
    <row r="2763" spans="2:8" ht="17.5" customHeight="1" x14ac:dyDescent="0.4">
      <c r="B2763" t="s">
        <v>7</v>
      </c>
      <c r="C2763" t="s">
        <v>629</v>
      </c>
      <c r="D2763" s="7">
        <f>DATE(2009,4,21)</f>
        <v>39924</v>
      </c>
      <c r="E2763" s="8">
        <f t="shared" si="45"/>
        <v>2009</v>
      </c>
      <c r="F2763" t="s">
        <v>632</v>
      </c>
      <c r="G2763" s="9">
        <v>15838.52</v>
      </c>
      <c r="H2763" s="8">
        <v>7627</v>
      </c>
    </row>
    <row r="2764" spans="2:8" ht="17.5" customHeight="1" x14ac:dyDescent="0.4">
      <c r="B2764" t="s">
        <v>7</v>
      </c>
      <c r="C2764" t="s">
        <v>629</v>
      </c>
      <c r="D2764" s="7">
        <f>DATE(2010,4,14)</f>
        <v>40282</v>
      </c>
      <c r="E2764" s="8">
        <f t="shared" si="45"/>
        <v>2010</v>
      </c>
      <c r="F2764" t="s">
        <v>632</v>
      </c>
      <c r="G2764" s="9">
        <v>6482</v>
      </c>
      <c r="H2764" s="8">
        <v>9340</v>
      </c>
    </row>
    <row r="2765" spans="2:8" ht="17.5" customHeight="1" x14ac:dyDescent="0.4">
      <c r="B2765" t="s">
        <v>7</v>
      </c>
      <c r="C2765" t="s">
        <v>629</v>
      </c>
      <c r="D2765" s="7">
        <f>DATE(2010,4,9)</f>
        <v>40277</v>
      </c>
      <c r="E2765" s="8">
        <f t="shared" si="45"/>
        <v>2010</v>
      </c>
      <c r="F2765" t="s">
        <v>632</v>
      </c>
      <c r="G2765" s="9">
        <v>24003.82</v>
      </c>
      <c r="H2765" s="8">
        <v>9370</v>
      </c>
    </row>
    <row r="2766" spans="2:8" ht="17.5" customHeight="1" x14ac:dyDescent="0.4">
      <c r="B2766" t="s">
        <v>7</v>
      </c>
      <c r="C2766" t="s">
        <v>629</v>
      </c>
      <c r="D2766" s="7">
        <f>DATE(2011,2,2)</f>
        <v>40576</v>
      </c>
      <c r="E2766" s="8">
        <f t="shared" si="45"/>
        <v>2011</v>
      </c>
      <c r="F2766" t="s">
        <v>632</v>
      </c>
      <c r="G2766" s="9">
        <v>6454.51</v>
      </c>
      <c r="H2766" s="8">
        <v>10309</v>
      </c>
    </row>
    <row r="2767" spans="2:8" ht="17.5" customHeight="1" x14ac:dyDescent="0.4">
      <c r="B2767" t="s">
        <v>7</v>
      </c>
      <c r="C2767" t="s">
        <v>629</v>
      </c>
      <c r="D2767" s="7">
        <f>DATE(2012,5,1)</f>
        <v>41030</v>
      </c>
      <c r="E2767" s="8">
        <f t="shared" si="45"/>
        <v>2012</v>
      </c>
      <c r="F2767" t="s">
        <v>632</v>
      </c>
      <c r="G2767" s="9">
        <v>26894.81</v>
      </c>
      <c r="H2767" s="8">
        <v>11241</v>
      </c>
    </row>
    <row r="2768" spans="2:8" ht="17.5" customHeight="1" x14ac:dyDescent="0.4">
      <c r="B2768" t="s">
        <v>7</v>
      </c>
      <c r="C2768" t="s">
        <v>633</v>
      </c>
      <c r="D2768" s="7">
        <f>DATE(2015,5,7)</f>
        <v>42131</v>
      </c>
      <c r="E2768" s="8">
        <f t="shared" si="45"/>
        <v>2015</v>
      </c>
      <c r="F2768" t="s">
        <v>634</v>
      </c>
      <c r="G2768" s="9">
        <v>2448.62</v>
      </c>
      <c r="H2768" s="8">
        <v>20555</v>
      </c>
    </row>
    <row r="2769" spans="2:8" ht="17.5" customHeight="1" x14ac:dyDescent="0.4">
      <c r="B2769" t="s">
        <v>7</v>
      </c>
      <c r="C2769" t="s">
        <v>635</v>
      </c>
      <c r="D2769" s="7">
        <f>DATE(2017,8,31)</f>
        <v>42978</v>
      </c>
      <c r="E2769" s="8">
        <f t="shared" si="45"/>
        <v>2017</v>
      </c>
      <c r="F2769" t="s">
        <v>636</v>
      </c>
      <c r="G2769" s="9">
        <v>2910.46</v>
      </c>
      <c r="H2769" s="8">
        <v>25424</v>
      </c>
    </row>
    <row r="2770" spans="2:8" ht="17.5" customHeight="1" x14ac:dyDescent="0.4">
      <c r="B2770" t="s">
        <v>7</v>
      </c>
      <c r="C2770" t="s">
        <v>635</v>
      </c>
      <c r="D2770" s="7">
        <f>DATE(2013,5,13)</f>
        <v>41407</v>
      </c>
      <c r="E2770" s="8">
        <f t="shared" si="45"/>
        <v>2013</v>
      </c>
      <c r="F2770" t="s">
        <v>636</v>
      </c>
      <c r="G2770" s="9">
        <v>2375.66</v>
      </c>
      <c r="H2770" s="8">
        <v>12459</v>
      </c>
    </row>
    <row r="2771" spans="2:8" ht="17.5" customHeight="1" x14ac:dyDescent="0.4">
      <c r="B2771" t="s">
        <v>7</v>
      </c>
      <c r="C2771" t="s">
        <v>635</v>
      </c>
      <c r="D2771" s="7">
        <f>DATE(2013,6,11)</f>
        <v>41436</v>
      </c>
      <c r="E2771" s="8">
        <f t="shared" si="45"/>
        <v>2013</v>
      </c>
      <c r="F2771" t="s">
        <v>636</v>
      </c>
      <c r="G2771" s="9">
        <v>2384.75</v>
      </c>
      <c r="H2771" s="8">
        <v>12504</v>
      </c>
    </row>
    <row r="2772" spans="2:8" ht="17.5" customHeight="1" x14ac:dyDescent="0.4">
      <c r="B2772" t="s">
        <v>7</v>
      </c>
      <c r="C2772" t="s">
        <v>635</v>
      </c>
      <c r="D2772" s="7">
        <f>DATE(2013,6,25)</f>
        <v>41450</v>
      </c>
      <c r="E2772" s="8">
        <f t="shared" si="45"/>
        <v>2013</v>
      </c>
      <c r="F2772" t="s">
        <v>636</v>
      </c>
      <c r="G2772" s="9">
        <v>2341.14</v>
      </c>
      <c r="H2772" s="8">
        <v>12527</v>
      </c>
    </row>
    <row r="2773" spans="2:8" ht="17.5" customHeight="1" x14ac:dyDescent="0.4">
      <c r="B2773" t="s">
        <v>7</v>
      </c>
      <c r="C2773" t="s">
        <v>637</v>
      </c>
      <c r="D2773" s="7">
        <f>DATE(2003,3,13)</f>
        <v>37693</v>
      </c>
      <c r="E2773" s="8">
        <f t="shared" si="45"/>
        <v>2003</v>
      </c>
      <c r="F2773" t="s">
        <v>638</v>
      </c>
      <c r="G2773" s="9">
        <v>7557.86</v>
      </c>
      <c r="H2773" s="8">
        <v>198</v>
      </c>
    </row>
    <row r="2774" spans="2:8" ht="17.5" customHeight="1" x14ac:dyDescent="0.4">
      <c r="B2774" s="3" t="s">
        <v>7</v>
      </c>
      <c r="C2774" s="3" t="s">
        <v>637</v>
      </c>
      <c r="D2774" s="4">
        <f>DATE(2007,11,14)</f>
        <v>39400</v>
      </c>
      <c r="E2774" s="5">
        <f t="shared" si="45"/>
        <v>2007</v>
      </c>
      <c r="F2774" s="3" t="s">
        <v>638</v>
      </c>
      <c r="G2774" s="6">
        <v>319.60000000000002</v>
      </c>
      <c r="H2774" s="5">
        <v>9481</v>
      </c>
    </row>
    <row r="2775" spans="2:8" ht="17.5" customHeight="1" x14ac:dyDescent="0.4">
      <c r="B2775" t="s">
        <v>7</v>
      </c>
      <c r="C2775" t="s">
        <v>639</v>
      </c>
      <c r="D2775" s="7">
        <f>DATE(2007,12,6)</f>
        <v>39422</v>
      </c>
      <c r="E2775" s="8">
        <f t="shared" si="45"/>
        <v>2007</v>
      </c>
      <c r="F2775" t="s">
        <v>640</v>
      </c>
      <c r="G2775" s="9">
        <v>19274.169999999998</v>
      </c>
      <c r="H2775" s="8">
        <v>6579</v>
      </c>
    </row>
    <row r="2776" spans="2:8" ht="17.5" customHeight="1" x14ac:dyDescent="0.4">
      <c r="B2776" t="s">
        <v>7</v>
      </c>
      <c r="C2776" t="s">
        <v>639</v>
      </c>
      <c r="D2776" s="7">
        <f>DATE(2012,12,11)</f>
        <v>41254</v>
      </c>
      <c r="E2776" s="8">
        <f t="shared" si="45"/>
        <v>2012</v>
      </c>
      <c r="F2776" t="s">
        <v>640</v>
      </c>
      <c r="G2776" s="9">
        <v>25408.05</v>
      </c>
      <c r="H2776" s="8">
        <v>12026</v>
      </c>
    </row>
    <row r="2777" spans="2:8" ht="17.5" customHeight="1" x14ac:dyDescent="0.4">
      <c r="B2777" s="3" t="s">
        <v>7</v>
      </c>
      <c r="C2777" s="3" t="s">
        <v>639</v>
      </c>
      <c r="D2777" s="4">
        <f>DATE(2007,3,8)</f>
        <v>39149</v>
      </c>
      <c r="E2777" s="5">
        <f t="shared" si="45"/>
        <v>2007</v>
      </c>
      <c r="F2777" s="3" t="s">
        <v>641</v>
      </c>
      <c r="G2777" s="6">
        <v>1528</v>
      </c>
      <c r="H2777" s="5">
        <v>8063</v>
      </c>
    </row>
    <row r="2778" spans="2:8" ht="17.5" customHeight="1" x14ac:dyDescent="0.4">
      <c r="B2778" s="3" t="s">
        <v>7</v>
      </c>
      <c r="C2778" s="3" t="s">
        <v>639</v>
      </c>
      <c r="D2778" s="4">
        <f>DATE(2007,6,7)</f>
        <v>39240</v>
      </c>
      <c r="E2778" s="5">
        <f t="shared" si="45"/>
        <v>2007</v>
      </c>
      <c r="F2778" s="3" t="s">
        <v>642</v>
      </c>
      <c r="G2778" s="6">
        <v>322</v>
      </c>
      <c r="H2778" s="5">
        <v>8721</v>
      </c>
    </row>
    <row r="2779" spans="2:8" ht="17.5" customHeight="1" x14ac:dyDescent="0.4">
      <c r="B2779" s="3" t="s">
        <v>7</v>
      </c>
      <c r="C2779" s="3" t="s">
        <v>643</v>
      </c>
      <c r="D2779" s="4">
        <f>DATE(2008,1,31)</f>
        <v>39478</v>
      </c>
      <c r="E2779" s="5">
        <f t="shared" si="45"/>
        <v>2008</v>
      </c>
      <c r="F2779" s="3" t="s">
        <v>644</v>
      </c>
      <c r="G2779" s="6">
        <v>310</v>
      </c>
      <c r="H2779" s="5">
        <v>9849</v>
      </c>
    </row>
    <row r="2780" spans="2:8" ht="17.5" customHeight="1" x14ac:dyDescent="0.4">
      <c r="B2780" t="s">
        <v>7</v>
      </c>
      <c r="C2780" t="s">
        <v>643</v>
      </c>
      <c r="D2780" s="7">
        <f>DATE(2011,12,1)</f>
        <v>40878</v>
      </c>
      <c r="E2780" s="8">
        <f t="shared" si="45"/>
        <v>2011</v>
      </c>
      <c r="F2780" t="s">
        <v>645</v>
      </c>
      <c r="G2780" s="9">
        <v>46796.3</v>
      </c>
      <c r="H2780" s="8">
        <v>11111</v>
      </c>
    </row>
    <row r="2781" spans="2:8" ht="17.5" customHeight="1" x14ac:dyDescent="0.4">
      <c r="B2781" t="s">
        <v>7</v>
      </c>
      <c r="C2781" t="s">
        <v>643</v>
      </c>
      <c r="D2781" s="7">
        <f>DATE(2013,1,7)</f>
        <v>41281</v>
      </c>
      <c r="E2781" s="8">
        <f t="shared" si="45"/>
        <v>2013</v>
      </c>
      <c r="F2781" t="s">
        <v>645</v>
      </c>
      <c r="G2781" s="9">
        <v>29900.06</v>
      </c>
      <c r="H2781" s="8">
        <v>11946</v>
      </c>
    </row>
    <row r="2782" spans="2:8" ht="17.5" customHeight="1" x14ac:dyDescent="0.4">
      <c r="B2782" s="3" t="s">
        <v>7</v>
      </c>
      <c r="C2782" s="3" t="s">
        <v>643</v>
      </c>
      <c r="D2782" s="4">
        <f>DATE(2003,2,4)</f>
        <v>37656</v>
      </c>
      <c r="E2782" s="5">
        <f t="shared" si="45"/>
        <v>2003</v>
      </c>
      <c r="F2782" s="3" t="s">
        <v>645</v>
      </c>
      <c r="G2782" s="6">
        <v>939</v>
      </c>
      <c r="H2782" s="5">
        <v>166</v>
      </c>
    </row>
    <row r="2783" spans="2:8" ht="17.5" customHeight="1" x14ac:dyDescent="0.4">
      <c r="B2783" s="3" t="s">
        <v>7</v>
      </c>
      <c r="C2783" s="3" t="s">
        <v>643</v>
      </c>
      <c r="D2783" s="4">
        <f>DATE(2004,3,24)</f>
        <v>38070</v>
      </c>
      <c r="E2783" s="5">
        <f t="shared" si="45"/>
        <v>2004</v>
      </c>
      <c r="F2783" s="3" t="s">
        <v>645</v>
      </c>
      <c r="G2783" s="6">
        <v>298</v>
      </c>
      <c r="H2783" s="5">
        <v>2435</v>
      </c>
    </row>
    <row r="2784" spans="2:8" ht="17.5" customHeight="1" x14ac:dyDescent="0.4">
      <c r="B2784" s="3" t="s">
        <v>7</v>
      </c>
      <c r="C2784" s="3" t="s">
        <v>643</v>
      </c>
      <c r="D2784" s="4">
        <f>DATE(2004,9,23)</f>
        <v>38253</v>
      </c>
      <c r="E2784" s="5">
        <f t="shared" si="45"/>
        <v>2004</v>
      </c>
      <c r="F2784" s="3" t="s">
        <v>645</v>
      </c>
      <c r="G2784" s="6">
        <v>298</v>
      </c>
      <c r="H2784" s="5">
        <v>3422</v>
      </c>
    </row>
    <row r="2785" spans="2:8" ht="17.5" customHeight="1" x14ac:dyDescent="0.4">
      <c r="B2785" s="3" t="s">
        <v>7</v>
      </c>
      <c r="C2785" s="3" t="s">
        <v>643</v>
      </c>
      <c r="D2785" s="4">
        <f>DATE(2004,10,14)</f>
        <v>38274</v>
      </c>
      <c r="E2785" s="5">
        <f t="shared" si="45"/>
        <v>2004</v>
      </c>
      <c r="F2785" s="3" t="s">
        <v>645</v>
      </c>
      <c r="G2785" s="6">
        <v>298</v>
      </c>
      <c r="H2785" s="5">
        <v>3571</v>
      </c>
    </row>
    <row r="2786" spans="2:8" ht="17.5" customHeight="1" x14ac:dyDescent="0.4">
      <c r="B2786" s="3" t="s">
        <v>7</v>
      </c>
      <c r="C2786" s="3" t="s">
        <v>643</v>
      </c>
      <c r="D2786" s="4">
        <f>DATE(2004,11,12)</f>
        <v>38303</v>
      </c>
      <c r="E2786" s="5">
        <f t="shared" si="45"/>
        <v>2004</v>
      </c>
      <c r="F2786" s="3" t="s">
        <v>645</v>
      </c>
      <c r="G2786" s="6">
        <v>298</v>
      </c>
      <c r="H2786" s="5">
        <v>3700</v>
      </c>
    </row>
    <row r="2787" spans="2:8" ht="17.5" customHeight="1" x14ac:dyDescent="0.4">
      <c r="B2787" s="3" t="s">
        <v>7</v>
      </c>
      <c r="C2787" s="3" t="s">
        <v>643</v>
      </c>
      <c r="D2787" s="4">
        <f>DATE(2005,3,1)</f>
        <v>38412</v>
      </c>
      <c r="E2787" s="5">
        <f t="shared" si="45"/>
        <v>2005</v>
      </c>
      <c r="F2787" s="3" t="s">
        <v>645</v>
      </c>
      <c r="G2787" s="6">
        <v>308</v>
      </c>
      <c r="H2787" s="5">
        <v>4213</v>
      </c>
    </row>
    <row r="2788" spans="2:8" ht="17.5" customHeight="1" x14ac:dyDescent="0.4">
      <c r="B2788" s="3" t="s">
        <v>7</v>
      </c>
      <c r="C2788" s="3" t="s">
        <v>643</v>
      </c>
      <c r="D2788" s="4">
        <f>DATE(2005,10,13)</f>
        <v>38638</v>
      </c>
      <c r="E2788" s="5">
        <f t="shared" si="45"/>
        <v>2005</v>
      </c>
      <c r="F2788" s="3" t="s">
        <v>645</v>
      </c>
      <c r="G2788" s="6">
        <v>609</v>
      </c>
      <c r="H2788" s="5">
        <v>5427</v>
      </c>
    </row>
    <row r="2789" spans="2:8" ht="17.5" customHeight="1" x14ac:dyDescent="0.4">
      <c r="B2789" s="3" t="s">
        <v>7</v>
      </c>
      <c r="C2789" s="3" t="s">
        <v>643</v>
      </c>
      <c r="D2789" s="4">
        <f>DATE(2005,11,3)</f>
        <v>38659</v>
      </c>
      <c r="E2789" s="5">
        <f t="shared" si="45"/>
        <v>2005</v>
      </c>
      <c r="F2789" s="3" t="s">
        <v>645</v>
      </c>
      <c r="G2789" s="6">
        <v>609</v>
      </c>
      <c r="H2789" s="5">
        <v>5504</v>
      </c>
    </row>
    <row r="2790" spans="2:8" ht="17.5" customHeight="1" x14ac:dyDescent="0.4">
      <c r="B2790" s="3" t="s">
        <v>7</v>
      </c>
      <c r="C2790" s="3" t="s">
        <v>643</v>
      </c>
      <c r="D2790" s="4">
        <f>DATE(2006,5,10)</f>
        <v>38847</v>
      </c>
      <c r="E2790" s="5">
        <f t="shared" si="45"/>
        <v>2006</v>
      </c>
      <c r="F2790" s="3" t="s">
        <v>645</v>
      </c>
      <c r="G2790" s="6">
        <v>309</v>
      </c>
      <c r="H2790" s="5">
        <v>6681</v>
      </c>
    </row>
    <row r="2791" spans="2:8" ht="17.5" customHeight="1" x14ac:dyDescent="0.4">
      <c r="B2791" s="3" t="s">
        <v>7</v>
      </c>
      <c r="C2791" s="3" t="s">
        <v>643</v>
      </c>
      <c r="D2791" s="4">
        <f>DATE(2007,1,31)</f>
        <v>39113</v>
      </c>
      <c r="E2791" s="5">
        <f t="shared" si="45"/>
        <v>2007</v>
      </c>
      <c r="F2791" s="3" t="s">
        <v>645</v>
      </c>
      <c r="G2791" s="6">
        <v>912</v>
      </c>
      <c r="H2791" s="5">
        <v>7862</v>
      </c>
    </row>
    <row r="2792" spans="2:8" ht="17.5" customHeight="1" x14ac:dyDescent="0.4">
      <c r="B2792" s="3" t="s">
        <v>7</v>
      </c>
      <c r="C2792" s="3" t="s">
        <v>643</v>
      </c>
      <c r="D2792" s="4">
        <f>DATE(2007,2,15)</f>
        <v>39128</v>
      </c>
      <c r="E2792" s="5">
        <f t="shared" si="45"/>
        <v>2007</v>
      </c>
      <c r="F2792" s="3" t="s">
        <v>645</v>
      </c>
      <c r="G2792" s="6">
        <v>309</v>
      </c>
      <c r="H2792" s="5">
        <v>7961</v>
      </c>
    </row>
    <row r="2793" spans="2:8" ht="17.5" customHeight="1" x14ac:dyDescent="0.4">
      <c r="B2793" s="3" t="s">
        <v>7</v>
      </c>
      <c r="C2793" s="3" t="s">
        <v>643</v>
      </c>
      <c r="D2793" s="4">
        <f>DATE(2009,12,10)</f>
        <v>40157</v>
      </c>
      <c r="E2793" s="5">
        <f t="shared" si="45"/>
        <v>2009</v>
      </c>
      <c r="F2793" s="3" t="s">
        <v>645</v>
      </c>
      <c r="G2793" s="6">
        <v>611</v>
      </c>
      <c r="H2793" s="5">
        <v>13346</v>
      </c>
    </row>
    <row r="2794" spans="2:8" ht="17.5" customHeight="1" x14ac:dyDescent="0.4">
      <c r="B2794" s="3" t="s">
        <v>7</v>
      </c>
      <c r="C2794" s="3" t="s">
        <v>643</v>
      </c>
      <c r="D2794" s="4">
        <f>DATE(2011,12,2)</f>
        <v>40879</v>
      </c>
      <c r="E2794" s="5">
        <f t="shared" si="45"/>
        <v>2011</v>
      </c>
      <c r="F2794" s="3" t="s">
        <v>645</v>
      </c>
      <c r="G2794" s="6">
        <v>486.5</v>
      </c>
      <c r="H2794" s="5">
        <v>16266</v>
      </c>
    </row>
    <row r="2795" spans="2:8" ht="17.5" customHeight="1" x14ac:dyDescent="0.4">
      <c r="B2795" s="3" t="s">
        <v>7</v>
      </c>
      <c r="C2795" s="3" t="s">
        <v>643</v>
      </c>
      <c r="D2795" s="4">
        <f>DATE(2007,4,16)</f>
        <v>39188</v>
      </c>
      <c r="E2795" s="5">
        <f t="shared" si="45"/>
        <v>2007</v>
      </c>
      <c r="F2795" s="3" t="s">
        <v>646</v>
      </c>
      <c r="G2795" s="6">
        <v>309</v>
      </c>
      <c r="H2795" s="5">
        <v>8371</v>
      </c>
    </row>
    <row r="2796" spans="2:8" ht="17.5" customHeight="1" x14ac:dyDescent="0.4">
      <c r="B2796" s="3" t="s">
        <v>7</v>
      </c>
      <c r="C2796" s="3" t="s">
        <v>643</v>
      </c>
      <c r="D2796" s="4">
        <f>DATE(2007,5,15)</f>
        <v>39217</v>
      </c>
      <c r="E2796" s="5">
        <f t="shared" si="45"/>
        <v>2007</v>
      </c>
      <c r="F2796" s="3" t="s">
        <v>646</v>
      </c>
      <c r="G2796" s="6">
        <v>309</v>
      </c>
      <c r="H2796" s="5">
        <v>8566</v>
      </c>
    </row>
    <row r="2797" spans="2:8" ht="17.5" customHeight="1" x14ac:dyDescent="0.4">
      <c r="B2797" t="s">
        <v>7</v>
      </c>
      <c r="C2797" t="s">
        <v>647</v>
      </c>
      <c r="D2797" s="7">
        <f>DATE(2015,4,16)</f>
        <v>42110</v>
      </c>
      <c r="E2797" s="8">
        <f t="shared" si="45"/>
        <v>2015</v>
      </c>
      <c r="F2797" t="s">
        <v>648</v>
      </c>
      <c r="G2797" s="9">
        <v>5173.37</v>
      </c>
      <c r="H2797" s="8">
        <v>20404</v>
      </c>
    </row>
    <row r="2798" spans="2:8" ht="17.5" customHeight="1" x14ac:dyDescent="0.4">
      <c r="B2798" t="s">
        <v>7</v>
      </c>
      <c r="C2798" t="s">
        <v>647</v>
      </c>
      <c r="D2798" s="7">
        <f>DATE(2004,5,20)</f>
        <v>38127</v>
      </c>
      <c r="E2798" s="8">
        <f t="shared" si="45"/>
        <v>2004</v>
      </c>
      <c r="F2798" t="s">
        <v>648</v>
      </c>
      <c r="G2798" s="9">
        <v>9950</v>
      </c>
      <c r="H2798" s="8">
        <v>1404</v>
      </c>
    </row>
    <row r="2799" spans="2:8" ht="17.5" customHeight="1" x14ac:dyDescent="0.4">
      <c r="B2799" s="3" t="s">
        <v>7</v>
      </c>
      <c r="C2799" s="3" t="s">
        <v>647</v>
      </c>
      <c r="D2799" s="4">
        <f>DATE(2004,4,29)</f>
        <v>38106</v>
      </c>
      <c r="E2799" s="5">
        <f t="shared" si="45"/>
        <v>2004</v>
      </c>
      <c r="F2799" s="3" t="s">
        <v>648</v>
      </c>
      <c r="G2799" s="6">
        <v>182</v>
      </c>
      <c r="H2799" s="5">
        <v>2773</v>
      </c>
    </row>
    <row r="2800" spans="2:8" ht="17.5" customHeight="1" x14ac:dyDescent="0.4">
      <c r="B2800" s="3" t="s">
        <v>7</v>
      </c>
      <c r="C2800" s="3" t="s">
        <v>647</v>
      </c>
      <c r="D2800" s="4">
        <f>DATE(2004,5,4)</f>
        <v>38111</v>
      </c>
      <c r="E2800" s="5">
        <f t="shared" si="45"/>
        <v>2004</v>
      </c>
      <c r="F2800" s="3" t="s">
        <v>648</v>
      </c>
      <c r="G2800" s="6">
        <v>1227.25</v>
      </c>
      <c r="H2800" s="5">
        <v>2814</v>
      </c>
    </row>
    <row r="2801" spans="2:8" ht="17.5" customHeight="1" x14ac:dyDescent="0.4">
      <c r="B2801" s="3" t="s">
        <v>7</v>
      </c>
      <c r="C2801" s="3" t="s">
        <v>647</v>
      </c>
      <c r="D2801" s="4">
        <f>DATE(2004,10,20)</f>
        <v>38280</v>
      </c>
      <c r="E2801" s="5">
        <f t="shared" si="45"/>
        <v>2004</v>
      </c>
      <c r="F2801" s="3" t="s">
        <v>648</v>
      </c>
      <c r="G2801" s="6">
        <v>331</v>
      </c>
      <c r="H2801" s="5">
        <v>3601</v>
      </c>
    </row>
    <row r="2802" spans="2:8" ht="17.5" customHeight="1" x14ac:dyDescent="0.4">
      <c r="B2802" s="3" t="s">
        <v>7</v>
      </c>
      <c r="C2802" s="3" t="s">
        <v>649</v>
      </c>
      <c r="D2802" s="4">
        <f>DATE(2004,8,9)</f>
        <v>38208</v>
      </c>
      <c r="E2802" s="5">
        <f t="shared" si="45"/>
        <v>2004</v>
      </c>
      <c r="F2802" s="3" t="s">
        <v>650</v>
      </c>
      <c r="G2802" s="6">
        <v>7831.82</v>
      </c>
      <c r="H2802" s="5">
        <v>754</v>
      </c>
    </row>
    <row r="2803" spans="2:8" ht="17.5" customHeight="1" x14ac:dyDescent="0.4">
      <c r="B2803" s="3" t="s">
        <v>7</v>
      </c>
      <c r="C2803" s="3" t="s">
        <v>649</v>
      </c>
      <c r="D2803" s="4">
        <f>DATE(2004,8,31)</f>
        <v>38230</v>
      </c>
      <c r="E2803" s="5">
        <f t="shared" si="45"/>
        <v>2004</v>
      </c>
      <c r="F2803" s="3" t="s">
        <v>650</v>
      </c>
      <c r="G2803" s="6">
        <v>128.06</v>
      </c>
      <c r="H2803" s="5">
        <v>772</v>
      </c>
    </row>
    <row r="2804" spans="2:8" ht="17.5" customHeight="1" x14ac:dyDescent="0.4">
      <c r="B2804" s="3" t="s">
        <v>7</v>
      </c>
      <c r="C2804" s="3" t="s">
        <v>649</v>
      </c>
      <c r="D2804" s="4">
        <f>DATE(2006,11,8)</f>
        <v>39029</v>
      </c>
      <c r="E2804" s="5">
        <f t="shared" si="45"/>
        <v>2006</v>
      </c>
      <c r="F2804" s="3" t="s">
        <v>650</v>
      </c>
      <c r="G2804" s="6">
        <v>1903.23</v>
      </c>
      <c r="H2804" s="5">
        <v>1900</v>
      </c>
    </row>
    <row r="2805" spans="2:8" ht="17.5" customHeight="1" x14ac:dyDescent="0.4">
      <c r="B2805" s="3" t="s">
        <v>7</v>
      </c>
      <c r="C2805" s="3" t="s">
        <v>649</v>
      </c>
      <c r="D2805" s="4">
        <f>DATE(2007,7,3)</f>
        <v>39266</v>
      </c>
      <c r="E2805" s="5">
        <f t="shared" si="45"/>
        <v>2007</v>
      </c>
      <c r="F2805" s="3" t="s">
        <v>650</v>
      </c>
      <c r="G2805" s="6">
        <v>2280.96</v>
      </c>
      <c r="H2805" s="5">
        <v>2318</v>
      </c>
    </row>
    <row r="2806" spans="2:8" ht="17.5" customHeight="1" x14ac:dyDescent="0.4">
      <c r="B2806" s="3" t="s">
        <v>7</v>
      </c>
      <c r="C2806" s="3" t="s">
        <v>649</v>
      </c>
      <c r="D2806" s="4">
        <f>DATE(2007,11,20)</f>
        <v>39406</v>
      </c>
      <c r="E2806" s="5">
        <f t="shared" si="45"/>
        <v>2007</v>
      </c>
      <c r="F2806" s="3" t="s">
        <v>650</v>
      </c>
      <c r="G2806" s="6">
        <v>867.52</v>
      </c>
      <c r="H2806" s="5">
        <v>2498</v>
      </c>
    </row>
    <row r="2807" spans="2:8" ht="17.5" customHeight="1" x14ac:dyDescent="0.4">
      <c r="B2807" s="3" t="s">
        <v>7</v>
      </c>
      <c r="C2807" s="3" t="s">
        <v>649</v>
      </c>
      <c r="D2807" s="4">
        <f>DATE(2008,2,21)</f>
        <v>39499</v>
      </c>
      <c r="E2807" s="5">
        <f t="shared" si="45"/>
        <v>2008</v>
      </c>
      <c r="F2807" s="3" t="s">
        <v>650</v>
      </c>
      <c r="G2807" s="6">
        <v>499.23</v>
      </c>
      <c r="H2807" s="5">
        <v>2678</v>
      </c>
    </row>
    <row r="2808" spans="2:8" ht="17.5" customHeight="1" x14ac:dyDescent="0.4">
      <c r="B2808" s="3" t="s">
        <v>7</v>
      </c>
      <c r="C2808" s="3" t="s">
        <v>649</v>
      </c>
      <c r="D2808" s="4">
        <f>DATE(2008,5,16)</f>
        <v>39584</v>
      </c>
      <c r="E2808" s="5">
        <f t="shared" si="45"/>
        <v>2008</v>
      </c>
      <c r="F2808" s="3" t="s">
        <v>650</v>
      </c>
      <c r="G2808" s="6">
        <v>1243.43</v>
      </c>
      <c r="H2808" s="5">
        <v>2825</v>
      </c>
    </row>
    <row r="2809" spans="2:8" ht="17.5" customHeight="1" x14ac:dyDescent="0.4">
      <c r="B2809" s="3" t="s">
        <v>7</v>
      </c>
      <c r="C2809" s="3" t="s">
        <v>649</v>
      </c>
      <c r="D2809" s="4">
        <f>DATE(2009,10,16)</f>
        <v>40102</v>
      </c>
      <c r="E2809" s="5">
        <f t="shared" si="45"/>
        <v>2009</v>
      </c>
      <c r="F2809" s="3" t="s">
        <v>650</v>
      </c>
      <c r="G2809" s="6">
        <v>3934.77</v>
      </c>
      <c r="H2809" s="5">
        <v>3602</v>
      </c>
    </row>
    <row r="2810" spans="2:8" ht="17.5" customHeight="1" x14ac:dyDescent="0.4">
      <c r="B2810" t="s">
        <v>7</v>
      </c>
      <c r="C2810" t="s">
        <v>651</v>
      </c>
      <c r="D2810" s="7">
        <f>DATE(2016,2,5)</f>
        <v>42405</v>
      </c>
      <c r="E2810" s="8">
        <f t="shared" si="45"/>
        <v>2016</v>
      </c>
      <c r="F2810" t="s">
        <v>652</v>
      </c>
      <c r="G2810" s="9">
        <v>763.61</v>
      </c>
      <c r="H2810" s="8">
        <v>22111</v>
      </c>
    </row>
    <row r="2811" spans="2:8" ht="17.5" customHeight="1" x14ac:dyDescent="0.4">
      <c r="B2811" t="s">
        <v>7</v>
      </c>
      <c r="C2811" t="s">
        <v>653</v>
      </c>
      <c r="D2811" s="7">
        <f>DATE(2018,5,30)</f>
        <v>43250</v>
      </c>
      <c r="E2811" s="8">
        <f t="shared" si="45"/>
        <v>2018</v>
      </c>
      <c r="F2811" t="s">
        <v>654</v>
      </c>
      <c r="G2811" s="9">
        <v>3713.81</v>
      </c>
      <c r="H2811" s="8">
        <v>26989</v>
      </c>
    </row>
    <row r="2812" spans="2:8" ht="17.5" customHeight="1" x14ac:dyDescent="0.4">
      <c r="B2812" t="s">
        <v>7</v>
      </c>
      <c r="C2812" t="s">
        <v>653</v>
      </c>
      <c r="D2812" s="7">
        <f>DATE(2006,6,12)</f>
        <v>38880</v>
      </c>
      <c r="E2812" s="8">
        <f t="shared" si="45"/>
        <v>2006</v>
      </c>
      <c r="F2812" t="s">
        <v>654</v>
      </c>
      <c r="G2812" s="9">
        <v>1568.1</v>
      </c>
      <c r="H2812" s="8">
        <v>4411</v>
      </c>
    </row>
    <row r="2813" spans="2:8" ht="17.5" customHeight="1" x14ac:dyDescent="0.4">
      <c r="B2813" s="3" t="s">
        <v>7</v>
      </c>
      <c r="C2813" s="3" t="s">
        <v>653</v>
      </c>
      <c r="D2813" s="4">
        <f>DATE(2004,12,8)</f>
        <v>38329</v>
      </c>
      <c r="E2813" s="5">
        <f t="shared" si="45"/>
        <v>2004</v>
      </c>
      <c r="F2813" s="3" t="s">
        <v>654</v>
      </c>
      <c r="G2813" s="6">
        <v>768</v>
      </c>
      <c r="H2813" s="5">
        <v>3803</v>
      </c>
    </row>
    <row r="2814" spans="2:8" ht="17.5" customHeight="1" x14ac:dyDescent="0.4">
      <c r="B2814" t="s">
        <v>7</v>
      </c>
      <c r="C2814" t="s">
        <v>655</v>
      </c>
      <c r="D2814" s="7">
        <f>DATE(2016,11,14)</f>
        <v>42688</v>
      </c>
      <c r="E2814" s="8">
        <f t="shared" si="45"/>
        <v>2016</v>
      </c>
      <c r="F2814" t="s">
        <v>656</v>
      </c>
      <c r="G2814" s="9">
        <v>14002.48</v>
      </c>
      <c r="H2814" s="8">
        <v>23765</v>
      </c>
    </row>
    <row r="2815" spans="2:8" ht="17.5" customHeight="1" x14ac:dyDescent="0.4">
      <c r="B2815" t="s">
        <v>7</v>
      </c>
      <c r="C2815" t="s">
        <v>655</v>
      </c>
      <c r="D2815" s="7">
        <f>DATE(2017,12,6)</f>
        <v>43075</v>
      </c>
      <c r="E2815" s="8">
        <f t="shared" si="45"/>
        <v>2017</v>
      </c>
      <c r="F2815" t="s">
        <v>656</v>
      </c>
      <c r="G2815" s="9">
        <v>19020</v>
      </c>
      <c r="H2815" s="8">
        <v>25331</v>
      </c>
    </row>
    <row r="2816" spans="2:8" ht="17.5" customHeight="1" x14ac:dyDescent="0.4">
      <c r="B2816" t="s">
        <v>7</v>
      </c>
      <c r="C2816" t="s">
        <v>655</v>
      </c>
      <c r="D2816" s="7">
        <f>DATE(2018,12,13)</f>
        <v>43447</v>
      </c>
      <c r="E2816" s="8">
        <f t="shared" si="45"/>
        <v>2018</v>
      </c>
      <c r="F2816" t="s">
        <v>656</v>
      </c>
      <c r="G2816" s="9">
        <v>73177.070000000007</v>
      </c>
      <c r="H2816" s="8">
        <v>28044</v>
      </c>
    </row>
    <row r="2817" spans="2:8" ht="17.5" customHeight="1" x14ac:dyDescent="0.4">
      <c r="B2817" t="s">
        <v>7</v>
      </c>
      <c r="C2817" t="s">
        <v>655</v>
      </c>
      <c r="D2817" s="7">
        <f>DATE(2017,8,4)</f>
        <v>42951</v>
      </c>
      <c r="E2817" s="8">
        <f t="shared" si="45"/>
        <v>2017</v>
      </c>
      <c r="F2817" t="s">
        <v>656</v>
      </c>
      <c r="G2817" s="9">
        <v>3480</v>
      </c>
      <c r="H2817" s="8">
        <v>25319</v>
      </c>
    </row>
    <row r="2818" spans="2:8" ht="17.5" customHeight="1" x14ac:dyDescent="0.4">
      <c r="B2818" t="s">
        <v>7</v>
      </c>
      <c r="C2818" t="s">
        <v>655</v>
      </c>
      <c r="D2818" s="7">
        <f>DATE(2004,1,5)</f>
        <v>37991</v>
      </c>
      <c r="E2818" s="8">
        <f t="shared" si="45"/>
        <v>2004</v>
      </c>
      <c r="F2818" t="s">
        <v>656</v>
      </c>
      <c r="G2818" s="9">
        <v>9298.2900000000009</v>
      </c>
      <c r="H2818" s="8">
        <v>1115</v>
      </c>
    </row>
    <row r="2819" spans="2:8" ht="17.5" customHeight="1" x14ac:dyDescent="0.4">
      <c r="B2819" t="s">
        <v>7</v>
      </c>
      <c r="C2819" t="s">
        <v>655</v>
      </c>
      <c r="D2819" s="7">
        <f>DATE(2003,12,24)</f>
        <v>37979</v>
      </c>
      <c r="E2819" s="8">
        <f t="shared" ref="E2819:E2882" si="46">YEAR(D2819)</f>
        <v>2003</v>
      </c>
      <c r="F2819" t="s">
        <v>656</v>
      </c>
      <c r="G2819" s="9">
        <v>1044.23</v>
      </c>
      <c r="H2819" s="8">
        <v>1108</v>
      </c>
    </row>
    <row r="2820" spans="2:8" ht="17.5" customHeight="1" x14ac:dyDescent="0.4">
      <c r="B2820" t="s">
        <v>7</v>
      </c>
      <c r="C2820" t="s">
        <v>655</v>
      </c>
      <c r="D2820" s="7">
        <f>DATE(2004,1,17)</f>
        <v>38003</v>
      </c>
      <c r="E2820" s="8">
        <f t="shared" si="46"/>
        <v>2004</v>
      </c>
      <c r="F2820" t="s">
        <v>656</v>
      </c>
      <c r="G2820" s="9">
        <v>4300.8599999999997</v>
      </c>
      <c r="H2820" s="8">
        <v>1141</v>
      </c>
    </row>
    <row r="2821" spans="2:8" ht="17.5" customHeight="1" x14ac:dyDescent="0.4">
      <c r="B2821" t="s">
        <v>7</v>
      </c>
      <c r="C2821" t="s">
        <v>655</v>
      </c>
      <c r="D2821" s="7">
        <f>DATE(2004,2,10)</f>
        <v>38027</v>
      </c>
      <c r="E2821" s="8">
        <f t="shared" si="46"/>
        <v>2004</v>
      </c>
      <c r="F2821" t="s">
        <v>656</v>
      </c>
      <c r="G2821" s="9">
        <v>1844.33</v>
      </c>
      <c r="H2821" s="8">
        <v>1293</v>
      </c>
    </row>
    <row r="2822" spans="2:8" ht="17.5" customHeight="1" x14ac:dyDescent="0.4">
      <c r="B2822" t="s">
        <v>7</v>
      </c>
      <c r="C2822" t="s">
        <v>655</v>
      </c>
      <c r="D2822" s="7">
        <f>DATE(2004,5,22)</f>
        <v>38129</v>
      </c>
      <c r="E2822" s="8">
        <f t="shared" si="46"/>
        <v>2004</v>
      </c>
      <c r="F2822" t="s">
        <v>656</v>
      </c>
      <c r="G2822" s="9">
        <v>19375</v>
      </c>
      <c r="H2822" s="8">
        <v>1679</v>
      </c>
    </row>
    <row r="2823" spans="2:8" ht="17.5" customHeight="1" x14ac:dyDescent="0.4">
      <c r="B2823" t="s">
        <v>7</v>
      </c>
      <c r="C2823" t="s">
        <v>655</v>
      </c>
      <c r="D2823" s="7">
        <f>DATE(2004,5,20)</f>
        <v>38127</v>
      </c>
      <c r="E2823" s="8">
        <f t="shared" si="46"/>
        <v>2004</v>
      </c>
      <c r="F2823" t="s">
        <v>656</v>
      </c>
      <c r="G2823" s="9">
        <v>6550.82</v>
      </c>
      <c r="H2823" s="8">
        <v>1786</v>
      </c>
    </row>
    <row r="2824" spans="2:8" ht="17.5" customHeight="1" x14ac:dyDescent="0.4">
      <c r="B2824" t="s">
        <v>7</v>
      </c>
      <c r="C2824" t="s">
        <v>655</v>
      </c>
      <c r="D2824" s="7">
        <f>DATE(2004,6,18)</f>
        <v>38156</v>
      </c>
      <c r="E2824" s="8">
        <f t="shared" si="46"/>
        <v>2004</v>
      </c>
      <c r="F2824" t="s">
        <v>656</v>
      </c>
      <c r="G2824" s="9">
        <v>2134.16</v>
      </c>
      <c r="H2824" s="8">
        <v>1913</v>
      </c>
    </row>
    <row r="2825" spans="2:8" ht="17.5" customHeight="1" x14ac:dyDescent="0.4">
      <c r="B2825" t="s">
        <v>7</v>
      </c>
      <c r="C2825" t="s">
        <v>655</v>
      </c>
      <c r="D2825" s="7">
        <f>DATE(2005,11,4)</f>
        <v>38660</v>
      </c>
      <c r="E2825" s="8">
        <f t="shared" si="46"/>
        <v>2005</v>
      </c>
      <c r="F2825" t="s">
        <v>656</v>
      </c>
      <c r="G2825" s="9">
        <v>5501.18</v>
      </c>
      <c r="H2825" s="8">
        <v>3720</v>
      </c>
    </row>
    <row r="2826" spans="2:8" ht="17.5" customHeight="1" x14ac:dyDescent="0.4">
      <c r="B2826" t="s">
        <v>7</v>
      </c>
      <c r="C2826" t="s">
        <v>655</v>
      </c>
      <c r="D2826" s="7">
        <f>DATE(2013,4,12)</f>
        <v>41376</v>
      </c>
      <c r="E2826" s="8">
        <f t="shared" si="46"/>
        <v>2013</v>
      </c>
      <c r="F2826" t="s">
        <v>656</v>
      </c>
      <c r="G2826" s="9">
        <v>42772.23</v>
      </c>
      <c r="H2826" s="8">
        <v>12310</v>
      </c>
    </row>
    <row r="2827" spans="2:8" ht="17.5" customHeight="1" x14ac:dyDescent="0.4">
      <c r="B2827" t="s">
        <v>16</v>
      </c>
      <c r="C2827" t="s">
        <v>655</v>
      </c>
      <c r="D2827" s="7">
        <f>DATE(2013,5,3)</f>
        <v>41397</v>
      </c>
      <c r="E2827" s="8">
        <f t="shared" si="46"/>
        <v>2013</v>
      </c>
      <c r="F2827" t="s">
        <v>656</v>
      </c>
      <c r="G2827" s="9">
        <v>2421.0700000000002</v>
      </c>
      <c r="H2827" s="8">
        <v>12455</v>
      </c>
    </row>
    <row r="2828" spans="2:8" ht="17.5" customHeight="1" x14ac:dyDescent="0.4">
      <c r="B2828" s="3" t="s">
        <v>7</v>
      </c>
      <c r="C2828" s="3" t="s">
        <v>655</v>
      </c>
      <c r="D2828" s="4">
        <f>DATE(2003,12,18)</f>
        <v>37973</v>
      </c>
      <c r="E2828" s="5">
        <f t="shared" si="46"/>
        <v>2003</v>
      </c>
      <c r="F2828" s="3" t="s">
        <v>656</v>
      </c>
      <c r="G2828" s="6">
        <v>32</v>
      </c>
      <c r="H2828" s="5">
        <v>1915</v>
      </c>
    </row>
    <row r="2829" spans="2:8" ht="17.5" customHeight="1" x14ac:dyDescent="0.4">
      <c r="B2829" s="3" t="s">
        <v>7</v>
      </c>
      <c r="C2829" s="3" t="s">
        <v>655</v>
      </c>
      <c r="D2829" s="4">
        <f>DATE(2003,12,30)</f>
        <v>37985</v>
      </c>
      <c r="E2829" s="5">
        <f t="shared" si="46"/>
        <v>2003</v>
      </c>
      <c r="F2829" s="3" t="s">
        <v>656</v>
      </c>
      <c r="G2829" s="6">
        <v>1992</v>
      </c>
      <c r="H2829" s="5">
        <v>1942</v>
      </c>
    </row>
    <row r="2830" spans="2:8" ht="17.5" customHeight="1" x14ac:dyDescent="0.4">
      <c r="B2830" s="3" t="s">
        <v>7</v>
      </c>
      <c r="C2830" s="3" t="s">
        <v>655</v>
      </c>
      <c r="D2830" s="4">
        <f>DATE(2004,1,2)</f>
        <v>37988</v>
      </c>
      <c r="E2830" s="5">
        <f t="shared" si="46"/>
        <v>2004</v>
      </c>
      <c r="F2830" s="3" t="s">
        <v>656</v>
      </c>
      <c r="G2830" s="6">
        <v>1494</v>
      </c>
      <c r="H2830" s="5">
        <v>1949</v>
      </c>
    </row>
    <row r="2831" spans="2:8" ht="17.5" customHeight="1" x14ac:dyDescent="0.4">
      <c r="B2831" s="3" t="s">
        <v>7</v>
      </c>
      <c r="C2831" s="3" t="s">
        <v>655</v>
      </c>
      <c r="D2831" s="4">
        <f>DATE(2004,1,1)</f>
        <v>37987</v>
      </c>
      <c r="E2831" s="5">
        <f t="shared" si="46"/>
        <v>2004</v>
      </c>
      <c r="F2831" s="3" t="s">
        <v>656</v>
      </c>
      <c r="G2831" s="6">
        <v>2109.5</v>
      </c>
      <c r="H2831" s="5">
        <v>2056</v>
      </c>
    </row>
    <row r="2832" spans="2:8" ht="17.5" customHeight="1" x14ac:dyDescent="0.4">
      <c r="B2832" s="3" t="s">
        <v>7</v>
      </c>
      <c r="C2832" s="3" t="s">
        <v>655</v>
      </c>
      <c r="D2832" s="4">
        <f>DATE(2004,1,2)</f>
        <v>37988</v>
      </c>
      <c r="E2832" s="5">
        <f t="shared" si="46"/>
        <v>2004</v>
      </c>
      <c r="F2832" s="3" t="s">
        <v>656</v>
      </c>
      <c r="G2832" s="6">
        <v>1601.75</v>
      </c>
      <c r="H2832" s="5">
        <v>2057</v>
      </c>
    </row>
    <row r="2833" spans="2:8" ht="17.5" customHeight="1" x14ac:dyDescent="0.4">
      <c r="B2833" s="3" t="s">
        <v>7</v>
      </c>
      <c r="C2833" s="3" t="s">
        <v>655</v>
      </c>
      <c r="D2833" s="4">
        <f>DATE(2005,7,28)</f>
        <v>38561</v>
      </c>
      <c r="E2833" s="5">
        <f t="shared" si="46"/>
        <v>2005</v>
      </c>
      <c r="F2833" s="3" t="s">
        <v>656</v>
      </c>
      <c r="G2833" s="6">
        <v>1500</v>
      </c>
      <c r="H2833" s="5">
        <v>5043</v>
      </c>
    </row>
    <row r="2834" spans="2:8" ht="17.5" customHeight="1" x14ac:dyDescent="0.4">
      <c r="B2834" s="3" t="s">
        <v>7</v>
      </c>
      <c r="C2834" s="3" t="s">
        <v>655</v>
      </c>
      <c r="D2834" s="4">
        <f>DATE(2005,10,10)</f>
        <v>38635</v>
      </c>
      <c r="E2834" s="5">
        <f t="shared" si="46"/>
        <v>2005</v>
      </c>
      <c r="F2834" s="3" t="s">
        <v>656</v>
      </c>
      <c r="G2834" s="6">
        <v>375</v>
      </c>
      <c r="H2834" s="5">
        <v>5401</v>
      </c>
    </row>
    <row r="2835" spans="2:8" ht="17.5" customHeight="1" x14ac:dyDescent="0.4">
      <c r="B2835" s="3" t="s">
        <v>7</v>
      </c>
      <c r="C2835" s="3" t="s">
        <v>655</v>
      </c>
      <c r="D2835" s="4">
        <f>DATE(2005,10,17)</f>
        <v>38642</v>
      </c>
      <c r="E2835" s="5">
        <f t="shared" si="46"/>
        <v>2005</v>
      </c>
      <c r="F2835" s="3" t="s">
        <v>656</v>
      </c>
      <c r="G2835" s="6">
        <v>1125</v>
      </c>
      <c r="H2835" s="5">
        <v>5443</v>
      </c>
    </row>
    <row r="2836" spans="2:8" ht="17.5" customHeight="1" x14ac:dyDescent="0.4">
      <c r="B2836" s="3" t="s">
        <v>7</v>
      </c>
      <c r="C2836" s="3" t="s">
        <v>655</v>
      </c>
      <c r="D2836" s="4">
        <f>DATE(2007,2,15)</f>
        <v>39128</v>
      </c>
      <c r="E2836" s="5">
        <f t="shared" si="46"/>
        <v>2007</v>
      </c>
      <c r="F2836" s="3" t="s">
        <v>656</v>
      </c>
      <c r="G2836" s="6">
        <v>8900</v>
      </c>
      <c r="H2836" s="5">
        <v>7921</v>
      </c>
    </row>
    <row r="2837" spans="2:8" ht="17.5" customHeight="1" x14ac:dyDescent="0.4">
      <c r="B2837" s="3" t="s">
        <v>7</v>
      </c>
      <c r="C2837" s="3" t="s">
        <v>655</v>
      </c>
      <c r="D2837" s="4">
        <f>DATE(2007,4,23)</f>
        <v>39195</v>
      </c>
      <c r="E2837" s="5">
        <f t="shared" si="46"/>
        <v>2007</v>
      </c>
      <c r="F2837" s="3" t="s">
        <v>656</v>
      </c>
      <c r="G2837" s="6">
        <v>935</v>
      </c>
      <c r="H2837" s="5">
        <v>8441</v>
      </c>
    </row>
    <row r="2838" spans="2:8" ht="17.5" customHeight="1" x14ac:dyDescent="0.4">
      <c r="B2838" s="3" t="s">
        <v>7</v>
      </c>
      <c r="C2838" s="3" t="s">
        <v>655</v>
      </c>
      <c r="D2838" s="4">
        <f>DATE(2007,10,24)</f>
        <v>39379</v>
      </c>
      <c r="E2838" s="5">
        <f t="shared" si="46"/>
        <v>2007</v>
      </c>
      <c r="F2838" s="3" t="s">
        <v>656</v>
      </c>
      <c r="G2838" s="6">
        <v>4450</v>
      </c>
      <c r="H2838" s="5">
        <v>9377</v>
      </c>
    </row>
    <row r="2839" spans="2:8" ht="17.5" customHeight="1" x14ac:dyDescent="0.4">
      <c r="B2839" s="3" t="s">
        <v>7</v>
      </c>
      <c r="C2839" s="3" t="s">
        <v>655</v>
      </c>
      <c r="D2839" s="4">
        <f>DATE(2008,2,8)</f>
        <v>39486</v>
      </c>
      <c r="E2839" s="5">
        <f t="shared" si="46"/>
        <v>2008</v>
      </c>
      <c r="F2839" s="3" t="s">
        <v>656</v>
      </c>
      <c r="G2839" s="6">
        <v>4728.95</v>
      </c>
      <c r="H2839" s="5">
        <v>9813</v>
      </c>
    </row>
    <row r="2840" spans="2:8" ht="17.5" customHeight="1" x14ac:dyDescent="0.4">
      <c r="B2840" s="3" t="s">
        <v>7</v>
      </c>
      <c r="C2840" s="3" t="s">
        <v>655</v>
      </c>
      <c r="D2840" s="4">
        <f>DATE(2008,3,21)</f>
        <v>39528</v>
      </c>
      <c r="E2840" s="5">
        <f t="shared" si="46"/>
        <v>2008</v>
      </c>
      <c r="F2840" s="3" t="s">
        <v>656</v>
      </c>
      <c r="G2840" s="6">
        <v>4450</v>
      </c>
      <c r="H2840" s="5">
        <v>10262</v>
      </c>
    </row>
    <row r="2841" spans="2:8" ht="17.5" customHeight="1" x14ac:dyDescent="0.4">
      <c r="B2841" s="3" t="s">
        <v>7</v>
      </c>
      <c r="C2841" s="3" t="s">
        <v>655</v>
      </c>
      <c r="D2841" s="4">
        <f>DATE(2008,3,21)</f>
        <v>39528</v>
      </c>
      <c r="E2841" s="5">
        <f t="shared" si="46"/>
        <v>2008</v>
      </c>
      <c r="F2841" s="3" t="s">
        <v>656</v>
      </c>
      <c r="G2841" s="6">
        <v>28.31</v>
      </c>
      <c r="H2841" s="5">
        <v>10335</v>
      </c>
    </row>
    <row r="2842" spans="2:8" ht="17.5" customHeight="1" x14ac:dyDescent="0.4">
      <c r="B2842" s="3" t="s">
        <v>7</v>
      </c>
      <c r="C2842" s="3" t="s">
        <v>655</v>
      </c>
      <c r="D2842" s="4">
        <f>DATE(2009,3,17)</f>
        <v>39889</v>
      </c>
      <c r="E2842" s="5">
        <f t="shared" si="46"/>
        <v>2009</v>
      </c>
      <c r="F2842" s="3" t="s">
        <v>656</v>
      </c>
      <c r="G2842" s="6">
        <v>8958.44</v>
      </c>
      <c r="H2842" s="5">
        <v>12207</v>
      </c>
    </row>
    <row r="2843" spans="2:8" ht="17.5" customHeight="1" x14ac:dyDescent="0.4">
      <c r="B2843" s="3" t="s">
        <v>7</v>
      </c>
      <c r="C2843" s="3" t="s">
        <v>655</v>
      </c>
      <c r="D2843" s="4">
        <f>DATE(2009,8,27)</f>
        <v>40052</v>
      </c>
      <c r="E2843" s="5">
        <f t="shared" si="46"/>
        <v>2009</v>
      </c>
      <c r="F2843" s="3" t="s">
        <v>656</v>
      </c>
      <c r="G2843" s="6">
        <v>4526.49</v>
      </c>
      <c r="H2843" s="5">
        <v>12920</v>
      </c>
    </row>
    <row r="2844" spans="2:8" ht="17.5" customHeight="1" x14ac:dyDescent="0.4">
      <c r="B2844" s="3" t="s">
        <v>16</v>
      </c>
      <c r="C2844" s="3" t="s">
        <v>655</v>
      </c>
      <c r="D2844" s="4">
        <f>DATE(2004,1,2)</f>
        <v>37988</v>
      </c>
      <c r="E2844" s="5">
        <f t="shared" si="46"/>
        <v>2004</v>
      </c>
      <c r="F2844" s="3" t="s">
        <v>656</v>
      </c>
      <c r="G2844" s="6">
        <v>1494</v>
      </c>
      <c r="H2844" s="5">
        <v>2051</v>
      </c>
    </row>
    <row r="2845" spans="2:8" ht="17.5" customHeight="1" x14ac:dyDescent="0.4">
      <c r="B2845" s="3" t="s">
        <v>16</v>
      </c>
      <c r="C2845" s="3" t="s">
        <v>655</v>
      </c>
      <c r="D2845" s="4">
        <f>DATE(2004,1,1)</f>
        <v>37987</v>
      </c>
      <c r="E2845" s="5">
        <f t="shared" si="46"/>
        <v>2004</v>
      </c>
      <c r="F2845" s="3" t="s">
        <v>656</v>
      </c>
      <c r="G2845" s="6">
        <v>1992</v>
      </c>
      <c r="H2845" s="5">
        <v>2053</v>
      </c>
    </row>
    <row r="2846" spans="2:8" ht="17.5" customHeight="1" x14ac:dyDescent="0.4">
      <c r="B2846" s="3" t="s">
        <v>7</v>
      </c>
      <c r="C2846" s="3" t="s">
        <v>657</v>
      </c>
      <c r="D2846" s="4">
        <f>DATE(2004,9,21)</f>
        <v>38251</v>
      </c>
      <c r="E2846" s="5">
        <f t="shared" si="46"/>
        <v>2004</v>
      </c>
      <c r="F2846" s="3" t="s">
        <v>658</v>
      </c>
      <c r="G2846" s="6">
        <v>280</v>
      </c>
      <c r="H2846" s="5">
        <v>3418</v>
      </c>
    </row>
    <row r="2847" spans="2:8" ht="17.5" customHeight="1" x14ac:dyDescent="0.4">
      <c r="B2847" s="3" t="s">
        <v>7</v>
      </c>
      <c r="C2847" s="3" t="s">
        <v>657</v>
      </c>
      <c r="D2847" s="4">
        <f>DATE(2006,10,18)</f>
        <v>39008</v>
      </c>
      <c r="E2847" s="5">
        <f t="shared" si="46"/>
        <v>2006</v>
      </c>
      <c r="F2847" s="3" t="s">
        <v>658</v>
      </c>
      <c r="G2847" s="6">
        <v>1324</v>
      </c>
      <c r="H2847" s="5">
        <v>7406</v>
      </c>
    </row>
    <row r="2848" spans="2:8" ht="17.5" customHeight="1" x14ac:dyDescent="0.4">
      <c r="B2848" s="3" t="s">
        <v>7</v>
      </c>
      <c r="C2848" s="3" t="s">
        <v>657</v>
      </c>
      <c r="D2848" s="4">
        <f>DATE(2007,5,24)</f>
        <v>39226</v>
      </c>
      <c r="E2848" s="5">
        <f t="shared" si="46"/>
        <v>2007</v>
      </c>
      <c r="F2848" s="3" t="s">
        <v>658</v>
      </c>
      <c r="G2848" s="6">
        <v>662</v>
      </c>
      <c r="H2848" s="5">
        <v>8645</v>
      </c>
    </row>
    <row r="2849" spans="2:8" ht="17.5" customHeight="1" x14ac:dyDescent="0.4">
      <c r="B2849" s="3" t="s">
        <v>7</v>
      </c>
      <c r="C2849" s="3" t="s">
        <v>657</v>
      </c>
      <c r="D2849" s="4">
        <f>DATE(2007,11,29)</f>
        <v>39415</v>
      </c>
      <c r="E2849" s="5">
        <f t="shared" si="46"/>
        <v>2007</v>
      </c>
      <c r="F2849" s="3" t="s">
        <v>658</v>
      </c>
      <c r="G2849" s="6">
        <v>1324</v>
      </c>
      <c r="H2849" s="5">
        <v>9525</v>
      </c>
    </row>
    <row r="2850" spans="2:8" ht="17.5" customHeight="1" x14ac:dyDescent="0.4">
      <c r="B2850" s="3" t="s">
        <v>7</v>
      </c>
      <c r="C2850" s="3" t="s">
        <v>657</v>
      </c>
      <c r="D2850" s="4">
        <f>DATE(2008,3,18)</f>
        <v>39525</v>
      </c>
      <c r="E2850" s="5">
        <f t="shared" si="46"/>
        <v>2008</v>
      </c>
      <c r="F2850" s="3" t="s">
        <v>658</v>
      </c>
      <c r="G2850" s="6">
        <v>1324</v>
      </c>
      <c r="H2850" s="5">
        <v>10235</v>
      </c>
    </row>
    <row r="2851" spans="2:8" ht="17.5" customHeight="1" x14ac:dyDescent="0.4">
      <c r="B2851" s="3" t="s">
        <v>7</v>
      </c>
      <c r="C2851" s="3" t="s">
        <v>657</v>
      </c>
      <c r="D2851" s="4">
        <f>DATE(2009,4,9)</f>
        <v>39912</v>
      </c>
      <c r="E2851" s="5">
        <f t="shared" si="46"/>
        <v>2009</v>
      </c>
      <c r="F2851" s="3" t="s">
        <v>658</v>
      </c>
      <c r="G2851" s="6">
        <v>1324</v>
      </c>
      <c r="H2851" s="5">
        <v>12327</v>
      </c>
    </row>
    <row r="2852" spans="2:8" ht="17.5" customHeight="1" x14ac:dyDescent="0.4">
      <c r="B2852" s="3" t="s">
        <v>7</v>
      </c>
      <c r="C2852" s="3" t="s">
        <v>657</v>
      </c>
      <c r="D2852" s="4">
        <f>DATE(2009,5,11)</f>
        <v>39944</v>
      </c>
      <c r="E2852" s="5">
        <f t="shared" si="46"/>
        <v>2009</v>
      </c>
      <c r="F2852" s="3" t="s">
        <v>658</v>
      </c>
      <c r="G2852" s="6">
        <v>1324</v>
      </c>
      <c r="H2852" s="5">
        <v>12508</v>
      </c>
    </row>
    <row r="2853" spans="2:8" ht="17.5" customHeight="1" x14ac:dyDescent="0.4">
      <c r="B2853" s="3" t="s">
        <v>7</v>
      </c>
      <c r="C2853" s="3" t="s">
        <v>657</v>
      </c>
      <c r="D2853" s="4">
        <f>DATE(2010,1,14)</f>
        <v>40192</v>
      </c>
      <c r="E2853" s="5">
        <f t="shared" si="46"/>
        <v>2010</v>
      </c>
      <c r="F2853" s="3" t="s">
        <v>658</v>
      </c>
      <c r="G2853" s="6">
        <v>1324</v>
      </c>
      <c r="H2853" s="5">
        <v>13390</v>
      </c>
    </row>
    <row r="2854" spans="2:8" ht="17.5" customHeight="1" x14ac:dyDescent="0.4">
      <c r="B2854" s="3" t="s">
        <v>7</v>
      </c>
      <c r="C2854" s="3" t="s">
        <v>657</v>
      </c>
      <c r="D2854" s="4">
        <f>DATE(2010,10,21)</f>
        <v>40472</v>
      </c>
      <c r="E2854" s="5">
        <f t="shared" si="46"/>
        <v>2010</v>
      </c>
      <c r="F2854" s="3" t="s">
        <v>658</v>
      </c>
      <c r="G2854" s="6">
        <v>1324</v>
      </c>
      <c r="H2854" s="5">
        <v>14645</v>
      </c>
    </row>
    <row r="2855" spans="2:8" ht="17.5" customHeight="1" x14ac:dyDescent="0.4">
      <c r="B2855" t="s">
        <v>7</v>
      </c>
      <c r="C2855" t="s">
        <v>659</v>
      </c>
      <c r="D2855" s="7">
        <f>DATE(2017,12,7)</f>
        <v>43076</v>
      </c>
      <c r="E2855" s="8">
        <f t="shared" si="46"/>
        <v>2017</v>
      </c>
      <c r="F2855" t="s">
        <v>660</v>
      </c>
      <c r="G2855" s="9">
        <v>9779</v>
      </c>
      <c r="H2855" s="8">
        <v>25636</v>
      </c>
    </row>
    <row r="2856" spans="2:8" ht="17.5" customHeight="1" x14ac:dyDescent="0.4">
      <c r="B2856" t="s">
        <v>7</v>
      </c>
      <c r="C2856" t="s">
        <v>661</v>
      </c>
      <c r="D2856" s="7">
        <f>DATE(2010,11,5)</f>
        <v>40487</v>
      </c>
      <c r="E2856" s="8">
        <f t="shared" si="46"/>
        <v>2010</v>
      </c>
      <c r="F2856" t="s">
        <v>662</v>
      </c>
      <c r="G2856" s="9">
        <v>21313.72</v>
      </c>
      <c r="H2856" s="8">
        <v>10169</v>
      </c>
    </row>
    <row r="2857" spans="2:8" ht="17.5" customHeight="1" x14ac:dyDescent="0.4">
      <c r="B2857" t="s">
        <v>7</v>
      </c>
      <c r="C2857" t="s">
        <v>661</v>
      </c>
      <c r="D2857" s="7">
        <f>DATE(2011,5,31)</f>
        <v>40694</v>
      </c>
      <c r="E2857" s="8">
        <f t="shared" si="46"/>
        <v>2011</v>
      </c>
      <c r="F2857" t="s">
        <v>662</v>
      </c>
      <c r="G2857" s="9">
        <v>18022.39</v>
      </c>
      <c r="H2857" s="8">
        <v>10746</v>
      </c>
    </row>
    <row r="2858" spans="2:8" ht="17.5" customHeight="1" x14ac:dyDescent="0.4">
      <c r="B2858" t="s">
        <v>7</v>
      </c>
      <c r="C2858" t="s">
        <v>661</v>
      </c>
      <c r="D2858" s="7">
        <f>DATE(2013,3,5)</f>
        <v>41338</v>
      </c>
      <c r="E2858" s="8">
        <f t="shared" si="46"/>
        <v>2013</v>
      </c>
      <c r="F2858" t="s">
        <v>662</v>
      </c>
      <c r="G2858" s="9">
        <v>25025.98</v>
      </c>
      <c r="H2858" s="8">
        <v>12139</v>
      </c>
    </row>
    <row r="2859" spans="2:8" ht="17.5" customHeight="1" x14ac:dyDescent="0.4">
      <c r="B2859" t="s">
        <v>7</v>
      </c>
      <c r="C2859" t="s">
        <v>661</v>
      </c>
      <c r="D2859" s="7">
        <f>DATE(2013,5,10)</f>
        <v>41404</v>
      </c>
      <c r="E2859" s="8">
        <f t="shared" si="46"/>
        <v>2013</v>
      </c>
      <c r="F2859" t="s">
        <v>662</v>
      </c>
      <c r="G2859" s="9">
        <v>16862.900000000001</v>
      </c>
      <c r="H2859" s="8">
        <v>12381</v>
      </c>
    </row>
    <row r="2860" spans="2:8" ht="17.5" customHeight="1" x14ac:dyDescent="0.4">
      <c r="B2860" t="s">
        <v>7</v>
      </c>
      <c r="C2860" t="s">
        <v>661</v>
      </c>
      <c r="D2860" s="7">
        <f>DATE(2003,4,6)</f>
        <v>37717</v>
      </c>
      <c r="E2860" s="8">
        <f t="shared" si="46"/>
        <v>2003</v>
      </c>
      <c r="F2860" t="s">
        <v>663</v>
      </c>
      <c r="G2860" s="9">
        <v>17841</v>
      </c>
      <c r="H2860" s="8">
        <v>394</v>
      </c>
    </row>
    <row r="2861" spans="2:8" ht="17.5" customHeight="1" x14ac:dyDescent="0.4">
      <c r="B2861" t="s">
        <v>7</v>
      </c>
      <c r="C2861" t="s">
        <v>661</v>
      </c>
      <c r="D2861" s="7">
        <f>DATE(2003,10,14)</f>
        <v>37908</v>
      </c>
      <c r="E2861" s="8">
        <f t="shared" si="46"/>
        <v>2003</v>
      </c>
      <c r="F2861" t="s">
        <v>663</v>
      </c>
      <c r="G2861" s="9">
        <v>18736.990000000002</v>
      </c>
      <c r="H2861" s="8">
        <v>716</v>
      </c>
    </row>
    <row r="2862" spans="2:8" ht="17.5" customHeight="1" x14ac:dyDescent="0.4">
      <c r="B2862" t="s">
        <v>7</v>
      </c>
      <c r="C2862" t="s">
        <v>661</v>
      </c>
      <c r="D2862" s="7">
        <f>DATE(2004,4,28)</f>
        <v>38105</v>
      </c>
      <c r="E2862" s="8">
        <f t="shared" si="46"/>
        <v>2004</v>
      </c>
      <c r="F2862" t="s">
        <v>663</v>
      </c>
      <c r="G2862" s="9">
        <v>16747</v>
      </c>
      <c r="H2862" s="8">
        <v>1286</v>
      </c>
    </row>
    <row r="2863" spans="2:8" ht="17.5" customHeight="1" x14ac:dyDescent="0.4">
      <c r="B2863" t="s">
        <v>7</v>
      </c>
      <c r="C2863" t="s">
        <v>661</v>
      </c>
      <c r="D2863" s="7">
        <f>DATE(2004,11,13)</f>
        <v>38304</v>
      </c>
      <c r="E2863" s="8">
        <f t="shared" si="46"/>
        <v>2004</v>
      </c>
      <c r="F2863" t="s">
        <v>663</v>
      </c>
      <c r="G2863" s="9">
        <v>14516</v>
      </c>
      <c r="H2863" s="8">
        <v>2249</v>
      </c>
    </row>
    <row r="2864" spans="2:8" ht="17.5" customHeight="1" x14ac:dyDescent="0.4">
      <c r="B2864" t="s">
        <v>7</v>
      </c>
      <c r="C2864" t="s">
        <v>661</v>
      </c>
      <c r="D2864" s="7">
        <f>DATE(2006,3,23)</f>
        <v>38799</v>
      </c>
      <c r="E2864" s="8">
        <f t="shared" si="46"/>
        <v>2006</v>
      </c>
      <c r="F2864" t="s">
        <v>663</v>
      </c>
      <c r="G2864" s="9">
        <v>17635</v>
      </c>
      <c r="H2864" s="8">
        <v>3906</v>
      </c>
    </row>
    <row r="2865" spans="2:8" ht="17.5" customHeight="1" x14ac:dyDescent="0.4">
      <c r="B2865" t="s">
        <v>7</v>
      </c>
      <c r="C2865" t="s">
        <v>661</v>
      </c>
      <c r="D2865" s="7">
        <f>DATE(2006,5,29)</f>
        <v>38866</v>
      </c>
      <c r="E2865" s="8">
        <f t="shared" si="46"/>
        <v>2006</v>
      </c>
      <c r="F2865" t="s">
        <v>663</v>
      </c>
      <c r="G2865" s="9">
        <v>19788.61</v>
      </c>
      <c r="H2865" s="8">
        <v>4641</v>
      </c>
    </row>
    <row r="2866" spans="2:8" ht="17.5" customHeight="1" x14ac:dyDescent="0.4">
      <c r="B2866" s="3" t="s">
        <v>7</v>
      </c>
      <c r="C2866" s="3" t="s">
        <v>661</v>
      </c>
      <c r="D2866" s="4">
        <f>DATE(2008,2,20)</f>
        <v>39498</v>
      </c>
      <c r="E2866" s="5">
        <f t="shared" si="46"/>
        <v>2008</v>
      </c>
      <c r="F2866" s="3" t="s">
        <v>663</v>
      </c>
      <c r="G2866" s="6">
        <v>9500</v>
      </c>
      <c r="H2866" s="5">
        <v>10001</v>
      </c>
    </row>
    <row r="2867" spans="2:8" ht="17.5" customHeight="1" x14ac:dyDescent="0.4">
      <c r="B2867" s="3" t="s">
        <v>7</v>
      </c>
      <c r="C2867" s="3" t="s">
        <v>661</v>
      </c>
      <c r="D2867" s="4">
        <f>DATE(2008,3,18)</f>
        <v>39525</v>
      </c>
      <c r="E2867" s="5">
        <f t="shared" si="46"/>
        <v>2008</v>
      </c>
      <c r="F2867" s="3" t="s">
        <v>663</v>
      </c>
      <c r="G2867" s="6">
        <v>8200</v>
      </c>
      <c r="H2867" s="5">
        <v>10228</v>
      </c>
    </row>
    <row r="2868" spans="2:8" ht="17.5" customHeight="1" x14ac:dyDescent="0.4">
      <c r="B2868" s="3" t="s">
        <v>7</v>
      </c>
      <c r="C2868" s="3" t="s">
        <v>664</v>
      </c>
      <c r="D2868" s="4">
        <f>DATE(2005,12,7)</f>
        <v>38693</v>
      </c>
      <c r="E2868" s="5">
        <f t="shared" si="46"/>
        <v>2005</v>
      </c>
      <c r="F2868" s="3" t="s">
        <v>665</v>
      </c>
      <c r="G2868" s="6">
        <v>2959</v>
      </c>
      <c r="H2868" s="5">
        <v>5708</v>
      </c>
    </row>
    <row r="2869" spans="2:8" ht="17.5" customHeight="1" x14ac:dyDescent="0.4">
      <c r="B2869" t="s">
        <v>7</v>
      </c>
      <c r="C2869" t="s">
        <v>666</v>
      </c>
      <c r="D2869" s="7">
        <f>DATE(2016,11,1)</f>
        <v>42675</v>
      </c>
      <c r="E2869" s="8">
        <f t="shared" si="46"/>
        <v>2016</v>
      </c>
      <c r="F2869" t="s">
        <v>667</v>
      </c>
      <c r="G2869" s="9">
        <v>47124.26</v>
      </c>
      <c r="H2869" s="8">
        <v>23578</v>
      </c>
    </row>
    <row r="2870" spans="2:8" ht="17.5" customHeight="1" x14ac:dyDescent="0.4">
      <c r="B2870" t="s">
        <v>7</v>
      </c>
      <c r="C2870" t="s">
        <v>666</v>
      </c>
      <c r="D2870" s="7">
        <f>DATE(2003,3,20)</f>
        <v>37700</v>
      </c>
      <c r="E2870" s="8">
        <f t="shared" si="46"/>
        <v>2003</v>
      </c>
      <c r="F2870" t="s">
        <v>667</v>
      </c>
      <c r="G2870" s="9">
        <v>3800.46</v>
      </c>
      <c r="H2870" s="8">
        <v>246</v>
      </c>
    </row>
    <row r="2871" spans="2:8" ht="17.5" customHeight="1" x14ac:dyDescent="0.4">
      <c r="B2871" t="s">
        <v>7</v>
      </c>
      <c r="C2871" t="s">
        <v>666</v>
      </c>
      <c r="D2871" s="7">
        <f>DATE(2003,9,22)</f>
        <v>37886</v>
      </c>
      <c r="E2871" s="8">
        <f t="shared" si="46"/>
        <v>2003</v>
      </c>
      <c r="F2871" t="s">
        <v>667</v>
      </c>
      <c r="G2871" s="9">
        <v>2500</v>
      </c>
      <c r="H2871" s="8">
        <v>821</v>
      </c>
    </row>
    <row r="2872" spans="2:8" ht="17.5" customHeight="1" x14ac:dyDescent="0.4">
      <c r="B2872" t="s">
        <v>7</v>
      </c>
      <c r="C2872" t="s">
        <v>666</v>
      </c>
      <c r="D2872" s="7">
        <f>DATE(2004,2,9)</f>
        <v>38026</v>
      </c>
      <c r="E2872" s="8">
        <f t="shared" si="46"/>
        <v>2004</v>
      </c>
      <c r="F2872" t="s">
        <v>667</v>
      </c>
      <c r="G2872" s="9">
        <v>5000</v>
      </c>
      <c r="H2872" s="8">
        <v>1211</v>
      </c>
    </row>
    <row r="2873" spans="2:8" ht="17.5" customHeight="1" x14ac:dyDescent="0.4">
      <c r="B2873" t="s">
        <v>7</v>
      </c>
      <c r="C2873" t="s">
        <v>666</v>
      </c>
      <c r="D2873" s="7">
        <f>DATE(2004,4,12)</f>
        <v>38089</v>
      </c>
      <c r="E2873" s="8">
        <f t="shared" si="46"/>
        <v>2004</v>
      </c>
      <c r="F2873" t="s">
        <v>667</v>
      </c>
      <c r="G2873" s="9">
        <v>750</v>
      </c>
      <c r="H2873" s="8">
        <v>1608</v>
      </c>
    </row>
    <row r="2874" spans="2:8" ht="17.5" customHeight="1" x14ac:dyDescent="0.4">
      <c r="B2874" t="s">
        <v>7</v>
      </c>
      <c r="C2874" t="s">
        <v>666</v>
      </c>
      <c r="D2874" s="7">
        <f>DATE(2005,10,3)</f>
        <v>38628</v>
      </c>
      <c r="E2874" s="8">
        <f t="shared" si="46"/>
        <v>2005</v>
      </c>
      <c r="F2874" t="s">
        <v>667</v>
      </c>
      <c r="G2874" s="9">
        <v>3025</v>
      </c>
      <c r="H2874" s="8">
        <v>3612</v>
      </c>
    </row>
    <row r="2875" spans="2:8" ht="17.5" customHeight="1" x14ac:dyDescent="0.4">
      <c r="B2875" t="s">
        <v>7</v>
      </c>
      <c r="C2875" t="s">
        <v>666</v>
      </c>
      <c r="D2875" s="7">
        <f>DATE(2005,10,3)</f>
        <v>38628</v>
      </c>
      <c r="E2875" s="8">
        <f t="shared" si="46"/>
        <v>2005</v>
      </c>
      <c r="F2875" t="s">
        <v>667</v>
      </c>
      <c r="G2875" s="9">
        <v>900</v>
      </c>
      <c r="H2875" s="8">
        <v>3722</v>
      </c>
    </row>
    <row r="2876" spans="2:8" ht="17.5" customHeight="1" x14ac:dyDescent="0.4">
      <c r="B2876" t="s">
        <v>7</v>
      </c>
      <c r="C2876" t="s">
        <v>666</v>
      </c>
      <c r="D2876" s="7">
        <f>DATE(2006,4,7)</f>
        <v>38814</v>
      </c>
      <c r="E2876" s="8">
        <f t="shared" si="46"/>
        <v>2006</v>
      </c>
      <c r="F2876" t="s">
        <v>667</v>
      </c>
      <c r="G2876" s="9">
        <v>7775.51</v>
      </c>
      <c r="H2876" s="8">
        <v>3980</v>
      </c>
    </row>
    <row r="2877" spans="2:8" ht="17.5" customHeight="1" x14ac:dyDescent="0.4">
      <c r="B2877" t="s">
        <v>7</v>
      </c>
      <c r="C2877" t="s">
        <v>666</v>
      </c>
      <c r="D2877" s="7">
        <f>DATE(2007,10,8)</f>
        <v>39363</v>
      </c>
      <c r="E2877" s="8">
        <f t="shared" si="46"/>
        <v>2007</v>
      </c>
      <c r="F2877" t="s">
        <v>667</v>
      </c>
      <c r="G2877" s="9">
        <v>12310.72</v>
      </c>
      <c r="H2877" s="8">
        <v>6465</v>
      </c>
    </row>
    <row r="2878" spans="2:8" ht="17.5" customHeight="1" x14ac:dyDescent="0.4">
      <c r="B2878" t="s">
        <v>16</v>
      </c>
      <c r="C2878" t="s">
        <v>666</v>
      </c>
      <c r="D2878" s="7">
        <f>DATE(2005,10,3)</f>
        <v>38628</v>
      </c>
      <c r="E2878" s="8">
        <f t="shared" si="46"/>
        <v>2005</v>
      </c>
      <c r="F2878" t="s">
        <v>667</v>
      </c>
      <c r="G2878" s="9">
        <v>3025</v>
      </c>
      <c r="H2878" s="8">
        <v>3723</v>
      </c>
    </row>
    <row r="2879" spans="2:8" ht="17.5" customHeight="1" x14ac:dyDescent="0.4">
      <c r="B2879" s="3" t="s">
        <v>7</v>
      </c>
      <c r="C2879" s="3" t="s">
        <v>666</v>
      </c>
      <c r="D2879" s="4">
        <f>DATE(2013,7,9)</f>
        <v>41464</v>
      </c>
      <c r="E2879" s="5">
        <f t="shared" si="46"/>
        <v>2013</v>
      </c>
      <c r="F2879" s="3" t="s">
        <v>667</v>
      </c>
      <c r="G2879" s="6">
        <v>29425.47</v>
      </c>
      <c r="H2879" s="5">
        <v>5608</v>
      </c>
    </row>
    <row r="2880" spans="2:8" ht="17.5" customHeight="1" x14ac:dyDescent="0.4">
      <c r="B2880" s="3" t="s">
        <v>7</v>
      </c>
      <c r="C2880" s="3" t="s">
        <v>666</v>
      </c>
      <c r="D2880" s="4">
        <f>DATE(2013,8,19)</f>
        <v>41505</v>
      </c>
      <c r="E2880" s="5">
        <f t="shared" si="46"/>
        <v>2013</v>
      </c>
      <c r="F2880" s="3" t="s">
        <v>667</v>
      </c>
      <c r="G2880" s="6">
        <v>55963.09</v>
      </c>
      <c r="H2880" s="5">
        <v>5718</v>
      </c>
    </row>
    <row r="2881" spans="2:8" ht="17.5" customHeight="1" x14ac:dyDescent="0.4">
      <c r="B2881" s="3" t="s">
        <v>7</v>
      </c>
      <c r="C2881" s="3" t="s">
        <v>666</v>
      </c>
      <c r="D2881" s="4">
        <f>DATE(2013,8,19)</f>
        <v>41505</v>
      </c>
      <c r="E2881" s="5">
        <f t="shared" si="46"/>
        <v>2013</v>
      </c>
      <c r="F2881" s="3" t="s">
        <v>667</v>
      </c>
      <c r="G2881" s="6">
        <v>10653.5</v>
      </c>
      <c r="H2881" s="5">
        <v>5721</v>
      </c>
    </row>
    <row r="2882" spans="2:8" ht="17.5" customHeight="1" x14ac:dyDescent="0.4">
      <c r="B2882" s="3" t="s">
        <v>7</v>
      </c>
      <c r="C2882" s="3" t="s">
        <v>666</v>
      </c>
      <c r="D2882" s="4">
        <f>DATE(2013,11,6)</f>
        <v>41584</v>
      </c>
      <c r="E2882" s="5">
        <f t="shared" si="46"/>
        <v>2013</v>
      </c>
      <c r="F2882" s="3" t="s">
        <v>667</v>
      </c>
      <c r="G2882" s="6">
        <v>8951.9699999999993</v>
      </c>
      <c r="H2882" s="5">
        <v>5848</v>
      </c>
    </row>
    <row r="2883" spans="2:8" ht="17.5" customHeight="1" x14ac:dyDescent="0.4">
      <c r="B2883" s="3" t="s">
        <v>7</v>
      </c>
      <c r="C2883" s="3" t="s">
        <v>666</v>
      </c>
      <c r="D2883" s="4">
        <f>DATE(2003,3,25)</f>
        <v>37705</v>
      </c>
      <c r="E2883" s="5">
        <f t="shared" ref="E2883:E2946" si="47">YEAR(D2883)</f>
        <v>2003</v>
      </c>
      <c r="F2883" s="3" t="s">
        <v>667</v>
      </c>
      <c r="G2883" s="6">
        <v>2257.17</v>
      </c>
      <c r="H2883" s="5">
        <v>333</v>
      </c>
    </row>
    <row r="2884" spans="2:8" ht="17.5" customHeight="1" x14ac:dyDescent="0.4">
      <c r="B2884" s="3" t="s">
        <v>7</v>
      </c>
      <c r="C2884" s="3" t="s">
        <v>666</v>
      </c>
      <c r="D2884" s="4">
        <f>DATE(2003,8,28)</f>
        <v>37861</v>
      </c>
      <c r="E2884" s="5">
        <f t="shared" si="47"/>
        <v>2003</v>
      </c>
      <c r="F2884" s="3" t="s">
        <v>667</v>
      </c>
      <c r="G2884" s="6">
        <v>3697.92</v>
      </c>
      <c r="H2884" s="5">
        <v>1417</v>
      </c>
    </row>
    <row r="2885" spans="2:8" ht="17.5" customHeight="1" x14ac:dyDescent="0.4">
      <c r="B2885" s="3" t="s">
        <v>7</v>
      </c>
      <c r="C2885" s="3" t="s">
        <v>666</v>
      </c>
      <c r="D2885" s="4">
        <f>DATE(2003,9,23)</f>
        <v>37887</v>
      </c>
      <c r="E2885" s="5">
        <f t="shared" si="47"/>
        <v>2003</v>
      </c>
      <c r="F2885" s="3" t="s">
        <v>667</v>
      </c>
      <c r="G2885" s="6">
        <v>1430</v>
      </c>
      <c r="H2885" s="5">
        <v>1455</v>
      </c>
    </row>
    <row r="2886" spans="2:8" ht="17.5" customHeight="1" x14ac:dyDescent="0.4">
      <c r="B2886" s="3" t="s">
        <v>7</v>
      </c>
      <c r="C2886" s="3" t="s">
        <v>666</v>
      </c>
      <c r="D2886" s="4">
        <f>DATE(2003,9,23)</f>
        <v>37887</v>
      </c>
      <c r="E2886" s="5">
        <f t="shared" si="47"/>
        <v>2003</v>
      </c>
      <c r="F2886" s="3" t="s">
        <v>667</v>
      </c>
      <c r="G2886" s="6">
        <v>356.5</v>
      </c>
      <c r="H2886" s="5">
        <v>1493</v>
      </c>
    </row>
    <row r="2887" spans="2:8" ht="17.5" customHeight="1" x14ac:dyDescent="0.4">
      <c r="B2887" s="3" t="s">
        <v>7</v>
      </c>
      <c r="C2887" s="3" t="s">
        <v>666</v>
      </c>
      <c r="D2887" s="4">
        <f>DATE(2003,9,1)</f>
        <v>37865</v>
      </c>
      <c r="E2887" s="5">
        <f t="shared" si="47"/>
        <v>2003</v>
      </c>
      <c r="F2887" s="3" t="s">
        <v>667</v>
      </c>
      <c r="G2887" s="6">
        <v>2000</v>
      </c>
      <c r="H2887" s="5">
        <v>1570</v>
      </c>
    </row>
    <row r="2888" spans="2:8" ht="17.5" customHeight="1" x14ac:dyDescent="0.4">
      <c r="B2888" s="3" t="s">
        <v>7</v>
      </c>
      <c r="C2888" s="3" t="s">
        <v>666</v>
      </c>
      <c r="D2888" s="4">
        <f>DATE(2003,9,1)</f>
        <v>37865</v>
      </c>
      <c r="E2888" s="5">
        <f t="shared" si="47"/>
        <v>2003</v>
      </c>
      <c r="F2888" s="3" t="s">
        <v>667</v>
      </c>
      <c r="G2888" s="6">
        <v>1239.5</v>
      </c>
      <c r="H2888" s="5">
        <v>1571</v>
      </c>
    </row>
    <row r="2889" spans="2:8" ht="17.5" customHeight="1" x14ac:dyDescent="0.4">
      <c r="B2889" s="3" t="s">
        <v>7</v>
      </c>
      <c r="C2889" s="3" t="s">
        <v>666</v>
      </c>
      <c r="D2889" s="4">
        <f>DATE(2004,2,9)</f>
        <v>38026</v>
      </c>
      <c r="E2889" s="5">
        <f t="shared" si="47"/>
        <v>2004</v>
      </c>
      <c r="F2889" s="3" t="s">
        <v>667</v>
      </c>
      <c r="G2889" s="6">
        <v>11597</v>
      </c>
      <c r="H2889" s="5">
        <v>2080</v>
      </c>
    </row>
    <row r="2890" spans="2:8" ht="17.5" customHeight="1" x14ac:dyDescent="0.4">
      <c r="B2890" s="3" t="s">
        <v>7</v>
      </c>
      <c r="C2890" s="3" t="s">
        <v>666</v>
      </c>
      <c r="D2890" s="4">
        <f>DATE(2004,4,12)</f>
        <v>38089</v>
      </c>
      <c r="E2890" s="5">
        <f t="shared" si="47"/>
        <v>2004</v>
      </c>
      <c r="F2890" s="3" t="s">
        <v>667</v>
      </c>
      <c r="G2890" s="6">
        <v>1150</v>
      </c>
      <c r="H2890" s="5">
        <v>2585</v>
      </c>
    </row>
    <row r="2891" spans="2:8" ht="17.5" customHeight="1" x14ac:dyDescent="0.4">
      <c r="B2891" s="3" t="s">
        <v>7</v>
      </c>
      <c r="C2891" s="3" t="s">
        <v>666</v>
      </c>
      <c r="D2891" s="4">
        <f>DATE(2004,4,14)</f>
        <v>38091</v>
      </c>
      <c r="E2891" s="5">
        <f t="shared" si="47"/>
        <v>2004</v>
      </c>
      <c r="F2891" s="3" t="s">
        <v>667</v>
      </c>
      <c r="G2891" s="6">
        <v>1150</v>
      </c>
      <c r="H2891" s="5">
        <v>2655</v>
      </c>
    </row>
    <row r="2892" spans="2:8" ht="17.5" customHeight="1" x14ac:dyDescent="0.4">
      <c r="B2892" s="3" t="s">
        <v>7</v>
      </c>
      <c r="C2892" s="3" t="s">
        <v>666</v>
      </c>
      <c r="D2892" s="4">
        <f>DATE(2005,10,3)</f>
        <v>38628</v>
      </c>
      <c r="E2892" s="5">
        <f t="shared" si="47"/>
        <v>2005</v>
      </c>
      <c r="F2892" s="3" t="s">
        <v>667</v>
      </c>
      <c r="G2892" s="6">
        <v>2207.5</v>
      </c>
      <c r="H2892" s="5">
        <v>5299</v>
      </c>
    </row>
    <row r="2893" spans="2:8" ht="17.5" customHeight="1" x14ac:dyDescent="0.4">
      <c r="B2893" s="3" t="s">
        <v>16</v>
      </c>
      <c r="C2893" s="3" t="s">
        <v>666</v>
      </c>
      <c r="D2893" s="4">
        <f>DATE(2003,9,1)</f>
        <v>37865</v>
      </c>
      <c r="E2893" s="5">
        <f t="shared" si="47"/>
        <v>2003</v>
      </c>
      <c r="F2893" s="3" t="s">
        <v>667</v>
      </c>
      <c r="G2893" s="6">
        <v>3697.92</v>
      </c>
      <c r="H2893" s="5">
        <v>1564</v>
      </c>
    </row>
    <row r="2894" spans="2:8" ht="17.5" customHeight="1" x14ac:dyDescent="0.4">
      <c r="B2894" s="3" t="s">
        <v>16</v>
      </c>
      <c r="C2894" s="3" t="s">
        <v>666</v>
      </c>
      <c r="D2894" s="4">
        <f>DATE(2003,9,1)</f>
        <v>37865</v>
      </c>
      <c r="E2894" s="5">
        <f t="shared" si="47"/>
        <v>2003</v>
      </c>
      <c r="F2894" s="3" t="s">
        <v>667</v>
      </c>
      <c r="G2894" s="6">
        <v>2257.17</v>
      </c>
      <c r="H2894" s="5">
        <v>1566</v>
      </c>
    </row>
    <row r="2895" spans="2:8" ht="17.5" customHeight="1" x14ac:dyDescent="0.4">
      <c r="B2895" s="3" t="s">
        <v>7</v>
      </c>
      <c r="C2895" s="3" t="s">
        <v>668</v>
      </c>
      <c r="D2895" s="4">
        <f>DATE(2010,3,31)</f>
        <v>40268</v>
      </c>
      <c r="E2895" s="5">
        <f t="shared" si="47"/>
        <v>2010</v>
      </c>
      <c r="F2895" s="3" t="s">
        <v>669</v>
      </c>
      <c r="G2895" s="6">
        <v>8735.75</v>
      </c>
      <c r="H2895" s="5">
        <v>13505</v>
      </c>
    </row>
    <row r="2896" spans="2:8" ht="17.5" customHeight="1" x14ac:dyDescent="0.4">
      <c r="B2896" t="s">
        <v>7</v>
      </c>
      <c r="C2896" t="s">
        <v>668</v>
      </c>
      <c r="D2896" s="7">
        <f>DATE(2015,5,18)</f>
        <v>42142</v>
      </c>
      <c r="E2896" s="8">
        <f t="shared" si="47"/>
        <v>2015</v>
      </c>
      <c r="F2896" t="s">
        <v>670</v>
      </c>
      <c r="G2896" s="9">
        <v>27800</v>
      </c>
      <c r="H2896" s="8">
        <v>20209</v>
      </c>
    </row>
    <row r="2897" spans="2:8" ht="17.5" customHeight="1" x14ac:dyDescent="0.4">
      <c r="B2897" t="s">
        <v>7</v>
      </c>
      <c r="C2897" t="s">
        <v>668</v>
      </c>
      <c r="D2897" s="7">
        <f>DATE(2016,6,15)</f>
        <v>42536</v>
      </c>
      <c r="E2897" s="8">
        <f t="shared" si="47"/>
        <v>2016</v>
      </c>
      <c r="F2897" t="s">
        <v>670</v>
      </c>
      <c r="G2897" s="9">
        <v>4797.74</v>
      </c>
      <c r="H2897" s="8">
        <v>22951</v>
      </c>
    </row>
    <row r="2898" spans="2:8" ht="17.5" customHeight="1" x14ac:dyDescent="0.4">
      <c r="B2898" t="s">
        <v>7</v>
      </c>
      <c r="C2898" t="s">
        <v>668</v>
      </c>
      <c r="D2898" s="7">
        <f>DATE(2003,2,6)</f>
        <v>37658</v>
      </c>
      <c r="E2898" s="8">
        <f t="shared" si="47"/>
        <v>2003</v>
      </c>
      <c r="F2898" t="s">
        <v>670</v>
      </c>
      <c r="G2898" s="9">
        <v>29900</v>
      </c>
      <c r="H2898" s="8">
        <v>41</v>
      </c>
    </row>
    <row r="2899" spans="2:8" ht="17.5" customHeight="1" x14ac:dyDescent="0.4">
      <c r="B2899" t="s">
        <v>7</v>
      </c>
      <c r="C2899" t="s">
        <v>668</v>
      </c>
      <c r="D2899" s="7">
        <f>DATE(2004,2,18)</f>
        <v>38035</v>
      </c>
      <c r="E2899" s="8">
        <f t="shared" si="47"/>
        <v>2004</v>
      </c>
      <c r="F2899" t="s">
        <v>670</v>
      </c>
      <c r="G2899" s="9">
        <v>27169.33</v>
      </c>
      <c r="H2899" s="8">
        <v>1259</v>
      </c>
    </row>
    <row r="2900" spans="2:8" ht="17.5" customHeight="1" x14ac:dyDescent="0.4">
      <c r="B2900" t="s">
        <v>7</v>
      </c>
      <c r="C2900" t="s">
        <v>668</v>
      </c>
      <c r="D2900" s="7">
        <f>DATE(2004,2,28)</f>
        <v>38045</v>
      </c>
      <c r="E2900" s="8">
        <f t="shared" si="47"/>
        <v>2004</v>
      </c>
      <c r="F2900" t="s">
        <v>670</v>
      </c>
      <c r="G2900" s="9">
        <v>29501.55</v>
      </c>
      <c r="H2900" s="8">
        <v>1385</v>
      </c>
    </row>
    <row r="2901" spans="2:8" ht="17.5" customHeight="1" x14ac:dyDescent="0.4">
      <c r="B2901" t="s">
        <v>7</v>
      </c>
      <c r="C2901" t="s">
        <v>668</v>
      </c>
      <c r="D2901" s="7">
        <f>DATE(2004,3,26)</f>
        <v>38072</v>
      </c>
      <c r="E2901" s="8">
        <f t="shared" si="47"/>
        <v>2004</v>
      </c>
      <c r="F2901" t="s">
        <v>670</v>
      </c>
      <c r="G2901" s="9">
        <v>23754.32</v>
      </c>
      <c r="H2901" s="8">
        <v>1383</v>
      </c>
    </row>
    <row r="2902" spans="2:8" ht="17.5" customHeight="1" x14ac:dyDescent="0.4">
      <c r="B2902" t="s">
        <v>7</v>
      </c>
      <c r="C2902" t="s">
        <v>668</v>
      </c>
      <c r="D2902" s="7">
        <f>DATE(2005,3,25)</f>
        <v>38436</v>
      </c>
      <c r="E2902" s="8">
        <f t="shared" si="47"/>
        <v>2005</v>
      </c>
      <c r="F2902" t="s">
        <v>670</v>
      </c>
      <c r="G2902" s="9">
        <v>30977.08</v>
      </c>
      <c r="H2902" s="8">
        <v>2812</v>
      </c>
    </row>
    <row r="2903" spans="2:8" ht="17.5" customHeight="1" x14ac:dyDescent="0.4">
      <c r="B2903" t="s">
        <v>7</v>
      </c>
      <c r="C2903" t="s">
        <v>668</v>
      </c>
      <c r="D2903" s="7">
        <f>DATE(2005,4,20)</f>
        <v>38462</v>
      </c>
      <c r="E2903" s="8">
        <f t="shared" si="47"/>
        <v>2005</v>
      </c>
      <c r="F2903" t="s">
        <v>670</v>
      </c>
      <c r="G2903" s="9">
        <v>24912.36</v>
      </c>
      <c r="H2903" s="8">
        <v>2393</v>
      </c>
    </row>
    <row r="2904" spans="2:8" ht="17.5" customHeight="1" x14ac:dyDescent="0.4">
      <c r="B2904" t="s">
        <v>7</v>
      </c>
      <c r="C2904" t="s">
        <v>668</v>
      </c>
      <c r="D2904" s="7">
        <f>DATE(2005,10,4)</f>
        <v>38629</v>
      </c>
      <c r="E2904" s="8">
        <f t="shared" si="47"/>
        <v>2005</v>
      </c>
      <c r="F2904" t="s">
        <v>670</v>
      </c>
      <c r="G2904" s="9">
        <v>5200</v>
      </c>
      <c r="H2904" s="8">
        <v>3633</v>
      </c>
    </row>
    <row r="2905" spans="2:8" ht="17.5" customHeight="1" x14ac:dyDescent="0.4">
      <c r="B2905" t="s">
        <v>7</v>
      </c>
      <c r="C2905" t="s">
        <v>668</v>
      </c>
      <c r="D2905" s="7">
        <f>DATE(2006,3,4)</f>
        <v>38780</v>
      </c>
      <c r="E2905" s="8">
        <f t="shared" si="47"/>
        <v>2006</v>
      </c>
      <c r="F2905" t="s">
        <v>670</v>
      </c>
      <c r="G2905" s="9">
        <v>28600</v>
      </c>
      <c r="H2905" s="8">
        <v>3917</v>
      </c>
    </row>
    <row r="2906" spans="2:8" ht="17.5" customHeight="1" x14ac:dyDescent="0.4">
      <c r="B2906" t="s">
        <v>7</v>
      </c>
      <c r="C2906" t="s">
        <v>668</v>
      </c>
      <c r="D2906" s="7">
        <f>DATE(2006,5,30)</f>
        <v>38867</v>
      </c>
      <c r="E2906" s="8">
        <f t="shared" si="47"/>
        <v>2006</v>
      </c>
      <c r="F2906" t="s">
        <v>670</v>
      </c>
      <c r="G2906" s="9">
        <v>34953.269999999997</v>
      </c>
      <c r="H2906" s="8">
        <v>3916</v>
      </c>
    </row>
    <row r="2907" spans="2:8" ht="17.5" customHeight="1" x14ac:dyDescent="0.4">
      <c r="B2907" t="s">
        <v>7</v>
      </c>
      <c r="C2907" t="s">
        <v>668</v>
      </c>
      <c r="D2907" s="7">
        <f>DATE(2006,5,31)</f>
        <v>38868</v>
      </c>
      <c r="E2907" s="8">
        <f t="shared" si="47"/>
        <v>2006</v>
      </c>
      <c r="F2907" t="s">
        <v>670</v>
      </c>
      <c r="G2907" s="9">
        <v>17050</v>
      </c>
      <c r="H2907" s="8">
        <v>4554</v>
      </c>
    </row>
    <row r="2908" spans="2:8" ht="17.5" customHeight="1" x14ac:dyDescent="0.4">
      <c r="B2908" t="s">
        <v>7</v>
      </c>
      <c r="C2908" t="s">
        <v>668</v>
      </c>
      <c r="D2908" s="7">
        <f>DATE(2006,8,30)</f>
        <v>38959</v>
      </c>
      <c r="E2908" s="8">
        <f t="shared" si="47"/>
        <v>2006</v>
      </c>
      <c r="F2908" t="s">
        <v>670</v>
      </c>
      <c r="G2908" s="9">
        <v>3395.5</v>
      </c>
      <c r="H2908" s="8">
        <v>4949</v>
      </c>
    </row>
    <row r="2909" spans="2:8" ht="17.5" customHeight="1" x14ac:dyDescent="0.4">
      <c r="B2909" t="s">
        <v>7</v>
      </c>
      <c r="C2909" t="s">
        <v>668</v>
      </c>
      <c r="D2909" s="7">
        <f>DATE(2007,3,11)</f>
        <v>39152</v>
      </c>
      <c r="E2909" s="8">
        <f t="shared" si="47"/>
        <v>2007</v>
      </c>
      <c r="F2909" t="s">
        <v>670</v>
      </c>
      <c r="G2909" s="9">
        <v>30655.5</v>
      </c>
      <c r="H2909" s="8">
        <v>5404</v>
      </c>
    </row>
    <row r="2910" spans="2:8" ht="17.5" customHeight="1" x14ac:dyDescent="0.4">
      <c r="B2910" t="s">
        <v>7</v>
      </c>
      <c r="C2910" t="s">
        <v>668</v>
      </c>
      <c r="D2910" s="7">
        <f>DATE(2007,9,15)</f>
        <v>39340</v>
      </c>
      <c r="E2910" s="8">
        <f t="shared" si="47"/>
        <v>2007</v>
      </c>
      <c r="F2910" t="s">
        <v>670</v>
      </c>
      <c r="G2910" s="9">
        <v>26828.62</v>
      </c>
      <c r="H2910" s="8">
        <v>6165</v>
      </c>
    </row>
    <row r="2911" spans="2:8" ht="17.5" customHeight="1" x14ac:dyDescent="0.4">
      <c r="B2911" t="s">
        <v>7</v>
      </c>
      <c r="C2911" t="s">
        <v>668</v>
      </c>
      <c r="D2911" s="7">
        <f>DATE(2007,10,25)</f>
        <v>39380</v>
      </c>
      <c r="E2911" s="8">
        <f t="shared" si="47"/>
        <v>2007</v>
      </c>
      <c r="F2911" t="s">
        <v>670</v>
      </c>
      <c r="G2911" s="9">
        <v>6150.12</v>
      </c>
      <c r="H2911" s="8">
        <v>6444</v>
      </c>
    </row>
    <row r="2912" spans="2:8" ht="17.5" customHeight="1" x14ac:dyDescent="0.4">
      <c r="B2912" t="s">
        <v>7</v>
      </c>
      <c r="C2912" t="s">
        <v>668</v>
      </c>
      <c r="D2912" s="7">
        <f>DATE(2008,2,10)</f>
        <v>39488</v>
      </c>
      <c r="E2912" s="8">
        <f t="shared" si="47"/>
        <v>2008</v>
      </c>
      <c r="F2912" t="s">
        <v>670</v>
      </c>
      <c r="G2912" s="9">
        <v>26995</v>
      </c>
      <c r="H2912" s="8">
        <v>6691</v>
      </c>
    </row>
    <row r="2913" spans="2:8" ht="17.5" customHeight="1" x14ac:dyDescent="0.4">
      <c r="B2913" t="s">
        <v>7</v>
      </c>
      <c r="C2913" t="s">
        <v>668</v>
      </c>
      <c r="D2913" s="7">
        <f>DATE(2008,3,29)</f>
        <v>39536</v>
      </c>
      <c r="E2913" s="8">
        <f t="shared" si="47"/>
        <v>2008</v>
      </c>
      <c r="F2913" t="s">
        <v>670</v>
      </c>
      <c r="G2913" s="9">
        <v>21750</v>
      </c>
      <c r="H2913" s="8">
        <v>7002</v>
      </c>
    </row>
    <row r="2914" spans="2:8" ht="17.5" customHeight="1" x14ac:dyDescent="0.4">
      <c r="B2914" t="s">
        <v>7</v>
      </c>
      <c r="C2914" t="s">
        <v>668</v>
      </c>
      <c r="D2914" s="7">
        <f>DATE(2008,4,24)</f>
        <v>39562</v>
      </c>
      <c r="E2914" s="8">
        <f t="shared" si="47"/>
        <v>2008</v>
      </c>
      <c r="F2914" t="s">
        <v>670</v>
      </c>
      <c r="G2914" s="9">
        <v>8650.26</v>
      </c>
      <c r="H2914" s="8">
        <v>7320</v>
      </c>
    </row>
    <row r="2915" spans="2:8" ht="17.5" customHeight="1" x14ac:dyDescent="0.4">
      <c r="B2915" t="s">
        <v>7</v>
      </c>
      <c r="C2915" t="s">
        <v>668</v>
      </c>
      <c r="D2915" s="7">
        <f>DATE(2008,4,16)</f>
        <v>39554</v>
      </c>
      <c r="E2915" s="8">
        <f t="shared" si="47"/>
        <v>2008</v>
      </c>
      <c r="F2915" t="s">
        <v>670</v>
      </c>
      <c r="G2915" s="9">
        <v>4253.95</v>
      </c>
      <c r="H2915" s="8">
        <v>7313</v>
      </c>
    </row>
    <row r="2916" spans="2:8" ht="17.5" customHeight="1" x14ac:dyDescent="0.4">
      <c r="B2916" t="s">
        <v>7</v>
      </c>
      <c r="C2916" t="s">
        <v>668</v>
      </c>
      <c r="D2916" s="7">
        <f>DATE(2008,7,29)</f>
        <v>39658</v>
      </c>
      <c r="E2916" s="8">
        <f t="shared" si="47"/>
        <v>2008</v>
      </c>
      <c r="F2916" t="s">
        <v>670</v>
      </c>
      <c r="G2916" s="9">
        <v>2888.9</v>
      </c>
      <c r="H2916" s="8">
        <v>7656</v>
      </c>
    </row>
    <row r="2917" spans="2:8" ht="17.5" customHeight="1" x14ac:dyDescent="0.4">
      <c r="B2917" t="s">
        <v>7</v>
      </c>
      <c r="C2917" t="s">
        <v>668</v>
      </c>
      <c r="D2917" s="7">
        <f>DATE(2008,12,3)</f>
        <v>39785</v>
      </c>
      <c r="E2917" s="8">
        <f t="shared" si="47"/>
        <v>2008</v>
      </c>
      <c r="F2917" t="s">
        <v>670</v>
      </c>
      <c r="G2917" s="9">
        <v>3035.1</v>
      </c>
      <c r="H2917" s="8">
        <v>8073</v>
      </c>
    </row>
    <row r="2918" spans="2:8" ht="17.5" customHeight="1" x14ac:dyDescent="0.4">
      <c r="B2918" t="s">
        <v>7</v>
      </c>
      <c r="C2918" t="s">
        <v>668</v>
      </c>
      <c r="D2918" s="7">
        <f>DATE(2009,3,5)</f>
        <v>39877</v>
      </c>
      <c r="E2918" s="8">
        <f t="shared" si="47"/>
        <v>2009</v>
      </c>
      <c r="F2918" t="s">
        <v>670</v>
      </c>
      <c r="G2918" s="9">
        <v>17436</v>
      </c>
      <c r="H2918" s="8">
        <v>8143</v>
      </c>
    </row>
    <row r="2919" spans="2:8" ht="17.5" customHeight="1" x14ac:dyDescent="0.4">
      <c r="B2919" t="s">
        <v>7</v>
      </c>
      <c r="C2919" t="s">
        <v>668</v>
      </c>
      <c r="D2919" s="7">
        <f>DATE(2009,3,5)</f>
        <v>39877</v>
      </c>
      <c r="E2919" s="8">
        <f t="shared" si="47"/>
        <v>2009</v>
      </c>
      <c r="F2919" t="s">
        <v>670</v>
      </c>
      <c r="G2919" s="9">
        <v>11064.21</v>
      </c>
      <c r="H2919" s="8">
        <v>8166</v>
      </c>
    </row>
    <row r="2920" spans="2:8" ht="17.5" customHeight="1" x14ac:dyDescent="0.4">
      <c r="B2920" t="s">
        <v>7</v>
      </c>
      <c r="C2920" t="s">
        <v>668</v>
      </c>
      <c r="D2920" s="7">
        <f>DATE(2009,3,10)</f>
        <v>39882</v>
      </c>
      <c r="E2920" s="8">
        <f t="shared" si="47"/>
        <v>2009</v>
      </c>
      <c r="F2920" t="s">
        <v>670</v>
      </c>
      <c r="G2920" s="9">
        <v>20497</v>
      </c>
      <c r="H2920" s="8">
        <v>8294</v>
      </c>
    </row>
    <row r="2921" spans="2:8" ht="17.5" customHeight="1" x14ac:dyDescent="0.4">
      <c r="B2921" t="s">
        <v>7</v>
      </c>
      <c r="C2921" t="s">
        <v>668</v>
      </c>
      <c r="D2921" s="7">
        <f>DATE(2009,5,18)</f>
        <v>39951</v>
      </c>
      <c r="E2921" s="8">
        <f t="shared" si="47"/>
        <v>2009</v>
      </c>
      <c r="F2921" t="s">
        <v>670</v>
      </c>
      <c r="G2921" s="9">
        <v>1897.62</v>
      </c>
      <c r="H2921" s="8">
        <v>8660</v>
      </c>
    </row>
    <row r="2922" spans="2:8" ht="17.5" customHeight="1" x14ac:dyDescent="0.4">
      <c r="B2922" t="s">
        <v>7</v>
      </c>
      <c r="C2922" t="s">
        <v>668</v>
      </c>
      <c r="D2922" s="7">
        <f>DATE(2009,5,18)</f>
        <v>39951</v>
      </c>
      <c r="E2922" s="8">
        <f t="shared" si="47"/>
        <v>2009</v>
      </c>
      <c r="F2922" t="s">
        <v>670</v>
      </c>
      <c r="G2922" s="9">
        <v>17436</v>
      </c>
      <c r="H2922" s="8">
        <v>8620</v>
      </c>
    </row>
    <row r="2923" spans="2:8" ht="17.5" customHeight="1" x14ac:dyDescent="0.4">
      <c r="B2923" t="s">
        <v>7</v>
      </c>
      <c r="C2923" t="s">
        <v>668</v>
      </c>
      <c r="D2923" s="7">
        <f>DATE(2010,2,17)</f>
        <v>40226</v>
      </c>
      <c r="E2923" s="8">
        <f t="shared" si="47"/>
        <v>2010</v>
      </c>
      <c r="F2923" t="s">
        <v>670</v>
      </c>
      <c r="G2923" s="9">
        <v>17498</v>
      </c>
      <c r="H2923" s="8">
        <v>9439</v>
      </c>
    </row>
    <row r="2924" spans="2:8" ht="17.5" customHeight="1" x14ac:dyDescent="0.4">
      <c r="B2924" t="s">
        <v>7</v>
      </c>
      <c r="C2924" t="s">
        <v>668</v>
      </c>
      <c r="D2924" s="7">
        <f>DATE(2010,2,14)</f>
        <v>40223</v>
      </c>
      <c r="E2924" s="8">
        <f t="shared" si="47"/>
        <v>2010</v>
      </c>
      <c r="F2924" t="s">
        <v>670</v>
      </c>
      <c r="G2924" s="9">
        <v>8242.35</v>
      </c>
      <c r="H2924" s="8">
        <v>9443</v>
      </c>
    </row>
    <row r="2925" spans="2:8" ht="17.5" customHeight="1" x14ac:dyDescent="0.4">
      <c r="B2925" t="s">
        <v>7</v>
      </c>
      <c r="C2925" t="s">
        <v>668</v>
      </c>
      <c r="D2925" s="7">
        <f>DATE(2010,3,31)</f>
        <v>40268</v>
      </c>
      <c r="E2925" s="8">
        <f t="shared" si="47"/>
        <v>2010</v>
      </c>
      <c r="F2925" t="s">
        <v>670</v>
      </c>
      <c r="G2925" s="9">
        <v>17498</v>
      </c>
      <c r="H2925" s="8">
        <v>9438</v>
      </c>
    </row>
    <row r="2926" spans="2:8" ht="17.5" customHeight="1" x14ac:dyDescent="0.4">
      <c r="B2926" t="s">
        <v>7</v>
      </c>
      <c r="C2926" t="s">
        <v>668</v>
      </c>
      <c r="D2926" s="7">
        <f>DATE(2010,3,31)</f>
        <v>40268</v>
      </c>
      <c r="E2926" s="8">
        <f t="shared" si="47"/>
        <v>2010</v>
      </c>
      <c r="F2926" t="s">
        <v>670</v>
      </c>
      <c r="G2926" s="9">
        <v>5141</v>
      </c>
      <c r="H2926" s="8">
        <v>9442</v>
      </c>
    </row>
    <row r="2927" spans="2:8" ht="17.5" customHeight="1" x14ac:dyDescent="0.4">
      <c r="B2927" t="s">
        <v>7</v>
      </c>
      <c r="C2927" t="s">
        <v>668</v>
      </c>
      <c r="D2927" s="7">
        <f>DATE(2010,4,27)</f>
        <v>40295</v>
      </c>
      <c r="E2927" s="8">
        <f t="shared" si="47"/>
        <v>2010</v>
      </c>
      <c r="F2927" t="s">
        <v>670</v>
      </c>
      <c r="G2927" s="9">
        <v>23806</v>
      </c>
      <c r="H2927" s="8">
        <v>9440</v>
      </c>
    </row>
    <row r="2928" spans="2:8" ht="17.5" customHeight="1" x14ac:dyDescent="0.4">
      <c r="B2928" t="s">
        <v>7</v>
      </c>
      <c r="C2928" t="s">
        <v>668</v>
      </c>
      <c r="D2928" s="7">
        <f>DATE(2010,4,28)</f>
        <v>40296</v>
      </c>
      <c r="E2928" s="8">
        <f t="shared" si="47"/>
        <v>2010</v>
      </c>
      <c r="F2928" t="s">
        <v>670</v>
      </c>
      <c r="G2928" s="9">
        <v>5118.59</v>
      </c>
      <c r="H2928" s="8">
        <v>9444</v>
      </c>
    </row>
    <row r="2929" spans="2:8" ht="17.5" customHeight="1" x14ac:dyDescent="0.4">
      <c r="B2929" t="s">
        <v>7</v>
      </c>
      <c r="C2929" t="s">
        <v>668</v>
      </c>
      <c r="D2929" s="7">
        <f>DATE(2010,10,8)</f>
        <v>40459</v>
      </c>
      <c r="E2929" s="8">
        <f t="shared" si="47"/>
        <v>2010</v>
      </c>
      <c r="F2929" t="s">
        <v>670</v>
      </c>
      <c r="G2929" s="9">
        <v>21553.22</v>
      </c>
      <c r="H2929" s="8">
        <v>9905</v>
      </c>
    </row>
    <row r="2930" spans="2:8" ht="17.5" customHeight="1" x14ac:dyDescent="0.4">
      <c r="B2930" t="s">
        <v>7</v>
      </c>
      <c r="C2930" t="s">
        <v>668</v>
      </c>
      <c r="D2930" s="7">
        <f>DATE(2014,11,4)</f>
        <v>41947</v>
      </c>
      <c r="E2930" s="8">
        <f t="shared" si="47"/>
        <v>2014</v>
      </c>
      <c r="F2930" t="s">
        <v>670</v>
      </c>
      <c r="G2930" s="9">
        <v>39505.94</v>
      </c>
      <c r="H2930" s="8">
        <v>13483</v>
      </c>
    </row>
    <row r="2931" spans="2:8" ht="17.5" customHeight="1" x14ac:dyDescent="0.4">
      <c r="B2931" s="3" t="s">
        <v>7</v>
      </c>
      <c r="C2931" s="3" t="s">
        <v>668</v>
      </c>
      <c r="D2931" s="4">
        <f>DATE(2008,3,1)</f>
        <v>39508</v>
      </c>
      <c r="E2931" s="5">
        <f t="shared" si="47"/>
        <v>2008</v>
      </c>
      <c r="F2931" s="3" t="s">
        <v>670</v>
      </c>
      <c r="G2931" s="6">
        <v>4156.3</v>
      </c>
      <c r="H2931" s="5">
        <v>9904</v>
      </c>
    </row>
    <row r="2932" spans="2:8" ht="17.5" customHeight="1" x14ac:dyDescent="0.4">
      <c r="B2932" s="3" t="s">
        <v>7</v>
      </c>
      <c r="C2932" s="3" t="s">
        <v>668</v>
      </c>
      <c r="D2932" s="4">
        <f>DATE(2008,5,1)</f>
        <v>39569</v>
      </c>
      <c r="E2932" s="5">
        <f t="shared" si="47"/>
        <v>2008</v>
      </c>
      <c r="F2932" s="3" t="s">
        <v>670</v>
      </c>
      <c r="G2932" s="6">
        <v>11926</v>
      </c>
      <c r="H2932" s="5">
        <v>9921</v>
      </c>
    </row>
    <row r="2933" spans="2:8" ht="17.5" customHeight="1" x14ac:dyDescent="0.4">
      <c r="B2933" s="3" t="s">
        <v>7</v>
      </c>
      <c r="C2933" s="3" t="s">
        <v>668</v>
      </c>
      <c r="D2933" s="4">
        <f>DATE(2009,3,5)</f>
        <v>39877</v>
      </c>
      <c r="E2933" s="5">
        <f t="shared" si="47"/>
        <v>2009</v>
      </c>
      <c r="F2933" s="3" t="s">
        <v>670</v>
      </c>
      <c r="G2933" s="6">
        <v>9678.75</v>
      </c>
      <c r="H2933" s="5">
        <v>11723</v>
      </c>
    </row>
    <row r="2934" spans="2:8" ht="17.5" customHeight="1" x14ac:dyDescent="0.4">
      <c r="B2934" s="3" t="s">
        <v>7</v>
      </c>
      <c r="C2934" s="3" t="s">
        <v>668</v>
      </c>
      <c r="D2934" s="4">
        <f>DATE(2009,5,14)</f>
        <v>39947</v>
      </c>
      <c r="E2934" s="5">
        <f t="shared" si="47"/>
        <v>2009</v>
      </c>
      <c r="F2934" s="3" t="s">
        <v>670</v>
      </c>
      <c r="G2934" s="6">
        <v>9678.75</v>
      </c>
      <c r="H2934" s="5">
        <v>12403</v>
      </c>
    </row>
    <row r="2935" spans="2:8" ht="17.5" customHeight="1" x14ac:dyDescent="0.4">
      <c r="B2935" s="3" t="s">
        <v>7</v>
      </c>
      <c r="C2935" s="3" t="s">
        <v>668</v>
      </c>
      <c r="D2935" s="4">
        <f>DATE(2010,2,17)</f>
        <v>40226</v>
      </c>
      <c r="E2935" s="5">
        <f t="shared" si="47"/>
        <v>2010</v>
      </c>
      <c r="F2935" s="3" t="s">
        <v>670</v>
      </c>
      <c r="G2935" s="6">
        <v>9156.75</v>
      </c>
      <c r="H2935" s="5">
        <v>13500</v>
      </c>
    </row>
    <row r="2936" spans="2:8" ht="17.5" customHeight="1" x14ac:dyDescent="0.4">
      <c r="B2936" s="3" t="s">
        <v>7</v>
      </c>
      <c r="C2936" s="3" t="s">
        <v>668</v>
      </c>
      <c r="D2936" s="4">
        <f>DATE(2010,4,21)</f>
        <v>40289</v>
      </c>
      <c r="E2936" s="5">
        <f t="shared" si="47"/>
        <v>2010</v>
      </c>
      <c r="F2936" s="3" t="s">
        <v>670</v>
      </c>
      <c r="G2936" s="6">
        <v>12987.85</v>
      </c>
      <c r="H2936" s="5">
        <v>13506</v>
      </c>
    </row>
    <row r="2937" spans="2:8" ht="17.5" customHeight="1" x14ac:dyDescent="0.4">
      <c r="B2937" s="3" t="s">
        <v>7</v>
      </c>
      <c r="C2937" s="3" t="s">
        <v>668</v>
      </c>
      <c r="D2937" s="4">
        <f>DATE(2010,10,8)</f>
        <v>40459</v>
      </c>
      <c r="E2937" s="5">
        <f t="shared" si="47"/>
        <v>2010</v>
      </c>
      <c r="F2937" s="3" t="s">
        <v>670</v>
      </c>
      <c r="G2937" s="6">
        <v>12221.9</v>
      </c>
      <c r="H2937" s="5">
        <v>14379</v>
      </c>
    </row>
    <row r="2938" spans="2:8" ht="17.5" customHeight="1" x14ac:dyDescent="0.4">
      <c r="B2938" t="s">
        <v>7</v>
      </c>
      <c r="C2938" t="s">
        <v>671</v>
      </c>
      <c r="D2938" s="7">
        <f>DATE(2013,12,3)</f>
        <v>41611</v>
      </c>
      <c r="E2938" s="8">
        <f t="shared" si="47"/>
        <v>2013</v>
      </c>
      <c r="F2938" t="s">
        <v>672</v>
      </c>
      <c r="G2938" s="9">
        <v>35500</v>
      </c>
      <c r="H2938" s="8">
        <v>12704</v>
      </c>
    </row>
    <row r="2939" spans="2:8" ht="17.5" customHeight="1" x14ac:dyDescent="0.4">
      <c r="B2939" t="s">
        <v>7</v>
      </c>
      <c r="C2939" t="s">
        <v>673</v>
      </c>
      <c r="D2939" s="7">
        <f>DATE(2012,2,3)</f>
        <v>40942</v>
      </c>
      <c r="E2939" s="8">
        <f t="shared" si="47"/>
        <v>2012</v>
      </c>
      <c r="F2939" t="s">
        <v>674</v>
      </c>
      <c r="G2939" s="9">
        <v>35549.08</v>
      </c>
      <c r="H2939" s="8">
        <v>11144</v>
      </c>
    </row>
    <row r="2940" spans="2:8" ht="17.5" customHeight="1" x14ac:dyDescent="0.4">
      <c r="B2940" s="3" t="s">
        <v>7</v>
      </c>
      <c r="C2940" s="3" t="s">
        <v>675</v>
      </c>
      <c r="D2940" s="4">
        <f>DATE(2014,3,17)</f>
        <v>41715</v>
      </c>
      <c r="E2940" s="5">
        <f t="shared" si="47"/>
        <v>2014</v>
      </c>
      <c r="F2940" s="3" t="s">
        <v>676</v>
      </c>
      <c r="G2940" s="6">
        <v>30703</v>
      </c>
      <c r="H2940" s="5">
        <v>5988</v>
      </c>
    </row>
    <row r="2941" spans="2:8" ht="17.5" customHeight="1" x14ac:dyDescent="0.4">
      <c r="B2941" s="3" t="s">
        <v>7</v>
      </c>
      <c r="C2941" s="3" t="s">
        <v>677</v>
      </c>
      <c r="D2941" s="4">
        <f>DATE(2012,12,4)</f>
        <v>41247</v>
      </c>
      <c r="E2941" s="5">
        <f t="shared" si="47"/>
        <v>2012</v>
      </c>
      <c r="F2941" s="3" t="s">
        <v>678</v>
      </c>
      <c r="G2941" s="6">
        <v>29505.87</v>
      </c>
      <c r="H2941" s="5">
        <v>5271</v>
      </c>
    </row>
    <row r="2942" spans="2:8" ht="17.5" customHeight="1" x14ac:dyDescent="0.4">
      <c r="B2942" t="s">
        <v>7</v>
      </c>
      <c r="C2942" t="s">
        <v>679</v>
      </c>
      <c r="D2942" s="7">
        <f>DATE(2014,9,4)</f>
        <v>41886</v>
      </c>
      <c r="E2942" s="8">
        <f t="shared" si="47"/>
        <v>2014</v>
      </c>
      <c r="F2942" t="s">
        <v>680</v>
      </c>
      <c r="G2942" s="9">
        <v>35350</v>
      </c>
      <c r="H2942" s="8">
        <v>13309</v>
      </c>
    </row>
    <row r="2943" spans="2:8" ht="17.5" customHeight="1" x14ac:dyDescent="0.4">
      <c r="B2943" t="s">
        <v>7</v>
      </c>
      <c r="C2943" t="s">
        <v>681</v>
      </c>
      <c r="D2943" s="7">
        <f>DATE(2015,4,22)</f>
        <v>42116</v>
      </c>
      <c r="E2943" s="8">
        <f t="shared" si="47"/>
        <v>2015</v>
      </c>
      <c r="F2943" t="s">
        <v>682</v>
      </c>
      <c r="G2943" s="9">
        <v>3016.73</v>
      </c>
      <c r="H2943" s="8">
        <v>20271</v>
      </c>
    </row>
    <row r="2944" spans="2:8" ht="17.5" customHeight="1" x14ac:dyDescent="0.4">
      <c r="B2944" s="3" t="s">
        <v>7</v>
      </c>
      <c r="C2944" s="3" t="s">
        <v>681</v>
      </c>
      <c r="D2944" s="4">
        <f>DATE(2014,3,19)</f>
        <v>41717</v>
      </c>
      <c r="E2944" s="5">
        <f t="shared" si="47"/>
        <v>2014</v>
      </c>
      <c r="F2944" s="3" t="s">
        <v>682</v>
      </c>
      <c r="G2944" s="6">
        <v>31103</v>
      </c>
      <c r="H2944" s="5">
        <v>5965</v>
      </c>
    </row>
    <row r="2945" spans="2:8" ht="17.5" customHeight="1" x14ac:dyDescent="0.4">
      <c r="B2945" s="3" t="s">
        <v>7</v>
      </c>
      <c r="C2945" s="3" t="s">
        <v>683</v>
      </c>
      <c r="D2945" s="4">
        <f>DATE(2011,6,30)</f>
        <v>40724</v>
      </c>
      <c r="E2945" s="5">
        <f t="shared" si="47"/>
        <v>2011</v>
      </c>
      <c r="F2945" s="3" t="s">
        <v>684</v>
      </c>
      <c r="G2945" s="6">
        <v>19914.71</v>
      </c>
      <c r="H2945" s="5">
        <v>4436</v>
      </c>
    </row>
    <row r="2946" spans="2:8" ht="17.5" customHeight="1" x14ac:dyDescent="0.4">
      <c r="B2946" s="3" t="s">
        <v>7</v>
      </c>
      <c r="C2946" s="3" t="s">
        <v>683</v>
      </c>
      <c r="D2946" s="4">
        <f>DATE(2013,6,17)</f>
        <v>41442</v>
      </c>
      <c r="E2946" s="5">
        <f t="shared" si="47"/>
        <v>2013</v>
      </c>
      <c r="F2946" s="3" t="s">
        <v>684</v>
      </c>
      <c r="G2946" s="6">
        <v>20712.8</v>
      </c>
      <c r="H2946" s="5">
        <v>5528</v>
      </c>
    </row>
    <row r="2947" spans="2:8" ht="17.5" customHeight="1" x14ac:dyDescent="0.4">
      <c r="B2947" s="3" t="s">
        <v>7</v>
      </c>
      <c r="C2947" s="3" t="s">
        <v>685</v>
      </c>
      <c r="D2947" s="4">
        <f>DATE(2014,3,17)</f>
        <v>41715</v>
      </c>
      <c r="E2947" s="5">
        <f t="shared" ref="E2947:E3010" si="48">YEAR(D2947)</f>
        <v>2014</v>
      </c>
      <c r="F2947" s="3" t="s">
        <v>686</v>
      </c>
      <c r="G2947" s="6">
        <v>30703</v>
      </c>
      <c r="H2947" s="5">
        <v>5987</v>
      </c>
    </row>
    <row r="2948" spans="2:8" ht="17.5" customHeight="1" x14ac:dyDescent="0.4">
      <c r="B2948" s="3" t="s">
        <v>7</v>
      </c>
      <c r="C2948" s="3" t="s">
        <v>687</v>
      </c>
      <c r="D2948" s="4">
        <f>DATE(2011,5,26)</f>
        <v>40689</v>
      </c>
      <c r="E2948" s="5">
        <f t="shared" si="48"/>
        <v>2011</v>
      </c>
      <c r="F2948" s="3" t="s">
        <v>688</v>
      </c>
      <c r="G2948" s="6">
        <v>31625.86</v>
      </c>
      <c r="H2948" s="5">
        <v>4339</v>
      </c>
    </row>
    <row r="2949" spans="2:8" ht="17.5" customHeight="1" x14ac:dyDescent="0.4">
      <c r="B2949" s="3" t="s">
        <v>7</v>
      </c>
      <c r="C2949" s="3" t="s">
        <v>687</v>
      </c>
      <c r="D2949" s="4">
        <f>DATE(2011,7,26)</f>
        <v>40750</v>
      </c>
      <c r="E2949" s="5">
        <f t="shared" si="48"/>
        <v>2011</v>
      </c>
      <c r="F2949" s="3" t="s">
        <v>688</v>
      </c>
      <c r="G2949" s="6">
        <v>4582.74</v>
      </c>
      <c r="H2949" s="5">
        <v>4540</v>
      </c>
    </row>
    <row r="2950" spans="2:8" ht="17.5" customHeight="1" x14ac:dyDescent="0.4">
      <c r="B2950" t="s">
        <v>7</v>
      </c>
      <c r="C2950" t="s">
        <v>689</v>
      </c>
      <c r="D2950" s="7">
        <f>DATE(2018,3,7)</f>
        <v>43166</v>
      </c>
      <c r="E2950" s="8">
        <f t="shared" si="48"/>
        <v>2018</v>
      </c>
      <c r="F2950" t="s">
        <v>690</v>
      </c>
      <c r="G2950" s="9">
        <v>4135.6499999999996</v>
      </c>
      <c r="H2950" s="8">
        <v>26603</v>
      </c>
    </row>
    <row r="2951" spans="2:8" ht="17.5" customHeight="1" x14ac:dyDescent="0.4">
      <c r="B2951" t="s">
        <v>7</v>
      </c>
      <c r="C2951" t="s">
        <v>689</v>
      </c>
      <c r="D2951" s="7">
        <f>DATE(2003,2,12)</f>
        <v>37664</v>
      </c>
      <c r="E2951" s="8">
        <f t="shared" si="48"/>
        <v>2003</v>
      </c>
      <c r="F2951" t="s">
        <v>690</v>
      </c>
      <c r="G2951" s="9">
        <v>2349.38</v>
      </c>
      <c r="H2951" s="8">
        <v>40</v>
      </c>
    </row>
    <row r="2952" spans="2:8" ht="17.5" customHeight="1" x14ac:dyDescent="0.4">
      <c r="B2952" t="s">
        <v>7</v>
      </c>
      <c r="C2952" t="s">
        <v>689</v>
      </c>
      <c r="D2952" s="7">
        <f>DATE(2003,7,17)</f>
        <v>37819</v>
      </c>
      <c r="E2952" s="8">
        <f t="shared" si="48"/>
        <v>2003</v>
      </c>
      <c r="F2952" t="s">
        <v>690</v>
      </c>
      <c r="G2952" s="9">
        <v>1214.94</v>
      </c>
      <c r="H2952" s="8">
        <v>732</v>
      </c>
    </row>
    <row r="2953" spans="2:8" ht="17.5" customHeight="1" x14ac:dyDescent="0.4">
      <c r="B2953" t="s">
        <v>7</v>
      </c>
      <c r="C2953" t="s">
        <v>689</v>
      </c>
      <c r="D2953" s="7">
        <f>DATE(2004,12,12)</f>
        <v>38333</v>
      </c>
      <c r="E2953" s="8">
        <f t="shared" si="48"/>
        <v>2004</v>
      </c>
      <c r="F2953" t="s">
        <v>690</v>
      </c>
      <c r="G2953" s="9">
        <v>24204.02</v>
      </c>
      <c r="H2953" s="8">
        <v>2160</v>
      </c>
    </row>
    <row r="2954" spans="2:8" ht="17.5" customHeight="1" x14ac:dyDescent="0.4">
      <c r="B2954" t="s">
        <v>7</v>
      </c>
      <c r="C2954" t="s">
        <v>689</v>
      </c>
      <c r="D2954" s="7">
        <f>DATE(2007,1,17)</f>
        <v>39099</v>
      </c>
      <c r="E2954" s="8">
        <f t="shared" si="48"/>
        <v>2007</v>
      </c>
      <c r="F2954" t="s">
        <v>690</v>
      </c>
      <c r="G2954" s="9">
        <v>2640.33</v>
      </c>
      <c r="H2954" s="8">
        <v>5332</v>
      </c>
    </row>
    <row r="2955" spans="2:8" ht="17.5" customHeight="1" x14ac:dyDescent="0.4">
      <c r="B2955" t="s">
        <v>7</v>
      </c>
      <c r="C2955" t="s">
        <v>689</v>
      </c>
      <c r="D2955" s="7">
        <f>DATE(2007,2,19)</f>
        <v>39132</v>
      </c>
      <c r="E2955" s="8">
        <f t="shared" si="48"/>
        <v>2007</v>
      </c>
      <c r="F2955" t="s">
        <v>690</v>
      </c>
      <c r="G2955" s="9">
        <v>4104.6899999999996</v>
      </c>
      <c r="H2955" s="8">
        <v>5575</v>
      </c>
    </row>
    <row r="2956" spans="2:8" ht="17.5" customHeight="1" x14ac:dyDescent="0.4">
      <c r="B2956" t="s">
        <v>7</v>
      </c>
      <c r="C2956" t="s">
        <v>689</v>
      </c>
      <c r="D2956" s="7">
        <f>DATE(2007,5,21)</f>
        <v>39223</v>
      </c>
      <c r="E2956" s="8">
        <f t="shared" si="48"/>
        <v>2007</v>
      </c>
      <c r="F2956" t="s">
        <v>690</v>
      </c>
      <c r="G2956" s="9">
        <v>17886.599999999999</v>
      </c>
      <c r="H2956" s="8">
        <v>6004</v>
      </c>
    </row>
    <row r="2957" spans="2:8" ht="17.5" customHeight="1" x14ac:dyDescent="0.4">
      <c r="B2957" t="s">
        <v>7</v>
      </c>
      <c r="C2957" t="s">
        <v>689</v>
      </c>
      <c r="D2957" s="7">
        <f>DATE(2008,4,20)</f>
        <v>39558</v>
      </c>
      <c r="E2957" s="8">
        <f t="shared" si="48"/>
        <v>2008</v>
      </c>
      <c r="F2957" t="s">
        <v>690</v>
      </c>
      <c r="G2957" s="9">
        <v>15725.35</v>
      </c>
      <c r="H2957" s="8">
        <v>7337</v>
      </c>
    </row>
    <row r="2958" spans="2:8" ht="17.5" customHeight="1" x14ac:dyDescent="0.4">
      <c r="B2958" t="s">
        <v>7</v>
      </c>
      <c r="C2958" t="s">
        <v>689</v>
      </c>
      <c r="D2958" s="7">
        <f>DATE(2009,5,13)</f>
        <v>39946</v>
      </c>
      <c r="E2958" s="8">
        <f t="shared" si="48"/>
        <v>2009</v>
      </c>
      <c r="F2958" t="s">
        <v>690</v>
      </c>
      <c r="G2958" s="9">
        <v>17825.189999999999</v>
      </c>
      <c r="H2958" s="8">
        <v>8635</v>
      </c>
    </row>
    <row r="2959" spans="2:8" ht="17.5" customHeight="1" x14ac:dyDescent="0.4">
      <c r="B2959" t="s">
        <v>7</v>
      </c>
      <c r="C2959" t="s">
        <v>689</v>
      </c>
      <c r="D2959" s="7">
        <f>DATE(2014,4,10)</f>
        <v>41739</v>
      </c>
      <c r="E2959" s="8">
        <f t="shared" si="48"/>
        <v>2014</v>
      </c>
      <c r="F2959" t="s">
        <v>690</v>
      </c>
      <c r="G2959" s="9">
        <v>3382.34</v>
      </c>
      <c r="H2959" s="8">
        <v>13126</v>
      </c>
    </row>
    <row r="2960" spans="2:8" ht="17.5" customHeight="1" x14ac:dyDescent="0.4">
      <c r="B2960" t="s">
        <v>7</v>
      </c>
      <c r="C2960" t="s">
        <v>689</v>
      </c>
      <c r="D2960" s="7">
        <f>DATE(2014,4,16)</f>
        <v>41745</v>
      </c>
      <c r="E2960" s="8">
        <f t="shared" si="48"/>
        <v>2014</v>
      </c>
      <c r="F2960" t="s">
        <v>690</v>
      </c>
      <c r="G2960" s="9">
        <v>3560.33</v>
      </c>
      <c r="H2960" s="8">
        <v>13115</v>
      </c>
    </row>
    <row r="2961" spans="2:8" ht="17.5" customHeight="1" x14ac:dyDescent="0.4">
      <c r="B2961" s="3" t="s">
        <v>7</v>
      </c>
      <c r="C2961" s="3" t="s">
        <v>691</v>
      </c>
      <c r="D2961" s="4">
        <f>DATE(2011,9,14)</f>
        <v>40800</v>
      </c>
      <c r="E2961" s="5">
        <f t="shared" si="48"/>
        <v>2011</v>
      </c>
      <c r="F2961" s="3" t="s">
        <v>692</v>
      </c>
      <c r="G2961" s="6">
        <v>5250</v>
      </c>
      <c r="H2961" s="5">
        <v>4613</v>
      </c>
    </row>
    <row r="2962" spans="2:8" ht="17.5" customHeight="1" x14ac:dyDescent="0.4">
      <c r="B2962" s="3" t="s">
        <v>7</v>
      </c>
      <c r="C2962" s="3" t="s">
        <v>691</v>
      </c>
      <c r="D2962" s="4">
        <f>DATE(2012,9,27)</f>
        <v>41179</v>
      </c>
      <c r="E2962" s="5">
        <f t="shared" si="48"/>
        <v>2012</v>
      </c>
      <c r="F2962" s="3" t="s">
        <v>692</v>
      </c>
      <c r="G2962" s="6">
        <v>6349.5</v>
      </c>
      <c r="H2962" s="5">
        <v>5209</v>
      </c>
    </row>
    <row r="2963" spans="2:8" ht="17.5" customHeight="1" x14ac:dyDescent="0.4">
      <c r="B2963" s="3" t="s">
        <v>7</v>
      </c>
      <c r="C2963" s="3" t="s">
        <v>691</v>
      </c>
      <c r="D2963" s="4">
        <f>DATE(2013,12,3)</f>
        <v>41611</v>
      </c>
      <c r="E2963" s="5">
        <f t="shared" si="48"/>
        <v>2013</v>
      </c>
      <c r="F2963" s="3" t="s">
        <v>692</v>
      </c>
      <c r="G2963" s="6">
        <v>9157.67</v>
      </c>
      <c r="H2963" s="5">
        <v>5873</v>
      </c>
    </row>
    <row r="2964" spans="2:8" ht="17.5" customHeight="1" x14ac:dyDescent="0.4">
      <c r="B2964" s="3" t="s">
        <v>7</v>
      </c>
      <c r="C2964" s="3" t="s">
        <v>691</v>
      </c>
      <c r="D2964" s="4">
        <f>DATE(2011,9,14)</f>
        <v>40800</v>
      </c>
      <c r="E2964" s="5">
        <f t="shared" si="48"/>
        <v>2011</v>
      </c>
      <c r="F2964" s="3" t="s">
        <v>692</v>
      </c>
      <c r="G2964" s="6">
        <v>12938.51</v>
      </c>
      <c r="H2964" s="5">
        <v>4612</v>
      </c>
    </row>
    <row r="2965" spans="2:8" ht="17.5" customHeight="1" x14ac:dyDescent="0.4">
      <c r="B2965" s="3" t="s">
        <v>7</v>
      </c>
      <c r="C2965" s="3" t="s">
        <v>691</v>
      </c>
      <c r="D2965" s="4">
        <f>DATE(2012,5,24)</f>
        <v>41053</v>
      </c>
      <c r="E2965" s="5">
        <f t="shared" si="48"/>
        <v>2012</v>
      </c>
      <c r="F2965" s="3" t="s">
        <v>692</v>
      </c>
      <c r="G2965" s="6">
        <v>5628.31</v>
      </c>
      <c r="H2965" s="5">
        <v>5088</v>
      </c>
    </row>
    <row r="2966" spans="2:8" ht="17.5" customHeight="1" x14ac:dyDescent="0.4">
      <c r="B2966" s="3" t="s">
        <v>7</v>
      </c>
      <c r="C2966" s="3" t="s">
        <v>691</v>
      </c>
      <c r="D2966" s="4">
        <f>DATE(2012,9,27)</f>
        <v>41179</v>
      </c>
      <c r="E2966" s="5">
        <f t="shared" si="48"/>
        <v>2012</v>
      </c>
      <c r="F2966" s="3" t="s">
        <v>692</v>
      </c>
      <c r="G2966" s="6">
        <v>10765.8</v>
      </c>
      <c r="H2966" s="5">
        <v>5211</v>
      </c>
    </row>
    <row r="2967" spans="2:8" ht="17.5" customHeight="1" x14ac:dyDescent="0.4">
      <c r="B2967" s="3" t="s">
        <v>7</v>
      </c>
      <c r="C2967" s="3" t="s">
        <v>691</v>
      </c>
      <c r="D2967" s="4">
        <f>DATE(2013,12,3)</f>
        <v>41611</v>
      </c>
      <c r="E2967" s="5">
        <f t="shared" si="48"/>
        <v>2013</v>
      </c>
      <c r="F2967" s="3" t="s">
        <v>692</v>
      </c>
      <c r="G2967" s="6">
        <v>25400.51</v>
      </c>
      <c r="H2967" s="5">
        <v>5874</v>
      </c>
    </row>
    <row r="2968" spans="2:8" ht="17.5" customHeight="1" x14ac:dyDescent="0.4">
      <c r="B2968" s="3" t="s">
        <v>7</v>
      </c>
      <c r="C2968" s="3" t="s">
        <v>691</v>
      </c>
      <c r="D2968" s="4">
        <f>DATE(2014,7,2)</f>
        <v>41822</v>
      </c>
      <c r="E2968" s="5">
        <f t="shared" si="48"/>
        <v>2014</v>
      </c>
      <c r="F2968" s="3" t="s">
        <v>692</v>
      </c>
      <c r="G2968" s="6">
        <v>5728.5</v>
      </c>
      <c r="H2968" s="5">
        <v>6248</v>
      </c>
    </row>
    <row r="2969" spans="2:8" ht="17.5" customHeight="1" x14ac:dyDescent="0.4">
      <c r="B2969" s="3" t="s">
        <v>7</v>
      </c>
      <c r="C2969" s="3" t="s">
        <v>693</v>
      </c>
      <c r="D2969" s="4">
        <f>DATE(2004,9,15)</f>
        <v>38245</v>
      </c>
      <c r="E2969" s="5">
        <f t="shared" si="48"/>
        <v>2004</v>
      </c>
      <c r="F2969" s="3" t="s">
        <v>694</v>
      </c>
      <c r="G2969" s="6">
        <v>335.1</v>
      </c>
      <c r="H2969" s="5">
        <v>783</v>
      </c>
    </row>
    <row r="2970" spans="2:8" ht="17.5" customHeight="1" x14ac:dyDescent="0.4">
      <c r="B2970" t="s">
        <v>7</v>
      </c>
      <c r="C2970" t="s">
        <v>695</v>
      </c>
      <c r="D2970" s="7">
        <f>DATE(2015,9,4)</f>
        <v>42251</v>
      </c>
      <c r="E2970" s="8">
        <f t="shared" si="48"/>
        <v>2015</v>
      </c>
      <c r="F2970" t="s">
        <v>696</v>
      </c>
      <c r="G2970" s="9">
        <v>2848.94</v>
      </c>
      <c r="H2970" s="8">
        <v>21097</v>
      </c>
    </row>
    <row r="2971" spans="2:8" ht="17.5" customHeight="1" x14ac:dyDescent="0.4">
      <c r="B2971" t="s">
        <v>7</v>
      </c>
      <c r="C2971" t="s">
        <v>697</v>
      </c>
      <c r="D2971" s="7">
        <f>DATE(2018,4,12)</f>
        <v>43202</v>
      </c>
      <c r="E2971" s="8">
        <f t="shared" si="48"/>
        <v>2018</v>
      </c>
      <c r="F2971" t="s">
        <v>698</v>
      </c>
      <c r="G2971" s="9">
        <v>10310.030000000001</v>
      </c>
      <c r="H2971" s="8">
        <v>26684</v>
      </c>
    </row>
    <row r="2972" spans="2:8" ht="17.5" customHeight="1" x14ac:dyDescent="0.4">
      <c r="B2972" t="s">
        <v>7</v>
      </c>
      <c r="C2972" t="s">
        <v>697</v>
      </c>
      <c r="D2972" s="7">
        <f>DATE(2019,4,15)</f>
        <v>43570</v>
      </c>
      <c r="E2972" s="8">
        <f t="shared" si="48"/>
        <v>2019</v>
      </c>
      <c r="F2972" t="s">
        <v>698</v>
      </c>
      <c r="G2972" s="9">
        <v>9370.6299999999992</v>
      </c>
      <c r="H2972" s="8">
        <v>28561</v>
      </c>
    </row>
    <row r="2973" spans="2:8" ht="17.5" customHeight="1" x14ac:dyDescent="0.4">
      <c r="B2973" t="s">
        <v>7</v>
      </c>
      <c r="C2973" t="s">
        <v>699</v>
      </c>
      <c r="D2973" s="7">
        <f>DATE(2015,5,8)</f>
        <v>42132</v>
      </c>
      <c r="E2973" s="8">
        <f t="shared" si="48"/>
        <v>2015</v>
      </c>
      <c r="F2973" t="s">
        <v>700</v>
      </c>
      <c r="G2973" s="9">
        <v>9973.94</v>
      </c>
      <c r="H2973" s="8">
        <v>20223</v>
      </c>
    </row>
    <row r="2974" spans="2:8" ht="17.5" customHeight="1" x14ac:dyDescent="0.4">
      <c r="B2974" t="s">
        <v>7</v>
      </c>
      <c r="C2974" t="s">
        <v>699</v>
      </c>
      <c r="D2974" s="7">
        <f>DATE(2016,3,9)</f>
        <v>42438</v>
      </c>
      <c r="E2974" s="8">
        <f t="shared" si="48"/>
        <v>2016</v>
      </c>
      <c r="F2974" t="s">
        <v>700</v>
      </c>
      <c r="G2974" s="9">
        <v>10572.95</v>
      </c>
      <c r="H2974" s="8">
        <v>22148</v>
      </c>
    </row>
    <row r="2975" spans="2:8" ht="17.5" customHeight="1" x14ac:dyDescent="0.4">
      <c r="B2975" t="s">
        <v>7</v>
      </c>
      <c r="C2975" t="s">
        <v>699</v>
      </c>
      <c r="D2975" s="7">
        <f>DATE(2014,4,22)</f>
        <v>41751</v>
      </c>
      <c r="E2975" s="8">
        <f t="shared" si="48"/>
        <v>2014</v>
      </c>
      <c r="F2975" t="s">
        <v>700</v>
      </c>
      <c r="G2975" s="9">
        <v>9670.32</v>
      </c>
      <c r="H2975" s="8">
        <v>13033</v>
      </c>
    </row>
    <row r="2976" spans="2:8" ht="17.5" customHeight="1" x14ac:dyDescent="0.4">
      <c r="B2976" s="3" t="s">
        <v>7</v>
      </c>
      <c r="C2976" s="3" t="s">
        <v>701</v>
      </c>
      <c r="D2976" s="4">
        <f>DATE(2003,1,22)</f>
        <v>37643</v>
      </c>
      <c r="E2976" s="5">
        <f t="shared" si="48"/>
        <v>2003</v>
      </c>
      <c r="F2976" s="3" t="s">
        <v>702</v>
      </c>
      <c r="G2976" s="6">
        <v>1197.1300000000001</v>
      </c>
      <c r="H2976" s="5">
        <v>8</v>
      </c>
    </row>
    <row r="2977" spans="2:8" ht="17.5" customHeight="1" x14ac:dyDescent="0.4">
      <c r="B2977" s="3" t="s">
        <v>7</v>
      </c>
      <c r="C2977" s="3" t="s">
        <v>701</v>
      </c>
      <c r="D2977" s="4">
        <f>DATE(2003,4,22)</f>
        <v>37733</v>
      </c>
      <c r="E2977" s="5">
        <f t="shared" si="48"/>
        <v>2003</v>
      </c>
      <c r="F2977" s="3" t="s">
        <v>702</v>
      </c>
      <c r="G2977" s="6">
        <v>523.58000000000004</v>
      </c>
      <c r="H2977" s="5">
        <v>125</v>
      </c>
    </row>
    <row r="2978" spans="2:8" ht="17.5" customHeight="1" x14ac:dyDescent="0.4">
      <c r="B2978" s="3" t="s">
        <v>7</v>
      </c>
      <c r="C2978" s="3" t="s">
        <v>701</v>
      </c>
      <c r="D2978" s="4">
        <f>DATE(2003,5,19)</f>
        <v>37760</v>
      </c>
      <c r="E2978" s="5">
        <f t="shared" si="48"/>
        <v>2003</v>
      </c>
      <c r="F2978" s="3" t="s">
        <v>702</v>
      </c>
      <c r="G2978" s="6">
        <v>779.82</v>
      </c>
      <c r="H2978" s="5">
        <v>167</v>
      </c>
    </row>
    <row r="2979" spans="2:8" ht="17.5" customHeight="1" x14ac:dyDescent="0.4">
      <c r="B2979" s="3" t="s">
        <v>7</v>
      </c>
      <c r="C2979" s="3" t="s">
        <v>701</v>
      </c>
      <c r="D2979" s="4">
        <f>DATE(2003,8,5)</f>
        <v>37838</v>
      </c>
      <c r="E2979" s="5">
        <f t="shared" si="48"/>
        <v>2003</v>
      </c>
      <c r="F2979" s="3" t="s">
        <v>702</v>
      </c>
      <c r="G2979" s="6">
        <v>1336.39</v>
      </c>
      <c r="H2979" s="5">
        <v>280</v>
      </c>
    </row>
    <row r="2980" spans="2:8" ht="17.5" customHeight="1" x14ac:dyDescent="0.4">
      <c r="B2980" t="s">
        <v>7</v>
      </c>
      <c r="C2980" t="s">
        <v>701</v>
      </c>
      <c r="D2980" s="7">
        <f>DATE(2017,5,9)</f>
        <v>42864</v>
      </c>
      <c r="E2980" s="8">
        <f t="shared" si="48"/>
        <v>2017</v>
      </c>
      <c r="F2980" t="s">
        <v>703</v>
      </c>
      <c r="G2980" s="9">
        <v>15955.75</v>
      </c>
      <c r="H2980" s="8">
        <v>24632</v>
      </c>
    </row>
    <row r="2981" spans="2:8" ht="17.5" customHeight="1" x14ac:dyDescent="0.4">
      <c r="B2981" t="s">
        <v>16</v>
      </c>
      <c r="C2981" t="s">
        <v>701</v>
      </c>
      <c r="D2981" s="7">
        <f>DATE(2017,11,6)</f>
        <v>43045</v>
      </c>
      <c r="E2981" s="8">
        <f t="shared" si="48"/>
        <v>2017</v>
      </c>
      <c r="F2981" t="s">
        <v>703</v>
      </c>
      <c r="G2981" s="9">
        <v>11127.75</v>
      </c>
      <c r="H2981" s="8">
        <v>25862</v>
      </c>
    </row>
    <row r="2982" spans="2:8" ht="17.5" customHeight="1" x14ac:dyDescent="0.4">
      <c r="B2982" s="3" t="s">
        <v>7</v>
      </c>
      <c r="C2982" s="3" t="s">
        <v>701</v>
      </c>
      <c r="D2982" s="4">
        <f>DATE(2003,8,21)</f>
        <v>37854</v>
      </c>
      <c r="E2982" s="5">
        <f t="shared" si="48"/>
        <v>2003</v>
      </c>
      <c r="F2982" s="3" t="s">
        <v>703</v>
      </c>
      <c r="G2982" s="6">
        <v>122.24</v>
      </c>
      <c r="H2982" s="5">
        <v>294</v>
      </c>
    </row>
    <row r="2983" spans="2:8" ht="17.5" customHeight="1" x14ac:dyDescent="0.4">
      <c r="B2983" s="3" t="s">
        <v>7</v>
      </c>
      <c r="C2983" s="3" t="s">
        <v>701</v>
      </c>
      <c r="D2983" s="4">
        <f>DATE(2003,8,18)</f>
        <v>37851</v>
      </c>
      <c r="E2983" s="5">
        <f t="shared" si="48"/>
        <v>2003</v>
      </c>
      <c r="F2983" s="3" t="s">
        <v>703</v>
      </c>
      <c r="G2983" s="6">
        <v>461.27</v>
      </c>
      <c r="H2983" s="5">
        <v>290</v>
      </c>
    </row>
    <row r="2984" spans="2:8" ht="17.5" customHeight="1" x14ac:dyDescent="0.4">
      <c r="B2984" s="3" t="s">
        <v>7</v>
      </c>
      <c r="C2984" s="3" t="s">
        <v>701</v>
      </c>
      <c r="D2984" s="4">
        <f>DATE(2003,9,26)</f>
        <v>37890</v>
      </c>
      <c r="E2984" s="5">
        <f t="shared" si="48"/>
        <v>2003</v>
      </c>
      <c r="F2984" s="3" t="s">
        <v>703</v>
      </c>
      <c r="G2984" s="6">
        <v>488.06</v>
      </c>
      <c r="H2984" s="5">
        <v>336</v>
      </c>
    </row>
    <row r="2985" spans="2:8" ht="17.5" customHeight="1" x14ac:dyDescent="0.4">
      <c r="B2985" s="3" t="s">
        <v>7</v>
      </c>
      <c r="C2985" s="3" t="s">
        <v>701</v>
      </c>
      <c r="D2985" s="4">
        <f>DATE(2003,9,29)</f>
        <v>37893</v>
      </c>
      <c r="E2985" s="5">
        <f t="shared" si="48"/>
        <v>2003</v>
      </c>
      <c r="F2985" s="3" t="s">
        <v>703</v>
      </c>
      <c r="G2985" s="6">
        <v>537.89</v>
      </c>
      <c r="H2985" s="5">
        <v>343</v>
      </c>
    </row>
    <row r="2986" spans="2:8" ht="17.5" customHeight="1" x14ac:dyDescent="0.4">
      <c r="B2986" s="3" t="s">
        <v>7</v>
      </c>
      <c r="C2986" s="3" t="s">
        <v>701</v>
      </c>
      <c r="D2986" s="4">
        <f>DATE(2004,2,2)</f>
        <v>38019</v>
      </c>
      <c r="E2986" s="5">
        <f t="shared" si="48"/>
        <v>2004</v>
      </c>
      <c r="F2986" s="3" t="s">
        <v>703</v>
      </c>
      <c r="G2986" s="6">
        <v>175.77</v>
      </c>
      <c r="H2986" s="5">
        <v>518</v>
      </c>
    </row>
    <row r="2987" spans="2:8" ht="17.5" customHeight="1" x14ac:dyDescent="0.4">
      <c r="B2987" s="3" t="s">
        <v>7</v>
      </c>
      <c r="C2987" s="3" t="s">
        <v>701</v>
      </c>
      <c r="D2987" s="4">
        <f>DATE(2004,6,8)</f>
        <v>38146</v>
      </c>
      <c r="E2987" s="5">
        <f t="shared" si="48"/>
        <v>2004</v>
      </c>
      <c r="F2987" s="3" t="s">
        <v>703</v>
      </c>
      <c r="G2987" s="6">
        <v>1030.92</v>
      </c>
      <c r="H2987" s="5">
        <v>687</v>
      </c>
    </row>
    <row r="2988" spans="2:8" ht="17.5" customHeight="1" x14ac:dyDescent="0.4">
      <c r="B2988" s="3" t="s">
        <v>7</v>
      </c>
      <c r="C2988" s="3" t="s">
        <v>701</v>
      </c>
      <c r="D2988" s="4">
        <f>DATE(2004,6,24)</f>
        <v>38162</v>
      </c>
      <c r="E2988" s="5">
        <f t="shared" si="48"/>
        <v>2004</v>
      </c>
      <c r="F2988" s="3" t="s">
        <v>703</v>
      </c>
      <c r="G2988" s="6">
        <v>434.02</v>
      </c>
      <c r="H2988" s="5">
        <v>709</v>
      </c>
    </row>
    <row r="2989" spans="2:8" ht="17.5" customHeight="1" x14ac:dyDescent="0.4">
      <c r="B2989" s="3" t="s">
        <v>7</v>
      </c>
      <c r="C2989" s="3" t="s">
        <v>701</v>
      </c>
      <c r="D2989" s="4">
        <f>DATE(2004,7,21)</f>
        <v>38189</v>
      </c>
      <c r="E2989" s="5">
        <f t="shared" si="48"/>
        <v>2004</v>
      </c>
      <c r="F2989" s="3" t="s">
        <v>703</v>
      </c>
      <c r="G2989" s="6">
        <v>500.53</v>
      </c>
      <c r="H2989" s="5">
        <v>735</v>
      </c>
    </row>
    <row r="2990" spans="2:8" ht="17.5" customHeight="1" x14ac:dyDescent="0.4">
      <c r="B2990" s="3" t="s">
        <v>7</v>
      </c>
      <c r="C2990" s="3" t="s">
        <v>701</v>
      </c>
      <c r="D2990" s="4">
        <f>DATE(2005,5,9)</f>
        <v>38481</v>
      </c>
      <c r="E2990" s="5">
        <f t="shared" si="48"/>
        <v>2005</v>
      </c>
      <c r="F2990" s="3" t="s">
        <v>703</v>
      </c>
      <c r="G2990" s="6">
        <v>218.33</v>
      </c>
      <c r="H2990" s="5">
        <v>1068</v>
      </c>
    </row>
    <row r="2991" spans="2:8" ht="17.5" customHeight="1" x14ac:dyDescent="0.4">
      <c r="B2991" s="3" t="s">
        <v>7</v>
      </c>
      <c r="C2991" s="3" t="s">
        <v>701</v>
      </c>
      <c r="D2991" s="4">
        <f>DATE(2005,7,27)</f>
        <v>38560</v>
      </c>
      <c r="E2991" s="5">
        <f t="shared" si="48"/>
        <v>2005</v>
      </c>
      <c r="F2991" s="3" t="s">
        <v>703</v>
      </c>
      <c r="G2991" s="6">
        <v>650.05999999999995</v>
      </c>
      <c r="H2991" s="5">
        <v>1182</v>
      </c>
    </row>
    <row r="2992" spans="2:8" ht="17.5" customHeight="1" x14ac:dyDescent="0.4">
      <c r="B2992" s="3" t="s">
        <v>7</v>
      </c>
      <c r="C2992" s="3" t="s">
        <v>701</v>
      </c>
      <c r="D2992" s="4">
        <f>DATE(2005,9,15)</f>
        <v>38610</v>
      </c>
      <c r="E2992" s="5">
        <f t="shared" si="48"/>
        <v>2005</v>
      </c>
      <c r="F2992" s="3" t="s">
        <v>703</v>
      </c>
      <c r="G2992" s="6">
        <v>4604.75</v>
      </c>
      <c r="H2992" s="5">
        <v>1205</v>
      </c>
    </row>
    <row r="2993" spans="2:8" ht="17.5" customHeight="1" x14ac:dyDescent="0.4">
      <c r="B2993" s="3" t="s">
        <v>7</v>
      </c>
      <c r="C2993" s="3" t="s">
        <v>701</v>
      </c>
      <c r="D2993" s="4">
        <f>DATE(2006,9,18)</f>
        <v>38978</v>
      </c>
      <c r="E2993" s="5">
        <f t="shared" si="48"/>
        <v>2006</v>
      </c>
      <c r="F2993" s="3" t="s">
        <v>703</v>
      </c>
      <c r="G2993" s="6">
        <v>85.66</v>
      </c>
      <c r="H2993" s="5">
        <v>1772</v>
      </c>
    </row>
    <row r="2994" spans="2:8" ht="17.5" customHeight="1" x14ac:dyDescent="0.4">
      <c r="B2994" s="3" t="s">
        <v>16</v>
      </c>
      <c r="C2994" s="3" t="s">
        <v>701</v>
      </c>
      <c r="D2994" s="4">
        <f>DATE(2005,7,27)</f>
        <v>38560</v>
      </c>
      <c r="E2994" s="5">
        <f t="shared" si="48"/>
        <v>2005</v>
      </c>
      <c r="F2994" s="3" t="s">
        <v>703</v>
      </c>
      <c r="G2994" s="6">
        <v>170</v>
      </c>
      <c r="H2994" s="5">
        <v>1268</v>
      </c>
    </row>
    <row r="2995" spans="2:8" ht="17.5" customHeight="1" x14ac:dyDescent="0.4">
      <c r="B2995" s="3" t="s">
        <v>16</v>
      </c>
      <c r="C2995" s="3" t="s">
        <v>701</v>
      </c>
      <c r="D2995" s="4">
        <f>DATE(2005,9,6)</f>
        <v>38601</v>
      </c>
      <c r="E2995" s="5">
        <f t="shared" si="48"/>
        <v>2005</v>
      </c>
      <c r="F2995" s="3" t="s">
        <v>703</v>
      </c>
      <c r="G2995" s="6">
        <v>120</v>
      </c>
      <c r="H2995" s="5">
        <v>1269</v>
      </c>
    </row>
    <row r="2996" spans="2:8" ht="17.5" customHeight="1" x14ac:dyDescent="0.4">
      <c r="B2996" t="s">
        <v>7</v>
      </c>
      <c r="C2996" t="s">
        <v>704</v>
      </c>
      <c r="D2996" s="7">
        <f>DATE(2016,1,28)</f>
        <v>42397</v>
      </c>
      <c r="E2996" s="8">
        <f t="shared" si="48"/>
        <v>2016</v>
      </c>
      <c r="F2996" t="s">
        <v>705</v>
      </c>
      <c r="G2996" s="9">
        <v>6470.67</v>
      </c>
      <c r="H2996" s="8">
        <v>21928</v>
      </c>
    </row>
    <row r="2997" spans="2:8" ht="17.5" customHeight="1" x14ac:dyDescent="0.4">
      <c r="B2997" t="s">
        <v>7</v>
      </c>
      <c r="C2997" t="s">
        <v>704</v>
      </c>
      <c r="D2997" s="7">
        <f>DATE(2016,8,30)</f>
        <v>42612</v>
      </c>
      <c r="E2997" s="8">
        <f t="shared" si="48"/>
        <v>2016</v>
      </c>
      <c r="F2997" t="s">
        <v>705</v>
      </c>
      <c r="G2997" s="9">
        <v>7667.59</v>
      </c>
      <c r="H2997" s="8">
        <v>23332</v>
      </c>
    </row>
    <row r="2998" spans="2:8" ht="17.5" customHeight="1" x14ac:dyDescent="0.4">
      <c r="B2998" t="s">
        <v>7</v>
      </c>
      <c r="C2998" t="s">
        <v>706</v>
      </c>
      <c r="D2998" s="7">
        <f>DATE(2008,5,30)</f>
        <v>39598</v>
      </c>
      <c r="E2998" s="8">
        <f t="shared" si="48"/>
        <v>2008</v>
      </c>
      <c r="F2998" t="s">
        <v>707</v>
      </c>
      <c r="G2998" s="9">
        <v>3000.31</v>
      </c>
      <c r="H2998" s="8">
        <v>7485</v>
      </c>
    </row>
    <row r="2999" spans="2:8" ht="17.5" customHeight="1" x14ac:dyDescent="0.4">
      <c r="B2999" t="s">
        <v>7</v>
      </c>
      <c r="C2999" t="s">
        <v>708</v>
      </c>
      <c r="D2999" s="7">
        <f>DATE(2015,9,4)</f>
        <v>42251</v>
      </c>
      <c r="E2999" s="8">
        <f t="shared" si="48"/>
        <v>2015</v>
      </c>
      <c r="F2999" t="s">
        <v>709</v>
      </c>
      <c r="G2999" s="9">
        <v>3817.71</v>
      </c>
      <c r="H2999" s="8">
        <v>21156</v>
      </c>
    </row>
    <row r="3000" spans="2:8" ht="17.5" customHeight="1" x14ac:dyDescent="0.4">
      <c r="B3000" s="3" t="s">
        <v>7</v>
      </c>
      <c r="C3000" s="3" t="s">
        <v>710</v>
      </c>
      <c r="D3000" s="4">
        <f>DATE(2003,4,28)</f>
        <v>37739</v>
      </c>
      <c r="E3000" s="5">
        <f t="shared" si="48"/>
        <v>2003</v>
      </c>
      <c r="F3000" s="3" t="s">
        <v>711</v>
      </c>
      <c r="G3000" s="6">
        <v>252.68</v>
      </c>
      <c r="H3000" s="5">
        <v>161</v>
      </c>
    </row>
    <row r="3001" spans="2:8" ht="17.5" customHeight="1" x14ac:dyDescent="0.4">
      <c r="B3001" s="3" t="s">
        <v>7</v>
      </c>
      <c r="C3001" s="3" t="s">
        <v>710</v>
      </c>
      <c r="D3001" s="4">
        <f>DATE(2003,5,9)</f>
        <v>37750</v>
      </c>
      <c r="E3001" s="5">
        <f t="shared" si="48"/>
        <v>2003</v>
      </c>
      <c r="F3001" s="3" t="s">
        <v>711</v>
      </c>
      <c r="G3001" s="6">
        <v>1067.6400000000001</v>
      </c>
      <c r="H3001" s="5">
        <v>176</v>
      </c>
    </row>
    <row r="3002" spans="2:8" ht="17.5" customHeight="1" x14ac:dyDescent="0.4">
      <c r="B3002" s="3" t="s">
        <v>7</v>
      </c>
      <c r="C3002" s="3" t="s">
        <v>710</v>
      </c>
      <c r="D3002" s="4">
        <f>DATE(2003,5,23)</f>
        <v>37764</v>
      </c>
      <c r="E3002" s="5">
        <f t="shared" si="48"/>
        <v>2003</v>
      </c>
      <c r="F3002" s="3" t="s">
        <v>711</v>
      </c>
      <c r="G3002" s="6">
        <v>1271.8</v>
      </c>
      <c r="H3002" s="5">
        <v>191</v>
      </c>
    </row>
    <row r="3003" spans="2:8" ht="17.5" customHeight="1" x14ac:dyDescent="0.4">
      <c r="B3003" t="s">
        <v>7</v>
      </c>
      <c r="C3003" t="s">
        <v>712</v>
      </c>
      <c r="D3003" s="7">
        <f>DATE(2009,6,15)</f>
        <v>39979</v>
      </c>
      <c r="E3003" s="8">
        <f t="shared" si="48"/>
        <v>2009</v>
      </c>
      <c r="F3003" t="s">
        <v>713</v>
      </c>
      <c r="G3003" s="9">
        <v>7664.79</v>
      </c>
      <c r="H3003" s="8">
        <v>8760</v>
      </c>
    </row>
    <row r="3004" spans="2:8" ht="17.5" customHeight="1" x14ac:dyDescent="0.4">
      <c r="B3004" t="s">
        <v>7</v>
      </c>
      <c r="C3004" t="s">
        <v>712</v>
      </c>
      <c r="D3004" s="7">
        <f>DATE(2010,2,18)</f>
        <v>40227</v>
      </c>
      <c r="E3004" s="8">
        <f t="shared" si="48"/>
        <v>2010</v>
      </c>
      <c r="F3004" t="s">
        <v>713</v>
      </c>
      <c r="G3004" s="9">
        <v>19198.02</v>
      </c>
      <c r="H3004" s="8">
        <v>9397</v>
      </c>
    </row>
    <row r="3005" spans="2:8" ht="17.5" customHeight="1" x14ac:dyDescent="0.4">
      <c r="B3005" t="s">
        <v>7</v>
      </c>
      <c r="C3005" t="s">
        <v>712</v>
      </c>
      <c r="D3005" s="7">
        <f>DATE(2011,6,8)</f>
        <v>40702</v>
      </c>
      <c r="E3005" s="8">
        <f t="shared" si="48"/>
        <v>2011</v>
      </c>
      <c r="F3005" t="s">
        <v>713</v>
      </c>
      <c r="G3005" s="9">
        <v>17794.11</v>
      </c>
      <c r="H3005" s="8">
        <v>10747</v>
      </c>
    </row>
    <row r="3006" spans="2:8" ht="17.5" customHeight="1" x14ac:dyDescent="0.4">
      <c r="B3006" s="3" t="s">
        <v>7</v>
      </c>
      <c r="C3006" s="3" t="s">
        <v>714</v>
      </c>
      <c r="D3006" s="4">
        <f>DATE(2003,6,6)</f>
        <v>37778</v>
      </c>
      <c r="E3006" s="5">
        <f t="shared" si="48"/>
        <v>2003</v>
      </c>
      <c r="F3006" s="3" t="s">
        <v>715</v>
      </c>
      <c r="G3006" s="6">
        <v>270.63</v>
      </c>
      <c r="H3006" s="5">
        <v>204</v>
      </c>
    </row>
    <row r="3007" spans="2:8" ht="17.5" customHeight="1" x14ac:dyDescent="0.4">
      <c r="B3007" s="3" t="s">
        <v>7</v>
      </c>
      <c r="C3007" s="3" t="s">
        <v>714</v>
      </c>
      <c r="D3007" s="4">
        <f>DATE(2003,11,12)</f>
        <v>37937</v>
      </c>
      <c r="E3007" s="5">
        <f t="shared" si="48"/>
        <v>2003</v>
      </c>
      <c r="F3007" s="3" t="s">
        <v>715</v>
      </c>
      <c r="G3007" s="6">
        <v>2222.29</v>
      </c>
      <c r="H3007" s="5">
        <v>415</v>
      </c>
    </row>
    <row r="3008" spans="2:8" ht="17.5" customHeight="1" x14ac:dyDescent="0.4">
      <c r="B3008" s="3" t="s">
        <v>7</v>
      </c>
      <c r="C3008" s="3" t="s">
        <v>714</v>
      </c>
      <c r="D3008" s="4">
        <f>DATE(2004,5,28)</f>
        <v>38135</v>
      </c>
      <c r="E3008" s="5">
        <f t="shared" si="48"/>
        <v>2004</v>
      </c>
      <c r="F3008" s="3" t="s">
        <v>715</v>
      </c>
      <c r="G3008" s="6">
        <v>4063.61</v>
      </c>
      <c r="H3008" s="5">
        <v>673</v>
      </c>
    </row>
    <row r="3009" spans="2:8" ht="17.5" customHeight="1" x14ac:dyDescent="0.4">
      <c r="B3009" s="3" t="s">
        <v>7</v>
      </c>
      <c r="C3009" s="3" t="s">
        <v>714</v>
      </c>
      <c r="D3009" s="4">
        <f>DATE(2004,6,22)</f>
        <v>38160</v>
      </c>
      <c r="E3009" s="5">
        <f t="shared" si="48"/>
        <v>2004</v>
      </c>
      <c r="F3009" s="3" t="s">
        <v>715</v>
      </c>
      <c r="G3009" s="6">
        <v>5180.63</v>
      </c>
      <c r="H3009" s="5">
        <v>701</v>
      </c>
    </row>
    <row r="3010" spans="2:8" ht="17.5" customHeight="1" x14ac:dyDescent="0.4">
      <c r="B3010" s="3" t="s">
        <v>7</v>
      </c>
      <c r="C3010" s="3" t="s">
        <v>714</v>
      </c>
      <c r="D3010" s="4">
        <f>DATE(2004,11,10)</f>
        <v>38301</v>
      </c>
      <c r="E3010" s="5">
        <f t="shared" si="48"/>
        <v>2004</v>
      </c>
      <c r="F3010" s="3" t="s">
        <v>715</v>
      </c>
      <c r="G3010" s="6">
        <v>3031.31</v>
      </c>
      <c r="H3010" s="5">
        <v>850</v>
      </c>
    </row>
    <row r="3011" spans="2:8" ht="17.5" customHeight="1" x14ac:dyDescent="0.4">
      <c r="B3011" s="3" t="s">
        <v>7</v>
      </c>
      <c r="C3011" s="3" t="s">
        <v>714</v>
      </c>
      <c r="D3011" s="4">
        <f>DATE(2005,4,4)</f>
        <v>38446</v>
      </c>
      <c r="E3011" s="5">
        <f t="shared" ref="E3011:E3074" si="49">YEAR(D3011)</f>
        <v>2005</v>
      </c>
      <c r="F3011" s="3" t="s">
        <v>715</v>
      </c>
      <c r="G3011" s="6">
        <v>3253.17</v>
      </c>
      <c r="H3011" s="5">
        <v>1020</v>
      </c>
    </row>
    <row r="3012" spans="2:8" ht="17.5" customHeight="1" x14ac:dyDescent="0.4">
      <c r="B3012" s="3" t="s">
        <v>7</v>
      </c>
      <c r="C3012" s="3" t="s">
        <v>714</v>
      </c>
      <c r="D3012" s="4">
        <f>DATE(2006,4,18)</f>
        <v>38825</v>
      </c>
      <c r="E3012" s="5">
        <f t="shared" si="49"/>
        <v>2006</v>
      </c>
      <c r="F3012" s="3" t="s">
        <v>715</v>
      </c>
      <c r="G3012" s="6">
        <v>4810.16</v>
      </c>
      <c r="H3012" s="5">
        <v>1520</v>
      </c>
    </row>
    <row r="3013" spans="2:8" ht="17.5" customHeight="1" x14ac:dyDescent="0.4">
      <c r="B3013" s="3" t="s">
        <v>7</v>
      </c>
      <c r="C3013" s="3" t="s">
        <v>714</v>
      </c>
      <c r="D3013" s="4">
        <f>DATE(2008,3,19)</f>
        <v>39526</v>
      </c>
      <c r="E3013" s="5">
        <f t="shared" si="49"/>
        <v>2008</v>
      </c>
      <c r="F3013" s="3" t="s">
        <v>715</v>
      </c>
      <c r="G3013" s="6">
        <v>13472.21</v>
      </c>
      <c r="H3013" s="5">
        <v>2679</v>
      </c>
    </row>
    <row r="3014" spans="2:8" ht="17.5" customHeight="1" x14ac:dyDescent="0.4">
      <c r="B3014" s="3" t="s">
        <v>7</v>
      </c>
      <c r="C3014" s="3" t="s">
        <v>714</v>
      </c>
      <c r="D3014" s="4">
        <f>DATE(2008,6,3)</f>
        <v>39602</v>
      </c>
      <c r="E3014" s="5">
        <f t="shared" si="49"/>
        <v>2008</v>
      </c>
      <c r="F3014" s="3" t="s">
        <v>715</v>
      </c>
      <c r="G3014" s="6">
        <v>1736.81</v>
      </c>
      <c r="H3014" s="5">
        <v>2863</v>
      </c>
    </row>
    <row r="3015" spans="2:8" ht="17.5" customHeight="1" x14ac:dyDescent="0.4">
      <c r="B3015" s="3" t="s">
        <v>7</v>
      </c>
      <c r="C3015" s="3" t="s">
        <v>714</v>
      </c>
      <c r="D3015" s="4">
        <f>DATE(2008,6,23)</f>
        <v>39622</v>
      </c>
      <c r="E3015" s="5">
        <f t="shared" si="49"/>
        <v>2008</v>
      </c>
      <c r="F3015" s="3" t="s">
        <v>715</v>
      </c>
      <c r="G3015" s="6">
        <v>14772.26</v>
      </c>
      <c r="H3015" s="5">
        <v>2883</v>
      </c>
    </row>
    <row r="3016" spans="2:8" ht="17.5" customHeight="1" x14ac:dyDescent="0.4">
      <c r="B3016" s="3" t="s">
        <v>7</v>
      </c>
      <c r="C3016" s="3" t="s">
        <v>714</v>
      </c>
      <c r="D3016" s="4">
        <f>DATE(2008,11,4)</f>
        <v>39756</v>
      </c>
      <c r="E3016" s="5">
        <f t="shared" si="49"/>
        <v>2008</v>
      </c>
      <c r="F3016" s="3" t="s">
        <v>715</v>
      </c>
      <c r="G3016" s="6">
        <v>362.51</v>
      </c>
      <c r="H3016" s="5">
        <v>3141</v>
      </c>
    </row>
    <row r="3017" spans="2:8" ht="17.5" customHeight="1" x14ac:dyDescent="0.4">
      <c r="B3017" s="3" t="s">
        <v>7</v>
      </c>
      <c r="C3017" s="3" t="s">
        <v>716</v>
      </c>
      <c r="D3017" s="4">
        <f>DATE(2010,1,8)</f>
        <v>40186</v>
      </c>
      <c r="E3017" s="5">
        <f t="shared" si="49"/>
        <v>2010</v>
      </c>
      <c r="F3017" s="3" t="s">
        <v>717</v>
      </c>
      <c r="G3017" s="6">
        <v>8129.55</v>
      </c>
      <c r="H3017" s="5">
        <v>3681</v>
      </c>
    </row>
    <row r="3018" spans="2:8" ht="17.5" customHeight="1" x14ac:dyDescent="0.4">
      <c r="B3018" s="3" t="s">
        <v>7</v>
      </c>
      <c r="C3018" s="3" t="s">
        <v>716</v>
      </c>
      <c r="D3018" s="4">
        <f>DATE(2010,4,9)</f>
        <v>40277</v>
      </c>
      <c r="E3018" s="5">
        <f t="shared" si="49"/>
        <v>2010</v>
      </c>
      <c r="F3018" s="3" t="s">
        <v>717</v>
      </c>
      <c r="G3018" s="6">
        <v>8496.89</v>
      </c>
      <c r="H3018" s="5">
        <v>3863</v>
      </c>
    </row>
    <row r="3019" spans="2:8" ht="17.5" customHeight="1" x14ac:dyDescent="0.4">
      <c r="B3019" s="3" t="s">
        <v>7</v>
      </c>
      <c r="C3019" s="3" t="s">
        <v>716</v>
      </c>
      <c r="D3019" s="4">
        <f>DATE(2010,7,20)</f>
        <v>40379</v>
      </c>
      <c r="E3019" s="5">
        <f t="shared" si="49"/>
        <v>2010</v>
      </c>
      <c r="F3019" s="3" t="s">
        <v>717</v>
      </c>
      <c r="G3019" s="6">
        <v>7969.4</v>
      </c>
      <c r="H3019" s="5">
        <v>4030</v>
      </c>
    </row>
    <row r="3020" spans="2:8" ht="17.5" customHeight="1" x14ac:dyDescent="0.4">
      <c r="B3020" s="3" t="s">
        <v>7</v>
      </c>
      <c r="C3020" s="3" t="s">
        <v>716</v>
      </c>
      <c r="D3020" s="4">
        <f>DATE(2009,9,16)</f>
        <v>40072</v>
      </c>
      <c r="E3020" s="5">
        <f t="shared" si="49"/>
        <v>2009</v>
      </c>
      <c r="F3020" s="3" t="s">
        <v>717</v>
      </c>
      <c r="G3020" s="6">
        <v>46086.63</v>
      </c>
      <c r="H3020" s="5">
        <v>3571</v>
      </c>
    </row>
    <row r="3021" spans="2:8" ht="17.5" customHeight="1" x14ac:dyDescent="0.4">
      <c r="B3021" s="3" t="s">
        <v>7</v>
      </c>
      <c r="C3021" s="3" t="s">
        <v>716</v>
      </c>
      <c r="D3021" s="4">
        <f>DATE(2009,9,24)</f>
        <v>40080</v>
      </c>
      <c r="E3021" s="5">
        <f t="shared" si="49"/>
        <v>2009</v>
      </c>
      <c r="F3021" s="3" t="s">
        <v>717</v>
      </c>
      <c r="G3021" s="6">
        <v>1782.31</v>
      </c>
      <c r="H3021" s="5">
        <v>3595</v>
      </c>
    </row>
    <row r="3022" spans="2:8" ht="17.5" customHeight="1" x14ac:dyDescent="0.4">
      <c r="B3022" s="3" t="s">
        <v>7</v>
      </c>
      <c r="C3022" s="3" t="s">
        <v>716</v>
      </c>
      <c r="D3022" s="4">
        <f>DATE(2010,3,29)</f>
        <v>40266</v>
      </c>
      <c r="E3022" s="5">
        <f t="shared" si="49"/>
        <v>2010</v>
      </c>
      <c r="F3022" s="3" t="s">
        <v>717</v>
      </c>
      <c r="G3022" s="6">
        <v>10292.5</v>
      </c>
      <c r="H3022" s="5">
        <v>3798</v>
      </c>
    </row>
    <row r="3023" spans="2:8" ht="17.5" customHeight="1" x14ac:dyDescent="0.4">
      <c r="B3023" s="3" t="s">
        <v>7</v>
      </c>
      <c r="C3023" s="3" t="s">
        <v>716</v>
      </c>
      <c r="D3023" s="4">
        <f>DATE(2010,8,2)</f>
        <v>40392</v>
      </c>
      <c r="E3023" s="5">
        <f t="shared" si="49"/>
        <v>2010</v>
      </c>
      <c r="F3023" s="3" t="s">
        <v>717</v>
      </c>
      <c r="G3023" s="6">
        <v>13981.9</v>
      </c>
      <c r="H3023" s="5">
        <v>3724</v>
      </c>
    </row>
    <row r="3024" spans="2:8" ht="17.5" customHeight="1" x14ac:dyDescent="0.4">
      <c r="B3024" s="3" t="s">
        <v>16</v>
      </c>
      <c r="C3024" s="3" t="s">
        <v>716</v>
      </c>
      <c r="D3024" s="4">
        <f>DATE(2010,3,29)</f>
        <v>40266</v>
      </c>
      <c r="E3024" s="5">
        <f t="shared" si="49"/>
        <v>2010</v>
      </c>
      <c r="F3024" s="3" t="s">
        <v>717</v>
      </c>
      <c r="G3024" s="6">
        <v>10292.5</v>
      </c>
      <c r="H3024" s="5">
        <v>4747</v>
      </c>
    </row>
    <row r="3025" spans="2:8" ht="17.5" customHeight="1" x14ac:dyDescent="0.4">
      <c r="B3025" s="3" t="s">
        <v>7</v>
      </c>
      <c r="C3025" s="3" t="s">
        <v>718</v>
      </c>
      <c r="D3025" s="4">
        <f>DATE(2003,6,5)</f>
        <v>37777</v>
      </c>
      <c r="E3025" s="5">
        <f t="shared" si="49"/>
        <v>2003</v>
      </c>
      <c r="F3025" s="3" t="s">
        <v>719</v>
      </c>
      <c r="G3025" s="6">
        <v>214.63</v>
      </c>
      <c r="H3025" s="5">
        <v>205</v>
      </c>
    </row>
    <row r="3026" spans="2:8" ht="17.5" customHeight="1" x14ac:dyDescent="0.4">
      <c r="B3026" s="3" t="s">
        <v>7</v>
      </c>
      <c r="C3026" s="3" t="s">
        <v>718</v>
      </c>
      <c r="D3026" s="4">
        <f>DATE(2005,2,21)</f>
        <v>38404</v>
      </c>
      <c r="E3026" s="5">
        <f t="shared" si="49"/>
        <v>2005</v>
      </c>
      <c r="F3026" s="3" t="s">
        <v>719</v>
      </c>
      <c r="G3026" s="6">
        <v>13639.5</v>
      </c>
      <c r="H3026" s="5">
        <v>965</v>
      </c>
    </row>
    <row r="3027" spans="2:8" ht="17.5" customHeight="1" x14ac:dyDescent="0.4">
      <c r="B3027" t="s">
        <v>7</v>
      </c>
      <c r="C3027" t="s">
        <v>720</v>
      </c>
      <c r="D3027" s="7">
        <f>DATE(2015,12,11)</f>
        <v>42349</v>
      </c>
      <c r="E3027" s="8">
        <f t="shared" si="49"/>
        <v>2015</v>
      </c>
      <c r="F3027" t="s">
        <v>721</v>
      </c>
      <c r="G3027" s="9">
        <v>720</v>
      </c>
      <c r="H3027" s="8">
        <v>21775</v>
      </c>
    </row>
    <row r="3028" spans="2:8" ht="17.5" customHeight="1" x14ac:dyDescent="0.4">
      <c r="B3028" t="s">
        <v>7</v>
      </c>
      <c r="C3028" t="s">
        <v>720</v>
      </c>
      <c r="D3028" s="7">
        <f>DATE(2016,4,20)</f>
        <v>42480</v>
      </c>
      <c r="E3028" s="8">
        <f t="shared" si="49"/>
        <v>2016</v>
      </c>
      <c r="F3028" t="s">
        <v>721</v>
      </c>
      <c r="G3028" s="9">
        <v>1270.5899999999999</v>
      </c>
      <c r="H3028" s="8">
        <v>22668</v>
      </c>
    </row>
    <row r="3029" spans="2:8" ht="17.5" customHeight="1" x14ac:dyDescent="0.4">
      <c r="B3029" t="s">
        <v>7</v>
      </c>
      <c r="C3029" t="s">
        <v>720</v>
      </c>
      <c r="D3029" s="7">
        <f>DATE(2017,4,27)</f>
        <v>42852</v>
      </c>
      <c r="E3029" s="8">
        <f t="shared" si="49"/>
        <v>2017</v>
      </c>
      <c r="F3029" t="s">
        <v>721</v>
      </c>
      <c r="G3029" s="9">
        <v>3136.9</v>
      </c>
      <c r="H3029" s="8">
        <v>24828</v>
      </c>
    </row>
    <row r="3030" spans="2:8" ht="17.5" customHeight="1" x14ac:dyDescent="0.4">
      <c r="B3030" t="s">
        <v>7</v>
      </c>
      <c r="C3030" t="s">
        <v>720</v>
      </c>
      <c r="D3030" s="7">
        <f>DATE(2003,12,2)</f>
        <v>37957</v>
      </c>
      <c r="E3030" s="8">
        <f t="shared" si="49"/>
        <v>2003</v>
      </c>
      <c r="F3030" t="s">
        <v>721</v>
      </c>
      <c r="G3030" s="9">
        <v>342</v>
      </c>
      <c r="H3030" s="8">
        <v>1057</v>
      </c>
    </row>
    <row r="3031" spans="2:8" ht="17.5" customHeight="1" x14ac:dyDescent="0.4">
      <c r="B3031" t="s">
        <v>7</v>
      </c>
      <c r="C3031" t="s">
        <v>720</v>
      </c>
      <c r="D3031" s="7">
        <f>DATE(2010,5,27)</f>
        <v>40325</v>
      </c>
      <c r="E3031" s="8">
        <f t="shared" si="49"/>
        <v>2010</v>
      </c>
      <c r="F3031" t="s">
        <v>721</v>
      </c>
      <c r="G3031" s="9">
        <v>2132</v>
      </c>
      <c r="H3031" s="8">
        <v>9846</v>
      </c>
    </row>
    <row r="3032" spans="2:8" ht="17.5" customHeight="1" x14ac:dyDescent="0.4">
      <c r="B3032" t="s">
        <v>7</v>
      </c>
      <c r="C3032" t="s">
        <v>720</v>
      </c>
      <c r="D3032" s="7">
        <f>DATE(2011,12,21)</f>
        <v>40898</v>
      </c>
      <c r="E3032" s="8">
        <f t="shared" si="49"/>
        <v>2011</v>
      </c>
      <c r="F3032" t="s">
        <v>721</v>
      </c>
      <c r="G3032" s="9">
        <v>22500</v>
      </c>
      <c r="H3032" s="8">
        <v>11205</v>
      </c>
    </row>
    <row r="3033" spans="2:8" ht="17.5" customHeight="1" x14ac:dyDescent="0.4">
      <c r="B3033" t="s">
        <v>7</v>
      </c>
      <c r="C3033" t="s">
        <v>720</v>
      </c>
      <c r="D3033" s="7">
        <f>DATE(2012,3,6)</f>
        <v>40974</v>
      </c>
      <c r="E3033" s="8">
        <f t="shared" si="49"/>
        <v>2012</v>
      </c>
      <c r="F3033" t="s">
        <v>721</v>
      </c>
      <c r="G3033" s="9">
        <v>1743.37</v>
      </c>
      <c r="H3033" s="8">
        <v>11437</v>
      </c>
    </row>
    <row r="3034" spans="2:8" ht="17.5" customHeight="1" x14ac:dyDescent="0.4">
      <c r="B3034" t="s">
        <v>7</v>
      </c>
      <c r="C3034" t="s">
        <v>720</v>
      </c>
      <c r="D3034" s="7">
        <f>DATE(2003,6,13)</f>
        <v>37785</v>
      </c>
      <c r="E3034" s="8">
        <f t="shared" si="49"/>
        <v>2003</v>
      </c>
      <c r="F3034" t="s">
        <v>721</v>
      </c>
      <c r="G3034" s="9">
        <v>994.8</v>
      </c>
      <c r="H3034" s="8">
        <v>554</v>
      </c>
    </row>
    <row r="3035" spans="2:8" ht="17.5" customHeight="1" x14ac:dyDescent="0.4">
      <c r="B3035" t="s">
        <v>7</v>
      </c>
      <c r="C3035" t="s">
        <v>720</v>
      </c>
      <c r="D3035" s="7">
        <f>DATE(2004,5,8)</f>
        <v>38115</v>
      </c>
      <c r="E3035" s="8">
        <f t="shared" si="49"/>
        <v>2004</v>
      </c>
      <c r="F3035" t="s">
        <v>721</v>
      </c>
      <c r="G3035" s="9">
        <v>13386.99</v>
      </c>
      <c r="H3035" s="8">
        <v>1726</v>
      </c>
    </row>
    <row r="3036" spans="2:8" ht="17.5" customHeight="1" x14ac:dyDescent="0.4">
      <c r="B3036" t="s">
        <v>7</v>
      </c>
      <c r="C3036" t="s">
        <v>720</v>
      </c>
      <c r="D3036" s="7">
        <f>DATE(2004,9,18)</f>
        <v>38248</v>
      </c>
      <c r="E3036" s="8">
        <f t="shared" si="49"/>
        <v>2004</v>
      </c>
      <c r="F3036" t="s">
        <v>721</v>
      </c>
      <c r="G3036" s="9">
        <v>24096</v>
      </c>
      <c r="H3036" s="8">
        <v>2051</v>
      </c>
    </row>
    <row r="3037" spans="2:8" ht="17.5" customHeight="1" x14ac:dyDescent="0.4">
      <c r="B3037" t="s">
        <v>7</v>
      </c>
      <c r="C3037" t="s">
        <v>720</v>
      </c>
      <c r="D3037" s="7">
        <f>DATE(2006,3,29)</f>
        <v>38805</v>
      </c>
      <c r="E3037" s="8">
        <f t="shared" si="49"/>
        <v>2006</v>
      </c>
      <c r="F3037" t="s">
        <v>721</v>
      </c>
      <c r="G3037" s="9">
        <v>39265.01</v>
      </c>
      <c r="H3037" s="8">
        <v>4121</v>
      </c>
    </row>
    <row r="3038" spans="2:8" ht="17.5" customHeight="1" x14ac:dyDescent="0.4">
      <c r="B3038" t="s">
        <v>7</v>
      </c>
      <c r="C3038" t="s">
        <v>720</v>
      </c>
      <c r="D3038" s="7">
        <f>DATE(2006,12,1)</f>
        <v>39052</v>
      </c>
      <c r="E3038" s="8">
        <f t="shared" si="49"/>
        <v>2006</v>
      </c>
      <c r="F3038" t="s">
        <v>721</v>
      </c>
      <c r="G3038" s="9">
        <v>41732.620000000003</v>
      </c>
      <c r="H3038" s="8">
        <v>4894</v>
      </c>
    </row>
    <row r="3039" spans="2:8" ht="17.5" customHeight="1" x14ac:dyDescent="0.4">
      <c r="B3039" t="s">
        <v>7</v>
      </c>
      <c r="C3039" t="s">
        <v>720</v>
      </c>
      <c r="D3039" s="7">
        <f>DATE(2007,10,1)</f>
        <v>39356</v>
      </c>
      <c r="E3039" s="8">
        <f t="shared" si="49"/>
        <v>2007</v>
      </c>
      <c r="F3039" t="s">
        <v>721</v>
      </c>
      <c r="G3039" s="9">
        <v>43683.58</v>
      </c>
      <c r="H3039" s="8">
        <v>6000</v>
      </c>
    </row>
    <row r="3040" spans="2:8" ht="17.5" customHeight="1" x14ac:dyDescent="0.4">
      <c r="B3040" t="s">
        <v>7</v>
      </c>
      <c r="C3040" t="s">
        <v>720</v>
      </c>
      <c r="D3040" s="7">
        <f>DATE(2008,5,16)</f>
        <v>39584</v>
      </c>
      <c r="E3040" s="8">
        <f t="shared" si="49"/>
        <v>2008</v>
      </c>
      <c r="F3040" t="s">
        <v>721</v>
      </c>
      <c r="G3040" s="9">
        <v>39542</v>
      </c>
      <c r="H3040" s="8">
        <v>6977</v>
      </c>
    </row>
    <row r="3041" spans="2:8" ht="17.5" customHeight="1" x14ac:dyDescent="0.4">
      <c r="B3041" t="s">
        <v>7</v>
      </c>
      <c r="C3041" t="s">
        <v>720</v>
      </c>
      <c r="D3041" s="7">
        <f>DATE(2009,3,24)</f>
        <v>39896</v>
      </c>
      <c r="E3041" s="8">
        <f t="shared" si="49"/>
        <v>2009</v>
      </c>
      <c r="F3041" t="s">
        <v>721</v>
      </c>
      <c r="G3041" s="9">
        <v>45721</v>
      </c>
      <c r="H3041" s="8">
        <v>8074</v>
      </c>
    </row>
    <row r="3042" spans="2:8" ht="17.5" customHeight="1" x14ac:dyDescent="0.4">
      <c r="B3042" t="s">
        <v>7</v>
      </c>
      <c r="C3042" t="s">
        <v>720</v>
      </c>
      <c r="D3042" s="7">
        <f>DATE(2009,4,21)</f>
        <v>39924</v>
      </c>
      <c r="E3042" s="8">
        <f t="shared" si="49"/>
        <v>2009</v>
      </c>
      <c r="F3042" t="s">
        <v>721</v>
      </c>
      <c r="G3042" s="9">
        <v>27789.09</v>
      </c>
      <c r="H3042" s="8">
        <v>8561</v>
      </c>
    </row>
    <row r="3043" spans="2:8" ht="17.5" customHeight="1" x14ac:dyDescent="0.4">
      <c r="B3043" t="s">
        <v>7</v>
      </c>
      <c r="C3043" t="s">
        <v>720</v>
      </c>
      <c r="D3043" s="7">
        <f>DATE(2009,12,16)</f>
        <v>40163</v>
      </c>
      <c r="E3043" s="8">
        <f t="shared" si="49"/>
        <v>2009</v>
      </c>
      <c r="F3043" t="s">
        <v>721</v>
      </c>
      <c r="G3043" s="9">
        <v>51882.03</v>
      </c>
      <c r="H3043" s="8">
        <v>9125</v>
      </c>
    </row>
    <row r="3044" spans="2:8" ht="17.5" customHeight="1" x14ac:dyDescent="0.4">
      <c r="B3044" t="s">
        <v>7</v>
      </c>
      <c r="C3044" t="s">
        <v>720</v>
      </c>
      <c r="D3044" s="7">
        <f>DATE(2010,10,12)</f>
        <v>40463</v>
      </c>
      <c r="E3044" s="8">
        <f t="shared" si="49"/>
        <v>2010</v>
      </c>
      <c r="F3044" t="s">
        <v>721</v>
      </c>
      <c r="G3044" s="9">
        <v>48063.97</v>
      </c>
      <c r="H3044" s="8">
        <v>9931</v>
      </c>
    </row>
    <row r="3045" spans="2:8" ht="17.5" customHeight="1" x14ac:dyDescent="0.4">
      <c r="B3045" t="s">
        <v>7</v>
      </c>
      <c r="C3045" t="s">
        <v>720</v>
      </c>
      <c r="D3045" s="7">
        <f>DATE(2011,5,18)</f>
        <v>40681</v>
      </c>
      <c r="E3045" s="8">
        <f t="shared" si="49"/>
        <v>2011</v>
      </c>
      <c r="F3045" t="s">
        <v>721</v>
      </c>
      <c r="G3045" s="9">
        <v>48607.14</v>
      </c>
      <c r="H3045" s="8">
        <v>10403</v>
      </c>
    </row>
    <row r="3046" spans="2:8" ht="17.5" customHeight="1" x14ac:dyDescent="0.4">
      <c r="B3046" s="3" t="s">
        <v>7</v>
      </c>
      <c r="C3046" s="3" t="s">
        <v>720</v>
      </c>
      <c r="D3046" s="4">
        <f>DATE(2003,1,13)</f>
        <v>37634</v>
      </c>
      <c r="E3046" s="5">
        <f t="shared" si="49"/>
        <v>2003</v>
      </c>
      <c r="F3046" s="3" t="s">
        <v>721</v>
      </c>
      <c r="G3046" s="6">
        <v>10910.37</v>
      </c>
      <c r="H3046" s="5">
        <v>34</v>
      </c>
    </row>
    <row r="3047" spans="2:8" ht="17.5" customHeight="1" x14ac:dyDescent="0.4">
      <c r="B3047" s="3" t="s">
        <v>7</v>
      </c>
      <c r="C3047" s="3" t="s">
        <v>720</v>
      </c>
      <c r="D3047" s="4">
        <f>DATE(2003,1,13)</f>
        <v>37634</v>
      </c>
      <c r="E3047" s="5">
        <f t="shared" si="49"/>
        <v>2003</v>
      </c>
      <c r="F3047" s="3" t="s">
        <v>721</v>
      </c>
      <c r="G3047" s="6">
        <v>15310.14</v>
      </c>
      <c r="H3047" s="5">
        <v>2</v>
      </c>
    </row>
    <row r="3048" spans="2:8" ht="17.5" customHeight="1" x14ac:dyDescent="0.4">
      <c r="B3048" s="3" t="s">
        <v>7</v>
      </c>
      <c r="C3048" s="3" t="s">
        <v>720</v>
      </c>
      <c r="D3048" s="4">
        <f>DATE(2003,1,27)</f>
        <v>37648</v>
      </c>
      <c r="E3048" s="5">
        <f t="shared" si="49"/>
        <v>2003</v>
      </c>
      <c r="F3048" s="3" t="s">
        <v>721</v>
      </c>
      <c r="G3048" s="6">
        <v>7986</v>
      </c>
      <c r="H3048" s="5">
        <v>1</v>
      </c>
    </row>
    <row r="3049" spans="2:8" ht="17.5" customHeight="1" x14ac:dyDescent="0.4">
      <c r="B3049" s="3" t="s">
        <v>7</v>
      </c>
      <c r="C3049" s="3" t="s">
        <v>720</v>
      </c>
      <c r="D3049" s="4">
        <f>DATE(2003,2,25)</f>
        <v>37677</v>
      </c>
      <c r="E3049" s="5">
        <f t="shared" si="49"/>
        <v>2003</v>
      </c>
      <c r="F3049" s="3" t="s">
        <v>721</v>
      </c>
      <c r="G3049" s="6">
        <v>1958</v>
      </c>
      <c r="H3049" s="5">
        <v>351</v>
      </c>
    </row>
    <row r="3050" spans="2:8" ht="17.5" customHeight="1" x14ac:dyDescent="0.4">
      <c r="B3050" s="3" t="s">
        <v>7</v>
      </c>
      <c r="C3050" s="3" t="s">
        <v>720</v>
      </c>
      <c r="D3050" s="4">
        <f>DATE(2003,3,11)</f>
        <v>37691</v>
      </c>
      <c r="E3050" s="5">
        <f t="shared" si="49"/>
        <v>2003</v>
      </c>
      <c r="F3050" s="3" t="s">
        <v>721</v>
      </c>
      <c r="G3050" s="6">
        <v>8800</v>
      </c>
      <c r="H3050" s="5">
        <v>415</v>
      </c>
    </row>
    <row r="3051" spans="2:8" ht="17.5" customHeight="1" x14ac:dyDescent="0.4">
      <c r="B3051" s="3" t="s">
        <v>7</v>
      </c>
      <c r="C3051" s="3" t="s">
        <v>720</v>
      </c>
      <c r="D3051" s="4">
        <f>DATE(2003,5,30)</f>
        <v>37771</v>
      </c>
      <c r="E3051" s="5">
        <f t="shared" si="49"/>
        <v>2003</v>
      </c>
      <c r="F3051" s="3" t="s">
        <v>721</v>
      </c>
      <c r="G3051" s="6">
        <v>2042.9</v>
      </c>
      <c r="H3051" s="5">
        <v>194</v>
      </c>
    </row>
    <row r="3052" spans="2:8" ht="17.5" customHeight="1" x14ac:dyDescent="0.4">
      <c r="B3052" s="3" t="s">
        <v>7</v>
      </c>
      <c r="C3052" s="3" t="s">
        <v>720</v>
      </c>
      <c r="D3052" s="4">
        <f>DATE(2003,6,17)</f>
        <v>37789</v>
      </c>
      <c r="E3052" s="5">
        <f t="shared" si="49"/>
        <v>2003</v>
      </c>
      <c r="F3052" s="3" t="s">
        <v>721</v>
      </c>
      <c r="G3052" s="6">
        <v>731.25</v>
      </c>
      <c r="H3052" s="5">
        <v>1113</v>
      </c>
    </row>
    <row r="3053" spans="2:8" ht="17.5" customHeight="1" x14ac:dyDescent="0.4">
      <c r="B3053" s="3" t="s">
        <v>7</v>
      </c>
      <c r="C3053" s="3" t="s">
        <v>720</v>
      </c>
      <c r="D3053" s="4">
        <f>DATE(2003,6,17)</f>
        <v>37789</v>
      </c>
      <c r="E3053" s="5">
        <f t="shared" si="49"/>
        <v>2003</v>
      </c>
      <c r="F3053" s="3" t="s">
        <v>721</v>
      </c>
      <c r="G3053" s="6">
        <v>6343.75</v>
      </c>
      <c r="H3053" s="5">
        <v>1107</v>
      </c>
    </row>
    <row r="3054" spans="2:8" ht="17.5" customHeight="1" x14ac:dyDescent="0.4">
      <c r="B3054" s="3" t="s">
        <v>7</v>
      </c>
      <c r="C3054" s="3" t="s">
        <v>720</v>
      </c>
      <c r="D3054" s="4">
        <f>DATE(2003,7,25)</f>
        <v>37827</v>
      </c>
      <c r="E3054" s="5">
        <f t="shared" si="49"/>
        <v>2003</v>
      </c>
      <c r="F3054" s="3" t="s">
        <v>721</v>
      </c>
      <c r="G3054" s="6">
        <v>13875</v>
      </c>
      <c r="H3054" s="5">
        <v>1188</v>
      </c>
    </row>
    <row r="3055" spans="2:8" ht="17.5" customHeight="1" x14ac:dyDescent="0.4">
      <c r="B3055" s="3" t="s">
        <v>7</v>
      </c>
      <c r="C3055" s="3" t="s">
        <v>720</v>
      </c>
      <c r="D3055" s="4">
        <f>DATE(2003,11,26)</f>
        <v>37951</v>
      </c>
      <c r="E3055" s="5">
        <f t="shared" si="49"/>
        <v>2003</v>
      </c>
      <c r="F3055" s="3" t="s">
        <v>721</v>
      </c>
      <c r="G3055" s="6">
        <v>1185</v>
      </c>
      <c r="H3055" s="5">
        <v>1813</v>
      </c>
    </row>
    <row r="3056" spans="2:8" ht="17.5" customHeight="1" x14ac:dyDescent="0.4">
      <c r="B3056" s="3" t="s">
        <v>7</v>
      </c>
      <c r="C3056" s="3" t="s">
        <v>720</v>
      </c>
      <c r="D3056" s="4">
        <f>DATE(2004,2,13)</f>
        <v>38030</v>
      </c>
      <c r="E3056" s="5">
        <f t="shared" si="49"/>
        <v>2004</v>
      </c>
      <c r="F3056" s="3" t="s">
        <v>721</v>
      </c>
      <c r="G3056" s="6">
        <v>3079.35</v>
      </c>
      <c r="H3056" s="5">
        <v>2072</v>
      </c>
    </row>
    <row r="3057" spans="2:8" ht="17.5" customHeight="1" x14ac:dyDescent="0.4">
      <c r="B3057" s="3" t="s">
        <v>7</v>
      </c>
      <c r="C3057" s="3" t="s">
        <v>720</v>
      </c>
      <c r="D3057" s="4">
        <f>DATE(2004,4,23)</f>
        <v>38100</v>
      </c>
      <c r="E3057" s="5">
        <f t="shared" si="49"/>
        <v>2004</v>
      </c>
      <c r="F3057" s="3" t="s">
        <v>721</v>
      </c>
      <c r="G3057" s="6">
        <v>3924</v>
      </c>
      <c r="H3057" s="5">
        <v>2725</v>
      </c>
    </row>
    <row r="3058" spans="2:8" ht="17.5" customHeight="1" x14ac:dyDescent="0.4">
      <c r="B3058" s="3" t="s">
        <v>7</v>
      </c>
      <c r="C3058" s="3" t="s">
        <v>720</v>
      </c>
      <c r="D3058" s="4">
        <f>DATE(2004,5,12)</f>
        <v>38119</v>
      </c>
      <c r="E3058" s="5">
        <f t="shared" si="49"/>
        <v>2004</v>
      </c>
      <c r="F3058" s="3" t="s">
        <v>721</v>
      </c>
      <c r="G3058" s="6">
        <v>330</v>
      </c>
      <c r="H3058" s="5">
        <v>2873</v>
      </c>
    </row>
    <row r="3059" spans="2:8" ht="17.5" customHeight="1" x14ac:dyDescent="0.4">
      <c r="B3059" s="3" t="s">
        <v>7</v>
      </c>
      <c r="C3059" s="3" t="s">
        <v>720</v>
      </c>
      <c r="D3059" s="4">
        <f>DATE(2004,5,14)</f>
        <v>38121</v>
      </c>
      <c r="E3059" s="5">
        <f t="shared" si="49"/>
        <v>2004</v>
      </c>
      <c r="F3059" s="3" t="s">
        <v>721</v>
      </c>
      <c r="G3059" s="6">
        <v>57.25</v>
      </c>
      <c r="H3059" s="5">
        <v>2836</v>
      </c>
    </row>
    <row r="3060" spans="2:8" ht="17.5" customHeight="1" x14ac:dyDescent="0.4">
      <c r="B3060" s="3" t="s">
        <v>7</v>
      </c>
      <c r="C3060" s="3" t="s">
        <v>720</v>
      </c>
      <c r="D3060" s="4">
        <f>DATE(2004,7,23)</f>
        <v>38191</v>
      </c>
      <c r="E3060" s="5">
        <f t="shared" si="49"/>
        <v>2004</v>
      </c>
      <c r="F3060" s="3" t="s">
        <v>721</v>
      </c>
      <c r="G3060" s="6">
        <v>3750</v>
      </c>
      <c r="H3060" s="5">
        <v>3140</v>
      </c>
    </row>
    <row r="3061" spans="2:8" ht="17.5" customHeight="1" x14ac:dyDescent="0.4">
      <c r="B3061" s="3" t="s">
        <v>7</v>
      </c>
      <c r="C3061" s="3" t="s">
        <v>720</v>
      </c>
      <c r="D3061" s="4">
        <f>DATE(2005,8,10)</f>
        <v>38574</v>
      </c>
      <c r="E3061" s="5">
        <f t="shared" si="49"/>
        <v>2005</v>
      </c>
      <c r="F3061" s="3" t="s">
        <v>721</v>
      </c>
      <c r="G3061" s="6">
        <v>504.5</v>
      </c>
      <c r="H3061" s="5">
        <v>5079</v>
      </c>
    </row>
    <row r="3062" spans="2:8" ht="17.5" customHeight="1" x14ac:dyDescent="0.4">
      <c r="B3062" s="3" t="s">
        <v>7</v>
      </c>
      <c r="C3062" s="3" t="s">
        <v>720</v>
      </c>
      <c r="D3062" s="4">
        <f>DATE(2006,2,21)</f>
        <v>38769</v>
      </c>
      <c r="E3062" s="5">
        <f t="shared" si="49"/>
        <v>2006</v>
      </c>
      <c r="F3062" s="3" t="s">
        <v>721</v>
      </c>
      <c r="G3062" s="6">
        <v>17090</v>
      </c>
      <c r="H3062" s="5">
        <v>5887</v>
      </c>
    </row>
    <row r="3063" spans="2:8" ht="17.5" customHeight="1" x14ac:dyDescent="0.4">
      <c r="B3063" s="3" t="s">
        <v>7</v>
      </c>
      <c r="C3063" s="3" t="s">
        <v>720</v>
      </c>
      <c r="D3063" s="4">
        <f>DATE(2010,4,8)</f>
        <v>40276</v>
      </c>
      <c r="E3063" s="5">
        <f t="shared" si="49"/>
        <v>2010</v>
      </c>
      <c r="F3063" s="3" t="s">
        <v>721</v>
      </c>
      <c r="G3063" s="6">
        <v>6500</v>
      </c>
      <c r="H3063" s="5">
        <v>13755</v>
      </c>
    </row>
    <row r="3064" spans="2:8" ht="17.5" customHeight="1" x14ac:dyDescent="0.4">
      <c r="B3064" s="3" t="s">
        <v>7</v>
      </c>
      <c r="C3064" s="3" t="s">
        <v>720</v>
      </c>
      <c r="D3064" s="4">
        <f>DATE(2010,4,9)</f>
        <v>40277</v>
      </c>
      <c r="E3064" s="5">
        <f t="shared" si="49"/>
        <v>2010</v>
      </c>
      <c r="F3064" s="3" t="s">
        <v>721</v>
      </c>
      <c r="G3064" s="6">
        <v>2144.69</v>
      </c>
      <c r="H3064" s="5">
        <v>13193</v>
      </c>
    </row>
    <row r="3065" spans="2:8" ht="17.5" customHeight="1" x14ac:dyDescent="0.4">
      <c r="B3065" s="3" t="s">
        <v>7</v>
      </c>
      <c r="C3065" s="3" t="s">
        <v>720</v>
      </c>
      <c r="D3065" s="4">
        <f>DATE(2010,5,3)</f>
        <v>40301</v>
      </c>
      <c r="E3065" s="5">
        <f t="shared" si="49"/>
        <v>2010</v>
      </c>
      <c r="F3065" s="3" t="s">
        <v>721</v>
      </c>
      <c r="G3065" s="6">
        <v>1831.22</v>
      </c>
      <c r="H3065" s="5">
        <v>13913</v>
      </c>
    </row>
    <row r="3066" spans="2:8" ht="17.5" customHeight="1" x14ac:dyDescent="0.4">
      <c r="B3066" s="3" t="s">
        <v>7</v>
      </c>
      <c r="C3066" s="3" t="s">
        <v>720</v>
      </c>
      <c r="D3066" s="4">
        <f>DATE(2011,9,16)</f>
        <v>40802</v>
      </c>
      <c r="E3066" s="5">
        <f t="shared" si="49"/>
        <v>2011</v>
      </c>
      <c r="F3066" s="3" t="s">
        <v>721</v>
      </c>
      <c r="G3066" s="6">
        <v>4181.5</v>
      </c>
      <c r="H3066" s="5">
        <v>15879</v>
      </c>
    </row>
    <row r="3067" spans="2:8" ht="17.5" customHeight="1" x14ac:dyDescent="0.4">
      <c r="B3067" s="3" t="s">
        <v>7</v>
      </c>
      <c r="C3067" s="3" t="s">
        <v>720</v>
      </c>
      <c r="D3067" s="4">
        <f>DATE(2011,9,30)</f>
        <v>40816</v>
      </c>
      <c r="E3067" s="5">
        <f t="shared" si="49"/>
        <v>2011</v>
      </c>
      <c r="F3067" s="3" t="s">
        <v>721</v>
      </c>
      <c r="G3067" s="6">
        <v>1947.66</v>
      </c>
      <c r="H3067" s="5">
        <v>15645</v>
      </c>
    </row>
    <row r="3068" spans="2:8" ht="17.5" customHeight="1" x14ac:dyDescent="0.4">
      <c r="B3068" s="3" t="s">
        <v>7</v>
      </c>
      <c r="C3068" s="3" t="s">
        <v>720</v>
      </c>
      <c r="D3068" s="4">
        <f>DATE(2013,5,23)</f>
        <v>41417</v>
      </c>
      <c r="E3068" s="5">
        <f t="shared" si="49"/>
        <v>2013</v>
      </c>
      <c r="F3068" s="3" t="s">
        <v>721</v>
      </c>
      <c r="G3068" s="6">
        <v>3540</v>
      </c>
      <c r="H3068" s="5">
        <v>18618</v>
      </c>
    </row>
    <row r="3069" spans="2:8" ht="17.5" customHeight="1" x14ac:dyDescent="0.4">
      <c r="B3069" s="3" t="s">
        <v>7</v>
      </c>
      <c r="C3069" s="3" t="s">
        <v>720</v>
      </c>
      <c r="D3069" s="4">
        <f>DATE(2014,11,25)</f>
        <v>41968</v>
      </c>
      <c r="E3069" s="5">
        <f t="shared" si="49"/>
        <v>2014</v>
      </c>
      <c r="F3069" s="3" t="s">
        <v>721</v>
      </c>
      <c r="G3069" s="6">
        <v>18560</v>
      </c>
      <c r="H3069" s="5">
        <v>20358</v>
      </c>
    </row>
    <row r="3070" spans="2:8" ht="17.5" customHeight="1" x14ac:dyDescent="0.4">
      <c r="B3070" t="s">
        <v>7</v>
      </c>
      <c r="C3070" t="s">
        <v>722</v>
      </c>
      <c r="D3070" s="7">
        <f>DATE(2018,5,16)</f>
        <v>43236</v>
      </c>
      <c r="E3070" s="8">
        <f t="shared" si="49"/>
        <v>2018</v>
      </c>
      <c r="F3070" t="s">
        <v>723</v>
      </c>
      <c r="G3070" s="9">
        <v>57037.99</v>
      </c>
      <c r="H3070" s="8">
        <v>26280</v>
      </c>
    </row>
    <row r="3071" spans="2:8" ht="17.5" customHeight="1" x14ac:dyDescent="0.4">
      <c r="B3071" t="s">
        <v>7</v>
      </c>
      <c r="C3071" t="s">
        <v>722</v>
      </c>
      <c r="D3071" s="7">
        <f>DATE(2019,3,31)</f>
        <v>43555</v>
      </c>
      <c r="E3071" s="8">
        <f t="shared" si="49"/>
        <v>2019</v>
      </c>
      <c r="F3071" t="s">
        <v>723</v>
      </c>
      <c r="G3071" s="9">
        <v>59344.800000000003</v>
      </c>
      <c r="H3071" s="8">
        <v>28458</v>
      </c>
    </row>
    <row r="3072" spans="2:8" ht="17.5" customHeight="1" x14ac:dyDescent="0.4">
      <c r="B3072" t="s">
        <v>7</v>
      </c>
      <c r="C3072" t="s">
        <v>722</v>
      </c>
      <c r="D3072" s="7">
        <f>DATE(2017,4,13)</f>
        <v>42838</v>
      </c>
      <c r="E3072" s="8">
        <f t="shared" si="49"/>
        <v>2017</v>
      </c>
      <c r="F3072" t="s">
        <v>723</v>
      </c>
      <c r="G3072" s="9">
        <v>472.5</v>
      </c>
      <c r="H3072" s="8">
        <v>24733</v>
      </c>
    </row>
    <row r="3073" spans="2:8" ht="17.5" customHeight="1" x14ac:dyDescent="0.4">
      <c r="B3073" t="s">
        <v>7</v>
      </c>
      <c r="C3073" t="s">
        <v>722</v>
      </c>
      <c r="D3073" s="7">
        <f>DATE(2015,12,1)</f>
        <v>42339</v>
      </c>
      <c r="E3073" s="8">
        <f t="shared" si="49"/>
        <v>2015</v>
      </c>
      <c r="F3073" t="s">
        <v>723</v>
      </c>
      <c r="G3073" s="9">
        <v>13194.68</v>
      </c>
      <c r="H3073" s="8">
        <v>21665</v>
      </c>
    </row>
    <row r="3074" spans="2:8" ht="17.5" customHeight="1" x14ac:dyDescent="0.4">
      <c r="B3074" t="s">
        <v>7</v>
      </c>
      <c r="C3074" t="s">
        <v>722</v>
      </c>
      <c r="D3074" s="7">
        <f>DATE(2008,6,29)</f>
        <v>39628</v>
      </c>
      <c r="E3074" s="8">
        <f t="shared" si="49"/>
        <v>2008</v>
      </c>
      <c r="F3074" t="s">
        <v>723</v>
      </c>
      <c r="G3074" s="9">
        <v>8597.0499999999993</v>
      </c>
      <c r="H3074" s="8">
        <v>7560</v>
      </c>
    </row>
    <row r="3075" spans="2:8" ht="17.5" customHeight="1" x14ac:dyDescent="0.4">
      <c r="B3075" t="s">
        <v>7</v>
      </c>
      <c r="C3075" t="s">
        <v>722</v>
      </c>
      <c r="D3075" s="7">
        <f>DATE(2012,9,5)</f>
        <v>41157</v>
      </c>
      <c r="E3075" s="8">
        <f t="shared" ref="E3075:E3138" si="50">YEAR(D3075)</f>
        <v>2012</v>
      </c>
      <c r="F3075" t="s">
        <v>723</v>
      </c>
      <c r="G3075" s="9">
        <v>10299.370000000001</v>
      </c>
      <c r="H3075" s="8">
        <v>11831</v>
      </c>
    </row>
    <row r="3076" spans="2:8" ht="17.5" customHeight="1" x14ac:dyDescent="0.4">
      <c r="B3076" t="s">
        <v>7</v>
      </c>
      <c r="C3076" t="s">
        <v>722</v>
      </c>
      <c r="D3076" s="7">
        <f>DATE(2007,12,14)</f>
        <v>39430</v>
      </c>
      <c r="E3076" s="8">
        <f t="shared" si="50"/>
        <v>2007</v>
      </c>
      <c r="F3076" t="s">
        <v>724</v>
      </c>
      <c r="G3076" s="9">
        <v>9316.86</v>
      </c>
      <c r="H3076" s="8">
        <v>6673</v>
      </c>
    </row>
    <row r="3077" spans="2:8" ht="17.5" customHeight="1" x14ac:dyDescent="0.4">
      <c r="B3077" s="3" t="s">
        <v>7</v>
      </c>
      <c r="C3077" s="3" t="s">
        <v>725</v>
      </c>
      <c r="D3077" s="4">
        <f>DATE(2009,1,20)</f>
        <v>39833</v>
      </c>
      <c r="E3077" s="5">
        <f t="shared" si="50"/>
        <v>2009</v>
      </c>
      <c r="F3077" s="3" t="s">
        <v>726</v>
      </c>
      <c r="G3077" s="6">
        <v>533.92999999999995</v>
      </c>
      <c r="H3077" s="5">
        <v>11853</v>
      </c>
    </row>
    <row r="3078" spans="2:8" ht="17.5" customHeight="1" x14ac:dyDescent="0.4">
      <c r="B3078" s="3" t="s">
        <v>7</v>
      </c>
      <c r="C3078" s="3" t="s">
        <v>727</v>
      </c>
      <c r="D3078" s="4">
        <f>DATE(2003,7,31)</f>
        <v>37833</v>
      </c>
      <c r="E3078" s="5">
        <f t="shared" si="50"/>
        <v>2003</v>
      </c>
      <c r="F3078" s="3" t="s">
        <v>728</v>
      </c>
      <c r="G3078" s="6">
        <v>503.15</v>
      </c>
      <c r="H3078" s="5">
        <v>268</v>
      </c>
    </row>
    <row r="3079" spans="2:8" ht="17.5" customHeight="1" x14ac:dyDescent="0.4">
      <c r="B3079" s="3" t="s">
        <v>7</v>
      </c>
      <c r="C3079" s="3" t="s">
        <v>727</v>
      </c>
      <c r="D3079" s="4">
        <f>DATE(2004,3,29)</f>
        <v>38075</v>
      </c>
      <c r="E3079" s="5">
        <f t="shared" si="50"/>
        <v>2004</v>
      </c>
      <c r="F3079" s="3" t="s">
        <v>728</v>
      </c>
      <c r="G3079" s="6">
        <v>152.12</v>
      </c>
      <c r="H3079" s="5">
        <v>588</v>
      </c>
    </row>
    <row r="3080" spans="2:8" ht="17.5" customHeight="1" x14ac:dyDescent="0.4">
      <c r="B3080" s="3" t="s">
        <v>7</v>
      </c>
      <c r="C3080" s="3" t="s">
        <v>727</v>
      </c>
      <c r="D3080" s="4">
        <f>DATE(2004,9,24)</f>
        <v>38254</v>
      </c>
      <c r="E3080" s="5">
        <f t="shared" si="50"/>
        <v>2004</v>
      </c>
      <c r="F3080" s="3" t="s">
        <v>728</v>
      </c>
      <c r="G3080" s="6">
        <v>869.25</v>
      </c>
      <c r="H3080" s="5">
        <v>892</v>
      </c>
    </row>
    <row r="3081" spans="2:8" ht="17.5" customHeight="1" x14ac:dyDescent="0.4">
      <c r="B3081" s="3" t="s">
        <v>7</v>
      </c>
      <c r="C3081" s="3" t="s">
        <v>727</v>
      </c>
      <c r="D3081" s="4">
        <f>DATE(2005,1,13)</f>
        <v>38365</v>
      </c>
      <c r="E3081" s="5">
        <f t="shared" si="50"/>
        <v>2005</v>
      </c>
      <c r="F3081" s="3" t="s">
        <v>728</v>
      </c>
      <c r="G3081" s="6">
        <v>257.52999999999997</v>
      </c>
      <c r="H3081" s="5">
        <v>919</v>
      </c>
    </row>
    <row r="3082" spans="2:8" ht="17.5" customHeight="1" x14ac:dyDescent="0.4">
      <c r="B3082" s="3" t="s">
        <v>7</v>
      </c>
      <c r="C3082" s="3" t="s">
        <v>727</v>
      </c>
      <c r="D3082" s="4">
        <f>DATE(2003,3,21)</f>
        <v>37701</v>
      </c>
      <c r="E3082" s="5">
        <f t="shared" si="50"/>
        <v>2003</v>
      </c>
      <c r="F3082" s="3" t="s">
        <v>728</v>
      </c>
      <c r="G3082" s="6">
        <v>89481.18</v>
      </c>
      <c r="H3082" s="5">
        <v>52</v>
      </c>
    </row>
    <row r="3083" spans="2:8" ht="17.5" customHeight="1" x14ac:dyDescent="0.4">
      <c r="B3083" s="3" t="s">
        <v>7</v>
      </c>
      <c r="C3083" s="3" t="s">
        <v>727</v>
      </c>
      <c r="D3083" s="4">
        <f>DATE(2003,3,21)</f>
        <v>37701</v>
      </c>
      <c r="E3083" s="5">
        <f t="shared" si="50"/>
        <v>2003</v>
      </c>
      <c r="F3083" s="3" t="s">
        <v>728</v>
      </c>
      <c r="G3083" s="6">
        <v>44892.63</v>
      </c>
      <c r="H3083" s="5">
        <v>91</v>
      </c>
    </row>
    <row r="3084" spans="2:8" ht="17.5" customHeight="1" x14ac:dyDescent="0.4">
      <c r="B3084" s="3" t="s">
        <v>7</v>
      </c>
      <c r="C3084" s="3" t="s">
        <v>727</v>
      </c>
      <c r="D3084" s="4">
        <f>DATE(2003,3,21)</f>
        <v>37701</v>
      </c>
      <c r="E3084" s="5">
        <f t="shared" si="50"/>
        <v>2003</v>
      </c>
      <c r="F3084" s="3" t="s">
        <v>728</v>
      </c>
      <c r="G3084" s="6">
        <v>44588.57</v>
      </c>
      <c r="H3084" s="5">
        <v>92</v>
      </c>
    </row>
    <row r="3085" spans="2:8" ht="17.5" customHeight="1" x14ac:dyDescent="0.4">
      <c r="B3085" s="3" t="s">
        <v>7</v>
      </c>
      <c r="C3085" s="3" t="s">
        <v>727</v>
      </c>
      <c r="D3085" s="4">
        <f>DATE(2003,8,7)</f>
        <v>37840</v>
      </c>
      <c r="E3085" s="5">
        <f t="shared" si="50"/>
        <v>2003</v>
      </c>
      <c r="F3085" s="3" t="s">
        <v>728</v>
      </c>
      <c r="G3085" s="6">
        <v>8760.08</v>
      </c>
      <c r="H3085" s="5">
        <v>250</v>
      </c>
    </row>
    <row r="3086" spans="2:8" ht="17.5" customHeight="1" x14ac:dyDescent="0.4">
      <c r="B3086" s="3" t="s">
        <v>7</v>
      </c>
      <c r="C3086" s="3" t="s">
        <v>727</v>
      </c>
      <c r="D3086" s="4">
        <f>DATE(2004,4,23)</f>
        <v>38100</v>
      </c>
      <c r="E3086" s="5">
        <f t="shared" si="50"/>
        <v>2004</v>
      </c>
      <c r="F3086" s="3" t="s">
        <v>728</v>
      </c>
      <c r="G3086" s="6">
        <v>13455</v>
      </c>
      <c r="H3086" s="5">
        <v>627</v>
      </c>
    </row>
    <row r="3087" spans="2:8" ht="17.5" customHeight="1" x14ac:dyDescent="0.4">
      <c r="B3087" s="3" t="s">
        <v>7</v>
      </c>
      <c r="C3087" s="3" t="s">
        <v>727</v>
      </c>
      <c r="D3087" s="4">
        <f>DATE(2004,7,7)</f>
        <v>38175</v>
      </c>
      <c r="E3087" s="5">
        <f t="shared" si="50"/>
        <v>2004</v>
      </c>
      <c r="F3087" s="3" t="s">
        <v>728</v>
      </c>
      <c r="G3087" s="6">
        <v>16116</v>
      </c>
      <c r="H3087" s="5">
        <v>702</v>
      </c>
    </row>
    <row r="3088" spans="2:8" ht="17.5" customHeight="1" x14ac:dyDescent="0.4">
      <c r="B3088" s="3" t="s">
        <v>7</v>
      </c>
      <c r="C3088" s="3" t="s">
        <v>727</v>
      </c>
      <c r="D3088" s="4">
        <f>DATE(2004,7,9)</f>
        <v>38177</v>
      </c>
      <c r="E3088" s="5">
        <f t="shared" si="50"/>
        <v>2004</v>
      </c>
      <c r="F3088" s="3" t="s">
        <v>728</v>
      </c>
      <c r="G3088" s="6">
        <v>8888.5</v>
      </c>
      <c r="H3088" s="5">
        <v>706</v>
      </c>
    </row>
    <row r="3089" spans="2:8" ht="17.5" customHeight="1" x14ac:dyDescent="0.4">
      <c r="B3089" s="3" t="s">
        <v>7</v>
      </c>
      <c r="C3089" s="3" t="s">
        <v>727</v>
      </c>
      <c r="D3089" s="4">
        <f>DATE(2004,9,9)</f>
        <v>38239</v>
      </c>
      <c r="E3089" s="5">
        <f t="shared" si="50"/>
        <v>2004</v>
      </c>
      <c r="F3089" s="3" t="s">
        <v>728</v>
      </c>
      <c r="G3089" s="6">
        <v>15311.75</v>
      </c>
      <c r="H3089" s="5">
        <v>757</v>
      </c>
    </row>
    <row r="3090" spans="2:8" ht="17.5" customHeight="1" x14ac:dyDescent="0.4">
      <c r="B3090" s="3" t="s">
        <v>7</v>
      </c>
      <c r="C3090" s="3" t="s">
        <v>727</v>
      </c>
      <c r="D3090" s="4">
        <f>DATE(2004,9,14)</f>
        <v>38244</v>
      </c>
      <c r="E3090" s="5">
        <f t="shared" si="50"/>
        <v>2004</v>
      </c>
      <c r="F3090" s="3" t="s">
        <v>728</v>
      </c>
      <c r="G3090" s="6">
        <v>10458</v>
      </c>
      <c r="H3090" s="5">
        <v>777</v>
      </c>
    </row>
    <row r="3091" spans="2:8" ht="17.5" customHeight="1" x14ac:dyDescent="0.4">
      <c r="B3091" s="3" t="s">
        <v>7</v>
      </c>
      <c r="C3091" s="3" t="s">
        <v>727</v>
      </c>
      <c r="D3091" s="4">
        <f>DATE(2004,9,20)</f>
        <v>38250</v>
      </c>
      <c r="E3091" s="5">
        <f t="shared" si="50"/>
        <v>2004</v>
      </c>
      <c r="F3091" s="3" t="s">
        <v>728</v>
      </c>
      <c r="G3091" s="6">
        <v>13347.5</v>
      </c>
      <c r="H3091" s="5">
        <v>803</v>
      </c>
    </row>
    <row r="3092" spans="2:8" ht="17.5" customHeight="1" x14ac:dyDescent="0.4">
      <c r="B3092" s="3" t="s">
        <v>7</v>
      </c>
      <c r="C3092" s="3" t="s">
        <v>727</v>
      </c>
      <c r="D3092" s="4">
        <f>DATE(2004,9,22)</f>
        <v>38252</v>
      </c>
      <c r="E3092" s="5">
        <f t="shared" si="50"/>
        <v>2004</v>
      </c>
      <c r="F3092" s="3" t="s">
        <v>728</v>
      </c>
      <c r="G3092" s="6">
        <v>6625.4</v>
      </c>
      <c r="H3092" s="5">
        <v>804</v>
      </c>
    </row>
    <row r="3093" spans="2:8" ht="17.5" customHeight="1" x14ac:dyDescent="0.4">
      <c r="B3093" s="3" t="s">
        <v>7</v>
      </c>
      <c r="C3093" s="3" t="s">
        <v>727</v>
      </c>
      <c r="D3093" s="4">
        <f>DATE(2004,9,30)</f>
        <v>38260</v>
      </c>
      <c r="E3093" s="5">
        <f t="shared" si="50"/>
        <v>2004</v>
      </c>
      <c r="F3093" s="3" t="s">
        <v>728</v>
      </c>
      <c r="G3093" s="6">
        <v>14598</v>
      </c>
      <c r="H3093" s="5">
        <v>805</v>
      </c>
    </row>
    <row r="3094" spans="2:8" ht="17.5" customHeight="1" x14ac:dyDescent="0.4">
      <c r="B3094" s="3" t="s">
        <v>7</v>
      </c>
      <c r="C3094" s="3" t="s">
        <v>727</v>
      </c>
      <c r="D3094" s="4">
        <f>DATE(2005,3,15)</f>
        <v>38426</v>
      </c>
      <c r="E3094" s="5">
        <f t="shared" si="50"/>
        <v>2005</v>
      </c>
      <c r="F3094" s="3" t="s">
        <v>728</v>
      </c>
      <c r="G3094" s="6">
        <v>14621.7</v>
      </c>
      <c r="H3094" s="5">
        <v>972</v>
      </c>
    </row>
    <row r="3095" spans="2:8" ht="17.5" customHeight="1" x14ac:dyDescent="0.4">
      <c r="B3095" s="3" t="s">
        <v>7</v>
      </c>
      <c r="C3095" s="3" t="s">
        <v>727</v>
      </c>
      <c r="D3095" s="4">
        <f>DATE(2007,5,7)</f>
        <v>39209</v>
      </c>
      <c r="E3095" s="5">
        <f t="shared" si="50"/>
        <v>2007</v>
      </c>
      <c r="F3095" s="3" t="s">
        <v>728</v>
      </c>
      <c r="G3095" s="6">
        <v>143527.29999999999</v>
      </c>
      <c r="H3095" s="5">
        <v>2199</v>
      </c>
    </row>
    <row r="3096" spans="2:8" ht="17.5" customHeight="1" x14ac:dyDescent="0.4">
      <c r="B3096" s="3" t="s">
        <v>16</v>
      </c>
      <c r="C3096" s="3" t="s">
        <v>727</v>
      </c>
      <c r="D3096" s="4">
        <f>DATE(2003,3,21)</f>
        <v>37701</v>
      </c>
      <c r="E3096" s="5">
        <f t="shared" si="50"/>
        <v>2003</v>
      </c>
      <c r="F3096" s="3" t="s">
        <v>728</v>
      </c>
      <c r="G3096" s="6">
        <v>89481.18</v>
      </c>
      <c r="H3096" s="5">
        <v>93</v>
      </c>
    </row>
    <row r="3097" spans="2:8" ht="17.5" customHeight="1" x14ac:dyDescent="0.4">
      <c r="B3097" t="s">
        <v>7</v>
      </c>
      <c r="C3097" t="s">
        <v>729</v>
      </c>
      <c r="D3097" s="7">
        <f>DATE(2015,6,16)</f>
        <v>42171</v>
      </c>
      <c r="E3097" s="8">
        <f t="shared" si="50"/>
        <v>2015</v>
      </c>
      <c r="F3097" t="s">
        <v>730</v>
      </c>
      <c r="G3097" s="9">
        <v>200</v>
      </c>
      <c r="H3097" s="8">
        <v>20801</v>
      </c>
    </row>
    <row r="3098" spans="2:8" ht="17.5" customHeight="1" x14ac:dyDescent="0.4">
      <c r="B3098" t="s">
        <v>7</v>
      </c>
      <c r="C3098" t="s">
        <v>729</v>
      </c>
      <c r="D3098" s="7">
        <f>DATE(2016,3,30)</f>
        <v>42459</v>
      </c>
      <c r="E3098" s="8">
        <f t="shared" si="50"/>
        <v>2016</v>
      </c>
      <c r="F3098" t="s">
        <v>730</v>
      </c>
      <c r="G3098" s="9">
        <v>1500</v>
      </c>
      <c r="H3098" s="8">
        <v>22463</v>
      </c>
    </row>
    <row r="3099" spans="2:8" ht="17.5" customHeight="1" x14ac:dyDescent="0.4">
      <c r="B3099" t="s">
        <v>7</v>
      </c>
      <c r="C3099" t="s">
        <v>729</v>
      </c>
      <c r="D3099" s="7">
        <f>DATE(2018,6,1)</f>
        <v>43252</v>
      </c>
      <c r="E3099" s="8">
        <f t="shared" si="50"/>
        <v>2018</v>
      </c>
      <c r="F3099" t="s">
        <v>730</v>
      </c>
      <c r="G3099" s="9">
        <v>3290</v>
      </c>
      <c r="H3099" s="8">
        <v>27153</v>
      </c>
    </row>
    <row r="3100" spans="2:8" ht="17.5" customHeight="1" x14ac:dyDescent="0.4">
      <c r="B3100" t="s">
        <v>7</v>
      </c>
      <c r="C3100" t="s">
        <v>729</v>
      </c>
      <c r="D3100" s="7">
        <f>DATE(2018,10,16)</f>
        <v>43389</v>
      </c>
      <c r="E3100" s="8">
        <f t="shared" si="50"/>
        <v>2018</v>
      </c>
      <c r="F3100" t="s">
        <v>730</v>
      </c>
      <c r="G3100" s="9">
        <v>1974</v>
      </c>
      <c r="H3100" s="8">
        <v>27815</v>
      </c>
    </row>
    <row r="3101" spans="2:8" ht="17.5" customHeight="1" x14ac:dyDescent="0.4">
      <c r="B3101" t="s">
        <v>7</v>
      </c>
      <c r="C3101" t="s">
        <v>729</v>
      </c>
      <c r="D3101" s="7">
        <f>DATE(2019,2,18)</f>
        <v>43514</v>
      </c>
      <c r="E3101" s="8">
        <f t="shared" si="50"/>
        <v>2019</v>
      </c>
      <c r="F3101" t="s">
        <v>730</v>
      </c>
      <c r="G3101" s="9">
        <v>3290</v>
      </c>
      <c r="H3101" s="8">
        <v>28405</v>
      </c>
    </row>
    <row r="3102" spans="2:8" ht="17.5" customHeight="1" x14ac:dyDescent="0.4">
      <c r="B3102" t="s">
        <v>7</v>
      </c>
      <c r="C3102" t="s">
        <v>729</v>
      </c>
      <c r="D3102" s="7">
        <f>DATE(2004,6,6)</f>
        <v>38144</v>
      </c>
      <c r="E3102" s="8">
        <f t="shared" si="50"/>
        <v>2004</v>
      </c>
      <c r="F3102" t="s">
        <v>730</v>
      </c>
      <c r="G3102" s="9">
        <v>9777.33</v>
      </c>
      <c r="H3102" s="8">
        <v>1838</v>
      </c>
    </row>
    <row r="3103" spans="2:8" ht="17.5" customHeight="1" x14ac:dyDescent="0.4">
      <c r="B3103" t="s">
        <v>7</v>
      </c>
      <c r="C3103" t="s">
        <v>729</v>
      </c>
      <c r="D3103" s="7">
        <f>DATE(2004,9,10)</f>
        <v>38240</v>
      </c>
      <c r="E3103" s="8">
        <f t="shared" si="50"/>
        <v>2004</v>
      </c>
      <c r="F3103" t="s">
        <v>730</v>
      </c>
      <c r="G3103" s="9">
        <v>5254.35</v>
      </c>
      <c r="H3103" s="8">
        <v>2171</v>
      </c>
    </row>
    <row r="3104" spans="2:8" ht="17.5" customHeight="1" x14ac:dyDescent="0.4">
      <c r="B3104" t="s">
        <v>7</v>
      </c>
      <c r="C3104" t="s">
        <v>729</v>
      </c>
      <c r="D3104" s="7">
        <f>DATE(2004,10,8)</f>
        <v>38268</v>
      </c>
      <c r="E3104" s="8">
        <f t="shared" si="50"/>
        <v>2004</v>
      </c>
      <c r="F3104" t="s">
        <v>730</v>
      </c>
      <c r="G3104" s="9">
        <v>22975.3</v>
      </c>
      <c r="H3104" s="8">
        <v>2169</v>
      </c>
    </row>
    <row r="3105" spans="2:8" ht="17.5" customHeight="1" x14ac:dyDescent="0.4">
      <c r="B3105" t="s">
        <v>7</v>
      </c>
      <c r="C3105" t="s">
        <v>729</v>
      </c>
      <c r="D3105" s="7">
        <f>DATE(2005,9,21)</f>
        <v>38616</v>
      </c>
      <c r="E3105" s="8">
        <f t="shared" si="50"/>
        <v>2005</v>
      </c>
      <c r="F3105" t="s">
        <v>730</v>
      </c>
      <c r="G3105" s="9">
        <v>106592</v>
      </c>
      <c r="H3105" s="8">
        <v>3233</v>
      </c>
    </row>
    <row r="3106" spans="2:8" ht="17.5" customHeight="1" x14ac:dyDescent="0.4">
      <c r="B3106" t="s">
        <v>7</v>
      </c>
      <c r="C3106" t="s">
        <v>729</v>
      </c>
      <c r="D3106" s="7">
        <f>DATE(2007,3,9)</f>
        <v>39150</v>
      </c>
      <c r="E3106" s="8">
        <f t="shared" si="50"/>
        <v>2007</v>
      </c>
      <c r="F3106" t="s">
        <v>730</v>
      </c>
      <c r="G3106" s="9">
        <v>7258.03</v>
      </c>
      <c r="H3106" s="8">
        <v>5669</v>
      </c>
    </row>
    <row r="3107" spans="2:8" ht="17.5" customHeight="1" x14ac:dyDescent="0.4">
      <c r="B3107" t="s">
        <v>7</v>
      </c>
      <c r="C3107" t="s">
        <v>729</v>
      </c>
      <c r="D3107" s="7">
        <f>DATE(2011,6,23)</f>
        <v>40717</v>
      </c>
      <c r="E3107" s="8">
        <f t="shared" si="50"/>
        <v>2011</v>
      </c>
      <c r="F3107" t="s">
        <v>730</v>
      </c>
      <c r="G3107" s="9">
        <v>11593.22</v>
      </c>
      <c r="H3107" s="8">
        <v>10830</v>
      </c>
    </row>
    <row r="3108" spans="2:8" ht="17.5" customHeight="1" x14ac:dyDescent="0.4">
      <c r="B3108" s="3" t="s">
        <v>7</v>
      </c>
      <c r="C3108" s="3" t="s">
        <v>729</v>
      </c>
      <c r="D3108" s="4">
        <f>DATE(2003,8,11)</f>
        <v>37844</v>
      </c>
      <c r="E3108" s="5">
        <f t="shared" si="50"/>
        <v>2003</v>
      </c>
      <c r="F3108" s="3" t="s">
        <v>730</v>
      </c>
      <c r="G3108" s="6">
        <v>500</v>
      </c>
      <c r="H3108" s="5">
        <v>1341</v>
      </c>
    </row>
    <row r="3109" spans="2:8" ht="17.5" customHeight="1" x14ac:dyDescent="0.4">
      <c r="B3109" s="3" t="s">
        <v>7</v>
      </c>
      <c r="C3109" s="3" t="s">
        <v>729</v>
      </c>
      <c r="D3109" s="4">
        <f>DATE(2003,9,9)</f>
        <v>37873</v>
      </c>
      <c r="E3109" s="5">
        <f t="shared" si="50"/>
        <v>2003</v>
      </c>
      <c r="F3109" s="3" t="s">
        <v>730</v>
      </c>
      <c r="G3109" s="6">
        <v>150</v>
      </c>
      <c r="H3109" s="5">
        <v>1481</v>
      </c>
    </row>
    <row r="3110" spans="2:8" ht="17.5" customHeight="1" x14ac:dyDescent="0.4">
      <c r="B3110" s="3" t="s">
        <v>7</v>
      </c>
      <c r="C3110" s="3" t="s">
        <v>729</v>
      </c>
      <c r="D3110" s="4">
        <f>DATE(2004,9,1)</f>
        <v>38231</v>
      </c>
      <c r="E3110" s="5">
        <f t="shared" si="50"/>
        <v>2004</v>
      </c>
      <c r="F3110" s="3" t="s">
        <v>730</v>
      </c>
      <c r="G3110" s="6">
        <v>10800</v>
      </c>
      <c r="H3110" s="5">
        <v>3329</v>
      </c>
    </row>
    <row r="3111" spans="2:8" ht="17.5" customHeight="1" x14ac:dyDescent="0.4">
      <c r="B3111" s="3" t="s">
        <v>7</v>
      </c>
      <c r="C3111" s="3" t="s">
        <v>729</v>
      </c>
      <c r="D3111" s="4">
        <f>DATE(2004,10,6)</f>
        <v>38266</v>
      </c>
      <c r="E3111" s="5">
        <f t="shared" si="50"/>
        <v>2004</v>
      </c>
      <c r="F3111" s="3" t="s">
        <v>730</v>
      </c>
      <c r="G3111" s="6">
        <v>625</v>
      </c>
      <c r="H3111" s="5">
        <v>3532</v>
      </c>
    </row>
    <row r="3112" spans="2:8" ht="17.5" customHeight="1" x14ac:dyDescent="0.4">
      <c r="B3112" s="3" t="s">
        <v>7</v>
      </c>
      <c r="C3112" s="3" t="s">
        <v>729</v>
      </c>
      <c r="D3112" s="4">
        <f>DATE(2004,10,13)</f>
        <v>38273</v>
      </c>
      <c r="E3112" s="5">
        <f t="shared" si="50"/>
        <v>2004</v>
      </c>
      <c r="F3112" s="3" t="s">
        <v>730</v>
      </c>
      <c r="G3112" s="6">
        <v>50</v>
      </c>
      <c r="H3112" s="5">
        <v>3567</v>
      </c>
    </row>
    <row r="3113" spans="2:8" ht="17.5" customHeight="1" x14ac:dyDescent="0.4">
      <c r="B3113" s="3" t="s">
        <v>7</v>
      </c>
      <c r="C3113" s="3" t="s">
        <v>729</v>
      </c>
      <c r="D3113" s="4">
        <f>DATE(2004,12,6)</f>
        <v>38327</v>
      </c>
      <c r="E3113" s="5">
        <f t="shared" si="50"/>
        <v>2004</v>
      </c>
      <c r="F3113" s="3" t="s">
        <v>730</v>
      </c>
      <c r="G3113" s="6">
        <v>1508</v>
      </c>
      <c r="H3113" s="5">
        <v>3786</v>
      </c>
    </row>
    <row r="3114" spans="2:8" ht="17.5" customHeight="1" x14ac:dyDescent="0.4">
      <c r="B3114" s="3" t="s">
        <v>7</v>
      </c>
      <c r="C3114" s="3" t="s">
        <v>729</v>
      </c>
      <c r="D3114" s="4">
        <f>DATE(2005,1,13)</f>
        <v>38365</v>
      </c>
      <c r="E3114" s="5">
        <f t="shared" si="50"/>
        <v>2005</v>
      </c>
      <c r="F3114" s="3" t="s">
        <v>730</v>
      </c>
      <c r="G3114" s="6">
        <v>875</v>
      </c>
      <c r="H3114" s="5">
        <v>3949</v>
      </c>
    </row>
    <row r="3115" spans="2:8" ht="17.5" customHeight="1" x14ac:dyDescent="0.4">
      <c r="B3115" s="3" t="s">
        <v>7</v>
      </c>
      <c r="C3115" s="3" t="s">
        <v>729</v>
      </c>
      <c r="D3115" s="4">
        <f>DATE(2005,6,23)</f>
        <v>38526</v>
      </c>
      <c r="E3115" s="5">
        <f t="shared" si="50"/>
        <v>2005</v>
      </c>
      <c r="F3115" s="3" t="s">
        <v>730</v>
      </c>
      <c r="G3115" s="6">
        <v>254</v>
      </c>
      <c r="H3115" s="5">
        <v>4921</v>
      </c>
    </row>
    <row r="3116" spans="2:8" ht="17.5" customHeight="1" x14ac:dyDescent="0.4">
      <c r="B3116" s="3" t="s">
        <v>7</v>
      </c>
      <c r="C3116" s="3" t="s">
        <v>729</v>
      </c>
      <c r="D3116" s="4">
        <f>DATE(2005,7,14)</f>
        <v>38547</v>
      </c>
      <c r="E3116" s="5">
        <f t="shared" si="50"/>
        <v>2005</v>
      </c>
      <c r="F3116" s="3" t="s">
        <v>730</v>
      </c>
      <c r="G3116" s="6">
        <v>15303.12</v>
      </c>
      <c r="H3116" s="5">
        <v>4984</v>
      </c>
    </row>
    <row r="3117" spans="2:8" ht="17.5" customHeight="1" x14ac:dyDescent="0.4">
      <c r="B3117" s="3" t="s">
        <v>7</v>
      </c>
      <c r="C3117" s="3" t="s">
        <v>729</v>
      </c>
      <c r="D3117" s="4">
        <f>DATE(2006,1,31)</f>
        <v>38748</v>
      </c>
      <c r="E3117" s="5">
        <f t="shared" si="50"/>
        <v>2006</v>
      </c>
      <c r="F3117" s="3" t="s">
        <v>730</v>
      </c>
      <c r="G3117" s="6">
        <v>57151.69</v>
      </c>
      <c r="H3117" s="5">
        <v>5551</v>
      </c>
    </row>
    <row r="3118" spans="2:8" ht="17.5" customHeight="1" x14ac:dyDescent="0.4">
      <c r="B3118" s="3" t="s">
        <v>7</v>
      </c>
      <c r="C3118" s="3" t="s">
        <v>729</v>
      </c>
      <c r="D3118" s="4">
        <f>DATE(2006,3,3)</f>
        <v>38779</v>
      </c>
      <c r="E3118" s="5">
        <f t="shared" si="50"/>
        <v>2006</v>
      </c>
      <c r="F3118" s="3" t="s">
        <v>730</v>
      </c>
      <c r="G3118" s="6">
        <v>441</v>
      </c>
      <c r="H3118" s="5">
        <v>6208</v>
      </c>
    </row>
    <row r="3119" spans="2:8" ht="17.5" customHeight="1" x14ac:dyDescent="0.4">
      <c r="B3119" s="3" t="s">
        <v>7</v>
      </c>
      <c r="C3119" s="3" t="s">
        <v>729</v>
      </c>
      <c r="D3119" s="4">
        <f>DATE(2006,9,26)</f>
        <v>38986</v>
      </c>
      <c r="E3119" s="5">
        <f t="shared" si="50"/>
        <v>2006</v>
      </c>
      <c r="F3119" s="3" t="s">
        <v>730</v>
      </c>
      <c r="G3119" s="6">
        <v>94.5</v>
      </c>
      <c r="H3119" s="5">
        <v>7297</v>
      </c>
    </row>
    <row r="3120" spans="2:8" ht="17.5" customHeight="1" x14ac:dyDescent="0.4">
      <c r="B3120" s="3" t="s">
        <v>7</v>
      </c>
      <c r="C3120" s="3" t="s">
        <v>729</v>
      </c>
      <c r="D3120" s="4">
        <f>DATE(2006,12,20)</f>
        <v>39071</v>
      </c>
      <c r="E3120" s="5">
        <f t="shared" si="50"/>
        <v>2006</v>
      </c>
      <c r="F3120" s="3" t="s">
        <v>730</v>
      </c>
      <c r="G3120" s="6">
        <v>8820</v>
      </c>
      <c r="H3120" s="5">
        <v>7396</v>
      </c>
    </row>
    <row r="3121" spans="2:8" ht="17.5" customHeight="1" x14ac:dyDescent="0.4">
      <c r="B3121" s="3" t="s">
        <v>7</v>
      </c>
      <c r="C3121" s="3" t="s">
        <v>729</v>
      </c>
      <c r="D3121" s="4">
        <f>DATE(2007,1,4)</f>
        <v>39086</v>
      </c>
      <c r="E3121" s="5">
        <f t="shared" si="50"/>
        <v>2007</v>
      </c>
      <c r="F3121" s="3" t="s">
        <v>730</v>
      </c>
      <c r="G3121" s="6">
        <v>264.60000000000002</v>
      </c>
      <c r="H3121" s="5">
        <v>7703</v>
      </c>
    </row>
    <row r="3122" spans="2:8" ht="17.5" customHeight="1" x14ac:dyDescent="0.4">
      <c r="B3122" s="3" t="s">
        <v>7</v>
      </c>
      <c r="C3122" s="3" t="s">
        <v>729</v>
      </c>
      <c r="D3122" s="4">
        <f>DATE(2007,7,26)</f>
        <v>39289</v>
      </c>
      <c r="E3122" s="5">
        <f t="shared" si="50"/>
        <v>2007</v>
      </c>
      <c r="F3122" s="3" t="s">
        <v>730</v>
      </c>
      <c r="G3122" s="6">
        <v>600</v>
      </c>
      <c r="H3122" s="5">
        <v>8927</v>
      </c>
    </row>
    <row r="3123" spans="2:8" ht="17.5" customHeight="1" x14ac:dyDescent="0.4">
      <c r="B3123" s="3" t="s">
        <v>7</v>
      </c>
      <c r="C3123" s="3" t="s">
        <v>729</v>
      </c>
      <c r="D3123" s="4">
        <f>DATE(2007,7,26)</f>
        <v>39289</v>
      </c>
      <c r="E3123" s="5">
        <f t="shared" si="50"/>
        <v>2007</v>
      </c>
      <c r="F3123" s="3" t="s">
        <v>730</v>
      </c>
      <c r="G3123" s="6">
        <v>600</v>
      </c>
      <c r="H3123" s="5">
        <v>8930</v>
      </c>
    </row>
    <row r="3124" spans="2:8" ht="17.5" customHeight="1" x14ac:dyDescent="0.4">
      <c r="B3124" s="3" t="s">
        <v>7</v>
      </c>
      <c r="C3124" s="3" t="s">
        <v>729</v>
      </c>
      <c r="D3124" s="4">
        <f>DATE(2007,11,14)</f>
        <v>39400</v>
      </c>
      <c r="E3124" s="5">
        <f t="shared" si="50"/>
        <v>2007</v>
      </c>
      <c r="F3124" s="3" t="s">
        <v>730</v>
      </c>
      <c r="G3124" s="6">
        <v>21500</v>
      </c>
      <c r="H3124" s="5">
        <v>9462</v>
      </c>
    </row>
    <row r="3125" spans="2:8" ht="17.5" customHeight="1" x14ac:dyDescent="0.4">
      <c r="B3125" s="3" t="s">
        <v>7</v>
      </c>
      <c r="C3125" s="3" t="s">
        <v>729</v>
      </c>
      <c r="D3125" s="4">
        <f>DATE(2008,1,29)</f>
        <v>39476</v>
      </c>
      <c r="E3125" s="5">
        <f t="shared" si="50"/>
        <v>2008</v>
      </c>
      <c r="F3125" s="3" t="s">
        <v>730</v>
      </c>
      <c r="G3125" s="6">
        <v>1764</v>
      </c>
      <c r="H3125" s="5">
        <v>9834</v>
      </c>
    </row>
    <row r="3126" spans="2:8" ht="17.5" customHeight="1" x14ac:dyDescent="0.4">
      <c r="B3126" s="3" t="s">
        <v>7</v>
      </c>
      <c r="C3126" s="3" t="s">
        <v>729</v>
      </c>
      <c r="D3126" s="4">
        <f>DATE(2008,6,27)</f>
        <v>39626</v>
      </c>
      <c r="E3126" s="5">
        <f t="shared" si="50"/>
        <v>2008</v>
      </c>
      <c r="F3126" s="3" t="s">
        <v>730</v>
      </c>
      <c r="G3126" s="6">
        <v>191.52</v>
      </c>
      <c r="H3126" s="5">
        <v>10892</v>
      </c>
    </row>
    <row r="3127" spans="2:8" ht="17.5" customHeight="1" x14ac:dyDescent="0.4">
      <c r="B3127" s="3" t="s">
        <v>7</v>
      </c>
      <c r="C3127" s="3" t="s">
        <v>729</v>
      </c>
      <c r="D3127" s="4">
        <f>DATE(2008,7,17)</f>
        <v>39646</v>
      </c>
      <c r="E3127" s="5">
        <f t="shared" si="50"/>
        <v>2008</v>
      </c>
      <c r="F3127" s="3" t="s">
        <v>730</v>
      </c>
      <c r="G3127" s="6">
        <v>758.76</v>
      </c>
      <c r="H3127" s="5">
        <v>10961</v>
      </c>
    </row>
    <row r="3128" spans="2:8" ht="17.5" customHeight="1" x14ac:dyDescent="0.4">
      <c r="B3128" s="3" t="s">
        <v>7</v>
      </c>
      <c r="C3128" s="3" t="s">
        <v>729</v>
      </c>
      <c r="D3128" s="4">
        <f>DATE(2008,10,2)</f>
        <v>39723</v>
      </c>
      <c r="E3128" s="5">
        <f t="shared" si="50"/>
        <v>2008</v>
      </c>
      <c r="F3128" s="3" t="s">
        <v>730</v>
      </c>
      <c r="G3128" s="6">
        <v>579.04</v>
      </c>
      <c r="H3128" s="5">
        <v>11350</v>
      </c>
    </row>
    <row r="3129" spans="2:8" ht="17.5" customHeight="1" x14ac:dyDescent="0.4">
      <c r="B3129" s="3" t="s">
        <v>7</v>
      </c>
      <c r="C3129" s="3" t="s">
        <v>729</v>
      </c>
      <c r="D3129" s="4">
        <f>DATE(2008,12,18)</f>
        <v>39800</v>
      </c>
      <c r="E3129" s="5">
        <f t="shared" si="50"/>
        <v>2008</v>
      </c>
      <c r="F3129" s="3" t="s">
        <v>730</v>
      </c>
      <c r="G3129" s="6">
        <v>5292</v>
      </c>
      <c r="H3129" s="5">
        <v>11702</v>
      </c>
    </row>
    <row r="3130" spans="2:8" ht="17.5" customHeight="1" x14ac:dyDescent="0.4">
      <c r="B3130" s="3" t="s">
        <v>7</v>
      </c>
      <c r="C3130" s="3" t="s">
        <v>729</v>
      </c>
      <c r="D3130" s="4">
        <f>DATE(2009,6,4)</f>
        <v>39968</v>
      </c>
      <c r="E3130" s="5">
        <f t="shared" si="50"/>
        <v>2009</v>
      </c>
      <c r="F3130" s="3" t="s">
        <v>730</v>
      </c>
      <c r="G3130" s="6">
        <v>701.8</v>
      </c>
      <c r="H3130" s="5">
        <v>12555</v>
      </c>
    </row>
    <row r="3131" spans="2:8" ht="17.5" customHeight="1" x14ac:dyDescent="0.4">
      <c r="B3131" s="3" t="s">
        <v>7</v>
      </c>
      <c r="C3131" s="3" t="s">
        <v>729</v>
      </c>
      <c r="D3131" s="4">
        <f>DATE(2009,7,7)</f>
        <v>40001</v>
      </c>
      <c r="E3131" s="5">
        <f t="shared" si="50"/>
        <v>2009</v>
      </c>
      <c r="F3131" s="3" t="s">
        <v>730</v>
      </c>
      <c r="G3131" s="6">
        <v>353</v>
      </c>
      <c r="H3131" s="5">
        <v>12770</v>
      </c>
    </row>
    <row r="3132" spans="2:8" ht="17.5" customHeight="1" x14ac:dyDescent="0.4">
      <c r="B3132" s="3" t="s">
        <v>7</v>
      </c>
      <c r="C3132" s="3" t="s">
        <v>729</v>
      </c>
      <c r="D3132" s="4">
        <f>DATE(2009,7,21)</f>
        <v>40015</v>
      </c>
      <c r="E3132" s="5">
        <f t="shared" si="50"/>
        <v>2009</v>
      </c>
      <c r="F3132" s="3" t="s">
        <v>730</v>
      </c>
      <c r="G3132" s="6">
        <v>329</v>
      </c>
      <c r="H3132" s="5">
        <v>12811</v>
      </c>
    </row>
    <row r="3133" spans="2:8" ht="17.5" customHeight="1" x14ac:dyDescent="0.4">
      <c r="B3133" s="3" t="s">
        <v>7</v>
      </c>
      <c r="C3133" s="3" t="s">
        <v>729</v>
      </c>
      <c r="D3133" s="4">
        <f>DATE(2009,8,27)</f>
        <v>40052</v>
      </c>
      <c r="E3133" s="5">
        <f t="shared" si="50"/>
        <v>2009</v>
      </c>
      <c r="F3133" s="3" t="s">
        <v>730</v>
      </c>
      <c r="G3133" s="6">
        <v>30312</v>
      </c>
      <c r="H3133" s="5">
        <v>12939</v>
      </c>
    </row>
    <row r="3134" spans="2:8" ht="17.5" customHeight="1" x14ac:dyDescent="0.4">
      <c r="B3134" s="3" t="s">
        <v>7</v>
      </c>
      <c r="C3134" s="3" t="s">
        <v>729</v>
      </c>
      <c r="D3134" s="4">
        <f>DATE(2009,10,9)</f>
        <v>40095</v>
      </c>
      <c r="E3134" s="5">
        <f t="shared" si="50"/>
        <v>2009</v>
      </c>
      <c r="F3134" s="3" t="s">
        <v>730</v>
      </c>
      <c r="G3134" s="6">
        <v>10160</v>
      </c>
      <c r="H3134" s="5">
        <v>13124</v>
      </c>
    </row>
    <row r="3135" spans="2:8" ht="17.5" customHeight="1" x14ac:dyDescent="0.4">
      <c r="B3135" s="3" t="s">
        <v>7</v>
      </c>
      <c r="C3135" s="3" t="s">
        <v>729</v>
      </c>
      <c r="D3135" s="4">
        <f>DATE(2010,9,13)</f>
        <v>40434</v>
      </c>
      <c r="E3135" s="5">
        <f t="shared" si="50"/>
        <v>2010</v>
      </c>
      <c r="F3135" s="3" t="s">
        <v>730</v>
      </c>
      <c r="G3135" s="6">
        <v>469</v>
      </c>
      <c r="H3135" s="5">
        <v>14500</v>
      </c>
    </row>
    <row r="3136" spans="2:8" ht="17.5" customHeight="1" x14ac:dyDescent="0.4">
      <c r="B3136" s="3" t="s">
        <v>7</v>
      </c>
      <c r="C3136" s="3" t="s">
        <v>729</v>
      </c>
      <c r="D3136" s="4">
        <f>DATE(2011,1,25)</f>
        <v>40568</v>
      </c>
      <c r="E3136" s="5">
        <f t="shared" si="50"/>
        <v>2011</v>
      </c>
      <c r="F3136" s="3" t="s">
        <v>730</v>
      </c>
      <c r="G3136" s="6">
        <v>538</v>
      </c>
      <c r="H3136" s="5">
        <v>14896</v>
      </c>
    </row>
    <row r="3137" spans="2:8" ht="17.5" customHeight="1" x14ac:dyDescent="0.4">
      <c r="B3137" s="3" t="s">
        <v>7</v>
      </c>
      <c r="C3137" s="3" t="s">
        <v>729</v>
      </c>
      <c r="D3137" s="4">
        <f>DATE(2011,1,28)</f>
        <v>40571</v>
      </c>
      <c r="E3137" s="5">
        <f t="shared" si="50"/>
        <v>2011</v>
      </c>
      <c r="F3137" s="3" t="s">
        <v>730</v>
      </c>
      <c r="G3137" s="6">
        <v>1546</v>
      </c>
      <c r="H3137" s="5">
        <v>14988</v>
      </c>
    </row>
    <row r="3138" spans="2:8" ht="17.5" customHeight="1" x14ac:dyDescent="0.4">
      <c r="B3138" s="3" t="s">
        <v>7</v>
      </c>
      <c r="C3138" s="3" t="s">
        <v>729</v>
      </c>
      <c r="D3138" s="4">
        <f>DATE(2011,5,12)</f>
        <v>40675</v>
      </c>
      <c r="E3138" s="5">
        <f t="shared" si="50"/>
        <v>2011</v>
      </c>
      <c r="F3138" s="3" t="s">
        <v>730</v>
      </c>
      <c r="G3138" s="6">
        <v>195.6</v>
      </c>
      <c r="H3138" s="5">
        <v>15552</v>
      </c>
    </row>
    <row r="3139" spans="2:8" ht="17.5" customHeight="1" x14ac:dyDescent="0.4">
      <c r="B3139" s="3" t="s">
        <v>7</v>
      </c>
      <c r="C3139" s="3" t="s">
        <v>729</v>
      </c>
      <c r="D3139" s="4">
        <f>DATE(2011,7,5)</f>
        <v>40729</v>
      </c>
      <c r="E3139" s="5">
        <f t="shared" ref="E3139:E3202" si="51">YEAR(D3139)</f>
        <v>2011</v>
      </c>
      <c r="F3139" s="3" t="s">
        <v>730</v>
      </c>
      <c r="G3139" s="6">
        <v>1500</v>
      </c>
      <c r="H3139" s="5">
        <v>15747</v>
      </c>
    </row>
    <row r="3140" spans="2:8" ht="17.5" customHeight="1" x14ac:dyDescent="0.4">
      <c r="B3140" s="3" t="s">
        <v>7</v>
      </c>
      <c r="C3140" s="3" t="s">
        <v>729</v>
      </c>
      <c r="D3140" s="4">
        <f>DATE(2012,5,25)</f>
        <v>41054</v>
      </c>
      <c r="E3140" s="5">
        <f t="shared" si="51"/>
        <v>2012</v>
      </c>
      <c r="F3140" s="3" t="s">
        <v>730</v>
      </c>
      <c r="G3140" s="6">
        <v>900</v>
      </c>
      <c r="H3140" s="5">
        <v>17186</v>
      </c>
    </row>
    <row r="3141" spans="2:8" ht="17.5" customHeight="1" x14ac:dyDescent="0.4">
      <c r="B3141" s="3" t="s">
        <v>7</v>
      </c>
      <c r="C3141" s="3" t="s">
        <v>729</v>
      </c>
      <c r="D3141" s="4">
        <f>DATE(2012,6,4)</f>
        <v>41064</v>
      </c>
      <c r="E3141" s="5">
        <f t="shared" si="51"/>
        <v>2012</v>
      </c>
      <c r="F3141" s="3" t="s">
        <v>730</v>
      </c>
      <c r="G3141" s="6">
        <v>508</v>
      </c>
      <c r="H3141" s="5">
        <v>17213</v>
      </c>
    </row>
    <row r="3142" spans="2:8" ht="17.5" customHeight="1" x14ac:dyDescent="0.4">
      <c r="B3142" s="3" t="s">
        <v>7</v>
      </c>
      <c r="C3142" s="3" t="s">
        <v>729</v>
      </c>
      <c r="D3142" s="4">
        <f>DATE(2012,6,11)</f>
        <v>41071</v>
      </c>
      <c r="E3142" s="5">
        <f t="shared" si="51"/>
        <v>2012</v>
      </c>
      <c r="F3142" s="3" t="s">
        <v>730</v>
      </c>
      <c r="G3142" s="6">
        <v>1645</v>
      </c>
      <c r="H3142" s="5">
        <v>17248</v>
      </c>
    </row>
    <row r="3143" spans="2:8" ht="17.5" customHeight="1" x14ac:dyDescent="0.4">
      <c r="B3143" s="3" t="s">
        <v>7</v>
      </c>
      <c r="C3143" s="3" t="s">
        <v>729</v>
      </c>
      <c r="D3143" s="4">
        <f>DATE(2013,1,30)</f>
        <v>41304</v>
      </c>
      <c r="E3143" s="5">
        <f t="shared" si="51"/>
        <v>2013</v>
      </c>
      <c r="F3143" s="3" t="s">
        <v>730</v>
      </c>
      <c r="G3143" s="6">
        <v>1016</v>
      </c>
      <c r="H3143" s="5">
        <v>18077</v>
      </c>
    </row>
    <row r="3144" spans="2:8" ht="17.5" customHeight="1" x14ac:dyDescent="0.4">
      <c r="B3144" s="3" t="s">
        <v>7</v>
      </c>
      <c r="C3144" s="3" t="s">
        <v>729</v>
      </c>
      <c r="D3144" s="4">
        <f>DATE(2013,1,30)</f>
        <v>41304</v>
      </c>
      <c r="E3144" s="5">
        <f t="shared" si="51"/>
        <v>2013</v>
      </c>
      <c r="F3144" s="3" t="s">
        <v>730</v>
      </c>
      <c r="G3144" s="6">
        <v>316.5</v>
      </c>
      <c r="H3144" s="5">
        <v>18066</v>
      </c>
    </row>
    <row r="3145" spans="2:8" ht="17.5" customHeight="1" x14ac:dyDescent="0.4">
      <c r="B3145" s="3" t="s">
        <v>7</v>
      </c>
      <c r="C3145" s="3" t="s">
        <v>729</v>
      </c>
      <c r="D3145" s="4">
        <f>DATE(2013,7,18)</f>
        <v>41473</v>
      </c>
      <c r="E3145" s="5">
        <f t="shared" si="51"/>
        <v>2013</v>
      </c>
      <c r="F3145" s="3" t="s">
        <v>730</v>
      </c>
      <c r="G3145" s="6">
        <v>160</v>
      </c>
      <c r="H3145" s="5">
        <v>18776</v>
      </c>
    </row>
    <row r="3146" spans="2:8" ht="17.5" customHeight="1" x14ac:dyDescent="0.4">
      <c r="B3146" s="3" t="s">
        <v>7</v>
      </c>
      <c r="C3146" s="3" t="s">
        <v>729</v>
      </c>
      <c r="D3146" s="4">
        <f>DATE(2013,10,9)</f>
        <v>41556</v>
      </c>
      <c r="E3146" s="5">
        <f t="shared" si="51"/>
        <v>2013</v>
      </c>
      <c r="F3146" s="3" t="s">
        <v>730</v>
      </c>
      <c r="G3146" s="6">
        <v>1645</v>
      </c>
      <c r="H3146" s="5">
        <v>18923</v>
      </c>
    </row>
    <row r="3147" spans="2:8" ht="17.5" customHeight="1" x14ac:dyDescent="0.4">
      <c r="B3147" s="3" t="s">
        <v>7</v>
      </c>
      <c r="C3147" s="3" t="s">
        <v>729</v>
      </c>
      <c r="D3147" s="4">
        <f>DATE(2014,1,17)</f>
        <v>41656</v>
      </c>
      <c r="E3147" s="5">
        <f t="shared" si="51"/>
        <v>2014</v>
      </c>
      <c r="F3147" s="3" t="s">
        <v>730</v>
      </c>
      <c r="G3147" s="6">
        <v>4419</v>
      </c>
      <c r="H3147" s="5">
        <v>19374</v>
      </c>
    </row>
    <row r="3148" spans="2:8" ht="17.5" customHeight="1" x14ac:dyDescent="0.4">
      <c r="B3148" s="3" t="s">
        <v>7</v>
      </c>
      <c r="C3148" s="3" t="s">
        <v>729</v>
      </c>
      <c r="D3148" s="4">
        <f>DATE(2014,2,14)</f>
        <v>41684</v>
      </c>
      <c r="E3148" s="5">
        <f t="shared" si="51"/>
        <v>2014</v>
      </c>
      <c r="F3148" s="3" t="s">
        <v>730</v>
      </c>
      <c r="G3148" s="6">
        <v>1473</v>
      </c>
      <c r="H3148" s="5">
        <v>19530</v>
      </c>
    </row>
    <row r="3149" spans="2:8" ht="17.5" customHeight="1" x14ac:dyDescent="0.4">
      <c r="B3149" s="3" t="s">
        <v>7</v>
      </c>
      <c r="C3149" s="3" t="s">
        <v>729</v>
      </c>
      <c r="D3149" s="4">
        <f>DATE(2014,3,13)</f>
        <v>41711</v>
      </c>
      <c r="E3149" s="5">
        <f t="shared" si="51"/>
        <v>2014</v>
      </c>
      <c r="F3149" s="3" t="s">
        <v>730</v>
      </c>
      <c r="G3149" s="6">
        <v>1016</v>
      </c>
      <c r="H3149" s="5">
        <v>19669</v>
      </c>
    </row>
    <row r="3150" spans="2:8" ht="17.5" customHeight="1" x14ac:dyDescent="0.4">
      <c r="B3150" s="3" t="s">
        <v>7</v>
      </c>
      <c r="C3150" s="3" t="s">
        <v>729</v>
      </c>
      <c r="D3150" s="4">
        <f>DATE(2014,4,24)</f>
        <v>41753</v>
      </c>
      <c r="E3150" s="5">
        <f t="shared" si="51"/>
        <v>2014</v>
      </c>
      <c r="F3150" s="3" t="s">
        <v>730</v>
      </c>
      <c r="G3150" s="6">
        <v>3122.66</v>
      </c>
      <c r="H3150" s="5">
        <v>19836</v>
      </c>
    </row>
    <row r="3151" spans="2:8" ht="17.5" customHeight="1" x14ac:dyDescent="0.4">
      <c r="B3151" s="3" t="s">
        <v>7</v>
      </c>
      <c r="C3151" s="3" t="s">
        <v>729</v>
      </c>
      <c r="D3151" s="4">
        <f>DATE(2014,8,28)</f>
        <v>41879</v>
      </c>
      <c r="E3151" s="5">
        <f t="shared" si="51"/>
        <v>2014</v>
      </c>
      <c r="F3151" s="3" t="s">
        <v>730</v>
      </c>
      <c r="G3151" s="6">
        <v>160</v>
      </c>
      <c r="H3151" s="5">
        <v>20342</v>
      </c>
    </row>
    <row r="3152" spans="2:8" ht="17.5" customHeight="1" x14ac:dyDescent="0.4">
      <c r="B3152" s="3" t="s">
        <v>7</v>
      </c>
      <c r="C3152" s="3" t="s">
        <v>731</v>
      </c>
      <c r="D3152" s="4">
        <f>DATE(2003,9,3)</f>
        <v>37867</v>
      </c>
      <c r="E3152" s="5">
        <f t="shared" si="51"/>
        <v>2003</v>
      </c>
      <c r="F3152" s="3" t="s">
        <v>732</v>
      </c>
      <c r="G3152" s="6">
        <v>489.07</v>
      </c>
      <c r="H3152" s="5">
        <v>307</v>
      </c>
    </row>
    <row r="3153" spans="2:8" ht="17.5" customHeight="1" x14ac:dyDescent="0.4">
      <c r="B3153" t="s">
        <v>7</v>
      </c>
      <c r="C3153" t="s">
        <v>733</v>
      </c>
      <c r="D3153" s="7">
        <f>DATE(2015,9,1)</f>
        <v>42248</v>
      </c>
      <c r="E3153" s="8">
        <f t="shared" si="51"/>
        <v>2015</v>
      </c>
      <c r="F3153" t="s">
        <v>734</v>
      </c>
      <c r="G3153" s="9">
        <v>42204.62</v>
      </c>
      <c r="H3153" s="8">
        <v>20904</v>
      </c>
    </row>
    <row r="3154" spans="2:8" ht="17.5" customHeight="1" x14ac:dyDescent="0.4">
      <c r="B3154" t="s">
        <v>7</v>
      </c>
      <c r="C3154" t="s">
        <v>735</v>
      </c>
      <c r="D3154" s="7">
        <f>DATE(2016,5,10)</f>
        <v>42500</v>
      </c>
      <c r="E3154" s="8">
        <f t="shared" si="51"/>
        <v>2016</v>
      </c>
      <c r="F3154" t="s">
        <v>736</v>
      </c>
      <c r="G3154" s="9">
        <v>13888.17</v>
      </c>
      <c r="H3154" s="8">
        <v>22771</v>
      </c>
    </row>
    <row r="3155" spans="2:8" ht="17.5" customHeight="1" x14ac:dyDescent="0.4">
      <c r="B3155" t="s">
        <v>7</v>
      </c>
      <c r="C3155" t="s">
        <v>735</v>
      </c>
      <c r="D3155" s="7">
        <f>DATE(2018,4,26)</f>
        <v>43216</v>
      </c>
      <c r="E3155" s="8">
        <f t="shared" si="51"/>
        <v>2018</v>
      </c>
      <c r="F3155" t="s">
        <v>737</v>
      </c>
      <c r="G3155" s="9">
        <v>20558.8</v>
      </c>
      <c r="H3155" s="8">
        <v>26606</v>
      </c>
    </row>
    <row r="3156" spans="2:8" ht="17.5" customHeight="1" x14ac:dyDescent="0.4">
      <c r="B3156" t="s">
        <v>7</v>
      </c>
      <c r="C3156" t="s">
        <v>735</v>
      </c>
      <c r="D3156" s="7">
        <f>DATE(2019,4,26)</f>
        <v>43581</v>
      </c>
      <c r="E3156" s="8">
        <f t="shared" si="51"/>
        <v>2019</v>
      </c>
      <c r="F3156" t="s">
        <v>737</v>
      </c>
      <c r="G3156" s="9">
        <v>21133</v>
      </c>
      <c r="H3156" s="8">
        <v>28364</v>
      </c>
    </row>
    <row r="3157" spans="2:8" ht="17.5" customHeight="1" x14ac:dyDescent="0.4">
      <c r="B3157" t="s">
        <v>7</v>
      </c>
      <c r="C3157" t="s">
        <v>738</v>
      </c>
      <c r="D3157" s="7">
        <f>DATE(2018,5,29)</f>
        <v>43249</v>
      </c>
      <c r="E3157" s="8">
        <f t="shared" si="51"/>
        <v>2018</v>
      </c>
      <c r="F3157" t="s">
        <v>739</v>
      </c>
      <c r="G3157" s="9">
        <v>32269.72</v>
      </c>
      <c r="H3157" s="8">
        <v>26963</v>
      </c>
    </row>
    <row r="3158" spans="2:8" ht="17.5" customHeight="1" x14ac:dyDescent="0.4">
      <c r="B3158" t="s">
        <v>7</v>
      </c>
      <c r="C3158" t="s">
        <v>738</v>
      </c>
      <c r="D3158" s="7">
        <f>DATE(2019,2,6)</f>
        <v>43502</v>
      </c>
      <c r="E3158" s="8">
        <f t="shared" si="51"/>
        <v>2019</v>
      </c>
      <c r="F3158" t="s">
        <v>739</v>
      </c>
      <c r="G3158" s="9">
        <v>61086.74</v>
      </c>
      <c r="H3158" s="8">
        <v>27947</v>
      </c>
    </row>
    <row r="3159" spans="2:8" ht="17.5" customHeight="1" x14ac:dyDescent="0.4">
      <c r="B3159" t="s">
        <v>7</v>
      </c>
      <c r="C3159" t="s">
        <v>738</v>
      </c>
      <c r="D3159" s="7">
        <f>DATE(2019,4,30)</f>
        <v>43585</v>
      </c>
      <c r="E3159" s="8">
        <f t="shared" si="51"/>
        <v>2019</v>
      </c>
      <c r="F3159" t="s">
        <v>739</v>
      </c>
      <c r="G3159" s="9">
        <v>12192.09</v>
      </c>
      <c r="H3159" s="8">
        <v>28872</v>
      </c>
    </row>
    <row r="3160" spans="2:8" ht="17.5" customHeight="1" x14ac:dyDescent="0.4">
      <c r="B3160" t="s">
        <v>7</v>
      </c>
      <c r="C3160" t="s">
        <v>738</v>
      </c>
      <c r="D3160" s="7">
        <f>DATE(2016,10,7)</f>
        <v>42650</v>
      </c>
      <c r="E3160" s="8">
        <f t="shared" si="51"/>
        <v>2016</v>
      </c>
      <c r="F3160" t="s">
        <v>740</v>
      </c>
      <c r="G3160" s="9">
        <v>17458.12</v>
      </c>
      <c r="H3160" s="8">
        <v>23185</v>
      </c>
    </row>
    <row r="3161" spans="2:8" ht="17.5" customHeight="1" x14ac:dyDescent="0.4">
      <c r="B3161" t="s">
        <v>7</v>
      </c>
      <c r="C3161" t="s">
        <v>738</v>
      </c>
      <c r="D3161" s="7">
        <f>DATE(2017,4,19)</f>
        <v>42844</v>
      </c>
      <c r="E3161" s="8">
        <f t="shared" si="51"/>
        <v>2017</v>
      </c>
      <c r="F3161" t="s">
        <v>740</v>
      </c>
      <c r="G3161" s="9">
        <v>13038.54</v>
      </c>
      <c r="H3161" s="8">
        <v>24377</v>
      </c>
    </row>
    <row r="3162" spans="2:8" ht="17.5" customHeight="1" x14ac:dyDescent="0.4">
      <c r="B3162" t="s">
        <v>7</v>
      </c>
      <c r="C3162" t="s">
        <v>738</v>
      </c>
      <c r="D3162" s="7">
        <f>DATE(2017,4,26)</f>
        <v>42851</v>
      </c>
      <c r="E3162" s="8">
        <f t="shared" si="51"/>
        <v>2017</v>
      </c>
      <c r="F3162" t="s">
        <v>740</v>
      </c>
      <c r="G3162" s="9">
        <v>43756.58</v>
      </c>
      <c r="H3162" s="8">
        <v>24518</v>
      </c>
    </row>
    <row r="3163" spans="2:8" ht="17.5" customHeight="1" x14ac:dyDescent="0.4">
      <c r="B3163" t="s">
        <v>7</v>
      </c>
      <c r="C3163" t="s">
        <v>738</v>
      </c>
      <c r="D3163" s="7">
        <f>DATE(2017,4,24)</f>
        <v>42849</v>
      </c>
      <c r="E3163" s="8">
        <f t="shared" si="51"/>
        <v>2017</v>
      </c>
      <c r="F3163" t="s">
        <v>740</v>
      </c>
      <c r="G3163" s="9">
        <v>39572.129999999997</v>
      </c>
      <c r="H3163" s="8">
        <v>24516</v>
      </c>
    </row>
    <row r="3164" spans="2:8" ht="17.5" customHeight="1" x14ac:dyDescent="0.4">
      <c r="B3164" t="s">
        <v>7</v>
      </c>
      <c r="C3164" t="s">
        <v>738</v>
      </c>
      <c r="D3164" s="7">
        <f>DATE(2017,4,26)</f>
        <v>42851</v>
      </c>
      <c r="E3164" s="8">
        <f t="shared" si="51"/>
        <v>2017</v>
      </c>
      <c r="F3164" t="s">
        <v>740</v>
      </c>
      <c r="G3164" s="9">
        <v>32766.78</v>
      </c>
      <c r="H3164" s="8">
        <v>24517</v>
      </c>
    </row>
    <row r="3165" spans="2:8" ht="17.5" customHeight="1" x14ac:dyDescent="0.4">
      <c r="B3165" s="3" t="s">
        <v>7</v>
      </c>
      <c r="C3165" s="3" t="s">
        <v>738</v>
      </c>
      <c r="D3165" s="4">
        <f>DATE(2003,5,31)</f>
        <v>37772</v>
      </c>
      <c r="E3165" s="5">
        <f t="shared" si="51"/>
        <v>2003</v>
      </c>
      <c r="F3165" s="3" t="s">
        <v>740</v>
      </c>
      <c r="G3165" s="6">
        <v>42036.35</v>
      </c>
      <c r="H3165" s="5">
        <v>88</v>
      </c>
    </row>
    <row r="3166" spans="2:8" ht="17.5" customHeight="1" x14ac:dyDescent="0.4">
      <c r="B3166" t="s">
        <v>7</v>
      </c>
      <c r="C3166" t="s">
        <v>741</v>
      </c>
      <c r="D3166" s="7">
        <f>DATE(2017,8,24)</f>
        <v>42971</v>
      </c>
      <c r="E3166" s="8">
        <f t="shared" si="51"/>
        <v>2017</v>
      </c>
      <c r="F3166" t="s">
        <v>742</v>
      </c>
      <c r="G3166" s="9">
        <v>5510</v>
      </c>
      <c r="H3166" s="8">
        <v>25270</v>
      </c>
    </row>
    <row r="3167" spans="2:8" ht="17.5" customHeight="1" x14ac:dyDescent="0.4">
      <c r="B3167" s="3" t="s">
        <v>7</v>
      </c>
      <c r="C3167" s="3" t="s">
        <v>743</v>
      </c>
      <c r="D3167" s="4">
        <f>DATE(2007,5,14)</f>
        <v>39216</v>
      </c>
      <c r="E3167" s="5">
        <f t="shared" si="51"/>
        <v>2007</v>
      </c>
      <c r="F3167" s="3" t="s">
        <v>744</v>
      </c>
      <c r="G3167" s="6">
        <v>13500.15</v>
      </c>
      <c r="H3167" s="5">
        <v>2244</v>
      </c>
    </row>
    <row r="3168" spans="2:8" ht="17.5" customHeight="1" x14ac:dyDescent="0.4">
      <c r="B3168" t="s">
        <v>7</v>
      </c>
      <c r="C3168" t="s">
        <v>745</v>
      </c>
      <c r="D3168" s="7">
        <f>DATE(2004,11,17)</f>
        <v>38308</v>
      </c>
      <c r="E3168" s="8">
        <f t="shared" si="51"/>
        <v>2004</v>
      </c>
      <c r="F3168" t="s">
        <v>746</v>
      </c>
      <c r="G3168" s="9">
        <v>5350.6</v>
      </c>
      <c r="H3168" s="8">
        <v>2374</v>
      </c>
    </row>
    <row r="3169" spans="2:8" ht="17.5" customHeight="1" x14ac:dyDescent="0.4">
      <c r="B3169" t="s">
        <v>7</v>
      </c>
      <c r="C3169" t="s">
        <v>745</v>
      </c>
      <c r="D3169" s="7">
        <f>DATE(2004,11,17)</f>
        <v>38308</v>
      </c>
      <c r="E3169" s="8">
        <f t="shared" si="51"/>
        <v>2004</v>
      </c>
      <c r="F3169" t="s">
        <v>746</v>
      </c>
      <c r="G3169" s="9">
        <v>3490</v>
      </c>
      <c r="H3169" s="8">
        <v>2449</v>
      </c>
    </row>
    <row r="3170" spans="2:8" ht="17.5" customHeight="1" x14ac:dyDescent="0.4">
      <c r="B3170" t="s">
        <v>7</v>
      </c>
      <c r="C3170" t="s">
        <v>745</v>
      </c>
      <c r="D3170" s="7">
        <f>DATE(2007,8,21)</f>
        <v>39315</v>
      </c>
      <c r="E3170" s="8">
        <f t="shared" si="51"/>
        <v>2007</v>
      </c>
      <c r="F3170" t="s">
        <v>746</v>
      </c>
      <c r="G3170" s="9">
        <v>4760</v>
      </c>
      <c r="H3170" s="8">
        <v>6283</v>
      </c>
    </row>
    <row r="3171" spans="2:8" ht="17.5" customHeight="1" x14ac:dyDescent="0.4">
      <c r="B3171" t="s">
        <v>16</v>
      </c>
      <c r="C3171" t="s">
        <v>745</v>
      </c>
      <c r="D3171" s="7">
        <f>DATE(2004,11,17)</f>
        <v>38308</v>
      </c>
      <c r="E3171" s="8">
        <f t="shared" si="51"/>
        <v>2004</v>
      </c>
      <c r="F3171" t="s">
        <v>746</v>
      </c>
      <c r="G3171" s="9">
        <v>5350.6</v>
      </c>
      <c r="H3171" s="8">
        <v>2447</v>
      </c>
    </row>
    <row r="3172" spans="2:8" ht="17.5" customHeight="1" x14ac:dyDescent="0.4">
      <c r="B3172" s="3" t="s">
        <v>7</v>
      </c>
      <c r="C3172" s="3" t="s">
        <v>747</v>
      </c>
      <c r="D3172" s="4">
        <f>DATE(2004,9,23)</f>
        <v>38253</v>
      </c>
      <c r="E3172" s="5">
        <f t="shared" si="51"/>
        <v>2004</v>
      </c>
      <c r="F3172" s="3" t="s">
        <v>748</v>
      </c>
      <c r="G3172" s="6">
        <v>976</v>
      </c>
      <c r="H3172" s="5">
        <v>3429</v>
      </c>
    </row>
    <row r="3173" spans="2:8" ht="17.5" customHeight="1" x14ac:dyDescent="0.4">
      <c r="B3173" s="3" t="s">
        <v>7</v>
      </c>
      <c r="C3173" s="3" t="s">
        <v>749</v>
      </c>
      <c r="D3173" s="4">
        <f>DATE(2003,8,27)</f>
        <v>37860</v>
      </c>
      <c r="E3173" s="5">
        <f t="shared" si="51"/>
        <v>2003</v>
      </c>
      <c r="F3173" s="3" t="s">
        <v>750</v>
      </c>
      <c r="G3173" s="6">
        <v>278.69</v>
      </c>
      <c r="H3173" s="5">
        <v>301</v>
      </c>
    </row>
    <row r="3174" spans="2:8" ht="17.5" customHeight="1" x14ac:dyDescent="0.4">
      <c r="B3174" s="3" t="s">
        <v>7</v>
      </c>
      <c r="C3174" s="3" t="s">
        <v>749</v>
      </c>
      <c r="D3174" s="4">
        <f>DATE(2003,9,5)</f>
        <v>37869</v>
      </c>
      <c r="E3174" s="5">
        <f t="shared" si="51"/>
        <v>2003</v>
      </c>
      <c r="F3174" s="3" t="s">
        <v>750</v>
      </c>
      <c r="G3174" s="6">
        <v>4316.72</v>
      </c>
      <c r="H3174" s="5">
        <v>319</v>
      </c>
    </row>
    <row r="3175" spans="2:8" ht="17.5" customHeight="1" x14ac:dyDescent="0.4">
      <c r="B3175" s="3" t="s">
        <v>7</v>
      </c>
      <c r="C3175" s="3" t="s">
        <v>749</v>
      </c>
      <c r="D3175" s="4">
        <f>DATE(2008,2,26)</f>
        <v>39504</v>
      </c>
      <c r="E3175" s="5">
        <f t="shared" si="51"/>
        <v>2008</v>
      </c>
      <c r="F3175" s="3" t="s">
        <v>750</v>
      </c>
      <c r="G3175" s="6">
        <v>676.37</v>
      </c>
      <c r="H3175" s="5">
        <v>2686</v>
      </c>
    </row>
    <row r="3176" spans="2:8" ht="17.5" customHeight="1" x14ac:dyDescent="0.4">
      <c r="B3176" s="3" t="s">
        <v>7</v>
      </c>
      <c r="C3176" s="3" t="s">
        <v>749</v>
      </c>
      <c r="D3176" s="4">
        <f>DATE(2009,9,17)</f>
        <v>40073</v>
      </c>
      <c r="E3176" s="5">
        <f t="shared" si="51"/>
        <v>2009</v>
      </c>
      <c r="F3176" s="3" t="s">
        <v>750</v>
      </c>
      <c r="G3176" s="6">
        <v>354.26</v>
      </c>
      <c r="H3176" s="5">
        <v>3594</v>
      </c>
    </row>
    <row r="3177" spans="2:8" ht="17.5" customHeight="1" x14ac:dyDescent="0.4">
      <c r="B3177" s="3" t="s">
        <v>7</v>
      </c>
      <c r="C3177" s="3" t="s">
        <v>749</v>
      </c>
      <c r="D3177" s="4">
        <f>DATE(2010,6,7)</f>
        <v>40336</v>
      </c>
      <c r="E3177" s="5">
        <f t="shared" si="51"/>
        <v>2010</v>
      </c>
      <c r="F3177" s="3" t="s">
        <v>750</v>
      </c>
      <c r="G3177" s="6">
        <v>949.9</v>
      </c>
      <c r="H3177" s="5">
        <v>3946</v>
      </c>
    </row>
    <row r="3178" spans="2:8" ht="17.5" customHeight="1" x14ac:dyDescent="0.4">
      <c r="B3178" s="3" t="s">
        <v>7</v>
      </c>
      <c r="C3178" s="3" t="s">
        <v>749</v>
      </c>
      <c r="D3178" s="4">
        <f>DATE(2010,6,25)</f>
        <v>40354</v>
      </c>
      <c r="E3178" s="5">
        <f t="shared" si="51"/>
        <v>2010</v>
      </c>
      <c r="F3178" s="3" t="s">
        <v>750</v>
      </c>
      <c r="G3178" s="6">
        <v>1736.19</v>
      </c>
      <c r="H3178" s="5">
        <v>4004</v>
      </c>
    </row>
    <row r="3179" spans="2:8" ht="17.5" customHeight="1" x14ac:dyDescent="0.4">
      <c r="B3179" s="3" t="s">
        <v>7</v>
      </c>
      <c r="C3179" s="3" t="s">
        <v>749</v>
      </c>
      <c r="D3179" s="4">
        <f>DATE(2010,8,26)</f>
        <v>40416</v>
      </c>
      <c r="E3179" s="5">
        <f t="shared" si="51"/>
        <v>2010</v>
      </c>
      <c r="F3179" s="3" t="s">
        <v>750</v>
      </c>
      <c r="G3179" s="6">
        <v>479.95</v>
      </c>
      <c r="H3179" s="5">
        <v>4084</v>
      </c>
    </row>
    <row r="3180" spans="2:8" ht="17.5" customHeight="1" x14ac:dyDescent="0.4">
      <c r="B3180" s="3" t="s">
        <v>7</v>
      </c>
      <c r="C3180" s="3" t="s">
        <v>749</v>
      </c>
      <c r="D3180" s="4">
        <f>DATE(2011,3,3)</f>
        <v>40605</v>
      </c>
      <c r="E3180" s="5">
        <f t="shared" si="51"/>
        <v>2011</v>
      </c>
      <c r="F3180" s="3" t="s">
        <v>750</v>
      </c>
      <c r="G3180" s="6">
        <v>508.08</v>
      </c>
      <c r="H3180" s="5">
        <v>4342</v>
      </c>
    </row>
    <row r="3181" spans="2:8" ht="17.5" customHeight="1" x14ac:dyDescent="0.4">
      <c r="B3181" s="3" t="s">
        <v>7</v>
      </c>
      <c r="C3181" s="3" t="s">
        <v>749</v>
      </c>
      <c r="D3181" s="4">
        <f>DATE(2011,6,10)</f>
        <v>40704</v>
      </c>
      <c r="E3181" s="5">
        <f t="shared" si="51"/>
        <v>2011</v>
      </c>
      <c r="F3181" s="3" t="s">
        <v>750</v>
      </c>
      <c r="G3181" s="6">
        <v>403.8</v>
      </c>
      <c r="H3181" s="5">
        <v>4482</v>
      </c>
    </row>
    <row r="3182" spans="2:8" ht="17.5" customHeight="1" x14ac:dyDescent="0.4">
      <c r="B3182" s="3" t="s">
        <v>7</v>
      </c>
      <c r="C3182" s="3" t="s">
        <v>749</v>
      </c>
      <c r="D3182" s="4">
        <f>DATE(2011,8,29)</f>
        <v>40784</v>
      </c>
      <c r="E3182" s="5">
        <f t="shared" si="51"/>
        <v>2011</v>
      </c>
      <c r="F3182" s="3" t="s">
        <v>750</v>
      </c>
      <c r="G3182" s="6">
        <v>426.76</v>
      </c>
      <c r="H3182" s="5">
        <v>4591</v>
      </c>
    </row>
    <row r="3183" spans="2:8" ht="17.5" customHeight="1" x14ac:dyDescent="0.4">
      <c r="B3183" s="3" t="s">
        <v>7</v>
      </c>
      <c r="C3183" s="3" t="s">
        <v>749</v>
      </c>
      <c r="D3183" s="4">
        <f>DATE(2011,12,2)</f>
        <v>40879</v>
      </c>
      <c r="E3183" s="5">
        <f t="shared" si="51"/>
        <v>2011</v>
      </c>
      <c r="F3183" s="3" t="s">
        <v>750</v>
      </c>
      <c r="G3183" s="6">
        <v>706.57</v>
      </c>
      <c r="H3183" s="5">
        <v>4734</v>
      </c>
    </row>
    <row r="3184" spans="2:8" ht="17.5" customHeight="1" x14ac:dyDescent="0.4">
      <c r="B3184" s="3" t="s">
        <v>16</v>
      </c>
      <c r="C3184" s="3" t="s">
        <v>749</v>
      </c>
      <c r="D3184" s="4">
        <f>DATE(2003,12,24)</f>
        <v>37979</v>
      </c>
      <c r="E3184" s="5">
        <f t="shared" si="51"/>
        <v>2003</v>
      </c>
      <c r="F3184" s="3" t="s">
        <v>750</v>
      </c>
      <c r="G3184" s="6">
        <v>761.9</v>
      </c>
      <c r="H3184" s="5">
        <v>493</v>
      </c>
    </row>
    <row r="3185" spans="2:8" ht="17.5" customHeight="1" x14ac:dyDescent="0.4">
      <c r="B3185" t="s">
        <v>7</v>
      </c>
      <c r="C3185" t="s">
        <v>751</v>
      </c>
      <c r="D3185" s="7">
        <f>DATE(2008,5,31)</f>
        <v>39599</v>
      </c>
      <c r="E3185" s="8">
        <f t="shared" si="51"/>
        <v>2008</v>
      </c>
      <c r="F3185" t="s">
        <v>752</v>
      </c>
      <c r="G3185" s="9">
        <v>10474.34</v>
      </c>
      <c r="H3185" s="8">
        <v>7482</v>
      </c>
    </row>
    <row r="3186" spans="2:8" ht="17.5" customHeight="1" x14ac:dyDescent="0.4">
      <c r="B3186" t="s">
        <v>7</v>
      </c>
      <c r="C3186" t="s">
        <v>751</v>
      </c>
      <c r="D3186" s="7">
        <f>DATE(2009,2,20)</f>
        <v>39864</v>
      </c>
      <c r="E3186" s="8">
        <f t="shared" si="51"/>
        <v>2009</v>
      </c>
      <c r="F3186" t="s">
        <v>752</v>
      </c>
      <c r="G3186" s="9">
        <v>8624.9599999999991</v>
      </c>
      <c r="H3186" s="8">
        <v>8356</v>
      </c>
    </row>
    <row r="3187" spans="2:8" ht="17.5" customHeight="1" x14ac:dyDescent="0.4">
      <c r="B3187" t="s">
        <v>7</v>
      </c>
      <c r="C3187" t="s">
        <v>751</v>
      </c>
      <c r="D3187" s="7">
        <f>DATE(2009,5,22)</f>
        <v>39955</v>
      </c>
      <c r="E3187" s="8">
        <f t="shared" si="51"/>
        <v>2009</v>
      </c>
      <c r="F3187" t="s">
        <v>752</v>
      </c>
      <c r="G3187" s="9">
        <v>24073.16</v>
      </c>
      <c r="H3187" s="8">
        <v>8672</v>
      </c>
    </row>
    <row r="3188" spans="2:8" ht="17.5" customHeight="1" x14ac:dyDescent="0.4">
      <c r="B3188" t="s">
        <v>7</v>
      </c>
      <c r="C3188" t="s">
        <v>751</v>
      </c>
      <c r="D3188" s="7">
        <f>DATE(2010,4,7)</f>
        <v>40275</v>
      </c>
      <c r="E3188" s="8">
        <f t="shared" si="51"/>
        <v>2010</v>
      </c>
      <c r="F3188" t="s">
        <v>752</v>
      </c>
      <c r="G3188" s="9">
        <v>19688.98</v>
      </c>
      <c r="H3188" s="8">
        <v>9705</v>
      </c>
    </row>
    <row r="3189" spans="2:8" ht="17.5" customHeight="1" x14ac:dyDescent="0.4">
      <c r="B3189" t="s">
        <v>7</v>
      </c>
      <c r="C3189" t="s">
        <v>751</v>
      </c>
      <c r="D3189" s="7">
        <f>DATE(2010,4,29)</f>
        <v>40297</v>
      </c>
      <c r="E3189" s="8">
        <f t="shared" si="51"/>
        <v>2010</v>
      </c>
      <c r="F3189" t="s">
        <v>752</v>
      </c>
      <c r="G3189" s="9">
        <v>5253.43</v>
      </c>
      <c r="H3189" s="8">
        <v>9737</v>
      </c>
    </row>
    <row r="3190" spans="2:8" ht="17.5" customHeight="1" x14ac:dyDescent="0.4">
      <c r="B3190" s="3" t="s">
        <v>7</v>
      </c>
      <c r="C3190" s="3" t="s">
        <v>751</v>
      </c>
      <c r="D3190" s="4">
        <f>DATE(2010,4,5)</f>
        <v>40273</v>
      </c>
      <c r="E3190" s="5">
        <f t="shared" si="51"/>
        <v>2010</v>
      </c>
      <c r="F3190" s="3" t="s">
        <v>752</v>
      </c>
      <c r="G3190" s="6">
        <v>1101.69</v>
      </c>
      <c r="H3190" s="5">
        <v>13865</v>
      </c>
    </row>
    <row r="3191" spans="2:8" ht="17.5" customHeight="1" x14ac:dyDescent="0.4">
      <c r="B3191" s="3" t="s">
        <v>7</v>
      </c>
      <c r="C3191" s="3" t="s">
        <v>751</v>
      </c>
      <c r="D3191" s="4">
        <f>DATE(2011,6,20)</f>
        <v>40714</v>
      </c>
      <c r="E3191" s="5">
        <f t="shared" si="51"/>
        <v>2011</v>
      </c>
      <c r="F3191" s="3" t="s">
        <v>752</v>
      </c>
      <c r="G3191" s="6">
        <v>1318.46</v>
      </c>
      <c r="H3191" s="5">
        <v>15715</v>
      </c>
    </row>
    <row r="3192" spans="2:8" ht="17.5" customHeight="1" x14ac:dyDescent="0.4">
      <c r="B3192" s="3" t="s">
        <v>7</v>
      </c>
      <c r="C3192" s="3" t="s">
        <v>751</v>
      </c>
      <c r="D3192" s="4">
        <f>DATE(2011,6,24)</f>
        <v>40718</v>
      </c>
      <c r="E3192" s="5">
        <f t="shared" si="51"/>
        <v>2011</v>
      </c>
      <c r="F3192" s="3" t="s">
        <v>752</v>
      </c>
      <c r="G3192" s="6">
        <v>3996.91</v>
      </c>
      <c r="H3192" s="5">
        <v>15727</v>
      </c>
    </row>
    <row r="3193" spans="2:8" ht="17.5" customHeight="1" x14ac:dyDescent="0.4">
      <c r="B3193" s="3" t="s">
        <v>7</v>
      </c>
      <c r="C3193" s="3" t="s">
        <v>753</v>
      </c>
      <c r="D3193" s="4">
        <f>DATE(2008,7,2)</f>
        <v>39631</v>
      </c>
      <c r="E3193" s="5">
        <f t="shared" si="51"/>
        <v>2008</v>
      </c>
      <c r="F3193" s="3" t="s">
        <v>754</v>
      </c>
      <c r="G3193" s="6">
        <v>1879.99</v>
      </c>
      <c r="H3193" s="5">
        <v>10890</v>
      </c>
    </row>
    <row r="3194" spans="2:8" ht="17.5" customHeight="1" x14ac:dyDescent="0.4">
      <c r="B3194" t="s">
        <v>7</v>
      </c>
      <c r="C3194" t="s">
        <v>755</v>
      </c>
      <c r="D3194" s="7">
        <f>DATE(2010,4,23)</f>
        <v>40291</v>
      </c>
      <c r="E3194" s="8">
        <f t="shared" si="51"/>
        <v>2010</v>
      </c>
      <c r="F3194" t="s">
        <v>756</v>
      </c>
      <c r="G3194" s="9">
        <v>31666.16</v>
      </c>
      <c r="H3194" s="8">
        <v>9535</v>
      </c>
    </row>
    <row r="3195" spans="2:8" ht="17.5" customHeight="1" x14ac:dyDescent="0.4">
      <c r="B3195" t="s">
        <v>7</v>
      </c>
      <c r="C3195" t="s">
        <v>755</v>
      </c>
      <c r="D3195" s="7">
        <f>DATE(2003,5,8)</f>
        <v>37749</v>
      </c>
      <c r="E3195" s="8">
        <f t="shared" si="51"/>
        <v>2003</v>
      </c>
      <c r="F3195" t="s">
        <v>756</v>
      </c>
      <c r="G3195" s="9">
        <v>12133.9</v>
      </c>
      <c r="H3195" s="8">
        <v>507</v>
      </c>
    </row>
    <row r="3196" spans="2:8" ht="17.5" customHeight="1" x14ac:dyDescent="0.4">
      <c r="B3196" t="s">
        <v>7</v>
      </c>
      <c r="C3196" t="s">
        <v>755</v>
      </c>
      <c r="D3196" s="7">
        <f>DATE(2003,4,26)</f>
        <v>37737</v>
      </c>
      <c r="E3196" s="8">
        <f t="shared" si="51"/>
        <v>2003</v>
      </c>
      <c r="F3196" t="s">
        <v>756</v>
      </c>
      <c r="G3196" s="9">
        <v>33080.15</v>
      </c>
      <c r="H3196" s="8">
        <v>201</v>
      </c>
    </row>
    <row r="3197" spans="2:8" ht="17.5" customHeight="1" x14ac:dyDescent="0.4">
      <c r="B3197" t="s">
        <v>7</v>
      </c>
      <c r="C3197" t="s">
        <v>755</v>
      </c>
      <c r="D3197" s="7">
        <f>DATE(2003,8,22)</f>
        <v>37855</v>
      </c>
      <c r="E3197" s="8">
        <f t="shared" si="51"/>
        <v>2003</v>
      </c>
      <c r="F3197" t="s">
        <v>756</v>
      </c>
      <c r="G3197" s="9">
        <v>7500.02</v>
      </c>
      <c r="H3197" s="8">
        <v>803</v>
      </c>
    </row>
    <row r="3198" spans="2:8" ht="17.5" customHeight="1" x14ac:dyDescent="0.4">
      <c r="B3198" t="s">
        <v>7</v>
      </c>
      <c r="C3198" t="s">
        <v>755</v>
      </c>
      <c r="D3198" s="7">
        <f>DATE(2005,5,9)</f>
        <v>38481</v>
      </c>
      <c r="E3198" s="8">
        <f t="shared" si="51"/>
        <v>2005</v>
      </c>
      <c r="F3198" t="s">
        <v>756</v>
      </c>
      <c r="G3198" s="9">
        <v>68226.89</v>
      </c>
      <c r="H3198" s="8">
        <v>2920</v>
      </c>
    </row>
    <row r="3199" spans="2:8" ht="17.5" customHeight="1" x14ac:dyDescent="0.4">
      <c r="B3199" t="s">
        <v>7</v>
      </c>
      <c r="C3199" t="s">
        <v>755</v>
      </c>
      <c r="D3199" s="7">
        <f>DATE(2005,5,18)</f>
        <v>38490</v>
      </c>
      <c r="E3199" s="8">
        <f t="shared" si="51"/>
        <v>2005</v>
      </c>
      <c r="F3199" t="s">
        <v>756</v>
      </c>
      <c r="G3199" s="9">
        <v>96801.77</v>
      </c>
      <c r="H3199" s="8">
        <v>2952</v>
      </c>
    </row>
    <row r="3200" spans="2:8" ht="17.5" customHeight="1" x14ac:dyDescent="0.4">
      <c r="B3200" t="s">
        <v>7</v>
      </c>
      <c r="C3200" t="s">
        <v>755</v>
      </c>
      <c r="D3200" s="7">
        <f>DATE(2006,5,29)</f>
        <v>38866</v>
      </c>
      <c r="E3200" s="8">
        <f t="shared" si="51"/>
        <v>2006</v>
      </c>
      <c r="F3200" t="s">
        <v>756</v>
      </c>
      <c r="G3200" s="9">
        <v>63670.09</v>
      </c>
      <c r="H3200" s="8">
        <v>4214</v>
      </c>
    </row>
    <row r="3201" spans="2:8" ht="17.5" customHeight="1" x14ac:dyDescent="0.4">
      <c r="B3201" t="s">
        <v>7</v>
      </c>
      <c r="C3201" t="s">
        <v>755</v>
      </c>
      <c r="D3201" s="7">
        <f>DATE(2006,5,28)</f>
        <v>38865</v>
      </c>
      <c r="E3201" s="8">
        <f t="shared" si="51"/>
        <v>2006</v>
      </c>
      <c r="F3201" t="s">
        <v>756</v>
      </c>
      <c r="G3201" s="9">
        <v>65912.08</v>
      </c>
      <c r="H3201" s="8">
        <v>4172</v>
      </c>
    </row>
    <row r="3202" spans="2:8" ht="17.5" customHeight="1" x14ac:dyDescent="0.4">
      <c r="B3202" t="s">
        <v>7</v>
      </c>
      <c r="C3202" t="s">
        <v>755</v>
      </c>
      <c r="D3202" s="7">
        <f>DATE(2007,4,6)</f>
        <v>39178</v>
      </c>
      <c r="E3202" s="8">
        <f t="shared" si="51"/>
        <v>2007</v>
      </c>
      <c r="F3202" t="s">
        <v>756</v>
      </c>
      <c r="G3202" s="9">
        <v>6706.01</v>
      </c>
      <c r="H3202" s="8">
        <v>5813</v>
      </c>
    </row>
    <row r="3203" spans="2:8" ht="17.5" customHeight="1" x14ac:dyDescent="0.4">
      <c r="B3203" t="s">
        <v>7</v>
      </c>
      <c r="C3203" t="s">
        <v>755</v>
      </c>
      <c r="D3203" s="7">
        <f>DATE(2008,8,23)</f>
        <v>39683</v>
      </c>
      <c r="E3203" s="8">
        <f t="shared" ref="E3203:E3266" si="52">YEAR(D3203)</f>
        <v>2008</v>
      </c>
      <c r="F3203" t="s">
        <v>756</v>
      </c>
      <c r="G3203" s="9">
        <v>11504.44</v>
      </c>
      <c r="H3203" s="8">
        <v>7697</v>
      </c>
    </row>
    <row r="3204" spans="2:8" ht="17.5" customHeight="1" x14ac:dyDescent="0.4">
      <c r="B3204" t="s">
        <v>7</v>
      </c>
      <c r="C3204" t="s">
        <v>755</v>
      </c>
      <c r="D3204" s="7">
        <f>DATE(2009,4,20)</f>
        <v>39923</v>
      </c>
      <c r="E3204" s="8">
        <f t="shared" si="52"/>
        <v>2009</v>
      </c>
      <c r="F3204" t="s">
        <v>756</v>
      </c>
      <c r="G3204" s="9">
        <v>5532.22</v>
      </c>
      <c r="H3204" s="8">
        <v>8580</v>
      </c>
    </row>
    <row r="3205" spans="2:8" ht="17.5" customHeight="1" x14ac:dyDescent="0.4">
      <c r="B3205" t="s">
        <v>7</v>
      </c>
      <c r="C3205" t="s">
        <v>755</v>
      </c>
      <c r="D3205" s="7">
        <f>DATE(2009,7,23)</f>
        <v>40017</v>
      </c>
      <c r="E3205" s="8">
        <f t="shared" si="52"/>
        <v>2009</v>
      </c>
      <c r="F3205" t="s">
        <v>756</v>
      </c>
      <c r="G3205" s="9">
        <v>8063.18</v>
      </c>
      <c r="H3205" s="8">
        <v>8906</v>
      </c>
    </row>
    <row r="3206" spans="2:8" ht="17.5" customHeight="1" x14ac:dyDescent="0.4">
      <c r="B3206" t="s">
        <v>7</v>
      </c>
      <c r="C3206" t="s">
        <v>755</v>
      </c>
      <c r="D3206" s="7">
        <f>DATE(2010,4,28)</f>
        <v>40296</v>
      </c>
      <c r="E3206" s="8">
        <f t="shared" si="52"/>
        <v>2010</v>
      </c>
      <c r="F3206" t="s">
        <v>756</v>
      </c>
      <c r="G3206" s="9">
        <v>41372.199999999997</v>
      </c>
      <c r="H3206" s="8">
        <v>9674</v>
      </c>
    </row>
    <row r="3207" spans="2:8" ht="17.5" customHeight="1" x14ac:dyDescent="0.4">
      <c r="B3207" t="s">
        <v>7</v>
      </c>
      <c r="C3207" t="s">
        <v>755</v>
      </c>
      <c r="D3207" s="7">
        <f>DATE(2010,5,26)</f>
        <v>40324</v>
      </c>
      <c r="E3207" s="8">
        <f t="shared" si="52"/>
        <v>2010</v>
      </c>
      <c r="F3207" t="s">
        <v>756</v>
      </c>
      <c r="G3207" s="9">
        <v>46655.24</v>
      </c>
      <c r="H3207" s="8">
        <v>9186</v>
      </c>
    </row>
    <row r="3208" spans="2:8" ht="17.5" customHeight="1" x14ac:dyDescent="0.4">
      <c r="B3208" t="s">
        <v>7</v>
      </c>
      <c r="C3208" t="s">
        <v>755</v>
      </c>
      <c r="D3208" s="7">
        <f>DATE(2010,9,2)</f>
        <v>40423</v>
      </c>
      <c r="E3208" s="8">
        <f t="shared" si="52"/>
        <v>2010</v>
      </c>
      <c r="F3208" t="s">
        <v>756</v>
      </c>
      <c r="G3208" s="9">
        <v>6788.89</v>
      </c>
      <c r="H3208" s="8">
        <v>10000</v>
      </c>
    </row>
    <row r="3209" spans="2:8" ht="17.5" customHeight="1" x14ac:dyDescent="0.4">
      <c r="B3209" s="3" t="s">
        <v>7</v>
      </c>
      <c r="C3209" s="3" t="s">
        <v>755</v>
      </c>
      <c r="D3209" s="4">
        <f>DATE(2010,4,30)</f>
        <v>40298</v>
      </c>
      <c r="E3209" s="5">
        <f t="shared" si="52"/>
        <v>2010</v>
      </c>
      <c r="F3209" s="3" t="s">
        <v>756</v>
      </c>
      <c r="G3209" s="6">
        <v>214.25</v>
      </c>
      <c r="H3209" s="5">
        <v>13945</v>
      </c>
    </row>
    <row r="3210" spans="2:8" ht="17.5" customHeight="1" x14ac:dyDescent="0.4">
      <c r="B3210" s="3" t="s">
        <v>7</v>
      </c>
      <c r="C3210" s="3" t="s">
        <v>757</v>
      </c>
      <c r="D3210" s="4">
        <f>DATE(2009,8,21)</f>
        <v>40046</v>
      </c>
      <c r="E3210" s="5">
        <f t="shared" si="52"/>
        <v>2009</v>
      </c>
      <c r="F3210" s="3" t="s">
        <v>758</v>
      </c>
      <c r="G3210" s="6">
        <v>500</v>
      </c>
      <c r="H3210" s="5">
        <v>12947</v>
      </c>
    </row>
    <row r="3211" spans="2:8" ht="17.5" customHeight="1" x14ac:dyDescent="0.4">
      <c r="B3211" t="s">
        <v>7</v>
      </c>
      <c r="C3211" t="s">
        <v>759</v>
      </c>
      <c r="D3211" s="7">
        <f>DATE(2017,5,4)</f>
        <v>42859</v>
      </c>
      <c r="E3211" s="8">
        <f t="shared" si="52"/>
        <v>2017</v>
      </c>
      <c r="F3211" t="s">
        <v>760</v>
      </c>
      <c r="G3211" s="9">
        <v>94.04</v>
      </c>
      <c r="H3211" s="8">
        <v>24868</v>
      </c>
    </row>
    <row r="3212" spans="2:8" ht="17.5" customHeight="1" x14ac:dyDescent="0.4">
      <c r="B3212" t="s">
        <v>7</v>
      </c>
      <c r="C3212" t="s">
        <v>761</v>
      </c>
      <c r="D3212" s="7">
        <f>DATE(2019,5,6)</f>
        <v>43591</v>
      </c>
      <c r="E3212" s="8">
        <f t="shared" si="52"/>
        <v>2019</v>
      </c>
      <c r="F3212" t="s">
        <v>762</v>
      </c>
      <c r="G3212" s="9">
        <v>4451.5</v>
      </c>
      <c r="H3212" s="8">
        <v>28897</v>
      </c>
    </row>
    <row r="3213" spans="2:8" ht="17.5" customHeight="1" x14ac:dyDescent="0.4">
      <c r="B3213" t="s">
        <v>7</v>
      </c>
      <c r="C3213" t="s">
        <v>761</v>
      </c>
      <c r="D3213" s="7">
        <f>DATE(2019,5,6)</f>
        <v>43591</v>
      </c>
      <c r="E3213" s="8">
        <f t="shared" si="52"/>
        <v>2019</v>
      </c>
      <c r="F3213" t="s">
        <v>762</v>
      </c>
      <c r="G3213" s="9">
        <v>5000</v>
      </c>
      <c r="H3213" s="8">
        <v>28758</v>
      </c>
    </row>
    <row r="3214" spans="2:8" ht="17.5" customHeight="1" x14ac:dyDescent="0.4">
      <c r="B3214" t="s">
        <v>7</v>
      </c>
      <c r="C3214" t="s">
        <v>763</v>
      </c>
      <c r="D3214" s="7">
        <f>DATE(2003,2,5)</f>
        <v>37657</v>
      </c>
      <c r="E3214" s="8">
        <f t="shared" si="52"/>
        <v>2003</v>
      </c>
      <c r="F3214" t="s">
        <v>764</v>
      </c>
      <c r="G3214" s="9">
        <v>2625.94</v>
      </c>
      <c r="H3214" s="8">
        <v>185</v>
      </c>
    </row>
    <row r="3215" spans="2:8" ht="17.5" customHeight="1" x14ac:dyDescent="0.4">
      <c r="B3215" t="s">
        <v>7</v>
      </c>
      <c r="C3215" t="s">
        <v>763</v>
      </c>
      <c r="D3215" s="7">
        <f>DATE(2003,3,7)</f>
        <v>37687</v>
      </c>
      <c r="E3215" s="8">
        <f t="shared" si="52"/>
        <v>2003</v>
      </c>
      <c r="F3215" t="s">
        <v>764</v>
      </c>
      <c r="G3215" s="9">
        <v>14657</v>
      </c>
      <c r="H3215" s="8">
        <v>240</v>
      </c>
    </row>
    <row r="3216" spans="2:8" ht="17.5" customHeight="1" x14ac:dyDescent="0.4">
      <c r="B3216" t="s">
        <v>7</v>
      </c>
      <c r="C3216" t="s">
        <v>763</v>
      </c>
      <c r="D3216" s="7">
        <f>DATE(2003,4,28)</f>
        <v>37739</v>
      </c>
      <c r="E3216" s="8">
        <f t="shared" si="52"/>
        <v>2003</v>
      </c>
      <c r="F3216" t="s">
        <v>764</v>
      </c>
      <c r="G3216" s="9">
        <v>24052</v>
      </c>
      <c r="H3216" s="8">
        <v>239</v>
      </c>
    </row>
    <row r="3217" spans="2:8" ht="17.5" customHeight="1" x14ac:dyDescent="0.4">
      <c r="B3217" t="s">
        <v>7</v>
      </c>
      <c r="C3217" t="s">
        <v>763</v>
      </c>
      <c r="D3217" s="7">
        <f>DATE(2003,10,6)</f>
        <v>37900</v>
      </c>
      <c r="E3217" s="8">
        <f t="shared" si="52"/>
        <v>2003</v>
      </c>
      <c r="F3217" t="s">
        <v>764</v>
      </c>
      <c r="G3217" s="9">
        <v>1332.32</v>
      </c>
      <c r="H3217" s="8">
        <v>879</v>
      </c>
    </row>
    <row r="3218" spans="2:8" ht="17.5" customHeight="1" x14ac:dyDescent="0.4">
      <c r="B3218" t="s">
        <v>7</v>
      </c>
      <c r="C3218" t="s">
        <v>763</v>
      </c>
      <c r="D3218" s="7">
        <f>DATE(2004,9,15)</f>
        <v>38245</v>
      </c>
      <c r="E3218" s="8">
        <f t="shared" si="52"/>
        <v>2004</v>
      </c>
      <c r="F3218" t="s">
        <v>764</v>
      </c>
      <c r="G3218" s="9">
        <v>1450.88</v>
      </c>
      <c r="H3218" s="8">
        <v>2196</v>
      </c>
    </row>
    <row r="3219" spans="2:8" ht="17.5" customHeight="1" x14ac:dyDescent="0.4">
      <c r="B3219" t="s">
        <v>7</v>
      </c>
      <c r="C3219" t="s">
        <v>763</v>
      </c>
      <c r="D3219" s="7">
        <f>DATE(2005,3,9)</f>
        <v>38420</v>
      </c>
      <c r="E3219" s="8">
        <f t="shared" si="52"/>
        <v>2005</v>
      </c>
      <c r="F3219" t="s">
        <v>764</v>
      </c>
      <c r="G3219" s="9">
        <v>2354.1</v>
      </c>
      <c r="H3219" s="8">
        <v>2891</v>
      </c>
    </row>
    <row r="3220" spans="2:8" ht="17.5" customHeight="1" x14ac:dyDescent="0.4">
      <c r="B3220" t="s">
        <v>7</v>
      </c>
      <c r="C3220" t="s">
        <v>763</v>
      </c>
      <c r="D3220" s="7">
        <f>DATE(2005,4,11)</f>
        <v>38453</v>
      </c>
      <c r="E3220" s="8">
        <f t="shared" si="52"/>
        <v>2005</v>
      </c>
      <c r="F3220" t="s">
        <v>764</v>
      </c>
      <c r="G3220" s="9">
        <v>2317.36</v>
      </c>
      <c r="H3220" s="8">
        <v>3016</v>
      </c>
    </row>
    <row r="3221" spans="2:8" ht="17.5" customHeight="1" x14ac:dyDescent="0.4">
      <c r="B3221" t="s">
        <v>7</v>
      </c>
      <c r="C3221" t="s">
        <v>763</v>
      </c>
      <c r="D3221" s="7">
        <f>DATE(2006,3,24)</f>
        <v>38800</v>
      </c>
      <c r="E3221" s="8">
        <f t="shared" si="52"/>
        <v>2006</v>
      </c>
      <c r="F3221" t="s">
        <v>764</v>
      </c>
      <c r="G3221" s="9">
        <v>14575</v>
      </c>
      <c r="H3221" s="8">
        <v>4270</v>
      </c>
    </row>
    <row r="3222" spans="2:8" ht="17.5" customHeight="1" x14ac:dyDescent="0.4">
      <c r="B3222" t="s">
        <v>7</v>
      </c>
      <c r="C3222" t="s">
        <v>763</v>
      </c>
      <c r="D3222" s="7">
        <f>DATE(2007,3,1)</f>
        <v>39142</v>
      </c>
      <c r="E3222" s="8">
        <f t="shared" si="52"/>
        <v>2007</v>
      </c>
      <c r="F3222" t="s">
        <v>764</v>
      </c>
      <c r="G3222" s="9">
        <v>33200</v>
      </c>
      <c r="H3222" s="8">
        <v>5597</v>
      </c>
    </row>
    <row r="3223" spans="2:8" ht="17.5" customHeight="1" x14ac:dyDescent="0.4">
      <c r="B3223" t="s">
        <v>7</v>
      </c>
      <c r="C3223" t="s">
        <v>763</v>
      </c>
      <c r="D3223" s="7">
        <f>DATE(2007,4,20)</f>
        <v>39192</v>
      </c>
      <c r="E3223" s="8">
        <f t="shared" si="52"/>
        <v>2007</v>
      </c>
      <c r="F3223" t="s">
        <v>764</v>
      </c>
      <c r="G3223" s="9">
        <v>22216.39</v>
      </c>
      <c r="H3223" s="8">
        <v>5599</v>
      </c>
    </row>
    <row r="3224" spans="2:8" ht="17.5" customHeight="1" x14ac:dyDescent="0.4">
      <c r="B3224" t="s">
        <v>7</v>
      </c>
      <c r="C3224" t="s">
        <v>763</v>
      </c>
      <c r="D3224" s="7">
        <f>DATE(2007,9,23)</f>
        <v>39348</v>
      </c>
      <c r="E3224" s="8">
        <f t="shared" si="52"/>
        <v>2007</v>
      </c>
      <c r="F3224" t="s">
        <v>764</v>
      </c>
      <c r="G3224" s="9">
        <v>19577.5</v>
      </c>
      <c r="H3224" s="8">
        <v>6373</v>
      </c>
    </row>
    <row r="3225" spans="2:8" ht="17.5" customHeight="1" x14ac:dyDescent="0.4">
      <c r="B3225" t="s">
        <v>7</v>
      </c>
      <c r="C3225" t="s">
        <v>763</v>
      </c>
      <c r="D3225" s="7">
        <f>DATE(2008,2,28)</f>
        <v>39506</v>
      </c>
      <c r="E3225" s="8">
        <f t="shared" si="52"/>
        <v>2008</v>
      </c>
      <c r="F3225" t="s">
        <v>764</v>
      </c>
      <c r="G3225" s="9">
        <v>33124.199999999997</v>
      </c>
      <c r="H3225" s="8">
        <v>7079</v>
      </c>
    </row>
    <row r="3226" spans="2:8" ht="17.5" customHeight="1" x14ac:dyDescent="0.4">
      <c r="B3226" t="s">
        <v>7</v>
      </c>
      <c r="C3226" t="s">
        <v>763</v>
      </c>
      <c r="D3226" s="7">
        <f>DATE(2008,4,13)</f>
        <v>39551</v>
      </c>
      <c r="E3226" s="8">
        <f t="shared" si="52"/>
        <v>2008</v>
      </c>
      <c r="F3226" t="s">
        <v>764</v>
      </c>
      <c r="G3226" s="9">
        <v>19965</v>
      </c>
      <c r="H3226" s="8">
        <v>6967</v>
      </c>
    </row>
    <row r="3227" spans="2:8" ht="17.5" customHeight="1" x14ac:dyDescent="0.4">
      <c r="B3227" t="s">
        <v>7</v>
      </c>
      <c r="C3227" t="s">
        <v>763</v>
      </c>
      <c r="D3227" s="7">
        <f>DATE(2008,6,1)</f>
        <v>39600</v>
      </c>
      <c r="E3227" s="8">
        <f t="shared" si="52"/>
        <v>2008</v>
      </c>
      <c r="F3227" t="s">
        <v>764</v>
      </c>
      <c r="G3227" s="9">
        <v>4207.92</v>
      </c>
      <c r="H3227" s="8">
        <v>7430</v>
      </c>
    </row>
    <row r="3228" spans="2:8" ht="17.5" customHeight="1" x14ac:dyDescent="0.4">
      <c r="B3228" t="s">
        <v>7</v>
      </c>
      <c r="C3228" t="s">
        <v>763</v>
      </c>
      <c r="D3228" s="7">
        <f>DATE(2009,3,10)</f>
        <v>39882</v>
      </c>
      <c r="E3228" s="8">
        <f t="shared" si="52"/>
        <v>2009</v>
      </c>
      <c r="F3228" t="s">
        <v>764</v>
      </c>
      <c r="G3228" s="9">
        <v>16933</v>
      </c>
      <c r="H3228" s="8">
        <v>8162</v>
      </c>
    </row>
    <row r="3229" spans="2:8" ht="17.5" customHeight="1" x14ac:dyDescent="0.4">
      <c r="B3229" t="s">
        <v>7</v>
      </c>
      <c r="C3229" t="s">
        <v>763</v>
      </c>
      <c r="D3229" s="7">
        <f>DATE(2010,4,6)</f>
        <v>40274</v>
      </c>
      <c r="E3229" s="8">
        <f t="shared" si="52"/>
        <v>2010</v>
      </c>
      <c r="F3229" t="s">
        <v>764</v>
      </c>
      <c r="G3229" s="9">
        <v>17550</v>
      </c>
      <c r="H3229" s="8">
        <v>9666</v>
      </c>
    </row>
    <row r="3230" spans="2:8" ht="17.5" customHeight="1" x14ac:dyDescent="0.4">
      <c r="B3230" t="s">
        <v>7</v>
      </c>
      <c r="C3230" t="s">
        <v>763</v>
      </c>
      <c r="D3230" s="7">
        <f>DATE(2010,11,1)</f>
        <v>40483</v>
      </c>
      <c r="E3230" s="8">
        <f t="shared" si="52"/>
        <v>2010</v>
      </c>
      <c r="F3230" t="s">
        <v>764</v>
      </c>
      <c r="G3230" s="9">
        <v>17550</v>
      </c>
      <c r="H3230" s="8">
        <v>10083</v>
      </c>
    </row>
    <row r="3231" spans="2:8" ht="17.5" customHeight="1" x14ac:dyDescent="0.4">
      <c r="B3231" s="3" t="s">
        <v>7</v>
      </c>
      <c r="C3231" s="3" t="s">
        <v>763</v>
      </c>
      <c r="D3231" s="4">
        <f>DATE(2003,3,25)</f>
        <v>37705</v>
      </c>
      <c r="E3231" s="5">
        <f t="shared" si="52"/>
        <v>2003</v>
      </c>
      <c r="F3231" s="3" t="s">
        <v>764</v>
      </c>
      <c r="G3231" s="6">
        <v>20700</v>
      </c>
      <c r="H3231" s="5">
        <v>321</v>
      </c>
    </row>
    <row r="3232" spans="2:8" ht="17.5" customHeight="1" x14ac:dyDescent="0.4">
      <c r="B3232" s="3" t="s">
        <v>7</v>
      </c>
      <c r="C3232" s="3" t="s">
        <v>763</v>
      </c>
      <c r="D3232" s="4">
        <f>DATE(2003,12,19)</f>
        <v>37974</v>
      </c>
      <c r="E3232" s="5">
        <f t="shared" si="52"/>
        <v>2003</v>
      </c>
      <c r="F3232" s="3" t="s">
        <v>764</v>
      </c>
      <c r="G3232" s="6">
        <v>5175</v>
      </c>
      <c r="H3232" s="5">
        <v>1909</v>
      </c>
    </row>
    <row r="3233" spans="2:8" ht="17.5" customHeight="1" x14ac:dyDescent="0.4">
      <c r="B3233" s="3" t="s">
        <v>7</v>
      </c>
      <c r="C3233" s="3" t="s">
        <v>763</v>
      </c>
      <c r="D3233" s="4">
        <f>DATE(2004,5,6)</f>
        <v>38113</v>
      </c>
      <c r="E3233" s="5">
        <f t="shared" si="52"/>
        <v>2004</v>
      </c>
      <c r="F3233" s="3" t="s">
        <v>764</v>
      </c>
      <c r="G3233" s="6">
        <v>5412</v>
      </c>
      <c r="H3233" s="5">
        <v>2718</v>
      </c>
    </row>
    <row r="3234" spans="2:8" ht="17.5" customHeight="1" x14ac:dyDescent="0.4">
      <c r="B3234" s="3" t="s">
        <v>7</v>
      </c>
      <c r="C3234" s="3" t="s">
        <v>763</v>
      </c>
      <c r="D3234" s="4">
        <f>DATE(2004,10,20)</f>
        <v>38280</v>
      </c>
      <c r="E3234" s="5">
        <f t="shared" si="52"/>
        <v>2004</v>
      </c>
      <c r="F3234" s="3" t="s">
        <v>764</v>
      </c>
      <c r="G3234" s="6">
        <v>242.8</v>
      </c>
      <c r="H3234" s="5">
        <v>3587</v>
      </c>
    </row>
    <row r="3235" spans="2:8" ht="17.5" customHeight="1" x14ac:dyDescent="0.4">
      <c r="B3235" s="3" t="s">
        <v>7</v>
      </c>
      <c r="C3235" s="3" t="s">
        <v>763</v>
      </c>
      <c r="D3235" s="4">
        <f>DATE(2005,1,13)</f>
        <v>38365</v>
      </c>
      <c r="E3235" s="5">
        <f t="shared" si="52"/>
        <v>2005</v>
      </c>
      <c r="F3235" s="3" t="s">
        <v>764</v>
      </c>
      <c r="G3235" s="6">
        <v>303</v>
      </c>
      <c r="H3235" s="5">
        <v>3938</v>
      </c>
    </row>
    <row r="3236" spans="2:8" ht="17.5" customHeight="1" x14ac:dyDescent="0.4">
      <c r="B3236" s="3" t="s">
        <v>7</v>
      </c>
      <c r="C3236" s="3" t="s">
        <v>763</v>
      </c>
      <c r="D3236" s="4">
        <f>DATE(2005,2,14)</f>
        <v>38397</v>
      </c>
      <c r="E3236" s="5">
        <f t="shared" si="52"/>
        <v>2005</v>
      </c>
      <c r="F3236" s="3" t="s">
        <v>764</v>
      </c>
      <c r="G3236" s="6">
        <v>4546.5</v>
      </c>
      <c r="H3236" s="5">
        <v>4135</v>
      </c>
    </row>
    <row r="3237" spans="2:8" ht="17.5" customHeight="1" x14ac:dyDescent="0.4">
      <c r="B3237" s="3" t="s">
        <v>7</v>
      </c>
      <c r="C3237" s="3" t="s">
        <v>763</v>
      </c>
      <c r="D3237" s="4">
        <f>DATE(2005,2,21)</f>
        <v>38404</v>
      </c>
      <c r="E3237" s="5">
        <f t="shared" si="52"/>
        <v>2005</v>
      </c>
      <c r="F3237" s="3" t="s">
        <v>764</v>
      </c>
      <c r="G3237" s="6">
        <v>4499</v>
      </c>
      <c r="H3237" s="5">
        <v>4132</v>
      </c>
    </row>
    <row r="3238" spans="2:8" ht="17.5" customHeight="1" x14ac:dyDescent="0.4">
      <c r="B3238" s="3" t="s">
        <v>7</v>
      </c>
      <c r="C3238" s="3" t="s">
        <v>763</v>
      </c>
      <c r="D3238" s="4">
        <f>DATE(2005,8,3)</f>
        <v>38567</v>
      </c>
      <c r="E3238" s="5">
        <f t="shared" si="52"/>
        <v>2005</v>
      </c>
      <c r="F3238" s="3" t="s">
        <v>764</v>
      </c>
      <c r="G3238" s="6">
        <v>240.1</v>
      </c>
      <c r="H3238" s="5">
        <v>5049</v>
      </c>
    </row>
    <row r="3239" spans="2:8" ht="17.5" customHeight="1" x14ac:dyDescent="0.4">
      <c r="B3239" s="3" t="s">
        <v>7</v>
      </c>
      <c r="C3239" s="3" t="s">
        <v>763</v>
      </c>
      <c r="D3239" s="4">
        <f>DATE(2006,4,27)</f>
        <v>38834</v>
      </c>
      <c r="E3239" s="5">
        <f t="shared" si="52"/>
        <v>2006</v>
      </c>
      <c r="F3239" s="3" t="s">
        <v>764</v>
      </c>
      <c r="G3239" s="6">
        <v>240.1</v>
      </c>
      <c r="H3239" s="5">
        <v>6580</v>
      </c>
    </row>
    <row r="3240" spans="2:8" ht="17.5" customHeight="1" x14ac:dyDescent="0.4">
      <c r="B3240" s="3" t="s">
        <v>7</v>
      </c>
      <c r="C3240" s="3" t="s">
        <v>763</v>
      </c>
      <c r="D3240" s="4">
        <f>DATE(2006,12,21)</f>
        <v>39072</v>
      </c>
      <c r="E3240" s="5">
        <f t="shared" si="52"/>
        <v>2006</v>
      </c>
      <c r="F3240" s="3" t="s">
        <v>764</v>
      </c>
      <c r="G3240" s="6">
        <v>318.20999999999998</v>
      </c>
      <c r="H3240" s="5">
        <v>7622</v>
      </c>
    </row>
    <row r="3241" spans="2:8" ht="17.5" customHeight="1" x14ac:dyDescent="0.4">
      <c r="B3241" s="3" t="s">
        <v>7</v>
      </c>
      <c r="C3241" s="3" t="s">
        <v>763</v>
      </c>
      <c r="D3241" s="4">
        <f>DATE(2007,3,12)</f>
        <v>39153</v>
      </c>
      <c r="E3241" s="5">
        <f t="shared" si="52"/>
        <v>2007</v>
      </c>
      <c r="F3241" s="3" t="s">
        <v>764</v>
      </c>
      <c r="G3241" s="6">
        <v>17640</v>
      </c>
      <c r="H3241" s="5">
        <v>8132</v>
      </c>
    </row>
    <row r="3242" spans="2:8" ht="17.5" customHeight="1" x14ac:dyDescent="0.4">
      <c r="B3242" s="3" t="s">
        <v>7</v>
      </c>
      <c r="C3242" s="3" t="s">
        <v>763</v>
      </c>
      <c r="D3242" s="4">
        <f>DATE(2007,4,16)</f>
        <v>39188</v>
      </c>
      <c r="E3242" s="5">
        <f t="shared" si="52"/>
        <v>2007</v>
      </c>
      <c r="F3242" s="3" t="s">
        <v>764</v>
      </c>
      <c r="G3242" s="6">
        <v>318.8</v>
      </c>
      <c r="H3242" s="5">
        <v>8374</v>
      </c>
    </row>
    <row r="3243" spans="2:8" ht="17.5" customHeight="1" x14ac:dyDescent="0.4">
      <c r="B3243" s="3" t="s">
        <v>7</v>
      </c>
      <c r="C3243" s="3" t="s">
        <v>763</v>
      </c>
      <c r="D3243" s="4">
        <f>DATE(2007,9,23)</f>
        <v>39348</v>
      </c>
      <c r="E3243" s="5">
        <f t="shared" si="52"/>
        <v>2007</v>
      </c>
      <c r="F3243" s="3" t="s">
        <v>764</v>
      </c>
      <c r="G3243" s="6">
        <v>9216</v>
      </c>
      <c r="H3243" s="5">
        <v>9171</v>
      </c>
    </row>
    <row r="3244" spans="2:8" ht="17.5" customHeight="1" x14ac:dyDescent="0.4">
      <c r="B3244" s="3" t="s">
        <v>7</v>
      </c>
      <c r="C3244" s="3" t="s">
        <v>763</v>
      </c>
      <c r="D3244" s="4">
        <f>DATE(2007,10,5)</f>
        <v>39360</v>
      </c>
      <c r="E3244" s="5">
        <f t="shared" si="52"/>
        <v>2007</v>
      </c>
      <c r="F3244" s="3" t="s">
        <v>764</v>
      </c>
      <c r="G3244" s="6">
        <v>1681.58</v>
      </c>
      <c r="H3244" s="5">
        <v>9279</v>
      </c>
    </row>
    <row r="3245" spans="2:8" ht="17.5" customHeight="1" x14ac:dyDescent="0.4">
      <c r="B3245" s="3" t="s">
        <v>7</v>
      </c>
      <c r="C3245" s="3" t="s">
        <v>763</v>
      </c>
      <c r="D3245" s="4">
        <f>DATE(2007,10,2)</f>
        <v>39357</v>
      </c>
      <c r="E3245" s="5">
        <f t="shared" si="52"/>
        <v>2007</v>
      </c>
      <c r="F3245" s="3" t="s">
        <v>764</v>
      </c>
      <c r="G3245" s="6">
        <v>227.63</v>
      </c>
      <c r="H3245" s="5">
        <v>9266</v>
      </c>
    </row>
    <row r="3246" spans="2:8" ht="17.5" customHeight="1" x14ac:dyDescent="0.4">
      <c r="B3246" s="3" t="s">
        <v>7</v>
      </c>
      <c r="C3246" s="3" t="s">
        <v>763</v>
      </c>
      <c r="D3246" s="4">
        <f>DATE(2008,2,28)</f>
        <v>39506</v>
      </c>
      <c r="E3246" s="5">
        <f t="shared" si="52"/>
        <v>2008</v>
      </c>
      <c r="F3246" s="3" t="s">
        <v>764</v>
      </c>
      <c r="G3246" s="6">
        <v>7350</v>
      </c>
      <c r="H3246" s="5">
        <v>9995</v>
      </c>
    </row>
    <row r="3247" spans="2:8" ht="17.5" customHeight="1" x14ac:dyDescent="0.4">
      <c r="B3247" s="3" t="s">
        <v>7</v>
      </c>
      <c r="C3247" s="3" t="s">
        <v>763</v>
      </c>
      <c r="D3247" s="4">
        <f>DATE(2008,3,21)</f>
        <v>39528</v>
      </c>
      <c r="E3247" s="5">
        <f t="shared" si="52"/>
        <v>2008</v>
      </c>
      <c r="F3247" s="3" t="s">
        <v>764</v>
      </c>
      <c r="G3247" s="6">
        <v>568.44000000000005</v>
      </c>
      <c r="H3247" s="5">
        <v>10208</v>
      </c>
    </row>
    <row r="3248" spans="2:8" ht="17.5" customHeight="1" x14ac:dyDescent="0.4">
      <c r="B3248" s="3" t="s">
        <v>7</v>
      </c>
      <c r="C3248" s="3" t="s">
        <v>763</v>
      </c>
      <c r="D3248" s="4">
        <f>DATE(2008,4,7)</f>
        <v>39545</v>
      </c>
      <c r="E3248" s="5">
        <f t="shared" si="52"/>
        <v>2008</v>
      </c>
      <c r="F3248" s="3" t="s">
        <v>764</v>
      </c>
      <c r="G3248" s="6">
        <v>9408</v>
      </c>
      <c r="H3248" s="5">
        <v>9891</v>
      </c>
    </row>
    <row r="3249" spans="2:8" ht="17.5" customHeight="1" x14ac:dyDescent="0.4">
      <c r="B3249" s="3" t="s">
        <v>7</v>
      </c>
      <c r="C3249" s="3" t="s">
        <v>763</v>
      </c>
      <c r="D3249" s="4">
        <f>DATE(2008,6,1)</f>
        <v>39600</v>
      </c>
      <c r="E3249" s="5">
        <f t="shared" si="52"/>
        <v>2008</v>
      </c>
      <c r="F3249" s="3" t="s">
        <v>764</v>
      </c>
      <c r="G3249" s="6">
        <v>530.46</v>
      </c>
      <c r="H3249" s="5">
        <v>10658</v>
      </c>
    </row>
    <row r="3250" spans="2:8" ht="17.5" customHeight="1" x14ac:dyDescent="0.4">
      <c r="B3250" s="3" t="s">
        <v>7</v>
      </c>
      <c r="C3250" s="3" t="s">
        <v>763</v>
      </c>
      <c r="D3250" s="4">
        <f>DATE(2009,3,18)</f>
        <v>39890</v>
      </c>
      <c r="E3250" s="5">
        <f t="shared" si="52"/>
        <v>2009</v>
      </c>
      <c r="F3250" s="3" t="s">
        <v>764</v>
      </c>
      <c r="G3250" s="6">
        <v>12160</v>
      </c>
      <c r="H3250" s="5">
        <v>11736</v>
      </c>
    </row>
    <row r="3251" spans="2:8" ht="17.5" customHeight="1" x14ac:dyDescent="0.4">
      <c r="B3251" s="3" t="s">
        <v>7</v>
      </c>
      <c r="C3251" s="3" t="s">
        <v>763</v>
      </c>
      <c r="D3251" s="4">
        <f>DATE(2009,5,11)</f>
        <v>39944</v>
      </c>
      <c r="E3251" s="5">
        <f t="shared" si="52"/>
        <v>2009</v>
      </c>
      <c r="F3251" s="3" t="s">
        <v>764</v>
      </c>
      <c r="G3251" s="6">
        <v>3815</v>
      </c>
      <c r="H3251" s="5">
        <v>12519</v>
      </c>
    </row>
    <row r="3252" spans="2:8" ht="17.5" customHeight="1" x14ac:dyDescent="0.4">
      <c r="B3252" s="3" t="s">
        <v>7</v>
      </c>
      <c r="C3252" s="3" t="s">
        <v>763</v>
      </c>
      <c r="D3252" s="4">
        <f>DATE(2009,10,29)</f>
        <v>40115</v>
      </c>
      <c r="E3252" s="5">
        <f t="shared" si="52"/>
        <v>2009</v>
      </c>
      <c r="F3252" s="3" t="s">
        <v>764</v>
      </c>
      <c r="G3252" s="6">
        <v>2863</v>
      </c>
      <c r="H3252" s="5">
        <v>13194</v>
      </c>
    </row>
    <row r="3253" spans="2:8" ht="17.5" customHeight="1" x14ac:dyDescent="0.4">
      <c r="B3253" s="3" t="s">
        <v>7</v>
      </c>
      <c r="C3253" s="3" t="s">
        <v>763</v>
      </c>
      <c r="D3253" s="4">
        <f>DATE(2010,4,8)</f>
        <v>40276</v>
      </c>
      <c r="E3253" s="5">
        <f t="shared" si="52"/>
        <v>2010</v>
      </c>
      <c r="F3253" s="3" t="s">
        <v>764</v>
      </c>
      <c r="G3253" s="6">
        <v>12160</v>
      </c>
      <c r="H3253" s="5">
        <v>13759</v>
      </c>
    </row>
    <row r="3254" spans="2:8" ht="17.5" customHeight="1" x14ac:dyDescent="0.4">
      <c r="B3254" s="3" t="s">
        <v>7</v>
      </c>
      <c r="C3254" s="3" t="s">
        <v>763</v>
      </c>
      <c r="D3254" s="4">
        <f>DATE(2010,11,1)</f>
        <v>40483</v>
      </c>
      <c r="E3254" s="5">
        <f t="shared" si="52"/>
        <v>2010</v>
      </c>
      <c r="F3254" s="3" t="s">
        <v>764</v>
      </c>
      <c r="G3254" s="6">
        <v>12160</v>
      </c>
      <c r="H3254" s="5">
        <v>14403</v>
      </c>
    </row>
    <row r="3255" spans="2:8" ht="17.5" customHeight="1" x14ac:dyDescent="0.4">
      <c r="B3255" s="3" t="s">
        <v>7</v>
      </c>
      <c r="C3255" s="3" t="s">
        <v>763</v>
      </c>
      <c r="D3255" s="4">
        <f>DATE(2010,12,1)</f>
        <v>40513</v>
      </c>
      <c r="E3255" s="5">
        <f t="shared" si="52"/>
        <v>2010</v>
      </c>
      <c r="F3255" s="3" t="s">
        <v>764</v>
      </c>
      <c r="G3255" s="6">
        <v>227</v>
      </c>
      <c r="H3255" s="5">
        <v>14789</v>
      </c>
    </row>
    <row r="3256" spans="2:8" ht="17.5" customHeight="1" x14ac:dyDescent="0.4">
      <c r="B3256" s="3" t="s">
        <v>7</v>
      </c>
      <c r="C3256" s="3" t="s">
        <v>763</v>
      </c>
      <c r="D3256" s="4">
        <f>DATE(2010,12,3)</f>
        <v>40515</v>
      </c>
      <c r="E3256" s="5">
        <f t="shared" si="52"/>
        <v>2010</v>
      </c>
      <c r="F3256" s="3" t="s">
        <v>764</v>
      </c>
      <c r="G3256" s="6">
        <v>318.18</v>
      </c>
      <c r="H3256" s="5">
        <v>14796</v>
      </c>
    </row>
    <row r="3257" spans="2:8" ht="17.5" customHeight="1" x14ac:dyDescent="0.4">
      <c r="B3257" s="3" t="s">
        <v>7</v>
      </c>
      <c r="C3257" s="3" t="s">
        <v>763</v>
      </c>
      <c r="D3257" s="4">
        <f>DATE(2013,3,15)</f>
        <v>41348</v>
      </c>
      <c r="E3257" s="5">
        <f t="shared" si="52"/>
        <v>2013</v>
      </c>
      <c r="F3257" s="3" t="s">
        <v>764</v>
      </c>
      <c r="G3257" s="6">
        <v>772</v>
      </c>
      <c r="H3257" s="5">
        <v>18314</v>
      </c>
    </row>
    <row r="3258" spans="2:8" ht="17.5" customHeight="1" x14ac:dyDescent="0.4">
      <c r="B3258" s="3" t="s">
        <v>7</v>
      </c>
      <c r="C3258" s="3" t="s">
        <v>763</v>
      </c>
      <c r="D3258" s="4">
        <f>DATE(2013,10,8)</f>
        <v>41555</v>
      </c>
      <c r="E3258" s="5">
        <f t="shared" si="52"/>
        <v>2013</v>
      </c>
      <c r="F3258" s="3" t="s">
        <v>764</v>
      </c>
      <c r="G3258" s="6">
        <v>1554</v>
      </c>
      <c r="H3258" s="5">
        <v>19009</v>
      </c>
    </row>
    <row r="3259" spans="2:8" ht="17.5" customHeight="1" x14ac:dyDescent="0.4">
      <c r="B3259" s="3" t="s">
        <v>16</v>
      </c>
      <c r="C3259" s="3" t="s">
        <v>763</v>
      </c>
      <c r="D3259" s="4">
        <f>DATE(2007,10,30)</f>
        <v>39385</v>
      </c>
      <c r="E3259" s="5">
        <f t="shared" si="52"/>
        <v>2007</v>
      </c>
      <c r="F3259" s="3" t="s">
        <v>764</v>
      </c>
      <c r="G3259" s="6">
        <v>198.9</v>
      </c>
      <c r="H3259" s="5">
        <v>9282</v>
      </c>
    </row>
    <row r="3260" spans="2:8" ht="17.5" customHeight="1" x14ac:dyDescent="0.4">
      <c r="B3260" s="3" t="s">
        <v>16</v>
      </c>
      <c r="C3260" s="3" t="s">
        <v>763</v>
      </c>
      <c r="D3260" s="4">
        <f>DATE(2010,12,1)</f>
        <v>40513</v>
      </c>
      <c r="E3260" s="5">
        <f t="shared" si="52"/>
        <v>2010</v>
      </c>
      <c r="F3260" s="3" t="s">
        <v>764</v>
      </c>
      <c r="G3260" s="6">
        <v>210</v>
      </c>
      <c r="H3260" s="5">
        <v>14871</v>
      </c>
    </row>
    <row r="3261" spans="2:8" ht="17.5" customHeight="1" x14ac:dyDescent="0.4">
      <c r="B3261" t="s">
        <v>7</v>
      </c>
      <c r="C3261" t="s">
        <v>765</v>
      </c>
      <c r="D3261" s="7">
        <f>DATE(2015,8,20)</f>
        <v>42236</v>
      </c>
      <c r="E3261" s="8">
        <f t="shared" si="52"/>
        <v>2015</v>
      </c>
      <c r="F3261" t="s">
        <v>766</v>
      </c>
      <c r="G3261" s="9">
        <v>6286.7</v>
      </c>
      <c r="H3261" s="8">
        <v>21102</v>
      </c>
    </row>
    <row r="3262" spans="2:8" ht="17.5" customHeight="1" x14ac:dyDescent="0.4">
      <c r="B3262" t="s">
        <v>7</v>
      </c>
      <c r="C3262" t="s">
        <v>765</v>
      </c>
      <c r="D3262" s="7">
        <f>DATE(2015,11,3)</f>
        <v>42311</v>
      </c>
      <c r="E3262" s="8">
        <f t="shared" si="52"/>
        <v>2015</v>
      </c>
      <c r="F3262" t="s">
        <v>766</v>
      </c>
      <c r="G3262" s="9">
        <v>5238.96</v>
      </c>
      <c r="H3262" s="8">
        <v>21479</v>
      </c>
    </row>
    <row r="3263" spans="2:8" ht="17.5" customHeight="1" x14ac:dyDescent="0.4">
      <c r="B3263" t="s">
        <v>7</v>
      </c>
      <c r="C3263" t="s">
        <v>765</v>
      </c>
      <c r="D3263" s="7">
        <f>DATE(2016,2,5)</f>
        <v>42405</v>
      </c>
      <c r="E3263" s="8">
        <f t="shared" si="52"/>
        <v>2016</v>
      </c>
      <c r="F3263" t="s">
        <v>766</v>
      </c>
      <c r="G3263" s="9">
        <v>5714.93</v>
      </c>
      <c r="H3263" s="8">
        <v>22071</v>
      </c>
    </row>
    <row r="3264" spans="2:8" ht="17.5" customHeight="1" x14ac:dyDescent="0.4">
      <c r="B3264" t="s">
        <v>7</v>
      </c>
      <c r="C3264" t="s">
        <v>765</v>
      </c>
      <c r="D3264" s="7">
        <f>DATE(2016,2,5)</f>
        <v>42405</v>
      </c>
      <c r="E3264" s="8">
        <f t="shared" si="52"/>
        <v>2016</v>
      </c>
      <c r="F3264" t="s">
        <v>766</v>
      </c>
      <c r="G3264" s="9">
        <v>5164.0200000000004</v>
      </c>
      <c r="H3264" s="8">
        <v>22151</v>
      </c>
    </row>
    <row r="3265" spans="2:8" ht="17.5" customHeight="1" x14ac:dyDescent="0.4">
      <c r="B3265" t="s">
        <v>16</v>
      </c>
      <c r="C3265" t="s">
        <v>765</v>
      </c>
      <c r="D3265" s="7">
        <f>DATE(2016,2,5)</f>
        <v>42405</v>
      </c>
      <c r="E3265" s="8">
        <f t="shared" si="52"/>
        <v>2016</v>
      </c>
      <c r="F3265" t="s">
        <v>766</v>
      </c>
      <c r="G3265" s="9">
        <v>5714.93</v>
      </c>
      <c r="H3265" s="8">
        <v>22149</v>
      </c>
    </row>
    <row r="3266" spans="2:8" ht="17.5" customHeight="1" x14ac:dyDescent="0.4">
      <c r="B3266" t="s">
        <v>7</v>
      </c>
      <c r="C3266" t="s">
        <v>765</v>
      </c>
      <c r="D3266" s="7">
        <f>DATE(2013,8,21)</f>
        <v>41507</v>
      </c>
      <c r="E3266" s="8">
        <f t="shared" si="52"/>
        <v>2013</v>
      </c>
      <c r="F3266" t="s">
        <v>766</v>
      </c>
      <c r="G3266" s="9">
        <v>5361.52</v>
      </c>
      <c r="H3266" s="8">
        <v>12603</v>
      </c>
    </row>
    <row r="3267" spans="2:8" ht="17.5" customHeight="1" x14ac:dyDescent="0.4">
      <c r="B3267" t="s">
        <v>7</v>
      </c>
      <c r="C3267" t="s">
        <v>767</v>
      </c>
      <c r="D3267" s="7">
        <f>DATE(2017,8,10)</f>
        <v>42957</v>
      </c>
      <c r="E3267" s="8">
        <f t="shared" ref="E3267:E3330" si="53">YEAR(D3267)</f>
        <v>2017</v>
      </c>
      <c r="F3267" t="s">
        <v>768</v>
      </c>
      <c r="G3267" s="9">
        <v>98200.74</v>
      </c>
      <c r="H3267" s="8">
        <v>25012</v>
      </c>
    </row>
    <row r="3268" spans="2:8" ht="17.5" customHeight="1" x14ac:dyDescent="0.4">
      <c r="B3268" s="3" t="s">
        <v>7</v>
      </c>
      <c r="C3268" s="3" t="s">
        <v>769</v>
      </c>
      <c r="D3268" s="4">
        <f>DATE(2007,5,22)</f>
        <v>39224</v>
      </c>
      <c r="E3268" s="5">
        <f t="shared" si="53"/>
        <v>2007</v>
      </c>
      <c r="F3268" s="3" t="s">
        <v>770</v>
      </c>
      <c r="G3268" s="6">
        <v>3750</v>
      </c>
      <c r="H3268" s="5">
        <v>8567</v>
      </c>
    </row>
    <row r="3269" spans="2:8" ht="17.5" customHeight="1" x14ac:dyDescent="0.4">
      <c r="B3269" t="s">
        <v>7</v>
      </c>
      <c r="C3269" t="s">
        <v>771</v>
      </c>
      <c r="D3269" s="7">
        <f>DATE(2017,6,28)</f>
        <v>42914</v>
      </c>
      <c r="E3269" s="8">
        <f t="shared" si="53"/>
        <v>2017</v>
      </c>
      <c r="F3269" t="s">
        <v>772</v>
      </c>
      <c r="G3269" s="9">
        <v>7076.53</v>
      </c>
      <c r="H3269" s="8">
        <v>25158</v>
      </c>
    </row>
    <row r="3270" spans="2:8" ht="17.5" customHeight="1" x14ac:dyDescent="0.4">
      <c r="B3270" t="s">
        <v>7</v>
      </c>
      <c r="C3270" t="s">
        <v>773</v>
      </c>
      <c r="D3270" s="7">
        <f>DATE(2017,5,31)</f>
        <v>42886</v>
      </c>
      <c r="E3270" s="8">
        <f t="shared" si="53"/>
        <v>2017</v>
      </c>
      <c r="F3270" t="s">
        <v>774</v>
      </c>
      <c r="G3270" s="9">
        <v>5962.55</v>
      </c>
      <c r="H3270" s="8">
        <v>24833</v>
      </c>
    </row>
    <row r="3271" spans="2:8" ht="17.5" customHeight="1" x14ac:dyDescent="0.4">
      <c r="B3271" s="3" t="s">
        <v>7</v>
      </c>
      <c r="C3271" s="3" t="s">
        <v>773</v>
      </c>
      <c r="D3271" s="4">
        <f>DATE(2005,8,18)</f>
        <v>38582</v>
      </c>
      <c r="E3271" s="5">
        <f t="shared" si="53"/>
        <v>2005</v>
      </c>
      <c r="F3271" s="3" t="s">
        <v>775</v>
      </c>
      <c r="G3271" s="6">
        <v>250</v>
      </c>
      <c r="H3271" s="5">
        <v>1244</v>
      </c>
    </row>
    <row r="3272" spans="2:8" ht="17.5" customHeight="1" x14ac:dyDescent="0.4">
      <c r="B3272" t="s">
        <v>7</v>
      </c>
      <c r="C3272" t="s">
        <v>776</v>
      </c>
      <c r="D3272" s="7">
        <f>DATE(2017,5,17)</f>
        <v>42872</v>
      </c>
      <c r="E3272" s="8">
        <f t="shared" si="53"/>
        <v>2017</v>
      </c>
      <c r="F3272" t="s">
        <v>777</v>
      </c>
      <c r="G3272" s="9">
        <v>7070.76</v>
      </c>
      <c r="H3272" s="8">
        <v>24872</v>
      </c>
    </row>
    <row r="3273" spans="2:8" ht="17.5" customHeight="1" x14ac:dyDescent="0.4">
      <c r="B3273" t="s">
        <v>7</v>
      </c>
      <c r="C3273" t="s">
        <v>776</v>
      </c>
      <c r="D3273" s="7">
        <f>DATE(2017,5,17)</f>
        <v>42872</v>
      </c>
      <c r="E3273" s="8">
        <f t="shared" si="53"/>
        <v>2017</v>
      </c>
      <c r="F3273" t="s">
        <v>777</v>
      </c>
      <c r="G3273" s="9">
        <v>7307.24</v>
      </c>
      <c r="H3273" s="8">
        <v>24928</v>
      </c>
    </row>
    <row r="3274" spans="2:8" ht="17.5" customHeight="1" x14ac:dyDescent="0.4">
      <c r="B3274" t="s">
        <v>7</v>
      </c>
      <c r="C3274" t="s">
        <v>776</v>
      </c>
      <c r="D3274" s="7">
        <f>DATE(2017,10,23)</f>
        <v>43031</v>
      </c>
      <c r="E3274" s="8">
        <f t="shared" si="53"/>
        <v>2017</v>
      </c>
      <c r="F3274" t="s">
        <v>777</v>
      </c>
      <c r="G3274" s="9">
        <v>7428.51</v>
      </c>
      <c r="H3274" s="8">
        <v>24975</v>
      </c>
    </row>
    <row r="3275" spans="2:8" ht="17.5" customHeight="1" x14ac:dyDescent="0.4">
      <c r="B3275" t="s">
        <v>7</v>
      </c>
      <c r="C3275" t="s">
        <v>776</v>
      </c>
      <c r="D3275" s="7">
        <f>DATE(2017,6,12)</f>
        <v>42898</v>
      </c>
      <c r="E3275" s="8">
        <f t="shared" si="53"/>
        <v>2017</v>
      </c>
      <c r="F3275" t="s">
        <v>777</v>
      </c>
      <c r="G3275" s="9">
        <v>4513.91</v>
      </c>
      <c r="H3275" s="8">
        <v>24897</v>
      </c>
    </row>
    <row r="3276" spans="2:8" ht="17.5" customHeight="1" x14ac:dyDescent="0.4">
      <c r="B3276" t="s">
        <v>7</v>
      </c>
      <c r="C3276" t="s">
        <v>776</v>
      </c>
      <c r="D3276" s="7">
        <f>DATE(2017,10,23)</f>
        <v>43031</v>
      </c>
      <c r="E3276" s="8">
        <f t="shared" si="53"/>
        <v>2017</v>
      </c>
      <c r="F3276" t="s">
        <v>777</v>
      </c>
      <c r="G3276" s="9">
        <v>3873.24</v>
      </c>
      <c r="H3276" s="8">
        <v>25011</v>
      </c>
    </row>
    <row r="3277" spans="2:8" ht="17.5" customHeight="1" x14ac:dyDescent="0.4">
      <c r="B3277" t="s">
        <v>7</v>
      </c>
      <c r="C3277" t="s">
        <v>778</v>
      </c>
      <c r="D3277" s="7">
        <f>DATE(2018,11,6)</f>
        <v>43410</v>
      </c>
      <c r="E3277" s="8">
        <f t="shared" si="53"/>
        <v>2018</v>
      </c>
      <c r="F3277" t="s">
        <v>779</v>
      </c>
      <c r="G3277" s="9">
        <v>1218.75</v>
      </c>
      <c r="H3277" s="8">
        <v>27944</v>
      </c>
    </row>
    <row r="3278" spans="2:8" ht="17.5" customHeight="1" x14ac:dyDescent="0.4">
      <c r="B3278" t="s">
        <v>7</v>
      </c>
      <c r="C3278" t="s">
        <v>778</v>
      </c>
      <c r="D3278" s="7">
        <f>DATE(2015,10,9)</f>
        <v>42286</v>
      </c>
      <c r="E3278" s="8">
        <f t="shared" si="53"/>
        <v>2015</v>
      </c>
      <c r="F3278" t="s">
        <v>779</v>
      </c>
      <c r="G3278" s="9">
        <v>14960</v>
      </c>
      <c r="H3278" s="8">
        <v>21267</v>
      </c>
    </row>
    <row r="3279" spans="2:8" ht="17.5" customHeight="1" x14ac:dyDescent="0.4">
      <c r="B3279" t="s">
        <v>7</v>
      </c>
      <c r="C3279" t="s">
        <v>778</v>
      </c>
      <c r="D3279" s="7">
        <f>DATE(2016,5,18)</f>
        <v>42508</v>
      </c>
      <c r="E3279" s="8">
        <f t="shared" si="53"/>
        <v>2016</v>
      </c>
      <c r="F3279" t="s">
        <v>779</v>
      </c>
      <c r="G3279" s="9">
        <v>12540</v>
      </c>
      <c r="H3279" s="8">
        <v>22690</v>
      </c>
    </row>
    <row r="3280" spans="2:8" ht="17.5" customHeight="1" x14ac:dyDescent="0.4">
      <c r="B3280" t="s">
        <v>7</v>
      </c>
      <c r="C3280" t="s">
        <v>778</v>
      </c>
      <c r="D3280" s="7">
        <f>DATE(2006,9,29)</f>
        <v>38989</v>
      </c>
      <c r="E3280" s="8">
        <f t="shared" si="53"/>
        <v>2006</v>
      </c>
      <c r="F3280" t="s">
        <v>779</v>
      </c>
      <c r="G3280" s="9">
        <v>75</v>
      </c>
      <c r="H3280" s="8">
        <v>5039</v>
      </c>
    </row>
    <row r="3281" spans="2:8" ht="17.5" customHeight="1" x14ac:dyDescent="0.4">
      <c r="B3281" t="s">
        <v>7</v>
      </c>
      <c r="C3281" t="s">
        <v>778</v>
      </c>
      <c r="D3281" s="7">
        <f>DATE(2007,3,29)</f>
        <v>39170</v>
      </c>
      <c r="E3281" s="8">
        <f t="shared" si="53"/>
        <v>2007</v>
      </c>
      <c r="F3281" t="s">
        <v>779</v>
      </c>
      <c r="G3281" s="9">
        <v>1500</v>
      </c>
      <c r="H3281" s="8">
        <v>5796</v>
      </c>
    </row>
    <row r="3282" spans="2:8" ht="17.5" customHeight="1" x14ac:dyDescent="0.4">
      <c r="B3282" t="s">
        <v>7</v>
      </c>
      <c r="C3282" t="s">
        <v>778</v>
      </c>
      <c r="D3282" s="7">
        <f>DATE(2008,1,2)</f>
        <v>39449</v>
      </c>
      <c r="E3282" s="8">
        <f t="shared" si="53"/>
        <v>2008</v>
      </c>
      <c r="F3282" t="s">
        <v>779</v>
      </c>
      <c r="G3282" s="9">
        <v>1754.2</v>
      </c>
      <c r="H3282" s="8">
        <v>6710</v>
      </c>
    </row>
    <row r="3283" spans="2:8" ht="17.5" customHeight="1" x14ac:dyDescent="0.4">
      <c r="B3283" t="s">
        <v>7</v>
      </c>
      <c r="C3283" t="s">
        <v>778</v>
      </c>
      <c r="D3283" s="7">
        <f>DATE(2008,2,6)</f>
        <v>39484</v>
      </c>
      <c r="E3283" s="8">
        <f t="shared" si="53"/>
        <v>2008</v>
      </c>
      <c r="F3283" t="s">
        <v>779</v>
      </c>
      <c r="G3283" s="9">
        <v>756</v>
      </c>
      <c r="H3283" s="8">
        <v>6757</v>
      </c>
    </row>
    <row r="3284" spans="2:8" ht="17.5" customHeight="1" x14ac:dyDescent="0.4">
      <c r="B3284" t="s">
        <v>7</v>
      </c>
      <c r="C3284" t="s">
        <v>778</v>
      </c>
      <c r="D3284" s="7">
        <f>DATE(2008,2,6)</f>
        <v>39484</v>
      </c>
      <c r="E3284" s="8">
        <f t="shared" si="53"/>
        <v>2008</v>
      </c>
      <c r="F3284" t="s">
        <v>779</v>
      </c>
      <c r="G3284" s="9">
        <v>403.2</v>
      </c>
      <c r="H3284" s="8">
        <v>6959</v>
      </c>
    </row>
    <row r="3285" spans="2:8" ht="17.5" customHeight="1" x14ac:dyDescent="0.4">
      <c r="B3285" t="s">
        <v>7</v>
      </c>
      <c r="C3285" t="s">
        <v>778</v>
      </c>
      <c r="D3285" s="7">
        <f>DATE(2012,5,16)</f>
        <v>41045</v>
      </c>
      <c r="E3285" s="8">
        <f t="shared" si="53"/>
        <v>2012</v>
      </c>
      <c r="F3285" t="s">
        <v>779</v>
      </c>
      <c r="G3285" s="9">
        <v>1080</v>
      </c>
      <c r="H3285" s="8">
        <v>11652</v>
      </c>
    </row>
    <row r="3286" spans="2:8" ht="17.5" customHeight="1" x14ac:dyDescent="0.4">
      <c r="B3286" t="s">
        <v>7</v>
      </c>
      <c r="C3286" t="s">
        <v>778</v>
      </c>
      <c r="D3286" s="7">
        <f>DATE(2013,12,3)</f>
        <v>41611</v>
      </c>
      <c r="E3286" s="8">
        <f t="shared" si="53"/>
        <v>2013</v>
      </c>
      <c r="F3286" t="s">
        <v>779</v>
      </c>
      <c r="G3286" s="9">
        <v>604.79999999999995</v>
      </c>
      <c r="H3286" s="8">
        <v>12745</v>
      </c>
    </row>
    <row r="3287" spans="2:8" ht="17.5" customHeight="1" x14ac:dyDescent="0.4">
      <c r="B3287" t="s">
        <v>7</v>
      </c>
      <c r="C3287" t="s">
        <v>778</v>
      </c>
      <c r="D3287" s="7">
        <f>DATE(2006,4,10)</f>
        <v>38817</v>
      </c>
      <c r="E3287" s="8">
        <f t="shared" si="53"/>
        <v>2006</v>
      </c>
      <c r="F3287" t="s">
        <v>779</v>
      </c>
      <c r="G3287" s="9">
        <v>756</v>
      </c>
      <c r="H3287" s="8">
        <v>4468</v>
      </c>
    </row>
    <row r="3288" spans="2:8" ht="17.5" customHeight="1" x14ac:dyDescent="0.4">
      <c r="B3288" s="3" t="s">
        <v>7</v>
      </c>
      <c r="C3288" s="3" t="s">
        <v>778</v>
      </c>
      <c r="D3288" s="4">
        <f>DATE(2014,5,29)</f>
        <v>41788</v>
      </c>
      <c r="E3288" s="5">
        <f t="shared" si="53"/>
        <v>2014</v>
      </c>
      <c r="F3288" s="3" t="s">
        <v>779</v>
      </c>
      <c r="G3288" s="6">
        <v>5138.5</v>
      </c>
      <c r="H3288" s="5">
        <v>19995</v>
      </c>
    </row>
    <row r="3289" spans="2:8" ht="17.5" customHeight="1" x14ac:dyDescent="0.4">
      <c r="B3289" t="s">
        <v>7</v>
      </c>
      <c r="C3289" t="s">
        <v>780</v>
      </c>
      <c r="D3289" s="7">
        <f>DATE(2016,11,1)</f>
        <v>42675</v>
      </c>
      <c r="E3289" s="8">
        <f t="shared" si="53"/>
        <v>2016</v>
      </c>
      <c r="F3289" t="s">
        <v>781</v>
      </c>
      <c r="G3289" s="9">
        <v>13558.94</v>
      </c>
      <c r="H3289" s="8">
        <v>23661</v>
      </c>
    </row>
    <row r="3290" spans="2:8" ht="17.5" customHeight="1" x14ac:dyDescent="0.4">
      <c r="B3290" t="s">
        <v>7</v>
      </c>
      <c r="C3290" t="s">
        <v>782</v>
      </c>
      <c r="D3290" s="7">
        <f>DATE(2016,11,22)</f>
        <v>42696</v>
      </c>
      <c r="E3290" s="8">
        <f t="shared" si="53"/>
        <v>2016</v>
      </c>
      <c r="F3290" t="s">
        <v>783</v>
      </c>
      <c r="G3290" s="9">
        <v>18284.79</v>
      </c>
      <c r="H3290" s="8">
        <v>23205</v>
      </c>
    </row>
    <row r="3291" spans="2:8" ht="17.5" customHeight="1" x14ac:dyDescent="0.4">
      <c r="B3291" t="s">
        <v>7</v>
      </c>
      <c r="C3291" t="s">
        <v>782</v>
      </c>
      <c r="D3291" s="7">
        <f>DATE(2018,10,19)</f>
        <v>43392</v>
      </c>
      <c r="E3291" s="8">
        <f t="shared" si="53"/>
        <v>2018</v>
      </c>
      <c r="F3291" t="s">
        <v>783</v>
      </c>
      <c r="G3291" s="9">
        <v>17900</v>
      </c>
      <c r="H3291" s="8">
        <v>27222</v>
      </c>
    </row>
    <row r="3292" spans="2:8" ht="17.5" customHeight="1" x14ac:dyDescent="0.4">
      <c r="B3292" t="s">
        <v>7</v>
      </c>
      <c r="C3292" t="s">
        <v>782</v>
      </c>
      <c r="D3292" s="7">
        <f>DATE(2016,11,22)</f>
        <v>42696</v>
      </c>
      <c r="E3292" s="8">
        <f t="shared" si="53"/>
        <v>2016</v>
      </c>
      <c r="F3292" t="s">
        <v>783</v>
      </c>
      <c r="G3292" s="9">
        <v>15585</v>
      </c>
      <c r="H3292" s="8">
        <v>23207</v>
      </c>
    </row>
    <row r="3293" spans="2:8" ht="17.5" customHeight="1" x14ac:dyDescent="0.4">
      <c r="B3293" t="s">
        <v>7</v>
      </c>
      <c r="C3293" t="s">
        <v>782</v>
      </c>
      <c r="D3293" s="7">
        <f>DATE(2018,10,25)</f>
        <v>43398</v>
      </c>
      <c r="E3293" s="8">
        <f t="shared" si="53"/>
        <v>2018</v>
      </c>
      <c r="F3293" t="s">
        <v>783</v>
      </c>
      <c r="G3293" s="9">
        <v>14500</v>
      </c>
      <c r="H3293" s="8">
        <v>27224</v>
      </c>
    </row>
    <row r="3294" spans="2:8" ht="17.5" customHeight="1" x14ac:dyDescent="0.4">
      <c r="B3294" t="s">
        <v>7</v>
      </c>
      <c r="C3294" t="s">
        <v>782</v>
      </c>
      <c r="D3294" s="7">
        <f>DATE(2016,2,10)</f>
        <v>42410</v>
      </c>
      <c r="E3294" s="8">
        <f t="shared" si="53"/>
        <v>2016</v>
      </c>
      <c r="F3294" t="s">
        <v>783</v>
      </c>
      <c r="G3294" s="9">
        <v>7229.65</v>
      </c>
      <c r="H3294" s="8">
        <v>22020</v>
      </c>
    </row>
    <row r="3295" spans="2:8" ht="17.5" customHeight="1" x14ac:dyDescent="0.4">
      <c r="B3295" t="s">
        <v>7</v>
      </c>
      <c r="C3295" t="s">
        <v>782</v>
      </c>
      <c r="D3295" s="7">
        <f>DATE(2018,4,23)</f>
        <v>43213</v>
      </c>
      <c r="E3295" s="8">
        <f t="shared" si="53"/>
        <v>2018</v>
      </c>
      <c r="F3295" t="s">
        <v>783</v>
      </c>
      <c r="G3295" s="9">
        <v>8194.9500000000007</v>
      </c>
      <c r="H3295" s="8">
        <v>26805</v>
      </c>
    </row>
    <row r="3296" spans="2:8" ht="17.5" customHeight="1" x14ac:dyDescent="0.4">
      <c r="B3296" t="s">
        <v>7</v>
      </c>
      <c r="C3296" t="s">
        <v>782</v>
      </c>
      <c r="D3296" s="7">
        <f>DATE(2010,10,20)</f>
        <v>40471</v>
      </c>
      <c r="E3296" s="8">
        <f t="shared" si="53"/>
        <v>2010</v>
      </c>
      <c r="F3296" t="s">
        <v>783</v>
      </c>
      <c r="G3296" s="9">
        <v>14210</v>
      </c>
      <c r="H3296" s="8">
        <v>10076</v>
      </c>
    </row>
    <row r="3297" spans="2:8" ht="17.5" customHeight="1" x14ac:dyDescent="0.4">
      <c r="B3297" t="s">
        <v>7</v>
      </c>
      <c r="C3297" t="s">
        <v>782</v>
      </c>
      <c r="D3297" s="7">
        <f>DATE(2012,3,21)</f>
        <v>40989</v>
      </c>
      <c r="E3297" s="8">
        <f t="shared" si="53"/>
        <v>2012</v>
      </c>
      <c r="F3297" t="s">
        <v>783</v>
      </c>
      <c r="G3297" s="9">
        <v>7798.05</v>
      </c>
      <c r="H3297" s="8">
        <v>11461</v>
      </c>
    </row>
    <row r="3298" spans="2:8" ht="17.5" customHeight="1" x14ac:dyDescent="0.4">
      <c r="B3298" t="s">
        <v>7</v>
      </c>
      <c r="C3298" t="s">
        <v>782</v>
      </c>
      <c r="D3298" s="7">
        <f>DATE(2012,10,23)</f>
        <v>41205</v>
      </c>
      <c r="E3298" s="8">
        <f t="shared" si="53"/>
        <v>2012</v>
      </c>
      <c r="F3298" t="s">
        <v>783</v>
      </c>
      <c r="G3298" s="9">
        <v>15407</v>
      </c>
      <c r="H3298" s="8">
        <v>11844</v>
      </c>
    </row>
    <row r="3299" spans="2:8" ht="17.5" customHeight="1" x14ac:dyDescent="0.4">
      <c r="B3299" t="s">
        <v>7</v>
      </c>
      <c r="C3299" t="s">
        <v>782</v>
      </c>
      <c r="D3299" s="7">
        <f>DATE(2014,10,27)</f>
        <v>41939</v>
      </c>
      <c r="E3299" s="8">
        <f t="shared" si="53"/>
        <v>2014</v>
      </c>
      <c r="F3299" t="s">
        <v>783</v>
      </c>
      <c r="G3299" s="9">
        <v>14282</v>
      </c>
      <c r="H3299" s="8">
        <v>13356</v>
      </c>
    </row>
    <row r="3300" spans="2:8" ht="17.5" customHeight="1" x14ac:dyDescent="0.4">
      <c r="B3300" t="s">
        <v>7</v>
      </c>
      <c r="C3300" t="s">
        <v>782</v>
      </c>
      <c r="D3300" s="7">
        <f>DATE(2004,9,6)</f>
        <v>38236</v>
      </c>
      <c r="E3300" s="8">
        <f t="shared" si="53"/>
        <v>2004</v>
      </c>
      <c r="F3300" t="s">
        <v>783</v>
      </c>
      <c r="G3300" s="9">
        <v>12319</v>
      </c>
      <c r="H3300" s="8">
        <v>1947</v>
      </c>
    </row>
    <row r="3301" spans="2:8" ht="17.5" customHeight="1" x14ac:dyDescent="0.4">
      <c r="B3301" t="s">
        <v>7</v>
      </c>
      <c r="C3301" t="s">
        <v>782</v>
      </c>
      <c r="D3301" s="7">
        <f>DATE(2004,9,4)</f>
        <v>38234</v>
      </c>
      <c r="E3301" s="8">
        <f t="shared" si="53"/>
        <v>2004</v>
      </c>
      <c r="F3301" t="s">
        <v>783</v>
      </c>
      <c r="G3301" s="9">
        <v>4860</v>
      </c>
      <c r="H3301" s="8">
        <v>1957</v>
      </c>
    </row>
    <row r="3302" spans="2:8" ht="17.5" customHeight="1" x14ac:dyDescent="0.4">
      <c r="B3302" t="s">
        <v>7</v>
      </c>
      <c r="C3302" t="s">
        <v>782</v>
      </c>
      <c r="D3302" s="7">
        <f>DATE(2006,8,22)</f>
        <v>38951</v>
      </c>
      <c r="E3302" s="8">
        <f t="shared" si="53"/>
        <v>2006</v>
      </c>
      <c r="F3302" t="s">
        <v>783</v>
      </c>
      <c r="G3302" s="9">
        <v>6324.82</v>
      </c>
      <c r="H3302" s="8">
        <v>4924</v>
      </c>
    </row>
    <row r="3303" spans="2:8" ht="17.5" customHeight="1" x14ac:dyDescent="0.4">
      <c r="B3303" t="s">
        <v>7</v>
      </c>
      <c r="C3303" t="s">
        <v>782</v>
      </c>
      <c r="D3303" s="7">
        <f>DATE(2007,4,1)</f>
        <v>39173</v>
      </c>
      <c r="E3303" s="8">
        <f t="shared" si="53"/>
        <v>2007</v>
      </c>
      <c r="F3303" t="s">
        <v>783</v>
      </c>
      <c r="G3303" s="9">
        <v>8830</v>
      </c>
      <c r="H3303" s="8">
        <v>5479</v>
      </c>
    </row>
    <row r="3304" spans="2:8" ht="17.5" customHeight="1" x14ac:dyDescent="0.4">
      <c r="B3304" t="s">
        <v>7</v>
      </c>
      <c r="C3304" t="s">
        <v>782</v>
      </c>
      <c r="D3304" s="7">
        <f>DATE(2007,4,1)</f>
        <v>39173</v>
      </c>
      <c r="E3304" s="8">
        <f t="shared" si="53"/>
        <v>2007</v>
      </c>
      <c r="F3304" t="s">
        <v>783</v>
      </c>
      <c r="G3304" s="9">
        <v>15969</v>
      </c>
      <c r="H3304" s="8">
        <v>5482</v>
      </c>
    </row>
    <row r="3305" spans="2:8" ht="17.5" customHeight="1" x14ac:dyDescent="0.4">
      <c r="B3305" t="s">
        <v>7</v>
      </c>
      <c r="C3305" t="s">
        <v>782</v>
      </c>
      <c r="D3305" s="7">
        <f>DATE(2008,7,25)</f>
        <v>39654</v>
      </c>
      <c r="E3305" s="8">
        <f t="shared" si="53"/>
        <v>2008</v>
      </c>
      <c r="F3305" t="s">
        <v>783</v>
      </c>
      <c r="G3305" s="9">
        <v>7369.84</v>
      </c>
      <c r="H3305" s="8">
        <v>7633</v>
      </c>
    </row>
    <row r="3306" spans="2:8" ht="17.5" customHeight="1" x14ac:dyDescent="0.4">
      <c r="B3306" t="s">
        <v>7</v>
      </c>
      <c r="C3306" t="s">
        <v>782</v>
      </c>
      <c r="D3306" s="7">
        <f>DATE(2009,3,10)</f>
        <v>39882</v>
      </c>
      <c r="E3306" s="8">
        <f t="shared" si="53"/>
        <v>2009</v>
      </c>
      <c r="F3306" t="s">
        <v>783</v>
      </c>
      <c r="G3306" s="9">
        <v>9805.15</v>
      </c>
      <c r="H3306" s="8">
        <v>8163</v>
      </c>
    </row>
    <row r="3307" spans="2:8" ht="17.5" customHeight="1" x14ac:dyDescent="0.4">
      <c r="B3307" t="s">
        <v>7</v>
      </c>
      <c r="C3307" t="s">
        <v>782</v>
      </c>
      <c r="D3307" s="7">
        <f>DATE(2009,3,11)</f>
        <v>39883</v>
      </c>
      <c r="E3307" s="8">
        <f t="shared" si="53"/>
        <v>2009</v>
      </c>
      <c r="F3307" t="s">
        <v>783</v>
      </c>
      <c r="G3307" s="9">
        <v>12256.25</v>
      </c>
      <c r="H3307" s="8">
        <v>7791</v>
      </c>
    </row>
    <row r="3308" spans="2:8" ht="17.5" customHeight="1" x14ac:dyDescent="0.4">
      <c r="B3308" t="s">
        <v>7</v>
      </c>
      <c r="C3308" t="s">
        <v>782</v>
      </c>
      <c r="D3308" s="7">
        <f>DATE(2010,10,20)</f>
        <v>40471</v>
      </c>
      <c r="E3308" s="8">
        <f t="shared" si="53"/>
        <v>2010</v>
      </c>
      <c r="F3308" t="s">
        <v>783</v>
      </c>
      <c r="G3308" s="9">
        <v>15032</v>
      </c>
      <c r="H3308" s="8">
        <v>10072</v>
      </c>
    </row>
    <row r="3309" spans="2:8" ht="17.5" customHeight="1" x14ac:dyDescent="0.4">
      <c r="B3309" t="s">
        <v>7</v>
      </c>
      <c r="C3309" t="s">
        <v>782</v>
      </c>
      <c r="D3309" s="7">
        <f>DATE(2012,10,23)</f>
        <v>41205</v>
      </c>
      <c r="E3309" s="8">
        <f t="shared" si="53"/>
        <v>2012</v>
      </c>
      <c r="F3309" t="s">
        <v>783</v>
      </c>
      <c r="G3309" s="9">
        <v>16744</v>
      </c>
      <c r="H3309" s="8">
        <v>11845</v>
      </c>
    </row>
    <row r="3310" spans="2:8" ht="17.5" customHeight="1" x14ac:dyDescent="0.4">
      <c r="B3310" t="s">
        <v>7</v>
      </c>
      <c r="C3310" t="s">
        <v>782</v>
      </c>
      <c r="D3310" s="7">
        <f>DATE(2014,10,27)</f>
        <v>41939</v>
      </c>
      <c r="E3310" s="8">
        <f t="shared" si="53"/>
        <v>2014</v>
      </c>
      <c r="F3310" t="s">
        <v>783</v>
      </c>
      <c r="G3310" s="9">
        <v>16987</v>
      </c>
      <c r="H3310" s="8">
        <v>13355</v>
      </c>
    </row>
    <row r="3311" spans="2:8" ht="17.5" customHeight="1" x14ac:dyDescent="0.4">
      <c r="B3311" t="s">
        <v>7</v>
      </c>
      <c r="C3311" t="s">
        <v>782</v>
      </c>
      <c r="D3311" s="7">
        <f>DATE(2010,7,27)</f>
        <v>40386</v>
      </c>
      <c r="E3311" s="8">
        <f t="shared" si="53"/>
        <v>2010</v>
      </c>
      <c r="F3311" t="s">
        <v>783</v>
      </c>
      <c r="G3311" s="9">
        <v>7787.51</v>
      </c>
      <c r="H3311" s="8">
        <v>9965</v>
      </c>
    </row>
    <row r="3312" spans="2:8" ht="17.5" customHeight="1" x14ac:dyDescent="0.4">
      <c r="B3312" t="s">
        <v>7</v>
      </c>
      <c r="C3312" t="s">
        <v>782</v>
      </c>
      <c r="D3312" s="7">
        <f>DATE(2013,1,25)</f>
        <v>41299</v>
      </c>
      <c r="E3312" s="8">
        <f t="shared" si="53"/>
        <v>2013</v>
      </c>
      <c r="F3312" t="s">
        <v>783</v>
      </c>
      <c r="G3312" s="9">
        <v>8259.1</v>
      </c>
      <c r="H3312" s="8">
        <v>12088</v>
      </c>
    </row>
    <row r="3313" spans="2:8" ht="17.5" customHeight="1" x14ac:dyDescent="0.4">
      <c r="B3313" t="s">
        <v>7</v>
      </c>
      <c r="C3313" t="s">
        <v>782</v>
      </c>
      <c r="D3313" s="7">
        <f>DATE(2014,3,13)</f>
        <v>41711</v>
      </c>
      <c r="E3313" s="8">
        <f t="shared" si="53"/>
        <v>2014</v>
      </c>
      <c r="F3313" t="s">
        <v>783</v>
      </c>
      <c r="G3313" s="9">
        <v>7256.76</v>
      </c>
      <c r="H3313" s="8">
        <v>13042</v>
      </c>
    </row>
    <row r="3314" spans="2:8" ht="17.5" customHeight="1" x14ac:dyDescent="0.4">
      <c r="B3314" t="s">
        <v>7</v>
      </c>
      <c r="C3314" t="s">
        <v>782</v>
      </c>
      <c r="D3314" s="7">
        <f>DATE(2014,8,14)</f>
        <v>41865</v>
      </c>
      <c r="E3314" s="8">
        <f t="shared" si="53"/>
        <v>2014</v>
      </c>
      <c r="F3314" t="s">
        <v>783</v>
      </c>
      <c r="G3314" s="9">
        <v>7795.5</v>
      </c>
      <c r="H3314" s="8">
        <v>13391</v>
      </c>
    </row>
    <row r="3315" spans="2:8" ht="17.5" customHeight="1" x14ac:dyDescent="0.4">
      <c r="B3315" s="3" t="s">
        <v>7</v>
      </c>
      <c r="C3315" s="3" t="s">
        <v>782</v>
      </c>
      <c r="D3315" s="4">
        <f>DATE(2009,3,10)</f>
        <v>39882</v>
      </c>
      <c r="E3315" s="5">
        <f t="shared" si="53"/>
        <v>2009</v>
      </c>
      <c r="F3315" s="3" t="s">
        <v>783</v>
      </c>
      <c r="G3315" s="6">
        <v>380</v>
      </c>
      <c r="H3315" s="5">
        <v>12174</v>
      </c>
    </row>
    <row r="3316" spans="2:8" ht="17.5" customHeight="1" x14ac:dyDescent="0.4">
      <c r="B3316" s="3" t="s">
        <v>7</v>
      </c>
      <c r="C3316" s="3" t="s">
        <v>782</v>
      </c>
      <c r="D3316" s="4">
        <f>DATE(2012,3,13)</f>
        <v>40981</v>
      </c>
      <c r="E3316" s="5">
        <f t="shared" si="53"/>
        <v>2012</v>
      </c>
      <c r="F3316" s="3" t="s">
        <v>783</v>
      </c>
      <c r="G3316" s="6">
        <v>380</v>
      </c>
      <c r="H3316" s="5">
        <v>16740</v>
      </c>
    </row>
    <row r="3317" spans="2:8" ht="17.5" customHeight="1" x14ac:dyDescent="0.4">
      <c r="B3317" t="s">
        <v>7</v>
      </c>
      <c r="C3317" t="s">
        <v>784</v>
      </c>
      <c r="D3317" s="7">
        <f>DATE(2015,3,27)</f>
        <v>42090</v>
      </c>
      <c r="E3317" s="8">
        <f t="shared" si="53"/>
        <v>2015</v>
      </c>
      <c r="F3317" t="s">
        <v>785</v>
      </c>
      <c r="G3317" s="9">
        <v>16784.849999999999</v>
      </c>
      <c r="H3317" s="8">
        <v>20120</v>
      </c>
    </row>
    <row r="3318" spans="2:8" ht="17.5" customHeight="1" x14ac:dyDescent="0.4">
      <c r="B3318" t="s">
        <v>7</v>
      </c>
      <c r="C3318" t="s">
        <v>784</v>
      </c>
      <c r="D3318" s="7">
        <f>DATE(2015,3,31)</f>
        <v>42094</v>
      </c>
      <c r="E3318" s="8">
        <f t="shared" si="53"/>
        <v>2015</v>
      </c>
      <c r="F3318" t="s">
        <v>785</v>
      </c>
      <c r="G3318" s="9">
        <v>18127.650000000001</v>
      </c>
      <c r="H3318" s="8">
        <v>20330</v>
      </c>
    </row>
    <row r="3319" spans="2:8" ht="17.5" customHeight="1" x14ac:dyDescent="0.4">
      <c r="B3319" t="s">
        <v>7</v>
      </c>
      <c r="C3319" t="s">
        <v>784</v>
      </c>
      <c r="D3319" s="7">
        <f>DATE(2016,8,2)</f>
        <v>42584</v>
      </c>
      <c r="E3319" s="8">
        <f t="shared" si="53"/>
        <v>2016</v>
      </c>
      <c r="F3319" t="s">
        <v>785</v>
      </c>
      <c r="G3319" s="9">
        <v>7110.13</v>
      </c>
      <c r="H3319" s="8">
        <v>23196</v>
      </c>
    </row>
    <row r="3320" spans="2:8" ht="17.5" customHeight="1" x14ac:dyDescent="0.4">
      <c r="B3320" t="s">
        <v>16</v>
      </c>
      <c r="C3320" t="s">
        <v>784</v>
      </c>
      <c r="D3320" s="7">
        <f>DATE(2015,4,1)</f>
        <v>42095</v>
      </c>
      <c r="E3320" s="8">
        <f t="shared" si="53"/>
        <v>2015</v>
      </c>
      <c r="F3320" t="s">
        <v>785</v>
      </c>
      <c r="G3320" s="9">
        <v>16784.849999999999</v>
      </c>
      <c r="H3320" s="8">
        <v>20341</v>
      </c>
    </row>
    <row r="3321" spans="2:8" ht="17.5" customHeight="1" x14ac:dyDescent="0.4">
      <c r="B3321" t="s">
        <v>16</v>
      </c>
      <c r="C3321" t="s">
        <v>784</v>
      </c>
      <c r="D3321" s="7">
        <f>DATE(2015,4,10)</f>
        <v>42104</v>
      </c>
      <c r="E3321" s="8">
        <f t="shared" si="53"/>
        <v>2015</v>
      </c>
      <c r="F3321" t="s">
        <v>785</v>
      </c>
      <c r="G3321" s="9">
        <v>33.58</v>
      </c>
      <c r="H3321" s="8">
        <v>20427</v>
      </c>
    </row>
    <row r="3322" spans="2:8" ht="17.5" customHeight="1" x14ac:dyDescent="0.4">
      <c r="B3322" t="s">
        <v>7</v>
      </c>
      <c r="C3322" t="s">
        <v>784</v>
      </c>
      <c r="D3322" s="7">
        <f>DATE(2008,5,1)</f>
        <v>39569</v>
      </c>
      <c r="E3322" s="8">
        <f t="shared" si="53"/>
        <v>2008</v>
      </c>
      <c r="F3322" t="s">
        <v>785</v>
      </c>
      <c r="G3322" s="9">
        <v>71619</v>
      </c>
      <c r="H3322" s="8">
        <v>7001</v>
      </c>
    </row>
    <row r="3323" spans="2:8" ht="17.5" customHeight="1" x14ac:dyDescent="0.4">
      <c r="B3323" s="3" t="s">
        <v>7</v>
      </c>
      <c r="C3323" s="3" t="s">
        <v>786</v>
      </c>
      <c r="D3323" s="4">
        <f>DATE(2008,11,5)</f>
        <v>39757</v>
      </c>
      <c r="E3323" s="5">
        <f t="shared" si="53"/>
        <v>2008</v>
      </c>
      <c r="F3323" s="3" t="s">
        <v>787</v>
      </c>
      <c r="G3323" s="6">
        <v>13898.96</v>
      </c>
      <c r="H3323" s="5">
        <v>11518</v>
      </c>
    </row>
    <row r="3324" spans="2:8" ht="17.5" customHeight="1" x14ac:dyDescent="0.4">
      <c r="B3324" s="3" t="s">
        <v>7</v>
      </c>
      <c r="C3324" s="3" t="s">
        <v>786</v>
      </c>
      <c r="D3324" s="4">
        <f>DATE(2009,5,4)</f>
        <v>39937</v>
      </c>
      <c r="E3324" s="5">
        <f t="shared" si="53"/>
        <v>2009</v>
      </c>
      <c r="F3324" s="3" t="s">
        <v>787</v>
      </c>
      <c r="G3324" s="6">
        <v>467.41</v>
      </c>
      <c r="H3324" s="5">
        <v>12474</v>
      </c>
    </row>
    <row r="3325" spans="2:8" ht="17.5" customHeight="1" x14ac:dyDescent="0.4">
      <c r="B3325" s="3" t="s">
        <v>7</v>
      </c>
      <c r="C3325" s="3" t="s">
        <v>786</v>
      </c>
      <c r="D3325" s="4">
        <f>DATE(2009,5,26)</f>
        <v>39959</v>
      </c>
      <c r="E3325" s="5">
        <f t="shared" si="53"/>
        <v>2009</v>
      </c>
      <c r="F3325" s="3" t="s">
        <v>787</v>
      </c>
      <c r="G3325" s="6">
        <v>511.6</v>
      </c>
      <c r="H3325" s="5">
        <v>12609</v>
      </c>
    </row>
    <row r="3326" spans="2:8" ht="17.5" customHeight="1" x14ac:dyDescent="0.4">
      <c r="B3326" s="3" t="s">
        <v>7</v>
      </c>
      <c r="C3326" s="3" t="s">
        <v>786</v>
      </c>
      <c r="D3326" s="4">
        <f>DATE(2009,11,6)</f>
        <v>40123</v>
      </c>
      <c r="E3326" s="5">
        <f t="shared" si="53"/>
        <v>2009</v>
      </c>
      <c r="F3326" s="3" t="s">
        <v>787</v>
      </c>
      <c r="G3326" s="6">
        <v>13137.91</v>
      </c>
      <c r="H3326" s="5">
        <v>13117</v>
      </c>
    </row>
    <row r="3327" spans="2:8" ht="17.5" customHeight="1" x14ac:dyDescent="0.4">
      <c r="B3327" s="3" t="s">
        <v>7</v>
      </c>
      <c r="C3327" s="3" t="s">
        <v>788</v>
      </c>
      <c r="D3327" s="4">
        <f>DATE(2012,7,27)</f>
        <v>41117</v>
      </c>
      <c r="E3327" s="5">
        <f t="shared" si="53"/>
        <v>2012</v>
      </c>
      <c r="F3327" s="3" t="s">
        <v>789</v>
      </c>
      <c r="G3327" s="6">
        <v>14523.62</v>
      </c>
      <c r="H3327" s="5">
        <v>17368</v>
      </c>
    </row>
    <row r="3328" spans="2:8" ht="17.5" customHeight="1" x14ac:dyDescent="0.4">
      <c r="B3328" t="s">
        <v>7</v>
      </c>
      <c r="C3328" t="s">
        <v>790</v>
      </c>
      <c r="D3328" s="7">
        <f>DATE(2016,9,29)</f>
        <v>42642</v>
      </c>
      <c r="E3328" s="8">
        <f t="shared" si="53"/>
        <v>2016</v>
      </c>
      <c r="F3328" t="s">
        <v>791</v>
      </c>
      <c r="G3328" s="9">
        <v>34732.75</v>
      </c>
      <c r="H3328" s="8">
        <v>23314</v>
      </c>
    </row>
    <row r="3329" spans="2:8" ht="17.5" customHeight="1" x14ac:dyDescent="0.4">
      <c r="B3329" t="s">
        <v>7</v>
      </c>
      <c r="C3329" t="s">
        <v>790</v>
      </c>
      <c r="D3329" s="7">
        <f>DATE(2016,9,29)</f>
        <v>42642</v>
      </c>
      <c r="E3329" s="8">
        <f t="shared" si="53"/>
        <v>2016</v>
      </c>
      <c r="F3329" t="s">
        <v>791</v>
      </c>
      <c r="G3329" s="9">
        <v>34732.75</v>
      </c>
      <c r="H3329" s="8">
        <v>23633</v>
      </c>
    </row>
    <row r="3330" spans="2:8" ht="17.5" customHeight="1" x14ac:dyDescent="0.4">
      <c r="B3330" t="s">
        <v>7</v>
      </c>
      <c r="C3330" t="s">
        <v>790</v>
      </c>
      <c r="D3330" s="7">
        <f>DATE(2016,12,9)</f>
        <v>42713</v>
      </c>
      <c r="E3330" s="8">
        <f t="shared" si="53"/>
        <v>2016</v>
      </c>
      <c r="F3330" t="s">
        <v>791</v>
      </c>
      <c r="G3330" s="9">
        <v>5468.45</v>
      </c>
      <c r="H3330" s="8">
        <v>23962</v>
      </c>
    </row>
    <row r="3331" spans="2:8" ht="17.5" customHeight="1" x14ac:dyDescent="0.4">
      <c r="B3331" t="s">
        <v>7</v>
      </c>
      <c r="C3331" t="s">
        <v>790</v>
      </c>
      <c r="D3331" s="7">
        <f>DATE(2016,12,9)</f>
        <v>42713</v>
      </c>
      <c r="E3331" s="8">
        <f t="shared" ref="E3331:E3394" si="54">YEAR(D3331)</f>
        <v>2016</v>
      </c>
      <c r="F3331" t="s">
        <v>791</v>
      </c>
      <c r="G3331" s="9">
        <v>3404.45</v>
      </c>
      <c r="H3331" s="8">
        <v>23963</v>
      </c>
    </row>
    <row r="3332" spans="2:8" ht="17.5" customHeight="1" x14ac:dyDescent="0.4">
      <c r="B3332" t="s">
        <v>7</v>
      </c>
      <c r="C3332" t="s">
        <v>790</v>
      </c>
      <c r="D3332" s="7">
        <f>DATE(2016,12,9)</f>
        <v>42713</v>
      </c>
      <c r="E3332" s="8">
        <f t="shared" si="54"/>
        <v>2016</v>
      </c>
      <c r="F3332" t="s">
        <v>791</v>
      </c>
      <c r="G3332" s="9">
        <v>6006.85</v>
      </c>
      <c r="H3332" s="8">
        <v>23964</v>
      </c>
    </row>
    <row r="3333" spans="2:8" ht="17.5" customHeight="1" x14ac:dyDescent="0.4">
      <c r="B3333" t="s">
        <v>7</v>
      </c>
      <c r="C3333" t="s">
        <v>790</v>
      </c>
      <c r="D3333" s="7">
        <f>DATE(2016,12,9)</f>
        <v>42713</v>
      </c>
      <c r="E3333" s="8">
        <f t="shared" si="54"/>
        <v>2016</v>
      </c>
      <c r="F3333" t="s">
        <v>791</v>
      </c>
      <c r="G3333" s="9">
        <v>7428.45</v>
      </c>
      <c r="H3333" s="8">
        <v>23965</v>
      </c>
    </row>
    <row r="3334" spans="2:8" ht="17.5" customHeight="1" x14ac:dyDescent="0.4">
      <c r="B3334" t="s">
        <v>7</v>
      </c>
      <c r="C3334" t="s">
        <v>790</v>
      </c>
      <c r="D3334" s="7">
        <f>DATE(2016,12,9)</f>
        <v>42713</v>
      </c>
      <c r="E3334" s="8">
        <f t="shared" si="54"/>
        <v>2016</v>
      </c>
      <c r="F3334" t="s">
        <v>791</v>
      </c>
      <c r="G3334" s="9">
        <v>10599.55</v>
      </c>
      <c r="H3334" s="8">
        <v>23966</v>
      </c>
    </row>
    <row r="3335" spans="2:8" ht="17.5" customHeight="1" x14ac:dyDescent="0.4">
      <c r="B3335" t="s">
        <v>7</v>
      </c>
      <c r="C3335" t="s">
        <v>790</v>
      </c>
      <c r="D3335" s="7">
        <f>DATE(2016,9,29)</f>
        <v>42642</v>
      </c>
      <c r="E3335" s="8">
        <f t="shared" si="54"/>
        <v>2016</v>
      </c>
      <c r="F3335" t="s">
        <v>791</v>
      </c>
      <c r="G3335" s="9">
        <v>11861.57</v>
      </c>
      <c r="H3335" s="8">
        <v>23317</v>
      </c>
    </row>
    <row r="3336" spans="2:8" ht="17.5" customHeight="1" x14ac:dyDescent="0.4">
      <c r="B3336" t="s">
        <v>7</v>
      </c>
      <c r="C3336" t="s">
        <v>790</v>
      </c>
      <c r="D3336" s="7">
        <f>DATE(2016,9,29)</f>
        <v>42642</v>
      </c>
      <c r="E3336" s="8">
        <f t="shared" si="54"/>
        <v>2016</v>
      </c>
      <c r="F3336" t="s">
        <v>791</v>
      </c>
      <c r="G3336" s="9">
        <v>11861.57</v>
      </c>
      <c r="H3336" s="8">
        <v>23634</v>
      </c>
    </row>
    <row r="3337" spans="2:8" ht="17.5" customHeight="1" x14ac:dyDescent="0.4">
      <c r="B3337" t="s">
        <v>7</v>
      </c>
      <c r="C3337" t="s">
        <v>790</v>
      </c>
      <c r="D3337" s="7">
        <f>DATE(2016,12,9)</f>
        <v>42713</v>
      </c>
      <c r="E3337" s="8">
        <f t="shared" si="54"/>
        <v>2016</v>
      </c>
      <c r="F3337" t="s">
        <v>791</v>
      </c>
      <c r="G3337" s="9">
        <v>3151.52</v>
      </c>
      <c r="H3337" s="8">
        <v>23768</v>
      </c>
    </row>
    <row r="3338" spans="2:8" ht="17.5" customHeight="1" x14ac:dyDescent="0.4">
      <c r="B3338" t="s">
        <v>7</v>
      </c>
      <c r="C3338" t="s">
        <v>790</v>
      </c>
      <c r="D3338" s="7">
        <f>DATE(2016,12,9)</f>
        <v>42713</v>
      </c>
      <c r="E3338" s="8">
        <f t="shared" si="54"/>
        <v>2016</v>
      </c>
      <c r="F3338" t="s">
        <v>791</v>
      </c>
      <c r="G3338" s="9">
        <v>950</v>
      </c>
      <c r="H3338" s="8">
        <v>23977</v>
      </c>
    </row>
    <row r="3339" spans="2:8" ht="17.5" customHeight="1" x14ac:dyDescent="0.4">
      <c r="B3339" t="s">
        <v>7</v>
      </c>
      <c r="C3339" t="s">
        <v>790</v>
      </c>
      <c r="D3339" s="7">
        <f>DATE(2016,12,9)</f>
        <v>42713</v>
      </c>
      <c r="E3339" s="8">
        <f t="shared" si="54"/>
        <v>2016</v>
      </c>
      <c r="F3339" t="s">
        <v>791</v>
      </c>
      <c r="G3339" s="9">
        <v>2485</v>
      </c>
      <c r="H3339" s="8">
        <v>23978</v>
      </c>
    </row>
    <row r="3340" spans="2:8" ht="17.5" customHeight="1" x14ac:dyDescent="0.4">
      <c r="B3340" t="s">
        <v>7</v>
      </c>
      <c r="C3340" t="s">
        <v>790</v>
      </c>
      <c r="D3340" s="7">
        <f>DATE(2016,12,9)</f>
        <v>42713</v>
      </c>
      <c r="E3340" s="8">
        <f t="shared" si="54"/>
        <v>2016</v>
      </c>
      <c r="F3340" t="s">
        <v>791</v>
      </c>
      <c r="G3340" s="9">
        <v>3077.86</v>
      </c>
      <c r="H3340" s="8">
        <v>23979</v>
      </c>
    </row>
    <row r="3341" spans="2:8" ht="17.5" customHeight="1" x14ac:dyDescent="0.4">
      <c r="B3341" t="s">
        <v>7</v>
      </c>
      <c r="C3341" t="s">
        <v>790</v>
      </c>
      <c r="D3341" s="7">
        <f>DATE(2016,12,9)</f>
        <v>42713</v>
      </c>
      <c r="E3341" s="8">
        <f t="shared" si="54"/>
        <v>2016</v>
      </c>
      <c r="F3341" t="s">
        <v>791</v>
      </c>
      <c r="G3341" s="9">
        <v>2510</v>
      </c>
      <c r="H3341" s="8">
        <v>23980</v>
      </c>
    </row>
    <row r="3342" spans="2:8" ht="17.5" customHeight="1" x14ac:dyDescent="0.4">
      <c r="B3342" t="s">
        <v>16</v>
      </c>
      <c r="C3342" t="s">
        <v>790</v>
      </c>
      <c r="D3342" s="7">
        <f>DATE(2016,9,29)</f>
        <v>42642</v>
      </c>
      <c r="E3342" s="8">
        <f t="shared" si="54"/>
        <v>2016</v>
      </c>
      <c r="F3342" t="s">
        <v>791</v>
      </c>
      <c r="G3342" s="9">
        <v>34732.75</v>
      </c>
      <c r="H3342" s="8">
        <v>23635</v>
      </c>
    </row>
    <row r="3343" spans="2:8" ht="17.5" customHeight="1" x14ac:dyDescent="0.4">
      <c r="B3343" t="s">
        <v>16</v>
      </c>
      <c r="C3343" t="s">
        <v>790</v>
      </c>
      <c r="D3343" s="7">
        <f>DATE(2016,12,5)</f>
        <v>42709</v>
      </c>
      <c r="E3343" s="8">
        <f t="shared" si="54"/>
        <v>2016</v>
      </c>
      <c r="F3343" t="s">
        <v>791</v>
      </c>
      <c r="G3343" s="9">
        <v>34732.75</v>
      </c>
      <c r="H3343" s="8">
        <v>23932</v>
      </c>
    </row>
    <row r="3344" spans="2:8" ht="17.5" customHeight="1" x14ac:dyDescent="0.4">
      <c r="B3344" t="s">
        <v>16</v>
      </c>
      <c r="C3344" t="s">
        <v>790</v>
      </c>
      <c r="D3344" s="7">
        <f>DATE(2016,9,29)</f>
        <v>42642</v>
      </c>
      <c r="E3344" s="8">
        <f t="shared" si="54"/>
        <v>2016</v>
      </c>
      <c r="F3344" t="s">
        <v>791</v>
      </c>
      <c r="G3344" s="9">
        <v>11837.4</v>
      </c>
      <c r="H3344" s="8">
        <v>23636</v>
      </c>
    </row>
    <row r="3345" spans="2:8" ht="17.5" customHeight="1" x14ac:dyDescent="0.4">
      <c r="B3345" t="s">
        <v>16</v>
      </c>
      <c r="C3345" t="s">
        <v>790</v>
      </c>
      <c r="D3345" s="7">
        <f>DATE(2016,9,29)</f>
        <v>42642</v>
      </c>
      <c r="E3345" s="8">
        <f t="shared" si="54"/>
        <v>2016</v>
      </c>
      <c r="F3345" t="s">
        <v>791</v>
      </c>
      <c r="G3345" s="9">
        <v>24.17</v>
      </c>
      <c r="H3345" s="8">
        <v>23651</v>
      </c>
    </row>
    <row r="3346" spans="2:8" ht="17.5" customHeight="1" x14ac:dyDescent="0.4">
      <c r="B3346" t="s">
        <v>16</v>
      </c>
      <c r="C3346" t="s">
        <v>790</v>
      </c>
      <c r="D3346" s="7">
        <f>DATE(2016,12,5)</f>
        <v>42709</v>
      </c>
      <c r="E3346" s="8">
        <f t="shared" si="54"/>
        <v>2016</v>
      </c>
      <c r="F3346" t="s">
        <v>791</v>
      </c>
      <c r="G3346" s="9">
        <v>11861.57</v>
      </c>
      <c r="H3346" s="8">
        <v>23933</v>
      </c>
    </row>
    <row r="3347" spans="2:8" ht="17.5" customHeight="1" x14ac:dyDescent="0.4">
      <c r="B3347" t="s">
        <v>7</v>
      </c>
      <c r="C3347" t="s">
        <v>792</v>
      </c>
      <c r="D3347" s="7">
        <f>DATE(2016,3,1)</f>
        <v>42430</v>
      </c>
      <c r="E3347" s="8">
        <f t="shared" si="54"/>
        <v>2016</v>
      </c>
      <c r="F3347" t="s">
        <v>793</v>
      </c>
      <c r="G3347" s="9">
        <v>65461.27</v>
      </c>
      <c r="H3347" s="8">
        <v>21798</v>
      </c>
    </row>
    <row r="3348" spans="2:8" ht="17.5" customHeight="1" x14ac:dyDescent="0.4">
      <c r="B3348" t="s">
        <v>7</v>
      </c>
      <c r="C3348" t="s">
        <v>790</v>
      </c>
      <c r="D3348" s="7">
        <f t="shared" ref="D3348:D3354" si="55">DATE(2015,7,21)</f>
        <v>42206</v>
      </c>
      <c r="E3348" s="8">
        <f t="shared" si="54"/>
        <v>2015</v>
      </c>
      <c r="F3348" t="s">
        <v>794</v>
      </c>
      <c r="G3348" s="9">
        <v>6492.45</v>
      </c>
      <c r="H3348" s="8">
        <v>20744</v>
      </c>
    </row>
    <row r="3349" spans="2:8" ht="17.5" customHeight="1" x14ac:dyDescent="0.4">
      <c r="B3349" t="s">
        <v>7</v>
      </c>
      <c r="C3349" t="s">
        <v>790</v>
      </c>
      <c r="D3349" s="7">
        <f t="shared" si="55"/>
        <v>42206</v>
      </c>
      <c r="E3349" s="8">
        <f t="shared" si="54"/>
        <v>2015</v>
      </c>
      <c r="F3349" t="s">
        <v>794</v>
      </c>
      <c r="G3349" s="9">
        <v>3382</v>
      </c>
      <c r="H3349" s="8">
        <v>20947</v>
      </c>
    </row>
    <row r="3350" spans="2:8" ht="17.5" customHeight="1" x14ac:dyDescent="0.4">
      <c r="B3350" t="s">
        <v>7</v>
      </c>
      <c r="C3350" t="s">
        <v>790</v>
      </c>
      <c r="D3350" s="7">
        <f t="shared" si="55"/>
        <v>42206</v>
      </c>
      <c r="E3350" s="8">
        <f t="shared" si="54"/>
        <v>2015</v>
      </c>
      <c r="F3350" t="s">
        <v>794</v>
      </c>
      <c r="G3350" s="9">
        <v>1745</v>
      </c>
      <c r="H3350" s="8">
        <v>20948</v>
      </c>
    </row>
    <row r="3351" spans="2:8" ht="17.5" customHeight="1" x14ac:dyDescent="0.4">
      <c r="B3351" t="s">
        <v>7</v>
      </c>
      <c r="C3351" t="s">
        <v>790</v>
      </c>
      <c r="D3351" s="7">
        <f t="shared" si="55"/>
        <v>42206</v>
      </c>
      <c r="E3351" s="8">
        <f t="shared" si="54"/>
        <v>2015</v>
      </c>
      <c r="F3351" t="s">
        <v>794</v>
      </c>
      <c r="G3351" s="9">
        <v>3073</v>
      </c>
      <c r="H3351" s="8">
        <v>20949</v>
      </c>
    </row>
    <row r="3352" spans="2:8" ht="17.5" customHeight="1" x14ac:dyDescent="0.4">
      <c r="B3352" t="s">
        <v>7</v>
      </c>
      <c r="C3352" t="s">
        <v>790</v>
      </c>
      <c r="D3352" s="7">
        <f t="shared" si="55"/>
        <v>42206</v>
      </c>
      <c r="E3352" s="8">
        <f t="shared" si="54"/>
        <v>2015</v>
      </c>
      <c r="F3352" t="s">
        <v>794</v>
      </c>
      <c r="G3352" s="9">
        <v>1719</v>
      </c>
      <c r="H3352" s="8">
        <v>20950</v>
      </c>
    </row>
    <row r="3353" spans="2:8" ht="17.5" customHeight="1" x14ac:dyDescent="0.4">
      <c r="B3353" t="s">
        <v>7</v>
      </c>
      <c r="C3353" t="s">
        <v>790</v>
      </c>
      <c r="D3353" s="7">
        <f t="shared" si="55"/>
        <v>42206</v>
      </c>
      <c r="E3353" s="8">
        <f t="shared" si="54"/>
        <v>2015</v>
      </c>
      <c r="F3353" t="s">
        <v>794</v>
      </c>
      <c r="G3353" s="9">
        <v>5807</v>
      </c>
      <c r="H3353" s="8">
        <v>20952</v>
      </c>
    </row>
    <row r="3354" spans="2:8" ht="17.5" customHeight="1" x14ac:dyDescent="0.4">
      <c r="B3354" t="s">
        <v>7</v>
      </c>
      <c r="C3354" t="s">
        <v>790</v>
      </c>
      <c r="D3354" s="7">
        <f t="shared" si="55"/>
        <v>42206</v>
      </c>
      <c r="E3354" s="8">
        <f t="shared" si="54"/>
        <v>2015</v>
      </c>
      <c r="F3354" t="s">
        <v>794</v>
      </c>
      <c r="G3354" s="9">
        <v>4796</v>
      </c>
      <c r="H3354" s="8">
        <v>20953</v>
      </c>
    </row>
    <row r="3355" spans="2:8" ht="17.5" customHeight="1" x14ac:dyDescent="0.4">
      <c r="B3355" t="s">
        <v>7</v>
      </c>
      <c r="C3355" t="s">
        <v>790</v>
      </c>
      <c r="D3355" s="7">
        <f>DATE(2015,11,2)</f>
        <v>42310</v>
      </c>
      <c r="E3355" s="8">
        <f t="shared" si="54"/>
        <v>2015</v>
      </c>
      <c r="F3355" t="s">
        <v>794</v>
      </c>
      <c r="G3355" s="9">
        <v>4096</v>
      </c>
      <c r="H3355" s="8">
        <v>21111</v>
      </c>
    </row>
    <row r="3356" spans="2:8" ht="17.5" customHeight="1" x14ac:dyDescent="0.4">
      <c r="B3356" t="s">
        <v>7</v>
      </c>
      <c r="C3356" t="s">
        <v>790</v>
      </c>
      <c r="D3356" s="7">
        <f>DATE(2015,11,2)</f>
        <v>42310</v>
      </c>
      <c r="E3356" s="8">
        <f t="shared" si="54"/>
        <v>2015</v>
      </c>
      <c r="F3356" t="s">
        <v>794</v>
      </c>
      <c r="G3356" s="9">
        <v>1248</v>
      </c>
      <c r="H3356" s="8">
        <v>21522</v>
      </c>
    </row>
    <row r="3357" spans="2:8" ht="17.5" customHeight="1" x14ac:dyDescent="0.4">
      <c r="B3357" t="s">
        <v>7</v>
      </c>
      <c r="C3357" t="s">
        <v>790</v>
      </c>
      <c r="D3357" s="7">
        <f>DATE(2015,11,2)</f>
        <v>42310</v>
      </c>
      <c r="E3357" s="8">
        <f t="shared" si="54"/>
        <v>2015</v>
      </c>
      <c r="F3357" t="s">
        <v>794</v>
      </c>
      <c r="G3357" s="9">
        <v>5753</v>
      </c>
      <c r="H3357" s="8">
        <v>21525</v>
      </c>
    </row>
    <row r="3358" spans="2:8" ht="17.5" customHeight="1" x14ac:dyDescent="0.4">
      <c r="B3358" t="s">
        <v>7</v>
      </c>
      <c r="C3358" t="s">
        <v>790</v>
      </c>
      <c r="D3358" s="7">
        <f>DATE(2015,11,2)</f>
        <v>42310</v>
      </c>
      <c r="E3358" s="8">
        <f t="shared" si="54"/>
        <v>2015</v>
      </c>
      <c r="F3358" t="s">
        <v>794</v>
      </c>
      <c r="G3358" s="9">
        <v>2719</v>
      </c>
      <c r="H3358" s="8">
        <v>21534</v>
      </c>
    </row>
    <row r="3359" spans="2:8" ht="17.5" customHeight="1" x14ac:dyDescent="0.4">
      <c r="B3359" t="s">
        <v>7</v>
      </c>
      <c r="C3359" t="s">
        <v>790</v>
      </c>
      <c r="D3359" s="7">
        <f>DATE(2015,11,2)</f>
        <v>42310</v>
      </c>
      <c r="E3359" s="8">
        <f t="shared" si="54"/>
        <v>2015</v>
      </c>
      <c r="F3359" t="s">
        <v>794</v>
      </c>
      <c r="G3359" s="9">
        <v>2539</v>
      </c>
      <c r="H3359" s="8">
        <v>21531</v>
      </c>
    </row>
    <row r="3360" spans="2:8" ht="17.5" customHeight="1" x14ac:dyDescent="0.4">
      <c r="B3360" t="s">
        <v>7</v>
      </c>
      <c r="C3360" t="s">
        <v>790</v>
      </c>
      <c r="D3360" s="7">
        <f>DATE(2015,7,21)</f>
        <v>42206</v>
      </c>
      <c r="E3360" s="8">
        <f t="shared" si="54"/>
        <v>2015</v>
      </c>
      <c r="F3360" t="s">
        <v>794</v>
      </c>
      <c r="G3360" s="9">
        <v>1432</v>
      </c>
      <c r="H3360" s="8">
        <v>20740</v>
      </c>
    </row>
    <row r="3361" spans="2:8" ht="17.5" customHeight="1" x14ac:dyDescent="0.4">
      <c r="B3361" t="s">
        <v>7</v>
      </c>
      <c r="C3361" t="s">
        <v>790</v>
      </c>
      <c r="D3361" s="7">
        <f>DATE(2015,7,21)</f>
        <v>42206</v>
      </c>
      <c r="E3361" s="8">
        <f t="shared" si="54"/>
        <v>2015</v>
      </c>
      <c r="F3361" t="s">
        <v>794</v>
      </c>
      <c r="G3361" s="9">
        <v>5577.1</v>
      </c>
      <c r="H3361" s="8">
        <v>20954</v>
      </c>
    </row>
    <row r="3362" spans="2:8" ht="17.5" customHeight="1" x14ac:dyDescent="0.4">
      <c r="B3362" t="s">
        <v>7</v>
      </c>
      <c r="C3362" t="s">
        <v>790</v>
      </c>
      <c r="D3362" s="7">
        <f>DATE(2015,7,21)</f>
        <v>42206</v>
      </c>
      <c r="E3362" s="8">
        <f t="shared" si="54"/>
        <v>2015</v>
      </c>
      <c r="F3362" t="s">
        <v>794</v>
      </c>
      <c r="G3362" s="9">
        <v>2568.6</v>
      </c>
      <c r="H3362" s="8">
        <v>20955</v>
      </c>
    </row>
    <row r="3363" spans="2:8" ht="17.5" customHeight="1" x14ac:dyDescent="0.4">
      <c r="B3363" t="s">
        <v>7</v>
      </c>
      <c r="C3363" t="s">
        <v>790</v>
      </c>
      <c r="D3363" s="7">
        <f>DATE(2015,7,21)</f>
        <v>42206</v>
      </c>
      <c r="E3363" s="8">
        <f t="shared" si="54"/>
        <v>2015</v>
      </c>
      <c r="F3363" t="s">
        <v>794</v>
      </c>
      <c r="G3363" s="9">
        <v>756</v>
      </c>
      <c r="H3363" s="8">
        <v>20956</v>
      </c>
    </row>
    <row r="3364" spans="2:8" ht="17.5" customHeight="1" x14ac:dyDescent="0.4">
      <c r="B3364" t="s">
        <v>7</v>
      </c>
      <c r="C3364" t="s">
        <v>790</v>
      </c>
      <c r="D3364" s="7">
        <f>DATE(2015,11,2)</f>
        <v>42310</v>
      </c>
      <c r="E3364" s="8">
        <f t="shared" si="54"/>
        <v>2015</v>
      </c>
      <c r="F3364" t="s">
        <v>794</v>
      </c>
      <c r="G3364" s="9">
        <v>3394.35</v>
      </c>
      <c r="H3364" s="8">
        <v>21115</v>
      </c>
    </row>
    <row r="3365" spans="2:8" ht="17.5" customHeight="1" x14ac:dyDescent="0.4">
      <c r="B3365" t="s">
        <v>7</v>
      </c>
      <c r="C3365" t="s">
        <v>790</v>
      </c>
      <c r="D3365" s="7">
        <f>DATE(2015,11,2)</f>
        <v>42310</v>
      </c>
      <c r="E3365" s="8">
        <f t="shared" si="54"/>
        <v>2015</v>
      </c>
      <c r="F3365" t="s">
        <v>794</v>
      </c>
      <c r="G3365" s="9">
        <v>1601.7</v>
      </c>
      <c r="H3365" s="8">
        <v>21523</v>
      </c>
    </row>
    <row r="3366" spans="2:8" ht="17.5" customHeight="1" x14ac:dyDescent="0.4">
      <c r="B3366" t="s">
        <v>7</v>
      </c>
      <c r="C3366" t="s">
        <v>790</v>
      </c>
      <c r="D3366" s="7">
        <f>DATE(2015,11,2)</f>
        <v>42310</v>
      </c>
      <c r="E3366" s="8">
        <f t="shared" si="54"/>
        <v>2015</v>
      </c>
      <c r="F3366" t="s">
        <v>794</v>
      </c>
      <c r="G3366" s="9">
        <v>6595.86</v>
      </c>
      <c r="H3366" s="8">
        <v>21529</v>
      </c>
    </row>
    <row r="3367" spans="2:8" ht="17.5" customHeight="1" x14ac:dyDescent="0.4">
      <c r="B3367" t="s">
        <v>7</v>
      </c>
      <c r="C3367" t="s">
        <v>790</v>
      </c>
      <c r="D3367" s="7">
        <f>DATE(2015,11,2)</f>
        <v>42310</v>
      </c>
      <c r="E3367" s="8">
        <f t="shared" si="54"/>
        <v>2015</v>
      </c>
      <c r="F3367" t="s">
        <v>794</v>
      </c>
      <c r="G3367" s="9">
        <v>1632.7</v>
      </c>
      <c r="H3367" s="8">
        <v>21533</v>
      </c>
    </row>
    <row r="3368" spans="2:8" ht="17.5" customHeight="1" x14ac:dyDescent="0.4">
      <c r="B3368" t="s">
        <v>7</v>
      </c>
      <c r="C3368" t="s">
        <v>790</v>
      </c>
      <c r="D3368" s="7">
        <f>DATE(2015,11,2)</f>
        <v>42310</v>
      </c>
      <c r="E3368" s="8">
        <f t="shared" si="54"/>
        <v>2015</v>
      </c>
      <c r="F3368" t="s">
        <v>794</v>
      </c>
      <c r="G3368" s="9">
        <v>5607.86</v>
      </c>
      <c r="H3368" s="8">
        <v>21535</v>
      </c>
    </row>
    <row r="3369" spans="2:8" ht="17.5" customHeight="1" x14ac:dyDescent="0.4">
      <c r="B3369" t="s">
        <v>7</v>
      </c>
      <c r="C3369" t="s">
        <v>790</v>
      </c>
      <c r="D3369" s="7">
        <f>DATE(2015,4,29)</f>
        <v>42123</v>
      </c>
      <c r="E3369" s="8">
        <f t="shared" si="54"/>
        <v>2015</v>
      </c>
      <c r="F3369" t="s">
        <v>794</v>
      </c>
      <c r="G3369" s="9">
        <v>5220.3599999999997</v>
      </c>
      <c r="H3369" s="8">
        <v>20369</v>
      </c>
    </row>
    <row r="3370" spans="2:8" ht="17.5" customHeight="1" x14ac:dyDescent="0.4">
      <c r="B3370" t="s">
        <v>7</v>
      </c>
      <c r="C3370" t="s">
        <v>795</v>
      </c>
      <c r="D3370" s="7">
        <f>DATE(2018,1,12)</f>
        <v>43112</v>
      </c>
      <c r="E3370" s="8">
        <f t="shared" si="54"/>
        <v>2018</v>
      </c>
      <c r="F3370" t="s">
        <v>796</v>
      </c>
      <c r="G3370" s="9">
        <v>286.95</v>
      </c>
      <c r="H3370" s="8">
        <v>26170</v>
      </c>
    </row>
    <row r="3371" spans="2:8" ht="17.5" customHeight="1" x14ac:dyDescent="0.4">
      <c r="B3371" t="s">
        <v>7</v>
      </c>
      <c r="C3371" t="s">
        <v>795</v>
      </c>
      <c r="D3371" s="7">
        <f>DATE(2018,12,18)</f>
        <v>43452</v>
      </c>
      <c r="E3371" s="8">
        <f t="shared" si="54"/>
        <v>2018</v>
      </c>
      <c r="F3371" t="s">
        <v>796</v>
      </c>
      <c r="G3371" s="9">
        <v>441</v>
      </c>
      <c r="H3371" s="8">
        <v>28108</v>
      </c>
    </row>
    <row r="3372" spans="2:8" ht="17.5" customHeight="1" x14ac:dyDescent="0.4">
      <c r="B3372" t="s">
        <v>7</v>
      </c>
      <c r="C3372" t="s">
        <v>795</v>
      </c>
      <c r="D3372" s="7">
        <f>DATE(2019,3,25)</f>
        <v>43549</v>
      </c>
      <c r="E3372" s="8">
        <f t="shared" si="54"/>
        <v>2019</v>
      </c>
      <c r="F3372" t="s">
        <v>796</v>
      </c>
      <c r="G3372" s="9">
        <v>1408.49</v>
      </c>
      <c r="H3372" s="8">
        <v>28700</v>
      </c>
    </row>
    <row r="3373" spans="2:8" ht="17.5" customHeight="1" x14ac:dyDescent="0.4">
      <c r="B3373" s="3" t="s">
        <v>7</v>
      </c>
      <c r="C3373" s="3" t="s">
        <v>795</v>
      </c>
      <c r="D3373" s="4">
        <f>DATE(2007,11,9)</f>
        <v>39395</v>
      </c>
      <c r="E3373" s="5">
        <f t="shared" si="54"/>
        <v>2007</v>
      </c>
      <c r="F3373" s="3" t="s">
        <v>796</v>
      </c>
      <c r="G3373" s="6">
        <v>455.93</v>
      </c>
      <c r="H3373" s="5">
        <v>9459</v>
      </c>
    </row>
    <row r="3374" spans="2:8" ht="17.5" customHeight="1" x14ac:dyDescent="0.4">
      <c r="B3374" s="3" t="s">
        <v>7</v>
      </c>
      <c r="C3374" s="3" t="s">
        <v>795</v>
      </c>
      <c r="D3374" s="4">
        <f>DATE(2014,8,6)</f>
        <v>41857</v>
      </c>
      <c r="E3374" s="5">
        <f t="shared" si="54"/>
        <v>2014</v>
      </c>
      <c r="F3374" s="3" t="s">
        <v>796</v>
      </c>
      <c r="G3374" s="6">
        <v>1361.44</v>
      </c>
      <c r="H3374" s="5">
        <v>20265</v>
      </c>
    </row>
    <row r="3375" spans="2:8" ht="17.5" customHeight="1" x14ac:dyDescent="0.4">
      <c r="B3375" s="3" t="s">
        <v>7</v>
      </c>
      <c r="C3375" s="3" t="s">
        <v>797</v>
      </c>
      <c r="D3375" s="4">
        <f>DATE(2008,2,20)</f>
        <v>39498</v>
      </c>
      <c r="E3375" s="5">
        <f t="shared" si="54"/>
        <v>2008</v>
      </c>
      <c r="F3375" s="3" t="s">
        <v>798</v>
      </c>
      <c r="G3375" s="6">
        <v>356.8</v>
      </c>
      <c r="H3375" s="5">
        <v>9994</v>
      </c>
    </row>
    <row r="3376" spans="2:8" ht="17.5" customHeight="1" x14ac:dyDescent="0.4">
      <c r="B3376" t="s">
        <v>7</v>
      </c>
      <c r="C3376" t="s">
        <v>797</v>
      </c>
      <c r="D3376" s="7">
        <f>DATE(2004,2,20)</f>
        <v>38037</v>
      </c>
      <c r="E3376" s="8">
        <f t="shared" si="54"/>
        <v>2004</v>
      </c>
      <c r="F3376" t="s">
        <v>799</v>
      </c>
      <c r="G3376" s="9">
        <v>6435.71</v>
      </c>
      <c r="H3376" s="8">
        <v>1399</v>
      </c>
    </row>
    <row r="3377" spans="2:8" ht="17.5" customHeight="1" x14ac:dyDescent="0.4">
      <c r="B3377" t="s">
        <v>7</v>
      </c>
      <c r="C3377" t="s">
        <v>514</v>
      </c>
      <c r="D3377" s="7">
        <f>DATE(2015,7,9)</f>
        <v>42194</v>
      </c>
      <c r="E3377" s="8">
        <f t="shared" si="54"/>
        <v>2015</v>
      </c>
      <c r="F3377" t="s">
        <v>800</v>
      </c>
      <c r="G3377" s="9">
        <v>20784.5</v>
      </c>
      <c r="H3377" s="8">
        <v>409</v>
      </c>
    </row>
    <row r="3378" spans="2:8" ht="17.5" customHeight="1" x14ac:dyDescent="0.4">
      <c r="B3378" t="s">
        <v>7</v>
      </c>
      <c r="C3378" t="s">
        <v>514</v>
      </c>
      <c r="D3378" s="7">
        <f>DATE(2017,5,31)</f>
        <v>42886</v>
      </c>
      <c r="E3378" s="8">
        <f t="shared" si="54"/>
        <v>2017</v>
      </c>
      <c r="F3378" t="s">
        <v>800</v>
      </c>
      <c r="G3378" s="9">
        <v>45966.400000000001</v>
      </c>
      <c r="H3378" s="8">
        <v>24493</v>
      </c>
    </row>
    <row r="3379" spans="2:8" ht="17.5" customHeight="1" x14ac:dyDescent="0.4">
      <c r="B3379" t="s">
        <v>7</v>
      </c>
      <c r="C3379" t="s">
        <v>514</v>
      </c>
      <c r="D3379" s="7">
        <f>DATE(2017,6,5)</f>
        <v>42891</v>
      </c>
      <c r="E3379" s="8">
        <f t="shared" si="54"/>
        <v>2017</v>
      </c>
      <c r="F3379" t="s">
        <v>800</v>
      </c>
      <c r="G3379" s="9">
        <v>28261.53</v>
      </c>
      <c r="H3379" s="8">
        <v>24491</v>
      </c>
    </row>
    <row r="3380" spans="2:8" ht="17.5" customHeight="1" x14ac:dyDescent="0.4">
      <c r="B3380" t="s">
        <v>7</v>
      </c>
      <c r="C3380" t="s">
        <v>514</v>
      </c>
      <c r="D3380" s="7">
        <f>DATE(2015,4,10)</f>
        <v>42104</v>
      </c>
      <c r="E3380" s="8">
        <f t="shared" si="54"/>
        <v>2015</v>
      </c>
      <c r="F3380" t="s">
        <v>800</v>
      </c>
      <c r="G3380" s="9">
        <v>151454.94</v>
      </c>
      <c r="H3380" s="8">
        <v>424</v>
      </c>
    </row>
    <row r="3381" spans="2:8" ht="17.5" customHeight="1" x14ac:dyDescent="0.4">
      <c r="B3381" t="s">
        <v>7</v>
      </c>
      <c r="C3381" t="s">
        <v>514</v>
      </c>
      <c r="D3381" s="7">
        <f>DATE(2015,6,19)</f>
        <v>42174</v>
      </c>
      <c r="E3381" s="8">
        <f t="shared" si="54"/>
        <v>2015</v>
      </c>
      <c r="F3381" t="s">
        <v>800</v>
      </c>
      <c r="G3381" s="9">
        <v>189825.55</v>
      </c>
      <c r="H3381" s="8">
        <v>20361</v>
      </c>
    </row>
    <row r="3382" spans="2:8" ht="17.5" customHeight="1" x14ac:dyDescent="0.4">
      <c r="B3382" t="s">
        <v>7</v>
      </c>
      <c r="C3382" t="s">
        <v>514</v>
      </c>
      <c r="D3382" s="7">
        <f>DATE(2015,7,9)</f>
        <v>42194</v>
      </c>
      <c r="E3382" s="8">
        <f t="shared" si="54"/>
        <v>2015</v>
      </c>
      <c r="F3382" t="s">
        <v>800</v>
      </c>
      <c r="G3382" s="9">
        <v>32433</v>
      </c>
      <c r="H3382" s="8">
        <v>408</v>
      </c>
    </row>
    <row r="3383" spans="2:8" ht="17.5" customHeight="1" x14ac:dyDescent="0.4">
      <c r="B3383" t="s">
        <v>7</v>
      </c>
      <c r="C3383" t="s">
        <v>514</v>
      </c>
      <c r="D3383" s="7">
        <f>DATE(2015,7,9)</f>
        <v>42194</v>
      </c>
      <c r="E3383" s="8">
        <f t="shared" si="54"/>
        <v>2015</v>
      </c>
      <c r="F3383" t="s">
        <v>800</v>
      </c>
      <c r="G3383" s="9">
        <v>72023.05</v>
      </c>
      <c r="H3383" s="8">
        <v>410</v>
      </c>
    </row>
    <row r="3384" spans="2:8" ht="17.5" customHeight="1" x14ac:dyDescent="0.4">
      <c r="B3384" t="s">
        <v>7</v>
      </c>
      <c r="C3384" t="s">
        <v>514</v>
      </c>
      <c r="D3384" s="7">
        <f>DATE(2015,7,9)</f>
        <v>42194</v>
      </c>
      <c r="E3384" s="8">
        <f t="shared" si="54"/>
        <v>2015</v>
      </c>
      <c r="F3384" t="s">
        <v>800</v>
      </c>
      <c r="G3384" s="9">
        <v>72023.05</v>
      </c>
      <c r="H3384" s="8">
        <v>422</v>
      </c>
    </row>
    <row r="3385" spans="2:8" ht="17.5" customHeight="1" x14ac:dyDescent="0.4">
      <c r="B3385" t="s">
        <v>7</v>
      </c>
      <c r="C3385" t="s">
        <v>514</v>
      </c>
      <c r="D3385" s="7">
        <f>DATE(2015,7,9)</f>
        <v>42194</v>
      </c>
      <c r="E3385" s="8">
        <f t="shared" si="54"/>
        <v>2015</v>
      </c>
      <c r="F3385" t="s">
        <v>800</v>
      </c>
      <c r="G3385" s="9">
        <v>137108.57999999999</v>
      </c>
      <c r="H3385" s="8">
        <v>423</v>
      </c>
    </row>
    <row r="3386" spans="2:8" ht="17.5" customHeight="1" x14ac:dyDescent="0.4">
      <c r="B3386" t="s">
        <v>7</v>
      </c>
      <c r="C3386" t="s">
        <v>514</v>
      </c>
      <c r="D3386" s="7">
        <f>DATE(2017,5,31)</f>
        <v>42886</v>
      </c>
      <c r="E3386" s="8">
        <f t="shared" si="54"/>
        <v>2017</v>
      </c>
      <c r="F3386" t="s">
        <v>800</v>
      </c>
      <c r="G3386" s="9">
        <v>28794.1</v>
      </c>
      <c r="H3386" s="8">
        <v>24496</v>
      </c>
    </row>
    <row r="3387" spans="2:8" ht="17.5" customHeight="1" x14ac:dyDescent="0.4">
      <c r="B3387" t="s">
        <v>7</v>
      </c>
      <c r="C3387" t="s">
        <v>514</v>
      </c>
      <c r="D3387" s="7">
        <f>DATE(2017,5,31)</f>
        <v>42886</v>
      </c>
      <c r="E3387" s="8">
        <f t="shared" si="54"/>
        <v>2017</v>
      </c>
      <c r="F3387" t="s">
        <v>800</v>
      </c>
      <c r="G3387" s="9">
        <v>38346.120000000003</v>
      </c>
      <c r="H3387" s="8">
        <v>24492</v>
      </c>
    </row>
    <row r="3388" spans="2:8" ht="17.5" customHeight="1" x14ac:dyDescent="0.4">
      <c r="B3388" t="s">
        <v>7</v>
      </c>
      <c r="C3388" t="s">
        <v>514</v>
      </c>
      <c r="D3388" s="7">
        <f>DATE(2017,5,31)</f>
        <v>42886</v>
      </c>
      <c r="E3388" s="8">
        <f t="shared" si="54"/>
        <v>2017</v>
      </c>
      <c r="F3388" t="s">
        <v>800</v>
      </c>
      <c r="G3388" s="9">
        <v>50555.54</v>
      </c>
      <c r="H3388" s="8">
        <v>24494</v>
      </c>
    </row>
    <row r="3389" spans="2:8" ht="17.5" customHeight="1" x14ac:dyDescent="0.4">
      <c r="B3389" t="s">
        <v>7</v>
      </c>
      <c r="C3389" t="s">
        <v>514</v>
      </c>
      <c r="D3389" s="7">
        <f>DATE(2017,5,31)</f>
        <v>42886</v>
      </c>
      <c r="E3389" s="8">
        <f t="shared" si="54"/>
        <v>2017</v>
      </c>
      <c r="F3389" t="s">
        <v>800</v>
      </c>
      <c r="G3389" s="9">
        <v>24050.3</v>
      </c>
      <c r="H3389" s="8">
        <v>24505</v>
      </c>
    </row>
    <row r="3390" spans="2:8" ht="17.5" customHeight="1" x14ac:dyDescent="0.4">
      <c r="B3390" t="s">
        <v>7</v>
      </c>
      <c r="C3390" t="s">
        <v>514</v>
      </c>
      <c r="D3390" s="7">
        <f>DATE(2017,6,16)</f>
        <v>42902</v>
      </c>
      <c r="E3390" s="8">
        <f t="shared" si="54"/>
        <v>2017</v>
      </c>
      <c r="F3390" t="s">
        <v>800</v>
      </c>
      <c r="G3390" s="9">
        <v>245647.79</v>
      </c>
      <c r="H3390" s="8">
        <v>24490</v>
      </c>
    </row>
    <row r="3391" spans="2:8" ht="17.5" customHeight="1" x14ac:dyDescent="0.4">
      <c r="B3391" t="s">
        <v>7</v>
      </c>
      <c r="C3391" t="s">
        <v>514</v>
      </c>
      <c r="D3391" s="7">
        <f>DATE(2015,6,10)</f>
        <v>42165</v>
      </c>
      <c r="E3391" s="8">
        <f t="shared" si="54"/>
        <v>2015</v>
      </c>
      <c r="F3391" t="s">
        <v>800</v>
      </c>
      <c r="G3391" s="9">
        <v>170808.17</v>
      </c>
      <c r="H3391" s="8">
        <v>374</v>
      </c>
    </row>
    <row r="3392" spans="2:8" ht="17.5" customHeight="1" x14ac:dyDescent="0.4">
      <c r="B3392" t="s">
        <v>7</v>
      </c>
      <c r="C3392" t="s">
        <v>514</v>
      </c>
      <c r="D3392" s="7">
        <f>DATE(2017,6,16)</f>
        <v>42902</v>
      </c>
      <c r="E3392" s="8">
        <f t="shared" si="54"/>
        <v>2017</v>
      </c>
      <c r="F3392" t="s">
        <v>800</v>
      </c>
      <c r="G3392" s="9">
        <v>211534.31</v>
      </c>
      <c r="H3392" s="8">
        <v>23891</v>
      </c>
    </row>
    <row r="3393" spans="2:8" ht="17.5" customHeight="1" x14ac:dyDescent="0.4">
      <c r="B3393" s="3" t="s">
        <v>7</v>
      </c>
      <c r="C3393" s="3" t="s">
        <v>514</v>
      </c>
      <c r="D3393" s="4">
        <f>DATE(2012,6,27)</f>
        <v>41087</v>
      </c>
      <c r="E3393" s="5">
        <f t="shared" si="54"/>
        <v>2012</v>
      </c>
      <c r="F3393" s="3" t="s">
        <v>800</v>
      </c>
      <c r="G3393" s="6">
        <v>78637</v>
      </c>
      <c r="H3393" s="5">
        <v>4799</v>
      </c>
    </row>
    <row r="3394" spans="2:8" ht="17.5" customHeight="1" x14ac:dyDescent="0.4">
      <c r="B3394" s="3" t="s">
        <v>7</v>
      </c>
      <c r="C3394" s="3" t="s">
        <v>514</v>
      </c>
      <c r="D3394" s="4">
        <f>DATE(2012,6,1)</f>
        <v>41061</v>
      </c>
      <c r="E3394" s="5">
        <f t="shared" si="54"/>
        <v>2012</v>
      </c>
      <c r="F3394" s="3" t="s">
        <v>800</v>
      </c>
      <c r="G3394" s="6">
        <v>12728</v>
      </c>
      <c r="H3394" s="5">
        <v>4800</v>
      </c>
    </row>
    <row r="3395" spans="2:8" ht="17.5" customHeight="1" x14ac:dyDescent="0.4">
      <c r="B3395" s="3" t="s">
        <v>7</v>
      </c>
      <c r="C3395" s="3" t="s">
        <v>514</v>
      </c>
      <c r="D3395" s="4">
        <f>DATE(2012,6,1)</f>
        <v>41061</v>
      </c>
      <c r="E3395" s="5">
        <f t="shared" ref="E3395:E3458" si="56">YEAR(D3395)</f>
        <v>2012</v>
      </c>
      <c r="F3395" s="3" t="s">
        <v>800</v>
      </c>
      <c r="G3395" s="6">
        <v>27159</v>
      </c>
      <c r="H3395" s="5">
        <v>4801</v>
      </c>
    </row>
    <row r="3396" spans="2:8" ht="17.5" customHeight="1" x14ac:dyDescent="0.4">
      <c r="B3396" s="3" t="s">
        <v>7</v>
      </c>
      <c r="C3396" s="3" t="s">
        <v>514</v>
      </c>
      <c r="D3396" s="4">
        <f>DATE(2012,7,19)</f>
        <v>41109</v>
      </c>
      <c r="E3396" s="5">
        <f t="shared" si="56"/>
        <v>2012</v>
      </c>
      <c r="F3396" s="3" t="s">
        <v>800</v>
      </c>
      <c r="G3396" s="6">
        <v>12277.46</v>
      </c>
      <c r="H3396" s="5">
        <v>4800</v>
      </c>
    </row>
    <row r="3397" spans="2:8" ht="17.5" customHeight="1" x14ac:dyDescent="0.4">
      <c r="B3397" s="3" t="s">
        <v>7</v>
      </c>
      <c r="C3397" s="3" t="s">
        <v>514</v>
      </c>
      <c r="D3397" s="4">
        <f>DATE(2012,7,19)</f>
        <v>41109</v>
      </c>
      <c r="E3397" s="5">
        <f t="shared" si="56"/>
        <v>2012</v>
      </c>
      <c r="F3397" s="3" t="s">
        <v>800</v>
      </c>
      <c r="G3397" s="6">
        <v>22217.46</v>
      </c>
      <c r="H3397" s="5">
        <v>4801</v>
      </c>
    </row>
    <row r="3398" spans="2:8" ht="17.5" customHeight="1" x14ac:dyDescent="0.4">
      <c r="B3398" s="3" t="s">
        <v>7</v>
      </c>
      <c r="C3398" s="3" t="s">
        <v>514</v>
      </c>
      <c r="D3398" s="4">
        <f>DATE(2012,7,19)</f>
        <v>41109</v>
      </c>
      <c r="E3398" s="5">
        <f t="shared" si="56"/>
        <v>2012</v>
      </c>
      <c r="F3398" s="3" t="s">
        <v>800</v>
      </c>
      <c r="G3398" s="6">
        <v>32871.11</v>
      </c>
      <c r="H3398" s="5">
        <v>4799</v>
      </c>
    </row>
    <row r="3399" spans="2:8" ht="17.5" customHeight="1" x14ac:dyDescent="0.4">
      <c r="B3399" s="3" t="s">
        <v>7</v>
      </c>
      <c r="C3399" s="3" t="s">
        <v>514</v>
      </c>
      <c r="D3399" s="4">
        <f>DATE(2012,7,31)</f>
        <v>41121</v>
      </c>
      <c r="E3399" s="5">
        <f t="shared" si="56"/>
        <v>2012</v>
      </c>
      <c r="F3399" s="3" t="s">
        <v>800</v>
      </c>
      <c r="G3399" s="6">
        <v>8775.57</v>
      </c>
      <c r="H3399" s="5">
        <v>4799</v>
      </c>
    </row>
    <row r="3400" spans="2:8" ht="17.5" customHeight="1" x14ac:dyDescent="0.4">
      <c r="B3400" s="3" t="s">
        <v>7</v>
      </c>
      <c r="C3400" s="3" t="s">
        <v>514</v>
      </c>
      <c r="D3400" s="4">
        <f>DATE(2012,11,26)</f>
        <v>41239</v>
      </c>
      <c r="E3400" s="5">
        <f t="shared" si="56"/>
        <v>2012</v>
      </c>
      <c r="F3400" s="3" t="s">
        <v>800</v>
      </c>
      <c r="G3400" s="6">
        <v>91231.03</v>
      </c>
      <c r="H3400" s="5">
        <v>5210</v>
      </c>
    </row>
    <row r="3401" spans="2:8" ht="17.5" customHeight="1" x14ac:dyDescent="0.4">
      <c r="B3401" s="3" t="s">
        <v>7</v>
      </c>
      <c r="C3401" s="3" t="s">
        <v>514</v>
      </c>
      <c r="D3401" s="4">
        <f>DATE(2013,1,8)</f>
        <v>41282</v>
      </c>
      <c r="E3401" s="5">
        <f t="shared" si="56"/>
        <v>2013</v>
      </c>
      <c r="F3401" s="3" t="s">
        <v>800</v>
      </c>
      <c r="G3401" s="6">
        <v>8020.15</v>
      </c>
      <c r="H3401" s="5">
        <v>5297</v>
      </c>
    </row>
    <row r="3402" spans="2:8" ht="17.5" customHeight="1" x14ac:dyDescent="0.4">
      <c r="B3402" s="3" t="s">
        <v>7</v>
      </c>
      <c r="C3402" s="3" t="s">
        <v>514</v>
      </c>
      <c r="D3402" s="4">
        <f>DATE(2012,6,27)</f>
        <v>41087</v>
      </c>
      <c r="E3402" s="5">
        <f t="shared" si="56"/>
        <v>2012</v>
      </c>
      <c r="F3402" s="3" t="s">
        <v>800</v>
      </c>
      <c r="G3402" s="6">
        <v>162196.29999999999</v>
      </c>
      <c r="H3402" s="5">
        <v>4794</v>
      </c>
    </row>
    <row r="3403" spans="2:8" ht="17.5" customHeight="1" x14ac:dyDescent="0.4">
      <c r="B3403" s="3" t="s">
        <v>7</v>
      </c>
      <c r="C3403" s="3" t="s">
        <v>514</v>
      </c>
      <c r="D3403" s="4">
        <f>DATE(2012,7,19)</f>
        <v>41109</v>
      </c>
      <c r="E3403" s="5">
        <f t="shared" si="56"/>
        <v>2012</v>
      </c>
      <c r="F3403" s="3" t="s">
        <v>800</v>
      </c>
      <c r="G3403" s="6">
        <v>96586.38</v>
      </c>
      <c r="H3403" s="5">
        <v>4794</v>
      </c>
    </row>
    <row r="3404" spans="2:8" ht="17.5" customHeight="1" x14ac:dyDescent="0.4">
      <c r="B3404" s="3" t="s">
        <v>7</v>
      </c>
      <c r="C3404" s="3" t="s">
        <v>514</v>
      </c>
      <c r="D3404" s="4">
        <f>DATE(2012,7,31)</f>
        <v>41121</v>
      </c>
      <c r="E3404" s="5">
        <f t="shared" si="56"/>
        <v>2012</v>
      </c>
      <c r="F3404" s="3" t="s">
        <v>800</v>
      </c>
      <c r="G3404" s="6">
        <v>15106.73</v>
      </c>
      <c r="H3404" s="5">
        <v>4794</v>
      </c>
    </row>
    <row r="3405" spans="2:8" ht="17.5" customHeight="1" x14ac:dyDescent="0.4">
      <c r="B3405" t="s">
        <v>7</v>
      </c>
      <c r="C3405" t="s">
        <v>801</v>
      </c>
      <c r="D3405" s="7">
        <f>DATE(2012,6,6)</f>
        <v>41066</v>
      </c>
      <c r="E3405" s="8">
        <f t="shared" si="56"/>
        <v>2012</v>
      </c>
      <c r="F3405" t="s">
        <v>802</v>
      </c>
      <c r="G3405" s="9">
        <v>2755.16</v>
      </c>
      <c r="H3405" s="8">
        <v>11593</v>
      </c>
    </row>
    <row r="3406" spans="2:8" ht="17.5" customHeight="1" x14ac:dyDescent="0.4">
      <c r="B3406" t="s">
        <v>7</v>
      </c>
      <c r="C3406" t="s">
        <v>801</v>
      </c>
      <c r="D3406" s="7">
        <f>DATE(2013,5,23)</f>
        <v>41417</v>
      </c>
      <c r="E3406" s="8">
        <f t="shared" si="56"/>
        <v>2013</v>
      </c>
      <c r="F3406" t="s">
        <v>802</v>
      </c>
      <c r="G3406" s="9">
        <v>5273.4</v>
      </c>
      <c r="H3406" s="8">
        <v>12341</v>
      </c>
    </row>
    <row r="3407" spans="2:8" ht="17.5" customHeight="1" x14ac:dyDescent="0.4">
      <c r="B3407" t="s">
        <v>7</v>
      </c>
      <c r="C3407" t="s">
        <v>801</v>
      </c>
      <c r="D3407" s="7">
        <f>DATE(2003,3,25)</f>
        <v>37705</v>
      </c>
      <c r="E3407" s="8">
        <f t="shared" si="56"/>
        <v>2003</v>
      </c>
      <c r="F3407" t="s">
        <v>802</v>
      </c>
      <c r="G3407" s="9">
        <v>3648.8</v>
      </c>
      <c r="H3407" s="8">
        <v>230</v>
      </c>
    </row>
    <row r="3408" spans="2:8" ht="17.5" customHeight="1" x14ac:dyDescent="0.4">
      <c r="B3408" t="s">
        <v>7</v>
      </c>
      <c r="C3408" t="s">
        <v>801</v>
      </c>
      <c r="D3408" s="7">
        <f>DATE(2003,3,22)</f>
        <v>37702</v>
      </c>
      <c r="E3408" s="8">
        <f t="shared" si="56"/>
        <v>2003</v>
      </c>
      <c r="F3408" t="s">
        <v>802</v>
      </c>
      <c r="G3408" s="9">
        <v>8809.68</v>
      </c>
      <c r="H3408" s="8">
        <v>218</v>
      </c>
    </row>
    <row r="3409" spans="2:8" ht="17.5" customHeight="1" x14ac:dyDescent="0.4">
      <c r="B3409" t="s">
        <v>7</v>
      </c>
      <c r="C3409" t="s">
        <v>801</v>
      </c>
      <c r="D3409" s="7">
        <f>DATE(2003,3,20)</f>
        <v>37700</v>
      </c>
      <c r="E3409" s="8">
        <f t="shared" si="56"/>
        <v>2003</v>
      </c>
      <c r="F3409" t="s">
        <v>802</v>
      </c>
      <c r="G3409" s="9">
        <v>17675.099999999999</v>
      </c>
      <c r="H3409" s="8">
        <v>217</v>
      </c>
    </row>
    <row r="3410" spans="2:8" ht="17.5" customHeight="1" x14ac:dyDescent="0.4">
      <c r="B3410" t="s">
        <v>7</v>
      </c>
      <c r="C3410" t="s">
        <v>801</v>
      </c>
      <c r="D3410" s="7">
        <f>DATE(2003,3,28)</f>
        <v>37708</v>
      </c>
      <c r="E3410" s="8">
        <f t="shared" si="56"/>
        <v>2003</v>
      </c>
      <c r="F3410" t="s">
        <v>802</v>
      </c>
      <c r="G3410" s="9">
        <v>10748.1</v>
      </c>
      <c r="H3410" s="8">
        <v>227</v>
      </c>
    </row>
    <row r="3411" spans="2:8" ht="17.5" customHeight="1" x14ac:dyDescent="0.4">
      <c r="B3411" t="s">
        <v>7</v>
      </c>
      <c r="C3411" t="s">
        <v>801</v>
      </c>
      <c r="D3411" s="7">
        <f>DATE(2003,4,25)</f>
        <v>37736</v>
      </c>
      <c r="E3411" s="8">
        <f t="shared" si="56"/>
        <v>2003</v>
      </c>
      <c r="F3411" t="s">
        <v>802</v>
      </c>
      <c r="G3411" s="9">
        <v>13213.68</v>
      </c>
      <c r="H3411" s="8">
        <v>229</v>
      </c>
    </row>
    <row r="3412" spans="2:8" ht="17.5" customHeight="1" x14ac:dyDescent="0.4">
      <c r="B3412" t="s">
        <v>7</v>
      </c>
      <c r="C3412" t="s">
        <v>801</v>
      </c>
      <c r="D3412" s="7">
        <f>DATE(2003,7,9)</f>
        <v>37811</v>
      </c>
      <c r="E3412" s="8">
        <f t="shared" si="56"/>
        <v>2003</v>
      </c>
      <c r="F3412" t="s">
        <v>802</v>
      </c>
      <c r="G3412" s="9">
        <v>3448.16</v>
      </c>
      <c r="H3412" s="8">
        <v>711</v>
      </c>
    </row>
    <row r="3413" spans="2:8" ht="17.5" customHeight="1" x14ac:dyDescent="0.4">
      <c r="B3413" t="s">
        <v>7</v>
      </c>
      <c r="C3413" t="s">
        <v>801</v>
      </c>
      <c r="D3413" s="7">
        <f>DATE(2003,8,5)</f>
        <v>37838</v>
      </c>
      <c r="E3413" s="8">
        <f t="shared" si="56"/>
        <v>2003</v>
      </c>
      <c r="F3413" t="s">
        <v>802</v>
      </c>
      <c r="G3413" s="9">
        <v>3210.58</v>
      </c>
      <c r="H3413" s="8">
        <v>783</v>
      </c>
    </row>
    <row r="3414" spans="2:8" ht="17.5" customHeight="1" x14ac:dyDescent="0.4">
      <c r="B3414" t="s">
        <v>7</v>
      </c>
      <c r="C3414" t="s">
        <v>801</v>
      </c>
      <c r="D3414" s="7">
        <f>DATE(2003,10,14)</f>
        <v>37908</v>
      </c>
      <c r="E3414" s="8">
        <f t="shared" si="56"/>
        <v>2003</v>
      </c>
      <c r="F3414" t="s">
        <v>802</v>
      </c>
      <c r="G3414" s="9">
        <v>3008.45</v>
      </c>
      <c r="H3414" s="8">
        <v>935</v>
      </c>
    </row>
    <row r="3415" spans="2:8" ht="17.5" customHeight="1" x14ac:dyDescent="0.4">
      <c r="B3415" t="s">
        <v>7</v>
      </c>
      <c r="C3415" t="s">
        <v>801</v>
      </c>
      <c r="D3415" s="7">
        <f>DATE(2004,2,7)</f>
        <v>38024</v>
      </c>
      <c r="E3415" s="8">
        <f t="shared" si="56"/>
        <v>2004</v>
      </c>
      <c r="F3415" t="s">
        <v>802</v>
      </c>
      <c r="G3415" s="9">
        <v>3545.63</v>
      </c>
      <c r="H3415" s="8">
        <v>1283</v>
      </c>
    </row>
    <row r="3416" spans="2:8" ht="17.5" customHeight="1" x14ac:dyDescent="0.4">
      <c r="B3416" t="s">
        <v>7</v>
      </c>
      <c r="C3416" t="s">
        <v>801</v>
      </c>
      <c r="D3416" s="7">
        <f>DATE(2004,3,3)</f>
        <v>38049</v>
      </c>
      <c r="E3416" s="8">
        <f t="shared" si="56"/>
        <v>2004</v>
      </c>
      <c r="F3416" t="s">
        <v>802</v>
      </c>
      <c r="G3416" s="9">
        <v>29042</v>
      </c>
      <c r="H3416" s="8">
        <v>1346</v>
      </c>
    </row>
    <row r="3417" spans="2:8" ht="17.5" customHeight="1" x14ac:dyDescent="0.4">
      <c r="B3417" t="s">
        <v>7</v>
      </c>
      <c r="C3417" t="s">
        <v>801</v>
      </c>
      <c r="D3417" s="7">
        <f>DATE(2004,3,17)</f>
        <v>38063</v>
      </c>
      <c r="E3417" s="8">
        <f t="shared" si="56"/>
        <v>2004</v>
      </c>
      <c r="F3417" t="s">
        <v>802</v>
      </c>
      <c r="G3417" s="9">
        <v>13493.3</v>
      </c>
      <c r="H3417" s="8">
        <v>1449</v>
      </c>
    </row>
    <row r="3418" spans="2:8" ht="17.5" customHeight="1" x14ac:dyDescent="0.4">
      <c r="B3418" t="s">
        <v>7</v>
      </c>
      <c r="C3418" t="s">
        <v>801</v>
      </c>
      <c r="D3418" s="7">
        <f>DATE(2004,3,26)</f>
        <v>38072</v>
      </c>
      <c r="E3418" s="8">
        <f t="shared" si="56"/>
        <v>2004</v>
      </c>
      <c r="F3418" t="s">
        <v>802</v>
      </c>
      <c r="G3418" s="9">
        <v>11748.68</v>
      </c>
      <c r="H3418" s="8">
        <v>1512</v>
      </c>
    </row>
    <row r="3419" spans="2:8" ht="17.5" customHeight="1" x14ac:dyDescent="0.4">
      <c r="B3419" t="s">
        <v>7</v>
      </c>
      <c r="C3419" t="s">
        <v>801</v>
      </c>
      <c r="D3419" s="7">
        <f>DATE(2005,3,14)</f>
        <v>38425</v>
      </c>
      <c r="E3419" s="8">
        <f t="shared" si="56"/>
        <v>2005</v>
      </c>
      <c r="F3419" t="s">
        <v>802</v>
      </c>
      <c r="G3419" s="9">
        <v>14350.7</v>
      </c>
      <c r="H3419" s="8">
        <v>2882</v>
      </c>
    </row>
    <row r="3420" spans="2:8" ht="17.5" customHeight="1" x14ac:dyDescent="0.4">
      <c r="B3420" t="s">
        <v>7</v>
      </c>
      <c r="C3420" t="s">
        <v>801</v>
      </c>
      <c r="D3420" s="7">
        <f>DATE(2005,3,20)</f>
        <v>38431</v>
      </c>
      <c r="E3420" s="8">
        <f t="shared" si="56"/>
        <v>2005</v>
      </c>
      <c r="F3420" t="s">
        <v>802</v>
      </c>
      <c r="G3420" s="9">
        <v>20316.599999999999</v>
      </c>
      <c r="H3420" s="8">
        <v>2897</v>
      </c>
    </row>
    <row r="3421" spans="2:8" ht="17.5" customHeight="1" x14ac:dyDescent="0.4">
      <c r="B3421" t="s">
        <v>7</v>
      </c>
      <c r="C3421" t="s">
        <v>801</v>
      </c>
      <c r="D3421" s="7">
        <f>DATE(2005,3,25)</f>
        <v>38436</v>
      </c>
      <c r="E3421" s="8">
        <f t="shared" si="56"/>
        <v>2005</v>
      </c>
      <c r="F3421" t="s">
        <v>802</v>
      </c>
      <c r="G3421" s="9">
        <v>11748.68</v>
      </c>
      <c r="H3421" s="8">
        <v>2895</v>
      </c>
    </row>
    <row r="3422" spans="2:8" ht="17.5" customHeight="1" x14ac:dyDescent="0.4">
      <c r="B3422" t="s">
        <v>7</v>
      </c>
      <c r="C3422" t="s">
        <v>801</v>
      </c>
      <c r="D3422" s="7">
        <f>DATE(2005,3,31)</f>
        <v>38442</v>
      </c>
      <c r="E3422" s="8">
        <f t="shared" si="56"/>
        <v>2005</v>
      </c>
      <c r="F3422" t="s">
        <v>802</v>
      </c>
      <c r="G3422" s="9">
        <v>12160.42</v>
      </c>
      <c r="H3422" s="8">
        <v>2896</v>
      </c>
    </row>
    <row r="3423" spans="2:8" ht="17.5" customHeight="1" x14ac:dyDescent="0.4">
      <c r="B3423" t="s">
        <v>7</v>
      </c>
      <c r="C3423" t="s">
        <v>801</v>
      </c>
      <c r="D3423" s="7">
        <f>DATE(2005,4,26)</f>
        <v>38468</v>
      </c>
      <c r="E3423" s="8">
        <f t="shared" si="56"/>
        <v>2005</v>
      </c>
      <c r="F3423" t="s">
        <v>802</v>
      </c>
      <c r="G3423" s="9">
        <v>3308.56</v>
      </c>
      <c r="H3423" s="8">
        <v>3107</v>
      </c>
    </row>
    <row r="3424" spans="2:8" ht="17.5" customHeight="1" x14ac:dyDescent="0.4">
      <c r="B3424" t="s">
        <v>7</v>
      </c>
      <c r="C3424" t="s">
        <v>801</v>
      </c>
      <c r="D3424" s="7">
        <f>DATE(2006,2,13)</f>
        <v>38761</v>
      </c>
      <c r="E3424" s="8">
        <f t="shared" si="56"/>
        <v>2006</v>
      </c>
      <c r="F3424" t="s">
        <v>802</v>
      </c>
      <c r="G3424" s="9">
        <v>19268.080000000002</v>
      </c>
      <c r="H3424" s="8">
        <v>4124</v>
      </c>
    </row>
    <row r="3425" spans="2:8" ht="17.5" customHeight="1" x14ac:dyDescent="0.4">
      <c r="B3425" t="s">
        <v>7</v>
      </c>
      <c r="C3425" t="s">
        <v>801</v>
      </c>
      <c r="D3425" s="7">
        <f>DATE(2006,4,2)</f>
        <v>38809</v>
      </c>
      <c r="E3425" s="8">
        <f t="shared" si="56"/>
        <v>2006</v>
      </c>
      <c r="F3425" t="s">
        <v>802</v>
      </c>
      <c r="G3425" s="9">
        <v>16776.53</v>
      </c>
      <c r="H3425" s="8">
        <v>4392</v>
      </c>
    </row>
    <row r="3426" spans="2:8" ht="17.5" customHeight="1" x14ac:dyDescent="0.4">
      <c r="B3426" t="s">
        <v>7</v>
      </c>
      <c r="C3426" t="s">
        <v>801</v>
      </c>
      <c r="D3426" s="7">
        <f>DATE(2006,5,10)</f>
        <v>38847</v>
      </c>
      <c r="E3426" s="8">
        <f t="shared" si="56"/>
        <v>2006</v>
      </c>
      <c r="F3426" t="s">
        <v>802</v>
      </c>
      <c r="G3426" s="9">
        <v>12173.24</v>
      </c>
      <c r="H3426" s="8">
        <v>4558</v>
      </c>
    </row>
    <row r="3427" spans="2:8" ht="17.5" customHeight="1" x14ac:dyDescent="0.4">
      <c r="B3427" t="s">
        <v>7</v>
      </c>
      <c r="C3427" t="s">
        <v>801</v>
      </c>
      <c r="D3427" s="7">
        <f>DATE(2006,5,18)</f>
        <v>38855</v>
      </c>
      <c r="E3427" s="8">
        <f t="shared" si="56"/>
        <v>2006</v>
      </c>
      <c r="F3427" t="s">
        <v>802</v>
      </c>
      <c r="G3427" s="9">
        <v>13196.64</v>
      </c>
      <c r="H3427" s="8">
        <v>4559</v>
      </c>
    </row>
    <row r="3428" spans="2:8" ht="17.5" customHeight="1" x14ac:dyDescent="0.4">
      <c r="B3428" t="s">
        <v>7</v>
      </c>
      <c r="C3428" t="s">
        <v>801</v>
      </c>
      <c r="D3428" s="7">
        <f>DATE(2007,3,8)</f>
        <v>39149</v>
      </c>
      <c r="E3428" s="8">
        <f t="shared" si="56"/>
        <v>2007</v>
      </c>
      <c r="F3428" t="s">
        <v>802</v>
      </c>
      <c r="G3428" s="9">
        <v>20168.23</v>
      </c>
      <c r="H3428" s="8">
        <v>5165</v>
      </c>
    </row>
    <row r="3429" spans="2:8" ht="17.5" customHeight="1" x14ac:dyDescent="0.4">
      <c r="B3429" t="s">
        <v>7</v>
      </c>
      <c r="C3429" t="s">
        <v>801</v>
      </c>
      <c r="D3429" s="7">
        <f>DATE(2007,3,15)</f>
        <v>39156</v>
      </c>
      <c r="E3429" s="8">
        <f t="shared" si="56"/>
        <v>2007</v>
      </c>
      <c r="F3429" t="s">
        <v>802</v>
      </c>
      <c r="G3429" s="9">
        <v>14027.69</v>
      </c>
      <c r="H3429" s="8">
        <v>5167</v>
      </c>
    </row>
    <row r="3430" spans="2:8" ht="17.5" customHeight="1" x14ac:dyDescent="0.4">
      <c r="B3430" t="s">
        <v>7</v>
      </c>
      <c r="C3430" t="s">
        <v>801</v>
      </c>
      <c r="D3430" s="7">
        <f>DATE(2007,5,1)</f>
        <v>39203</v>
      </c>
      <c r="E3430" s="8">
        <f t="shared" si="56"/>
        <v>2007</v>
      </c>
      <c r="F3430" t="s">
        <v>802</v>
      </c>
      <c r="G3430" s="9">
        <v>12173.04</v>
      </c>
      <c r="H3430" s="8">
        <v>5169</v>
      </c>
    </row>
    <row r="3431" spans="2:8" ht="17.5" customHeight="1" x14ac:dyDescent="0.4">
      <c r="B3431" t="s">
        <v>7</v>
      </c>
      <c r="C3431" t="s">
        <v>801</v>
      </c>
      <c r="D3431" s="7">
        <f>DATE(2007,5,7)</f>
        <v>39209</v>
      </c>
      <c r="E3431" s="8">
        <f t="shared" si="56"/>
        <v>2007</v>
      </c>
      <c r="F3431" t="s">
        <v>802</v>
      </c>
      <c r="G3431" s="9">
        <v>12173.24</v>
      </c>
      <c r="H3431" s="8">
        <v>5879</v>
      </c>
    </row>
    <row r="3432" spans="2:8" ht="17.5" customHeight="1" x14ac:dyDescent="0.4">
      <c r="B3432" t="s">
        <v>7</v>
      </c>
      <c r="C3432" t="s">
        <v>801</v>
      </c>
      <c r="D3432" s="7">
        <f>DATE(2008,3,8)</f>
        <v>39515</v>
      </c>
      <c r="E3432" s="8">
        <f t="shared" si="56"/>
        <v>2008</v>
      </c>
      <c r="F3432" t="s">
        <v>802</v>
      </c>
      <c r="G3432" s="9">
        <v>14754.79</v>
      </c>
      <c r="H3432" s="8">
        <v>7039</v>
      </c>
    </row>
    <row r="3433" spans="2:8" ht="17.5" customHeight="1" x14ac:dyDescent="0.4">
      <c r="B3433" t="s">
        <v>7</v>
      </c>
      <c r="C3433" t="s">
        <v>801</v>
      </c>
      <c r="D3433" s="7">
        <f>DATE(2008,4,18)</f>
        <v>39556</v>
      </c>
      <c r="E3433" s="8">
        <f t="shared" si="56"/>
        <v>2008</v>
      </c>
      <c r="F3433" t="s">
        <v>802</v>
      </c>
      <c r="G3433" s="9">
        <v>20808.28</v>
      </c>
      <c r="H3433" s="8">
        <v>6988</v>
      </c>
    </row>
    <row r="3434" spans="2:8" ht="17.5" customHeight="1" x14ac:dyDescent="0.4">
      <c r="B3434" t="s">
        <v>7</v>
      </c>
      <c r="C3434" t="s">
        <v>801</v>
      </c>
      <c r="D3434" s="7">
        <f>DATE(2008,5,27)</f>
        <v>39595</v>
      </c>
      <c r="E3434" s="8">
        <f t="shared" si="56"/>
        <v>2008</v>
      </c>
      <c r="F3434" t="s">
        <v>802</v>
      </c>
      <c r="G3434" s="9">
        <v>22868.98</v>
      </c>
      <c r="H3434" s="8">
        <v>6991</v>
      </c>
    </row>
    <row r="3435" spans="2:8" ht="17.5" customHeight="1" x14ac:dyDescent="0.4">
      <c r="B3435" t="s">
        <v>7</v>
      </c>
      <c r="C3435" t="s">
        <v>801</v>
      </c>
      <c r="D3435" s="7">
        <f>DATE(2009,4,8)</f>
        <v>39911</v>
      </c>
      <c r="E3435" s="8">
        <f t="shared" si="56"/>
        <v>2009</v>
      </c>
      <c r="F3435" t="s">
        <v>802</v>
      </c>
      <c r="G3435" s="9">
        <v>24007.68</v>
      </c>
      <c r="H3435" s="8">
        <v>8523</v>
      </c>
    </row>
    <row r="3436" spans="2:8" ht="17.5" customHeight="1" x14ac:dyDescent="0.4">
      <c r="B3436" t="s">
        <v>7</v>
      </c>
      <c r="C3436" t="s">
        <v>801</v>
      </c>
      <c r="D3436" s="7">
        <f>DATE(2009,4,20)</f>
        <v>39923</v>
      </c>
      <c r="E3436" s="8">
        <f t="shared" si="56"/>
        <v>2009</v>
      </c>
      <c r="F3436" t="s">
        <v>802</v>
      </c>
      <c r="G3436" s="9">
        <v>14026.59</v>
      </c>
      <c r="H3436" s="8">
        <v>8414</v>
      </c>
    </row>
    <row r="3437" spans="2:8" ht="17.5" customHeight="1" x14ac:dyDescent="0.4">
      <c r="B3437" t="s">
        <v>7</v>
      </c>
      <c r="C3437" t="s">
        <v>801</v>
      </c>
      <c r="D3437" s="7">
        <f>DATE(2009,5,29)</f>
        <v>39962</v>
      </c>
      <c r="E3437" s="8">
        <f t="shared" si="56"/>
        <v>2009</v>
      </c>
      <c r="F3437" t="s">
        <v>802</v>
      </c>
      <c r="G3437" s="9">
        <v>22308.28</v>
      </c>
      <c r="H3437" s="8">
        <v>8715</v>
      </c>
    </row>
    <row r="3438" spans="2:8" ht="17.5" customHeight="1" x14ac:dyDescent="0.4">
      <c r="B3438" t="s">
        <v>7</v>
      </c>
      <c r="C3438" t="s">
        <v>801</v>
      </c>
      <c r="D3438" s="7">
        <f>DATE(2009,11,9)</f>
        <v>40126</v>
      </c>
      <c r="E3438" s="8">
        <f t="shared" si="56"/>
        <v>2009</v>
      </c>
      <c r="F3438" t="s">
        <v>802</v>
      </c>
      <c r="G3438" s="9">
        <v>4590</v>
      </c>
      <c r="H3438" s="8">
        <v>9146</v>
      </c>
    </row>
    <row r="3439" spans="2:8" ht="17.5" customHeight="1" x14ac:dyDescent="0.4">
      <c r="B3439" t="s">
        <v>7</v>
      </c>
      <c r="C3439" t="s">
        <v>801</v>
      </c>
      <c r="D3439" s="7">
        <f>DATE(2010,2,16)</f>
        <v>40225</v>
      </c>
      <c r="E3439" s="8">
        <f t="shared" si="56"/>
        <v>2010</v>
      </c>
      <c r="F3439" t="s">
        <v>802</v>
      </c>
      <c r="G3439" s="9">
        <v>20808.28</v>
      </c>
      <c r="H3439" s="8">
        <v>9512</v>
      </c>
    </row>
    <row r="3440" spans="2:8" ht="17.5" customHeight="1" x14ac:dyDescent="0.4">
      <c r="B3440" t="s">
        <v>7</v>
      </c>
      <c r="C3440" t="s">
        <v>801</v>
      </c>
      <c r="D3440" s="7">
        <f>DATE(2010,4,29)</f>
        <v>40297</v>
      </c>
      <c r="E3440" s="8">
        <f t="shared" si="56"/>
        <v>2010</v>
      </c>
      <c r="F3440" t="s">
        <v>802</v>
      </c>
      <c r="G3440" s="9">
        <v>32812.47</v>
      </c>
      <c r="H3440" s="8">
        <v>9761</v>
      </c>
    </row>
    <row r="3441" spans="2:8" ht="17.5" customHeight="1" x14ac:dyDescent="0.4">
      <c r="B3441" t="s">
        <v>7</v>
      </c>
      <c r="C3441" t="s">
        <v>801</v>
      </c>
      <c r="D3441" s="7">
        <f>DATE(2011,4,29)</f>
        <v>40662</v>
      </c>
      <c r="E3441" s="8">
        <f t="shared" si="56"/>
        <v>2011</v>
      </c>
      <c r="F3441" t="s">
        <v>802</v>
      </c>
      <c r="G3441" s="9">
        <v>13204.04</v>
      </c>
      <c r="H3441" s="8">
        <v>10646</v>
      </c>
    </row>
    <row r="3442" spans="2:8" ht="17.5" customHeight="1" x14ac:dyDescent="0.4">
      <c r="B3442" t="s">
        <v>7</v>
      </c>
      <c r="C3442" t="s">
        <v>801</v>
      </c>
      <c r="D3442" s="7">
        <f>DATE(2011,4,30)</f>
        <v>40663</v>
      </c>
      <c r="E3442" s="8">
        <f t="shared" si="56"/>
        <v>2011</v>
      </c>
      <c r="F3442" t="s">
        <v>802</v>
      </c>
      <c r="G3442" s="9">
        <v>22147.03</v>
      </c>
      <c r="H3442" s="8">
        <v>10647</v>
      </c>
    </row>
    <row r="3443" spans="2:8" ht="17.5" customHeight="1" x14ac:dyDescent="0.4">
      <c r="B3443" t="s">
        <v>7</v>
      </c>
      <c r="C3443" t="s">
        <v>801</v>
      </c>
      <c r="D3443" s="7">
        <f>DATE(2011,5,23)</f>
        <v>40686</v>
      </c>
      <c r="E3443" s="8">
        <f t="shared" si="56"/>
        <v>2011</v>
      </c>
      <c r="F3443" t="s">
        <v>802</v>
      </c>
      <c r="G3443" s="9">
        <v>11658.14</v>
      </c>
      <c r="H3443" s="8">
        <v>10562</v>
      </c>
    </row>
    <row r="3444" spans="2:8" ht="17.5" customHeight="1" x14ac:dyDescent="0.4">
      <c r="B3444" t="s">
        <v>7</v>
      </c>
      <c r="C3444" t="s">
        <v>801</v>
      </c>
      <c r="D3444" s="7">
        <f>DATE(2011,6,22)</f>
        <v>40716</v>
      </c>
      <c r="E3444" s="8">
        <f t="shared" si="56"/>
        <v>2011</v>
      </c>
      <c r="F3444" t="s">
        <v>802</v>
      </c>
      <c r="G3444" s="9">
        <v>12778.84</v>
      </c>
      <c r="H3444" s="8">
        <v>10824</v>
      </c>
    </row>
    <row r="3445" spans="2:8" ht="17.5" customHeight="1" x14ac:dyDescent="0.4">
      <c r="B3445" t="s">
        <v>7</v>
      </c>
      <c r="C3445" t="s">
        <v>801</v>
      </c>
      <c r="D3445" s="7">
        <f>DATE(2014,3,26)</f>
        <v>41724</v>
      </c>
      <c r="E3445" s="8">
        <f t="shared" si="56"/>
        <v>2014</v>
      </c>
      <c r="F3445" t="s">
        <v>802</v>
      </c>
      <c r="G3445" s="9">
        <v>14423.43</v>
      </c>
      <c r="H3445" s="8">
        <v>13024</v>
      </c>
    </row>
    <row r="3446" spans="2:8" ht="17.5" customHeight="1" x14ac:dyDescent="0.4">
      <c r="B3446" t="s">
        <v>7</v>
      </c>
      <c r="C3446" t="s">
        <v>801</v>
      </c>
      <c r="D3446" s="7">
        <f>DATE(2014,4,11)</f>
        <v>41740</v>
      </c>
      <c r="E3446" s="8">
        <f t="shared" si="56"/>
        <v>2014</v>
      </c>
      <c r="F3446" t="s">
        <v>802</v>
      </c>
      <c r="G3446" s="9">
        <v>13086.63</v>
      </c>
      <c r="H3446" s="8">
        <v>13025</v>
      </c>
    </row>
    <row r="3447" spans="2:8" ht="17.5" customHeight="1" x14ac:dyDescent="0.4">
      <c r="B3447" t="s">
        <v>7</v>
      </c>
      <c r="C3447" t="s">
        <v>801</v>
      </c>
      <c r="D3447" s="7">
        <f>DATE(2014,5,5)</f>
        <v>41764</v>
      </c>
      <c r="E3447" s="8">
        <f t="shared" si="56"/>
        <v>2014</v>
      </c>
      <c r="F3447" t="s">
        <v>802</v>
      </c>
      <c r="G3447" s="9">
        <v>21265</v>
      </c>
      <c r="H3447" s="8">
        <v>13030</v>
      </c>
    </row>
    <row r="3448" spans="2:8" ht="17.5" customHeight="1" x14ac:dyDescent="0.4">
      <c r="B3448" t="s">
        <v>7</v>
      </c>
      <c r="C3448" t="s">
        <v>801</v>
      </c>
      <c r="D3448" s="7">
        <f>DATE(2014,5,14)</f>
        <v>41773</v>
      </c>
      <c r="E3448" s="8">
        <f t="shared" si="56"/>
        <v>2014</v>
      </c>
      <c r="F3448" t="s">
        <v>802</v>
      </c>
      <c r="G3448" s="9">
        <v>15365</v>
      </c>
      <c r="H3448" s="8">
        <v>13031</v>
      </c>
    </row>
    <row r="3449" spans="2:8" ht="17.5" customHeight="1" x14ac:dyDescent="0.4">
      <c r="B3449" s="3" t="s">
        <v>7</v>
      </c>
      <c r="C3449" s="3" t="s">
        <v>801</v>
      </c>
      <c r="D3449" s="4">
        <f>DATE(2005,2,18)</f>
        <v>38401</v>
      </c>
      <c r="E3449" s="5">
        <f t="shared" si="56"/>
        <v>2005</v>
      </c>
      <c r="F3449" s="3" t="s">
        <v>802</v>
      </c>
      <c r="G3449" s="6">
        <v>192.48</v>
      </c>
      <c r="H3449" s="5">
        <v>4145</v>
      </c>
    </row>
    <row r="3450" spans="2:8" ht="17.5" customHeight="1" x14ac:dyDescent="0.4">
      <c r="B3450" s="3" t="s">
        <v>7</v>
      </c>
      <c r="C3450" s="3" t="s">
        <v>801</v>
      </c>
      <c r="D3450" s="4">
        <f>DATE(2009,6,4)</f>
        <v>39968</v>
      </c>
      <c r="E3450" s="5">
        <f t="shared" si="56"/>
        <v>2009</v>
      </c>
      <c r="F3450" s="3" t="s">
        <v>802</v>
      </c>
      <c r="G3450" s="6">
        <v>70</v>
      </c>
      <c r="H3450" s="5">
        <v>12629</v>
      </c>
    </row>
    <row r="3451" spans="2:8" ht="17.5" customHeight="1" x14ac:dyDescent="0.4">
      <c r="B3451" s="3" t="s">
        <v>7</v>
      </c>
      <c r="C3451" s="3" t="s">
        <v>801</v>
      </c>
      <c r="D3451" s="4">
        <f>DATE(2011,6,15)</f>
        <v>40709</v>
      </c>
      <c r="E3451" s="5">
        <f t="shared" si="56"/>
        <v>2011</v>
      </c>
      <c r="F3451" s="3" t="s">
        <v>802</v>
      </c>
      <c r="G3451" s="6">
        <v>1750</v>
      </c>
      <c r="H3451" s="5">
        <v>15699</v>
      </c>
    </row>
    <row r="3452" spans="2:8" ht="17.5" customHeight="1" x14ac:dyDescent="0.4">
      <c r="B3452" s="3" t="s">
        <v>7</v>
      </c>
      <c r="C3452" s="3" t="s">
        <v>801</v>
      </c>
      <c r="D3452" s="4">
        <f>DATE(2012,3,31)</f>
        <v>40999</v>
      </c>
      <c r="E3452" s="5">
        <f t="shared" si="56"/>
        <v>2012</v>
      </c>
      <c r="F3452" s="3" t="s">
        <v>802</v>
      </c>
      <c r="G3452" s="6">
        <v>771</v>
      </c>
      <c r="H3452" s="5">
        <v>16912</v>
      </c>
    </row>
    <row r="3453" spans="2:8" ht="17.5" customHeight="1" x14ac:dyDescent="0.4">
      <c r="B3453" s="3" t="s">
        <v>7</v>
      </c>
      <c r="C3453" s="3" t="s">
        <v>801</v>
      </c>
      <c r="D3453" s="4">
        <f>DATE(2012,4,10)</f>
        <v>41009</v>
      </c>
      <c r="E3453" s="5">
        <f t="shared" si="56"/>
        <v>2012</v>
      </c>
      <c r="F3453" s="3" t="s">
        <v>802</v>
      </c>
      <c r="G3453" s="6">
        <v>230</v>
      </c>
      <c r="H3453" s="5">
        <v>16927</v>
      </c>
    </row>
    <row r="3454" spans="2:8" ht="17.5" customHeight="1" x14ac:dyDescent="0.4">
      <c r="B3454" s="3" t="s">
        <v>7</v>
      </c>
      <c r="C3454" s="3" t="s">
        <v>801</v>
      </c>
      <c r="D3454" s="4">
        <f>DATE(2012,4,16)</f>
        <v>41015</v>
      </c>
      <c r="E3454" s="5">
        <f t="shared" si="56"/>
        <v>2012</v>
      </c>
      <c r="F3454" s="3" t="s">
        <v>802</v>
      </c>
      <c r="G3454" s="6">
        <v>364.24</v>
      </c>
      <c r="H3454" s="5">
        <v>16981</v>
      </c>
    </row>
    <row r="3455" spans="2:8" ht="17.5" customHeight="1" x14ac:dyDescent="0.4">
      <c r="B3455" s="3" t="s">
        <v>7</v>
      </c>
      <c r="C3455" s="3" t="s">
        <v>801</v>
      </c>
      <c r="D3455" s="4">
        <f>DATE(2012,4,27)</f>
        <v>41026</v>
      </c>
      <c r="E3455" s="5">
        <f t="shared" si="56"/>
        <v>2012</v>
      </c>
      <c r="F3455" s="3" t="s">
        <v>802</v>
      </c>
      <c r="G3455" s="6">
        <v>151.16</v>
      </c>
      <c r="H3455" s="5">
        <v>17046</v>
      </c>
    </row>
    <row r="3456" spans="2:8" ht="17.5" customHeight="1" x14ac:dyDescent="0.4">
      <c r="B3456" s="3" t="s">
        <v>7</v>
      </c>
      <c r="C3456" s="3" t="s">
        <v>801</v>
      </c>
      <c r="D3456" s="4">
        <f>DATE(2013,4,25)</f>
        <v>41389</v>
      </c>
      <c r="E3456" s="5">
        <f t="shared" si="56"/>
        <v>2013</v>
      </c>
      <c r="F3456" s="3" t="s">
        <v>802</v>
      </c>
      <c r="G3456" s="6">
        <v>238.97</v>
      </c>
      <c r="H3456" s="5">
        <v>18483</v>
      </c>
    </row>
    <row r="3457" spans="2:8" ht="17.5" customHeight="1" x14ac:dyDescent="0.4">
      <c r="B3457" s="3" t="s">
        <v>7</v>
      </c>
      <c r="C3457" s="3" t="s">
        <v>801</v>
      </c>
      <c r="D3457" s="4">
        <f>DATE(2014,2,12)</f>
        <v>41682</v>
      </c>
      <c r="E3457" s="5">
        <f t="shared" si="56"/>
        <v>2014</v>
      </c>
      <c r="F3457" s="3" t="s">
        <v>802</v>
      </c>
      <c r="G3457" s="6">
        <v>692</v>
      </c>
      <c r="H3457" s="5">
        <v>19512</v>
      </c>
    </row>
    <row r="3458" spans="2:8" ht="17.5" customHeight="1" x14ac:dyDescent="0.4">
      <c r="B3458" s="3" t="s">
        <v>7</v>
      </c>
      <c r="C3458" s="3" t="s">
        <v>801</v>
      </c>
      <c r="D3458" s="4">
        <f>DATE(2014,5,12)</f>
        <v>41771</v>
      </c>
      <c r="E3458" s="5">
        <f t="shared" si="56"/>
        <v>2014</v>
      </c>
      <c r="F3458" s="3" t="s">
        <v>802</v>
      </c>
      <c r="G3458" s="6">
        <v>886.47</v>
      </c>
      <c r="H3458" s="5">
        <v>19966</v>
      </c>
    </row>
    <row r="3459" spans="2:8" ht="17.5" customHeight="1" x14ac:dyDescent="0.4">
      <c r="B3459" t="s">
        <v>7</v>
      </c>
      <c r="C3459" t="s">
        <v>803</v>
      </c>
      <c r="D3459" s="7">
        <f>DATE(2005,9,8)</f>
        <v>38603</v>
      </c>
      <c r="E3459" s="8">
        <f t="shared" ref="E3459:E3522" si="57">YEAR(D3459)</f>
        <v>2005</v>
      </c>
      <c r="F3459" t="s">
        <v>804</v>
      </c>
      <c r="G3459" s="9">
        <v>1757.1</v>
      </c>
      <c r="H3459" s="8">
        <v>3566</v>
      </c>
    </row>
    <row r="3460" spans="2:8" ht="17.5" customHeight="1" x14ac:dyDescent="0.4">
      <c r="B3460" t="s">
        <v>7</v>
      </c>
      <c r="C3460" t="s">
        <v>805</v>
      </c>
      <c r="D3460" s="7">
        <f>DATE(2018,4,4)</f>
        <v>43194</v>
      </c>
      <c r="E3460" s="8">
        <f t="shared" si="57"/>
        <v>2018</v>
      </c>
      <c r="F3460" t="s">
        <v>806</v>
      </c>
      <c r="G3460" s="9">
        <v>1064</v>
      </c>
      <c r="H3460" s="8">
        <v>26786</v>
      </c>
    </row>
    <row r="3461" spans="2:8" ht="17.5" customHeight="1" x14ac:dyDescent="0.4">
      <c r="B3461" t="s">
        <v>7</v>
      </c>
      <c r="C3461" t="s">
        <v>805</v>
      </c>
      <c r="D3461" s="7">
        <f>DATE(2012,7,20)</f>
        <v>41110</v>
      </c>
      <c r="E3461" s="8">
        <f t="shared" si="57"/>
        <v>2012</v>
      </c>
      <c r="F3461" t="s">
        <v>806</v>
      </c>
      <c r="G3461" s="9">
        <v>3726.02</v>
      </c>
      <c r="H3461" s="8">
        <v>11734</v>
      </c>
    </row>
    <row r="3462" spans="2:8" ht="17.5" customHeight="1" x14ac:dyDescent="0.4">
      <c r="B3462" t="s">
        <v>7</v>
      </c>
      <c r="C3462" t="s">
        <v>807</v>
      </c>
      <c r="D3462" s="7">
        <f>DATE(2005,1,5)</f>
        <v>38357</v>
      </c>
      <c r="E3462" s="8">
        <f t="shared" si="57"/>
        <v>2005</v>
      </c>
      <c r="F3462" t="s">
        <v>808</v>
      </c>
      <c r="G3462" s="9">
        <v>6828.6</v>
      </c>
      <c r="H3462" s="8">
        <v>2523</v>
      </c>
    </row>
    <row r="3463" spans="2:8" ht="17.5" customHeight="1" x14ac:dyDescent="0.4">
      <c r="B3463" t="s">
        <v>7</v>
      </c>
      <c r="C3463" t="s">
        <v>807</v>
      </c>
      <c r="D3463" s="7">
        <f>DATE(2019,5,17)</f>
        <v>43602</v>
      </c>
      <c r="E3463" s="8">
        <f t="shared" si="57"/>
        <v>2019</v>
      </c>
      <c r="F3463" t="s">
        <v>809</v>
      </c>
      <c r="G3463" s="9">
        <v>20733.3</v>
      </c>
      <c r="H3463" s="8">
        <v>28469</v>
      </c>
    </row>
    <row r="3464" spans="2:8" ht="17.5" customHeight="1" x14ac:dyDescent="0.4">
      <c r="B3464" t="s">
        <v>7</v>
      </c>
      <c r="C3464" t="s">
        <v>807</v>
      </c>
      <c r="D3464" s="7">
        <f>DATE(2019,5,17)</f>
        <v>43602</v>
      </c>
      <c r="E3464" s="8">
        <f t="shared" si="57"/>
        <v>2019</v>
      </c>
      <c r="F3464" t="s">
        <v>809</v>
      </c>
      <c r="G3464" s="9">
        <v>6523.47</v>
      </c>
      <c r="H3464" s="8">
        <v>28947</v>
      </c>
    </row>
    <row r="3465" spans="2:8" ht="17.5" customHeight="1" x14ac:dyDescent="0.4">
      <c r="B3465" t="s">
        <v>7</v>
      </c>
      <c r="C3465" t="s">
        <v>807</v>
      </c>
      <c r="D3465" s="7">
        <f>DATE(2015,3,31)</f>
        <v>42094</v>
      </c>
      <c r="E3465" s="8">
        <f t="shared" si="57"/>
        <v>2015</v>
      </c>
      <c r="F3465" t="s">
        <v>809</v>
      </c>
      <c r="G3465" s="9">
        <v>10600</v>
      </c>
      <c r="H3465" s="8">
        <v>20165</v>
      </c>
    </row>
    <row r="3466" spans="2:8" ht="17.5" customHeight="1" x14ac:dyDescent="0.4">
      <c r="B3466" t="s">
        <v>7</v>
      </c>
      <c r="C3466" t="s">
        <v>807</v>
      </c>
      <c r="D3466" s="7">
        <f>DATE(2015,4,3)</f>
        <v>42097</v>
      </c>
      <c r="E3466" s="8">
        <f t="shared" si="57"/>
        <v>2015</v>
      </c>
      <c r="F3466" t="s">
        <v>809</v>
      </c>
      <c r="G3466" s="9">
        <v>39443.31</v>
      </c>
      <c r="H3466" s="8">
        <v>20182</v>
      </c>
    </row>
    <row r="3467" spans="2:8" ht="17.5" customHeight="1" x14ac:dyDescent="0.4">
      <c r="B3467" t="s">
        <v>7</v>
      </c>
      <c r="C3467" t="s">
        <v>807</v>
      </c>
      <c r="D3467" s="7">
        <f>DATE(2015,5,27)</f>
        <v>42151</v>
      </c>
      <c r="E3467" s="8">
        <f t="shared" si="57"/>
        <v>2015</v>
      </c>
      <c r="F3467" t="s">
        <v>809</v>
      </c>
      <c r="G3467" s="9">
        <v>31000</v>
      </c>
      <c r="H3467" s="8">
        <v>20221</v>
      </c>
    </row>
    <row r="3468" spans="2:8" ht="17.5" customHeight="1" x14ac:dyDescent="0.4">
      <c r="B3468" t="s">
        <v>7</v>
      </c>
      <c r="C3468" t="s">
        <v>807</v>
      </c>
      <c r="D3468" s="7">
        <f>DATE(2015,5,27)</f>
        <v>42151</v>
      </c>
      <c r="E3468" s="8">
        <f t="shared" si="57"/>
        <v>2015</v>
      </c>
      <c r="F3468" t="s">
        <v>809</v>
      </c>
      <c r="G3468" s="9">
        <v>30500</v>
      </c>
      <c r="H3468" s="8">
        <v>20160</v>
      </c>
    </row>
    <row r="3469" spans="2:8" ht="17.5" customHeight="1" x14ac:dyDescent="0.4">
      <c r="B3469" t="s">
        <v>7</v>
      </c>
      <c r="C3469" t="s">
        <v>807</v>
      </c>
      <c r="D3469" s="7">
        <f>DATE(2015,6,1)</f>
        <v>42156</v>
      </c>
      <c r="E3469" s="8">
        <f t="shared" si="57"/>
        <v>2015</v>
      </c>
      <c r="F3469" t="s">
        <v>809</v>
      </c>
      <c r="G3469" s="9">
        <v>8309.64</v>
      </c>
      <c r="H3469" s="8">
        <v>20166</v>
      </c>
    </row>
    <row r="3470" spans="2:8" ht="17.5" customHeight="1" x14ac:dyDescent="0.4">
      <c r="B3470" t="s">
        <v>7</v>
      </c>
      <c r="C3470" t="s">
        <v>807</v>
      </c>
      <c r="D3470" s="7">
        <f>DATE(2015,6,24)</f>
        <v>42179</v>
      </c>
      <c r="E3470" s="8">
        <f t="shared" si="57"/>
        <v>2015</v>
      </c>
      <c r="F3470" t="s">
        <v>809</v>
      </c>
      <c r="G3470" s="9">
        <v>9534.64</v>
      </c>
      <c r="H3470" s="8">
        <v>20835</v>
      </c>
    </row>
    <row r="3471" spans="2:8" ht="17.5" customHeight="1" x14ac:dyDescent="0.4">
      <c r="B3471" t="s">
        <v>7</v>
      </c>
      <c r="C3471" t="s">
        <v>807</v>
      </c>
      <c r="D3471" s="7">
        <f>DATE(2015,7,28)</f>
        <v>42213</v>
      </c>
      <c r="E3471" s="8">
        <f t="shared" si="57"/>
        <v>2015</v>
      </c>
      <c r="F3471" t="s">
        <v>809</v>
      </c>
      <c r="G3471" s="9">
        <v>25100</v>
      </c>
      <c r="H3471" s="8">
        <v>20990</v>
      </c>
    </row>
    <row r="3472" spans="2:8" ht="17.5" customHeight="1" x14ac:dyDescent="0.4">
      <c r="B3472" t="s">
        <v>7</v>
      </c>
      <c r="C3472" t="s">
        <v>807</v>
      </c>
      <c r="D3472" s="7">
        <f>DATE(2016,3,31)</f>
        <v>42460</v>
      </c>
      <c r="E3472" s="8">
        <f t="shared" si="57"/>
        <v>2016</v>
      </c>
      <c r="F3472" t="s">
        <v>809</v>
      </c>
      <c r="G3472" s="9">
        <v>45450</v>
      </c>
      <c r="H3472" s="8">
        <v>22066</v>
      </c>
    </row>
    <row r="3473" spans="2:8" ht="17.5" customHeight="1" x14ac:dyDescent="0.4">
      <c r="B3473" t="s">
        <v>7</v>
      </c>
      <c r="C3473" t="s">
        <v>807</v>
      </c>
      <c r="D3473" s="7">
        <f>DATE(2016,4,25)</f>
        <v>42485</v>
      </c>
      <c r="E3473" s="8">
        <f t="shared" si="57"/>
        <v>2016</v>
      </c>
      <c r="F3473" t="s">
        <v>809</v>
      </c>
      <c r="G3473" s="9">
        <v>67109.88</v>
      </c>
      <c r="H3473" s="8">
        <v>22069</v>
      </c>
    </row>
    <row r="3474" spans="2:8" ht="17.5" customHeight="1" x14ac:dyDescent="0.4">
      <c r="B3474" t="s">
        <v>7</v>
      </c>
      <c r="C3474" t="s">
        <v>807</v>
      </c>
      <c r="D3474" s="7">
        <f>DATE(2016,4,29)</f>
        <v>42489</v>
      </c>
      <c r="E3474" s="8">
        <f t="shared" si="57"/>
        <v>2016</v>
      </c>
      <c r="F3474" t="s">
        <v>809</v>
      </c>
      <c r="G3474" s="9">
        <v>10695.64</v>
      </c>
      <c r="H3474" s="8">
        <v>22669</v>
      </c>
    </row>
    <row r="3475" spans="2:8" ht="17.5" customHeight="1" x14ac:dyDescent="0.4">
      <c r="B3475" t="s">
        <v>7</v>
      </c>
      <c r="C3475" t="s">
        <v>807</v>
      </c>
      <c r="D3475" s="7">
        <f>DATE(2016,7,29)</f>
        <v>42580</v>
      </c>
      <c r="E3475" s="8">
        <f t="shared" si="57"/>
        <v>2016</v>
      </c>
      <c r="F3475" t="s">
        <v>809</v>
      </c>
      <c r="G3475" s="9">
        <v>5566.86</v>
      </c>
      <c r="H3475" s="8">
        <v>23154</v>
      </c>
    </row>
    <row r="3476" spans="2:8" ht="17.5" customHeight="1" x14ac:dyDescent="0.4">
      <c r="B3476" t="s">
        <v>7</v>
      </c>
      <c r="C3476" t="s">
        <v>807</v>
      </c>
      <c r="D3476" s="7">
        <f>DATE(2016,8,1)</f>
        <v>42583</v>
      </c>
      <c r="E3476" s="8">
        <f t="shared" si="57"/>
        <v>2016</v>
      </c>
      <c r="F3476" t="s">
        <v>809</v>
      </c>
      <c r="G3476" s="9">
        <v>21581.79</v>
      </c>
      <c r="H3476" s="8">
        <v>23206</v>
      </c>
    </row>
    <row r="3477" spans="2:8" ht="17.5" customHeight="1" x14ac:dyDescent="0.4">
      <c r="B3477" t="s">
        <v>7</v>
      </c>
      <c r="C3477" t="s">
        <v>807</v>
      </c>
      <c r="D3477" s="7">
        <f>DATE(2016,8,1)</f>
        <v>42583</v>
      </c>
      <c r="E3477" s="8">
        <f t="shared" si="57"/>
        <v>2016</v>
      </c>
      <c r="F3477" t="s">
        <v>809</v>
      </c>
      <c r="G3477" s="9">
        <v>24742.58</v>
      </c>
      <c r="H3477" s="8">
        <v>23158</v>
      </c>
    </row>
    <row r="3478" spans="2:8" ht="17.5" customHeight="1" x14ac:dyDescent="0.4">
      <c r="B3478" t="s">
        <v>7</v>
      </c>
      <c r="C3478" t="s">
        <v>807</v>
      </c>
      <c r="D3478" s="7">
        <f>DATE(2016,8,9)</f>
        <v>42591</v>
      </c>
      <c r="E3478" s="8">
        <f t="shared" si="57"/>
        <v>2016</v>
      </c>
      <c r="F3478" t="s">
        <v>809</v>
      </c>
      <c r="G3478" s="9">
        <v>15000</v>
      </c>
      <c r="H3478" s="8">
        <v>23222</v>
      </c>
    </row>
    <row r="3479" spans="2:8" ht="17.5" customHeight="1" x14ac:dyDescent="0.4">
      <c r="B3479" t="s">
        <v>7</v>
      </c>
      <c r="C3479" t="s">
        <v>807</v>
      </c>
      <c r="D3479" s="7">
        <f>DATE(2017,3,13)</f>
        <v>42807</v>
      </c>
      <c r="E3479" s="8">
        <f t="shared" si="57"/>
        <v>2017</v>
      </c>
      <c r="F3479" t="s">
        <v>809</v>
      </c>
      <c r="G3479" s="9">
        <v>10697.64</v>
      </c>
      <c r="H3479" s="8">
        <v>24218</v>
      </c>
    </row>
    <row r="3480" spans="2:8" ht="17.5" customHeight="1" x14ac:dyDescent="0.4">
      <c r="B3480" t="s">
        <v>7</v>
      </c>
      <c r="C3480" t="s">
        <v>807</v>
      </c>
      <c r="D3480" s="7">
        <f>DATE(2017,4,20)</f>
        <v>42845</v>
      </c>
      <c r="E3480" s="8">
        <f t="shared" si="57"/>
        <v>2017</v>
      </c>
      <c r="F3480" t="s">
        <v>809</v>
      </c>
      <c r="G3480" s="9">
        <v>13250.88</v>
      </c>
      <c r="H3480" s="8">
        <v>24216</v>
      </c>
    </row>
    <row r="3481" spans="2:8" ht="17.5" customHeight="1" x14ac:dyDescent="0.4">
      <c r="B3481" t="s">
        <v>7</v>
      </c>
      <c r="C3481" t="s">
        <v>807</v>
      </c>
      <c r="D3481" s="7">
        <f>DATE(2017,4,21)</f>
        <v>42846</v>
      </c>
      <c r="E3481" s="8">
        <f t="shared" si="57"/>
        <v>2017</v>
      </c>
      <c r="F3481" t="s">
        <v>809</v>
      </c>
      <c r="G3481" s="9">
        <v>34798</v>
      </c>
      <c r="H3481" s="8">
        <v>24225</v>
      </c>
    </row>
    <row r="3482" spans="2:8" ht="17.5" customHeight="1" x14ac:dyDescent="0.4">
      <c r="B3482" t="s">
        <v>7</v>
      </c>
      <c r="C3482" t="s">
        <v>807</v>
      </c>
      <c r="D3482" s="7">
        <f>DATE(2017,5,16)</f>
        <v>42871</v>
      </c>
      <c r="E3482" s="8">
        <f t="shared" si="57"/>
        <v>2017</v>
      </c>
      <c r="F3482" t="s">
        <v>809</v>
      </c>
      <c r="G3482" s="9">
        <v>29555</v>
      </c>
      <c r="H3482" s="8">
        <v>24221</v>
      </c>
    </row>
    <row r="3483" spans="2:8" ht="17.5" customHeight="1" x14ac:dyDescent="0.4">
      <c r="B3483" t="s">
        <v>7</v>
      </c>
      <c r="C3483" t="s">
        <v>807</v>
      </c>
      <c r="D3483" s="7">
        <f>DATE(2017,5,30)</f>
        <v>42885</v>
      </c>
      <c r="E3483" s="8">
        <f t="shared" si="57"/>
        <v>2017</v>
      </c>
      <c r="F3483" t="s">
        <v>809</v>
      </c>
      <c r="G3483" s="9">
        <v>10697.64</v>
      </c>
      <c r="H3483" s="8">
        <v>24220</v>
      </c>
    </row>
    <row r="3484" spans="2:8" ht="17.5" customHeight="1" x14ac:dyDescent="0.4">
      <c r="B3484" t="s">
        <v>7</v>
      </c>
      <c r="C3484" t="s">
        <v>807</v>
      </c>
      <c r="D3484" s="7">
        <f>DATE(2017,6,28)</f>
        <v>42914</v>
      </c>
      <c r="E3484" s="8">
        <f t="shared" si="57"/>
        <v>2017</v>
      </c>
      <c r="F3484" t="s">
        <v>809</v>
      </c>
      <c r="G3484" s="9">
        <v>25259.1</v>
      </c>
      <c r="H3484" s="8">
        <v>25036</v>
      </c>
    </row>
    <row r="3485" spans="2:8" ht="17.5" customHeight="1" x14ac:dyDescent="0.4">
      <c r="B3485" t="s">
        <v>7</v>
      </c>
      <c r="C3485" t="s">
        <v>807</v>
      </c>
      <c r="D3485" s="7">
        <f>DATE(2017,8,2)</f>
        <v>42949</v>
      </c>
      <c r="E3485" s="8">
        <f t="shared" si="57"/>
        <v>2017</v>
      </c>
      <c r="F3485" t="s">
        <v>809</v>
      </c>
      <c r="G3485" s="9">
        <v>32245.41</v>
      </c>
      <c r="H3485" s="8">
        <v>25303</v>
      </c>
    </row>
    <row r="3486" spans="2:8" ht="17.5" customHeight="1" x14ac:dyDescent="0.4">
      <c r="B3486" t="s">
        <v>7</v>
      </c>
      <c r="C3486" t="s">
        <v>807</v>
      </c>
      <c r="D3486" s="7">
        <f>DATE(2017,11,8)</f>
        <v>43047</v>
      </c>
      <c r="E3486" s="8">
        <f t="shared" si="57"/>
        <v>2017</v>
      </c>
      <c r="F3486" t="s">
        <v>809</v>
      </c>
      <c r="G3486" s="9">
        <v>10151.950000000001</v>
      </c>
      <c r="H3486" s="8">
        <v>25853</v>
      </c>
    </row>
    <row r="3487" spans="2:8" ht="17.5" customHeight="1" x14ac:dyDescent="0.4">
      <c r="B3487" t="s">
        <v>7</v>
      </c>
      <c r="C3487" t="s">
        <v>807</v>
      </c>
      <c r="D3487" s="7">
        <f>DATE(2018,3,22)</f>
        <v>43181</v>
      </c>
      <c r="E3487" s="8">
        <f t="shared" si="57"/>
        <v>2018</v>
      </c>
      <c r="F3487" t="s">
        <v>809</v>
      </c>
      <c r="G3487" s="9">
        <v>6011.42</v>
      </c>
      <c r="H3487" s="8">
        <v>26336</v>
      </c>
    </row>
    <row r="3488" spans="2:8" ht="17.5" customHeight="1" x14ac:dyDescent="0.4">
      <c r="B3488" t="s">
        <v>7</v>
      </c>
      <c r="C3488" t="s">
        <v>807</v>
      </c>
      <c r="D3488" s="7">
        <f>DATE(2018,5,15)</f>
        <v>43235</v>
      </c>
      <c r="E3488" s="8">
        <f t="shared" si="57"/>
        <v>2018</v>
      </c>
      <c r="F3488" t="s">
        <v>809</v>
      </c>
      <c r="G3488" s="9">
        <v>16648.080000000002</v>
      </c>
      <c r="H3488" s="8">
        <v>26454</v>
      </c>
    </row>
    <row r="3489" spans="2:8" ht="17.5" customHeight="1" x14ac:dyDescent="0.4">
      <c r="B3489" t="s">
        <v>7</v>
      </c>
      <c r="C3489" t="s">
        <v>807</v>
      </c>
      <c r="D3489" s="7">
        <f>DATE(2018,7,30)</f>
        <v>43311</v>
      </c>
      <c r="E3489" s="8">
        <f t="shared" si="57"/>
        <v>2018</v>
      </c>
      <c r="F3489" t="s">
        <v>809</v>
      </c>
      <c r="G3489" s="9">
        <v>21190</v>
      </c>
      <c r="H3489" s="8">
        <v>27378</v>
      </c>
    </row>
    <row r="3490" spans="2:8" ht="17.5" customHeight="1" x14ac:dyDescent="0.4">
      <c r="B3490" t="s">
        <v>7</v>
      </c>
      <c r="C3490" t="s">
        <v>807</v>
      </c>
      <c r="D3490" s="7">
        <f>DATE(2018,10,5)</f>
        <v>43378</v>
      </c>
      <c r="E3490" s="8">
        <f t="shared" si="57"/>
        <v>2018</v>
      </c>
      <c r="F3490" t="s">
        <v>809</v>
      </c>
      <c r="G3490" s="9">
        <v>9373.86</v>
      </c>
      <c r="H3490" s="8">
        <v>27603</v>
      </c>
    </row>
    <row r="3491" spans="2:8" ht="17.5" customHeight="1" x14ac:dyDescent="0.4">
      <c r="B3491" t="s">
        <v>7</v>
      </c>
      <c r="C3491" t="s">
        <v>807</v>
      </c>
      <c r="D3491" s="7">
        <f>DATE(2016,4,1)</f>
        <v>42461</v>
      </c>
      <c r="E3491" s="8">
        <f t="shared" si="57"/>
        <v>2016</v>
      </c>
      <c r="F3491" t="s">
        <v>809</v>
      </c>
      <c r="G3491" s="9">
        <v>368.09</v>
      </c>
      <c r="H3491" s="8">
        <v>22552</v>
      </c>
    </row>
    <row r="3492" spans="2:8" ht="17.5" customHeight="1" x14ac:dyDescent="0.4">
      <c r="B3492" t="s">
        <v>7</v>
      </c>
      <c r="C3492" t="s">
        <v>807</v>
      </c>
      <c r="D3492" s="7">
        <f>DATE(2016,4,14)</f>
        <v>42474</v>
      </c>
      <c r="E3492" s="8">
        <f t="shared" si="57"/>
        <v>2016</v>
      </c>
      <c r="F3492" t="s">
        <v>809</v>
      </c>
      <c r="G3492" s="9">
        <v>997.5</v>
      </c>
      <c r="H3492" s="8">
        <v>22634</v>
      </c>
    </row>
    <row r="3493" spans="2:8" ht="17.5" customHeight="1" x14ac:dyDescent="0.4">
      <c r="B3493" t="s">
        <v>7</v>
      </c>
      <c r="C3493" t="s">
        <v>807</v>
      </c>
      <c r="D3493" s="7">
        <f>DATE(2016,10,19)</f>
        <v>42662</v>
      </c>
      <c r="E3493" s="8">
        <f t="shared" si="57"/>
        <v>2016</v>
      </c>
      <c r="F3493" t="s">
        <v>809</v>
      </c>
      <c r="G3493" s="9">
        <v>1590</v>
      </c>
      <c r="H3493" s="8">
        <v>23283</v>
      </c>
    </row>
    <row r="3494" spans="2:8" ht="17.5" customHeight="1" x14ac:dyDescent="0.4">
      <c r="B3494" t="s">
        <v>7</v>
      </c>
      <c r="C3494" t="s">
        <v>807</v>
      </c>
      <c r="D3494" s="7">
        <f>DATE(2015,6,12)</f>
        <v>42167</v>
      </c>
      <c r="E3494" s="8">
        <f t="shared" si="57"/>
        <v>2015</v>
      </c>
      <c r="F3494" t="s">
        <v>809</v>
      </c>
      <c r="G3494" s="9">
        <v>4226.5</v>
      </c>
      <c r="H3494" s="8">
        <v>20726</v>
      </c>
    </row>
    <row r="3495" spans="2:8" ht="17.5" customHeight="1" x14ac:dyDescent="0.4">
      <c r="B3495" t="s">
        <v>7</v>
      </c>
      <c r="C3495" t="s">
        <v>807</v>
      </c>
      <c r="D3495" s="7">
        <f>DATE(2016,7,21)</f>
        <v>42572</v>
      </c>
      <c r="E3495" s="8">
        <f t="shared" si="57"/>
        <v>2016</v>
      </c>
      <c r="F3495" t="s">
        <v>809</v>
      </c>
      <c r="G3495" s="9">
        <v>6001.65</v>
      </c>
      <c r="H3495" s="8">
        <v>23137</v>
      </c>
    </row>
    <row r="3496" spans="2:8" ht="17.5" customHeight="1" x14ac:dyDescent="0.4">
      <c r="B3496" t="s">
        <v>7</v>
      </c>
      <c r="C3496" t="s">
        <v>807</v>
      </c>
      <c r="D3496" s="7">
        <f>DATE(2017,3,9)</f>
        <v>42803</v>
      </c>
      <c r="E3496" s="8">
        <f t="shared" si="57"/>
        <v>2017</v>
      </c>
      <c r="F3496" t="s">
        <v>809</v>
      </c>
      <c r="G3496" s="9">
        <v>3118.56</v>
      </c>
      <c r="H3496" s="8">
        <v>24452</v>
      </c>
    </row>
    <row r="3497" spans="2:8" ht="17.5" customHeight="1" x14ac:dyDescent="0.4">
      <c r="B3497" t="s">
        <v>7</v>
      </c>
      <c r="C3497" t="s">
        <v>807</v>
      </c>
      <c r="D3497" s="7">
        <f>DATE(2017,11,30)</f>
        <v>43069</v>
      </c>
      <c r="E3497" s="8">
        <f t="shared" si="57"/>
        <v>2017</v>
      </c>
      <c r="F3497" t="s">
        <v>809</v>
      </c>
      <c r="G3497" s="9">
        <v>3298.57</v>
      </c>
      <c r="H3497" s="8">
        <v>25965</v>
      </c>
    </row>
    <row r="3498" spans="2:8" ht="17.5" customHeight="1" x14ac:dyDescent="0.4">
      <c r="B3498" t="s">
        <v>7</v>
      </c>
      <c r="C3498" t="s">
        <v>807</v>
      </c>
      <c r="D3498" s="7">
        <f>DATE(2011,5,3)</f>
        <v>40666</v>
      </c>
      <c r="E3498" s="8">
        <f t="shared" si="57"/>
        <v>2011</v>
      </c>
      <c r="F3498" t="s">
        <v>809</v>
      </c>
      <c r="G3498" s="9">
        <v>7612.96</v>
      </c>
      <c r="H3498" s="8">
        <v>10704</v>
      </c>
    </row>
    <row r="3499" spans="2:8" ht="17.5" customHeight="1" x14ac:dyDescent="0.4">
      <c r="B3499" t="s">
        <v>7</v>
      </c>
      <c r="C3499" t="s">
        <v>807</v>
      </c>
      <c r="D3499" s="7">
        <f>DATE(2011,5,3)</f>
        <v>40666</v>
      </c>
      <c r="E3499" s="8">
        <f t="shared" si="57"/>
        <v>2011</v>
      </c>
      <c r="F3499" t="s">
        <v>809</v>
      </c>
      <c r="G3499" s="9">
        <v>31570.44</v>
      </c>
      <c r="H3499" s="8">
        <v>10665</v>
      </c>
    </row>
    <row r="3500" spans="2:8" ht="17.5" customHeight="1" x14ac:dyDescent="0.4">
      <c r="B3500" t="s">
        <v>7</v>
      </c>
      <c r="C3500" t="s">
        <v>807</v>
      </c>
      <c r="D3500" s="7">
        <f>DATE(2011,5,24)</f>
        <v>40687</v>
      </c>
      <c r="E3500" s="8">
        <f t="shared" si="57"/>
        <v>2011</v>
      </c>
      <c r="F3500" t="s">
        <v>809</v>
      </c>
      <c r="G3500" s="9">
        <v>20686.55</v>
      </c>
      <c r="H3500" s="8">
        <v>10732</v>
      </c>
    </row>
    <row r="3501" spans="2:8" ht="17.5" customHeight="1" x14ac:dyDescent="0.4">
      <c r="B3501" t="s">
        <v>7</v>
      </c>
      <c r="C3501" t="s">
        <v>807</v>
      </c>
      <c r="D3501" s="7">
        <f>DATE(2012,5,4)</f>
        <v>41033</v>
      </c>
      <c r="E3501" s="8">
        <f t="shared" si="57"/>
        <v>2012</v>
      </c>
      <c r="F3501" t="s">
        <v>809</v>
      </c>
      <c r="G3501" s="9">
        <v>37227.160000000003</v>
      </c>
      <c r="H3501" s="8">
        <v>11503</v>
      </c>
    </row>
    <row r="3502" spans="2:8" ht="17.5" customHeight="1" x14ac:dyDescent="0.4">
      <c r="B3502" t="s">
        <v>7</v>
      </c>
      <c r="C3502" t="s">
        <v>807</v>
      </c>
      <c r="D3502" s="7">
        <f>DATE(2012,5,22)</f>
        <v>41051</v>
      </c>
      <c r="E3502" s="8">
        <f t="shared" si="57"/>
        <v>2012</v>
      </c>
      <c r="F3502" t="s">
        <v>809</v>
      </c>
      <c r="G3502" s="9">
        <v>55324.83</v>
      </c>
      <c r="H3502" s="8">
        <v>11607</v>
      </c>
    </row>
    <row r="3503" spans="2:8" ht="17.5" customHeight="1" x14ac:dyDescent="0.4">
      <c r="B3503" t="s">
        <v>7</v>
      </c>
      <c r="C3503" t="s">
        <v>807</v>
      </c>
      <c r="D3503" s="7">
        <f>DATE(2012,7,19)</f>
        <v>41109</v>
      </c>
      <c r="E3503" s="8">
        <f t="shared" si="57"/>
        <v>2012</v>
      </c>
      <c r="F3503" t="s">
        <v>809</v>
      </c>
      <c r="G3503" s="9">
        <v>24851.27</v>
      </c>
      <c r="H3503" s="8">
        <v>11742</v>
      </c>
    </row>
    <row r="3504" spans="2:8" ht="17.5" customHeight="1" x14ac:dyDescent="0.4">
      <c r="B3504" t="s">
        <v>7</v>
      </c>
      <c r="C3504" t="s">
        <v>807</v>
      </c>
      <c r="D3504" s="7">
        <f>DATE(2012,9,28)</f>
        <v>41180</v>
      </c>
      <c r="E3504" s="8">
        <f t="shared" si="57"/>
        <v>2012</v>
      </c>
      <c r="F3504" t="s">
        <v>809</v>
      </c>
      <c r="G3504" s="9">
        <v>5100</v>
      </c>
      <c r="H3504" s="8">
        <v>11855</v>
      </c>
    </row>
    <row r="3505" spans="2:8" ht="17.5" customHeight="1" x14ac:dyDescent="0.4">
      <c r="B3505" t="s">
        <v>7</v>
      </c>
      <c r="C3505" t="s">
        <v>807</v>
      </c>
      <c r="D3505" s="7">
        <f>DATE(2013,5,6)</f>
        <v>41400</v>
      </c>
      <c r="E3505" s="8">
        <f t="shared" si="57"/>
        <v>2013</v>
      </c>
      <c r="F3505" t="s">
        <v>809</v>
      </c>
      <c r="G3505" s="9">
        <v>83548.259999999995</v>
      </c>
      <c r="H3505" s="8">
        <v>12266</v>
      </c>
    </row>
    <row r="3506" spans="2:8" ht="17.5" customHeight="1" x14ac:dyDescent="0.4">
      <c r="B3506" t="s">
        <v>7</v>
      </c>
      <c r="C3506" t="s">
        <v>807</v>
      </c>
      <c r="D3506" s="7">
        <f>DATE(2013,5,14)</f>
        <v>41408</v>
      </c>
      <c r="E3506" s="8">
        <f t="shared" si="57"/>
        <v>2013</v>
      </c>
      <c r="F3506" t="s">
        <v>809</v>
      </c>
      <c r="G3506" s="9">
        <v>7434.9</v>
      </c>
      <c r="H3506" s="8">
        <v>12287</v>
      </c>
    </row>
    <row r="3507" spans="2:8" ht="17.5" customHeight="1" x14ac:dyDescent="0.4">
      <c r="B3507" t="s">
        <v>7</v>
      </c>
      <c r="C3507" t="s">
        <v>807</v>
      </c>
      <c r="D3507" s="7">
        <f>DATE(2013,5,28)</f>
        <v>41422</v>
      </c>
      <c r="E3507" s="8">
        <f t="shared" si="57"/>
        <v>2013</v>
      </c>
      <c r="F3507" t="s">
        <v>809</v>
      </c>
      <c r="G3507" s="9">
        <v>7434.9</v>
      </c>
      <c r="H3507" s="8">
        <v>12290</v>
      </c>
    </row>
    <row r="3508" spans="2:8" ht="17.5" customHeight="1" x14ac:dyDescent="0.4">
      <c r="B3508" t="s">
        <v>7</v>
      </c>
      <c r="C3508" t="s">
        <v>807</v>
      </c>
      <c r="D3508" s="7">
        <f>DATE(2013,10,28)</f>
        <v>41575</v>
      </c>
      <c r="E3508" s="8">
        <f t="shared" si="57"/>
        <v>2013</v>
      </c>
      <c r="F3508" t="s">
        <v>809</v>
      </c>
      <c r="G3508" s="9">
        <v>7934.9</v>
      </c>
      <c r="H3508" s="8">
        <v>12711</v>
      </c>
    </row>
    <row r="3509" spans="2:8" ht="17.5" customHeight="1" x14ac:dyDescent="0.4">
      <c r="B3509" t="s">
        <v>7</v>
      </c>
      <c r="C3509" t="s">
        <v>807</v>
      </c>
      <c r="D3509" s="7">
        <f>DATE(2013,11,19)</f>
        <v>41597</v>
      </c>
      <c r="E3509" s="8">
        <f t="shared" si="57"/>
        <v>2013</v>
      </c>
      <c r="F3509" t="s">
        <v>809</v>
      </c>
      <c r="G3509" s="9">
        <v>7934.9</v>
      </c>
      <c r="H3509" s="8">
        <v>12712</v>
      </c>
    </row>
    <row r="3510" spans="2:8" ht="17.5" customHeight="1" x14ac:dyDescent="0.4">
      <c r="B3510" t="s">
        <v>7</v>
      </c>
      <c r="C3510" t="s">
        <v>807</v>
      </c>
      <c r="D3510" s="7">
        <f>DATE(2014,4,10)</f>
        <v>41739</v>
      </c>
      <c r="E3510" s="8">
        <f t="shared" si="57"/>
        <v>2014</v>
      </c>
      <c r="F3510" t="s">
        <v>809</v>
      </c>
      <c r="G3510" s="9">
        <v>39998</v>
      </c>
      <c r="H3510" s="8">
        <v>13000</v>
      </c>
    </row>
    <row r="3511" spans="2:8" ht="17.5" customHeight="1" x14ac:dyDescent="0.4">
      <c r="B3511" t="s">
        <v>7</v>
      </c>
      <c r="C3511" t="s">
        <v>807</v>
      </c>
      <c r="D3511" s="7">
        <f>DATE(2014,5,28)</f>
        <v>41787</v>
      </c>
      <c r="E3511" s="8">
        <f t="shared" si="57"/>
        <v>2014</v>
      </c>
      <c r="F3511" t="s">
        <v>809</v>
      </c>
      <c r="G3511" s="9">
        <v>71255</v>
      </c>
      <c r="H3511" s="8">
        <v>12999</v>
      </c>
    </row>
    <row r="3512" spans="2:8" ht="17.5" customHeight="1" x14ac:dyDescent="0.4">
      <c r="B3512" t="s">
        <v>7</v>
      </c>
      <c r="C3512" t="s">
        <v>807</v>
      </c>
      <c r="D3512" s="7">
        <f>DATE(2014,11,12)</f>
        <v>41955</v>
      </c>
      <c r="E3512" s="8">
        <f t="shared" si="57"/>
        <v>2014</v>
      </c>
      <c r="F3512" t="s">
        <v>809</v>
      </c>
      <c r="G3512" s="9">
        <v>8309.64</v>
      </c>
      <c r="H3512" s="8">
        <v>13586</v>
      </c>
    </row>
    <row r="3513" spans="2:8" ht="17.5" customHeight="1" x14ac:dyDescent="0.4">
      <c r="B3513" t="s">
        <v>7</v>
      </c>
      <c r="C3513" t="s">
        <v>807</v>
      </c>
      <c r="D3513" s="7">
        <f>DATE(2011,6,16)</f>
        <v>40710</v>
      </c>
      <c r="E3513" s="8">
        <f t="shared" si="57"/>
        <v>2011</v>
      </c>
      <c r="F3513" t="s">
        <v>809</v>
      </c>
      <c r="G3513" s="9">
        <v>3307.53</v>
      </c>
      <c r="H3513" s="8">
        <v>10811</v>
      </c>
    </row>
    <row r="3514" spans="2:8" ht="17.5" customHeight="1" x14ac:dyDescent="0.4">
      <c r="B3514" t="s">
        <v>7</v>
      </c>
      <c r="C3514" t="s">
        <v>807</v>
      </c>
      <c r="D3514" s="7">
        <f>DATE(2011,7,22)</f>
        <v>40746</v>
      </c>
      <c r="E3514" s="8">
        <f t="shared" si="57"/>
        <v>2011</v>
      </c>
      <c r="F3514" t="s">
        <v>809</v>
      </c>
      <c r="G3514" s="9">
        <v>3914.99</v>
      </c>
      <c r="H3514" s="8">
        <v>10882</v>
      </c>
    </row>
    <row r="3515" spans="2:8" ht="17.5" customHeight="1" x14ac:dyDescent="0.4">
      <c r="B3515" t="s">
        <v>7</v>
      </c>
      <c r="C3515" t="s">
        <v>807</v>
      </c>
      <c r="D3515" s="7">
        <f>DATE(2011,8,4)</f>
        <v>40759</v>
      </c>
      <c r="E3515" s="8">
        <f t="shared" si="57"/>
        <v>2011</v>
      </c>
      <c r="F3515" t="s">
        <v>809</v>
      </c>
      <c r="G3515" s="9">
        <v>4080.2</v>
      </c>
      <c r="H3515" s="8">
        <v>10921</v>
      </c>
    </row>
    <row r="3516" spans="2:8" ht="17.5" customHeight="1" x14ac:dyDescent="0.4">
      <c r="B3516" t="s">
        <v>7</v>
      </c>
      <c r="C3516" t="s">
        <v>807</v>
      </c>
      <c r="D3516" s="7">
        <f>DATE(2012,2,21)</f>
        <v>40960</v>
      </c>
      <c r="E3516" s="8">
        <f t="shared" si="57"/>
        <v>2012</v>
      </c>
      <c r="F3516" t="s">
        <v>809</v>
      </c>
      <c r="G3516" s="9">
        <v>4190.07</v>
      </c>
      <c r="H3516" s="8">
        <v>11371</v>
      </c>
    </row>
    <row r="3517" spans="2:8" ht="17.5" customHeight="1" x14ac:dyDescent="0.4">
      <c r="B3517" t="s">
        <v>7</v>
      </c>
      <c r="C3517" t="s">
        <v>807</v>
      </c>
      <c r="D3517" s="7">
        <f>DATE(2014,3,7)</f>
        <v>41705</v>
      </c>
      <c r="E3517" s="8">
        <f t="shared" si="57"/>
        <v>2014</v>
      </c>
      <c r="F3517" t="s">
        <v>809</v>
      </c>
      <c r="G3517" s="9">
        <v>2687.1</v>
      </c>
      <c r="H3517" s="8">
        <v>13023</v>
      </c>
    </row>
    <row r="3518" spans="2:8" ht="17.5" customHeight="1" x14ac:dyDescent="0.4">
      <c r="B3518" t="s">
        <v>7</v>
      </c>
      <c r="C3518" t="s">
        <v>807</v>
      </c>
      <c r="D3518" s="7">
        <f>DATE(2014,5,22)</f>
        <v>41781</v>
      </c>
      <c r="E3518" s="8">
        <f t="shared" si="57"/>
        <v>2014</v>
      </c>
      <c r="F3518" t="s">
        <v>809</v>
      </c>
      <c r="G3518" s="9">
        <v>4264.3900000000003</v>
      </c>
      <c r="H3518" s="8">
        <v>13212</v>
      </c>
    </row>
    <row r="3519" spans="2:8" ht="17.5" customHeight="1" x14ac:dyDescent="0.4">
      <c r="B3519" t="s">
        <v>7</v>
      </c>
      <c r="C3519" t="s">
        <v>807</v>
      </c>
      <c r="D3519" s="7">
        <f>DATE(2014,10,22)</f>
        <v>41934</v>
      </c>
      <c r="E3519" s="8">
        <f t="shared" si="57"/>
        <v>2014</v>
      </c>
      <c r="F3519" t="s">
        <v>809</v>
      </c>
      <c r="G3519" s="9">
        <v>6669.9</v>
      </c>
      <c r="H3519" s="8">
        <v>13535</v>
      </c>
    </row>
    <row r="3520" spans="2:8" ht="17.5" customHeight="1" x14ac:dyDescent="0.4">
      <c r="B3520" s="3" t="s">
        <v>7</v>
      </c>
      <c r="C3520" s="3" t="s">
        <v>807</v>
      </c>
      <c r="D3520" s="4">
        <f>DATE(2012,5,9)</f>
        <v>41038</v>
      </c>
      <c r="E3520" s="5">
        <f t="shared" si="57"/>
        <v>2012</v>
      </c>
      <c r="F3520" s="3" t="s">
        <v>809</v>
      </c>
      <c r="G3520" s="6">
        <v>2117</v>
      </c>
      <c r="H3520" s="5">
        <v>17107</v>
      </c>
    </row>
    <row r="3521" spans="2:8" ht="17.5" customHeight="1" x14ac:dyDescent="0.4">
      <c r="B3521" t="s">
        <v>7</v>
      </c>
      <c r="C3521" t="s">
        <v>807</v>
      </c>
      <c r="D3521" s="7">
        <f>DATE(2003,2,25)</f>
        <v>37677</v>
      </c>
      <c r="E3521" s="8">
        <f t="shared" si="57"/>
        <v>2003</v>
      </c>
      <c r="F3521" t="s">
        <v>810</v>
      </c>
      <c r="G3521" s="9">
        <v>22167.79</v>
      </c>
      <c r="H3521" s="8">
        <v>189</v>
      </c>
    </row>
    <row r="3522" spans="2:8" ht="17.5" customHeight="1" x14ac:dyDescent="0.4">
      <c r="B3522" t="s">
        <v>7</v>
      </c>
      <c r="C3522" t="s">
        <v>807</v>
      </c>
      <c r="D3522" s="7">
        <f>DATE(2003,3,25)</f>
        <v>37705</v>
      </c>
      <c r="E3522" s="8">
        <f t="shared" si="57"/>
        <v>2003</v>
      </c>
      <c r="F3522" t="s">
        <v>810</v>
      </c>
      <c r="G3522" s="9">
        <v>6343.56</v>
      </c>
      <c r="H3522" s="8">
        <v>266</v>
      </c>
    </row>
    <row r="3523" spans="2:8" ht="17.5" customHeight="1" x14ac:dyDescent="0.4">
      <c r="B3523" t="s">
        <v>7</v>
      </c>
      <c r="C3523" t="s">
        <v>807</v>
      </c>
      <c r="D3523" s="7">
        <f>DATE(2003,3,14)</f>
        <v>37694</v>
      </c>
      <c r="E3523" s="8">
        <f t="shared" ref="E3523:E3586" si="58">YEAR(D3523)</f>
        <v>2003</v>
      </c>
      <c r="F3523" t="s">
        <v>810</v>
      </c>
      <c r="G3523" s="9">
        <v>13415.67</v>
      </c>
      <c r="H3523" s="8">
        <v>190</v>
      </c>
    </row>
    <row r="3524" spans="2:8" ht="17.5" customHeight="1" x14ac:dyDescent="0.4">
      <c r="B3524" t="s">
        <v>7</v>
      </c>
      <c r="C3524" t="s">
        <v>807</v>
      </c>
      <c r="D3524" s="7">
        <f>DATE(2003,3,13)</f>
        <v>37693</v>
      </c>
      <c r="E3524" s="8">
        <f t="shared" si="58"/>
        <v>2003</v>
      </c>
      <c r="F3524" t="s">
        <v>810</v>
      </c>
      <c r="G3524" s="9">
        <v>7983.17</v>
      </c>
      <c r="H3524" s="8">
        <v>284</v>
      </c>
    </row>
    <row r="3525" spans="2:8" ht="17.5" customHeight="1" x14ac:dyDescent="0.4">
      <c r="B3525" t="s">
        <v>7</v>
      </c>
      <c r="C3525" t="s">
        <v>807</v>
      </c>
      <c r="D3525" s="7">
        <f>DATE(2003,4,28)</f>
        <v>37739</v>
      </c>
      <c r="E3525" s="8">
        <f t="shared" si="58"/>
        <v>2003</v>
      </c>
      <c r="F3525" t="s">
        <v>810</v>
      </c>
      <c r="G3525" s="9">
        <v>2393.6999999999998</v>
      </c>
      <c r="H3525" s="8">
        <v>525</v>
      </c>
    </row>
    <row r="3526" spans="2:8" ht="17.5" customHeight="1" x14ac:dyDescent="0.4">
      <c r="B3526" t="s">
        <v>7</v>
      </c>
      <c r="C3526" t="s">
        <v>807</v>
      </c>
      <c r="D3526" s="7">
        <f>DATE(2003,5,28)</f>
        <v>37769</v>
      </c>
      <c r="E3526" s="8">
        <f t="shared" si="58"/>
        <v>2003</v>
      </c>
      <c r="F3526" t="s">
        <v>810</v>
      </c>
      <c r="G3526" s="9">
        <v>26815.34</v>
      </c>
      <c r="H3526" s="8">
        <v>193</v>
      </c>
    </row>
    <row r="3527" spans="2:8" ht="17.5" customHeight="1" x14ac:dyDescent="0.4">
      <c r="B3527" t="s">
        <v>7</v>
      </c>
      <c r="C3527" t="s">
        <v>807</v>
      </c>
      <c r="D3527" s="7">
        <f>DATE(2003,4,18)</f>
        <v>37729</v>
      </c>
      <c r="E3527" s="8">
        <f t="shared" si="58"/>
        <v>2003</v>
      </c>
      <c r="F3527" t="s">
        <v>810</v>
      </c>
      <c r="G3527" s="9">
        <v>4409.95</v>
      </c>
      <c r="H3527" s="8">
        <v>489</v>
      </c>
    </row>
    <row r="3528" spans="2:8" ht="17.5" customHeight="1" x14ac:dyDescent="0.4">
      <c r="B3528" t="s">
        <v>7</v>
      </c>
      <c r="C3528" t="s">
        <v>807</v>
      </c>
      <c r="D3528" s="7">
        <f>DATE(2004,1,19)</f>
        <v>38005</v>
      </c>
      <c r="E3528" s="8">
        <f t="shared" si="58"/>
        <v>2004</v>
      </c>
      <c r="F3528" t="s">
        <v>810</v>
      </c>
      <c r="G3528" s="9">
        <v>28837.1</v>
      </c>
      <c r="H3528" s="8">
        <v>1039</v>
      </c>
    </row>
    <row r="3529" spans="2:8" ht="17.5" customHeight="1" x14ac:dyDescent="0.4">
      <c r="B3529" t="s">
        <v>7</v>
      </c>
      <c r="C3529" t="s">
        <v>807</v>
      </c>
      <c r="D3529" s="7">
        <f>DATE(2004,1,23)</f>
        <v>38009</v>
      </c>
      <c r="E3529" s="8">
        <f t="shared" si="58"/>
        <v>2004</v>
      </c>
      <c r="F3529" t="s">
        <v>810</v>
      </c>
      <c r="G3529" s="9">
        <v>16040.8</v>
      </c>
      <c r="H3529" s="8">
        <v>1041</v>
      </c>
    </row>
    <row r="3530" spans="2:8" ht="17.5" customHeight="1" x14ac:dyDescent="0.4">
      <c r="B3530" t="s">
        <v>7</v>
      </c>
      <c r="C3530" t="s">
        <v>807</v>
      </c>
      <c r="D3530" s="7">
        <f>DATE(2004,3,20)</f>
        <v>38066</v>
      </c>
      <c r="E3530" s="8">
        <f t="shared" si="58"/>
        <v>2004</v>
      </c>
      <c r="F3530" t="s">
        <v>810</v>
      </c>
      <c r="G3530" s="9">
        <v>23053.21</v>
      </c>
      <c r="H3530" s="8">
        <v>1397</v>
      </c>
    </row>
    <row r="3531" spans="2:8" ht="17.5" customHeight="1" x14ac:dyDescent="0.4">
      <c r="B3531" t="s">
        <v>7</v>
      </c>
      <c r="C3531" t="s">
        <v>807</v>
      </c>
      <c r="D3531" s="7">
        <f>DATE(2004,4,8)</f>
        <v>38085</v>
      </c>
      <c r="E3531" s="8">
        <f t="shared" si="58"/>
        <v>2004</v>
      </c>
      <c r="F3531" t="s">
        <v>810</v>
      </c>
      <c r="G3531" s="9">
        <v>2655.38</v>
      </c>
      <c r="H3531" s="8">
        <v>1648</v>
      </c>
    </row>
    <row r="3532" spans="2:8" ht="17.5" customHeight="1" x14ac:dyDescent="0.4">
      <c r="B3532" t="s">
        <v>7</v>
      </c>
      <c r="C3532" t="s">
        <v>807</v>
      </c>
      <c r="D3532" s="7">
        <f>DATE(2004,4,3)</f>
        <v>38080</v>
      </c>
      <c r="E3532" s="8">
        <f t="shared" si="58"/>
        <v>2004</v>
      </c>
      <c r="F3532" t="s">
        <v>810</v>
      </c>
      <c r="G3532" s="9">
        <v>15468.96</v>
      </c>
      <c r="H3532" s="8">
        <v>1501</v>
      </c>
    </row>
    <row r="3533" spans="2:8" ht="17.5" customHeight="1" x14ac:dyDescent="0.4">
      <c r="B3533" t="s">
        <v>7</v>
      </c>
      <c r="C3533" t="s">
        <v>807</v>
      </c>
      <c r="D3533" s="7">
        <f>DATE(2004,5,7)</f>
        <v>38114</v>
      </c>
      <c r="E3533" s="8">
        <f t="shared" si="58"/>
        <v>2004</v>
      </c>
      <c r="F3533" t="s">
        <v>810</v>
      </c>
      <c r="G3533" s="9">
        <v>7977.72</v>
      </c>
      <c r="H3533" s="8">
        <v>1715</v>
      </c>
    </row>
    <row r="3534" spans="2:8" ht="17.5" customHeight="1" x14ac:dyDescent="0.4">
      <c r="B3534" t="s">
        <v>7</v>
      </c>
      <c r="C3534" t="s">
        <v>807</v>
      </c>
      <c r="D3534" s="7">
        <f>DATE(2004,6,5)</f>
        <v>38143</v>
      </c>
      <c r="E3534" s="8">
        <f t="shared" si="58"/>
        <v>2004</v>
      </c>
      <c r="F3534" t="s">
        <v>810</v>
      </c>
      <c r="G3534" s="9">
        <v>6397.32</v>
      </c>
      <c r="H3534" s="8">
        <v>1853</v>
      </c>
    </row>
    <row r="3535" spans="2:8" ht="17.5" customHeight="1" x14ac:dyDescent="0.4">
      <c r="B3535" t="s">
        <v>7</v>
      </c>
      <c r="C3535" t="s">
        <v>807</v>
      </c>
      <c r="D3535" s="7">
        <f>DATE(2004,10,3)</f>
        <v>38263</v>
      </c>
      <c r="E3535" s="8">
        <f t="shared" si="58"/>
        <v>2004</v>
      </c>
      <c r="F3535" t="s">
        <v>810</v>
      </c>
      <c r="G3535" s="9">
        <v>6828.6</v>
      </c>
      <c r="H3535" s="8">
        <v>2264</v>
      </c>
    </row>
    <row r="3536" spans="2:8" ht="17.5" customHeight="1" x14ac:dyDescent="0.4">
      <c r="B3536" t="s">
        <v>7</v>
      </c>
      <c r="C3536" t="s">
        <v>807</v>
      </c>
      <c r="D3536" s="7">
        <f>DATE(2005,1,7)</f>
        <v>38359</v>
      </c>
      <c r="E3536" s="8">
        <f t="shared" si="58"/>
        <v>2005</v>
      </c>
      <c r="F3536" t="s">
        <v>810</v>
      </c>
      <c r="G3536" s="9">
        <v>2762.18</v>
      </c>
      <c r="H3536" s="8">
        <v>2540</v>
      </c>
    </row>
    <row r="3537" spans="2:8" ht="17.5" customHeight="1" x14ac:dyDescent="0.4">
      <c r="B3537" t="s">
        <v>7</v>
      </c>
      <c r="C3537" t="s">
        <v>807</v>
      </c>
      <c r="D3537" s="7">
        <f>DATE(2005,1,5)</f>
        <v>38357</v>
      </c>
      <c r="E3537" s="8">
        <f t="shared" si="58"/>
        <v>2005</v>
      </c>
      <c r="F3537" t="s">
        <v>810</v>
      </c>
      <c r="G3537" s="9">
        <v>11457.6</v>
      </c>
      <c r="H3537" s="8">
        <v>2522</v>
      </c>
    </row>
    <row r="3538" spans="2:8" ht="17.5" customHeight="1" x14ac:dyDescent="0.4">
      <c r="B3538" t="s">
        <v>7</v>
      </c>
      <c r="C3538" t="s">
        <v>807</v>
      </c>
      <c r="D3538" s="7">
        <f>DATE(2005,2,12)</f>
        <v>38395</v>
      </c>
      <c r="E3538" s="8">
        <f t="shared" si="58"/>
        <v>2005</v>
      </c>
      <c r="F3538" t="s">
        <v>810</v>
      </c>
      <c r="G3538" s="9">
        <v>2593.7800000000002</v>
      </c>
      <c r="H3538" s="8">
        <v>2739</v>
      </c>
    </row>
    <row r="3539" spans="2:8" ht="17.5" customHeight="1" x14ac:dyDescent="0.4">
      <c r="B3539" t="s">
        <v>7</v>
      </c>
      <c r="C3539" t="s">
        <v>807</v>
      </c>
      <c r="D3539" s="7">
        <f>DATE(2005,3,17)</f>
        <v>38428</v>
      </c>
      <c r="E3539" s="8">
        <f t="shared" si="58"/>
        <v>2005</v>
      </c>
      <c r="F3539" t="s">
        <v>810</v>
      </c>
      <c r="G3539" s="9">
        <v>4307.05</v>
      </c>
      <c r="H3539" s="8">
        <v>2931</v>
      </c>
    </row>
    <row r="3540" spans="2:8" ht="17.5" customHeight="1" x14ac:dyDescent="0.4">
      <c r="B3540" t="s">
        <v>7</v>
      </c>
      <c r="C3540" t="s">
        <v>807</v>
      </c>
      <c r="D3540" s="7">
        <f>DATE(2005,4,16)</f>
        <v>38458</v>
      </c>
      <c r="E3540" s="8">
        <f t="shared" si="58"/>
        <v>2005</v>
      </c>
      <c r="F3540" t="s">
        <v>810</v>
      </c>
      <c r="G3540" s="9">
        <v>26382.69</v>
      </c>
      <c r="H3540" s="8">
        <v>2875</v>
      </c>
    </row>
    <row r="3541" spans="2:8" ht="17.5" customHeight="1" x14ac:dyDescent="0.4">
      <c r="B3541" t="s">
        <v>7</v>
      </c>
      <c r="C3541" t="s">
        <v>807</v>
      </c>
      <c r="D3541" s="7">
        <f>DATE(2005,6,18)</f>
        <v>38521</v>
      </c>
      <c r="E3541" s="8">
        <f t="shared" si="58"/>
        <v>2005</v>
      </c>
      <c r="F3541" t="s">
        <v>810</v>
      </c>
      <c r="G3541" s="9">
        <v>6397.32</v>
      </c>
      <c r="H3541" s="8">
        <v>3297</v>
      </c>
    </row>
    <row r="3542" spans="2:8" ht="17.5" customHeight="1" x14ac:dyDescent="0.4">
      <c r="B3542" t="s">
        <v>7</v>
      </c>
      <c r="C3542" t="s">
        <v>807</v>
      </c>
      <c r="D3542" s="7">
        <f>DATE(2005,7,7)</f>
        <v>38540</v>
      </c>
      <c r="E3542" s="8">
        <f t="shared" si="58"/>
        <v>2005</v>
      </c>
      <c r="F3542" t="s">
        <v>810</v>
      </c>
      <c r="G3542" s="9">
        <v>3064.5</v>
      </c>
      <c r="H3542" s="8">
        <v>3373</v>
      </c>
    </row>
    <row r="3543" spans="2:8" ht="17.5" customHeight="1" x14ac:dyDescent="0.4">
      <c r="B3543" t="s">
        <v>7</v>
      </c>
      <c r="C3543" t="s">
        <v>807</v>
      </c>
      <c r="D3543" s="7">
        <f>DATE(2005,7,12)</f>
        <v>38545</v>
      </c>
      <c r="E3543" s="8">
        <f t="shared" si="58"/>
        <v>2005</v>
      </c>
      <c r="F3543" t="s">
        <v>810</v>
      </c>
      <c r="G3543" s="9">
        <v>2417.85</v>
      </c>
      <c r="H3543" s="8">
        <v>3368</v>
      </c>
    </row>
    <row r="3544" spans="2:8" ht="17.5" customHeight="1" x14ac:dyDescent="0.4">
      <c r="B3544" t="s">
        <v>7</v>
      </c>
      <c r="C3544" t="s">
        <v>807</v>
      </c>
      <c r="D3544" s="7">
        <f>DATE(2005,7,29)</f>
        <v>38562</v>
      </c>
      <c r="E3544" s="8">
        <f t="shared" si="58"/>
        <v>2005</v>
      </c>
      <c r="F3544" t="s">
        <v>810</v>
      </c>
      <c r="G3544" s="9">
        <v>2522.2600000000002</v>
      </c>
      <c r="H3544" s="8">
        <v>3423</v>
      </c>
    </row>
    <row r="3545" spans="2:8" ht="17.5" customHeight="1" x14ac:dyDescent="0.4">
      <c r="B3545" t="s">
        <v>7</v>
      </c>
      <c r="C3545" t="s">
        <v>807</v>
      </c>
      <c r="D3545" s="7">
        <f>DATE(2005,7,31)</f>
        <v>38564</v>
      </c>
      <c r="E3545" s="8">
        <f t="shared" si="58"/>
        <v>2005</v>
      </c>
      <c r="F3545" t="s">
        <v>810</v>
      </c>
      <c r="G3545" s="9">
        <v>15000</v>
      </c>
      <c r="H3545" s="8">
        <v>3421</v>
      </c>
    </row>
    <row r="3546" spans="2:8" ht="17.5" customHeight="1" x14ac:dyDescent="0.4">
      <c r="B3546" t="s">
        <v>7</v>
      </c>
      <c r="C3546" t="s">
        <v>807</v>
      </c>
      <c r="D3546" s="7">
        <f>DATE(2005,10,29)</f>
        <v>38654</v>
      </c>
      <c r="E3546" s="8">
        <f t="shared" si="58"/>
        <v>2005</v>
      </c>
      <c r="F3546" t="s">
        <v>810</v>
      </c>
      <c r="G3546" s="9">
        <v>24716.61</v>
      </c>
      <c r="H3546" s="8">
        <v>3590</v>
      </c>
    </row>
    <row r="3547" spans="2:8" ht="17.5" customHeight="1" x14ac:dyDescent="0.4">
      <c r="B3547" t="s">
        <v>7</v>
      </c>
      <c r="C3547" t="s">
        <v>807</v>
      </c>
      <c r="D3547" s="7">
        <f>DATE(2005,12,4)</f>
        <v>38690</v>
      </c>
      <c r="E3547" s="8">
        <f t="shared" si="58"/>
        <v>2005</v>
      </c>
      <c r="F3547" t="s">
        <v>810</v>
      </c>
      <c r="G3547" s="9">
        <v>9739.5</v>
      </c>
      <c r="H3547" s="8">
        <v>3814</v>
      </c>
    </row>
    <row r="3548" spans="2:8" ht="17.5" customHeight="1" x14ac:dyDescent="0.4">
      <c r="B3548" t="s">
        <v>7</v>
      </c>
      <c r="C3548" t="s">
        <v>807</v>
      </c>
      <c r="D3548" s="7">
        <f>DATE(2006,2,11)</f>
        <v>38759</v>
      </c>
      <c r="E3548" s="8">
        <f t="shared" si="58"/>
        <v>2006</v>
      </c>
      <c r="F3548" t="s">
        <v>810</v>
      </c>
      <c r="G3548" s="9">
        <v>18328.650000000001</v>
      </c>
      <c r="H3548" s="8">
        <v>3958</v>
      </c>
    </row>
    <row r="3549" spans="2:8" ht="17.5" customHeight="1" x14ac:dyDescent="0.4">
      <c r="B3549" t="s">
        <v>7</v>
      </c>
      <c r="C3549" t="s">
        <v>807</v>
      </c>
      <c r="D3549" s="7">
        <f>DATE(2006,2,23)</f>
        <v>38771</v>
      </c>
      <c r="E3549" s="8">
        <f t="shared" si="58"/>
        <v>2006</v>
      </c>
      <c r="F3549" t="s">
        <v>810</v>
      </c>
      <c r="G3549" s="9">
        <v>10039.040000000001</v>
      </c>
      <c r="H3549" s="8">
        <v>4183</v>
      </c>
    </row>
    <row r="3550" spans="2:8" ht="17.5" customHeight="1" x14ac:dyDescent="0.4">
      <c r="B3550" t="s">
        <v>7</v>
      </c>
      <c r="C3550" t="s">
        <v>807</v>
      </c>
      <c r="D3550" s="7">
        <f>DATE(2006,3,1)</f>
        <v>38777</v>
      </c>
      <c r="E3550" s="8">
        <f t="shared" si="58"/>
        <v>2006</v>
      </c>
      <c r="F3550" t="s">
        <v>810</v>
      </c>
      <c r="G3550" s="9">
        <v>21651.84</v>
      </c>
      <c r="H3550" s="8">
        <v>4221</v>
      </c>
    </row>
    <row r="3551" spans="2:8" ht="17.5" customHeight="1" x14ac:dyDescent="0.4">
      <c r="B3551" t="s">
        <v>7</v>
      </c>
      <c r="C3551" t="s">
        <v>807</v>
      </c>
      <c r="D3551" s="7">
        <f>DATE(2006,3,7)</f>
        <v>38783</v>
      </c>
      <c r="E3551" s="8">
        <f t="shared" si="58"/>
        <v>2006</v>
      </c>
      <c r="F3551" t="s">
        <v>810</v>
      </c>
      <c r="G3551" s="9">
        <v>1619.9</v>
      </c>
      <c r="H3551" s="8">
        <v>4295</v>
      </c>
    </row>
    <row r="3552" spans="2:8" ht="17.5" customHeight="1" x14ac:dyDescent="0.4">
      <c r="B3552" t="s">
        <v>7</v>
      </c>
      <c r="C3552" t="s">
        <v>807</v>
      </c>
      <c r="D3552" s="7">
        <f>DATE(2006,4,18)</f>
        <v>38825</v>
      </c>
      <c r="E3552" s="8">
        <f t="shared" si="58"/>
        <v>2006</v>
      </c>
      <c r="F3552" t="s">
        <v>810</v>
      </c>
      <c r="G3552" s="9">
        <v>2635.95</v>
      </c>
      <c r="H3552" s="8">
        <v>4507</v>
      </c>
    </row>
    <row r="3553" spans="2:8" ht="17.5" customHeight="1" x14ac:dyDescent="0.4">
      <c r="B3553" t="s">
        <v>7</v>
      </c>
      <c r="C3553" t="s">
        <v>807</v>
      </c>
      <c r="D3553" s="7">
        <f>DATE(2006,4,12)</f>
        <v>38819</v>
      </c>
      <c r="E3553" s="8">
        <f t="shared" si="58"/>
        <v>2006</v>
      </c>
      <c r="F3553" t="s">
        <v>810</v>
      </c>
      <c r="G3553" s="9">
        <v>28179.35</v>
      </c>
      <c r="H3553" s="8">
        <v>4315</v>
      </c>
    </row>
    <row r="3554" spans="2:8" ht="17.5" customHeight="1" x14ac:dyDescent="0.4">
      <c r="B3554" t="s">
        <v>7</v>
      </c>
      <c r="C3554" t="s">
        <v>807</v>
      </c>
      <c r="D3554" s="7">
        <f>DATE(2006,4,26)</f>
        <v>38833</v>
      </c>
      <c r="E3554" s="8">
        <f t="shared" si="58"/>
        <v>2006</v>
      </c>
      <c r="F3554" t="s">
        <v>810</v>
      </c>
      <c r="G3554" s="9">
        <v>2568.7800000000002</v>
      </c>
      <c r="H3554" s="8">
        <v>4543</v>
      </c>
    </row>
    <row r="3555" spans="2:8" ht="17.5" customHeight="1" x14ac:dyDescent="0.4">
      <c r="B3555" t="s">
        <v>7</v>
      </c>
      <c r="C3555" t="s">
        <v>807</v>
      </c>
      <c r="D3555" s="7">
        <f>DATE(2006,5,20)</f>
        <v>38857</v>
      </c>
      <c r="E3555" s="8">
        <f t="shared" si="58"/>
        <v>2006</v>
      </c>
      <c r="F3555" t="s">
        <v>810</v>
      </c>
      <c r="G3555" s="9">
        <v>6682.26</v>
      </c>
      <c r="H3555" s="8">
        <v>4623</v>
      </c>
    </row>
    <row r="3556" spans="2:8" ht="17.5" customHeight="1" x14ac:dyDescent="0.4">
      <c r="B3556" t="s">
        <v>7</v>
      </c>
      <c r="C3556" t="s">
        <v>807</v>
      </c>
      <c r="D3556" s="7">
        <f>DATE(2006,6,10)</f>
        <v>38878</v>
      </c>
      <c r="E3556" s="8">
        <f t="shared" si="58"/>
        <v>2006</v>
      </c>
      <c r="F3556" t="s">
        <v>810</v>
      </c>
      <c r="G3556" s="9">
        <v>3072.84</v>
      </c>
      <c r="H3556" s="8">
        <v>4694</v>
      </c>
    </row>
    <row r="3557" spans="2:8" ht="17.5" customHeight="1" x14ac:dyDescent="0.4">
      <c r="B3557" t="s">
        <v>7</v>
      </c>
      <c r="C3557" t="s">
        <v>807</v>
      </c>
      <c r="D3557" s="7">
        <f>DATE(2006,12,20)</f>
        <v>39071</v>
      </c>
      <c r="E3557" s="8">
        <f t="shared" si="58"/>
        <v>2006</v>
      </c>
      <c r="F3557" t="s">
        <v>810</v>
      </c>
      <c r="G3557" s="9">
        <v>2909.43</v>
      </c>
      <c r="H3557" s="8">
        <v>5291</v>
      </c>
    </row>
    <row r="3558" spans="2:8" ht="17.5" customHeight="1" x14ac:dyDescent="0.4">
      <c r="B3558" t="s">
        <v>7</v>
      </c>
      <c r="C3558" t="s">
        <v>807</v>
      </c>
      <c r="D3558" s="7">
        <f>DATE(2007,3,8)</f>
        <v>39149</v>
      </c>
      <c r="E3558" s="8">
        <f t="shared" si="58"/>
        <v>2007</v>
      </c>
      <c r="F3558" t="s">
        <v>810</v>
      </c>
      <c r="G3558" s="9">
        <v>30640.42</v>
      </c>
      <c r="H3558" s="8">
        <v>5164</v>
      </c>
    </row>
    <row r="3559" spans="2:8" ht="17.5" customHeight="1" x14ac:dyDescent="0.4">
      <c r="B3559" t="s">
        <v>7</v>
      </c>
      <c r="C3559" t="s">
        <v>807</v>
      </c>
      <c r="D3559" s="7">
        <f>DATE(2007,3,16)</f>
        <v>39157</v>
      </c>
      <c r="E3559" s="8">
        <f t="shared" si="58"/>
        <v>2007</v>
      </c>
      <c r="F3559" t="s">
        <v>810</v>
      </c>
      <c r="G3559" s="9">
        <v>22582.74</v>
      </c>
      <c r="H3559" s="8">
        <v>5647</v>
      </c>
    </row>
    <row r="3560" spans="2:8" ht="17.5" customHeight="1" x14ac:dyDescent="0.4">
      <c r="B3560" t="s">
        <v>7</v>
      </c>
      <c r="C3560" t="s">
        <v>807</v>
      </c>
      <c r="D3560" s="7">
        <f>DATE(2007,3,23)</f>
        <v>39164</v>
      </c>
      <c r="E3560" s="8">
        <f t="shared" si="58"/>
        <v>2007</v>
      </c>
      <c r="F3560" t="s">
        <v>810</v>
      </c>
      <c r="G3560" s="9">
        <v>11089</v>
      </c>
      <c r="H3560" s="8">
        <v>5161</v>
      </c>
    </row>
    <row r="3561" spans="2:8" ht="17.5" customHeight="1" x14ac:dyDescent="0.4">
      <c r="B3561" t="s">
        <v>7</v>
      </c>
      <c r="C3561" t="s">
        <v>807</v>
      </c>
      <c r="D3561" s="7">
        <f>DATE(2007,4,13)</f>
        <v>39185</v>
      </c>
      <c r="E3561" s="8">
        <f t="shared" si="58"/>
        <v>2007</v>
      </c>
      <c r="F3561" t="s">
        <v>810</v>
      </c>
      <c r="G3561" s="9">
        <v>6612.96</v>
      </c>
      <c r="H3561" s="8">
        <v>5800</v>
      </c>
    </row>
    <row r="3562" spans="2:8" ht="17.5" customHeight="1" x14ac:dyDescent="0.4">
      <c r="B3562" t="s">
        <v>7</v>
      </c>
      <c r="C3562" t="s">
        <v>807</v>
      </c>
      <c r="D3562" s="7">
        <f>DATE(2007,5,11)</f>
        <v>39213</v>
      </c>
      <c r="E3562" s="8">
        <f t="shared" si="58"/>
        <v>2007</v>
      </c>
      <c r="F3562" t="s">
        <v>810</v>
      </c>
      <c r="G3562" s="9">
        <v>4613.63</v>
      </c>
      <c r="H3562" s="8">
        <v>5957</v>
      </c>
    </row>
    <row r="3563" spans="2:8" ht="17.5" customHeight="1" x14ac:dyDescent="0.4">
      <c r="B3563" t="s">
        <v>7</v>
      </c>
      <c r="C3563" t="s">
        <v>807</v>
      </c>
      <c r="D3563" s="7">
        <f>DATE(2007,7,18)</f>
        <v>39281</v>
      </c>
      <c r="E3563" s="8">
        <f t="shared" si="58"/>
        <v>2007</v>
      </c>
      <c r="F3563" t="s">
        <v>810</v>
      </c>
      <c r="G3563" s="9">
        <v>4909.7299999999996</v>
      </c>
      <c r="H3563" s="8">
        <v>6189</v>
      </c>
    </row>
    <row r="3564" spans="2:8" ht="17.5" customHeight="1" x14ac:dyDescent="0.4">
      <c r="B3564" t="s">
        <v>7</v>
      </c>
      <c r="C3564" t="s">
        <v>807</v>
      </c>
      <c r="D3564" s="7">
        <f>DATE(2007,7,26)</f>
        <v>39289</v>
      </c>
      <c r="E3564" s="8">
        <f t="shared" si="58"/>
        <v>2007</v>
      </c>
      <c r="F3564" t="s">
        <v>810</v>
      </c>
      <c r="G3564" s="9">
        <v>6972.36</v>
      </c>
      <c r="H3564" s="8">
        <v>6208</v>
      </c>
    </row>
    <row r="3565" spans="2:8" ht="17.5" customHeight="1" x14ac:dyDescent="0.4">
      <c r="B3565" t="s">
        <v>7</v>
      </c>
      <c r="C3565" t="s">
        <v>807</v>
      </c>
      <c r="D3565" s="7">
        <f>DATE(2007,9,2)</f>
        <v>39327</v>
      </c>
      <c r="E3565" s="8">
        <f t="shared" si="58"/>
        <v>2007</v>
      </c>
      <c r="F3565" t="s">
        <v>810</v>
      </c>
      <c r="G3565" s="9">
        <v>7302.96</v>
      </c>
      <c r="H3565" s="8">
        <v>6329</v>
      </c>
    </row>
    <row r="3566" spans="2:8" ht="17.5" customHeight="1" x14ac:dyDescent="0.4">
      <c r="B3566" t="s">
        <v>7</v>
      </c>
      <c r="C3566" t="s">
        <v>807</v>
      </c>
      <c r="D3566" s="7">
        <f>DATE(2007,10,12)</f>
        <v>39367</v>
      </c>
      <c r="E3566" s="8">
        <f t="shared" si="58"/>
        <v>2007</v>
      </c>
      <c r="F3566" t="s">
        <v>810</v>
      </c>
      <c r="G3566" s="9">
        <v>17675.04</v>
      </c>
      <c r="H3566" s="8">
        <v>6441</v>
      </c>
    </row>
    <row r="3567" spans="2:8" ht="17.5" customHeight="1" x14ac:dyDescent="0.4">
      <c r="B3567" t="s">
        <v>7</v>
      </c>
      <c r="C3567" t="s">
        <v>807</v>
      </c>
      <c r="D3567" s="7">
        <f>DATE(2008,2,29)</f>
        <v>39507</v>
      </c>
      <c r="E3567" s="8">
        <f t="shared" si="58"/>
        <v>2008</v>
      </c>
      <c r="F3567" t="s">
        <v>810</v>
      </c>
      <c r="G3567" s="9">
        <v>32168.94</v>
      </c>
      <c r="H3567" s="8">
        <v>6866</v>
      </c>
    </row>
    <row r="3568" spans="2:8" ht="17.5" customHeight="1" x14ac:dyDescent="0.4">
      <c r="B3568" t="s">
        <v>7</v>
      </c>
      <c r="C3568" t="s">
        <v>807</v>
      </c>
      <c r="D3568" s="7">
        <f>DATE(2008,3,13)</f>
        <v>39520</v>
      </c>
      <c r="E3568" s="8">
        <f t="shared" si="58"/>
        <v>2008</v>
      </c>
      <c r="F3568" t="s">
        <v>810</v>
      </c>
      <c r="G3568" s="9">
        <v>14239.6</v>
      </c>
      <c r="H3568" s="8">
        <v>7187</v>
      </c>
    </row>
    <row r="3569" spans="2:8" ht="17.5" customHeight="1" x14ac:dyDescent="0.4">
      <c r="B3569" t="s">
        <v>7</v>
      </c>
      <c r="C3569" t="s">
        <v>807</v>
      </c>
      <c r="D3569" s="7">
        <f>DATE(2008,4,1)</f>
        <v>39539</v>
      </c>
      <c r="E3569" s="8">
        <f t="shared" si="58"/>
        <v>2008</v>
      </c>
      <c r="F3569" t="s">
        <v>810</v>
      </c>
      <c r="G3569" s="9">
        <v>8440.26</v>
      </c>
      <c r="H3569" s="8">
        <v>7239</v>
      </c>
    </row>
    <row r="3570" spans="2:8" ht="17.5" customHeight="1" x14ac:dyDescent="0.4">
      <c r="B3570" t="s">
        <v>7</v>
      </c>
      <c r="C3570" t="s">
        <v>807</v>
      </c>
      <c r="D3570" s="7">
        <f>DATE(2008,4,23)</f>
        <v>39561</v>
      </c>
      <c r="E3570" s="8">
        <f t="shared" si="58"/>
        <v>2008</v>
      </c>
      <c r="F3570" t="s">
        <v>810</v>
      </c>
      <c r="G3570" s="9">
        <v>6612.96</v>
      </c>
      <c r="H3570" s="8">
        <v>7342</v>
      </c>
    </row>
    <row r="3571" spans="2:8" ht="17.5" customHeight="1" x14ac:dyDescent="0.4">
      <c r="B3571" t="s">
        <v>7</v>
      </c>
      <c r="C3571" t="s">
        <v>807</v>
      </c>
      <c r="D3571" s="7">
        <f>DATE(2008,4,24)</f>
        <v>39562</v>
      </c>
      <c r="E3571" s="8">
        <f t="shared" si="58"/>
        <v>2008</v>
      </c>
      <c r="F3571" t="s">
        <v>810</v>
      </c>
      <c r="G3571" s="9">
        <v>2738.37</v>
      </c>
      <c r="H3571" s="8">
        <v>7371</v>
      </c>
    </row>
    <row r="3572" spans="2:8" ht="17.5" customHeight="1" x14ac:dyDescent="0.4">
      <c r="B3572" t="s">
        <v>7</v>
      </c>
      <c r="C3572" t="s">
        <v>807</v>
      </c>
      <c r="D3572" s="7">
        <f>DATE(2008,5,6)</f>
        <v>39574</v>
      </c>
      <c r="E3572" s="8">
        <f t="shared" si="58"/>
        <v>2008</v>
      </c>
      <c r="F3572" t="s">
        <v>810</v>
      </c>
      <c r="G3572" s="9">
        <v>5259.68</v>
      </c>
      <c r="H3572" s="8">
        <v>7412</v>
      </c>
    </row>
    <row r="3573" spans="2:8" ht="17.5" customHeight="1" x14ac:dyDescent="0.4">
      <c r="B3573" t="s">
        <v>7</v>
      </c>
      <c r="C3573" t="s">
        <v>807</v>
      </c>
      <c r="D3573" s="7">
        <f>DATE(2008,5,24)</f>
        <v>39592</v>
      </c>
      <c r="E3573" s="8">
        <f t="shared" si="58"/>
        <v>2008</v>
      </c>
      <c r="F3573" t="s">
        <v>810</v>
      </c>
      <c r="G3573" s="9">
        <v>10039.040000000001</v>
      </c>
      <c r="H3573" s="8">
        <v>7457</v>
      </c>
    </row>
    <row r="3574" spans="2:8" ht="17.5" customHeight="1" x14ac:dyDescent="0.4">
      <c r="B3574" t="s">
        <v>7</v>
      </c>
      <c r="C3574" t="s">
        <v>807</v>
      </c>
      <c r="D3574" s="7">
        <f>DATE(2008,5,29)</f>
        <v>39597</v>
      </c>
      <c r="E3574" s="8">
        <f t="shared" si="58"/>
        <v>2008</v>
      </c>
      <c r="F3574" t="s">
        <v>810</v>
      </c>
      <c r="G3574" s="9">
        <v>4793.38</v>
      </c>
      <c r="H3574" s="8">
        <v>7473</v>
      </c>
    </row>
    <row r="3575" spans="2:8" ht="17.5" customHeight="1" x14ac:dyDescent="0.4">
      <c r="B3575" t="s">
        <v>7</v>
      </c>
      <c r="C3575" t="s">
        <v>807</v>
      </c>
      <c r="D3575" s="7">
        <f>DATE(2008,5,31)</f>
        <v>39599</v>
      </c>
      <c r="E3575" s="8">
        <f t="shared" si="58"/>
        <v>2008</v>
      </c>
      <c r="F3575" t="s">
        <v>810</v>
      </c>
      <c r="G3575" s="9">
        <v>15019.6</v>
      </c>
      <c r="H3575" s="8">
        <v>7481</v>
      </c>
    </row>
    <row r="3576" spans="2:8" ht="17.5" customHeight="1" x14ac:dyDescent="0.4">
      <c r="B3576" t="s">
        <v>7</v>
      </c>
      <c r="C3576" t="s">
        <v>807</v>
      </c>
      <c r="D3576" s="7">
        <f>DATE(2008,6,19)</f>
        <v>39618</v>
      </c>
      <c r="E3576" s="8">
        <f t="shared" si="58"/>
        <v>2008</v>
      </c>
      <c r="F3576" t="s">
        <v>810</v>
      </c>
      <c r="G3576" s="9">
        <v>3904.72</v>
      </c>
      <c r="H3576" s="8">
        <v>7540</v>
      </c>
    </row>
    <row r="3577" spans="2:8" ht="17.5" customHeight="1" x14ac:dyDescent="0.4">
      <c r="B3577" t="s">
        <v>7</v>
      </c>
      <c r="C3577" t="s">
        <v>807</v>
      </c>
      <c r="D3577" s="7">
        <f>DATE(2008,6,21)</f>
        <v>39620</v>
      </c>
      <c r="E3577" s="8">
        <f t="shared" si="58"/>
        <v>2008</v>
      </c>
      <c r="F3577" t="s">
        <v>810</v>
      </c>
      <c r="G3577" s="9">
        <v>6612.96</v>
      </c>
      <c r="H3577" s="8">
        <v>7541</v>
      </c>
    </row>
    <row r="3578" spans="2:8" ht="17.5" customHeight="1" x14ac:dyDescent="0.4">
      <c r="B3578" t="s">
        <v>7</v>
      </c>
      <c r="C3578" t="s">
        <v>807</v>
      </c>
      <c r="D3578" s="7">
        <f>DATE(2008,6,26)</f>
        <v>39625</v>
      </c>
      <c r="E3578" s="8">
        <f t="shared" si="58"/>
        <v>2008</v>
      </c>
      <c r="F3578" t="s">
        <v>810</v>
      </c>
      <c r="G3578" s="9">
        <v>6119.25</v>
      </c>
      <c r="H3578" s="8">
        <v>7557</v>
      </c>
    </row>
    <row r="3579" spans="2:8" ht="17.5" customHeight="1" x14ac:dyDescent="0.4">
      <c r="B3579" t="s">
        <v>7</v>
      </c>
      <c r="C3579" t="s">
        <v>807</v>
      </c>
      <c r="D3579" s="7">
        <f>DATE(2008,6,26)</f>
        <v>39625</v>
      </c>
      <c r="E3579" s="8">
        <f t="shared" si="58"/>
        <v>2008</v>
      </c>
      <c r="F3579" t="s">
        <v>810</v>
      </c>
      <c r="G3579" s="9">
        <v>5671.25</v>
      </c>
      <c r="H3579" s="8">
        <v>7607</v>
      </c>
    </row>
    <row r="3580" spans="2:8" ht="17.5" customHeight="1" x14ac:dyDescent="0.4">
      <c r="B3580" t="s">
        <v>7</v>
      </c>
      <c r="C3580" t="s">
        <v>807</v>
      </c>
      <c r="D3580" s="7">
        <f>DATE(2008,7,24)</f>
        <v>39653</v>
      </c>
      <c r="E3580" s="8">
        <f t="shared" si="58"/>
        <v>2008</v>
      </c>
      <c r="F3580" t="s">
        <v>810</v>
      </c>
      <c r="G3580" s="9">
        <v>19209.88</v>
      </c>
      <c r="H3580" s="8">
        <v>7635</v>
      </c>
    </row>
    <row r="3581" spans="2:8" ht="17.5" customHeight="1" x14ac:dyDescent="0.4">
      <c r="B3581" t="s">
        <v>7</v>
      </c>
      <c r="C3581" t="s">
        <v>807</v>
      </c>
      <c r="D3581" s="7">
        <f>DATE(2008,8,10)</f>
        <v>39670</v>
      </c>
      <c r="E3581" s="8">
        <f t="shared" si="58"/>
        <v>2008</v>
      </c>
      <c r="F3581" t="s">
        <v>810</v>
      </c>
      <c r="G3581" s="9">
        <v>6972.36</v>
      </c>
      <c r="H3581" s="8">
        <v>7691</v>
      </c>
    </row>
    <row r="3582" spans="2:8" ht="17.5" customHeight="1" x14ac:dyDescent="0.4">
      <c r="B3582" t="s">
        <v>7</v>
      </c>
      <c r="C3582" t="s">
        <v>807</v>
      </c>
      <c r="D3582" s="7">
        <f>DATE(2008,9,8)</f>
        <v>39699</v>
      </c>
      <c r="E3582" s="8">
        <f t="shared" si="58"/>
        <v>2008</v>
      </c>
      <c r="F3582" t="s">
        <v>810</v>
      </c>
      <c r="G3582" s="9">
        <v>21279.25</v>
      </c>
      <c r="H3582" s="8">
        <v>7798</v>
      </c>
    </row>
    <row r="3583" spans="2:8" ht="17.5" customHeight="1" x14ac:dyDescent="0.4">
      <c r="B3583" t="s">
        <v>7</v>
      </c>
      <c r="C3583" t="s">
        <v>807</v>
      </c>
      <c r="D3583" s="7">
        <f>DATE(2008,10,17)</f>
        <v>39738</v>
      </c>
      <c r="E3583" s="8">
        <f t="shared" si="58"/>
        <v>2008</v>
      </c>
      <c r="F3583" t="s">
        <v>810</v>
      </c>
      <c r="G3583" s="9">
        <v>25467.040000000001</v>
      </c>
      <c r="H3583" s="8">
        <v>7886</v>
      </c>
    </row>
    <row r="3584" spans="2:8" ht="17.5" customHeight="1" x14ac:dyDescent="0.4">
      <c r="B3584" t="s">
        <v>7</v>
      </c>
      <c r="C3584" t="s">
        <v>807</v>
      </c>
      <c r="D3584" s="7">
        <f>DATE(2009,3,16)</f>
        <v>39888</v>
      </c>
      <c r="E3584" s="8">
        <f t="shared" si="58"/>
        <v>2009</v>
      </c>
      <c r="F3584" t="s">
        <v>810</v>
      </c>
      <c r="G3584" s="9">
        <v>33868.51</v>
      </c>
      <c r="H3584" s="8">
        <v>8335</v>
      </c>
    </row>
    <row r="3585" spans="2:8" ht="17.5" customHeight="1" x14ac:dyDescent="0.4">
      <c r="B3585" t="s">
        <v>7</v>
      </c>
      <c r="C3585" t="s">
        <v>807</v>
      </c>
      <c r="D3585" s="7">
        <f>DATE(2009,4,2)</f>
        <v>39905</v>
      </c>
      <c r="E3585" s="8">
        <f t="shared" si="58"/>
        <v>2009</v>
      </c>
      <c r="F3585" t="s">
        <v>810</v>
      </c>
      <c r="G3585" s="9">
        <v>5395.91</v>
      </c>
      <c r="H3585" s="8">
        <v>8535</v>
      </c>
    </row>
    <row r="3586" spans="2:8" ht="17.5" customHeight="1" x14ac:dyDescent="0.4">
      <c r="B3586" t="s">
        <v>7</v>
      </c>
      <c r="C3586" t="s">
        <v>807</v>
      </c>
      <c r="D3586" s="7">
        <f>DATE(2009,4,20)</f>
        <v>39923</v>
      </c>
      <c r="E3586" s="8">
        <f t="shared" si="58"/>
        <v>2009</v>
      </c>
      <c r="F3586" t="s">
        <v>810</v>
      </c>
      <c r="G3586" s="9">
        <v>8332.76</v>
      </c>
      <c r="H3586" s="8">
        <v>8404</v>
      </c>
    </row>
    <row r="3587" spans="2:8" ht="17.5" customHeight="1" x14ac:dyDescent="0.4">
      <c r="B3587" t="s">
        <v>7</v>
      </c>
      <c r="C3587" t="s">
        <v>807</v>
      </c>
      <c r="D3587" s="7">
        <f>DATE(2009,5,20)</f>
        <v>39953</v>
      </c>
      <c r="E3587" s="8">
        <f t="shared" ref="E3587:E3650" si="59">YEAR(D3587)</f>
        <v>2009</v>
      </c>
      <c r="F3587" t="s">
        <v>810</v>
      </c>
      <c r="G3587" s="9">
        <v>14897.5</v>
      </c>
      <c r="H3587" s="8">
        <v>8716</v>
      </c>
    </row>
    <row r="3588" spans="2:8" ht="17.5" customHeight="1" x14ac:dyDescent="0.4">
      <c r="B3588" t="s">
        <v>7</v>
      </c>
      <c r="C3588" t="s">
        <v>807</v>
      </c>
      <c r="D3588" s="7">
        <f>DATE(2009,5,28)</f>
        <v>39961</v>
      </c>
      <c r="E3588" s="8">
        <f t="shared" si="59"/>
        <v>2009</v>
      </c>
      <c r="F3588" t="s">
        <v>810</v>
      </c>
      <c r="G3588" s="9">
        <v>6612.96</v>
      </c>
      <c r="H3588" s="8">
        <v>8708</v>
      </c>
    </row>
    <row r="3589" spans="2:8" ht="17.5" customHeight="1" x14ac:dyDescent="0.4">
      <c r="B3589" t="s">
        <v>7</v>
      </c>
      <c r="C3589" t="s">
        <v>807</v>
      </c>
      <c r="D3589" s="7">
        <f>DATE(2009,6,18)</f>
        <v>39982</v>
      </c>
      <c r="E3589" s="8">
        <f t="shared" si="59"/>
        <v>2009</v>
      </c>
      <c r="F3589" t="s">
        <v>810</v>
      </c>
      <c r="G3589" s="9">
        <v>18219.68</v>
      </c>
      <c r="H3589" s="8">
        <v>8806</v>
      </c>
    </row>
    <row r="3590" spans="2:8" ht="17.5" customHeight="1" x14ac:dyDescent="0.4">
      <c r="B3590" t="s">
        <v>7</v>
      </c>
      <c r="C3590" t="s">
        <v>807</v>
      </c>
      <c r="D3590" s="7">
        <f>DATE(2009,6,30)</f>
        <v>39994</v>
      </c>
      <c r="E3590" s="8">
        <f t="shared" si="59"/>
        <v>2009</v>
      </c>
      <c r="F3590" t="s">
        <v>810</v>
      </c>
      <c r="G3590" s="9">
        <v>5600</v>
      </c>
      <c r="H3590" s="8">
        <v>8813</v>
      </c>
    </row>
    <row r="3591" spans="2:8" ht="17.5" customHeight="1" x14ac:dyDescent="0.4">
      <c r="B3591" t="s">
        <v>7</v>
      </c>
      <c r="C3591" t="s">
        <v>807</v>
      </c>
      <c r="D3591" s="7">
        <f>DATE(2009,8,11)</f>
        <v>40036</v>
      </c>
      <c r="E3591" s="8">
        <f t="shared" si="59"/>
        <v>2009</v>
      </c>
      <c r="F3591" t="s">
        <v>810</v>
      </c>
      <c r="G3591" s="9">
        <v>2926.88</v>
      </c>
      <c r="H3591" s="8">
        <v>8958</v>
      </c>
    </row>
    <row r="3592" spans="2:8" ht="17.5" customHeight="1" x14ac:dyDescent="0.4">
      <c r="B3592" t="s">
        <v>7</v>
      </c>
      <c r="C3592" t="s">
        <v>807</v>
      </c>
      <c r="D3592" s="7">
        <f>DATE(2009,8,18)</f>
        <v>40043</v>
      </c>
      <c r="E3592" s="8">
        <f t="shared" si="59"/>
        <v>2009</v>
      </c>
      <c r="F3592" t="s">
        <v>810</v>
      </c>
      <c r="G3592" s="9">
        <v>6972.36</v>
      </c>
      <c r="H3592" s="8">
        <v>8974</v>
      </c>
    </row>
    <row r="3593" spans="2:8" ht="17.5" customHeight="1" x14ac:dyDescent="0.4">
      <c r="B3593" t="s">
        <v>7</v>
      </c>
      <c r="C3593" t="s">
        <v>807</v>
      </c>
      <c r="D3593" s="7">
        <f>DATE(2009,8,26)</f>
        <v>40051</v>
      </c>
      <c r="E3593" s="8">
        <f t="shared" si="59"/>
        <v>2009</v>
      </c>
      <c r="F3593" t="s">
        <v>810</v>
      </c>
      <c r="G3593" s="9">
        <v>7882.36</v>
      </c>
      <c r="H3593" s="8">
        <v>8996</v>
      </c>
    </row>
    <row r="3594" spans="2:8" ht="17.5" customHeight="1" x14ac:dyDescent="0.4">
      <c r="B3594" t="s">
        <v>7</v>
      </c>
      <c r="C3594" t="s">
        <v>807</v>
      </c>
      <c r="D3594" s="7">
        <f>DATE(2009,9,8)</f>
        <v>40064</v>
      </c>
      <c r="E3594" s="8">
        <f t="shared" si="59"/>
        <v>2009</v>
      </c>
      <c r="F3594" t="s">
        <v>810</v>
      </c>
      <c r="G3594" s="9">
        <v>5237.96</v>
      </c>
      <c r="H3594" s="8">
        <v>9034</v>
      </c>
    </row>
    <row r="3595" spans="2:8" ht="17.5" customHeight="1" x14ac:dyDescent="0.4">
      <c r="B3595" t="s">
        <v>7</v>
      </c>
      <c r="C3595" t="s">
        <v>807</v>
      </c>
      <c r="D3595" s="7">
        <f>DATE(2009,10,28)</f>
        <v>40114</v>
      </c>
      <c r="E3595" s="8">
        <f t="shared" si="59"/>
        <v>2009</v>
      </c>
      <c r="F3595" t="s">
        <v>810</v>
      </c>
      <c r="G3595" s="9">
        <v>2697.6</v>
      </c>
      <c r="H3595" s="8">
        <v>9179</v>
      </c>
    </row>
    <row r="3596" spans="2:8" ht="17.5" customHeight="1" x14ac:dyDescent="0.4">
      <c r="B3596" t="s">
        <v>7</v>
      </c>
      <c r="C3596" t="s">
        <v>807</v>
      </c>
      <c r="D3596" s="7">
        <f>DATE(2009,11,16)</f>
        <v>40133</v>
      </c>
      <c r="E3596" s="8">
        <f t="shared" si="59"/>
        <v>2009</v>
      </c>
      <c r="F3596" t="s">
        <v>810</v>
      </c>
      <c r="G3596" s="9">
        <v>2804.94</v>
      </c>
      <c r="H3596" s="8">
        <v>9218</v>
      </c>
    </row>
    <row r="3597" spans="2:8" ht="17.5" customHeight="1" x14ac:dyDescent="0.4">
      <c r="B3597" t="s">
        <v>7</v>
      </c>
      <c r="C3597" t="s">
        <v>807</v>
      </c>
      <c r="D3597" s="7">
        <f>DATE(2010,3,16)</f>
        <v>40253</v>
      </c>
      <c r="E3597" s="8">
        <f t="shared" si="59"/>
        <v>2010</v>
      </c>
      <c r="F3597" t="s">
        <v>810</v>
      </c>
      <c r="G3597" s="9">
        <v>12442.56</v>
      </c>
      <c r="H3597" s="8">
        <v>9615</v>
      </c>
    </row>
    <row r="3598" spans="2:8" ht="17.5" customHeight="1" x14ac:dyDescent="0.4">
      <c r="B3598" t="s">
        <v>7</v>
      </c>
      <c r="C3598" t="s">
        <v>807</v>
      </c>
      <c r="D3598" s="7">
        <f>DATE(2010,3,19)</f>
        <v>40256</v>
      </c>
      <c r="E3598" s="8">
        <f t="shared" si="59"/>
        <v>2010</v>
      </c>
      <c r="F3598" t="s">
        <v>810</v>
      </c>
      <c r="G3598" s="9">
        <v>7850.36</v>
      </c>
      <c r="H3598" s="8">
        <v>9544</v>
      </c>
    </row>
    <row r="3599" spans="2:8" ht="17.5" customHeight="1" x14ac:dyDescent="0.4">
      <c r="B3599" t="s">
        <v>7</v>
      </c>
      <c r="C3599" t="s">
        <v>807</v>
      </c>
      <c r="D3599" s="7">
        <f>DATE(2010,4,1)</f>
        <v>40269</v>
      </c>
      <c r="E3599" s="8">
        <f t="shared" si="59"/>
        <v>2010</v>
      </c>
      <c r="F3599" t="s">
        <v>810</v>
      </c>
      <c r="G3599" s="9">
        <v>15428.03</v>
      </c>
      <c r="H3599" s="8">
        <v>9698</v>
      </c>
    </row>
    <row r="3600" spans="2:8" ht="17.5" customHeight="1" x14ac:dyDescent="0.4">
      <c r="B3600" t="s">
        <v>7</v>
      </c>
      <c r="C3600" t="s">
        <v>807</v>
      </c>
      <c r="D3600" s="7">
        <f>DATE(2010,4,14)</f>
        <v>40282</v>
      </c>
      <c r="E3600" s="8">
        <f t="shared" si="59"/>
        <v>2010</v>
      </c>
      <c r="F3600" t="s">
        <v>810</v>
      </c>
      <c r="G3600" s="9">
        <v>6612.96</v>
      </c>
      <c r="H3600" s="8">
        <v>9723</v>
      </c>
    </row>
    <row r="3601" spans="2:8" ht="17.5" customHeight="1" x14ac:dyDescent="0.4">
      <c r="B3601" t="s">
        <v>7</v>
      </c>
      <c r="C3601" t="s">
        <v>807</v>
      </c>
      <c r="D3601" s="7">
        <f>DATE(2010,5,10)</f>
        <v>40308</v>
      </c>
      <c r="E3601" s="8">
        <f t="shared" si="59"/>
        <v>2010</v>
      </c>
      <c r="F3601" t="s">
        <v>810</v>
      </c>
      <c r="G3601" s="9">
        <v>3601.38</v>
      </c>
      <c r="H3601" s="8">
        <v>9806</v>
      </c>
    </row>
    <row r="3602" spans="2:8" ht="17.5" customHeight="1" x14ac:dyDescent="0.4">
      <c r="B3602" t="s">
        <v>7</v>
      </c>
      <c r="C3602" t="s">
        <v>807</v>
      </c>
      <c r="D3602" s="7">
        <f>DATE(2010,5,12)</f>
        <v>40310</v>
      </c>
      <c r="E3602" s="8">
        <f t="shared" si="59"/>
        <v>2010</v>
      </c>
      <c r="F3602" t="s">
        <v>810</v>
      </c>
      <c r="G3602" s="9">
        <v>22104.52</v>
      </c>
      <c r="H3602" s="8">
        <v>9835</v>
      </c>
    </row>
    <row r="3603" spans="2:8" ht="17.5" customHeight="1" x14ac:dyDescent="0.4">
      <c r="B3603" t="s">
        <v>7</v>
      </c>
      <c r="C3603" t="s">
        <v>807</v>
      </c>
      <c r="D3603" s="7">
        <f>DATE(2010,6,1)</f>
        <v>40330</v>
      </c>
      <c r="E3603" s="8">
        <f t="shared" si="59"/>
        <v>2010</v>
      </c>
      <c r="F3603" t="s">
        <v>810</v>
      </c>
      <c r="G3603" s="9">
        <v>22384.47</v>
      </c>
      <c r="H3603" s="8">
        <v>9782</v>
      </c>
    </row>
    <row r="3604" spans="2:8" ht="17.5" customHeight="1" x14ac:dyDescent="0.4">
      <c r="B3604" t="s">
        <v>7</v>
      </c>
      <c r="C3604" t="s">
        <v>807</v>
      </c>
      <c r="D3604" s="7">
        <f>DATE(2010,7,19)</f>
        <v>40378</v>
      </c>
      <c r="E3604" s="8">
        <f t="shared" si="59"/>
        <v>2010</v>
      </c>
      <c r="F3604" t="s">
        <v>810</v>
      </c>
      <c r="G3604" s="9">
        <v>11575.92</v>
      </c>
      <c r="H3604" s="8">
        <v>9959</v>
      </c>
    </row>
    <row r="3605" spans="2:8" ht="17.5" customHeight="1" x14ac:dyDescent="0.4">
      <c r="B3605" t="s">
        <v>7</v>
      </c>
      <c r="C3605" t="s">
        <v>807</v>
      </c>
      <c r="D3605" s="7">
        <f>DATE(2010,7,21)</f>
        <v>40380</v>
      </c>
      <c r="E3605" s="8">
        <f t="shared" si="59"/>
        <v>2010</v>
      </c>
      <c r="F3605" t="s">
        <v>810</v>
      </c>
      <c r="G3605" s="9">
        <v>33500</v>
      </c>
      <c r="H3605" s="8">
        <v>9978</v>
      </c>
    </row>
    <row r="3606" spans="2:8" ht="17.5" customHeight="1" x14ac:dyDescent="0.4">
      <c r="B3606" t="s">
        <v>7</v>
      </c>
      <c r="C3606" t="s">
        <v>807</v>
      </c>
      <c r="D3606" s="7">
        <f>DATE(2010,10,1)</f>
        <v>40452</v>
      </c>
      <c r="E3606" s="8">
        <f t="shared" si="59"/>
        <v>2010</v>
      </c>
      <c r="F3606" t="s">
        <v>810</v>
      </c>
      <c r="G3606" s="9">
        <v>29970.95</v>
      </c>
      <c r="H3606" s="8">
        <v>10043</v>
      </c>
    </row>
    <row r="3607" spans="2:8" ht="17.5" customHeight="1" x14ac:dyDescent="0.4">
      <c r="B3607" t="s">
        <v>7</v>
      </c>
      <c r="C3607" t="s">
        <v>807</v>
      </c>
      <c r="D3607" s="7">
        <f>DATE(2010,10,6)</f>
        <v>40457</v>
      </c>
      <c r="E3607" s="8">
        <f t="shared" si="59"/>
        <v>2010</v>
      </c>
      <c r="F3607" t="s">
        <v>810</v>
      </c>
      <c r="G3607" s="9">
        <v>29970.95</v>
      </c>
      <c r="H3607" s="8">
        <v>10199</v>
      </c>
    </row>
    <row r="3608" spans="2:8" ht="17.5" customHeight="1" x14ac:dyDescent="0.4">
      <c r="B3608" t="s">
        <v>7</v>
      </c>
      <c r="C3608" t="s">
        <v>807</v>
      </c>
      <c r="D3608" s="7">
        <f>DATE(2010,11,15)</f>
        <v>40497</v>
      </c>
      <c r="E3608" s="8">
        <f t="shared" si="59"/>
        <v>2010</v>
      </c>
      <c r="F3608" t="s">
        <v>810</v>
      </c>
      <c r="G3608" s="9">
        <v>27051.55</v>
      </c>
      <c r="H3608" s="8">
        <v>10252</v>
      </c>
    </row>
    <row r="3609" spans="2:8" ht="17.5" customHeight="1" x14ac:dyDescent="0.4">
      <c r="B3609" t="s">
        <v>7</v>
      </c>
      <c r="C3609" t="s">
        <v>807</v>
      </c>
      <c r="D3609" s="7">
        <f>DATE(2011,2,17)</f>
        <v>40591</v>
      </c>
      <c r="E3609" s="8">
        <f t="shared" si="59"/>
        <v>2011</v>
      </c>
      <c r="F3609" t="s">
        <v>810</v>
      </c>
      <c r="G3609" s="9">
        <v>27907.040000000001</v>
      </c>
      <c r="H3609" s="8">
        <v>10447</v>
      </c>
    </row>
    <row r="3610" spans="2:8" ht="17.5" customHeight="1" x14ac:dyDescent="0.4">
      <c r="B3610" t="s">
        <v>7</v>
      </c>
      <c r="C3610" t="s">
        <v>807</v>
      </c>
      <c r="D3610" s="7">
        <f>DATE(2011,1,11)</f>
        <v>40554</v>
      </c>
      <c r="E3610" s="8">
        <f t="shared" si="59"/>
        <v>2011</v>
      </c>
      <c r="F3610" t="s">
        <v>810</v>
      </c>
      <c r="G3610" s="9">
        <v>2597.84</v>
      </c>
      <c r="H3610" s="8">
        <v>10328</v>
      </c>
    </row>
    <row r="3611" spans="2:8" ht="17.5" customHeight="1" x14ac:dyDescent="0.4">
      <c r="B3611" t="s">
        <v>7</v>
      </c>
      <c r="C3611" t="s">
        <v>807</v>
      </c>
      <c r="D3611" s="7">
        <f>DATE(2011,2,10)</f>
        <v>40584</v>
      </c>
      <c r="E3611" s="8">
        <f t="shared" si="59"/>
        <v>2011</v>
      </c>
      <c r="F3611" t="s">
        <v>810</v>
      </c>
      <c r="G3611" s="9">
        <v>1685.41</v>
      </c>
      <c r="H3611" s="8">
        <v>10462</v>
      </c>
    </row>
    <row r="3612" spans="2:8" ht="17.5" customHeight="1" x14ac:dyDescent="0.4">
      <c r="B3612" t="s">
        <v>16</v>
      </c>
      <c r="C3612" t="s">
        <v>807</v>
      </c>
      <c r="D3612" s="7">
        <f>DATE(2008,6,26)</f>
        <v>39625</v>
      </c>
      <c r="E3612" s="8">
        <f t="shared" si="59"/>
        <v>2008</v>
      </c>
      <c r="F3612" t="s">
        <v>810</v>
      </c>
      <c r="G3612" s="9">
        <v>6119.25</v>
      </c>
      <c r="H3612" s="8">
        <v>7606</v>
      </c>
    </row>
    <row r="3613" spans="2:8" ht="17.5" customHeight="1" x14ac:dyDescent="0.4">
      <c r="B3613" t="s">
        <v>16</v>
      </c>
      <c r="C3613" t="s">
        <v>807</v>
      </c>
      <c r="D3613" s="7">
        <f>DATE(2010,9,30)</f>
        <v>40451</v>
      </c>
      <c r="E3613" s="8">
        <f t="shared" si="59"/>
        <v>2010</v>
      </c>
      <c r="F3613" t="s">
        <v>810</v>
      </c>
      <c r="G3613" s="9">
        <v>29970.95</v>
      </c>
      <c r="H3613" s="8">
        <v>10198</v>
      </c>
    </row>
    <row r="3614" spans="2:8" ht="17.5" customHeight="1" x14ac:dyDescent="0.4">
      <c r="B3614" s="3" t="s">
        <v>7</v>
      </c>
      <c r="C3614" s="3" t="s">
        <v>807</v>
      </c>
      <c r="D3614" s="4">
        <f>DATE(2004,1,9)</f>
        <v>37995</v>
      </c>
      <c r="E3614" s="5">
        <f t="shared" si="59"/>
        <v>2004</v>
      </c>
      <c r="F3614" s="3" t="s">
        <v>810</v>
      </c>
      <c r="G3614" s="6">
        <v>2904</v>
      </c>
      <c r="H3614" s="5">
        <v>1961</v>
      </c>
    </row>
    <row r="3615" spans="2:8" ht="17.5" customHeight="1" x14ac:dyDescent="0.4">
      <c r="B3615" s="3" t="s">
        <v>7</v>
      </c>
      <c r="C3615" s="3" t="s">
        <v>807</v>
      </c>
      <c r="D3615" s="4">
        <f>DATE(2004,2,27)</f>
        <v>38044</v>
      </c>
      <c r="E3615" s="5">
        <f t="shared" si="59"/>
        <v>2004</v>
      </c>
      <c r="F3615" s="3" t="s">
        <v>810</v>
      </c>
      <c r="G3615" s="6">
        <v>2116</v>
      </c>
      <c r="H3615" s="5">
        <v>2204</v>
      </c>
    </row>
    <row r="3616" spans="2:8" ht="17.5" customHeight="1" x14ac:dyDescent="0.4">
      <c r="B3616" s="3" t="s">
        <v>7</v>
      </c>
      <c r="C3616" s="3" t="s">
        <v>807</v>
      </c>
      <c r="D3616" s="4">
        <f>DATE(2004,12,27)</f>
        <v>38348</v>
      </c>
      <c r="E3616" s="5">
        <f t="shared" si="59"/>
        <v>2004</v>
      </c>
      <c r="F3616" s="3" t="s">
        <v>810</v>
      </c>
      <c r="G3616" s="6">
        <v>1521.78</v>
      </c>
      <c r="H3616" s="5">
        <v>3868</v>
      </c>
    </row>
    <row r="3617" spans="2:8" ht="17.5" customHeight="1" x14ac:dyDescent="0.4">
      <c r="B3617" s="3" t="s">
        <v>7</v>
      </c>
      <c r="C3617" s="3" t="s">
        <v>807</v>
      </c>
      <c r="D3617" s="4">
        <f>DATE(2005,4,14)</f>
        <v>38456</v>
      </c>
      <c r="E3617" s="5">
        <f t="shared" si="59"/>
        <v>2005</v>
      </c>
      <c r="F3617" s="3" t="s">
        <v>810</v>
      </c>
      <c r="G3617" s="6">
        <v>845</v>
      </c>
      <c r="H3617" s="5">
        <v>4552</v>
      </c>
    </row>
    <row r="3618" spans="2:8" ht="17.5" customHeight="1" x14ac:dyDescent="0.4">
      <c r="B3618" s="3" t="s">
        <v>7</v>
      </c>
      <c r="C3618" s="3" t="s">
        <v>807</v>
      </c>
      <c r="D3618" s="4">
        <f>DATE(2005,4,14)</f>
        <v>38456</v>
      </c>
      <c r="E3618" s="5">
        <f t="shared" si="59"/>
        <v>2005</v>
      </c>
      <c r="F3618" s="3" t="s">
        <v>810</v>
      </c>
      <c r="G3618" s="6">
        <v>1567.25</v>
      </c>
      <c r="H3618" s="5">
        <v>4551</v>
      </c>
    </row>
    <row r="3619" spans="2:8" ht="17.5" customHeight="1" x14ac:dyDescent="0.4">
      <c r="B3619" s="3" t="s">
        <v>7</v>
      </c>
      <c r="C3619" s="3" t="s">
        <v>807</v>
      </c>
      <c r="D3619" s="4">
        <f>DATE(2005,8,1)</f>
        <v>38565</v>
      </c>
      <c r="E3619" s="5">
        <f t="shared" si="59"/>
        <v>2005</v>
      </c>
      <c r="F3619" s="3" t="s">
        <v>810</v>
      </c>
      <c r="G3619" s="6">
        <v>1499.75</v>
      </c>
      <c r="H3619" s="5">
        <v>5030</v>
      </c>
    </row>
    <row r="3620" spans="2:8" ht="17.5" customHeight="1" x14ac:dyDescent="0.4">
      <c r="B3620" s="3" t="s">
        <v>7</v>
      </c>
      <c r="C3620" s="3" t="s">
        <v>807</v>
      </c>
      <c r="D3620" s="4">
        <f>DATE(2005,12,1)</f>
        <v>38687</v>
      </c>
      <c r="E3620" s="5">
        <f t="shared" si="59"/>
        <v>2005</v>
      </c>
      <c r="F3620" s="3" t="s">
        <v>810</v>
      </c>
      <c r="G3620" s="6">
        <v>4380</v>
      </c>
      <c r="H3620" s="5">
        <v>5660</v>
      </c>
    </row>
    <row r="3621" spans="2:8" ht="17.5" customHeight="1" x14ac:dyDescent="0.4">
      <c r="B3621" s="3" t="s">
        <v>7</v>
      </c>
      <c r="C3621" s="3" t="s">
        <v>807</v>
      </c>
      <c r="D3621" s="4">
        <f>DATE(2006,2,14)</f>
        <v>38762</v>
      </c>
      <c r="E3621" s="5">
        <f t="shared" si="59"/>
        <v>2006</v>
      </c>
      <c r="F3621" s="3" t="s">
        <v>810</v>
      </c>
      <c r="G3621" s="6">
        <v>2674.21</v>
      </c>
      <c r="H3621" s="5">
        <v>6051</v>
      </c>
    </row>
    <row r="3622" spans="2:8" ht="17.5" customHeight="1" x14ac:dyDescent="0.4">
      <c r="B3622" s="3" t="s">
        <v>7</v>
      </c>
      <c r="C3622" s="3" t="s">
        <v>807</v>
      </c>
      <c r="D3622" s="4">
        <f>DATE(2006,2,23)</f>
        <v>38771</v>
      </c>
      <c r="E3622" s="5">
        <f t="shared" si="59"/>
        <v>2006</v>
      </c>
      <c r="F3622" s="3" t="s">
        <v>810</v>
      </c>
      <c r="G3622" s="6">
        <v>3493</v>
      </c>
      <c r="H3622" s="5">
        <v>6101</v>
      </c>
    </row>
    <row r="3623" spans="2:8" ht="17.5" customHeight="1" x14ac:dyDescent="0.4">
      <c r="B3623" s="3" t="s">
        <v>7</v>
      </c>
      <c r="C3623" s="3" t="s">
        <v>807</v>
      </c>
      <c r="D3623" s="4">
        <f>DATE(2006,4,18)</f>
        <v>38825</v>
      </c>
      <c r="E3623" s="5">
        <f t="shared" si="59"/>
        <v>2006</v>
      </c>
      <c r="F3623" s="3" t="s">
        <v>810</v>
      </c>
      <c r="G3623" s="6">
        <v>2457.5</v>
      </c>
      <c r="H3623" s="5">
        <v>6544</v>
      </c>
    </row>
    <row r="3624" spans="2:8" ht="17.5" customHeight="1" x14ac:dyDescent="0.4">
      <c r="B3624" s="3" t="s">
        <v>7</v>
      </c>
      <c r="C3624" s="3" t="s">
        <v>807</v>
      </c>
      <c r="D3624" s="4">
        <f>DATE(2006,4,20)</f>
        <v>38827</v>
      </c>
      <c r="E3624" s="5">
        <f t="shared" si="59"/>
        <v>2006</v>
      </c>
      <c r="F3624" s="3" t="s">
        <v>810</v>
      </c>
      <c r="G3624" s="6">
        <v>1234.3800000000001</v>
      </c>
      <c r="H3624" s="5">
        <v>6578</v>
      </c>
    </row>
    <row r="3625" spans="2:8" ht="17.5" customHeight="1" x14ac:dyDescent="0.4">
      <c r="B3625" s="3" t="s">
        <v>7</v>
      </c>
      <c r="C3625" s="3" t="s">
        <v>807</v>
      </c>
      <c r="D3625" s="4">
        <f>DATE(2006,5,23)</f>
        <v>38860</v>
      </c>
      <c r="E3625" s="5">
        <f t="shared" si="59"/>
        <v>2006</v>
      </c>
      <c r="F3625" s="3" t="s">
        <v>810</v>
      </c>
      <c r="G3625" s="6">
        <v>1891</v>
      </c>
      <c r="H3625" s="5">
        <v>6758</v>
      </c>
    </row>
    <row r="3626" spans="2:8" ht="17.5" customHeight="1" x14ac:dyDescent="0.4">
      <c r="B3626" s="3" t="s">
        <v>7</v>
      </c>
      <c r="C3626" s="3" t="s">
        <v>807</v>
      </c>
      <c r="D3626" s="4">
        <f>DATE(2006,10,11)</f>
        <v>39001</v>
      </c>
      <c r="E3626" s="5">
        <f t="shared" si="59"/>
        <v>2006</v>
      </c>
      <c r="F3626" s="3" t="s">
        <v>810</v>
      </c>
      <c r="G3626" s="6">
        <v>1891</v>
      </c>
      <c r="H3626" s="5">
        <v>7372</v>
      </c>
    </row>
    <row r="3627" spans="2:8" ht="17.5" customHeight="1" x14ac:dyDescent="0.4">
      <c r="B3627" s="3" t="s">
        <v>7</v>
      </c>
      <c r="C3627" s="3" t="s">
        <v>807</v>
      </c>
      <c r="D3627" s="4">
        <f>DATE(2007,3,15)</f>
        <v>39156</v>
      </c>
      <c r="E3627" s="5">
        <f t="shared" si="59"/>
        <v>2007</v>
      </c>
      <c r="F3627" s="3" t="s">
        <v>810</v>
      </c>
      <c r="G3627" s="6">
        <v>1967.9</v>
      </c>
      <c r="H3627" s="5">
        <v>8155</v>
      </c>
    </row>
    <row r="3628" spans="2:8" ht="17.5" customHeight="1" x14ac:dyDescent="0.4">
      <c r="B3628" s="3" t="s">
        <v>7</v>
      </c>
      <c r="C3628" s="3" t="s">
        <v>807</v>
      </c>
      <c r="D3628" s="4">
        <f>DATE(2007,10,2)</f>
        <v>39357</v>
      </c>
      <c r="E3628" s="5">
        <f t="shared" si="59"/>
        <v>2007</v>
      </c>
      <c r="F3628" s="3" t="s">
        <v>810</v>
      </c>
      <c r="G3628" s="6">
        <v>2571.7600000000002</v>
      </c>
      <c r="H3628" s="5">
        <v>9257</v>
      </c>
    </row>
    <row r="3629" spans="2:8" ht="17.5" customHeight="1" x14ac:dyDescent="0.4">
      <c r="B3629" s="3" t="s">
        <v>7</v>
      </c>
      <c r="C3629" s="3" t="s">
        <v>807</v>
      </c>
      <c r="D3629" s="4">
        <f>DATE(2007,10,3)</f>
        <v>39358</v>
      </c>
      <c r="E3629" s="5">
        <f t="shared" si="59"/>
        <v>2007</v>
      </c>
      <c r="F3629" s="3" t="s">
        <v>810</v>
      </c>
      <c r="G3629" s="6">
        <v>285.35000000000002</v>
      </c>
      <c r="H3629" s="5">
        <v>9277</v>
      </c>
    </row>
    <row r="3630" spans="2:8" ht="17.5" customHeight="1" x14ac:dyDescent="0.4">
      <c r="B3630" s="3" t="s">
        <v>7</v>
      </c>
      <c r="C3630" s="3" t="s">
        <v>807</v>
      </c>
      <c r="D3630" s="4">
        <f>DATE(2007,10,8)</f>
        <v>39363</v>
      </c>
      <c r="E3630" s="5">
        <f t="shared" si="59"/>
        <v>2007</v>
      </c>
      <c r="F3630" s="3" t="s">
        <v>810</v>
      </c>
      <c r="G3630" s="6">
        <v>938</v>
      </c>
      <c r="H3630" s="5">
        <v>9256</v>
      </c>
    </row>
    <row r="3631" spans="2:8" ht="17.5" customHeight="1" x14ac:dyDescent="0.4">
      <c r="B3631" s="3" t="s">
        <v>7</v>
      </c>
      <c r="C3631" s="3" t="s">
        <v>807</v>
      </c>
      <c r="D3631" s="4">
        <f>DATE(2007,11,16)</f>
        <v>39402</v>
      </c>
      <c r="E3631" s="5">
        <f t="shared" si="59"/>
        <v>2007</v>
      </c>
      <c r="F3631" s="3" t="s">
        <v>810</v>
      </c>
      <c r="G3631" s="6">
        <v>1053.33</v>
      </c>
      <c r="H3631" s="5">
        <v>9501</v>
      </c>
    </row>
    <row r="3632" spans="2:8" ht="17.5" customHeight="1" x14ac:dyDescent="0.4">
      <c r="B3632" s="3" t="s">
        <v>7</v>
      </c>
      <c r="C3632" s="3" t="s">
        <v>807</v>
      </c>
      <c r="D3632" s="4">
        <f>DATE(2007,11,16)</f>
        <v>39402</v>
      </c>
      <c r="E3632" s="5">
        <f t="shared" si="59"/>
        <v>2007</v>
      </c>
      <c r="F3632" s="3" t="s">
        <v>810</v>
      </c>
      <c r="G3632" s="6">
        <v>938</v>
      </c>
      <c r="H3632" s="5">
        <v>9503</v>
      </c>
    </row>
    <row r="3633" spans="2:8" ht="17.5" customHeight="1" x14ac:dyDescent="0.4">
      <c r="B3633" s="3" t="s">
        <v>7</v>
      </c>
      <c r="C3633" s="3" t="s">
        <v>807</v>
      </c>
      <c r="D3633" s="4">
        <f>DATE(2008,3,14)</f>
        <v>39521</v>
      </c>
      <c r="E3633" s="5">
        <f t="shared" si="59"/>
        <v>2008</v>
      </c>
      <c r="F3633" s="3" t="s">
        <v>810</v>
      </c>
      <c r="G3633" s="6">
        <v>261</v>
      </c>
      <c r="H3633" s="5">
        <v>10206</v>
      </c>
    </row>
    <row r="3634" spans="2:8" ht="17.5" customHeight="1" x14ac:dyDescent="0.4">
      <c r="B3634" s="3" t="s">
        <v>7</v>
      </c>
      <c r="C3634" s="3" t="s">
        <v>807</v>
      </c>
      <c r="D3634" s="4">
        <f>DATE(2008,5,7)</f>
        <v>39575</v>
      </c>
      <c r="E3634" s="5">
        <f t="shared" si="59"/>
        <v>2008</v>
      </c>
      <c r="F3634" s="3" t="s">
        <v>810</v>
      </c>
      <c r="G3634" s="6">
        <v>5131</v>
      </c>
      <c r="H3634" s="5">
        <v>10614</v>
      </c>
    </row>
    <row r="3635" spans="2:8" ht="17.5" customHeight="1" x14ac:dyDescent="0.4">
      <c r="B3635" s="3" t="s">
        <v>7</v>
      </c>
      <c r="C3635" s="3" t="s">
        <v>807</v>
      </c>
      <c r="D3635" s="4">
        <f>DATE(2009,5,20)</f>
        <v>39953</v>
      </c>
      <c r="E3635" s="5">
        <f t="shared" si="59"/>
        <v>2009</v>
      </c>
      <c r="F3635" s="3" t="s">
        <v>810</v>
      </c>
      <c r="G3635" s="6">
        <v>1522.5</v>
      </c>
      <c r="H3635" s="5">
        <v>12563</v>
      </c>
    </row>
    <row r="3636" spans="2:8" ht="17.5" customHeight="1" x14ac:dyDescent="0.4">
      <c r="B3636" s="3" t="s">
        <v>7</v>
      </c>
      <c r="C3636" s="3" t="s">
        <v>807</v>
      </c>
      <c r="D3636" s="4">
        <f>DATE(2009,11,6)</f>
        <v>40123</v>
      </c>
      <c r="E3636" s="5">
        <f t="shared" si="59"/>
        <v>2009</v>
      </c>
      <c r="F3636" s="3" t="s">
        <v>810</v>
      </c>
      <c r="G3636" s="6">
        <v>2762.86</v>
      </c>
      <c r="H3636" s="5">
        <v>13196</v>
      </c>
    </row>
    <row r="3637" spans="2:8" ht="17.5" customHeight="1" x14ac:dyDescent="0.4">
      <c r="B3637" s="3" t="s">
        <v>7</v>
      </c>
      <c r="C3637" s="3" t="s">
        <v>807</v>
      </c>
      <c r="D3637" s="4">
        <f>DATE(2010,2,11)</f>
        <v>40220</v>
      </c>
      <c r="E3637" s="5">
        <f t="shared" si="59"/>
        <v>2010</v>
      </c>
      <c r="F3637" s="3" t="s">
        <v>810</v>
      </c>
      <c r="G3637" s="6">
        <v>3732.38</v>
      </c>
      <c r="H3637" s="5">
        <v>13578</v>
      </c>
    </row>
    <row r="3638" spans="2:8" ht="17.5" customHeight="1" x14ac:dyDescent="0.4">
      <c r="B3638" s="3" t="s">
        <v>7</v>
      </c>
      <c r="C3638" s="3" t="s">
        <v>807</v>
      </c>
      <c r="D3638" s="4">
        <f>DATE(2010,5,19)</f>
        <v>40317</v>
      </c>
      <c r="E3638" s="5">
        <f t="shared" si="59"/>
        <v>2010</v>
      </c>
      <c r="F3638" s="3" t="s">
        <v>810</v>
      </c>
      <c r="G3638" s="6">
        <v>2042.98</v>
      </c>
      <c r="H3638" s="5">
        <v>14071</v>
      </c>
    </row>
    <row r="3639" spans="2:8" ht="17.5" customHeight="1" x14ac:dyDescent="0.4">
      <c r="B3639" s="3" t="s">
        <v>7</v>
      </c>
      <c r="C3639" s="3" t="s">
        <v>807</v>
      </c>
      <c r="D3639" s="4">
        <f>DATE(2010,5,19)</f>
        <v>40317</v>
      </c>
      <c r="E3639" s="5">
        <f t="shared" si="59"/>
        <v>2010</v>
      </c>
      <c r="F3639" s="3" t="s">
        <v>810</v>
      </c>
      <c r="G3639" s="6">
        <v>1750</v>
      </c>
      <c r="H3639" s="5">
        <v>14007</v>
      </c>
    </row>
    <row r="3640" spans="2:8" ht="17.5" customHeight="1" x14ac:dyDescent="0.4">
      <c r="B3640" t="s">
        <v>7</v>
      </c>
      <c r="C3640" t="s">
        <v>811</v>
      </c>
      <c r="D3640" s="7">
        <f>DATE(2016,6,15)</f>
        <v>42536</v>
      </c>
      <c r="E3640" s="8">
        <f t="shared" si="59"/>
        <v>2016</v>
      </c>
      <c r="F3640" t="s">
        <v>812</v>
      </c>
      <c r="G3640" s="9">
        <v>479.25</v>
      </c>
      <c r="H3640" s="8">
        <v>23018</v>
      </c>
    </row>
    <row r="3641" spans="2:8" ht="17.5" customHeight="1" x14ac:dyDescent="0.4">
      <c r="B3641" t="s">
        <v>7</v>
      </c>
      <c r="C3641" t="s">
        <v>811</v>
      </c>
      <c r="D3641" s="7">
        <f>DATE(2015,3,26)</f>
        <v>42089</v>
      </c>
      <c r="E3641" s="8">
        <f t="shared" si="59"/>
        <v>2015</v>
      </c>
      <c r="F3641" t="s">
        <v>812</v>
      </c>
      <c r="G3641" s="9">
        <v>5500</v>
      </c>
      <c r="H3641" s="8">
        <v>20133</v>
      </c>
    </row>
    <row r="3642" spans="2:8" ht="17.5" customHeight="1" x14ac:dyDescent="0.4">
      <c r="B3642" t="s">
        <v>7</v>
      </c>
      <c r="C3642" t="s">
        <v>811</v>
      </c>
      <c r="D3642" s="7">
        <f>DATE(2016,8,12)</f>
        <v>42594</v>
      </c>
      <c r="E3642" s="8">
        <f t="shared" si="59"/>
        <v>2016</v>
      </c>
      <c r="F3642" t="s">
        <v>812</v>
      </c>
      <c r="G3642" s="9">
        <v>3640</v>
      </c>
      <c r="H3642" s="8">
        <v>23244</v>
      </c>
    </row>
    <row r="3643" spans="2:8" ht="17.5" customHeight="1" x14ac:dyDescent="0.4">
      <c r="B3643" t="s">
        <v>7</v>
      </c>
      <c r="C3643" t="s">
        <v>811</v>
      </c>
      <c r="D3643" s="7">
        <f>DATE(2019,3,27)</f>
        <v>43551</v>
      </c>
      <c r="E3643" s="8">
        <f t="shared" si="59"/>
        <v>2019</v>
      </c>
      <c r="F3643" t="s">
        <v>812</v>
      </c>
      <c r="G3643" s="9">
        <v>3894</v>
      </c>
      <c r="H3643" s="8">
        <v>28683</v>
      </c>
    </row>
    <row r="3644" spans="2:8" ht="17.5" customHeight="1" x14ac:dyDescent="0.4">
      <c r="B3644" t="s">
        <v>7</v>
      </c>
      <c r="C3644" t="s">
        <v>811</v>
      </c>
      <c r="D3644" s="7">
        <f>DATE(2010,5,22)</f>
        <v>40320</v>
      </c>
      <c r="E3644" s="8">
        <f t="shared" si="59"/>
        <v>2010</v>
      </c>
      <c r="F3644" t="s">
        <v>812</v>
      </c>
      <c r="G3644" s="9">
        <v>5850</v>
      </c>
      <c r="H3644" s="8">
        <v>9882</v>
      </c>
    </row>
    <row r="3645" spans="2:8" ht="17.5" customHeight="1" x14ac:dyDescent="0.4">
      <c r="B3645" t="s">
        <v>7</v>
      </c>
      <c r="C3645" t="s">
        <v>811</v>
      </c>
      <c r="D3645" s="7">
        <f>DATE(2010,10,29)</f>
        <v>40480</v>
      </c>
      <c r="E3645" s="8">
        <f t="shared" si="59"/>
        <v>2010</v>
      </c>
      <c r="F3645" t="s">
        <v>812</v>
      </c>
      <c r="G3645" s="9">
        <v>15657.25</v>
      </c>
      <c r="H3645" s="8">
        <v>10205</v>
      </c>
    </row>
    <row r="3646" spans="2:8" ht="17.5" customHeight="1" x14ac:dyDescent="0.4">
      <c r="B3646" t="s">
        <v>7</v>
      </c>
      <c r="C3646" t="s">
        <v>811</v>
      </c>
      <c r="D3646" s="7">
        <f>DATE(2011,10,27)</f>
        <v>40843</v>
      </c>
      <c r="E3646" s="8">
        <f t="shared" si="59"/>
        <v>2011</v>
      </c>
      <c r="F3646" t="s">
        <v>812</v>
      </c>
      <c r="G3646" s="9">
        <v>41210</v>
      </c>
      <c r="H3646" s="8">
        <v>11075</v>
      </c>
    </row>
    <row r="3647" spans="2:8" ht="17.5" customHeight="1" x14ac:dyDescent="0.4">
      <c r="B3647" t="s">
        <v>7</v>
      </c>
      <c r="C3647" t="s">
        <v>811</v>
      </c>
      <c r="D3647" s="7">
        <f>DATE(2011,10,28)</f>
        <v>40844</v>
      </c>
      <c r="E3647" s="8">
        <f t="shared" si="59"/>
        <v>2011</v>
      </c>
      <c r="F3647" t="s">
        <v>812</v>
      </c>
      <c r="G3647" s="9">
        <v>1308.04</v>
      </c>
      <c r="H3647" s="8">
        <v>11081</v>
      </c>
    </row>
    <row r="3648" spans="2:8" ht="17.5" customHeight="1" x14ac:dyDescent="0.4">
      <c r="B3648" t="s">
        <v>7</v>
      </c>
      <c r="C3648" t="s">
        <v>811</v>
      </c>
      <c r="D3648" s="7">
        <f>DATE(2012,5,30)</f>
        <v>41059</v>
      </c>
      <c r="E3648" s="8">
        <f t="shared" si="59"/>
        <v>2012</v>
      </c>
      <c r="F3648" t="s">
        <v>812</v>
      </c>
      <c r="G3648" s="9">
        <v>24225.16</v>
      </c>
      <c r="H3648" s="8">
        <v>11479</v>
      </c>
    </row>
    <row r="3649" spans="2:8" ht="17.5" customHeight="1" x14ac:dyDescent="0.4">
      <c r="B3649" t="s">
        <v>7</v>
      </c>
      <c r="C3649" t="s">
        <v>811</v>
      </c>
      <c r="D3649" s="7">
        <f>DATE(2012,5,31)</f>
        <v>41060</v>
      </c>
      <c r="E3649" s="8">
        <f t="shared" si="59"/>
        <v>2012</v>
      </c>
      <c r="F3649" t="s">
        <v>812</v>
      </c>
      <c r="G3649" s="9">
        <v>1935.7</v>
      </c>
      <c r="H3649" s="8">
        <v>11599</v>
      </c>
    </row>
    <row r="3650" spans="2:8" ht="17.5" customHeight="1" x14ac:dyDescent="0.4">
      <c r="B3650" t="s">
        <v>7</v>
      </c>
      <c r="C3650" t="s">
        <v>811</v>
      </c>
      <c r="D3650" s="7">
        <f>DATE(2012,5,31)</f>
        <v>41060</v>
      </c>
      <c r="E3650" s="8">
        <f t="shared" si="59"/>
        <v>2012</v>
      </c>
      <c r="F3650" t="s">
        <v>812</v>
      </c>
      <c r="G3650" s="9">
        <v>10879</v>
      </c>
      <c r="H3650" s="8">
        <v>11605</v>
      </c>
    </row>
    <row r="3651" spans="2:8" ht="17.5" customHeight="1" x14ac:dyDescent="0.4">
      <c r="B3651" t="s">
        <v>7</v>
      </c>
      <c r="C3651" t="s">
        <v>811</v>
      </c>
      <c r="D3651" s="7">
        <f>DATE(2004,5,18)</f>
        <v>38125</v>
      </c>
      <c r="E3651" s="8">
        <f t="shared" ref="E3651:E3714" si="60">YEAR(D3651)</f>
        <v>2004</v>
      </c>
      <c r="F3651" t="s">
        <v>812</v>
      </c>
      <c r="G3651" s="9">
        <v>16971.2</v>
      </c>
      <c r="H3651" s="8">
        <v>1127</v>
      </c>
    </row>
    <row r="3652" spans="2:8" ht="17.5" customHeight="1" x14ac:dyDescent="0.4">
      <c r="B3652" t="s">
        <v>7</v>
      </c>
      <c r="C3652" t="s">
        <v>811</v>
      </c>
      <c r="D3652" s="7">
        <f>DATE(2005,2,16)</f>
        <v>38399</v>
      </c>
      <c r="E3652" s="8">
        <f t="shared" si="60"/>
        <v>2005</v>
      </c>
      <c r="F3652" t="s">
        <v>812</v>
      </c>
      <c r="G3652" s="9">
        <v>4229.43</v>
      </c>
      <c r="H3652" s="8">
        <v>2771</v>
      </c>
    </row>
    <row r="3653" spans="2:8" ht="17.5" customHeight="1" x14ac:dyDescent="0.4">
      <c r="B3653" t="s">
        <v>7</v>
      </c>
      <c r="C3653" t="s">
        <v>811</v>
      </c>
      <c r="D3653" s="7">
        <f>DATE(2005,2,24)</f>
        <v>38407</v>
      </c>
      <c r="E3653" s="8">
        <f t="shared" si="60"/>
        <v>2005</v>
      </c>
      <c r="F3653" t="s">
        <v>812</v>
      </c>
      <c r="G3653" s="9">
        <v>5183.08</v>
      </c>
      <c r="H3653" s="8">
        <v>2802</v>
      </c>
    </row>
    <row r="3654" spans="2:8" ht="17.5" customHeight="1" x14ac:dyDescent="0.4">
      <c r="B3654" t="s">
        <v>7</v>
      </c>
      <c r="C3654" t="s">
        <v>811</v>
      </c>
      <c r="D3654" s="7">
        <f>DATE(2005,4,13)</f>
        <v>38455</v>
      </c>
      <c r="E3654" s="8">
        <f t="shared" si="60"/>
        <v>2005</v>
      </c>
      <c r="F3654" t="s">
        <v>812</v>
      </c>
      <c r="G3654" s="9">
        <v>11500</v>
      </c>
      <c r="H3654" s="8">
        <v>3031</v>
      </c>
    </row>
    <row r="3655" spans="2:8" ht="17.5" customHeight="1" x14ac:dyDescent="0.4">
      <c r="B3655" t="s">
        <v>7</v>
      </c>
      <c r="C3655" t="s">
        <v>811</v>
      </c>
      <c r="D3655" s="7">
        <f>DATE(2005,4,12)</f>
        <v>38454</v>
      </c>
      <c r="E3655" s="8">
        <f t="shared" si="60"/>
        <v>2005</v>
      </c>
      <c r="F3655" t="s">
        <v>812</v>
      </c>
      <c r="G3655" s="9">
        <v>11100</v>
      </c>
      <c r="H3655" s="8">
        <v>2934</v>
      </c>
    </row>
    <row r="3656" spans="2:8" ht="17.5" customHeight="1" x14ac:dyDescent="0.4">
      <c r="B3656" t="s">
        <v>7</v>
      </c>
      <c r="C3656" t="s">
        <v>811</v>
      </c>
      <c r="D3656" s="7">
        <f>DATE(2005,4,15)</f>
        <v>38457</v>
      </c>
      <c r="E3656" s="8">
        <f t="shared" si="60"/>
        <v>2005</v>
      </c>
      <c r="F3656" t="s">
        <v>812</v>
      </c>
      <c r="G3656" s="9">
        <v>6090.03</v>
      </c>
      <c r="H3656" s="8">
        <v>2935</v>
      </c>
    </row>
    <row r="3657" spans="2:8" ht="17.5" customHeight="1" x14ac:dyDescent="0.4">
      <c r="B3657" t="s">
        <v>7</v>
      </c>
      <c r="C3657" t="s">
        <v>811</v>
      </c>
      <c r="D3657" s="7">
        <f>DATE(2005,4,14)</f>
        <v>38456</v>
      </c>
      <c r="E3657" s="8">
        <f t="shared" si="60"/>
        <v>2005</v>
      </c>
      <c r="F3657" t="s">
        <v>812</v>
      </c>
      <c r="G3657" s="9">
        <v>5800</v>
      </c>
      <c r="H3657" s="8">
        <v>2938</v>
      </c>
    </row>
    <row r="3658" spans="2:8" ht="17.5" customHeight="1" x14ac:dyDescent="0.4">
      <c r="B3658" t="s">
        <v>7</v>
      </c>
      <c r="C3658" t="s">
        <v>811</v>
      </c>
      <c r="D3658" s="7">
        <f>DATE(2005,4,29)</f>
        <v>38471</v>
      </c>
      <c r="E3658" s="8">
        <f t="shared" si="60"/>
        <v>2005</v>
      </c>
      <c r="F3658" t="s">
        <v>812</v>
      </c>
      <c r="G3658" s="9">
        <v>1950</v>
      </c>
      <c r="H3658" s="8">
        <v>3156</v>
      </c>
    </row>
    <row r="3659" spans="2:8" ht="17.5" customHeight="1" x14ac:dyDescent="0.4">
      <c r="B3659" t="s">
        <v>7</v>
      </c>
      <c r="C3659" t="s">
        <v>811</v>
      </c>
      <c r="D3659" s="7">
        <f>DATE(2005,7,10)</f>
        <v>38543</v>
      </c>
      <c r="E3659" s="8">
        <f t="shared" si="60"/>
        <v>2005</v>
      </c>
      <c r="F3659" t="s">
        <v>812</v>
      </c>
      <c r="G3659" s="9">
        <v>3219.94</v>
      </c>
      <c r="H3659" s="8">
        <v>3367</v>
      </c>
    </row>
    <row r="3660" spans="2:8" ht="17.5" customHeight="1" x14ac:dyDescent="0.4">
      <c r="B3660" t="s">
        <v>7</v>
      </c>
      <c r="C3660" t="s">
        <v>811</v>
      </c>
      <c r="D3660" s="7">
        <f>DATE(2005,7,16)</f>
        <v>38549</v>
      </c>
      <c r="E3660" s="8">
        <f t="shared" si="60"/>
        <v>2005</v>
      </c>
      <c r="F3660" t="s">
        <v>812</v>
      </c>
      <c r="G3660" s="9">
        <v>4177.99</v>
      </c>
      <c r="H3660" s="8">
        <v>3379</v>
      </c>
    </row>
    <row r="3661" spans="2:8" ht="17.5" customHeight="1" x14ac:dyDescent="0.4">
      <c r="B3661" t="s">
        <v>7</v>
      </c>
      <c r="C3661" t="s">
        <v>811</v>
      </c>
      <c r="D3661" s="7">
        <f>DATE(2005,12,23)</f>
        <v>38709</v>
      </c>
      <c r="E3661" s="8">
        <f t="shared" si="60"/>
        <v>2005</v>
      </c>
      <c r="F3661" t="s">
        <v>812</v>
      </c>
      <c r="G3661" s="9">
        <v>2671.15</v>
      </c>
      <c r="H3661" s="8">
        <v>3881</v>
      </c>
    </row>
    <row r="3662" spans="2:8" ht="17.5" customHeight="1" x14ac:dyDescent="0.4">
      <c r="B3662" t="s">
        <v>7</v>
      </c>
      <c r="C3662" t="s">
        <v>811</v>
      </c>
      <c r="D3662" s="7">
        <f>DATE(2006,3,16)</f>
        <v>38792</v>
      </c>
      <c r="E3662" s="8">
        <f t="shared" si="60"/>
        <v>2006</v>
      </c>
      <c r="F3662" t="s">
        <v>812</v>
      </c>
      <c r="G3662" s="9">
        <v>3386</v>
      </c>
      <c r="H3662" s="8">
        <v>4344</v>
      </c>
    </row>
    <row r="3663" spans="2:8" ht="17.5" customHeight="1" x14ac:dyDescent="0.4">
      <c r="B3663" t="s">
        <v>7</v>
      </c>
      <c r="C3663" t="s">
        <v>811</v>
      </c>
      <c r="D3663" s="7">
        <f>DATE(2006,5,23)</f>
        <v>38860</v>
      </c>
      <c r="E3663" s="8">
        <f t="shared" si="60"/>
        <v>2006</v>
      </c>
      <c r="F3663" t="s">
        <v>812</v>
      </c>
      <c r="G3663" s="9">
        <v>58400</v>
      </c>
      <c r="H3663" s="8">
        <v>4160</v>
      </c>
    </row>
    <row r="3664" spans="2:8" ht="17.5" customHeight="1" x14ac:dyDescent="0.4">
      <c r="B3664" t="s">
        <v>7</v>
      </c>
      <c r="C3664" t="s">
        <v>811</v>
      </c>
      <c r="D3664" s="7">
        <f>DATE(2006,5,23)</f>
        <v>38860</v>
      </c>
      <c r="E3664" s="8">
        <f t="shared" si="60"/>
        <v>2006</v>
      </c>
      <c r="F3664" t="s">
        <v>812</v>
      </c>
      <c r="G3664" s="9">
        <v>9360</v>
      </c>
      <c r="H3664" s="8">
        <v>4159</v>
      </c>
    </row>
    <row r="3665" spans="2:8" ht="17.5" customHeight="1" x14ac:dyDescent="0.4">
      <c r="B3665" t="s">
        <v>7</v>
      </c>
      <c r="C3665" t="s">
        <v>811</v>
      </c>
      <c r="D3665" s="7">
        <f>DATE(2006,5,10)</f>
        <v>38847</v>
      </c>
      <c r="E3665" s="8">
        <f t="shared" si="60"/>
        <v>2006</v>
      </c>
      <c r="F3665" t="s">
        <v>812</v>
      </c>
      <c r="G3665" s="9">
        <v>11100</v>
      </c>
      <c r="H3665" s="8">
        <v>4575</v>
      </c>
    </row>
    <row r="3666" spans="2:8" ht="17.5" customHeight="1" x14ac:dyDescent="0.4">
      <c r="B3666" t="s">
        <v>7</v>
      </c>
      <c r="C3666" t="s">
        <v>811</v>
      </c>
      <c r="D3666" s="7">
        <f>DATE(2006,5,28)</f>
        <v>38865</v>
      </c>
      <c r="E3666" s="8">
        <f t="shared" si="60"/>
        <v>2006</v>
      </c>
      <c r="F3666" t="s">
        <v>812</v>
      </c>
      <c r="G3666" s="9">
        <v>15000</v>
      </c>
      <c r="H3666" s="8">
        <v>4643</v>
      </c>
    </row>
    <row r="3667" spans="2:8" ht="17.5" customHeight="1" x14ac:dyDescent="0.4">
      <c r="B3667" t="s">
        <v>7</v>
      </c>
      <c r="C3667" t="s">
        <v>811</v>
      </c>
      <c r="D3667" s="7">
        <f>DATE(2006,5,24)</f>
        <v>38861</v>
      </c>
      <c r="E3667" s="8">
        <f t="shared" si="60"/>
        <v>2006</v>
      </c>
      <c r="F3667" t="s">
        <v>812</v>
      </c>
      <c r="G3667" s="9">
        <v>38000</v>
      </c>
      <c r="H3667" s="8">
        <v>4188</v>
      </c>
    </row>
    <row r="3668" spans="2:8" ht="17.5" customHeight="1" x14ac:dyDescent="0.4">
      <c r="B3668" t="s">
        <v>7</v>
      </c>
      <c r="C3668" t="s">
        <v>811</v>
      </c>
      <c r="D3668" s="7">
        <f>DATE(2006,11,1)</f>
        <v>39022</v>
      </c>
      <c r="E3668" s="8">
        <f t="shared" si="60"/>
        <v>2006</v>
      </c>
      <c r="F3668" t="s">
        <v>812</v>
      </c>
      <c r="G3668" s="9">
        <v>3375.83</v>
      </c>
      <c r="H3668" s="8">
        <v>5100</v>
      </c>
    </row>
    <row r="3669" spans="2:8" ht="17.5" customHeight="1" x14ac:dyDescent="0.4">
      <c r="B3669" t="s">
        <v>7</v>
      </c>
      <c r="C3669" t="s">
        <v>811</v>
      </c>
      <c r="D3669" s="7">
        <f>DATE(2006,11,20)</f>
        <v>39041</v>
      </c>
      <c r="E3669" s="8">
        <f t="shared" si="60"/>
        <v>2006</v>
      </c>
      <c r="F3669" t="s">
        <v>812</v>
      </c>
      <c r="G3669" s="9">
        <v>1875.38</v>
      </c>
      <c r="H3669" s="8">
        <v>5197</v>
      </c>
    </row>
    <row r="3670" spans="2:8" ht="17.5" customHeight="1" x14ac:dyDescent="0.4">
      <c r="B3670" t="s">
        <v>7</v>
      </c>
      <c r="C3670" t="s">
        <v>811</v>
      </c>
      <c r="D3670" s="7">
        <f>DATE(2006,11,30)</f>
        <v>39051</v>
      </c>
      <c r="E3670" s="8">
        <f t="shared" si="60"/>
        <v>2006</v>
      </c>
      <c r="F3670" t="s">
        <v>812</v>
      </c>
      <c r="G3670" s="9">
        <v>1557.85</v>
      </c>
      <c r="H3670" s="8">
        <v>5224</v>
      </c>
    </row>
    <row r="3671" spans="2:8" ht="17.5" customHeight="1" x14ac:dyDescent="0.4">
      <c r="B3671" t="s">
        <v>7</v>
      </c>
      <c r="C3671" t="s">
        <v>811</v>
      </c>
      <c r="D3671" s="7">
        <f>DATE(2007,5,1)</f>
        <v>39203</v>
      </c>
      <c r="E3671" s="8">
        <f t="shared" si="60"/>
        <v>2007</v>
      </c>
      <c r="F3671" t="s">
        <v>812</v>
      </c>
      <c r="G3671" s="9">
        <v>11500</v>
      </c>
      <c r="H3671" s="8">
        <v>5876</v>
      </c>
    </row>
    <row r="3672" spans="2:8" ht="17.5" customHeight="1" x14ac:dyDescent="0.4">
      <c r="B3672" t="s">
        <v>7</v>
      </c>
      <c r="C3672" t="s">
        <v>811</v>
      </c>
      <c r="D3672" s="7">
        <f>DATE(2007,5,1)</f>
        <v>39203</v>
      </c>
      <c r="E3672" s="8">
        <f t="shared" si="60"/>
        <v>2007</v>
      </c>
      <c r="F3672" t="s">
        <v>812</v>
      </c>
      <c r="G3672" s="9">
        <v>11400</v>
      </c>
      <c r="H3672" s="8">
        <v>5877</v>
      </c>
    </row>
    <row r="3673" spans="2:8" ht="17.5" customHeight="1" x14ac:dyDescent="0.4">
      <c r="B3673" t="s">
        <v>7</v>
      </c>
      <c r="C3673" t="s">
        <v>811</v>
      </c>
      <c r="D3673" s="7">
        <f>DATE(2007,5,14)</f>
        <v>39216</v>
      </c>
      <c r="E3673" s="8">
        <f t="shared" si="60"/>
        <v>2007</v>
      </c>
      <c r="F3673" t="s">
        <v>812</v>
      </c>
      <c r="G3673" s="9">
        <v>2500</v>
      </c>
      <c r="H3673" s="8">
        <v>5986</v>
      </c>
    </row>
    <row r="3674" spans="2:8" ht="17.5" customHeight="1" x14ac:dyDescent="0.4">
      <c r="B3674" t="s">
        <v>7</v>
      </c>
      <c r="C3674" t="s">
        <v>811</v>
      </c>
      <c r="D3674" s="7">
        <f>DATE(2007,6,1)</f>
        <v>39234</v>
      </c>
      <c r="E3674" s="8">
        <f t="shared" si="60"/>
        <v>2007</v>
      </c>
      <c r="F3674" t="s">
        <v>812</v>
      </c>
      <c r="G3674" s="9">
        <v>5681.8</v>
      </c>
      <c r="H3674" s="8">
        <v>6008</v>
      </c>
    </row>
    <row r="3675" spans="2:8" ht="17.5" customHeight="1" x14ac:dyDescent="0.4">
      <c r="B3675" t="s">
        <v>7</v>
      </c>
      <c r="C3675" t="s">
        <v>811</v>
      </c>
      <c r="D3675" s="7">
        <f>DATE(2007,6,1)</f>
        <v>39234</v>
      </c>
      <c r="E3675" s="8">
        <f t="shared" si="60"/>
        <v>2007</v>
      </c>
      <c r="F3675" t="s">
        <v>812</v>
      </c>
      <c r="G3675" s="9">
        <v>908.33</v>
      </c>
      <c r="H3675" s="8">
        <v>6033</v>
      </c>
    </row>
    <row r="3676" spans="2:8" ht="17.5" customHeight="1" x14ac:dyDescent="0.4">
      <c r="B3676" t="s">
        <v>7</v>
      </c>
      <c r="C3676" t="s">
        <v>811</v>
      </c>
      <c r="D3676" s="7">
        <f>DATE(2008,5,11)</f>
        <v>39579</v>
      </c>
      <c r="E3676" s="8">
        <f t="shared" si="60"/>
        <v>2008</v>
      </c>
      <c r="F3676" t="s">
        <v>812</v>
      </c>
      <c r="G3676" s="9">
        <v>8000</v>
      </c>
      <c r="H3676" s="8">
        <v>7319</v>
      </c>
    </row>
    <row r="3677" spans="2:8" ht="17.5" customHeight="1" x14ac:dyDescent="0.4">
      <c r="B3677" t="s">
        <v>7</v>
      </c>
      <c r="C3677" t="s">
        <v>811</v>
      </c>
      <c r="D3677" s="7">
        <f>DATE(2008,7,1)</f>
        <v>39630</v>
      </c>
      <c r="E3677" s="8">
        <f t="shared" si="60"/>
        <v>2008</v>
      </c>
      <c r="F3677" t="s">
        <v>812</v>
      </c>
      <c r="G3677" s="9">
        <v>7330.81</v>
      </c>
      <c r="H3677" s="8">
        <v>7302</v>
      </c>
    </row>
    <row r="3678" spans="2:8" ht="17.5" customHeight="1" x14ac:dyDescent="0.4">
      <c r="B3678" t="s">
        <v>7</v>
      </c>
      <c r="C3678" t="s">
        <v>811</v>
      </c>
      <c r="D3678" s="7">
        <f>DATE(2008,10,3)</f>
        <v>39724</v>
      </c>
      <c r="E3678" s="8">
        <f t="shared" si="60"/>
        <v>2008</v>
      </c>
      <c r="F3678" t="s">
        <v>812</v>
      </c>
      <c r="G3678" s="9">
        <v>5589.35</v>
      </c>
      <c r="H3678" s="8">
        <v>7894</v>
      </c>
    </row>
    <row r="3679" spans="2:8" ht="17.5" customHeight="1" x14ac:dyDescent="0.4">
      <c r="B3679" t="s">
        <v>7</v>
      </c>
      <c r="C3679" t="s">
        <v>811</v>
      </c>
      <c r="D3679" s="7">
        <f>DATE(2008,10,15)</f>
        <v>39736</v>
      </c>
      <c r="E3679" s="8">
        <f t="shared" si="60"/>
        <v>2008</v>
      </c>
      <c r="F3679" t="s">
        <v>812</v>
      </c>
      <c r="G3679" s="9">
        <v>4781.2299999999996</v>
      </c>
      <c r="H3679" s="8">
        <v>7947</v>
      </c>
    </row>
    <row r="3680" spans="2:8" ht="17.5" customHeight="1" x14ac:dyDescent="0.4">
      <c r="B3680" t="s">
        <v>7</v>
      </c>
      <c r="C3680" t="s">
        <v>811</v>
      </c>
      <c r="D3680" s="7">
        <f>DATE(2008,10,30)</f>
        <v>39751</v>
      </c>
      <c r="E3680" s="8">
        <f t="shared" si="60"/>
        <v>2008</v>
      </c>
      <c r="F3680" t="s">
        <v>812</v>
      </c>
      <c r="G3680" s="9">
        <v>4652.6899999999996</v>
      </c>
      <c r="H3680" s="8">
        <v>7984</v>
      </c>
    </row>
    <row r="3681" spans="2:8" ht="17.5" customHeight="1" x14ac:dyDescent="0.4">
      <c r="B3681" t="s">
        <v>7</v>
      </c>
      <c r="C3681" t="s">
        <v>811</v>
      </c>
      <c r="D3681" s="7">
        <f>DATE(2009,1,28)</f>
        <v>39841</v>
      </c>
      <c r="E3681" s="8">
        <f t="shared" si="60"/>
        <v>2009</v>
      </c>
      <c r="F3681" t="s">
        <v>812</v>
      </c>
      <c r="G3681" s="9">
        <v>3136.43</v>
      </c>
      <c r="H3681" s="8">
        <v>8263</v>
      </c>
    </row>
    <row r="3682" spans="2:8" ht="17.5" customHeight="1" x14ac:dyDescent="0.4">
      <c r="B3682" t="s">
        <v>7</v>
      </c>
      <c r="C3682" t="s">
        <v>811</v>
      </c>
      <c r="D3682" s="7">
        <f>DATE(2009,1,28)</f>
        <v>39841</v>
      </c>
      <c r="E3682" s="8">
        <f t="shared" si="60"/>
        <v>2009</v>
      </c>
      <c r="F3682" t="s">
        <v>812</v>
      </c>
      <c r="G3682" s="9">
        <v>2865.85</v>
      </c>
      <c r="H3682" s="8">
        <v>8291</v>
      </c>
    </row>
    <row r="3683" spans="2:8" ht="17.5" customHeight="1" x14ac:dyDescent="0.4">
      <c r="B3683" t="s">
        <v>7</v>
      </c>
      <c r="C3683" t="s">
        <v>811</v>
      </c>
      <c r="D3683" s="7">
        <f>DATE(2009,7,8)</f>
        <v>40002</v>
      </c>
      <c r="E3683" s="8">
        <f t="shared" si="60"/>
        <v>2009</v>
      </c>
      <c r="F3683" t="s">
        <v>812</v>
      </c>
      <c r="G3683" s="9">
        <v>2345</v>
      </c>
      <c r="H3683" s="8">
        <v>8679</v>
      </c>
    </row>
    <row r="3684" spans="2:8" ht="17.5" customHeight="1" x14ac:dyDescent="0.4">
      <c r="B3684" t="s">
        <v>7</v>
      </c>
      <c r="C3684" t="s">
        <v>811</v>
      </c>
      <c r="D3684" s="7">
        <f>DATE(2009,7,8)</f>
        <v>40002</v>
      </c>
      <c r="E3684" s="8">
        <f t="shared" si="60"/>
        <v>2009</v>
      </c>
      <c r="F3684" t="s">
        <v>812</v>
      </c>
      <c r="G3684" s="9">
        <v>15000</v>
      </c>
      <c r="H3684" s="8">
        <v>8606</v>
      </c>
    </row>
    <row r="3685" spans="2:8" ht="17.5" customHeight="1" x14ac:dyDescent="0.4">
      <c r="B3685" t="s">
        <v>7</v>
      </c>
      <c r="C3685" t="s">
        <v>811</v>
      </c>
      <c r="D3685" s="7">
        <f>DATE(2009,10,23)</f>
        <v>40109</v>
      </c>
      <c r="E3685" s="8">
        <f t="shared" si="60"/>
        <v>2009</v>
      </c>
      <c r="F3685" t="s">
        <v>812</v>
      </c>
      <c r="G3685" s="9">
        <v>1523.05</v>
      </c>
      <c r="H3685" s="8">
        <v>9174</v>
      </c>
    </row>
    <row r="3686" spans="2:8" ht="17.5" customHeight="1" x14ac:dyDescent="0.4">
      <c r="B3686" t="s">
        <v>7</v>
      </c>
      <c r="C3686" t="s">
        <v>811</v>
      </c>
      <c r="D3686" s="7">
        <f>DATE(2010,5,18)</f>
        <v>40316</v>
      </c>
      <c r="E3686" s="8">
        <f t="shared" si="60"/>
        <v>2010</v>
      </c>
      <c r="F3686" t="s">
        <v>812</v>
      </c>
      <c r="G3686" s="9">
        <v>22400</v>
      </c>
      <c r="H3686" s="8">
        <v>9599</v>
      </c>
    </row>
    <row r="3687" spans="2:8" ht="17.5" customHeight="1" x14ac:dyDescent="0.4">
      <c r="B3687" t="s">
        <v>7</v>
      </c>
      <c r="C3687" t="s">
        <v>811</v>
      </c>
      <c r="D3687" s="7">
        <f>DATE(2010,10,29)</f>
        <v>40480</v>
      </c>
      <c r="E3687" s="8">
        <f t="shared" si="60"/>
        <v>2010</v>
      </c>
      <c r="F3687" t="s">
        <v>812</v>
      </c>
      <c r="G3687" s="9">
        <v>13180</v>
      </c>
      <c r="H3687" s="8">
        <v>10208</v>
      </c>
    </row>
    <row r="3688" spans="2:8" ht="17.5" customHeight="1" x14ac:dyDescent="0.4">
      <c r="B3688" t="s">
        <v>7</v>
      </c>
      <c r="C3688" t="s">
        <v>811</v>
      </c>
      <c r="D3688" s="7">
        <f>DATE(2010,11,29)</f>
        <v>40511</v>
      </c>
      <c r="E3688" s="8">
        <f t="shared" si="60"/>
        <v>2010</v>
      </c>
      <c r="F3688" t="s">
        <v>812</v>
      </c>
      <c r="G3688" s="9">
        <v>2675</v>
      </c>
      <c r="H3688" s="8">
        <v>10255</v>
      </c>
    </row>
    <row r="3689" spans="2:8" ht="17.5" customHeight="1" x14ac:dyDescent="0.4">
      <c r="B3689" t="s">
        <v>7</v>
      </c>
      <c r="C3689" t="s">
        <v>811</v>
      </c>
      <c r="D3689" s="7">
        <f>DATE(2011,10,17)</f>
        <v>40833</v>
      </c>
      <c r="E3689" s="8">
        <f t="shared" si="60"/>
        <v>2011</v>
      </c>
      <c r="F3689" t="s">
        <v>812</v>
      </c>
      <c r="G3689" s="9">
        <v>14753</v>
      </c>
      <c r="H3689" s="8">
        <v>11074</v>
      </c>
    </row>
    <row r="3690" spans="2:8" ht="17.5" customHeight="1" x14ac:dyDescent="0.4">
      <c r="B3690" t="s">
        <v>7</v>
      </c>
      <c r="C3690" t="s">
        <v>811</v>
      </c>
      <c r="D3690" s="7">
        <f>DATE(2011,11,16)</f>
        <v>40863</v>
      </c>
      <c r="E3690" s="8">
        <f t="shared" si="60"/>
        <v>2011</v>
      </c>
      <c r="F3690" t="s">
        <v>812</v>
      </c>
      <c r="G3690" s="9">
        <v>3667.4</v>
      </c>
      <c r="H3690" s="8">
        <v>11102</v>
      </c>
    </row>
    <row r="3691" spans="2:8" ht="17.5" customHeight="1" x14ac:dyDescent="0.4">
      <c r="B3691" t="s">
        <v>7</v>
      </c>
      <c r="C3691" t="s">
        <v>811</v>
      </c>
      <c r="D3691" s="7">
        <f>DATE(2012,5,2)</f>
        <v>41031</v>
      </c>
      <c r="E3691" s="8">
        <f t="shared" si="60"/>
        <v>2012</v>
      </c>
      <c r="F3691" t="s">
        <v>812</v>
      </c>
      <c r="G3691" s="9">
        <v>2208.1999999999998</v>
      </c>
      <c r="H3691" s="8">
        <v>11422</v>
      </c>
    </row>
    <row r="3692" spans="2:8" ht="17.5" customHeight="1" x14ac:dyDescent="0.4">
      <c r="B3692" t="s">
        <v>7</v>
      </c>
      <c r="C3692" t="s">
        <v>811</v>
      </c>
      <c r="D3692" s="7">
        <f>DATE(2012,4,24)</f>
        <v>41023</v>
      </c>
      <c r="E3692" s="8">
        <f t="shared" si="60"/>
        <v>2012</v>
      </c>
      <c r="F3692" t="s">
        <v>812</v>
      </c>
      <c r="G3692" s="9">
        <v>13735</v>
      </c>
      <c r="H3692" s="8">
        <v>11423</v>
      </c>
    </row>
    <row r="3693" spans="2:8" ht="17.5" customHeight="1" x14ac:dyDescent="0.4">
      <c r="B3693" t="s">
        <v>7</v>
      </c>
      <c r="C3693" t="s">
        <v>811</v>
      </c>
      <c r="D3693" s="7">
        <f>DATE(2012,5,30)</f>
        <v>41059</v>
      </c>
      <c r="E3693" s="8">
        <f t="shared" si="60"/>
        <v>2012</v>
      </c>
      <c r="F3693" t="s">
        <v>812</v>
      </c>
      <c r="G3693" s="9">
        <v>16100</v>
      </c>
      <c r="H3693" s="8">
        <v>11481</v>
      </c>
    </row>
    <row r="3694" spans="2:8" ht="17.5" customHeight="1" x14ac:dyDescent="0.4">
      <c r="B3694" t="s">
        <v>7</v>
      </c>
      <c r="C3694" t="s">
        <v>811</v>
      </c>
      <c r="D3694" s="7">
        <f>DATE(2012,4,13)</f>
        <v>41012</v>
      </c>
      <c r="E3694" s="8">
        <f t="shared" si="60"/>
        <v>2012</v>
      </c>
      <c r="F3694" t="s">
        <v>812</v>
      </c>
      <c r="G3694" s="9">
        <v>2000</v>
      </c>
      <c r="H3694" s="8">
        <v>11565</v>
      </c>
    </row>
    <row r="3695" spans="2:8" ht="17.5" customHeight="1" x14ac:dyDescent="0.4">
      <c r="B3695" t="s">
        <v>7</v>
      </c>
      <c r="C3695" t="s">
        <v>811</v>
      </c>
      <c r="D3695" s="7">
        <f>DATE(2012,5,31)</f>
        <v>41060</v>
      </c>
      <c r="E3695" s="8">
        <f t="shared" si="60"/>
        <v>2012</v>
      </c>
      <c r="F3695" t="s">
        <v>812</v>
      </c>
      <c r="G3695" s="9">
        <v>943.2</v>
      </c>
      <c r="H3695" s="8">
        <v>11540</v>
      </c>
    </row>
    <row r="3696" spans="2:8" ht="17.5" customHeight="1" x14ac:dyDescent="0.4">
      <c r="B3696" t="s">
        <v>7</v>
      </c>
      <c r="C3696" t="s">
        <v>811</v>
      </c>
      <c r="D3696" s="7">
        <f>DATE(2013,5,24)</f>
        <v>41418</v>
      </c>
      <c r="E3696" s="8">
        <f t="shared" si="60"/>
        <v>2013</v>
      </c>
      <c r="F3696" t="s">
        <v>812</v>
      </c>
      <c r="G3696" s="9">
        <v>5232.54</v>
      </c>
      <c r="H3696" s="8">
        <v>12468</v>
      </c>
    </row>
    <row r="3697" spans="2:8" ht="17.5" customHeight="1" x14ac:dyDescent="0.4">
      <c r="B3697" t="s">
        <v>7</v>
      </c>
      <c r="C3697" t="s">
        <v>811</v>
      </c>
      <c r="D3697" s="7">
        <f>DATE(2013,10,16)</f>
        <v>41563</v>
      </c>
      <c r="E3697" s="8">
        <f t="shared" si="60"/>
        <v>2013</v>
      </c>
      <c r="F3697" t="s">
        <v>812</v>
      </c>
      <c r="G3697" s="9">
        <v>14500</v>
      </c>
      <c r="H3697" s="8">
        <v>12586</v>
      </c>
    </row>
    <row r="3698" spans="2:8" ht="17.5" customHeight="1" x14ac:dyDescent="0.4">
      <c r="B3698" t="s">
        <v>7</v>
      </c>
      <c r="C3698" t="s">
        <v>811</v>
      </c>
      <c r="D3698" s="7">
        <f>DATE(2013,11,5)</f>
        <v>41583</v>
      </c>
      <c r="E3698" s="8">
        <f t="shared" si="60"/>
        <v>2013</v>
      </c>
      <c r="F3698" t="s">
        <v>812</v>
      </c>
      <c r="G3698" s="9">
        <v>629.6</v>
      </c>
      <c r="H3698" s="8">
        <v>12762</v>
      </c>
    </row>
    <row r="3699" spans="2:8" ht="17.5" customHeight="1" x14ac:dyDescent="0.4">
      <c r="B3699" t="s">
        <v>7</v>
      </c>
      <c r="C3699" t="s">
        <v>811</v>
      </c>
      <c r="D3699" s="7">
        <f>DATE(2014,2,17)</f>
        <v>41687</v>
      </c>
      <c r="E3699" s="8">
        <f t="shared" si="60"/>
        <v>2014</v>
      </c>
      <c r="F3699" t="s">
        <v>812</v>
      </c>
      <c r="G3699" s="9">
        <v>5741</v>
      </c>
      <c r="H3699" s="8">
        <v>12872</v>
      </c>
    </row>
    <row r="3700" spans="2:8" ht="17.5" customHeight="1" x14ac:dyDescent="0.4">
      <c r="B3700" t="s">
        <v>7</v>
      </c>
      <c r="C3700" t="s">
        <v>811</v>
      </c>
      <c r="D3700" s="7">
        <f>DATE(2014,5,21)</f>
        <v>41780</v>
      </c>
      <c r="E3700" s="8">
        <f t="shared" si="60"/>
        <v>2014</v>
      </c>
      <c r="F3700" t="s">
        <v>812</v>
      </c>
      <c r="G3700" s="9">
        <v>21520.799999999999</v>
      </c>
      <c r="H3700" s="8">
        <v>13037</v>
      </c>
    </row>
    <row r="3701" spans="2:8" ht="17.5" customHeight="1" x14ac:dyDescent="0.4">
      <c r="B3701" t="s">
        <v>7</v>
      </c>
      <c r="C3701" t="s">
        <v>811</v>
      </c>
      <c r="D3701" s="7">
        <f>DATE(2014,5,21)</f>
        <v>41780</v>
      </c>
      <c r="E3701" s="8">
        <f t="shared" si="60"/>
        <v>2014</v>
      </c>
      <c r="F3701" t="s">
        <v>812</v>
      </c>
      <c r="G3701" s="9">
        <v>526.79999999999995</v>
      </c>
      <c r="H3701" s="8">
        <v>13217</v>
      </c>
    </row>
    <row r="3702" spans="2:8" ht="17.5" customHeight="1" x14ac:dyDescent="0.4">
      <c r="B3702" t="s">
        <v>7</v>
      </c>
      <c r="C3702" t="s">
        <v>811</v>
      </c>
      <c r="D3702" s="7">
        <f>DATE(2010,5,13)</f>
        <v>40311</v>
      </c>
      <c r="E3702" s="8">
        <f t="shared" si="60"/>
        <v>2010</v>
      </c>
      <c r="F3702" t="s">
        <v>812</v>
      </c>
      <c r="G3702" s="9">
        <v>3772.78</v>
      </c>
      <c r="H3702" s="8">
        <v>9778</v>
      </c>
    </row>
    <row r="3703" spans="2:8" ht="17.5" customHeight="1" x14ac:dyDescent="0.4">
      <c r="B3703" t="s">
        <v>7</v>
      </c>
      <c r="C3703" t="s">
        <v>811</v>
      </c>
      <c r="D3703" s="7">
        <f>DATE(2011,3,23)</f>
        <v>40625</v>
      </c>
      <c r="E3703" s="8">
        <f t="shared" si="60"/>
        <v>2011</v>
      </c>
      <c r="F3703" t="s">
        <v>812</v>
      </c>
      <c r="G3703" s="9">
        <v>5102.6499999999996</v>
      </c>
      <c r="H3703" s="8">
        <v>10556</v>
      </c>
    </row>
    <row r="3704" spans="2:8" ht="17.5" customHeight="1" x14ac:dyDescent="0.4">
      <c r="B3704" t="s">
        <v>7</v>
      </c>
      <c r="C3704" t="s">
        <v>811</v>
      </c>
      <c r="D3704" s="7">
        <f>DATE(2011,3,23)</f>
        <v>40625</v>
      </c>
      <c r="E3704" s="8">
        <f t="shared" si="60"/>
        <v>2011</v>
      </c>
      <c r="F3704" t="s">
        <v>812</v>
      </c>
      <c r="G3704" s="9">
        <v>7077.29</v>
      </c>
      <c r="H3704" s="8">
        <v>10482</v>
      </c>
    </row>
    <row r="3705" spans="2:8" ht="17.5" customHeight="1" x14ac:dyDescent="0.4">
      <c r="B3705" t="s">
        <v>7</v>
      </c>
      <c r="C3705" t="s">
        <v>811</v>
      </c>
      <c r="D3705" s="7">
        <f>DATE(2012,2,21)</f>
        <v>40960</v>
      </c>
      <c r="E3705" s="8">
        <f t="shared" si="60"/>
        <v>2012</v>
      </c>
      <c r="F3705" t="s">
        <v>812</v>
      </c>
      <c r="G3705" s="9">
        <v>5425.17</v>
      </c>
      <c r="H3705" s="8">
        <v>11229</v>
      </c>
    </row>
    <row r="3706" spans="2:8" ht="17.5" customHeight="1" x14ac:dyDescent="0.4">
      <c r="B3706" t="s">
        <v>7</v>
      </c>
      <c r="C3706" t="s">
        <v>811</v>
      </c>
      <c r="D3706" s="7">
        <f>DATE(2013,2,20)</f>
        <v>41325</v>
      </c>
      <c r="E3706" s="8">
        <f t="shared" si="60"/>
        <v>2013</v>
      </c>
      <c r="F3706" t="s">
        <v>812</v>
      </c>
      <c r="G3706" s="9">
        <v>3322.75</v>
      </c>
      <c r="H3706" s="8">
        <v>12198</v>
      </c>
    </row>
    <row r="3707" spans="2:8" ht="17.5" customHeight="1" x14ac:dyDescent="0.4">
      <c r="B3707" t="s">
        <v>7</v>
      </c>
      <c r="C3707" t="s">
        <v>811</v>
      </c>
      <c r="D3707" s="7">
        <f>DATE(2013,3,21)</f>
        <v>41354</v>
      </c>
      <c r="E3707" s="8">
        <f t="shared" si="60"/>
        <v>2013</v>
      </c>
      <c r="F3707" t="s">
        <v>812</v>
      </c>
      <c r="G3707" s="9">
        <v>7797.17</v>
      </c>
      <c r="H3707" s="8">
        <v>12283</v>
      </c>
    </row>
    <row r="3708" spans="2:8" ht="17.5" customHeight="1" x14ac:dyDescent="0.4">
      <c r="B3708" s="3" t="s">
        <v>7</v>
      </c>
      <c r="C3708" s="3" t="s">
        <v>811</v>
      </c>
      <c r="D3708" s="4">
        <f>DATE(2007,9,27)</f>
        <v>39352</v>
      </c>
      <c r="E3708" s="5">
        <f t="shared" si="60"/>
        <v>2007</v>
      </c>
      <c r="F3708" s="3" t="s">
        <v>812</v>
      </c>
      <c r="G3708" s="6">
        <v>261.5</v>
      </c>
      <c r="H3708" s="5">
        <v>9250</v>
      </c>
    </row>
    <row r="3709" spans="2:8" ht="17.5" customHeight="1" x14ac:dyDescent="0.4">
      <c r="B3709" s="3" t="s">
        <v>7</v>
      </c>
      <c r="C3709" s="3" t="s">
        <v>811</v>
      </c>
      <c r="D3709" s="4">
        <f>DATE(2008,5,11)</f>
        <v>39579</v>
      </c>
      <c r="E3709" s="5">
        <f t="shared" si="60"/>
        <v>2008</v>
      </c>
      <c r="F3709" s="3" t="s">
        <v>812</v>
      </c>
      <c r="G3709" s="6">
        <v>6007.5</v>
      </c>
      <c r="H3709" s="5">
        <v>10437</v>
      </c>
    </row>
    <row r="3710" spans="2:8" ht="17.5" customHeight="1" x14ac:dyDescent="0.4">
      <c r="B3710" s="3" t="s">
        <v>7</v>
      </c>
      <c r="C3710" s="3" t="s">
        <v>811</v>
      </c>
      <c r="D3710" s="4">
        <f>DATE(2009,7,15)</f>
        <v>40009</v>
      </c>
      <c r="E3710" s="5">
        <f t="shared" si="60"/>
        <v>2009</v>
      </c>
      <c r="F3710" s="3" t="s">
        <v>812</v>
      </c>
      <c r="G3710" s="6">
        <v>6880</v>
      </c>
      <c r="H3710" s="5">
        <v>12378</v>
      </c>
    </row>
    <row r="3711" spans="2:8" ht="17.5" customHeight="1" x14ac:dyDescent="0.4">
      <c r="B3711" s="3" t="s">
        <v>7</v>
      </c>
      <c r="C3711" s="3" t="s">
        <v>811</v>
      </c>
      <c r="D3711" s="4">
        <f>DATE(2010,5,14)</f>
        <v>40312</v>
      </c>
      <c r="E3711" s="5">
        <f t="shared" si="60"/>
        <v>2010</v>
      </c>
      <c r="F3711" s="3" t="s">
        <v>812</v>
      </c>
      <c r="G3711" s="6">
        <v>5340</v>
      </c>
      <c r="H3711" s="5">
        <v>13868</v>
      </c>
    </row>
    <row r="3712" spans="2:8" ht="17.5" customHeight="1" x14ac:dyDescent="0.4">
      <c r="B3712" s="3" t="s">
        <v>7</v>
      </c>
      <c r="C3712" s="3" t="s">
        <v>811</v>
      </c>
      <c r="D3712" s="4">
        <f>DATE(2010,6,7)</f>
        <v>40336</v>
      </c>
      <c r="E3712" s="5">
        <f t="shared" si="60"/>
        <v>2010</v>
      </c>
      <c r="F3712" s="3" t="s">
        <v>812</v>
      </c>
      <c r="G3712" s="6">
        <v>491</v>
      </c>
      <c r="H3712" s="5">
        <v>14156</v>
      </c>
    </row>
    <row r="3713" spans="2:8" ht="17.5" customHeight="1" x14ac:dyDescent="0.4">
      <c r="B3713" t="s">
        <v>7</v>
      </c>
      <c r="C3713" t="s">
        <v>813</v>
      </c>
      <c r="D3713" s="7">
        <f>DATE(2017,10,25)</f>
        <v>43033</v>
      </c>
      <c r="E3713" s="8">
        <f t="shared" si="60"/>
        <v>2017</v>
      </c>
      <c r="F3713" t="s">
        <v>814</v>
      </c>
      <c r="G3713" s="9">
        <v>42388.68</v>
      </c>
      <c r="H3713" s="8">
        <v>25588</v>
      </c>
    </row>
    <row r="3714" spans="2:8" ht="17.5" customHeight="1" x14ac:dyDescent="0.4">
      <c r="B3714" t="s">
        <v>7</v>
      </c>
      <c r="C3714" t="s">
        <v>813</v>
      </c>
      <c r="D3714" s="7">
        <f>DATE(2018,3,1)</f>
        <v>43160</v>
      </c>
      <c r="E3714" s="8">
        <f t="shared" si="60"/>
        <v>2018</v>
      </c>
      <c r="F3714" t="s">
        <v>814</v>
      </c>
      <c r="G3714" s="9">
        <v>134666.06</v>
      </c>
      <c r="H3714" s="8">
        <v>26340</v>
      </c>
    </row>
    <row r="3715" spans="2:8" ht="17.5" customHeight="1" x14ac:dyDescent="0.4">
      <c r="B3715" t="s">
        <v>7</v>
      </c>
      <c r="C3715" t="s">
        <v>813</v>
      </c>
      <c r="D3715" s="7">
        <f>DATE(2018,5,17)</f>
        <v>43237</v>
      </c>
      <c r="E3715" s="8">
        <f t="shared" ref="E3715:E3778" si="61">YEAR(D3715)</f>
        <v>2018</v>
      </c>
      <c r="F3715" t="s">
        <v>814</v>
      </c>
      <c r="G3715" s="9">
        <v>185210.59</v>
      </c>
      <c r="H3715" s="8">
        <v>27077</v>
      </c>
    </row>
    <row r="3716" spans="2:8" ht="17.5" customHeight="1" x14ac:dyDescent="0.4">
      <c r="B3716" t="s">
        <v>7</v>
      </c>
      <c r="C3716" t="s">
        <v>813</v>
      </c>
      <c r="D3716" s="7">
        <f>DATE(2018,10,23)</f>
        <v>43396</v>
      </c>
      <c r="E3716" s="8">
        <f t="shared" si="61"/>
        <v>2018</v>
      </c>
      <c r="F3716" t="s">
        <v>814</v>
      </c>
      <c r="G3716" s="9">
        <v>188778.3</v>
      </c>
      <c r="H3716" s="8">
        <v>26886</v>
      </c>
    </row>
    <row r="3717" spans="2:8" ht="17.5" customHeight="1" x14ac:dyDescent="0.4">
      <c r="B3717" t="s">
        <v>7</v>
      </c>
      <c r="C3717" t="s">
        <v>813</v>
      </c>
      <c r="D3717" s="7">
        <f>DATE(2018,11,12)</f>
        <v>43416</v>
      </c>
      <c r="E3717" s="8">
        <f t="shared" si="61"/>
        <v>2018</v>
      </c>
      <c r="F3717" t="s">
        <v>814</v>
      </c>
      <c r="G3717" s="9">
        <v>14351.77</v>
      </c>
      <c r="H3717" s="8">
        <v>27906</v>
      </c>
    </row>
    <row r="3718" spans="2:8" ht="17.5" customHeight="1" x14ac:dyDescent="0.4">
      <c r="B3718" t="s">
        <v>7</v>
      </c>
      <c r="C3718" t="s">
        <v>813</v>
      </c>
      <c r="D3718" s="7">
        <f>DATE(2019,1,28)</f>
        <v>43493</v>
      </c>
      <c r="E3718" s="8">
        <f t="shared" si="61"/>
        <v>2019</v>
      </c>
      <c r="F3718" t="s">
        <v>814</v>
      </c>
      <c r="G3718" s="9">
        <v>57622.35</v>
      </c>
      <c r="H3718" s="8">
        <v>27819</v>
      </c>
    </row>
    <row r="3719" spans="2:8" ht="17.5" customHeight="1" x14ac:dyDescent="0.4">
      <c r="B3719" t="s">
        <v>7</v>
      </c>
      <c r="C3719" t="s">
        <v>813</v>
      </c>
      <c r="D3719" s="7">
        <f>DATE(2019,5,6)</f>
        <v>43591</v>
      </c>
      <c r="E3719" s="8">
        <f t="shared" si="61"/>
        <v>2019</v>
      </c>
      <c r="F3719" t="s">
        <v>814</v>
      </c>
      <c r="G3719" s="9">
        <v>65227.77</v>
      </c>
      <c r="H3719" s="8">
        <v>28449</v>
      </c>
    </row>
    <row r="3720" spans="2:8" ht="17.5" customHeight="1" x14ac:dyDescent="0.4">
      <c r="B3720" t="s">
        <v>16</v>
      </c>
      <c r="C3720" t="s">
        <v>813</v>
      </c>
      <c r="D3720" s="7">
        <f>DATE(2018,5,17)</f>
        <v>43237</v>
      </c>
      <c r="E3720" s="8">
        <f t="shared" si="61"/>
        <v>2018</v>
      </c>
      <c r="F3720" t="s">
        <v>814</v>
      </c>
      <c r="G3720" s="9">
        <v>134666.06</v>
      </c>
      <c r="H3720" s="8">
        <v>27078</v>
      </c>
    </row>
    <row r="3721" spans="2:8" ht="17.5" customHeight="1" x14ac:dyDescent="0.4">
      <c r="B3721" t="s">
        <v>16</v>
      </c>
      <c r="C3721" t="s">
        <v>813</v>
      </c>
      <c r="D3721" s="7">
        <f>DATE(2018,6,8)</f>
        <v>43259</v>
      </c>
      <c r="E3721" s="8">
        <f t="shared" si="61"/>
        <v>2018</v>
      </c>
      <c r="F3721" t="s">
        <v>814</v>
      </c>
      <c r="G3721" s="9">
        <v>21989.119999999999</v>
      </c>
      <c r="H3721" s="8">
        <v>27204</v>
      </c>
    </row>
    <row r="3722" spans="2:8" ht="17.5" customHeight="1" x14ac:dyDescent="0.4">
      <c r="B3722" s="3" t="s">
        <v>7</v>
      </c>
      <c r="C3722" s="3" t="s">
        <v>815</v>
      </c>
      <c r="D3722" s="4">
        <f>DATE(2007,2,13)</f>
        <v>39126</v>
      </c>
      <c r="E3722" s="5">
        <f t="shared" si="61"/>
        <v>2007</v>
      </c>
      <c r="F3722" s="3" t="s">
        <v>816</v>
      </c>
      <c r="G3722" s="6">
        <v>379.42</v>
      </c>
      <c r="H3722" s="5">
        <v>7947</v>
      </c>
    </row>
    <row r="3723" spans="2:8" ht="17.5" customHeight="1" x14ac:dyDescent="0.4">
      <c r="B3723" s="3" t="s">
        <v>7</v>
      </c>
      <c r="C3723" s="3" t="s">
        <v>815</v>
      </c>
      <c r="D3723" s="4">
        <f>DATE(2007,5,31)</f>
        <v>39233</v>
      </c>
      <c r="E3723" s="5">
        <f t="shared" si="61"/>
        <v>2007</v>
      </c>
      <c r="F3723" s="3" t="s">
        <v>816</v>
      </c>
      <c r="G3723" s="6">
        <v>1900</v>
      </c>
      <c r="H3723" s="5">
        <v>8680</v>
      </c>
    </row>
    <row r="3724" spans="2:8" ht="17.5" customHeight="1" x14ac:dyDescent="0.4">
      <c r="B3724" t="s">
        <v>7</v>
      </c>
      <c r="C3724" t="s">
        <v>817</v>
      </c>
      <c r="D3724" s="7">
        <f>DATE(2019,4,30)</f>
        <v>43585</v>
      </c>
      <c r="E3724" s="8">
        <f t="shared" si="61"/>
        <v>2019</v>
      </c>
      <c r="F3724" t="s">
        <v>818</v>
      </c>
      <c r="G3724" s="9">
        <v>24361.77</v>
      </c>
      <c r="H3724" s="8">
        <v>28650</v>
      </c>
    </row>
    <row r="3725" spans="2:8" ht="17.5" customHeight="1" x14ac:dyDescent="0.4">
      <c r="B3725" t="s">
        <v>7</v>
      </c>
      <c r="C3725" t="s">
        <v>819</v>
      </c>
      <c r="D3725" s="7">
        <f>DATE(2017,9,1)</f>
        <v>42979</v>
      </c>
      <c r="E3725" s="8">
        <f t="shared" si="61"/>
        <v>2017</v>
      </c>
      <c r="F3725" t="s">
        <v>820</v>
      </c>
      <c r="G3725" s="9">
        <v>10977.94</v>
      </c>
      <c r="H3725" s="8">
        <v>25510</v>
      </c>
    </row>
    <row r="3726" spans="2:8" ht="17.5" customHeight="1" x14ac:dyDescent="0.4">
      <c r="B3726" t="s">
        <v>7</v>
      </c>
      <c r="C3726" t="s">
        <v>821</v>
      </c>
      <c r="D3726" s="7">
        <f>DATE(2018,11,7)</f>
        <v>43411</v>
      </c>
      <c r="E3726" s="8">
        <f t="shared" si="61"/>
        <v>2018</v>
      </c>
      <c r="F3726" t="s">
        <v>822</v>
      </c>
      <c r="G3726" s="9">
        <v>92423.03</v>
      </c>
      <c r="H3726" s="8">
        <v>27480</v>
      </c>
    </row>
    <row r="3727" spans="2:8" ht="17.5" customHeight="1" x14ac:dyDescent="0.4">
      <c r="B3727" t="s">
        <v>7</v>
      </c>
      <c r="C3727" t="s">
        <v>821</v>
      </c>
      <c r="D3727" s="7">
        <f>DATE(2016,5,10)</f>
        <v>42500</v>
      </c>
      <c r="E3727" s="8">
        <f t="shared" si="61"/>
        <v>2016</v>
      </c>
      <c r="F3727" t="s">
        <v>823</v>
      </c>
      <c r="G3727" s="9">
        <v>23792.71</v>
      </c>
      <c r="H3727" s="8">
        <v>22443</v>
      </c>
    </row>
    <row r="3728" spans="2:8" ht="17.5" customHeight="1" x14ac:dyDescent="0.4">
      <c r="B3728" t="s">
        <v>7</v>
      </c>
      <c r="C3728" t="s">
        <v>824</v>
      </c>
      <c r="D3728" s="7">
        <f>DATE(2016,10,18)</f>
        <v>42661</v>
      </c>
      <c r="E3728" s="8">
        <f t="shared" si="61"/>
        <v>2016</v>
      </c>
      <c r="F3728" t="s">
        <v>825</v>
      </c>
      <c r="G3728" s="9">
        <v>236936.51</v>
      </c>
      <c r="H3728" s="8">
        <v>23543</v>
      </c>
    </row>
    <row r="3729" spans="2:8" ht="17.5" customHeight="1" x14ac:dyDescent="0.4">
      <c r="B3729" t="s">
        <v>7</v>
      </c>
      <c r="C3729" t="s">
        <v>824</v>
      </c>
      <c r="D3729" s="7">
        <f>DATE(2018,3,12)</f>
        <v>43171</v>
      </c>
      <c r="E3729" s="8">
        <f t="shared" si="61"/>
        <v>2018</v>
      </c>
      <c r="F3729" t="s">
        <v>825</v>
      </c>
      <c r="G3729" s="9">
        <v>31311.72</v>
      </c>
      <c r="H3729" s="8">
        <v>26322</v>
      </c>
    </row>
    <row r="3730" spans="2:8" ht="17.5" customHeight="1" x14ac:dyDescent="0.4">
      <c r="B3730" t="s">
        <v>7</v>
      </c>
      <c r="C3730" t="s">
        <v>824</v>
      </c>
      <c r="D3730" s="7">
        <f>DATE(2018,4,5)</f>
        <v>43195</v>
      </c>
      <c r="E3730" s="8">
        <f t="shared" si="61"/>
        <v>2018</v>
      </c>
      <c r="F3730" t="s">
        <v>825</v>
      </c>
      <c r="G3730" s="9">
        <v>34346.1</v>
      </c>
      <c r="H3730" s="8">
        <v>26520</v>
      </c>
    </row>
    <row r="3731" spans="2:8" ht="17.5" customHeight="1" x14ac:dyDescent="0.4">
      <c r="B3731" t="s">
        <v>7</v>
      </c>
      <c r="C3731" t="s">
        <v>824</v>
      </c>
      <c r="D3731" s="7">
        <f>DATE(2018,6,25)</f>
        <v>43276</v>
      </c>
      <c r="E3731" s="8">
        <f t="shared" si="61"/>
        <v>2018</v>
      </c>
      <c r="F3731" t="s">
        <v>825</v>
      </c>
      <c r="G3731" s="9">
        <v>74372.789999999994</v>
      </c>
      <c r="H3731" s="8">
        <v>27179</v>
      </c>
    </row>
    <row r="3732" spans="2:8" ht="17.5" customHeight="1" x14ac:dyDescent="0.4">
      <c r="B3732" t="s">
        <v>7</v>
      </c>
      <c r="C3732" t="s">
        <v>824</v>
      </c>
      <c r="D3732" s="7">
        <f>DATE(2019,3,1)</f>
        <v>43525</v>
      </c>
      <c r="E3732" s="8">
        <f t="shared" si="61"/>
        <v>2019</v>
      </c>
      <c r="F3732" t="s">
        <v>825</v>
      </c>
      <c r="G3732" s="9">
        <v>16350.61</v>
      </c>
      <c r="H3732" s="8">
        <v>28419</v>
      </c>
    </row>
    <row r="3733" spans="2:8" ht="17.5" customHeight="1" x14ac:dyDescent="0.4">
      <c r="B3733" t="s">
        <v>7</v>
      </c>
      <c r="C3733" t="s">
        <v>824</v>
      </c>
      <c r="D3733" s="7">
        <f>DATE(2019,4,8)</f>
        <v>43563</v>
      </c>
      <c r="E3733" s="8">
        <f t="shared" si="61"/>
        <v>2019</v>
      </c>
      <c r="F3733" t="s">
        <v>825</v>
      </c>
      <c r="G3733" s="9">
        <v>111329.41</v>
      </c>
      <c r="H3733" s="8">
        <v>28566</v>
      </c>
    </row>
    <row r="3734" spans="2:8" ht="17.5" customHeight="1" x14ac:dyDescent="0.4">
      <c r="B3734" t="s">
        <v>7</v>
      </c>
      <c r="C3734" t="s">
        <v>824</v>
      </c>
      <c r="D3734" s="7">
        <f>DATE(2019,5,14)</f>
        <v>43599</v>
      </c>
      <c r="E3734" s="8">
        <f t="shared" si="61"/>
        <v>2019</v>
      </c>
      <c r="F3734" t="s">
        <v>825</v>
      </c>
      <c r="G3734" s="9">
        <v>58628.49</v>
      </c>
      <c r="H3734" s="8">
        <v>28187</v>
      </c>
    </row>
    <row r="3735" spans="2:8" ht="17.5" customHeight="1" x14ac:dyDescent="0.4">
      <c r="B3735" t="s">
        <v>7</v>
      </c>
      <c r="C3735" t="s">
        <v>826</v>
      </c>
      <c r="D3735" s="7">
        <f>DATE(2018,7,20)</f>
        <v>43301</v>
      </c>
      <c r="E3735" s="8">
        <f t="shared" si="61"/>
        <v>2018</v>
      </c>
      <c r="F3735" t="s">
        <v>827</v>
      </c>
      <c r="G3735" s="9">
        <v>212378.05</v>
      </c>
      <c r="H3735" s="8">
        <v>26196</v>
      </c>
    </row>
    <row r="3736" spans="2:8" ht="17.5" customHeight="1" x14ac:dyDescent="0.4">
      <c r="B3736" t="s">
        <v>7</v>
      </c>
      <c r="C3736" t="s">
        <v>828</v>
      </c>
      <c r="D3736" s="7">
        <f>DATE(2016,11,30)</f>
        <v>42704</v>
      </c>
      <c r="E3736" s="8">
        <f t="shared" si="61"/>
        <v>2016</v>
      </c>
      <c r="F3736" t="s">
        <v>829</v>
      </c>
      <c r="G3736" s="9">
        <v>85065.12</v>
      </c>
      <c r="H3736" s="8">
        <v>23811</v>
      </c>
    </row>
    <row r="3737" spans="2:8" ht="17.5" customHeight="1" x14ac:dyDescent="0.4">
      <c r="B3737" t="s">
        <v>7</v>
      </c>
      <c r="C3737" t="s">
        <v>828</v>
      </c>
      <c r="D3737" s="7">
        <f>DATE(2017,1,3)</f>
        <v>42738</v>
      </c>
      <c r="E3737" s="8">
        <f t="shared" si="61"/>
        <v>2017</v>
      </c>
      <c r="F3737" t="s">
        <v>829</v>
      </c>
      <c r="G3737" s="9">
        <v>77734.759999999995</v>
      </c>
      <c r="H3737" s="8">
        <v>24051</v>
      </c>
    </row>
    <row r="3738" spans="2:8" ht="17.5" customHeight="1" x14ac:dyDescent="0.4">
      <c r="B3738" t="s">
        <v>7</v>
      </c>
      <c r="C3738" t="s">
        <v>828</v>
      </c>
      <c r="D3738" s="7">
        <f>DATE(2017,2,20)</f>
        <v>42786</v>
      </c>
      <c r="E3738" s="8">
        <f t="shared" si="61"/>
        <v>2017</v>
      </c>
      <c r="F3738" t="s">
        <v>829</v>
      </c>
      <c r="G3738" s="9">
        <v>19731.349999999999</v>
      </c>
      <c r="H3738" s="8">
        <v>24076</v>
      </c>
    </row>
    <row r="3739" spans="2:8" ht="17.5" customHeight="1" x14ac:dyDescent="0.4">
      <c r="B3739" t="s">
        <v>7</v>
      </c>
      <c r="C3739" t="s">
        <v>828</v>
      </c>
      <c r="D3739" s="7">
        <f>DATE(2017,3,28)</f>
        <v>42822</v>
      </c>
      <c r="E3739" s="8">
        <f t="shared" si="61"/>
        <v>2017</v>
      </c>
      <c r="F3739" t="s">
        <v>829</v>
      </c>
      <c r="G3739" s="9">
        <v>47705.53</v>
      </c>
      <c r="H3739" s="8">
        <v>24306</v>
      </c>
    </row>
    <row r="3740" spans="2:8" ht="17.5" customHeight="1" x14ac:dyDescent="0.4">
      <c r="B3740" t="s">
        <v>7</v>
      </c>
      <c r="C3740" t="s">
        <v>828</v>
      </c>
      <c r="D3740" s="7">
        <f>DATE(2018,11,6)</f>
        <v>43410</v>
      </c>
      <c r="E3740" s="8">
        <f t="shared" si="61"/>
        <v>2018</v>
      </c>
      <c r="F3740" t="s">
        <v>829</v>
      </c>
      <c r="G3740" s="9">
        <v>458917.47</v>
      </c>
      <c r="H3740" s="8">
        <v>26224</v>
      </c>
    </row>
    <row r="3741" spans="2:8" ht="17.5" customHeight="1" x14ac:dyDescent="0.4">
      <c r="B3741" t="s">
        <v>7</v>
      </c>
      <c r="C3741" t="s">
        <v>828</v>
      </c>
      <c r="D3741" s="7">
        <f>DATE(2019,1,28)</f>
        <v>43493</v>
      </c>
      <c r="E3741" s="8">
        <f t="shared" si="61"/>
        <v>2019</v>
      </c>
      <c r="F3741" t="s">
        <v>829</v>
      </c>
      <c r="G3741" s="9">
        <v>24609.86</v>
      </c>
      <c r="H3741" s="8">
        <v>28272</v>
      </c>
    </row>
    <row r="3742" spans="2:8" ht="17.5" customHeight="1" x14ac:dyDescent="0.4">
      <c r="B3742" t="s">
        <v>7</v>
      </c>
      <c r="C3742" t="s">
        <v>828</v>
      </c>
      <c r="D3742" s="7">
        <f>DATE(2019,2,11)</f>
        <v>43507</v>
      </c>
      <c r="E3742" s="8">
        <f t="shared" si="61"/>
        <v>2019</v>
      </c>
      <c r="F3742" t="s">
        <v>829</v>
      </c>
      <c r="G3742" s="9">
        <v>31880.9</v>
      </c>
      <c r="H3742" s="8">
        <v>28345</v>
      </c>
    </row>
    <row r="3743" spans="2:8" ht="17.5" customHeight="1" x14ac:dyDescent="0.4">
      <c r="B3743" t="s">
        <v>16</v>
      </c>
      <c r="C3743" t="s">
        <v>828</v>
      </c>
      <c r="D3743" s="7">
        <f>DATE(2017,1,3)</f>
        <v>42738</v>
      </c>
      <c r="E3743" s="8">
        <f t="shared" si="61"/>
        <v>2017</v>
      </c>
      <c r="F3743" t="s">
        <v>829</v>
      </c>
      <c r="G3743" s="9">
        <v>85065.12</v>
      </c>
      <c r="H3743" s="8">
        <v>24052</v>
      </c>
    </row>
    <row r="3744" spans="2:8" ht="17.5" customHeight="1" x14ac:dyDescent="0.4">
      <c r="B3744" t="s">
        <v>7</v>
      </c>
      <c r="C3744" t="s">
        <v>830</v>
      </c>
      <c r="D3744" s="7">
        <f>DATE(2018,9,17)</f>
        <v>43360</v>
      </c>
      <c r="E3744" s="8">
        <f t="shared" si="61"/>
        <v>2018</v>
      </c>
      <c r="F3744" t="s">
        <v>831</v>
      </c>
      <c r="G3744" s="9">
        <v>66186.87</v>
      </c>
      <c r="H3744" s="8">
        <v>27571</v>
      </c>
    </row>
    <row r="3745" spans="2:8" ht="17.5" customHeight="1" x14ac:dyDescent="0.4">
      <c r="B3745" s="3" t="s">
        <v>7</v>
      </c>
      <c r="C3745" s="3" t="s">
        <v>832</v>
      </c>
      <c r="D3745" s="4">
        <f>DATE(2007,5,12)</f>
        <v>39214</v>
      </c>
      <c r="E3745" s="5">
        <f t="shared" si="61"/>
        <v>2007</v>
      </c>
      <c r="F3745" s="3" t="s">
        <v>833</v>
      </c>
      <c r="G3745" s="6">
        <v>29100.2</v>
      </c>
      <c r="H3745" s="5">
        <v>2238</v>
      </c>
    </row>
    <row r="3746" spans="2:8" ht="17.5" customHeight="1" x14ac:dyDescent="0.4">
      <c r="B3746" s="3" t="s">
        <v>7</v>
      </c>
      <c r="C3746" s="3" t="s">
        <v>832</v>
      </c>
      <c r="D3746" s="4">
        <f>DATE(2006,11,16)</f>
        <v>39037</v>
      </c>
      <c r="E3746" s="5">
        <f t="shared" si="61"/>
        <v>2006</v>
      </c>
      <c r="F3746" s="3" t="s">
        <v>834</v>
      </c>
      <c r="G3746" s="6">
        <v>4881.2</v>
      </c>
      <c r="H3746" s="5">
        <v>1891</v>
      </c>
    </row>
    <row r="3747" spans="2:8" ht="17.5" customHeight="1" x14ac:dyDescent="0.4">
      <c r="B3747" t="s">
        <v>7</v>
      </c>
      <c r="C3747" t="s">
        <v>830</v>
      </c>
      <c r="D3747" s="7">
        <f>DATE(2016,4,8)</f>
        <v>42468</v>
      </c>
      <c r="E3747" s="8">
        <f t="shared" si="61"/>
        <v>2016</v>
      </c>
      <c r="F3747" t="s">
        <v>835</v>
      </c>
      <c r="G3747" s="9">
        <v>401551</v>
      </c>
      <c r="H3747" s="8">
        <v>21692</v>
      </c>
    </row>
    <row r="3748" spans="2:8" ht="17.5" customHeight="1" x14ac:dyDescent="0.4">
      <c r="B3748" t="s">
        <v>7</v>
      </c>
      <c r="C3748" t="s">
        <v>830</v>
      </c>
      <c r="D3748" s="7">
        <f>DATE(2017,2,24)</f>
        <v>42790</v>
      </c>
      <c r="E3748" s="8">
        <f t="shared" si="61"/>
        <v>2017</v>
      </c>
      <c r="F3748" t="s">
        <v>835</v>
      </c>
      <c r="G3748" s="9">
        <v>341573.05</v>
      </c>
      <c r="H3748" s="8">
        <v>23930</v>
      </c>
    </row>
    <row r="3749" spans="2:8" ht="17.5" customHeight="1" x14ac:dyDescent="0.4">
      <c r="B3749" t="s">
        <v>7</v>
      </c>
      <c r="C3749" t="s">
        <v>830</v>
      </c>
      <c r="D3749" s="7">
        <f>DATE(2017,4,12)</f>
        <v>42837</v>
      </c>
      <c r="E3749" s="8">
        <f t="shared" si="61"/>
        <v>2017</v>
      </c>
      <c r="F3749" t="s">
        <v>835</v>
      </c>
      <c r="G3749" s="9">
        <v>38662.54</v>
      </c>
      <c r="H3749" s="8">
        <v>24640</v>
      </c>
    </row>
    <row r="3750" spans="2:8" ht="17.5" customHeight="1" x14ac:dyDescent="0.4">
      <c r="B3750" s="3" t="s">
        <v>7</v>
      </c>
      <c r="C3750" s="3" t="s">
        <v>836</v>
      </c>
      <c r="D3750" s="4">
        <f>DATE(2012,11,13)</f>
        <v>41226</v>
      </c>
      <c r="E3750" s="5">
        <f t="shared" si="61"/>
        <v>2012</v>
      </c>
      <c r="F3750" s="3" t="s">
        <v>837</v>
      </c>
      <c r="G3750" s="6">
        <v>20950.97</v>
      </c>
      <c r="H3750" s="5">
        <v>5283</v>
      </c>
    </row>
    <row r="3751" spans="2:8" ht="17.5" customHeight="1" x14ac:dyDescent="0.4">
      <c r="B3751" s="3" t="s">
        <v>7</v>
      </c>
      <c r="C3751" s="3" t="s">
        <v>836</v>
      </c>
      <c r="D3751" s="4">
        <f>DATE(2012,12,10)</f>
        <v>41253</v>
      </c>
      <c r="E3751" s="5">
        <f t="shared" si="61"/>
        <v>2012</v>
      </c>
      <c r="F3751" s="3" t="s">
        <v>837</v>
      </c>
      <c r="G3751" s="6">
        <v>17757.560000000001</v>
      </c>
      <c r="H3751" s="5">
        <v>5353</v>
      </c>
    </row>
    <row r="3752" spans="2:8" ht="17.5" customHeight="1" x14ac:dyDescent="0.4">
      <c r="B3752" s="3" t="s">
        <v>16</v>
      </c>
      <c r="C3752" s="3" t="s">
        <v>836</v>
      </c>
      <c r="D3752" s="4">
        <f>DATE(2012,11,1)</f>
        <v>41214</v>
      </c>
      <c r="E3752" s="5">
        <f t="shared" si="61"/>
        <v>2012</v>
      </c>
      <c r="F3752" s="3" t="s">
        <v>837</v>
      </c>
      <c r="G3752" s="6">
        <v>20950.97</v>
      </c>
      <c r="H3752" s="5">
        <v>5355</v>
      </c>
    </row>
    <row r="3753" spans="2:8" ht="17.5" customHeight="1" x14ac:dyDescent="0.4">
      <c r="B3753" t="s">
        <v>7</v>
      </c>
      <c r="C3753" t="s">
        <v>826</v>
      </c>
      <c r="D3753" s="7">
        <f>DATE(2016,5,3)</f>
        <v>42493</v>
      </c>
      <c r="E3753" s="8">
        <f t="shared" si="61"/>
        <v>2016</v>
      </c>
      <c r="F3753" t="s">
        <v>838</v>
      </c>
      <c r="G3753" s="9">
        <v>19957.88</v>
      </c>
      <c r="H3753" s="8">
        <v>22663</v>
      </c>
    </row>
    <row r="3754" spans="2:8" ht="17.5" customHeight="1" x14ac:dyDescent="0.4">
      <c r="B3754" t="s">
        <v>7</v>
      </c>
      <c r="C3754" t="s">
        <v>826</v>
      </c>
      <c r="D3754" s="7">
        <f>DATE(2016,5,3)</f>
        <v>42493</v>
      </c>
      <c r="E3754" s="8">
        <f t="shared" si="61"/>
        <v>2016</v>
      </c>
      <c r="F3754" t="s">
        <v>838</v>
      </c>
      <c r="G3754" s="9">
        <v>14514.68</v>
      </c>
      <c r="H3754" s="8">
        <v>21773</v>
      </c>
    </row>
    <row r="3755" spans="2:8" ht="17.5" customHeight="1" x14ac:dyDescent="0.4">
      <c r="B3755" t="s">
        <v>7</v>
      </c>
      <c r="C3755" t="s">
        <v>826</v>
      </c>
      <c r="D3755" s="7">
        <f>DATE(2017,2,28)</f>
        <v>42794</v>
      </c>
      <c r="E3755" s="8">
        <f t="shared" si="61"/>
        <v>2017</v>
      </c>
      <c r="F3755" t="s">
        <v>838</v>
      </c>
      <c r="G3755" s="9">
        <v>8844.44</v>
      </c>
      <c r="H3755" s="8">
        <v>24318</v>
      </c>
    </row>
    <row r="3756" spans="2:8" ht="17.5" customHeight="1" x14ac:dyDescent="0.4">
      <c r="B3756" s="3" t="s">
        <v>7</v>
      </c>
      <c r="C3756" s="3" t="s">
        <v>826</v>
      </c>
      <c r="D3756" s="4">
        <f>DATE(2006,12,6)</f>
        <v>39057</v>
      </c>
      <c r="E3756" s="5">
        <f t="shared" si="61"/>
        <v>2006</v>
      </c>
      <c r="F3756" s="3" t="s">
        <v>838</v>
      </c>
      <c r="G3756" s="6">
        <v>6667.5</v>
      </c>
      <c r="H3756" s="5">
        <v>1939</v>
      </c>
    </row>
    <row r="3757" spans="2:8" ht="17.5" customHeight="1" x14ac:dyDescent="0.4">
      <c r="B3757" s="3" t="s">
        <v>7</v>
      </c>
      <c r="C3757" s="3" t="s">
        <v>826</v>
      </c>
      <c r="D3757" s="4">
        <f>DATE(2007,1,17)</f>
        <v>39099</v>
      </c>
      <c r="E3757" s="5">
        <f t="shared" si="61"/>
        <v>2007</v>
      </c>
      <c r="F3757" s="3" t="s">
        <v>838</v>
      </c>
      <c r="G3757" s="6">
        <v>3078.8</v>
      </c>
      <c r="H3757" s="5">
        <v>1971</v>
      </c>
    </row>
    <row r="3758" spans="2:8" ht="17.5" customHeight="1" x14ac:dyDescent="0.4">
      <c r="B3758" s="3" t="s">
        <v>7</v>
      </c>
      <c r="C3758" s="3" t="s">
        <v>826</v>
      </c>
      <c r="D3758" s="4">
        <f>DATE(2007,2,3)</f>
        <v>39116</v>
      </c>
      <c r="E3758" s="5">
        <f t="shared" si="61"/>
        <v>2007</v>
      </c>
      <c r="F3758" s="3" t="s">
        <v>838</v>
      </c>
      <c r="G3758" s="6">
        <v>12960.45</v>
      </c>
      <c r="H3758" s="5">
        <v>1995</v>
      </c>
    </row>
    <row r="3759" spans="2:8" ht="17.5" customHeight="1" x14ac:dyDescent="0.4">
      <c r="B3759" s="3" t="s">
        <v>7</v>
      </c>
      <c r="C3759" s="3" t="s">
        <v>826</v>
      </c>
      <c r="D3759" s="4">
        <f>DATE(2007,2,4)</f>
        <v>39117</v>
      </c>
      <c r="E3759" s="5">
        <f t="shared" si="61"/>
        <v>2007</v>
      </c>
      <c r="F3759" s="3" t="s">
        <v>838</v>
      </c>
      <c r="G3759" s="6">
        <v>8689.0499999999993</v>
      </c>
      <c r="H3759" s="5">
        <v>1996</v>
      </c>
    </row>
    <row r="3760" spans="2:8" ht="17.5" customHeight="1" x14ac:dyDescent="0.4">
      <c r="B3760" s="3" t="s">
        <v>7</v>
      </c>
      <c r="C3760" s="3" t="s">
        <v>826</v>
      </c>
      <c r="D3760" s="4">
        <f>DATE(2007,2,3)</f>
        <v>39116</v>
      </c>
      <c r="E3760" s="5">
        <f t="shared" si="61"/>
        <v>2007</v>
      </c>
      <c r="F3760" s="3" t="s">
        <v>838</v>
      </c>
      <c r="G3760" s="6">
        <v>1293.5</v>
      </c>
      <c r="H3760" s="5">
        <v>1997</v>
      </c>
    </row>
    <row r="3761" spans="2:8" ht="17.5" customHeight="1" x14ac:dyDescent="0.4">
      <c r="B3761" s="3" t="s">
        <v>7</v>
      </c>
      <c r="C3761" s="3" t="s">
        <v>826</v>
      </c>
      <c r="D3761" s="4">
        <f>DATE(2007,10,14)</f>
        <v>39369</v>
      </c>
      <c r="E3761" s="5">
        <f t="shared" si="61"/>
        <v>2007</v>
      </c>
      <c r="F3761" s="3" t="s">
        <v>838</v>
      </c>
      <c r="G3761" s="6">
        <v>32265.06</v>
      </c>
      <c r="H3761" s="5">
        <v>2339</v>
      </c>
    </row>
    <row r="3762" spans="2:8" ht="17.5" customHeight="1" x14ac:dyDescent="0.4">
      <c r="B3762" s="3" t="s">
        <v>7</v>
      </c>
      <c r="C3762" s="3" t="s">
        <v>826</v>
      </c>
      <c r="D3762" s="4">
        <f>DATE(2007,10,18)</f>
        <v>39373</v>
      </c>
      <c r="E3762" s="5">
        <f t="shared" si="61"/>
        <v>2007</v>
      </c>
      <c r="F3762" s="3" t="s">
        <v>838</v>
      </c>
      <c r="G3762" s="6">
        <v>1762.7</v>
      </c>
      <c r="H3762" s="5">
        <v>2451</v>
      </c>
    </row>
    <row r="3763" spans="2:8" ht="17.5" customHeight="1" x14ac:dyDescent="0.4">
      <c r="B3763" s="3" t="s">
        <v>7</v>
      </c>
      <c r="C3763" s="3" t="s">
        <v>826</v>
      </c>
      <c r="D3763" s="4">
        <f t="shared" ref="D3763:D3777" si="62">DATE(2008,2,17)</f>
        <v>39495</v>
      </c>
      <c r="E3763" s="5">
        <f t="shared" si="61"/>
        <v>2008</v>
      </c>
      <c r="F3763" s="3" t="s">
        <v>838</v>
      </c>
      <c r="G3763" s="6">
        <v>1062</v>
      </c>
      <c r="H3763" s="5">
        <v>2609</v>
      </c>
    </row>
    <row r="3764" spans="2:8" ht="17.5" customHeight="1" x14ac:dyDescent="0.4">
      <c r="B3764" s="3" t="s">
        <v>7</v>
      </c>
      <c r="C3764" s="3" t="s">
        <v>826</v>
      </c>
      <c r="D3764" s="4">
        <f t="shared" si="62"/>
        <v>39495</v>
      </c>
      <c r="E3764" s="5">
        <f t="shared" si="61"/>
        <v>2008</v>
      </c>
      <c r="F3764" s="3" t="s">
        <v>838</v>
      </c>
      <c r="G3764" s="6">
        <v>9959.33</v>
      </c>
      <c r="H3764" s="5">
        <v>2610</v>
      </c>
    </row>
    <row r="3765" spans="2:8" ht="17.5" customHeight="1" x14ac:dyDescent="0.4">
      <c r="B3765" s="3" t="s">
        <v>7</v>
      </c>
      <c r="C3765" s="3" t="s">
        <v>826</v>
      </c>
      <c r="D3765" s="4">
        <f t="shared" si="62"/>
        <v>39495</v>
      </c>
      <c r="E3765" s="5">
        <f t="shared" si="61"/>
        <v>2008</v>
      </c>
      <c r="F3765" s="3" t="s">
        <v>838</v>
      </c>
      <c r="G3765" s="6">
        <v>9959.33</v>
      </c>
      <c r="H3765" s="5">
        <v>2611</v>
      </c>
    </row>
    <row r="3766" spans="2:8" ht="17.5" customHeight="1" x14ac:dyDescent="0.4">
      <c r="B3766" s="3" t="s">
        <v>7</v>
      </c>
      <c r="C3766" s="3" t="s">
        <v>826</v>
      </c>
      <c r="D3766" s="4">
        <f t="shared" si="62"/>
        <v>39495</v>
      </c>
      <c r="E3766" s="5">
        <f t="shared" si="61"/>
        <v>2008</v>
      </c>
      <c r="F3766" s="3" t="s">
        <v>838</v>
      </c>
      <c r="G3766" s="6">
        <v>9959.33</v>
      </c>
      <c r="H3766" s="5">
        <v>2612</v>
      </c>
    </row>
    <row r="3767" spans="2:8" ht="17.5" customHeight="1" x14ac:dyDescent="0.4">
      <c r="B3767" s="3" t="s">
        <v>7</v>
      </c>
      <c r="C3767" s="3" t="s">
        <v>826</v>
      </c>
      <c r="D3767" s="4">
        <f t="shared" si="62"/>
        <v>39495</v>
      </c>
      <c r="E3767" s="5">
        <f t="shared" si="61"/>
        <v>2008</v>
      </c>
      <c r="F3767" s="3" t="s">
        <v>838</v>
      </c>
      <c r="G3767" s="6">
        <v>7666</v>
      </c>
      <c r="H3767" s="5">
        <v>2614</v>
      </c>
    </row>
    <row r="3768" spans="2:8" ht="17.5" customHeight="1" x14ac:dyDescent="0.4">
      <c r="B3768" s="3" t="s">
        <v>7</v>
      </c>
      <c r="C3768" s="3" t="s">
        <v>826</v>
      </c>
      <c r="D3768" s="4">
        <f t="shared" si="62"/>
        <v>39495</v>
      </c>
      <c r="E3768" s="5">
        <f t="shared" si="61"/>
        <v>2008</v>
      </c>
      <c r="F3768" s="3" t="s">
        <v>838</v>
      </c>
      <c r="G3768" s="6">
        <v>4825</v>
      </c>
      <c r="H3768" s="5">
        <v>2615</v>
      </c>
    </row>
    <row r="3769" spans="2:8" ht="17.5" customHeight="1" x14ac:dyDescent="0.4">
      <c r="B3769" s="3" t="s">
        <v>7</v>
      </c>
      <c r="C3769" s="3" t="s">
        <v>826</v>
      </c>
      <c r="D3769" s="4">
        <f t="shared" si="62"/>
        <v>39495</v>
      </c>
      <c r="E3769" s="5">
        <f t="shared" si="61"/>
        <v>2008</v>
      </c>
      <c r="F3769" s="3" t="s">
        <v>838</v>
      </c>
      <c r="G3769" s="6">
        <v>4825</v>
      </c>
      <c r="H3769" s="5">
        <v>2616</v>
      </c>
    </row>
    <row r="3770" spans="2:8" ht="17.5" customHeight="1" x14ac:dyDescent="0.4">
      <c r="B3770" s="3" t="s">
        <v>7</v>
      </c>
      <c r="C3770" s="3" t="s">
        <v>826</v>
      </c>
      <c r="D3770" s="4">
        <f t="shared" si="62"/>
        <v>39495</v>
      </c>
      <c r="E3770" s="5">
        <f t="shared" si="61"/>
        <v>2008</v>
      </c>
      <c r="F3770" s="3" t="s">
        <v>838</v>
      </c>
      <c r="G3770" s="6">
        <v>2570</v>
      </c>
      <c r="H3770" s="5">
        <v>2617</v>
      </c>
    </row>
    <row r="3771" spans="2:8" ht="17.5" customHeight="1" x14ac:dyDescent="0.4">
      <c r="B3771" s="3" t="s">
        <v>7</v>
      </c>
      <c r="C3771" s="3" t="s">
        <v>826</v>
      </c>
      <c r="D3771" s="4">
        <f t="shared" si="62"/>
        <v>39495</v>
      </c>
      <c r="E3771" s="5">
        <f t="shared" si="61"/>
        <v>2008</v>
      </c>
      <c r="F3771" s="3" t="s">
        <v>838</v>
      </c>
      <c r="G3771" s="6">
        <v>2570</v>
      </c>
      <c r="H3771" s="5">
        <v>2619</v>
      </c>
    </row>
    <row r="3772" spans="2:8" ht="17.5" customHeight="1" x14ac:dyDescent="0.4">
      <c r="B3772" s="3" t="s">
        <v>7</v>
      </c>
      <c r="C3772" s="3" t="s">
        <v>826</v>
      </c>
      <c r="D3772" s="4">
        <f t="shared" si="62"/>
        <v>39495</v>
      </c>
      <c r="E3772" s="5">
        <f t="shared" si="61"/>
        <v>2008</v>
      </c>
      <c r="F3772" s="3" t="s">
        <v>838</v>
      </c>
      <c r="G3772" s="6">
        <v>3250</v>
      </c>
      <c r="H3772" s="5">
        <v>2620</v>
      </c>
    </row>
    <row r="3773" spans="2:8" ht="17.5" customHeight="1" x14ac:dyDescent="0.4">
      <c r="B3773" s="3" t="s">
        <v>7</v>
      </c>
      <c r="C3773" s="3" t="s">
        <v>826</v>
      </c>
      <c r="D3773" s="4">
        <f t="shared" si="62"/>
        <v>39495</v>
      </c>
      <c r="E3773" s="5">
        <f t="shared" si="61"/>
        <v>2008</v>
      </c>
      <c r="F3773" s="3" t="s">
        <v>838</v>
      </c>
      <c r="G3773" s="6">
        <v>1262</v>
      </c>
      <c r="H3773" s="5">
        <v>2621</v>
      </c>
    </row>
    <row r="3774" spans="2:8" ht="17.5" customHeight="1" x14ac:dyDescent="0.4">
      <c r="B3774" s="3" t="s">
        <v>7</v>
      </c>
      <c r="C3774" s="3" t="s">
        <v>826</v>
      </c>
      <c r="D3774" s="4">
        <f t="shared" si="62"/>
        <v>39495</v>
      </c>
      <c r="E3774" s="5">
        <f t="shared" si="61"/>
        <v>2008</v>
      </c>
      <c r="F3774" s="3" t="s">
        <v>838</v>
      </c>
      <c r="G3774" s="6">
        <v>2570</v>
      </c>
      <c r="H3774" s="5">
        <v>2622</v>
      </c>
    </row>
    <row r="3775" spans="2:8" ht="17.5" customHeight="1" x14ac:dyDescent="0.4">
      <c r="B3775" s="3" t="s">
        <v>7</v>
      </c>
      <c r="C3775" s="3" t="s">
        <v>826</v>
      </c>
      <c r="D3775" s="4">
        <f t="shared" si="62"/>
        <v>39495</v>
      </c>
      <c r="E3775" s="5">
        <f t="shared" si="61"/>
        <v>2008</v>
      </c>
      <c r="F3775" s="3" t="s">
        <v>838</v>
      </c>
      <c r="G3775" s="6">
        <v>4825</v>
      </c>
      <c r="H3775" s="5">
        <v>2623</v>
      </c>
    </row>
    <row r="3776" spans="2:8" ht="17.5" customHeight="1" x14ac:dyDescent="0.4">
      <c r="B3776" s="3" t="s">
        <v>7</v>
      </c>
      <c r="C3776" s="3" t="s">
        <v>826</v>
      </c>
      <c r="D3776" s="4">
        <f t="shared" si="62"/>
        <v>39495</v>
      </c>
      <c r="E3776" s="5">
        <f t="shared" si="61"/>
        <v>2008</v>
      </c>
      <c r="F3776" s="3" t="s">
        <v>838</v>
      </c>
      <c r="G3776" s="6">
        <v>1062</v>
      </c>
      <c r="H3776" s="5">
        <v>2624</v>
      </c>
    </row>
    <row r="3777" spans="2:8" ht="17.5" customHeight="1" x14ac:dyDescent="0.4">
      <c r="B3777" s="3" t="s">
        <v>7</v>
      </c>
      <c r="C3777" s="3" t="s">
        <v>826</v>
      </c>
      <c r="D3777" s="4">
        <f t="shared" si="62"/>
        <v>39495</v>
      </c>
      <c r="E3777" s="5">
        <f t="shared" si="61"/>
        <v>2008</v>
      </c>
      <c r="F3777" s="3" t="s">
        <v>838</v>
      </c>
      <c r="G3777" s="6">
        <v>1062</v>
      </c>
      <c r="H3777" s="5">
        <v>2625</v>
      </c>
    </row>
    <row r="3778" spans="2:8" ht="17.5" customHeight="1" x14ac:dyDescent="0.4">
      <c r="B3778" s="3" t="s">
        <v>7</v>
      </c>
      <c r="C3778" s="3" t="s">
        <v>826</v>
      </c>
      <c r="D3778" s="4">
        <f>DATE(2008,8,4)</f>
        <v>39664</v>
      </c>
      <c r="E3778" s="5">
        <f t="shared" si="61"/>
        <v>2008</v>
      </c>
      <c r="F3778" s="3" t="s">
        <v>838</v>
      </c>
      <c r="G3778" s="6">
        <v>26519.25</v>
      </c>
      <c r="H3778" s="5">
        <v>2950</v>
      </c>
    </row>
    <row r="3779" spans="2:8" ht="17.5" customHeight="1" x14ac:dyDescent="0.4">
      <c r="B3779" s="3" t="s">
        <v>7</v>
      </c>
      <c r="C3779" s="3" t="s">
        <v>826</v>
      </c>
      <c r="D3779" s="4">
        <f>DATE(2008,9,3)</f>
        <v>39694</v>
      </c>
      <c r="E3779" s="5">
        <f t="shared" ref="E3779:E3842" si="63">YEAR(D3779)</f>
        <v>2008</v>
      </c>
      <c r="F3779" s="3" t="s">
        <v>838</v>
      </c>
      <c r="G3779" s="6">
        <v>21233.54</v>
      </c>
      <c r="H3779" s="5">
        <v>3063</v>
      </c>
    </row>
    <row r="3780" spans="2:8" ht="17.5" customHeight="1" x14ac:dyDescent="0.4">
      <c r="B3780" s="3" t="s">
        <v>7</v>
      </c>
      <c r="C3780" s="3" t="s">
        <v>826</v>
      </c>
      <c r="D3780" s="4">
        <f>DATE(2008,9,1)</f>
        <v>39692</v>
      </c>
      <c r="E3780" s="5">
        <f t="shared" si="63"/>
        <v>2008</v>
      </c>
      <c r="F3780" s="3" t="s">
        <v>838</v>
      </c>
      <c r="G3780" s="6">
        <v>30331.24</v>
      </c>
      <c r="H3780" s="5">
        <v>2940</v>
      </c>
    </row>
    <row r="3781" spans="2:8" ht="17.5" customHeight="1" x14ac:dyDescent="0.4">
      <c r="B3781" s="3" t="s">
        <v>7</v>
      </c>
      <c r="C3781" s="3" t="s">
        <v>826</v>
      </c>
      <c r="D3781" s="4">
        <f>DATE(2009,2,25)</f>
        <v>39869</v>
      </c>
      <c r="E3781" s="5">
        <f t="shared" si="63"/>
        <v>2009</v>
      </c>
      <c r="F3781" s="3" t="s">
        <v>838</v>
      </c>
      <c r="G3781" s="6">
        <v>28562</v>
      </c>
      <c r="H3781" s="5">
        <v>3283</v>
      </c>
    </row>
    <row r="3782" spans="2:8" ht="17.5" customHeight="1" x14ac:dyDescent="0.4">
      <c r="B3782" s="3" t="s">
        <v>7</v>
      </c>
      <c r="C3782" s="3" t="s">
        <v>826</v>
      </c>
      <c r="D3782" s="4">
        <f>DATE(2009,2,25)</f>
        <v>39869</v>
      </c>
      <c r="E3782" s="5">
        <f t="shared" si="63"/>
        <v>2009</v>
      </c>
      <c r="F3782" s="3" t="s">
        <v>838</v>
      </c>
      <c r="G3782" s="6">
        <v>5279.6</v>
      </c>
      <c r="H3782" s="5">
        <v>3228</v>
      </c>
    </row>
    <row r="3783" spans="2:8" ht="17.5" customHeight="1" x14ac:dyDescent="0.4">
      <c r="B3783" s="3" t="s">
        <v>7</v>
      </c>
      <c r="C3783" s="3" t="s">
        <v>826</v>
      </c>
      <c r="D3783" s="4">
        <f>DATE(2009,3,11)</f>
        <v>39883</v>
      </c>
      <c r="E3783" s="5">
        <f t="shared" si="63"/>
        <v>2009</v>
      </c>
      <c r="F3783" s="3" t="s">
        <v>838</v>
      </c>
      <c r="G3783" s="6">
        <v>3282.83</v>
      </c>
      <c r="H3783" s="5">
        <v>3297</v>
      </c>
    </row>
    <row r="3784" spans="2:8" ht="17.5" customHeight="1" x14ac:dyDescent="0.4">
      <c r="B3784" s="3" t="s">
        <v>7</v>
      </c>
      <c r="C3784" s="3" t="s">
        <v>826</v>
      </c>
      <c r="D3784" s="4">
        <f>DATE(2009,4,8)</f>
        <v>39911</v>
      </c>
      <c r="E3784" s="5">
        <f t="shared" si="63"/>
        <v>2009</v>
      </c>
      <c r="F3784" s="3" t="s">
        <v>838</v>
      </c>
      <c r="G3784" s="6">
        <v>11959.54</v>
      </c>
      <c r="H3784" s="5">
        <v>3348</v>
      </c>
    </row>
    <row r="3785" spans="2:8" ht="17.5" customHeight="1" x14ac:dyDescent="0.4">
      <c r="B3785" s="3" t="s">
        <v>7</v>
      </c>
      <c r="C3785" s="3" t="s">
        <v>826</v>
      </c>
      <c r="D3785" s="4">
        <f>DATE(2009,6,30)</f>
        <v>39994</v>
      </c>
      <c r="E3785" s="5">
        <f t="shared" si="63"/>
        <v>2009</v>
      </c>
      <c r="F3785" s="3" t="s">
        <v>838</v>
      </c>
      <c r="G3785" s="6">
        <v>8507.33</v>
      </c>
      <c r="H3785" s="5">
        <v>3488</v>
      </c>
    </row>
    <row r="3786" spans="2:8" ht="17.5" customHeight="1" x14ac:dyDescent="0.4">
      <c r="B3786" s="3" t="s">
        <v>7</v>
      </c>
      <c r="C3786" s="3" t="s">
        <v>826</v>
      </c>
      <c r="D3786" s="4">
        <f>DATE(2009,8,27)</f>
        <v>40052</v>
      </c>
      <c r="E3786" s="5">
        <f t="shared" si="63"/>
        <v>2009</v>
      </c>
      <c r="F3786" s="3" t="s">
        <v>838</v>
      </c>
      <c r="G3786" s="6">
        <v>7950.3</v>
      </c>
      <c r="H3786" s="5">
        <v>3548</v>
      </c>
    </row>
    <row r="3787" spans="2:8" ht="17.5" customHeight="1" x14ac:dyDescent="0.4">
      <c r="B3787" s="3" t="s">
        <v>7</v>
      </c>
      <c r="C3787" s="3" t="s">
        <v>826</v>
      </c>
      <c r="D3787" s="4">
        <f>DATE(2009,9,25)</f>
        <v>40081</v>
      </c>
      <c r="E3787" s="5">
        <f t="shared" si="63"/>
        <v>2009</v>
      </c>
      <c r="F3787" s="3" t="s">
        <v>838</v>
      </c>
      <c r="G3787" s="6">
        <v>2298.4</v>
      </c>
      <c r="H3787" s="5">
        <v>3364</v>
      </c>
    </row>
    <row r="3788" spans="2:8" ht="17.5" customHeight="1" x14ac:dyDescent="0.4">
      <c r="B3788" s="3" t="s">
        <v>7</v>
      </c>
      <c r="C3788" s="3" t="s">
        <v>826</v>
      </c>
      <c r="D3788" s="4">
        <f>DATE(2009,10,28)</f>
        <v>40114</v>
      </c>
      <c r="E3788" s="5">
        <f t="shared" si="63"/>
        <v>2009</v>
      </c>
      <c r="F3788" s="3" t="s">
        <v>838</v>
      </c>
      <c r="G3788" s="6">
        <v>8365.85</v>
      </c>
      <c r="H3788" s="5">
        <v>3635</v>
      </c>
    </row>
    <row r="3789" spans="2:8" ht="17.5" customHeight="1" x14ac:dyDescent="0.4">
      <c r="B3789" s="3" t="s">
        <v>7</v>
      </c>
      <c r="C3789" s="3" t="s">
        <v>826</v>
      </c>
      <c r="D3789" s="4">
        <f>DATE(2009,12,2)</f>
        <v>40149</v>
      </c>
      <c r="E3789" s="5">
        <f t="shared" si="63"/>
        <v>2009</v>
      </c>
      <c r="F3789" s="3" t="s">
        <v>838</v>
      </c>
      <c r="G3789" s="6">
        <v>41369</v>
      </c>
      <c r="H3789" s="5">
        <v>3438</v>
      </c>
    </row>
    <row r="3790" spans="2:8" ht="17.5" customHeight="1" x14ac:dyDescent="0.4">
      <c r="B3790" s="3" t="s">
        <v>7</v>
      </c>
      <c r="C3790" s="3" t="s">
        <v>826</v>
      </c>
      <c r="D3790" s="4">
        <f>DATE(2009,12,15)</f>
        <v>40162</v>
      </c>
      <c r="E3790" s="5">
        <f t="shared" si="63"/>
        <v>2009</v>
      </c>
      <c r="F3790" s="3" t="s">
        <v>838</v>
      </c>
      <c r="G3790" s="6">
        <v>1524</v>
      </c>
      <c r="H3790" s="5">
        <v>3438</v>
      </c>
    </row>
    <row r="3791" spans="2:8" ht="17.5" customHeight="1" x14ac:dyDescent="0.4">
      <c r="B3791" s="3" t="s">
        <v>7</v>
      </c>
      <c r="C3791" s="3" t="s">
        <v>826</v>
      </c>
      <c r="D3791" s="4">
        <f>DATE(2010,12,17)</f>
        <v>40529</v>
      </c>
      <c r="E3791" s="5">
        <f t="shared" si="63"/>
        <v>2010</v>
      </c>
      <c r="F3791" s="3" t="s">
        <v>838</v>
      </c>
      <c r="G3791" s="6">
        <v>1721.5</v>
      </c>
      <c r="H3791" s="5">
        <v>3746</v>
      </c>
    </row>
    <row r="3792" spans="2:8" ht="17.5" customHeight="1" x14ac:dyDescent="0.4">
      <c r="B3792" s="3" t="s">
        <v>7</v>
      </c>
      <c r="C3792" s="3" t="s">
        <v>826</v>
      </c>
      <c r="D3792" s="4">
        <f>DATE(2010,12,17)</f>
        <v>40529</v>
      </c>
      <c r="E3792" s="5">
        <f t="shared" si="63"/>
        <v>2010</v>
      </c>
      <c r="F3792" s="3" t="s">
        <v>838</v>
      </c>
      <c r="G3792" s="6">
        <v>6108.5</v>
      </c>
      <c r="H3792" s="5">
        <v>3988</v>
      </c>
    </row>
    <row r="3793" spans="2:8" ht="17.5" customHeight="1" x14ac:dyDescent="0.4">
      <c r="B3793" s="3" t="s">
        <v>7</v>
      </c>
      <c r="C3793" s="3" t="s">
        <v>826</v>
      </c>
      <c r="D3793" s="4">
        <f>DATE(2010,12,17)</f>
        <v>40529</v>
      </c>
      <c r="E3793" s="5">
        <f t="shared" si="63"/>
        <v>2010</v>
      </c>
      <c r="F3793" s="3" t="s">
        <v>838</v>
      </c>
      <c r="G3793" s="6">
        <v>14020</v>
      </c>
      <c r="H3793" s="5">
        <v>3989</v>
      </c>
    </row>
    <row r="3794" spans="2:8" ht="17.5" customHeight="1" x14ac:dyDescent="0.4">
      <c r="B3794" s="3" t="s">
        <v>7</v>
      </c>
      <c r="C3794" s="3" t="s">
        <v>826</v>
      </c>
      <c r="D3794" s="4">
        <f>DATE(2011,4,26)</f>
        <v>40659</v>
      </c>
      <c r="E3794" s="5">
        <f t="shared" si="63"/>
        <v>2011</v>
      </c>
      <c r="F3794" s="3" t="s">
        <v>838</v>
      </c>
      <c r="G3794" s="6">
        <v>4391.82</v>
      </c>
      <c r="H3794" s="5">
        <v>4294</v>
      </c>
    </row>
    <row r="3795" spans="2:8" ht="17.5" customHeight="1" x14ac:dyDescent="0.4">
      <c r="B3795" s="3" t="s">
        <v>7</v>
      </c>
      <c r="C3795" s="3" t="s">
        <v>826</v>
      </c>
      <c r="D3795" s="4">
        <f>DATE(2012,6,11)</f>
        <v>41071</v>
      </c>
      <c r="E3795" s="5">
        <f t="shared" si="63"/>
        <v>2012</v>
      </c>
      <c r="F3795" s="3" t="s">
        <v>838</v>
      </c>
      <c r="G3795" s="6">
        <v>27550.45</v>
      </c>
      <c r="H3795" s="5">
        <v>4822</v>
      </c>
    </row>
    <row r="3796" spans="2:8" ht="17.5" customHeight="1" x14ac:dyDescent="0.4">
      <c r="B3796" s="3" t="s">
        <v>7</v>
      </c>
      <c r="C3796" s="3" t="s">
        <v>826</v>
      </c>
      <c r="D3796" s="4">
        <f>DATE(2013,7,25)</f>
        <v>41480</v>
      </c>
      <c r="E3796" s="5">
        <f t="shared" si="63"/>
        <v>2013</v>
      </c>
      <c r="F3796" s="3" t="s">
        <v>838</v>
      </c>
      <c r="G3796" s="6">
        <v>16753.97</v>
      </c>
      <c r="H3796" s="5">
        <v>5467</v>
      </c>
    </row>
    <row r="3797" spans="2:8" ht="17.5" customHeight="1" x14ac:dyDescent="0.4">
      <c r="B3797" s="3" t="s">
        <v>16</v>
      </c>
      <c r="C3797" s="3" t="s">
        <v>826</v>
      </c>
      <c r="D3797" s="4">
        <f>DATE(2010,3,15)</f>
        <v>40252</v>
      </c>
      <c r="E3797" s="5">
        <f t="shared" si="63"/>
        <v>2010</v>
      </c>
      <c r="F3797" s="3" t="s">
        <v>838</v>
      </c>
      <c r="G3797" s="6">
        <v>84</v>
      </c>
      <c r="H3797" s="5">
        <v>3861</v>
      </c>
    </row>
    <row r="3798" spans="2:8" ht="17.5" customHeight="1" x14ac:dyDescent="0.4">
      <c r="B3798" s="3" t="s">
        <v>16</v>
      </c>
      <c r="C3798" s="3" t="s">
        <v>826</v>
      </c>
      <c r="D3798" s="4">
        <f>DATE(2010,3,15)</f>
        <v>40252</v>
      </c>
      <c r="E3798" s="5">
        <f t="shared" si="63"/>
        <v>2010</v>
      </c>
      <c r="F3798" s="3" t="s">
        <v>838</v>
      </c>
      <c r="G3798" s="6">
        <v>90</v>
      </c>
      <c r="H3798" s="5">
        <v>3862</v>
      </c>
    </row>
    <row r="3799" spans="2:8" ht="17.5" customHeight="1" x14ac:dyDescent="0.4">
      <c r="B3799" s="3" t="s">
        <v>7</v>
      </c>
      <c r="C3799" s="3" t="s">
        <v>839</v>
      </c>
      <c r="D3799" s="4">
        <f>DATE(2003,10,20)</f>
        <v>37914</v>
      </c>
      <c r="E3799" s="5">
        <f t="shared" si="63"/>
        <v>2003</v>
      </c>
      <c r="F3799" s="3" t="s">
        <v>840</v>
      </c>
      <c r="G3799" s="6">
        <v>2223</v>
      </c>
      <c r="H3799" s="5">
        <v>366</v>
      </c>
    </row>
    <row r="3800" spans="2:8" ht="17.5" customHeight="1" x14ac:dyDescent="0.4">
      <c r="B3800" s="3" t="s">
        <v>7</v>
      </c>
      <c r="C3800" s="3" t="s">
        <v>839</v>
      </c>
      <c r="D3800" s="4">
        <f>DATE(2003,10,23)</f>
        <v>37917</v>
      </c>
      <c r="E3800" s="5">
        <f t="shared" si="63"/>
        <v>2003</v>
      </c>
      <c r="F3800" s="3" t="s">
        <v>840</v>
      </c>
      <c r="G3800" s="6">
        <v>3840.48</v>
      </c>
      <c r="H3800" s="5">
        <v>369</v>
      </c>
    </row>
    <row r="3801" spans="2:8" ht="17.5" customHeight="1" x14ac:dyDescent="0.4">
      <c r="B3801" s="3" t="s">
        <v>7</v>
      </c>
      <c r="C3801" s="3" t="s">
        <v>839</v>
      </c>
      <c r="D3801" s="4">
        <f>DATE(2003,12,12)</f>
        <v>37967</v>
      </c>
      <c r="E3801" s="5">
        <f t="shared" si="63"/>
        <v>2003</v>
      </c>
      <c r="F3801" s="3" t="s">
        <v>840</v>
      </c>
      <c r="G3801" s="6">
        <v>4011.6</v>
      </c>
      <c r="H3801" s="5">
        <v>436</v>
      </c>
    </row>
    <row r="3802" spans="2:8" ht="17.5" customHeight="1" x14ac:dyDescent="0.4">
      <c r="B3802" s="3" t="s">
        <v>7</v>
      </c>
      <c r="C3802" s="3" t="s">
        <v>839</v>
      </c>
      <c r="D3802" s="4">
        <f>DATE(2005,10,27)</f>
        <v>38652</v>
      </c>
      <c r="E3802" s="5">
        <f t="shared" si="63"/>
        <v>2005</v>
      </c>
      <c r="F3802" s="3" t="s">
        <v>840</v>
      </c>
      <c r="G3802" s="6">
        <v>11812.4</v>
      </c>
      <c r="H3802" s="5">
        <v>1258</v>
      </c>
    </row>
    <row r="3803" spans="2:8" ht="17.5" customHeight="1" x14ac:dyDescent="0.4">
      <c r="B3803" s="3" t="s">
        <v>7</v>
      </c>
      <c r="C3803" s="3" t="s">
        <v>841</v>
      </c>
      <c r="D3803" s="4">
        <f>DATE(2009,8,7)</f>
        <v>40032</v>
      </c>
      <c r="E3803" s="5">
        <f t="shared" si="63"/>
        <v>2009</v>
      </c>
      <c r="F3803" s="3" t="s">
        <v>842</v>
      </c>
      <c r="G3803" s="6">
        <v>10241.59</v>
      </c>
      <c r="H3803" s="5">
        <v>3539</v>
      </c>
    </row>
    <row r="3804" spans="2:8" ht="17.5" customHeight="1" x14ac:dyDescent="0.4">
      <c r="B3804" s="3" t="s">
        <v>7</v>
      </c>
      <c r="C3804" s="3" t="s">
        <v>843</v>
      </c>
      <c r="D3804" s="4">
        <f>DATE(2013,8,19)</f>
        <v>41505</v>
      </c>
      <c r="E3804" s="5">
        <f t="shared" si="63"/>
        <v>2013</v>
      </c>
      <c r="F3804" s="3" t="s">
        <v>844</v>
      </c>
      <c r="G3804" s="6">
        <v>267710.52</v>
      </c>
      <c r="H3804" s="5">
        <v>5530</v>
      </c>
    </row>
    <row r="3805" spans="2:8" ht="17.5" customHeight="1" x14ac:dyDescent="0.4">
      <c r="B3805" s="3" t="s">
        <v>16</v>
      </c>
      <c r="C3805" s="3" t="s">
        <v>843</v>
      </c>
      <c r="D3805" s="4">
        <f>DATE(2013,11,12)</f>
        <v>41590</v>
      </c>
      <c r="E3805" s="5">
        <f t="shared" si="63"/>
        <v>2013</v>
      </c>
      <c r="F3805" s="3" t="s">
        <v>844</v>
      </c>
      <c r="G3805" s="6">
        <v>9965.25</v>
      </c>
      <c r="H3805" s="5">
        <v>5835</v>
      </c>
    </row>
    <row r="3806" spans="2:8" ht="17.5" customHeight="1" x14ac:dyDescent="0.4">
      <c r="B3806" s="3" t="s">
        <v>7</v>
      </c>
      <c r="C3806" s="3" t="s">
        <v>845</v>
      </c>
      <c r="D3806" s="4">
        <f>DATE(2009,6,10)</f>
        <v>39974</v>
      </c>
      <c r="E3806" s="5">
        <f t="shared" si="63"/>
        <v>2009</v>
      </c>
      <c r="F3806" s="3" t="s">
        <v>846</v>
      </c>
      <c r="G3806" s="6">
        <v>96.6</v>
      </c>
      <c r="H3806" s="5">
        <v>3468</v>
      </c>
    </row>
    <row r="3807" spans="2:8" ht="17.5" customHeight="1" x14ac:dyDescent="0.4">
      <c r="B3807" s="3" t="s">
        <v>7</v>
      </c>
      <c r="C3807" s="3" t="s">
        <v>845</v>
      </c>
      <c r="D3807" s="4">
        <f>DATE(2009,7,20)</f>
        <v>40014</v>
      </c>
      <c r="E3807" s="5">
        <f t="shared" si="63"/>
        <v>2009</v>
      </c>
      <c r="F3807" s="3" t="s">
        <v>846</v>
      </c>
      <c r="G3807" s="6">
        <v>100.8</v>
      </c>
      <c r="H3807" s="5">
        <v>3526</v>
      </c>
    </row>
    <row r="3808" spans="2:8" ht="17.5" customHeight="1" x14ac:dyDescent="0.4">
      <c r="B3808" s="3" t="s">
        <v>7</v>
      </c>
      <c r="C3808" s="3" t="s">
        <v>847</v>
      </c>
      <c r="D3808" s="4">
        <f>DATE(2003,8,4)</f>
        <v>37837</v>
      </c>
      <c r="E3808" s="5">
        <f t="shared" si="63"/>
        <v>2003</v>
      </c>
      <c r="F3808" s="3" t="s">
        <v>848</v>
      </c>
      <c r="G3808" s="6">
        <v>4620</v>
      </c>
      <c r="H3808" s="5">
        <v>1057</v>
      </c>
    </row>
    <row r="3809" spans="2:8" ht="17.5" customHeight="1" x14ac:dyDescent="0.4">
      <c r="B3809" s="3" t="s">
        <v>7</v>
      </c>
      <c r="C3809" s="3" t="s">
        <v>847</v>
      </c>
      <c r="D3809" s="4">
        <f>DATE(2007,2,12)</f>
        <v>39125</v>
      </c>
      <c r="E3809" s="5">
        <f t="shared" si="63"/>
        <v>2007</v>
      </c>
      <c r="F3809" s="3" t="s">
        <v>848</v>
      </c>
      <c r="G3809" s="6">
        <v>575</v>
      </c>
      <c r="H3809" s="5">
        <v>7758</v>
      </c>
    </row>
    <row r="3810" spans="2:8" ht="17.5" customHeight="1" x14ac:dyDescent="0.4">
      <c r="B3810" s="3" t="s">
        <v>7</v>
      </c>
      <c r="C3810" s="3" t="s">
        <v>847</v>
      </c>
      <c r="D3810" s="4">
        <f>DATE(2009,11,6)</f>
        <v>40123</v>
      </c>
      <c r="E3810" s="5">
        <f t="shared" si="63"/>
        <v>2009</v>
      </c>
      <c r="F3810" s="3" t="s">
        <v>848</v>
      </c>
      <c r="G3810" s="6">
        <v>4946.38</v>
      </c>
      <c r="H3810" s="5">
        <v>13139</v>
      </c>
    </row>
    <row r="3811" spans="2:8" ht="17.5" customHeight="1" x14ac:dyDescent="0.4">
      <c r="B3811" t="s">
        <v>7</v>
      </c>
      <c r="C3811" t="s">
        <v>849</v>
      </c>
      <c r="D3811" s="7">
        <f>DATE(2008,5,19)</f>
        <v>39587</v>
      </c>
      <c r="E3811" s="8">
        <f t="shared" si="63"/>
        <v>2008</v>
      </c>
      <c r="F3811" t="s">
        <v>850</v>
      </c>
      <c r="G3811" s="9">
        <v>22063.4</v>
      </c>
      <c r="H3811" s="8">
        <v>6995</v>
      </c>
    </row>
    <row r="3812" spans="2:8" ht="17.5" customHeight="1" x14ac:dyDescent="0.4">
      <c r="B3812" t="s">
        <v>7</v>
      </c>
      <c r="C3812" t="s">
        <v>849</v>
      </c>
      <c r="D3812" s="7">
        <f>DATE(2008,5,15)</f>
        <v>39583</v>
      </c>
      <c r="E3812" s="8">
        <f t="shared" si="63"/>
        <v>2008</v>
      </c>
      <c r="F3812" t="s">
        <v>850</v>
      </c>
      <c r="G3812" s="9">
        <v>4994.96</v>
      </c>
      <c r="H3812" s="8">
        <v>7347</v>
      </c>
    </row>
    <row r="3813" spans="2:8" ht="17.5" customHeight="1" x14ac:dyDescent="0.4">
      <c r="B3813" t="s">
        <v>7</v>
      </c>
      <c r="C3813" t="s">
        <v>851</v>
      </c>
      <c r="D3813" s="7">
        <f>DATE(2009,8,20)</f>
        <v>40045</v>
      </c>
      <c r="E3813" s="8">
        <f t="shared" si="63"/>
        <v>2009</v>
      </c>
      <c r="F3813" t="s">
        <v>852</v>
      </c>
      <c r="G3813" s="9">
        <v>7454.23</v>
      </c>
      <c r="H3813" s="8">
        <v>8973</v>
      </c>
    </row>
    <row r="3814" spans="2:8" ht="17.5" customHeight="1" x14ac:dyDescent="0.4">
      <c r="B3814" t="s">
        <v>7</v>
      </c>
      <c r="C3814" t="s">
        <v>851</v>
      </c>
      <c r="D3814" s="7">
        <f>DATE(2010,8,6)</f>
        <v>40396</v>
      </c>
      <c r="E3814" s="8">
        <f t="shared" si="63"/>
        <v>2010</v>
      </c>
      <c r="F3814" t="s">
        <v>852</v>
      </c>
      <c r="G3814" s="9">
        <v>7270.54</v>
      </c>
      <c r="H3814" s="8">
        <v>10034</v>
      </c>
    </row>
    <row r="3815" spans="2:8" ht="17.5" customHeight="1" x14ac:dyDescent="0.4">
      <c r="B3815" t="s">
        <v>7</v>
      </c>
      <c r="C3815" t="s">
        <v>853</v>
      </c>
      <c r="D3815" s="7">
        <f>DATE(2007,5,27)</f>
        <v>39229</v>
      </c>
      <c r="E3815" s="8">
        <f t="shared" si="63"/>
        <v>2007</v>
      </c>
      <c r="F3815" t="s">
        <v>854</v>
      </c>
      <c r="G3815" s="9">
        <v>10083.75</v>
      </c>
      <c r="H3815" s="8">
        <v>6029</v>
      </c>
    </row>
    <row r="3816" spans="2:8" ht="17.5" customHeight="1" x14ac:dyDescent="0.4">
      <c r="B3816" t="s">
        <v>7</v>
      </c>
      <c r="C3816" t="s">
        <v>855</v>
      </c>
      <c r="D3816" s="7">
        <f>DATE(2016,1,21)</f>
        <v>42390</v>
      </c>
      <c r="E3816" s="8">
        <f t="shared" si="63"/>
        <v>2016</v>
      </c>
      <c r="F3816" t="s">
        <v>856</v>
      </c>
      <c r="G3816" s="9">
        <v>728.11</v>
      </c>
      <c r="H3816" s="8">
        <v>21904</v>
      </c>
    </row>
    <row r="3817" spans="2:8" ht="17.5" customHeight="1" x14ac:dyDescent="0.4">
      <c r="B3817" t="s">
        <v>7</v>
      </c>
      <c r="C3817" t="s">
        <v>855</v>
      </c>
      <c r="D3817" s="7">
        <f>DATE(2019,2,4)</f>
        <v>43500</v>
      </c>
      <c r="E3817" s="8">
        <f t="shared" si="63"/>
        <v>2019</v>
      </c>
      <c r="F3817" t="s">
        <v>856</v>
      </c>
      <c r="G3817" s="9">
        <v>21594.880000000001</v>
      </c>
      <c r="H3817" s="8">
        <v>28323</v>
      </c>
    </row>
    <row r="3818" spans="2:8" ht="17.5" customHeight="1" x14ac:dyDescent="0.4">
      <c r="B3818" s="3" t="s">
        <v>7</v>
      </c>
      <c r="C3818" s="3" t="s">
        <v>855</v>
      </c>
      <c r="D3818" s="4">
        <f>DATE(2008,8,22)</f>
        <v>39682</v>
      </c>
      <c r="E3818" s="5">
        <f t="shared" si="63"/>
        <v>2008</v>
      </c>
      <c r="F3818" s="3" t="s">
        <v>856</v>
      </c>
      <c r="G3818" s="6">
        <v>2177</v>
      </c>
      <c r="H3818" s="5">
        <v>10990</v>
      </c>
    </row>
    <row r="3819" spans="2:8" ht="17.5" customHeight="1" x14ac:dyDescent="0.4">
      <c r="B3819" s="3" t="s">
        <v>7</v>
      </c>
      <c r="C3819" s="3" t="s">
        <v>855</v>
      </c>
      <c r="D3819" s="4">
        <f>DATE(2009,7,21)</f>
        <v>40015</v>
      </c>
      <c r="E3819" s="5">
        <f t="shared" si="63"/>
        <v>2009</v>
      </c>
      <c r="F3819" s="3" t="s">
        <v>856</v>
      </c>
      <c r="G3819" s="6">
        <v>5575.24</v>
      </c>
      <c r="H3819" s="5">
        <v>12670</v>
      </c>
    </row>
    <row r="3820" spans="2:8" ht="17.5" customHeight="1" x14ac:dyDescent="0.4">
      <c r="B3820" t="s">
        <v>7</v>
      </c>
      <c r="C3820" t="s">
        <v>857</v>
      </c>
      <c r="D3820" s="7">
        <f>DATE(2007,11,5)</f>
        <v>39391</v>
      </c>
      <c r="E3820" s="8">
        <f t="shared" si="63"/>
        <v>2007</v>
      </c>
      <c r="F3820" t="s">
        <v>858</v>
      </c>
      <c r="G3820" s="9">
        <v>19503.91</v>
      </c>
      <c r="H3820" s="8">
        <v>6520</v>
      </c>
    </row>
    <row r="3821" spans="2:8" ht="17.5" customHeight="1" x14ac:dyDescent="0.4">
      <c r="B3821" t="s">
        <v>7</v>
      </c>
      <c r="C3821" t="s">
        <v>857</v>
      </c>
      <c r="D3821" s="7">
        <f>DATE(2015,4,28)</f>
        <v>42122</v>
      </c>
      <c r="E3821" s="8">
        <f t="shared" si="63"/>
        <v>2015</v>
      </c>
      <c r="F3821" t="s">
        <v>859</v>
      </c>
      <c r="G3821" s="9">
        <v>32185.279999999999</v>
      </c>
      <c r="H3821" s="8">
        <v>20283</v>
      </c>
    </row>
    <row r="3822" spans="2:8" ht="17.5" customHeight="1" x14ac:dyDescent="0.4">
      <c r="B3822" t="s">
        <v>7</v>
      </c>
      <c r="C3822" t="s">
        <v>857</v>
      </c>
      <c r="D3822" s="7">
        <f>DATE(2015,11,24)</f>
        <v>42332</v>
      </c>
      <c r="E3822" s="8">
        <f t="shared" si="63"/>
        <v>2015</v>
      </c>
      <c r="F3822" t="s">
        <v>859</v>
      </c>
      <c r="G3822" s="9">
        <v>33005.54</v>
      </c>
      <c r="H3822" s="8">
        <v>21132</v>
      </c>
    </row>
    <row r="3823" spans="2:8" ht="17.5" customHeight="1" x14ac:dyDescent="0.4">
      <c r="B3823" t="s">
        <v>7</v>
      </c>
      <c r="C3823" t="s">
        <v>857</v>
      </c>
      <c r="D3823" s="7">
        <f>DATE(2016,3,29)</f>
        <v>42458</v>
      </c>
      <c r="E3823" s="8">
        <f t="shared" si="63"/>
        <v>2016</v>
      </c>
      <c r="F3823" t="s">
        <v>859</v>
      </c>
      <c r="G3823" s="9">
        <v>20117.39</v>
      </c>
      <c r="H3823" s="8">
        <v>21934</v>
      </c>
    </row>
    <row r="3824" spans="2:8" ht="17.5" customHeight="1" x14ac:dyDescent="0.4">
      <c r="B3824" t="s">
        <v>7</v>
      </c>
      <c r="C3824" t="s">
        <v>857</v>
      </c>
      <c r="D3824" s="7">
        <f>DATE(2017,8,7)</f>
        <v>42954</v>
      </c>
      <c r="E3824" s="8">
        <f t="shared" si="63"/>
        <v>2017</v>
      </c>
      <c r="F3824" t="s">
        <v>859</v>
      </c>
      <c r="G3824" s="9">
        <v>42600</v>
      </c>
      <c r="H3824" s="8">
        <v>25333</v>
      </c>
    </row>
    <row r="3825" spans="2:8" ht="17.5" customHeight="1" x14ac:dyDescent="0.4">
      <c r="B3825" t="s">
        <v>7</v>
      </c>
      <c r="C3825" t="s">
        <v>857</v>
      </c>
      <c r="D3825" s="7">
        <f>DATE(2018,4,5)</f>
        <v>43195</v>
      </c>
      <c r="E3825" s="8">
        <f t="shared" si="63"/>
        <v>2018</v>
      </c>
      <c r="F3825" t="s">
        <v>859</v>
      </c>
      <c r="G3825" s="9">
        <v>43847.61</v>
      </c>
      <c r="H3825" s="8">
        <v>26757</v>
      </c>
    </row>
    <row r="3826" spans="2:8" ht="17.5" customHeight="1" x14ac:dyDescent="0.4">
      <c r="B3826" t="s">
        <v>7</v>
      </c>
      <c r="C3826" t="s">
        <v>857</v>
      </c>
      <c r="D3826" s="7">
        <f>DATE(2018,10,30)</f>
        <v>43403</v>
      </c>
      <c r="E3826" s="8">
        <f t="shared" si="63"/>
        <v>2018</v>
      </c>
      <c r="F3826" t="s">
        <v>859</v>
      </c>
      <c r="G3826" s="9">
        <v>29173</v>
      </c>
      <c r="H3826" s="8">
        <v>27710</v>
      </c>
    </row>
    <row r="3827" spans="2:8" ht="17.5" customHeight="1" x14ac:dyDescent="0.4">
      <c r="B3827" t="s">
        <v>7</v>
      </c>
      <c r="C3827" t="s">
        <v>857</v>
      </c>
      <c r="D3827" s="7">
        <f>DATE(2016,3,29)</f>
        <v>42458</v>
      </c>
      <c r="E3827" s="8">
        <f t="shared" si="63"/>
        <v>2016</v>
      </c>
      <c r="F3827" t="s">
        <v>859</v>
      </c>
      <c r="G3827" s="9">
        <v>13700</v>
      </c>
      <c r="H3827" s="8">
        <v>21992</v>
      </c>
    </row>
    <row r="3828" spans="2:8" ht="17.5" customHeight="1" x14ac:dyDescent="0.4">
      <c r="B3828" t="s">
        <v>7</v>
      </c>
      <c r="C3828" t="s">
        <v>857</v>
      </c>
      <c r="D3828" s="7">
        <f>DATE(2018,1,24)</f>
        <v>43124</v>
      </c>
      <c r="E3828" s="8">
        <f t="shared" si="63"/>
        <v>2018</v>
      </c>
      <c r="F3828" t="s">
        <v>859</v>
      </c>
      <c r="G3828" s="9">
        <v>9978.15</v>
      </c>
      <c r="H3828" s="8">
        <v>26240</v>
      </c>
    </row>
    <row r="3829" spans="2:8" ht="17.5" customHeight="1" x14ac:dyDescent="0.4">
      <c r="B3829" t="s">
        <v>7</v>
      </c>
      <c r="C3829" t="s">
        <v>857</v>
      </c>
      <c r="D3829" s="7">
        <f>DATE(2019,4,29)</f>
        <v>43584</v>
      </c>
      <c r="E3829" s="8">
        <f t="shared" si="63"/>
        <v>2019</v>
      </c>
      <c r="F3829" t="s">
        <v>859</v>
      </c>
      <c r="G3829" s="9">
        <v>5204.22</v>
      </c>
      <c r="H3829" s="8">
        <v>28865</v>
      </c>
    </row>
    <row r="3830" spans="2:8" ht="17.5" customHeight="1" x14ac:dyDescent="0.4">
      <c r="B3830" t="s">
        <v>7</v>
      </c>
      <c r="C3830" t="s">
        <v>857</v>
      </c>
      <c r="D3830" s="7">
        <f>DATE(2004,9,15)</f>
        <v>38245</v>
      </c>
      <c r="E3830" s="8">
        <f t="shared" si="63"/>
        <v>2004</v>
      </c>
      <c r="F3830" t="s">
        <v>859</v>
      </c>
      <c r="G3830" s="9">
        <v>4813.09</v>
      </c>
      <c r="H3830" s="8">
        <v>2179</v>
      </c>
    </row>
    <row r="3831" spans="2:8" ht="17.5" customHeight="1" x14ac:dyDescent="0.4">
      <c r="B3831" t="s">
        <v>7</v>
      </c>
      <c r="C3831" t="s">
        <v>857</v>
      </c>
      <c r="D3831" s="7">
        <f>DATE(2003,2,3)</f>
        <v>37655</v>
      </c>
      <c r="E3831" s="8">
        <f t="shared" si="63"/>
        <v>2003</v>
      </c>
      <c r="F3831" t="s">
        <v>859</v>
      </c>
      <c r="G3831" s="9">
        <v>27650.85</v>
      </c>
      <c r="H3831" s="8">
        <v>154</v>
      </c>
    </row>
    <row r="3832" spans="2:8" ht="17.5" customHeight="1" x14ac:dyDescent="0.4">
      <c r="B3832" t="s">
        <v>7</v>
      </c>
      <c r="C3832" t="s">
        <v>857</v>
      </c>
      <c r="D3832" s="7">
        <f>DATE(2003,2,22)</f>
        <v>37674</v>
      </c>
      <c r="E3832" s="8">
        <f t="shared" si="63"/>
        <v>2003</v>
      </c>
      <c r="F3832" t="s">
        <v>859</v>
      </c>
      <c r="G3832" s="9">
        <v>21789.19</v>
      </c>
      <c r="H3832" s="8">
        <v>114</v>
      </c>
    </row>
    <row r="3833" spans="2:8" ht="17.5" customHeight="1" x14ac:dyDescent="0.4">
      <c r="B3833" t="s">
        <v>7</v>
      </c>
      <c r="C3833" t="s">
        <v>857</v>
      </c>
      <c r="D3833" s="7">
        <f>DATE(2004,3,19)</f>
        <v>38065</v>
      </c>
      <c r="E3833" s="8">
        <f t="shared" si="63"/>
        <v>2004</v>
      </c>
      <c r="F3833" t="s">
        <v>859</v>
      </c>
      <c r="G3833" s="9">
        <v>19729.43</v>
      </c>
      <c r="H3833" s="8">
        <v>1151</v>
      </c>
    </row>
    <row r="3834" spans="2:8" ht="17.5" customHeight="1" x14ac:dyDescent="0.4">
      <c r="B3834" t="s">
        <v>7</v>
      </c>
      <c r="C3834" t="s">
        <v>857</v>
      </c>
      <c r="D3834" s="7">
        <f>DATE(2004,3,11)</f>
        <v>38057</v>
      </c>
      <c r="E3834" s="8">
        <f t="shared" si="63"/>
        <v>2004</v>
      </c>
      <c r="F3834" t="s">
        <v>859</v>
      </c>
      <c r="G3834" s="9">
        <v>80335.320000000007</v>
      </c>
      <c r="H3834" s="8">
        <v>1080</v>
      </c>
    </row>
    <row r="3835" spans="2:8" ht="17.5" customHeight="1" x14ac:dyDescent="0.4">
      <c r="B3835" t="s">
        <v>7</v>
      </c>
      <c r="C3835" t="s">
        <v>857</v>
      </c>
      <c r="D3835" s="7">
        <f>DATE(2004,4,8)</f>
        <v>38085</v>
      </c>
      <c r="E3835" s="8">
        <f t="shared" si="63"/>
        <v>2004</v>
      </c>
      <c r="F3835" t="s">
        <v>859</v>
      </c>
      <c r="G3835" s="9">
        <v>22751.56</v>
      </c>
      <c r="H3835" s="8">
        <v>1312</v>
      </c>
    </row>
    <row r="3836" spans="2:8" ht="17.5" customHeight="1" x14ac:dyDescent="0.4">
      <c r="B3836" t="s">
        <v>7</v>
      </c>
      <c r="C3836" t="s">
        <v>857</v>
      </c>
      <c r="D3836" s="7">
        <f>DATE(2004,6,27)</f>
        <v>38165</v>
      </c>
      <c r="E3836" s="8">
        <f t="shared" si="63"/>
        <v>2004</v>
      </c>
      <c r="F3836" t="s">
        <v>859</v>
      </c>
      <c r="G3836" s="9">
        <v>7138.48</v>
      </c>
      <c r="H3836" s="8">
        <v>1927</v>
      </c>
    </row>
    <row r="3837" spans="2:8" ht="17.5" customHeight="1" x14ac:dyDescent="0.4">
      <c r="B3837" t="s">
        <v>7</v>
      </c>
      <c r="C3837" t="s">
        <v>857</v>
      </c>
      <c r="D3837" s="7">
        <f>DATE(2005,4,8)</f>
        <v>38450</v>
      </c>
      <c r="E3837" s="8">
        <f t="shared" si="63"/>
        <v>2005</v>
      </c>
      <c r="F3837" t="s">
        <v>859</v>
      </c>
      <c r="G3837" s="9">
        <v>17156.3</v>
      </c>
      <c r="H3837" s="8">
        <v>2779</v>
      </c>
    </row>
    <row r="3838" spans="2:8" ht="17.5" customHeight="1" x14ac:dyDescent="0.4">
      <c r="B3838" t="s">
        <v>7</v>
      </c>
      <c r="C3838" t="s">
        <v>857</v>
      </c>
      <c r="D3838" s="7">
        <f>DATE(2006,3,8)</f>
        <v>38784</v>
      </c>
      <c r="E3838" s="8">
        <f t="shared" si="63"/>
        <v>2006</v>
      </c>
      <c r="F3838" t="s">
        <v>859</v>
      </c>
      <c r="G3838" s="9">
        <v>25659.3</v>
      </c>
      <c r="H3838" s="8">
        <v>4235</v>
      </c>
    </row>
    <row r="3839" spans="2:8" ht="17.5" customHeight="1" x14ac:dyDescent="0.4">
      <c r="B3839" t="s">
        <v>7</v>
      </c>
      <c r="C3839" t="s">
        <v>857</v>
      </c>
      <c r="D3839" s="7">
        <f>DATE(2006,3,28)</f>
        <v>38804</v>
      </c>
      <c r="E3839" s="8">
        <f t="shared" si="63"/>
        <v>2006</v>
      </c>
      <c r="F3839" t="s">
        <v>859</v>
      </c>
      <c r="G3839" s="9">
        <v>5001.08</v>
      </c>
      <c r="H3839" s="8">
        <v>4227</v>
      </c>
    </row>
    <row r="3840" spans="2:8" ht="17.5" customHeight="1" x14ac:dyDescent="0.4">
      <c r="B3840" t="s">
        <v>7</v>
      </c>
      <c r="C3840" t="s">
        <v>857</v>
      </c>
      <c r="D3840" s="7">
        <f>DATE(2006,3,7)</f>
        <v>38783</v>
      </c>
      <c r="E3840" s="8">
        <f t="shared" si="63"/>
        <v>2006</v>
      </c>
      <c r="F3840" t="s">
        <v>859</v>
      </c>
      <c r="G3840" s="9">
        <v>5253.84</v>
      </c>
      <c r="H3840" s="8">
        <v>4249</v>
      </c>
    </row>
    <row r="3841" spans="2:8" ht="17.5" customHeight="1" x14ac:dyDescent="0.4">
      <c r="B3841" t="s">
        <v>7</v>
      </c>
      <c r="C3841" t="s">
        <v>857</v>
      </c>
      <c r="D3841" s="7">
        <f>DATE(2007,5,1)</f>
        <v>39203</v>
      </c>
      <c r="E3841" s="8">
        <f t="shared" si="63"/>
        <v>2007</v>
      </c>
      <c r="F3841" t="s">
        <v>859</v>
      </c>
      <c r="G3841" s="9">
        <v>29907.45</v>
      </c>
      <c r="H3841" s="8">
        <v>5806</v>
      </c>
    </row>
    <row r="3842" spans="2:8" ht="17.5" customHeight="1" x14ac:dyDescent="0.4">
      <c r="B3842" t="s">
        <v>7</v>
      </c>
      <c r="C3842" t="s">
        <v>857</v>
      </c>
      <c r="D3842" s="7">
        <f>DATE(2008,2,13)</f>
        <v>39491</v>
      </c>
      <c r="E3842" s="8">
        <f t="shared" si="63"/>
        <v>2008</v>
      </c>
      <c r="F3842" t="s">
        <v>859</v>
      </c>
      <c r="G3842" s="9">
        <v>31328.86</v>
      </c>
      <c r="H3842" s="8">
        <v>6788</v>
      </c>
    </row>
    <row r="3843" spans="2:8" ht="17.5" customHeight="1" x14ac:dyDescent="0.4">
      <c r="B3843" t="s">
        <v>7</v>
      </c>
      <c r="C3843" t="s">
        <v>857</v>
      </c>
      <c r="D3843" s="7">
        <f>DATE(2008,6,1)</f>
        <v>39600</v>
      </c>
      <c r="E3843" s="8">
        <f t="shared" ref="E3843:E3906" si="64">YEAR(D3843)</f>
        <v>2008</v>
      </c>
      <c r="F3843" t="s">
        <v>859</v>
      </c>
      <c r="G3843" s="9">
        <v>57154.82</v>
      </c>
      <c r="H3843" s="8">
        <v>7357</v>
      </c>
    </row>
    <row r="3844" spans="2:8" ht="17.5" customHeight="1" x14ac:dyDescent="0.4">
      <c r="B3844" t="s">
        <v>7</v>
      </c>
      <c r="C3844" t="s">
        <v>857</v>
      </c>
      <c r="D3844" s="7">
        <f>DATE(2009,4,3)</f>
        <v>39906</v>
      </c>
      <c r="E3844" s="8">
        <f t="shared" si="64"/>
        <v>2009</v>
      </c>
      <c r="F3844" t="s">
        <v>859</v>
      </c>
      <c r="G3844" s="9">
        <v>21110.53</v>
      </c>
      <c r="H3844" s="8">
        <v>8549</v>
      </c>
    </row>
    <row r="3845" spans="2:8" ht="17.5" customHeight="1" x14ac:dyDescent="0.4">
      <c r="B3845" t="s">
        <v>7</v>
      </c>
      <c r="C3845" t="s">
        <v>857</v>
      </c>
      <c r="D3845" s="7">
        <f>DATE(2009,4,27)</f>
        <v>39930</v>
      </c>
      <c r="E3845" s="8">
        <f t="shared" si="64"/>
        <v>2009</v>
      </c>
      <c r="F3845" t="s">
        <v>859</v>
      </c>
      <c r="G3845" s="9">
        <v>18075.8</v>
      </c>
      <c r="H3845" s="8">
        <v>8459</v>
      </c>
    </row>
    <row r="3846" spans="2:8" ht="17.5" customHeight="1" x14ac:dyDescent="0.4">
      <c r="B3846" t="s">
        <v>7</v>
      </c>
      <c r="C3846" t="s">
        <v>857</v>
      </c>
      <c r="D3846" s="7">
        <f>DATE(2009,4,27)</f>
        <v>39930</v>
      </c>
      <c r="E3846" s="8">
        <f t="shared" si="64"/>
        <v>2009</v>
      </c>
      <c r="F3846" t="s">
        <v>859</v>
      </c>
      <c r="G3846" s="9">
        <v>12275</v>
      </c>
      <c r="H3846" s="8">
        <v>8460</v>
      </c>
    </row>
    <row r="3847" spans="2:8" ht="17.5" customHeight="1" x14ac:dyDescent="0.4">
      <c r="B3847" t="s">
        <v>7</v>
      </c>
      <c r="C3847" t="s">
        <v>857</v>
      </c>
      <c r="D3847" s="7">
        <f>DATE(2009,4,27)</f>
        <v>39930</v>
      </c>
      <c r="E3847" s="8">
        <f t="shared" si="64"/>
        <v>2009</v>
      </c>
      <c r="F3847" t="s">
        <v>859</v>
      </c>
      <c r="G3847" s="9">
        <v>28553.91</v>
      </c>
      <c r="H3847" s="8">
        <v>8565</v>
      </c>
    </row>
    <row r="3848" spans="2:8" ht="17.5" customHeight="1" x14ac:dyDescent="0.4">
      <c r="B3848" t="s">
        <v>7</v>
      </c>
      <c r="C3848" t="s">
        <v>857</v>
      </c>
      <c r="D3848" s="7">
        <f>DATE(2009,9,23)</f>
        <v>40079</v>
      </c>
      <c r="E3848" s="8">
        <f t="shared" si="64"/>
        <v>2009</v>
      </c>
      <c r="F3848" t="s">
        <v>859</v>
      </c>
      <c r="G3848" s="9">
        <v>52894.46</v>
      </c>
      <c r="H3848" s="8">
        <v>9059</v>
      </c>
    </row>
    <row r="3849" spans="2:8" ht="17.5" customHeight="1" x14ac:dyDescent="0.4">
      <c r="B3849" t="s">
        <v>7</v>
      </c>
      <c r="C3849" t="s">
        <v>857</v>
      </c>
      <c r="D3849" s="7">
        <f>DATE(2010,5,28)</f>
        <v>40326</v>
      </c>
      <c r="E3849" s="8">
        <f t="shared" si="64"/>
        <v>2010</v>
      </c>
      <c r="F3849" t="s">
        <v>859</v>
      </c>
      <c r="G3849" s="9">
        <v>66053.740000000005</v>
      </c>
      <c r="H3849" s="8">
        <v>9735</v>
      </c>
    </row>
    <row r="3850" spans="2:8" ht="17.5" customHeight="1" x14ac:dyDescent="0.4">
      <c r="B3850" t="s">
        <v>7</v>
      </c>
      <c r="C3850" t="s">
        <v>857</v>
      </c>
      <c r="D3850" s="7">
        <f>DATE(2010,7,6)</f>
        <v>40365</v>
      </c>
      <c r="E3850" s="8">
        <f t="shared" si="64"/>
        <v>2010</v>
      </c>
      <c r="F3850" t="s">
        <v>859</v>
      </c>
      <c r="G3850" s="9">
        <v>60361.32</v>
      </c>
      <c r="H3850" s="8">
        <v>9878</v>
      </c>
    </row>
    <row r="3851" spans="2:8" ht="17.5" customHeight="1" x14ac:dyDescent="0.4">
      <c r="B3851" t="s">
        <v>7</v>
      </c>
      <c r="C3851" t="s">
        <v>857</v>
      </c>
      <c r="D3851" s="7">
        <f>DATE(2012,4,4)</f>
        <v>41003</v>
      </c>
      <c r="E3851" s="8">
        <f t="shared" si="64"/>
        <v>2012</v>
      </c>
      <c r="F3851" t="s">
        <v>859</v>
      </c>
      <c r="G3851" s="9">
        <v>27713.13</v>
      </c>
      <c r="H3851" s="8">
        <v>11319</v>
      </c>
    </row>
    <row r="3852" spans="2:8" ht="17.5" customHeight="1" x14ac:dyDescent="0.4">
      <c r="B3852" t="s">
        <v>7</v>
      </c>
      <c r="C3852" t="s">
        <v>857</v>
      </c>
      <c r="D3852" s="7">
        <f>DATE(2012,11,26)</f>
        <v>41239</v>
      </c>
      <c r="E3852" s="8">
        <f t="shared" si="64"/>
        <v>2012</v>
      </c>
      <c r="F3852" t="s">
        <v>859</v>
      </c>
      <c r="G3852" s="9">
        <v>44646.49</v>
      </c>
      <c r="H3852" s="8">
        <v>11935</v>
      </c>
    </row>
    <row r="3853" spans="2:8" ht="17.5" customHeight="1" x14ac:dyDescent="0.4">
      <c r="B3853" t="s">
        <v>7</v>
      </c>
      <c r="C3853" t="s">
        <v>857</v>
      </c>
      <c r="D3853" s="7">
        <f>DATE(2013,2,22)</f>
        <v>41327</v>
      </c>
      <c r="E3853" s="8">
        <f t="shared" si="64"/>
        <v>2013</v>
      </c>
      <c r="F3853" t="s">
        <v>859</v>
      </c>
      <c r="G3853" s="9">
        <v>20989.8</v>
      </c>
      <c r="H3853" s="8">
        <v>12113</v>
      </c>
    </row>
    <row r="3854" spans="2:8" ht="17.5" customHeight="1" x14ac:dyDescent="0.4">
      <c r="B3854" t="s">
        <v>7</v>
      </c>
      <c r="C3854" t="s">
        <v>857</v>
      </c>
      <c r="D3854" s="7">
        <f>DATE(2013,4,10)</f>
        <v>41374</v>
      </c>
      <c r="E3854" s="8">
        <f t="shared" si="64"/>
        <v>2013</v>
      </c>
      <c r="F3854" t="s">
        <v>859</v>
      </c>
      <c r="G3854" s="9">
        <v>31510.67</v>
      </c>
      <c r="H3854" s="8">
        <v>12199</v>
      </c>
    </row>
    <row r="3855" spans="2:8" ht="17.5" customHeight="1" x14ac:dyDescent="0.4">
      <c r="B3855" t="s">
        <v>7</v>
      </c>
      <c r="C3855" t="s">
        <v>857</v>
      </c>
      <c r="D3855" s="7">
        <f>DATE(2014,4,25)</f>
        <v>41754</v>
      </c>
      <c r="E3855" s="8">
        <f t="shared" si="64"/>
        <v>2014</v>
      </c>
      <c r="F3855" t="s">
        <v>859</v>
      </c>
      <c r="G3855" s="9">
        <v>32420.98</v>
      </c>
      <c r="H3855" s="8">
        <v>13052</v>
      </c>
    </row>
    <row r="3856" spans="2:8" ht="17.5" customHeight="1" x14ac:dyDescent="0.4">
      <c r="B3856" t="s">
        <v>7</v>
      </c>
      <c r="C3856" t="s">
        <v>857</v>
      </c>
      <c r="D3856" s="7">
        <f>DATE(2014,10,22)</f>
        <v>41934</v>
      </c>
      <c r="E3856" s="8">
        <f t="shared" si="64"/>
        <v>2014</v>
      </c>
      <c r="F3856" t="s">
        <v>859</v>
      </c>
      <c r="G3856" s="9">
        <v>20989.8</v>
      </c>
      <c r="H3856" s="8">
        <v>13382</v>
      </c>
    </row>
    <row r="3857" spans="2:8" ht="17.5" customHeight="1" x14ac:dyDescent="0.4">
      <c r="B3857" t="s">
        <v>16</v>
      </c>
      <c r="C3857" t="s">
        <v>857</v>
      </c>
      <c r="D3857" s="7">
        <f>DATE(2004,6,27)</f>
        <v>38165</v>
      </c>
      <c r="E3857" s="8">
        <f t="shared" si="64"/>
        <v>2004</v>
      </c>
      <c r="F3857" t="s">
        <v>859</v>
      </c>
      <c r="G3857" s="9">
        <v>243</v>
      </c>
      <c r="H3857" s="8">
        <v>2099</v>
      </c>
    </row>
    <row r="3858" spans="2:8" ht="17.5" customHeight="1" x14ac:dyDescent="0.4">
      <c r="B3858" t="s">
        <v>7</v>
      </c>
      <c r="C3858" t="s">
        <v>860</v>
      </c>
      <c r="D3858" s="7">
        <f>DATE(2009,5,13)</f>
        <v>39946</v>
      </c>
      <c r="E3858" s="8">
        <f t="shared" si="64"/>
        <v>2009</v>
      </c>
      <c r="F3858" t="s">
        <v>861</v>
      </c>
      <c r="G3858" s="9">
        <v>12841.32</v>
      </c>
      <c r="H3858" s="8">
        <v>8670</v>
      </c>
    </row>
    <row r="3859" spans="2:8" ht="17.5" customHeight="1" x14ac:dyDescent="0.4">
      <c r="B3859" t="s">
        <v>7</v>
      </c>
      <c r="C3859" t="s">
        <v>860</v>
      </c>
      <c r="D3859" s="7">
        <f>DATE(2005,6,22)</f>
        <v>38525</v>
      </c>
      <c r="E3859" s="8">
        <f t="shared" si="64"/>
        <v>2005</v>
      </c>
      <c r="F3859" t="s">
        <v>862</v>
      </c>
      <c r="G3859" s="9">
        <v>4762.63</v>
      </c>
      <c r="H3859" s="8">
        <v>3318</v>
      </c>
    </row>
    <row r="3860" spans="2:8" ht="17.5" customHeight="1" x14ac:dyDescent="0.4">
      <c r="B3860" t="s">
        <v>7</v>
      </c>
      <c r="C3860" t="s">
        <v>860</v>
      </c>
      <c r="D3860" s="7">
        <f>DATE(2006,10,17)</f>
        <v>39007</v>
      </c>
      <c r="E3860" s="8">
        <f t="shared" si="64"/>
        <v>2006</v>
      </c>
      <c r="F3860" t="s">
        <v>862</v>
      </c>
      <c r="G3860" s="9">
        <v>3002.67</v>
      </c>
      <c r="H3860" s="8">
        <v>5088</v>
      </c>
    </row>
    <row r="3861" spans="2:8" ht="17.5" customHeight="1" x14ac:dyDescent="0.4">
      <c r="B3861" t="s">
        <v>7</v>
      </c>
      <c r="C3861" t="s">
        <v>860</v>
      </c>
      <c r="D3861" s="7">
        <f>DATE(2016,9,15)</f>
        <v>42628</v>
      </c>
      <c r="E3861" s="8">
        <f t="shared" si="64"/>
        <v>2016</v>
      </c>
      <c r="F3861" t="s">
        <v>863</v>
      </c>
      <c r="G3861" s="9">
        <v>507</v>
      </c>
      <c r="H3861" s="8">
        <v>23438</v>
      </c>
    </row>
    <row r="3862" spans="2:8" ht="17.5" customHeight="1" x14ac:dyDescent="0.4">
      <c r="B3862" t="s">
        <v>7</v>
      </c>
      <c r="C3862" t="s">
        <v>860</v>
      </c>
      <c r="D3862" s="7">
        <f>DATE(2009,4,30)</f>
        <v>39933</v>
      </c>
      <c r="E3862" s="8">
        <f t="shared" si="64"/>
        <v>2009</v>
      </c>
      <c r="F3862" t="s">
        <v>863</v>
      </c>
      <c r="G3862" s="9">
        <v>36338</v>
      </c>
      <c r="H3862" s="8">
        <v>8631</v>
      </c>
    </row>
    <row r="3863" spans="2:8" ht="17.5" customHeight="1" x14ac:dyDescent="0.4">
      <c r="B3863" t="s">
        <v>7</v>
      </c>
      <c r="C3863" t="s">
        <v>860</v>
      </c>
      <c r="D3863" s="7">
        <f>DATE(2009,4,30)</f>
        <v>39933</v>
      </c>
      <c r="E3863" s="8">
        <f t="shared" si="64"/>
        <v>2009</v>
      </c>
      <c r="F3863" t="s">
        <v>863</v>
      </c>
      <c r="G3863" s="9">
        <v>26130</v>
      </c>
      <c r="H3863" s="8">
        <v>8632</v>
      </c>
    </row>
    <row r="3864" spans="2:8" ht="17.5" customHeight="1" x14ac:dyDescent="0.4">
      <c r="B3864" t="s">
        <v>7</v>
      </c>
      <c r="C3864" t="s">
        <v>860</v>
      </c>
      <c r="D3864" s="7">
        <f>DATE(2012,3,14)</f>
        <v>40982</v>
      </c>
      <c r="E3864" s="8">
        <f t="shared" si="64"/>
        <v>2012</v>
      </c>
      <c r="F3864" t="s">
        <v>863</v>
      </c>
      <c r="G3864" s="9">
        <v>10412.969999999999</v>
      </c>
      <c r="H3864" s="8">
        <v>11418</v>
      </c>
    </row>
    <row r="3865" spans="2:8" ht="17.5" customHeight="1" x14ac:dyDescent="0.4">
      <c r="B3865" t="s">
        <v>7</v>
      </c>
      <c r="C3865" t="s">
        <v>864</v>
      </c>
      <c r="D3865" s="7">
        <f>DATE(2017,4,28)</f>
        <v>42853</v>
      </c>
      <c r="E3865" s="8">
        <f t="shared" si="64"/>
        <v>2017</v>
      </c>
      <c r="F3865" t="s">
        <v>865</v>
      </c>
      <c r="G3865" s="9">
        <v>6012.57</v>
      </c>
      <c r="H3865" s="8">
        <v>24795</v>
      </c>
    </row>
    <row r="3866" spans="2:8" ht="17.5" customHeight="1" x14ac:dyDescent="0.4">
      <c r="B3866" t="s">
        <v>7</v>
      </c>
      <c r="C3866" t="s">
        <v>864</v>
      </c>
      <c r="D3866" s="7">
        <f>DATE(2013,2,14)</f>
        <v>41319</v>
      </c>
      <c r="E3866" s="8">
        <f t="shared" si="64"/>
        <v>2013</v>
      </c>
      <c r="F3866" t="s">
        <v>865</v>
      </c>
      <c r="G3866" s="9">
        <v>12973.5</v>
      </c>
      <c r="H3866" s="8">
        <v>12056</v>
      </c>
    </row>
    <row r="3867" spans="2:8" ht="17.5" customHeight="1" x14ac:dyDescent="0.4">
      <c r="B3867" t="s">
        <v>7</v>
      </c>
      <c r="C3867" t="s">
        <v>864</v>
      </c>
      <c r="D3867" s="7">
        <f>DATE(2010,2,25)</f>
        <v>40234</v>
      </c>
      <c r="E3867" s="8">
        <f t="shared" si="64"/>
        <v>2010</v>
      </c>
      <c r="F3867" t="s">
        <v>865</v>
      </c>
      <c r="G3867" s="9">
        <v>7083.93</v>
      </c>
      <c r="H3867" s="8">
        <v>9526</v>
      </c>
    </row>
    <row r="3868" spans="2:8" ht="17.5" customHeight="1" x14ac:dyDescent="0.4">
      <c r="B3868" t="s">
        <v>7</v>
      </c>
      <c r="C3868" t="s">
        <v>864</v>
      </c>
      <c r="D3868" s="7">
        <f>DATE(2012,8,7)</f>
        <v>41128</v>
      </c>
      <c r="E3868" s="8">
        <f t="shared" si="64"/>
        <v>2012</v>
      </c>
      <c r="F3868" t="s">
        <v>865</v>
      </c>
      <c r="G3868" s="9">
        <v>2700</v>
      </c>
      <c r="H3868" s="8">
        <v>11765</v>
      </c>
    </row>
    <row r="3869" spans="2:8" ht="17.5" customHeight="1" x14ac:dyDescent="0.4">
      <c r="B3869" t="s">
        <v>7</v>
      </c>
      <c r="C3869" t="s">
        <v>864</v>
      </c>
      <c r="D3869" s="7">
        <f>DATE(2012,12,20)</f>
        <v>41263</v>
      </c>
      <c r="E3869" s="8">
        <f t="shared" si="64"/>
        <v>2012</v>
      </c>
      <c r="F3869" t="s">
        <v>865</v>
      </c>
      <c r="G3869" s="9">
        <v>52146.66</v>
      </c>
      <c r="H3869" s="8">
        <v>12019</v>
      </c>
    </row>
    <row r="3870" spans="2:8" ht="17.5" customHeight="1" x14ac:dyDescent="0.4">
      <c r="B3870" t="s">
        <v>7</v>
      </c>
      <c r="C3870" t="s">
        <v>864</v>
      </c>
      <c r="D3870" s="7">
        <f>DATE(2013,2,14)</f>
        <v>41319</v>
      </c>
      <c r="E3870" s="8">
        <f t="shared" si="64"/>
        <v>2013</v>
      </c>
      <c r="F3870" t="s">
        <v>865</v>
      </c>
      <c r="G3870" s="9">
        <v>53668.65</v>
      </c>
      <c r="H3870" s="8">
        <v>12126</v>
      </c>
    </row>
    <row r="3871" spans="2:8" ht="17.5" customHeight="1" x14ac:dyDescent="0.4">
      <c r="B3871" t="s">
        <v>7</v>
      </c>
      <c r="C3871" t="s">
        <v>864</v>
      </c>
      <c r="D3871" s="7">
        <f>DATE(2014,1,9)</f>
        <v>41648</v>
      </c>
      <c r="E3871" s="8">
        <f t="shared" si="64"/>
        <v>2014</v>
      </c>
      <c r="F3871" t="s">
        <v>865</v>
      </c>
      <c r="G3871" s="9">
        <v>72295.95</v>
      </c>
      <c r="H3871" s="8">
        <v>12812</v>
      </c>
    </row>
    <row r="3872" spans="2:8" ht="17.5" customHeight="1" x14ac:dyDescent="0.4">
      <c r="B3872" t="s">
        <v>7</v>
      </c>
      <c r="C3872" t="s">
        <v>864</v>
      </c>
      <c r="D3872" s="7">
        <f>DATE(2013,2,11)</f>
        <v>41316</v>
      </c>
      <c r="E3872" s="8">
        <f t="shared" si="64"/>
        <v>2013</v>
      </c>
      <c r="F3872" t="s">
        <v>865</v>
      </c>
      <c r="G3872" s="9">
        <v>2576.02</v>
      </c>
      <c r="H3872" s="8">
        <v>12125</v>
      </c>
    </row>
    <row r="3873" spans="2:8" ht="17.5" customHeight="1" x14ac:dyDescent="0.4">
      <c r="B3873" t="s">
        <v>7</v>
      </c>
      <c r="C3873" t="s">
        <v>864</v>
      </c>
      <c r="D3873" s="7">
        <f>DATE(2014,3,18)</f>
        <v>41716</v>
      </c>
      <c r="E3873" s="8">
        <f t="shared" si="64"/>
        <v>2014</v>
      </c>
      <c r="F3873" t="s">
        <v>865</v>
      </c>
      <c r="G3873" s="9">
        <v>6951.33</v>
      </c>
      <c r="H3873" s="8">
        <v>13047</v>
      </c>
    </row>
    <row r="3874" spans="2:8" ht="17.5" customHeight="1" x14ac:dyDescent="0.4">
      <c r="B3874" t="s">
        <v>7</v>
      </c>
      <c r="C3874" t="s">
        <v>864</v>
      </c>
      <c r="D3874" s="7">
        <f>DATE(2009,6,11)</f>
        <v>39975</v>
      </c>
      <c r="E3874" s="8">
        <f t="shared" si="64"/>
        <v>2009</v>
      </c>
      <c r="F3874" t="s">
        <v>866</v>
      </c>
      <c r="G3874" s="9">
        <v>4986.5200000000004</v>
      </c>
      <c r="H3874" s="8">
        <v>8777</v>
      </c>
    </row>
    <row r="3875" spans="2:8" ht="17.5" customHeight="1" x14ac:dyDescent="0.4">
      <c r="B3875" t="s">
        <v>7</v>
      </c>
      <c r="C3875" t="s">
        <v>867</v>
      </c>
      <c r="D3875" s="7">
        <f>DATE(2006,5,25)</f>
        <v>38862</v>
      </c>
      <c r="E3875" s="8">
        <f t="shared" si="64"/>
        <v>2006</v>
      </c>
      <c r="F3875" t="s">
        <v>868</v>
      </c>
      <c r="G3875" s="9">
        <v>10941.17</v>
      </c>
      <c r="H3875" s="8">
        <v>4594</v>
      </c>
    </row>
    <row r="3876" spans="2:8" ht="17.5" customHeight="1" x14ac:dyDescent="0.4">
      <c r="B3876" t="s">
        <v>7</v>
      </c>
      <c r="C3876" t="s">
        <v>867</v>
      </c>
      <c r="D3876" s="7">
        <f>DATE(2008,4,26)</f>
        <v>39564</v>
      </c>
      <c r="E3876" s="8">
        <f t="shared" si="64"/>
        <v>2008</v>
      </c>
      <c r="F3876" t="s">
        <v>868</v>
      </c>
      <c r="G3876" s="9">
        <v>11334.46</v>
      </c>
      <c r="H3876" s="8">
        <v>7312</v>
      </c>
    </row>
    <row r="3877" spans="2:8" ht="17.5" customHeight="1" x14ac:dyDescent="0.4">
      <c r="B3877" t="s">
        <v>7</v>
      </c>
      <c r="C3877" t="s">
        <v>867</v>
      </c>
      <c r="D3877" s="7">
        <f>DATE(2008,10,5)</f>
        <v>39726</v>
      </c>
      <c r="E3877" s="8">
        <f t="shared" si="64"/>
        <v>2008</v>
      </c>
      <c r="F3877" t="s">
        <v>868</v>
      </c>
      <c r="G3877" s="9">
        <v>18807.009999999998</v>
      </c>
      <c r="H3877" s="8">
        <v>7887</v>
      </c>
    </row>
    <row r="3878" spans="2:8" ht="17.5" customHeight="1" x14ac:dyDescent="0.4">
      <c r="B3878" s="3" t="s">
        <v>7</v>
      </c>
      <c r="C3878" s="3" t="s">
        <v>869</v>
      </c>
      <c r="D3878" s="4">
        <f>DATE(2008,12,5)</f>
        <v>39787</v>
      </c>
      <c r="E3878" s="5">
        <f t="shared" si="64"/>
        <v>2008</v>
      </c>
      <c r="F3878" s="3" t="s">
        <v>870</v>
      </c>
      <c r="G3878" s="6">
        <v>12641.6</v>
      </c>
      <c r="H3878" s="5">
        <v>11648</v>
      </c>
    </row>
    <row r="3879" spans="2:8" ht="17.5" customHeight="1" x14ac:dyDescent="0.4">
      <c r="B3879" s="3" t="s">
        <v>7</v>
      </c>
      <c r="C3879" s="3" t="s">
        <v>869</v>
      </c>
      <c r="D3879" s="4">
        <f>DATE(2009,6,19)</f>
        <v>39983</v>
      </c>
      <c r="E3879" s="5">
        <f t="shared" si="64"/>
        <v>2009</v>
      </c>
      <c r="F3879" s="3" t="s">
        <v>870</v>
      </c>
      <c r="G3879" s="6">
        <v>9202.2800000000007</v>
      </c>
      <c r="H3879" s="5">
        <v>12685</v>
      </c>
    </row>
    <row r="3880" spans="2:8" ht="17.5" customHeight="1" x14ac:dyDescent="0.4">
      <c r="B3880" s="3" t="s">
        <v>7</v>
      </c>
      <c r="C3880" s="3" t="s">
        <v>871</v>
      </c>
      <c r="D3880" s="4">
        <f>DATE(2006,9,20)</f>
        <v>38980</v>
      </c>
      <c r="E3880" s="5">
        <f t="shared" si="64"/>
        <v>2006</v>
      </c>
      <c r="F3880" s="3" t="s">
        <v>872</v>
      </c>
      <c r="G3880" s="6">
        <v>653</v>
      </c>
      <c r="H3880" s="5">
        <v>7281</v>
      </c>
    </row>
    <row r="3881" spans="2:8" ht="17.5" customHeight="1" x14ac:dyDescent="0.4">
      <c r="B3881" t="s">
        <v>7</v>
      </c>
      <c r="C3881" t="s">
        <v>873</v>
      </c>
      <c r="D3881" s="7">
        <f>DATE(2004,10,12)</f>
        <v>38272</v>
      </c>
      <c r="E3881" s="8">
        <f t="shared" si="64"/>
        <v>2004</v>
      </c>
      <c r="F3881" t="s">
        <v>874</v>
      </c>
      <c r="G3881" s="9">
        <v>5577.75</v>
      </c>
      <c r="H3881" s="8">
        <v>2279</v>
      </c>
    </row>
    <row r="3882" spans="2:8" ht="17.5" customHeight="1" x14ac:dyDescent="0.4">
      <c r="B3882" t="s">
        <v>7</v>
      </c>
      <c r="C3882" t="s">
        <v>873</v>
      </c>
      <c r="D3882" s="7">
        <f>DATE(2005,2,7)</f>
        <v>38390</v>
      </c>
      <c r="E3882" s="8">
        <f t="shared" si="64"/>
        <v>2005</v>
      </c>
      <c r="F3882" t="s">
        <v>874</v>
      </c>
      <c r="G3882" s="9">
        <v>4440</v>
      </c>
      <c r="H3882" s="8">
        <v>2710</v>
      </c>
    </row>
    <row r="3883" spans="2:8" ht="17.5" customHeight="1" x14ac:dyDescent="0.4">
      <c r="B3883" t="s">
        <v>7</v>
      </c>
      <c r="C3883" t="s">
        <v>875</v>
      </c>
      <c r="D3883" s="7">
        <f>DATE(2018,8,30)</f>
        <v>43342</v>
      </c>
      <c r="E3883" s="8">
        <f t="shared" si="64"/>
        <v>2018</v>
      </c>
      <c r="F3883" t="s">
        <v>876</v>
      </c>
      <c r="G3883" s="9">
        <v>22296.16</v>
      </c>
      <c r="H3883" s="8">
        <v>27465</v>
      </c>
    </row>
    <row r="3884" spans="2:8" ht="17.5" customHeight="1" x14ac:dyDescent="0.4">
      <c r="B3884" t="s">
        <v>7</v>
      </c>
      <c r="C3884" t="s">
        <v>875</v>
      </c>
      <c r="D3884" s="7">
        <f>DATE(2018,10,1)</f>
        <v>43374</v>
      </c>
      <c r="E3884" s="8">
        <f t="shared" si="64"/>
        <v>2018</v>
      </c>
      <c r="F3884" t="s">
        <v>876</v>
      </c>
      <c r="G3884" s="9">
        <v>11531.48</v>
      </c>
      <c r="H3884" s="8">
        <v>27466</v>
      </c>
    </row>
    <row r="3885" spans="2:8" ht="17.5" customHeight="1" x14ac:dyDescent="0.4">
      <c r="B3885" t="s">
        <v>7</v>
      </c>
      <c r="C3885" t="s">
        <v>875</v>
      </c>
      <c r="D3885" s="7">
        <f>DATE(2018,10,11)</f>
        <v>43384</v>
      </c>
      <c r="E3885" s="8">
        <f t="shared" si="64"/>
        <v>2018</v>
      </c>
      <c r="F3885" t="s">
        <v>876</v>
      </c>
      <c r="G3885" s="9">
        <v>4920.6899999999996</v>
      </c>
      <c r="H3885" s="8">
        <v>27786</v>
      </c>
    </row>
    <row r="3886" spans="2:8" ht="17.5" customHeight="1" x14ac:dyDescent="0.4">
      <c r="B3886" s="3" t="s">
        <v>7</v>
      </c>
      <c r="C3886" s="3" t="s">
        <v>877</v>
      </c>
      <c r="D3886" s="4">
        <f>DATE(2005,10,6)</f>
        <v>38631</v>
      </c>
      <c r="E3886" s="5">
        <f t="shared" si="64"/>
        <v>2005</v>
      </c>
      <c r="F3886" s="3" t="s">
        <v>878</v>
      </c>
      <c r="G3886" s="6">
        <v>2749</v>
      </c>
      <c r="H3886" s="5">
        <v>5397</v>
      </c>
    </row>
    <row r="3887" spans="2:8" ht="17.5" customHeight="1" x14ac:dyDescent="0.4">
      <c r="B3887" s="3" t="s">
        <v>7</v>
      </c>
      <c r="C3887" s="3" t="s">
        <v>879</v>
      </c>
      <c r="D3887" s="4">
        <f>DATE(2006,8,14)</f>
        <v>38943</v>
      </c>
      <c r="E3887" s="5">
        <f t="shared" si="64"/>
        <v>2006</v>
      </c>
      <c r="F3887" s="3" t="s">
        <v>880</v>
      </c>
      <c r="G3887" s="6">
        <v>2081.75</v>
      </c>
      <c r="H3887" s="5">
        <v>6994</v>
      </c>
    </row>
    <row r="3888" spans="2:8" ht="17.5" customHeight="1" x14ac:dyDescent="0.4">
      <c r="B3888" s="3" t="s">
        <v>7</v>
      </c>
      <c r="C3888" s="3" t="s">
        <v>881</v>
      </c>
      <c r="D3888" s="4">
        <f>DATE(2006,9,7)</f>
        <v>38967</v>
      </c>
      <c r="E3888" s="5">
        <f t="shared" si="64"/>
        <v>2006</v>
      </c>
      <c r="F3888" s="3" t="s">
        <v>882</v>
      </c>
      <c r="G3888" s="6">
        <v>401</v>
      </c>
      <c r="H3888" s="5">
        <v>7082</v>
      </c>
    </row>
    <row r="3889" spans="2:8" ht="17.5" customHeight="1" x14ac:dyDescent="0.4">
      <c r="B3889" s="3" t="s">
        <v>7</v>
      </c>
      <c r="C3889" s="3" t="s">
        <v>881</v>
      </c>
      <c r="D3889" s="4">
        <f>DATE(2007,1,12)</f>
        <v>39094</v>
      </c>
      <c r="E3889" s="5">
        <f t="shared" si="64"/>
        <v>2007</v>
      </c>
      <c r="F3889" s="3" t="s">
        <v>882</v>
      </c>
      <c r="G3889" s="6">
        <v>407</v>
      </c>
      <c r="H3889" s="5">
        <v>7606</v>
      </c>
    </row>
    <row r="3890" spans="2:8" ht="17.5" customHeight="1" x14ac:dyDescent="0.4">
      <c r="B3890" s="3" t="s">
        <v>7</v>
      </c>
      <c r="C3890" s="3" t="s">
        <v>881</v>
      </c>
      <c r="D3890" s="4">
        <f>DATE(2008,2,11)</f>
        <v>39489</v>
      </c>
      <c r="E3890" s="5">
        <f t="shared" si="64"/>
        <v>2008</v>
      </c>
      <c r="F3890" s="3" t="s">
        <v>882</v>
      </c>
      <c r="G3890" s="6">
        <v>4871</v>
      </c>
      <c r="H3890" s="5">
        <v>9827</v>
      </c>
    </row>
    <row r="3891" spans="2:8" ht="17.5" customHeight="1" x14ac:dyDescent="0.4">
      <c r="B3891" s="3" t="s">
        <v>7</v>
      </c>
      <c r="C3891" s="3" t="s">
        <v>881</v>
      </c>
      <c r="D3891" s="4">
        <f>DATE(2008,12,22)</f>
        <v>39804</v>
      </c>
      <c r="E3891" s="5">
        <f t="shared" si="64"/>
        <v>2008</v>
      </c>
      <c r="F3891" s="3" t="s">
        <v>882</v>
      </c>
      <c r="G3891" s="6">
        <v>159</v>
      </c>
      <c r="H3891" s="5">
        <v>11717</v>
      </c>
    </row>
    <row r="3892" spans="2:8" ht="17.5" customHeight="1" x14ac:dyDescent="0.4">
      <c r="B3892" s="3" t="s">
        <v>7</v>
      </c>
      <c r="C3892" s="3" t="s">
        <v>881</v>
      </c>
      <c r="D3892" s="4">
        <f>DATE(2010,4,21)</f>
        <v>40289</v>
      </c>
      <c r="E3892" s="5">
        <f t="shared" si="64"/>
        <v>2010</v>
      </c>
      <c r="F3892" s="3" t="s">
        <v>882</v>
      </c>
      <c r="G3892" s="6">
        <v>169</v>
      </c>
      <c r="H3892" s="5">
        <v>13942</v>
      </c>
    </row>
    <row r="3893" spans="2:8" ht="17.5" customHeight="1" x14ac:dyDescent="0.4">
      <c r="B3893" s="3" t="s">
        <v>7</v>
      </c>
      <c r="C3893" s="3" t="s">
        <v>881</v>
      </c>
      <c r="D3893" s="4">
        <f>DATE(2011,1,18)</f>
        <v>40561</v>
      </c>
      <c r="E3893" s="5">
        <f t="shared" si="64"/>
        <v>2011</v>
      </c>
      <c r="F3893" s="3" t="s">
        <v>882</v>
      </c>
      <c r="G3893" s="6">
        <v>169</v>
      </c>
      <c r="H3893" s="5">
        <v>14914</v>
      </c>
    </row>
    <row r="3894" spans="2:8" ht="17.5" customHeight="1" x14ac:dyDescent="0.4">
      <c r="B3894" s="3" t="s">
        <v>7</v>
      </c>
      <c r="C3894" s="3" t="s">
        <v>883</v>
      </c>
      <c r="D3894" s="4">
        <f>DATE(2004,3,17)</f>
        <v>38063</v>
      </c>
      <c r="E3894" s="5">
        <f t="shared" si="64"/>
        <v>2004</v>
      </c>
      <c r="F3894" s="3" t="s">
        <v>884</v>
      </c>
      <c r="G3894" s="6">
        <v>1632.42</v>
      </c>
      <c r="H3894" s="5">
        <v>2399</v>
      </c>
    </row>
    <row r="3895" spans="2:8" ht="17.5" customHeight="1" x14ac:dyDescent="0.4">
      <c r="B3895" s="3" t="s">
        <v>7</v>
      </c>
      <c r="C3895" s="3" t="s">
        <v>883</v>
      </c>
      <c r="D3895" s="4">
        <f>DATE(2004,3,22)</f>
        <v>38068</v>
      </c>
      <c r="E3895" s="5">
        <f t="shared" si="64"/>
        <v>2004</v>
      </c>
      <c r="F3895" s="3" t="s">
        <v>884</v>
      </c>
      <c r="G3895" s="6">
        <v>3323.6</v>
      </c>
      <c r="H3895" s="5">
        <v>2445</v>
      </c>
    </row>
    <row r="3896" spans="2:8" ht="17.5" customHeight="1" x14ac:dyDescent="0.4">
      <c r="B3896" s="3" t="s">
        <v>7</v>
      </c>
      <c r="C3896" s="3" t="s">
        <v>883</v>
      </c>
      <c r="D3896" s="4">
        <f>DATE(2009,2,27)</f>
        <v>39871</v>
      </c>
      <c r="E3896" s="5">
        <f t="shared" si="64"/>
        <v>2009</v>
      </c>
      <c r="F3896" s="3" t="s">
        <v>884</v>
      </c>
      <c r="G3896" s="6">
        <v>2506.48</v>
      </c>
      <c r="H3896" s="5">
        <v>12084</v>
      </c>
    </row>
    <row r="3897" spans="2:8" ht="17.5" customHeight="1" x14ac:dyDescent="0.4">
      <c r="B3897" s="3" t="s">
        <v>7</v>
      </c>
      <c r="C3897" s="3" t="s">
        <v>885</v>
      </c>
      <c r="D3897" s="4">
        <f>DATE(2008,7,30)</f>
        <v>39659</v>
      </c>
      <c r="E3897" s="5">
        <f t="shared" si="64"/>
        <v>2008</v>
      </c>
      <c r="F3897" s="3" t="s">
        <v>886</v>
      </c>
      <c r="G3897" s="6">
        <v>1537</v>
      </c>
      <c r="H3897" s="5">
        <v>11025</v>
      </c>
    </row>
    <row r="3898" spans="2:8" ht="17.5" customHeight="1" x14ac:dyDescent="0.4">
      <c r="B3898" s="3" t="s">
        <v>7</v>
      </c>
      <c r="C3898" s="3" t="s">
        <v>885</v>
      </c>
      <c r="D3898" s="4">
        <f>DATE(2010,8,23)</f>
        <v>40413</v>
      </c>
      <c r="E3898" s="5">
        <f t="shared" si="64"/>
        <v>2010</v>
      </c>
      <c r="F3898" s="3" t="s">
        <v>886</v>
      </c>
      <c r="G3898" s="6">
        <v>5781.24</v>
      </c>
      <c r="H3898" s="5">
        <v>14389</v>
      </c>
    </row>
    <row r="3899" spans="2:8" ht="17.5" customHeight="1" x14ac:dyDescent="0.4">
      <c r="B3899" s="3" t="s">
        <v>7</v>
      </c>
      <c r="C3899" s="3" t="s">
        <v>885</v>
      </c>
      <c r="D3899" s="4">
        <f>DATE(2010,10,8)</f>
        <v>40459</v>
      </c>
      <c r="E3899" s="5">
        <f t="shared" si="64"/>
        <v>2010</v>
      </c>
      <c r="F3899" s="3" t="s">
        <v>886</v>
      </c>
      <c r="G3899" s="6">
        <v>8896.0300000000007</v>
      </c>
      <c r="H3899" s="5">
        <v>14615</v>
      </c>
    </row>
    <row r="3900" spans="2:8" ht="17.5" customHeight="1" x14ac:dyDescent="0.4">
      <c r="B3900" s="3" t="s">
        <v>7</v>
      </c>
      <c r="C3900" s="3" t="s">
        <v>885</v>
      </c>
      <c r="D3900" s="4">
        <f>DATE(2011,3,7)</f>
        <v>40609</v>
      </c>
      <c r="E3900" s="5">
        <f t="shared" si="64"/>
        <v>2011</v>
      </c>
      <c r="F3900" s="3" t="s">
        <v>886</v>
      </c>
      <c r="G3900" s="6">
        <v>2306</v>
      </c>
      <c r="H3900" s="5">
        <v>15205</v>
      </c>
    </row>
    <row r="3901" spans="2:8" ht="17.5" customHeight="1" x14ac:dyDescent="0.4">
      <c r="B3901" s="3" t="s">
        <v>7</v>
      </c>
      <c r="C3901" s="3" t="s">
        <v>885</v>
      </c>
      <c r="D3901" s="4">
        <f>DATE(2011,5,4)</f>
        <v>40667</v>
      </c>
      <c r="E3901" s="5">
        <f t="shared" si="64"/>
        <v>2011</v>
      </c>
      <c r="F3901" s="3" t="s">
        <v>886</v>
      </c>
      <c r="G3901" s="6">
        <v>8676.33</v>
      </c>
      <c r="H3901" s="5">
        <v>15534</v>
      </c>
    </row>
    <row r="3902" spans="2:8" ht="17.5" customHeight="1" x14ac:dyDescent="0.4">
      <c r="B3902" s="3" t="s">
        <v>7</v>
      </c>
      <c r="C3902" s="3" t="s">
        <v>885</v>
      </c>
      <c r="D3902" s="4">
        <f>DATE(2012,3,5)</f>
        <v>40973</v>
      </c>
      <c r="E3902" s="5">
        <f t="shared" si="64"/>
        <v>2012</v>
      </c>
      <c r="F3902" s="3" t="s">
        <v>886</v>
      </c>
      <c r="G3902" s="6">
        <v>2303</v>
      </c>
      <c r="H3902" s="5">
        <v>16699</v>
      </c>
    </row>
    <row r="3903" spans="2:8" ht="17.5" customHeight="1" x14ac:dyDescent="0.4">
      <c r="B3903" s="3" t="s">
        <v>7</v>
      </c>
      <c r="C3903" s="3" t="s">
        <v>887</v>
      </c>
      <c r="D3903" s="4">
        <f>DATE(2005,5,20)</f>
        <v>38492</v>
      </c>
      <c r="E3903" s="5">
        <f t="shared" si="64"/>
        <v>2005</v>
      </c>
      <c r="F3903" s="3" t="s">
        <v>888</v>
      </c>
      <c r="G3903" s="6">
        <v>2515.5500000000002</v>
      </c>
      <c r="H3903" s="5">
        <v>1090</v>
      </c>
    </row>
    <row r="3904" spans="2:8" ht="17.5" customHeight="1" x14ac:dyDescent="0.4">
      <c r="B3904" s="3" t="s">
        <v>7</v>
      </c>
      <c r="C3904" s="3" t="s">
        <v>887</v>
      </c>
      <c r="D3904" s="4">
        <f>DATE(2005,6,20)</f>
        <v>38523</v>
      </c>
      <c r="E3904" s="5">
        <f t="shared" si="64"/>
        <v>2005</v>
      </c>
      <c r="F3904" s="3" t="s">
        <v>888</v>
      </c>
      <c r="G3904" s="6">
        <v>444.05</v>
      </c>
      <c r="H3904" s="5">
        <v>1148</v>
      </c>
    </row>
    <row r="3905" spans="2:8" ht="17.5" customHeight="1" x14ac:dyDescent="0.4">
      <c r="B3905" s="3" t="s">
        <v>7</v>
      </c>
      <c r="C3905" s="3" t="s">
        <v>887</v>
      </c>
      <c r="D3905" s="4">
        <f>DATE(2005,7,14)</f>
        <v>38547</v>
      </c>
      <c r="E3905" s="5">
        <f t="shared" si="64"/>
        <v>2005</v>
      </c>
      <c r="F3905" s="3" t="s">
        <v>888</v>
      </c>
      <c r="G3905" s="6">
        <v>347.4</v>
      </c>
      <c r="H3905" s="5">
        <v>1162</v>
      </c>
    </row>
    <row r="3906" spans="2:8" ht="17.5" customHeight="1" x14ac:dyDescent="0.4">
      <c r="B3906" s="3" t="s">
        <v>7</v>
      </c>
      <c r="C3906" s="3" t="s">
        <v>887</v>
      </c>
      <c r="D3906" s="4">
        <f>DATE(2005,8,30)</f>
        <v>38594</v>
      </c>
      <c r="E3906" s="5">
        <f t="shared" si="64"/>
        <v>2005</v>
      </c>
      <c r="F3906" s="3" t="s">
        <v>889</v>
      </c>
      <c r="G3906" s="6">
        <v>736</v>
      </c>
      <c r="H3906" s="5">
        <v>1212</v>
      </c>
    </row>
    <row r="3907" spans="2:8" ht="17.5" customHeight="1" x14ac:dyDescent="0.4">
      <c r="B3907" s="3" t="s">
        <v>7</v>
      </c>
      <c r="C3907" s="3" t="s">
        <v>887</v>
      </c>
      <c r="D3907" s="4">
        <f>DATE(2005,12,28)</f>
        <v>38714</v>
      </c>
      <c r="E3907" s="5">
        <f t="shared" ref="E3907:E3970" si="65">YEAR(D3907)</f>
        <v>2005</v>
      </c>
      <c r="F3907" s="3" t="s">
        <v>889</v>
      </c>
      <c r="G3907" s="6">
        <v>504.95</v>
      </c>
      <c r="H3907" s="5">
        <v>1376</v>
      </c>
    </row>
    <row r="3908" spans="2:8" ht="17.5" customHeight="1" x14ac:dyDescent="0.4">
      <c r="B3908" s="3" t="s">
        <v>7</v>
      </c>
      <c r="C3908" s="3" t="s">
        <v>890</v>
      </c>
      <c r="D3908" s="4">
        <f>DATE(2008,6,24)</f>
        <v>39623</v>
      </c>
      <c r="E3908" s="5">
        <f t="shared" si="65"/>
        <v>2008</v>
      </c>
      <c r="F3908" s="3" t="s">
        <v>891</v>
      </c>
      <c r="G3908" s="6">
        <v>2186.58</v>
      </c>
      <c r="H3908" s="5">
        <v>10885</v>
      </c>
    </row>
    <row r="3909" spans="2:8" ht="17.5" customHeight="1" x14ac:dyDescent="0.4">
      <c r="B3909" t="s">
        <v>7</v>
      </c>
      <c r="C3909" t="s">
        <v>892</v>
      </c>
      <c r="D3909" s="7">
        <f>DATE(2015,5,28)</f>
        <v>42152</v>
      </c>
      <c r="E3909" s="8">
        <f t="shared" si="65"/>
        <v>2015</v>
      </c>
      <c r="F3909" t="s">
        <v>893</v>
      </c>
      <c r="G3909" s="9">
        <v>1046</v>
      </c>
      <c r="H3909" s="8">
        <v>20675</v>
      </c>
    </row>
    <row r="3910" spans="2:8" ht="17.5" customHeight="1" x14ac:dyDescent="0.4">
      <c r="B3910" t="s">
        <v>7</v>
      </c>
      <c r="C3910" t="s">
        <v>894</v>
      </c>
      <c r="D3910" s="7">
        <f>DATE(2003,5,22)</f>
        <v>37763</v>
      </c>
      <c r="E3910" s="8">
        <f t="shared" si="65"/>
        <v>2003</v>
      </c>
      <c r="F3910" t="s">
        <v>895</v>
      </c>
      <c r="G3910" s="9">
        <v>15067.2</v>
      </c>
      <c r="H3910" s="8">
        <v>410</v>
      </c>
    </row>
    <row r="3911" spans="2:8" ht="17.5" customHeight="1" x14ac:dyDescent="0.4">
      <c r="B3911" t="s">
        <v>7</v>
      </c>
      <c r="C3911" t="s">
        <v>894</v>
      </c>
      <c r="D3911" s="7">
        <f>DATE(2003,10,21)</f>
        <v>37915</v>
      </c>
      <c r="E3911" s="8">
        <f t="shared" si="65"/>
        <v>2003</v>
      </c>
      <c r="F3911" t="s">
        <v>895</v>
      </c>
      <c r="G3911" s="9">
        <v>28592</v>
      </c>
      <c r="H3911" s="8">
        <v>801</v>
      </c>
    </row>
    <row r="3912" spans="2:8" ht="17.5" customHeight="1" x14ac:dyDescent="0.4">
      <c r="B3912" t="s">
        <v>7</v>
      </c>
      <c r="C3912" t="s">
        <v>894</v>
      </c>
      <c r="D3912" s="7">
        <f>DATE(2003,11,6)</f>
        <v>37931</v>
      </c>
      <c r="E3912" s="8">
        <f t="shared" si="65"/>
        <v>2003</v>
      </c>
      <c r="F3912" t="s">
        <v>895</v>
      </c>
      <c r="G3912" s="9">
        <v>4140.71</v>
      </c>
      <c r="H3912" s="8">
        <v>939</v>
      </c>
    </row>
    <row r="3913" spans="2:8" ht="17.5" customHeight="1" x14ac:dyDescent="0.4">
      <c r="B3913" t="s">
        <v>7</v>
      </c>
      <c r="C3913" t="s">
        <v>894</v>
      </c>
      <c r="D3913" s="7">
        <f>DATE(2004,4,29)</f>
        <v>38106</v>
      </c>
      <c r="E3913" s="8">
        <f t="shared" si="65"/>
        <v>2004</v>
      </c>
      <c r="F3913" t="s">
        <v>895</v>
      </c>
      <c r="G3913" s="9">
        <v>11698.5</v>
      </c>
      <c r="H3913" s="8">
        <v>1689</v>
      </c>
    </row>
    <row r="3914" spans="2:8" ht="17.5" customHeight="1" x14ac:dyDescent="0.4">
      <c r="B3914" t="s">
        <v>7</v>
      </c>
      <c r="C3914" t="s">
        <v>894</v>
      </c>
      <c r="D3914" s="7">
        <f>DATE(2004,5,3)</f>
        <v>38110</v>
      </c>
      <c r="E3914" s="8">
        <f t="shared" si="65"/>
        <v>2004</v>
      </c>
      <c r="F3914" t="s">
        <v>895</v>
      </c>
      <c r="G3914" s="9">
        <v>66720</v>
      </c>
      <c r="H3914" s="8">
        <v>1367</v>
      </c>
    </row>
    <row r="3915" spans="2:8" ht="17.5" customHeight="1" x14ac:dyDescent="0.4">
      <c r="B3915" t="s">
        <v>7</v>
      </c>
      <c r="C3915" t="s">
        <v>894</v>
      </c>
      <c r="D3915" s="7">
        <f>DATE(2004,11,3)</f>
        <v>38294</v>
      </c>
      <c r="E3915" s="8">
        <f t="shared" si="65"/>
        <v>2004</v>
      </c>
      <c r="F3915" t="s">
        <v>895</v>
      </c>
      <c r="G3915" s="9">
        <v>3889.64</v>
      </c>
      <c r="H3915" s="8">
        <v>2341</v>
      </c>
    </row>
    <row r="3916" spans="2:8" ht="17.5" customHeight="1" x14ac:dyDescent="0.4">
      <c r="B3916" t="s">
        <v>7</v>
      </c>
      <c r="C3916" t="s">
        <v>894</v>
      </c>
      <c r="D3916" s="7">
        <f>DATE(2005,1,31)</f>
        <v>38383</v>
      </c>
      <c r="E3916" s="8">
        <f t="shared" si="65"/>
        <v>2005</v>
      </c>
      <c r="F3916" t="s">
        <v>895</v>
      </c>
      <c r="G3916" s="9">
        <v>42867.32</v>
      </c>
      <c r="H3916" s="8">
        <v>2434</v>
      </c>
    </row>
    <row r="3917" spans="2:8" ht="17.5" customHeight="1" x14ac:dyDescent="0.4">
      <c r="B3917" t="s">
        <v>7</v>
      </c>
      <c r="C3917" t="s">
        <v>894</v>
      </c>
      <c r="D3917" s="7">
        <f>DATE(2005,1,31)</f>
        <v>38383</v>
      </c>
      <c r="E3917" s="8">
        <f t="shared" si="65"/>
        <v>2005</v>
      </c>
      <c r="F3917" t="s">
        <v>895</v>
      </c>
      <c r="G3917" s="9">
        <v>19300</v>
      </c>
      <c r="H3917" s="8">
        <v>2515</v>
      </c>
    </row>
    <row r="3918" spans="2:8" ht="17.5" customHeight="1" x14ac:dyDescent="0.4">
      <c r="B3918" t="s">
        <v>7</v>
      </c>
      <c r="C3918" t="s">
        <v>894</v>
      </c>
      <c r="D3918" s="7">
        <f>DATE(2008,3,25)</f>
        <v>39532</v>
      </c>
      <c r="E3918" s="8">
        <f t="shared" si="65"/>
        <v>2008</v>
      </c>
      <c r="F3918" t="s">
        <v>895</v>
      </c>
      <c r="G3918" s="9">
        <v>22708.07</v>
      </c>
      <c r="H3918" s="8">
        <v>7221</v>
      </c>
    </row>
    <row r="3919" spans="2:8" ht="17.5" customHeight="1" x14ac:dyDescent="0.4">
      <c r="B3919" s="3" t="s">
        <v>7</v>
      </c>
      <c r="C3919" s="3" t="s">
        <v>894</v>
      </c>
      <c r="D3919" s="4">
        <f>DATE(2003,4,14)</f>
        <v>37725</v>
      </c>
      <c r="E3919" s="5">
        <f t="shared" si="65"/>
        <v>2003</v>
      </c>
      <c r="F3919" s="3" t="s">
        <v>895</v>
      </c>
      <c r="G3919" s="6">
        <v>305.02</v>
      </c>
      <c r="H3919" s="5">
        <v>746</v>
      </c>
    </row>
    <row r="3920" spans="2:8" ht="17.5" customHeight="1" x14ac:dyDescent="0.4">
      <c r="B3920" s="3" t="s">
        <v>7</v>
      </c>
      <c r="C3920" s="3" t="s">
        <v>894</v>
      </c>
      <c r="D3920" s="4">
        <f>DATE(2003,4,28)</f>
        <v>37739</v>
      </c>
      <c r="E3920" s="5">
        <f t="shared" si="65"/>
        <v>2003</v>
      </c>
      <c r="F3920" s="3" t="s">
        <v>895</v>
      </c>
      <c r="G3920" s="6">
        <v>408.83</v>
      </c>
      <c r="H3920" s="5">
        <v>828</v>
      </c>
    </row>
    <row r="3921" spans="2:8" ht="17.5" customHeight="1" x14ac:dyDescent="0.4">
      <c r="B3921" s="3" t="s">
        <v>7</v>
      </c>
      <c r="C3921" s="3" t="s">
        <v>894</v>
      </c>
      <c r="D3921" s="4">
        <f>DATE(2003,10,29)</f>
        <v>37923</v>
      </c>
      <c r="E3921" s="5">
        <f t="shared" si="65"/>
        <v>2003</v>
      </c>
      <c r="F3921" s="3" t="s">
        <v>895</v>
      </c>
      <c r="G3921" s="6">
        <v>894</v>
      </c>
      <c r="H3921" s="5">
        <v>1717</v>
      </c>
    </row>
    <row r="3922" spans="2:8" ht="17.5" customHeight="1" x14ac:dyDescent="0.4">
      <c r="B3922" s="3" t="s">
        <v>7</v>
      </c>
      <c r="C3922" s="3" t="s">
        <v>894</v>
      </c>
      <c r="D3922" s="4">
        <f>DATE(2004,1,14)</f>
        <v>38000</v>
      </c>
      <c r="E3922" s="5">
        <f t="shared" si="65"/>
        <v>2004</v>
      </c>
      <c r="F3922" s="3" t="s">
        <v>895</v>
      </c>
      <c r="G3922" s="6">
        <v>545.34</v>
      </c>
      <c r="H3922" s="5">
        <v>1985</v>
      </c>
    </row>
    <row r="3923" spans="2:8" ht="17.5" customHeight="1" x14ac:dyDescent="0.4">
      <c r="B3923" s="3" t="s">
        <v>7</v>
      </c>
      <c r="C3923" s="3" t="s">
        <v>894</v>
      </c>
      <c r="D3923" s="4">
        <f>DATE(2004,4,28)</f>
        <v>38105</v>
      </c>
      <c r="E3923" s="5">
        <f t="shared" si="65"/>
        <v>2004</v>
      </c>
      <c r="F3923" s="3" t="s">
        <v>895</v>
      </c>
      <c r="G3923" s="6">
        <v>1624</v>
      </c>
      <c r="H3923" s="5">
        <v>2762</v>
      </c>
    </row>
    <row r="3924" spans="2:8" ht="17.5" customHeight="1" x14ac:dyDescent="0.4">
      <c r="B3924" s="3" t="s">
        <v>7</v>
      </c>
      <c r="C3924" s="3" t="s">
        <v>894</v>
      </c>
      <c r="D3924" s="4">
        <f>DATE(2004,5,5)</f>
        <v>38112</v>
      </c>
      <c r="E3924" s="5">
        <f t="shared" si="65"/>
        <v>2004</v>
      </c>
      <c r="F3924" s="3" t="s">
        <v>895</v>
      </c>
      <c r="G3924" s="6">
        <v>2420.75</v>
      </c>
      <c r="H3924" s="5">
        <v>2832</v>
      </c>
    </row>
    <row r="3925" spans="2:8" ht="17.5" customHeight="1" x14ac:dyDescent="0.4">
      <c r="B3925" s="3" t="s">
        <v>7</v>
      </c>
      <c r="C3925" s="3" t="s">
        <v>894</v>
      </c>
      <c r="D3925" s="4">
        <f>DATE(2004,5,4)</f>
        <v>38111</v>
      </c>
      <c r="E3925" s="5">
        <f t="shared" si="65"/>
        <v>2004</v>
      </c>
      <c r="F3925" s="3" t="s">
        <v>895</v>
      </c>
      <c r="G3925" s="6">
        <v>2420.75</v>
      </c>
      <c r="H3925" s="5">
        <v>2832</v>
      </c>
    </row>
    <row r="3926" spans="2:8" ht="17.5" customHeight="1" x14ac:dyDescent="0.4">
      <c r="B3926" s="3" t="s">
        <v>7</v>
      </c>
      <c r="C3926" s="3" t="s">
        <v>894</v>
      </c>
      <c r="D3926" s="4">
        <f>DATE(2004,5,5)</f>
        <v>38112</v>
      </c>
      <c r="E3926" s="5">
        <f t="shared" si="65"/>
        <v>2004</v>
      </c>
      <c r="F3926" s="3" t="s">
        <v>895</v>
      </c>
      <c r="G3926" s="6">
        <v>2420.75</v>
      </c>
      <c r="H3926" s="5">
        <v>2832</v>
      </c>
    </row>
    <row r="3927" spans="2:8" ht="17.5" customHeight="1" x14ac:dyDescent="0.4">
      <c r="B3927" s="3" t="s">
        <v>7</v>
      </c>
      <c r="C3927" s="3" t="s">
        <v>894</v>
      </c>
      <c r="D3927" s="4">
        <f>DATE(2004,5,6)</f>
        <v>38113</v>
      </c>
      <c r="E3927" s="5">
        <f t="shared" si="65"/>
        <v>2004</v>
      </c>
      <c r="F3927" s="3" t="s">
        <v>895</v>
      </c>
      <c r="G3927" s="6">
        <v>2439.75</v>
      </c>
      <c r="H3927" s="5">
        <v>2832</v>
      </c>
    </row>
    <row r="3928" spans="2:8" ht="17.5" customHeight="1" x14ac:dyDescent="0.4">
      <c r="B3928" s="3" t="s">
        <v>7</v>
      </c>
      <c r="C3928" s="3" t="s">
        <v>894</v>
      </c>
      <c r="D3928" s="4">
        <f>DATE(2004,5,13)</f>
        <v>38120</v>
      </c>
      <c r="E3928" s="5">
        <f t="shared" si="65"/>
        <v>2004</v>
      </c>
      <c r="F3928" s="3" t="s">
        <v>895</v>
      </c>
      <c r="G3928" s="6">
        <v>3030</v>
      </c>
      <c r="H3928" s="5">
        <v>2866</v>
      </c>
    </row>
    <row r="3929" spans="2:8" ht="17.5" customHeight="1" x14ac:dyDescent="0.4">
      <c r="B3929" s="3" t="s">
        <v>7</v>
      </c>
      <c r="C3929" s="3" t="s">
        <v>894</v>
      </c>
      <c r="D3929" s="4">
        <f>DATE(2004,6,11)</f>
        <v>38149</v>
      </c>
      <c r="E3929" s="5">
        <f t="shared" si="65"/>
        <v>2004</v>
      </c>
      <c r="F3929" s="3" t="s">
        <v>895</v>
      </c>
      <c r="G3929" s="6">
        <v>725</v>
      </c>
      <c r="H3929" s="5">
        <v>3002</v>
      </c>
    </row>
    <row r="3930" spans="2:8" ht="17.5" customHeight="1" x14ac:dyDescent="0.4">
      <c r="B3930" s="3" t="s">
        <v>7</v>
      </c>
      <c r="C3930" s="3" t="s">
        <v>894</v>
      </c>
      <c r="D3930" s="4">
        <f>DATE(2004,7,7)</f>
        <v>38175</v>
      </c>
      <c r="E3930" s="5">
        <f t="shared" si="65"/>
        <v>2004</v>
      </c>
      <c r="F3930" s="3" t="s">
        <v>895</v>
      </c>
      <c r="G3930" s="6">
        <v>345</v>
      </c>
      <c r="H3930" s="5">
        <v>3115</v>
      </c>
    </row>
    <row r="3931" spans="2:8" ht="17.5" customHeight="1" x14ac:dyDescent="0.4">
      <c r="B3931" s="3" t="s">
        <v>7</v>
      </c>
      <c r="C3931" s="3" t="s">
        <v>894</v>
      </c>
      <c r="D3931" s="4">
        <f>DATE(2004,10,29)</f>
        <v>38289</v>
      </c>
      <c r="E3931" s="5">
        <f t="shared" si="65"/>
        <v>2004</v>
      </c>
      <c r="F3931" s="3" t="s">
        <v>895</v>
      </c>
      <c r="G3931" s="6">
        <v>2272.5</v>
      </c>
      <c r="H3931" s="5">
        <v>3646</v>
      </c>
    </row>
    <row r="3932" spans="2:8" ht="17.5" customHeight="1" x14ac:dyDescent="0.4">
      <c r="B3932" s="3" t="s">
        <v>7</v>
      </c>
      <c r="C3932" s="3" t="s">
        <v>894</v>
      </c>
      <c r="D3932" s="4">
        <f>DATE(2005,4,1)</f>
        <v>38443</v>
      </c>
      <c r="E3932" s="5">
        <f t="shared" si="65"/>
        <v>2005</v>
      </c>
      <c r="F3932" s="3" t="s">
        <v>895</v>
      </c>
      <c r="G3932" s="6">
        <v>9218.98</v>
      </c>
      <c r="H3932" s="5">
        <v>4491</v>
      </c>
    </row>
    <row r="3933" spans="2:8" ht="17.5" customHeight="1" x14ac:dyDescent="0.4">
      <c r="B3933" s="3" t="s">
        <v>7</v>
      </c>
      <c r="C3933" s="3" t="s">
        <v>894</v>
      </c>
      <c r="D3933" s="4">
        <f>DATE(2005,6,16)</f>
        <v>38519</v>
      </c>
      <c r="E3933" s="5">
        <f t="shared" si="65"/>
        <v>2005</v>
      </c>
      <c r="F3933" s="3" t="s">
        <v>895</v>
      </c>
      <c r="G3933" s="6">
        <v>357</v>
      </c>
      <c r="H3933" s="5">
        <v>4860</v>
      </c>
    </row>
    <row r="3934" spans="2:8" ht="17.5" customHeight="1" x14ac:dyDescent="0.4">
      <c r="B3934" s="3" t="s">
        <v>7</v>
      </c>
      <c r="C3934" s="3" t="s">
        <v>894</v>
      </c>
      <c r="D3934" s="4">
        <f>DATE(2005,9,21)</f>
        <v>38616</v>
      </c>
      <c r="E3934" s="5">
        <f t="shared" si="65"/>
        <v>2005</v>
      </c>
      <c r="F3934" s="3" t="s">
        <v>895</v>
      </c>
      <c r="G3934" s="6">
        <v>2740.8</v>
      </c>
      <c r="H3934" s="5">
        <v>5295</v>
      </c>
    </row>
    <row r="3935" spans="2:8" ht="17.5" customHeight="1" x14ac:dyDescent="0.4">
      <c r="B3935" s="3" t="s">
        <v>7</v>
      </c>
      <c r="C3935" s="3" t="s">
        <v>894</v>
      </c>
      <c r="D3935" s="4">
        <f>DATE(2005,9,28)</f>
        <v>38623</v>
      </c>
      <c r="E3935" s="5">
        <f t="shared" si="65"/>
        <v>2005</v>
      </c>
      <c r="F3935" s="3" t="s">
        <v>895</v>
      </c>
      <c r="G3935" s="6">
        <v>959</v>
      </c>
      <c r="H3935" s="5">
        <v>5332</v>
      </c>
    </row>
    <row r="3936" spans="2:8" ht="17.5" customHeight="1" x14ac:dyDescent="0.4">
      <c r="B3936" s="3" t="s">
        <v>7</v>
      </c>
      <c r="C3936" s="3" t="s">
        <v>894</v>
      </c>
      <c r="D3936" s="4">
        <f>DATE(2005,11,18)</f>
        <v>38674</v>
      </c>
      <c r="E3936" s="5">
        <f t="shared" si="65"/>
        <v>2005</v>
      </c>
      <c r="F3936" s="3" t="s">
        <v>895</v>
      </c>
      <c r="G3936" s="6">
        <v>938</v>
      </c>
      <c r="H3936" s="5">
        <v>5589</v>
      </c>
    </row>
    <row r="3937" spans="2:8" ht="17.5" customHeight="1" x14ac:dyDescent="0.4">
      <c r="B3937" s="3" t="s">
        <v>7</v>
      </c>
      <c r="C3937" s="3" t="s">
        <v>894</v>
      </c>
      <c r="D3937" s="4">
        <f>DATE(2007,11,16)</f>
        <v>39402</v>
      </c>
      <c r="E3937" s="5">
        <f t="shared" si="65"/>
        <v>2007</v>
      </c>
      <c r="F3937" s="3" t="s">
        <v>895</v>
      </c>
      <c r="G3937" s="6">
        <v>1035.25</v>
      </c>
      <c r="H3937" s="5">
        <v>9502</v>
      </c>
    </row>
    <row r="3938" spans="2:8" ht="17.5" customHeight="1" x14ac:dyDescent="0.4">
      <c r="B3938" s="3" t="s">
        <v>7</v>
      </c>
      <c r="C3938" s="3" t="s">
        <v>894</v>
      </c>
      <c r="D3938" s="4">
        <f>DATE(2007,11,26)</f>
        <v>39412</v>
      </c>
      <c r="E3938" s="5">
        <f t="shared" si="65"/>
        <v>2007</v>
      </c>
      <c r="F3938" s="3" t="s">
        <v>895</v>
      </c>
      <c r="G3938" s="6">
        <v>1336.65</v>
      </c>
      <c r="H3938" s="5">
        <v>9516</v>
      </c>
    </row>
    <row r="3939" spans="2:8" ht="17.5" customHeight="1" x14ac:dyDescent="0.4">
      <c r="B3939" s="3" t="s">
        <v>7</v>
      </c>
      <c r="C3939" s="3" t="s">
        <v>894</v>
      </c>
      <c r="D3939" s="4">
        <f>DATE(2007,12,13)</f>
        <v>39429</v>
      </c>
      <c r="E3939" s="5">
        <f t="shared" si="65"/>
        <v>2007</v>
      </c>
      <c r="F3939" s="3" t="s">
        <v>895</v>
      </c>
      <c r="G3939" s="6">
        <v>1226.6600000000001</v>
      </c>
      <c r="H3939" s="5">
        <v>9517</v>
      </c>
    </row>
    <row r="3940" spans="2:8" ht="17.5" customHeight="1" x14ac:dyDescent="0.4">
      <c r="B3940" s="3" t="s">
        <v>7</v>
      </c>
      <c r="C3940" s="3" t="s">
        <v>896</v>
      </c>
      <c r="D3940" s="4">
        <f>DATE(2003,5,8)</f>
        <v>37749</v>
      </c>
      <c r="E3940" s="5">
        <f t="shared" si="65"/>
        <v>2003</v>
      </c>
      <c r="F3940" s="3" t="s">
        <v>897</v>
      </c>
      <c r="G3940" s="6">
        <v>416.75</v>
      </c>
      <c r="H3940" s="5">
        <v>897</v>
      </c>
    </row>
    <row r="3941" spans="2:8" ht="17.5" customHeight="1" x14ac:dyDescent="0.4">
      <c r="B3941" t="s">
        <v>7</v>
      </c>
      <c r="C3941" t="s">
        <v>898</v>
      </c>
      <c r="D3941" s="7">
        <f>DATE(2017,4,12)</f>
        <v>42837</v>
      </c>
      <c r="E3941" s="8">
        <f t="shared" si="65"/>
        <v>2017</v>
      </c>
      <c r="F3941" t="s">
        <v>899</v>
      </c>
      <c r="G3941" s="9">
        <v>25295.79</v>
      </c>
      <c r="H3941" s="8">
        <v>24543</v>
      </c>
    </row>
    <row r="3942" spans="2:8" ht="17.5" customHeight="1" x14ac:dyDescent="0.4">
      <c r="B3942" t="s">
        <v>7</v>
      </c>
      <c r="C3942" t="s">
        <v>900</v>
      </c>
      <c r="D3942" s="7">
        <f>DATE(2003,5,16)</f>
        <v>37757</v>
      </c>
      <c r="E3942" s="8">
        <f t="shared" si="65"/>
        <v>2003</v>
      </c>
      <c r="F3942" t="s">
        <v>901</v>
      </c>
      <c r="G3942" s="9">
        <v>12916.74</v>
      </c>
      <c r="H3942" s="8">
        <v>602</v>
      </c>
    </row>
    <row r="3943" spans="2:8" ht="17.5" customHeight="1" x14ac:dyDescent="0.4">
      <c r="B3943" t="s">
        <v>7</v>
      </c>
      <c r="C3943" t="s">
        <v>902</v>
      </c>
      <c r="D3943" s="7">
        <f>DATE(2011,6,16)</f>
        <v>40710</v>
      </c>
      <c r="E3943" s="8">
        <f t="shared" si="65"/>
        <v>2011</v>
      </c>
      <c r="F3943" t="s">
        <v>903</v>
      </c>
      <c r="G3943" s="9">
        <v>1835.44</v>
      </c>
      <c r="H3943" s="8">
        <v>10748</v>
      </c>
    </row>
    <row r="3944" spans="2:8" ht="17.5" customHeight="1" x14ac:dyDescent="0.4">
      <c r="B3944" t="s">
        <v>7</v>
      </c>
      <c r="C3944" t="s">
        <v>902</v>
      </c>
      <c r="D3944" s="7">
        <f>DATE(2009,12,1)</f>
        <v>40148</v>
      </c>
      <c r="E3944" s="8">
        <f t="shared" si="65"/>
        <v>2009</v>
      </c>
      <c r="F3944" t="s">
        <v>903</v>
      </c>
      <c r="G3944" s="9">
        <v>1645.59</v>
      </c>
      <c r="H3944" s="8">
        <v>9206</v>
      </c>
    </row>
    <row r="3945" spans="2:8" ht="17.5" customHeight="1" x14ac:dyDescent="0.4">
      <c r="B3945" s="3" t="s">
        <v>7</v>
      </c>
      <c r="C3945" s="3" t="s">
        <v>902</v>
      </c>
      <c r="D3945" s="4">
        <f>DATE(2009,11,20)</f>
        <v>40137</v>
      </c>
      <c r="E3945" s="5">
        <f t="shared" si="65"/>
        <v>2009</v>
      </c>
      <c r="F3945" s="3" t="s">
        <v>903</v>
      </c>
      <c r="G3945" s="6">
        <v>424.45</v>
      </c>
      <c r="H3945" s="5">
        <v>13286</v>
      </c>
    </row>
    <row r="3946" spans="2:8" ht="17.5" customHeight="1" x14ac:dyDescent="0.4">
      <c r="B3946" s="3" t="s">
        <v>7</v>
      </c>
      <c r="C3946" s="3" t="s">
        <v>902</v>
      </c>
      <c r="D3946" s="4">
        <f>DATE(2009,11,20)</f>
        <v>40137</v>
      </c>
      <c r="E3946" s="5">
        <f t="shared" si="65"/>
        <v>2009</v>
      </c>
      <c r="F3946" s="3" t="s">
        <v>903</v>
      </c>
      <c r="G3946" s="6">
        <v>750</v>
      </c>
      <c r="H3946" s="5">
        <v>13248</v>
      </c>
    </row>
    <row r="3947" spans="2:8" ht="17.5" customHeight="1" x14ac:dyDescent="0.4">
      <c r="B3947" s="3" t="s">
        <v>7</v>
      </c>
      <c r="C3947" s="3" t="s">
        <v>902</v>
      </c>
      <c r="D3947" s="4">
        <f>DATE(2011,5,12)</f>
        <v>40675</v>
      </c>
      <c r="E3947" s="5">
        <f t="shared" si="65"/>
        <v>2011</v>
      </c>
      <c r="F3947" s="3" t="s">
        <v>903</v>
      </c>
      <c r="G3947" s="6">
        <v>460</v>
      </c>
      <c r="H3947" s="5">
        <v>15543</v>
      </c>
    </row>
    <row r="3948" spans="2:8" ht="17.5" customHeight="1" x14ac:dyDescent="0.4">
      <c r="B3948" s="3" t="s">
        <v>7</v>
      </c>
      <c r="C3948" s="3" t="s">
        <v>902</v>
      </c>
      <c r="D3948" s="4">
        <f>DATE(2011,5,24)</f>
        <v>40687</v>
      </c>
      <c r="E3948" s="5">
        <f t="shared" si="65"/>
        <v>2011</v>
      </c>
      <c r="F3948" s="3" t="s">
        <v>903</v>
      </c>
      <c r="G3948" s="6">
        <v>517.55999999999995</v>
      </c>
      <c r="H3948" s="5">
        <v>15595</v>
      </c>
    </row>
    <row r="3949" spans="2:8" ht="17.5" customHeight="1" x14ac:dyDescent="0.4">
      <c r="B3949" t="s">
        <v>7</v>
      </c>
      <c r="C3949" t="s">
        <v>904</v>
      </c>
      <c r="D3949" s="7">
        <f>DATE(2004,4,9)</f>
        <v>38086</v>
      </c>
      <c r="E3949" s="8">
        <f t="shared" si="65"/>
        <v>2004</v>
      </c>
      <c r="F3949" t="s">
        <v>905</v>
      </c>
      <c r="G3949" s="9">
        <v>15980</v>
      </c>
      <c r="H3949" s="8">
        <v>1173</v>
      </c>
    </row>
    <row r="3950" spans="2:8" ht="17.5" customHeight="1" x14ac:dyDescent="0.4">
      <c r="B3950" t="s">
        <v>7</v>
      </c>
      <c r="C3950" t="s">
        <v>904</v>
      </c>
      <c r="D3950" s="7">
        <f>DATE(2004,4,13)</f>
        <v>38090</v>
      </c>
      <c r="E3950" s="8">
        <f t="shared" si="65"/>
        <v>2004</v>
      </c>
      <c r="F3950" t="s">
        <v>905</v>
      </c>
      <c r="G3950" s="9">
        <v>14520</v>
      </c>
      <c r="H3950" s="8">
        <v>1174</v>
      </c>
    </row>
    <row r="3951" spans="2:8" ht="17.5" customHeight="1" x14ac:dyDescent="0.4">
      <c r="B3951" t="s">
        <v>7</v>
      </c>
      <c r="C3951" t="s">
        <v>904</v>
      </c>
      <c r="D3951" s="7">
        <f>DATE(2005,10,13)</f>
        <v>38638</v>
      </c>
      <c r="E3951" s="8">
        <f t="shared" si="65"/>
        <v>2005</v>
      </c>
      <c r="F3951" t="s">
        <v>905</v>
      </c>
      <c r="G3951" s="9">
        <v>6100</v>
      </c>
      <c r="H3951" s="8">
        <v>3674</v>
      </c>
    </row>
    <row r="3952" spans="2:8" ht="17.5" customHeight="1" x14ac:dyDescent="0.4">
      <c r="B3952" t="s">
        <v>7</v>
      </c>
      <c r="C3952" t="s">
        <v>904</v>
      </c>
      <c r="D3952" s="7">
        <f>DATE(2007,3,7)</f>
        <v>39148</v>
      </c>
      <c r="E3952" s="8">
        <f t="shared" si="65"/>
        <v>2007</v>
      </c>
      <c r="F3952" t="s">
        <v>905</v>
      </c>
      <c r="G3952" s="9">
        <v>17406</v>
      </c>
      <c r="H3952" s="8">
        <v>5376</v>
      </c>
    </row>
    <row r="3953" spans="2:8" ht="17.5" customHeight="1" x14ac:dyDescent="0.4">
      <c r="B3953" t="s">
        <v>7</v>
      </c>
      <c r="C3953" t="s">
        <v>904</v>
      </c>
      <c r="D3953" s="7">
        <f>DATE(2007,3,3)</f>
        <v>39144</v>
      </c>
      <c r="E3953" s="8">
        <f t="shared" si="65"/>
        <v>2007</v>
      </c>
      <c r="F3953" t="s">
        <v>905</v>
      </c>
      <c r="G3953" s="9">
        <v>1449.1</v>
      </c>
      <c r="H3953" s="8">
        <v>5523</v>
      </c>
    </row>
    <row r="3954" spans="2:8" ht="17.5" customHeight="1" x14ac:dyDescent="0.4">
      <c r="B3954" t="s">
        <v>7</v>
      </c>
      <c r="C3954" t="s">
        <v>904</v>
      </c>
      <c r="D3954" s="7">
        <f>DATE(2007,2,28)</f>
        <v>39141</v>
      </c>
      <c r="E3954" s="8">
        <f t="shared" si="65"/>
        <v>2007</v>
      </c>
      <c r="F3954" t="s">
        <v>905</v>
      </c>
      <c r="G3954" s="9">
        <v>15988</v>
      </c>
      <c r="H3954" s="8">
        <v>5552</v>
      </c>
    </row>
    <row r="3955" spans="2:8" ht="17.5" customHeight="1" x14ac:dyDescent="0.4">
      <c r="B3955" t="s">
        <v>7</v>
      </c>
      <c r="C3955" t="s">
        <v>906</v>
      </c>
      <c r="D3955" s="7">
        <f>DATE(2004,5,3)</f>
        <v>38110</v>
      </c>
      <c r="E3955" s="8">
        <f t="shared" si="65"/>
        <v>2004</v>
      </c>
      <c r="F3955" t="s">
        <v>907</v>
      </c>
      <c r="G3955" s="9">
        <v>16900</v>
      </c>
      <c r="H3955" s="8">
        <v>1320</v>
      </c>
    </row>
    <row r="3956" spans="2:8" ht="17.5" customHeight="1" x14ac:dyDescent="0.4">
      <c r="B3956" t="s">
        <v>7</v>
      </c>
      <c r="C3956" t="s">
        <v>906</v>
      </c>
      <c r="D3956" s="7">
        <f>DATE(2004,5,3)</f>
        <v>38110</v>
      </c>
      <c r="E3956" s="8">
        <f t="shared" si="65"/>
        <v>2004</v>
      </c>
      <c r="F3956" t="s">
        <v>907</v>
      </c>
      <c r="G3956" s="9">
        <v>16900</v>
      </c>
      <c r="H3956" s="8">
        <v>1484</v>
      </c>
    </row>
    <row r="3957" spans="2:8" ht="17.5" customHeight="1" x14ac:dyDescent="0.4">
      <c r="B3957" t="s">
        <v>7</v>
      </c>
      <c r="C3957" t="s">
        <v>906</v>
      </c>
      <c r="D3957" s="7">
        <f>DATE(2004,5,10)</f>
        <v>38117</v>
      </c>
      <c r="E3957" s="8">
        <f t="shared" si="65"/>
        <v>2004</v>
      </c>
      <c r="F3957" t="s">
        <v>907</v>
      </c>
      <c r="G3957" s="9">
        <v>83099</v>
      </c>
      <c r="H3957" s="8">
        <v>1483</v>
      </c>
    </row>
    <row r="3958" spans="2:8" ht="17.5" customHeight="1" x14ac:dyDescent="0.4">
      <c r="B3958" t="s">
        <v>7</v>
      </c>
      <c r="C3958" t="s">
        <v>906</v>
      </c>
      <c r="D3958" s="7">
        <f>DATE(2004,5,11)</f>
        <v>38118</v>
      </c>
      <c r="E3958" s="8">
        <f t="shared" si="65"/>
        <v>2004</v>
      </c>
      <c r="F3958" t="s">
        <v>907</v>
      </c>
      <c r="G3958" s="9">
        <v>84911.14</v>
      </c>
      <c r="H3958" s="8">
        <v>1321</v>
      </c>
    </row>
    <row r="3959" spans="2:8" ht="17.5" customHeight="1" x14ac:dyDescent="0.4">
      <c r="B3959" t="s">
        <v>7</v>
      </c>
      <c r="C3959" t="s">
        <v>906</v>
      </c>
      <c r="D3959" s="7">
        <f>DATE(2005,9,29)</f>
        <v>38624</v>
      </c>
      <c r="E3959" s="8">
        <f t="shared" si="65"/>
        <v>2005</v>
      </c>
      <c r="F3959" t="s">
        <v>907</v>
      </c>
      <c r="G3959" s="9">
        <v>21400</v>
      </c>
      <c r="H3959" s="8">
        <v>3525</v>
      </c>
    </row>
    <row r="3960" spans="2:8" ht="17.5" customHeight="1" x14ac:dyDescent="0.4">
      <c r="B3960" t="s">
        <v>7</v>
      </c>
      <c r="C3960" t="s">
        <v>908</v>
      </c>
      <c r="D3960" s="7">
        <f>DATE(2003,8,16)</f>
        <v>37849</v>
      </c>
      <c r="E3960" s="8">
        <f t="shared" si="65"/>
        <v>2003</v>
      </c>
      <c r="F3960" t="s">
        <v>909</v>
      </c>
      <c r="G3960" s="9">
        <v>4568.3500000000004</v>
      </c>
      <c r="H3960" s="8">
        <v>811</v>
      </c>
    </row>
    <row r="3961" spans="2:8" ht="17.5" customHeight="1" x14ac:dyDescent="0.4">
      <c r="B3961" t="s">
        <v>7</v>
      </c>
      <c r="C3961" t="s">
        <v>908</v>
      </c>
      <c r="D3961" s="7">
        <f>DATE(2005,1,19)</f>
        <v>38371</v>
      </c>
      <c r="E3961" s="8">
        <f t="shared" si="65"/>
        <v>2005</v>
      </c>
      <c r="F3961" t="s">
        <v>910</v>
      </c>
      <c r="G3961" s="9">
        <v>10544.11</v>
      </c>
      <c r="H3961" s="8">
        <v>2603</v>
      </c>
    </row>
    <row r="3962" spans="2:8" ht="17.5" customHeight="1" x14ac:dyDescent="0.4">
      <c r="B3962" t="s">
        <v>7</v>
      </c>
      <c r="C3962" t="s">
        <v>908</v>
      </c>
      <c r="D3962" s="7">
        <f>DATE(2005,2,22)</f>
        <v>38405</v>
      </c>
      <c r="E3962" s="8">
        <f t="shared" si="65"/>
        <v>2005</v>
      </c>
      <c r="F3962" t="s">
        <v>910</v>
      </c>
      <c r="G3962" s="9">
        <v>11631.62</v>
      </c>
      <c r="H3962" s="8">
        <v>2801</v>
      </c>
    </row>
    <row r="3963" spans="2:8" ht="17.5" customHeight="1" x14ac:dyDescent="0.4">
      <c r="B3963" t="s">
        <v>7</v>
      </c>
      <c r="C3963" t="s">
        <v>908</v>
      </c>
      <c r="D3963" s="7">
        <f>DATE(2006,3,6)</f>
        <v>38782</v>
      </c>
      <c r="E3963" s="8">
        <f t="shared" si="65"/>
        <v>2006</v>
      </c>
      <c r="F3963" t="s">
        <v>910</v>
      </c>
      <c r="G3963" s="9">
        <v>2451.08</v>
      </c>
      <c r="H3963" s="8">
        <v>4287</v>
      </c>
    </row>
    <row r="3964" spans="2:8" ht="17.5" customHeight="1" x14ac:dyDescent="0.4">
      <c r="B3964" t="s">
        <v>7</v>
      </c>
      <c r="C3964" t="s">
        <v>908</v>
      </c>
      <c r="D3964" s="7">
        <f>DATE(2011,4,6)</f>
        <v>40639</v>
      </c>
      <c r="E3964" s="8">
        <f t="shared" si="65"/>
        <v>2011</v>
      </c>
      <c r="F3964" t="s">
        <v>910</v>
      </c>
      <c r="G3964" s="9">
        <v>15360.73</v>
      </c>
      <c r="H3964" s="8">
        <v>10632</v>
      </c>
    </row>
    <row r="3965" spans="2:8" ht="17.5" customHeight="1" x14ac:dyDescent="0.4">
      <c r="B3965" s="3" t="s">
        <v>7</v>
      </c>
      <c r="C3965" s="3" t="s">
        <v>908</v>
      </c>
      <c r="D3965" s="4">
        <f>DATE(2006,2,3)</f>
        <v>38751</v>
      </c>
      <c r="E3965" s="5">
        <f t="shared" si="65"/>
        <v>2006</v>
      </c>
      <c r="F3965" s="3" t="s">
        <v>910</v>
      </c>
      <c r="G3965" s="6">
        <v>17609.88</v>
      </c>
      <c r="H3965" s="5">
        <v>5972</v>
      </c>
    </row>
    <row r="3966" spans="2:8" ht="17.5" customHeight="1" x14ac:dyDescent="0.4">
      <c r="B3966" s="3" t="s">
        <v>7</v>
      </c>
      <c r="C3966" s="3" t="s">
        <v>908</v>
      </c>
      <c r="D3966" s="4">
        <f>DATE(2006,2,6)</f>
        <v>38754</v>
      </c>
      <c r="E3966" s="5">
        <f t="shared" si="65"/>
        <v>2006</v>
      </c>
      <c r="F3966" s="3" t="s">
        <v>910</v>
      </c>
      <c r="G3966" s="6">
        <v>5890.02</v>
      </c>
      <c r="H3966" s="5">
        <v>5972</v>
      </c>
    </row>
    <row r="3967" spans="2:8" ht="17.5" customHeight="1" x14ac:dyDescent="0.4">
      <c r="B3967" s="3" t="s">
        <v>7</v>
      </c>
      <c r="C3967" s="3" t="s">
        <v>908</v>
      </c>
      <c r="D3967" s="4">
        <f>DATE(2010,1,4)</f>
        <v>40182</v>
      </c>
      <c r="E3967" s="5">
        <f t="shared" si="65"/>
        <v>2010</v>
      </c>
      <c r="F3967" s="3" t="s">
        <v>910</v>
      </c>
      <c r="G3967" s="6">
        <v>28927</v>
      </c>
      <c r="H3967" s="5">
        <v>12943</v>
      </c>
    </row>
    <row r="3968" spans="2:8" ht="17.5" customHeight="1" x14ac:dyDescent="0.4">
      <c r="B3968" s="3" t="s">
        <v>16</v>
      </c>
      <c r="C3968" s="3" t="s">
        <v>908</v>
      </c>
      <c r="D3968" s="4">
        <f>DATE(2006,2,16)</f>
        <v>38764</v>
      </c>
      <c r="E3968" s="5">
        <f t="shared" si="65"/>
        <v>2006</v>
      </c>
      <c r="F3968" s="3" t="s">
        <v>910</v>
      </c>
      <c r="G3968" s="6">
        <v>17609.88</v>
      </c>
      <c r="H3968" s="5">
        <v>6074</v>
      </c>
    </row>
    <row r="3969" spans="2:8" ht="17.5" customHeight="1" x14ac:dyDescent="0.4">
      <c r="B3969" s="3" t="s">
        <v>16</v>
      </c>
      <c r="C3969" s="3" t="s">
        <v>908</v>
      </c>
      <c r="D3969" s="4">
        <f>DATE(2006,2,16)</f>
        <v>38764</v>
      </c>
      <c r="E3969" s="5">
        <f t="shared" si="65"/>
        <v>2006</v>
      </c>
      <c r="F3969" s="3" t="s">
        <v>910</v>
      </c>
      <c r="G3969" s="6">
        <v>5890.02</v>
      </c>
      <c r="H3969" s="5">
        <v>6075</v>
      </c>
    </row>
    <row r="3970" spans="2:8" ht="17.5" customHeight="1" x14ac:dyDescent="0.4">
      <c r="B3970" t="s">
        <v>7</v>
      </c>
      <c r="C3970" t="s">
        <v>908</v>
      </c>
      <c r="D3970" s="7">
        <f>DATE(2006,2,10)</f>
        <v>38758</v>
      </c>
      <c r="E3970" s="8">
        <f t="shared" si="65"/>
        <v>2006</v>
      </c>
      <c r="F3970" t="s">
        <v>910</v>
      </c>
      <c r="G3970" s="9">
        <v>81223.06</v>
      </c>
      <c r="H3970" s="8">
        <v>103</v>
      </c>
    </row>
    <row r="3971" spans="2:8" ht="17.5" customHeight="1" x14ac:dyDescent="0.4">
      <c r="B3971" t="s">
        <v>7</v>
      </c>
      <c r="C3971" t="s">
        <v>908</v>
      </c>
      <c r="D3971" s="7">
        <f>DATE(2008,1,22)</f>
        <v>39469</v>
      </c>
      <c r="E3971" s="8">
        <f t="shared" ref="E3971:E4034" si="66">YEAR(D3971)</f>
        <v>2008</v>
      </c>
      <c r="F3971" t="s">
        <v>910</v>
      </c>
      <c r="G3971" s="9">
        <v>123813.42</v>
      </c>
      <c r="H3971" s="8">
        <v>148</v>
      </c>
    </row>
    <row r="3972" spans="2:8" ht="17.5" customHeight="1" x14ac:dyDescent="0.4">
      <c r="B3972" t="s">
        <v>7</v>
      </c>
      <c r="C3972" t="s">
        <v>908</v>
      </c>
      <c r="D3972" s="7">
        <f>DATE(2010,2,28)</f>
        <v>40237</v>
      </c>
      <c r="E3972" s="8">
        <f t="shared" si="66"/>
        <v>2010</v>
      </c>
      <c r="F3972" t="s">
        <v>910</v>
      </c>
      <c r="G3972" s="9">
        <v>185328.29</v>
      </c>
      <c r="H3972" s="8">
        <v>232</v>
      </c>
    </row>
    <row r="3973" spans="2:8" ht="17.5" customHeight="1" x14ac:dyDescent="0.4">
      <c r="B3973" t="s">
        <v>7</v>
      </c>
      <c r="C3973" t="s">
        <v>911</v>
      </c>
      <c r="D3973" s="7">
        <f>DATE(2017,11,20)</f>
        <v>43059</v>
      </c>
      <c r="E3973" s="8">
        <f t="shared" si="66"/>
        <v>2017</v>
      </c>
      <c r="F3973" t="s">
        <v>912</v>
      </c>
      <c r="G3973" s="9">
        <v>10600</v>
      </c>
      <c r="H3973" s="8">
        <v>25848</v>
      </c>
    </row>
    <row r="3974" spans="2:8" ht="17.5" customHeight="1" x14ac:dyDescent="0.4">
      <c r="B3974" t="s">
        <v>7</v>
      </c>
      <c r="C3974" t="s">
        <v>913</v>
      </c>
      <c r="D3974" s="7">
        <f>DATE(2019,3,26)</f>
        <v>43550</v>
      </c>
      <c r="E3974" s="8">
        <f t="shared" si="66"/>
        <v>2019</v>
      </c>
      <c r="F3974" t="s">
        <v>914</v>
      </c>
      <c r="G3974" s="9">
        <v>45408.09</v>
      </c>
      <c r="H3974" s="8">
        <v>28275</v>
      </c>
    </row>
    <row r="3975" spans="2:8" ht="17.5" customHeight="1" x14ac:dyDescent="0.4">
      <c r="B3975" t="s">
        <v>7</v>
      </c>
      <c r="C3975" t="s">
        <v>913</v>
      </c>
      <c r="D3975" s="7">
        <f>DATE(2019,5,13)</f>
        <v>43598</v>
      </c>
      <c r="E3975" s="8">
        <f t="shared" si="66"/>
        <v>2019</v>
      </c>
      <c r="F3975" t="s">
        <v>914</v>
      </c>
      <c r="G3975" s="9">
        <v>34000</v>
      </c>
      <c r="H3975" s="8">
        <v>28413</v>
      </c>
    </row>
    <row r="3976" spans="2:8" ht="17.5" customHeight="1" x14ac:dyDescent="0.4">
      <c r="B3976" t="s">
        <v>7</v>
      </c>
      <c r="C3976" t="s">
        <v>913</v>
      </c>
      <c r="D3976" s="7">
        <f>DATE(2019,4,15)</f>
        <v>43570</v>
      </c>
      <c r="E3976" s="8">
        <f t="shared" si="66"/>
        <v>2019</v>
      </c>
      <c r="F3976" t="s">
        <v>914</v>
      </c>
      <c r="G3976" s="9">
        <v>1730.59</v>
      </c>
      <c r="H3976" s="8">
        <v>28838</v>
      </c>
    </row>
    <row r="3977" spans="2:8" ht="17.5" customHeight="1" x14ac:dyDescent="0.4">
      <c r="B3977" t="s">
        <v>7</v>
      </c>
      <c r="C3977" t="s">
        <v>913</v>
      </c>
      <c r="D3977" s="7">
        <f>DATE(2003,11,25)</f>
        <v>37950</v>
      </c>
      <c r="E3977" s="8">
        <f t="shared" si="66"/>
        <v>2003</v>
      </c>
      <c r="F3977" t="s">
        <v>914</v>
      </c>
      <c r="G3977" s="9">
        <v>3435.21</v>
      </c>
      <c r="H3977" s="8">
        <v>1027</v>
      </c>
    </row>
    <row r="3978" spans="2:8" ht="17.5" customHeight="1" x14ac:dyDescent="0.4">
      <c r="B3978" t="s">
        <v>7</v>
      </c>
      <c r="C3978" t="s">
        <v>913</v>
      </c>
      <c r="D3978" s="7">
        <f>DATE(2004,4,16)</f>
        <v>38093</v>
      </c>
      <c r="E3978" s="8">
        <f t="shared" si="66"/>
        <v>2004</v>
      </c>
      <c r="F3978" t="s">
        <v>914</v>
      </c>
      <c r="G3978" s="9">
        <v>26169</v>
      </c>
      <c r="H3978" s="8">
        <v>1478</v>
      </c>
    </row>
    <row r="3979" spans="2:8" ht="17.5" customHeight="1" x14ac:dyDescent="0.4">
      <c r="B3979" t="s">
        <v>7</v>
      </c>
      <c r="C3979" t="s">
        <v>915</v>
      </c>
      <c r="D3979" s="7">
        <f>DATE(2016,4,12)</f>
        <v>42472</v>
      </c>
      <c r="E3979" s="8">
        <f t="shared" si="66"/>
        <v>2016</v>
      </c>
      <c r="F3979" t="s">
        <v>916</v>
      </c>
      <c r="G3979" s="9">
        <v>67480</v>
      </c>
      <c r="H3979" s="8">
        <v>22286</v>
      </c>
    </row>
    <row r="3980" spans="2:8" ht="17.5" customHeight="1" x14ac:dyDescent="0.4">
      <c r="B3980" t="s">
        <v>7</v>
      </c>
      <c r="C3980" t="s">
        <v>915</v>
      </c>
      <c r="D3980" s="7">
        <f>DATE(2017,4,17)</f>
        <v>42842</v>
      </c>
      <c r="E3980" s="8">
        <f t="shared" si="66"/>
        <v>2017</v>
      </c>
      <c r="F3980" t="s">
        <v>916</v>
      </c>
      <c r="G3980" s="9">
        <v>51660</v>
      </c>
      <c r="H3980" s="8">
        <v>24398</v>
      </c>
    </row>
    <row r="3981" spans="2:8" ht="17.5" customHeight="1" x14ac:dyDescent="0.4">
      <c r="B3981" t="s">
        <v>7</v>
      </c>
      <c r="C3981" t="s">
        <v>915</v>
      </c>
      <c r="D3981" s="7">
        <f>DATE(2018,5,25)</f>
        <v>43245</v>
      </c>
      <c r="E3981" s="8">
        <f t="shared" si="66"/>
        <v>2018</v>
      </c>
      <c r="F3981" t="s">
        <v>916</v>
      </c>
      <c r="G3981" s="9">
        <v>89079.21</v>
      </c>
      <c r="H3981" s="8">
        <v>26579</v>
      </c>
    </row>
    <row r="3982" spans="2:8" ht="17.5" customHeight="1" x14ac:dyDescent="0.4">
      <c r="B3982" t="s">
        <v>7</v>
      </c>
      <c r="C3982" t="s">
        <v>915</v>
      </c>
      <c r="D3982" s="7">
        <f>DATE(2019,4,15)</f>
        <v>43570</v>
      </c>
      <c r="E3982" s="8">
        <f t="shared" si="66"/>
        <v>2019</v>
      </c>
      <c r="F3982" t="s">
        <v>916</v>
      </c>
      <c r="G3982" s="9">
        <v>36468.94</v>
      </c>
      <c r="H3982" s="8">
        <v>28068</v>
      </c>
    </row>
    <row r="3983" spans="2:8" ht="17.5" customHeight="1" x14ac:dyDescent="0.4">
      <c r="B3983" t="s">
        <v>7</v>
      </c>
      <c r="C3983" t="s">
        <v>915</v>
      </c>
      <c r="D3983" s="7">
        <f>DATE(2016,4,8)</f>
        <v>42468</v>
      </c>
      <c r="E3983" s="8">
        <f t="shared" si="66"/>
        <v>2016</v>
      </c>
      <c r="F3983" t="s">
        <v>916</v>
      </c>
      <c r="G3983" s="9">
        <v>67376</v>
      </c>
      <c r="H3983" s="8">
        <v>22287</v>
      </c>
    </row>
    <row r="3984" spans="2:8" ht="17.5" customHeight="1" x14ac:dyDescent="0.4">
      <c r="B3984" t="s">
        <v>7</v>
      </c>
      <c r="C3984" t="s">
        <v>915</v>
      </c>
      <c r="D3984" s="7">
        <f>DATE(2017,4,20)</f>
        <v>42845</v>
      </c>
      <c r="E3984" s="8">
        <f t="shared" si="66"/>
        <v>2017</v>
      </c>
      <c r="F3984" t="s">
        <v>916</v>
      </c>
      <c r="G3984" s="9">
        <v>56026.400000000001</v>
      </c>
      <c r="H3984" s="8">
        <v>24399</v>
      </c>
    </row>
    <row r="3985" spans="2:8" ht="17.5" customHeight="1" x14ac:dyDescent="0.4">
      <c r="B3985" t="s">
        <v>7</v>
      </c>
      <c r="C3985" t="s">
        <v>915</v>
      </c>
      <c r="D3985" s="7">
        <f>DATE(2019,4,8)</f>
        <v>43563</v>
      </c>
      <c r="E3985" s="8">
        <f t="shared" si="66"/>
        <v>2019</v>
      </c>
      <c r="F3985" t="s">
        <v>916</v>
      </c>
      <c r="G3985" s="9">
        <v>31787.88</v>
      </c>
      <c r="H3985" s="8">
        <v>28069</v>
      </c>
    </row>
    <row r="3986" spans="2:8" ht="17.5" customHeight="1" x14ac:dyDescent="0.4">
      <c r="B3986" t="s">
        <v>7</v>
      </c>
      <c r="C3986" t="s">
        <v>915</v>
      </c>
      <c r="D3986" s="7">
        <f>DATE(2019,5,20)</f>
        <v>43605</v>
      </c>
      <c r="E3986" s="8">
        <f t="shared" si="66"/>
        <v>2019</v>
      </c>
      <c r="F3986" t="s">
        <v>916</v>
      </c>
      <c r="G3986" s="9">
        <v>9021.35</v>
      </c>
      <c r="H3986" s="8">
        <v>28948</v>
      </c>
    </row>
    <row r="3987" spans="2:8" ht="17.5" customHeight="1" x14ac:dyDescent="0.4">
      <c r="B3987" t="s">
        <v>7</v>
      </c>
      <c r="C3987" t="s">
        <v>915</v>
      </c>
      <c r="D3987" s="7">
        <f>DATE(2016,2,24)</f>
        <v>42424</v>
      </c>
      <c r="E3987" s="8">
        <f t="shared" si="66"/>
        <v>2016</v>
      </c>
      <c r="F3987" t="s">
        <v>916</v>
      </c>
      <c r="G3987" s="9">
        <v>426</v>
      </c>
      <c r="H3987" s="8">
        <v>22222</v>
      </c>
    </row>
    <row r="3988" spans="2:8" ht="17.5" customHeight="1" x14ac:dyDescent="0.4">
      <c r="B3988" t="s">
        <v>7</v>
      </c>
      <c r="C3988" t="s">
        <v>915</v>
      </c>
      <c r="D3988" s="7">
        <f>DATE(2017,4,24)</f>
        <v>42849</v>
      </c>
      <c r="E3988" s="8">
        <f t="shared" si="66"/>
        <v>2017</v>
      </c>
      <c r="F3988" t="s">
        <v>916</v>
      </c>
      <c r="G3988" s="9">
        <v>1040</v>
      </c>
      <c r="H3988" s="8">
        <v>24808</v>
      </c>
    </row>
    <row r="3989" spans="2:8" ht="17.5" customHeight="1" x14ac:dyDescent="0.4">
      <c r="B3989" t="s">
        <v>7</v>
      </c>
      <c r="C3989" t="s">
        <v>915</v>
      </c>
      <c r="D3989" s="7">
        <f>DATE(2019,4,18)</f>
        <v>43573</v>
      </c>
      <c r="E3989" s="8">
        <f t="shared" si="66"/>
        <v>2019</v>
      </c>
      <c r="F3989" t="s">
        <v>916</v>
      </c>
      <c r="G3989" s="9">
        <v>528</v>
      </c>
      <c r="H3989" s="8">
        <v>28828</v>
      </c>
    </row>
    <row r="3990" spans="2:8" ht="17.5" customHeight="1" x14ac:dyDescent="0.4">
      <c r="B3990" t="s">
        <v>7</v>
      </c>
      <c r="C3990" t="s">
        <v>915</v>
      </c>
      <c r="D3990" s="7">
        <f>DATE(2019,4,30)</f>
        <v>43585</v>
      </c>
      <c r="E3990" s="8">
        <f t="shared" si="66"/>
        <v>2019</v>
      </c>
      <c r="F3990" t="s">
        <v>916</v>
      </c>
      <c r="G3990" s="9">
        <v>227.41</v>
      </c>
      <c r="H3990" s="8">
        <v>28920</v>
      </c>
    </row>
    <row r="3991" spans="2:8" ht="17.5" customHeight="1" x14ac:dyDescent="0.4">
      <c r="B3991" t="s">
        <v>7</v>
      </c>
      <c r="C3991" t="s">
        <v>915</v>
      </c>
      <c r="D3991" s="7">
        <f>DATE(2011,12,13)</f>
        <v>40890</v>
      </c>
      <c r="E3991" s="8">
        <f t="shared" si="66"/>
        <v>2011</v>
      </c>
      <c r="F3991" t="s">
        <v>916</v>
      </c>
      <c r="G3991" s="9">
        <v>2300</v>
      </c>
      <c r="H3991" s="8">
        <v>11139</v>
      </c>
    </row>
    <row r="3992" spans="2:8" ht="17.5" customHeight="1" x14ac:dyDescent="0.4">
      <c r="B3992" t="s">
        <v>7</v>
      </c>
      <c r="C3992" t="s">
        <v>915</v>
      </c>
      <c r="D3992" s="7">
        <f>DATE(2011,12,13)</f>
        <v>40890</v>
      </c>
      <c r="E3992" s="8">
        <f t="shared" si="66"/>
        <v>2011</v>
      </c>
      <c r="F3992" t="s">
        <v>916</v>
      </c>
      <c r="G3992" s="9">
        <v>1812</v>
      </c>
      <c r="H3992" s="8">
        <v>11139</v>
      </c>
    </row>
    <row r="3993" spans="2:8" ht="17.5" customHeight="1" x14ac:dyDescent="0.4">
      <c r="B3993" t="s">
        <v>7</v>
      </c>
      <c r="C3993" t="s">
        <v>915</v>
      </c>
      <c r="D3993" s="7">
        <f>DATE(2012,2,1)</f>
        <v>40940</v>
      </c>
      <c r="E3993" s="8">
        <f t="shared" si="66"/>
        <v>2012</v>
      </c>
      <c r="F3993" t="s">
        <v>916</v>
      </c>
      <c r="G3993" s="9">
        <v>1611</v>
      </c>
      <c r="H3993" s="8">
        <v>11179</v>
      </c>
    </row>
    <row r="3994" spans="2:8" ht="17.5" customHeight="1" x14ac:dyDescent="0.4">
      <c r="B3994" t="s">
        <v>7</v>
      </c>
      <c r="C3994" t="s">
        <v>915</v>
      </c>
      <c r="D3994" s="7">
        <f>DATE(2013,4,19)</f>
        <v>41383</v>
      </c>
      <c r="E3994" s="8">
        <f t="shared" si="66"/>
        <v>2013</v>
      </c>
      <c r="F3994" t="s">
        <v>916</v>
      </c>
      <c r="G3994" s="9">
        <v>51690</v>
      </c>
      <c r="H3994" s="8">
        <v>12202</v>
      </c>
    </row>
    <row r="3995" spans="2:8" ht="17.5" customHeight="1" x14ac:dyDescent="0.4">
      <c r="B3995" t="s">
        <v>7</v>
      </c>
      <c r="C3995" t="s">
        <v>915</v>
      </c>
      <c r="D3995" s="7">
        <f>DATE(2014,5,19)</f>
        <v>41778</v>
      </c>
      <c r="E3995" s="8">
        <f t="shared" si="66"/>
        <v>2014</v>
      </c>
      <c r="F3995" t="s">
        <v>916</v>
      </c>
      <c r="G3995" s="9">
        <v>60597</v>
      </c>
      <c r="H3995" s="8">
        <v>12942</v>
      </c>
    </row>
    <row r="3996" spans="2:8" ht="17.5" customHeight="1" x14ac:dyDescent="0.4">
      <c r="B3996" t="s">
        <v>7</v>
      </c>
      <c r="C3996" t="s">
        <v>915</v>
      </c>
      <c r="D3996" s="7">
        <f>DATE(2004,4,9)</f>
        <v>38086</v>
      </c>
      <c r="E3996" s="8">
        <f t="shared" si="66"/>
        <v>2004</v>
      </c>
      <c r="F3996" t="s">
        <v>916</v>
      </c>
      <c r="G3996" s="9">
        <v>37597.03</v>
      </c>
      <c r="H3996" s="8">
        <v>1147</v>
      </c>
    </row>
    <row r="3997" spans="2:8" ht="17.5" customHeight="1" x14ac:dyDescent="0.4">
      <c r="B3997" t="s">
        <v>7</v>
      </c>
      <c r="C3997" t="s">
        <v>915</v>
      </c>
      <c r="D3997" s="7">
        <f>DATE(2004,4,9)</f>
        <v>38086</v>
      </c>
      <c r="E3997" s="8">
        <f t="shared" si="66"/>
        <v>2004</v>
      </c>
      <c r="F3997" t="s">
        <v>916</v>
      </c>
      <c r="G3997" s="9">
        <v>38008.089999999997</v>
      </c>
      <c r="H3997" s="8">
        <v>1144</v>
      </c>
    </row>
    <row r="3998" spans="2:8" ht="17.5" customHeight="1" x14ac:dyDescent="0.4">
      <c r="B3998" t="s">
        <v>7</v>
      </c>
      <c r="C3998" t="s">
        <v>915</v>
      </c>
      <c r="D3998" s="7">
        <f>DATE(2005,4,4)</f>
        <v>38446</v>
      </c>
      <c r="E3998" s="8">
        <f t="shared" si="66"/>
        <v>2005</v>
      </c>
      <c r="F3998" t="s">
        <v>916</v>
      </c>
      <c r="G3998" s="9">
        <v>38133.769999999997</v>
      </c>
      <c r="H3998" s="8">
        <v>2519</v>
      </c>
    </row>
    <row r="3999" spans="2:8" ht="17.5" customHeight="1" x14ac:dyDescent="0.4">
      <c r="B3999" t="s">
        <v>7</v>
      </c>
      <c r="C3999" t="s">
        <v>915</v>
      </c>
      <c r="D3999" s="7">
        <f>DATE(2005,3,31)</f>
        <v>38442</v>
      </c>
      <c r="E3999" s="8">
        <f t="shared" si="66"/>
        <v>2005</v>
      </c>
      <c r="F3999" t="s">
        <v>916</v>
      </c>
      <c r="G3999" s="9">
        <v>57794.78</v>
      </c>
      <c r="H3999" s="8">
        <v>2518</v>
      </c>
    </row>
    <row r="4000" spans="2:8" ht="17.5" customHeight="1" x14ac:dyDescent="0.4">
      <c r="B4000" t="s">
        <v>7</v>
      </c>
      <c r="C4000" t="s">
        <v>915</v>
      </c>
      <c r="D4000" s="7">
        <f>DATE(2007,3,25)</f>
        <v>39166</v>
      </c>
      <c r="E4000" s="8">
        <f t="shared" si="66"/>
        <v>2007</v>
      </c>
      <c r="F4000" t="s">
        <v>916</v>
      </c>
      <c r="G4000" s="9">
        <v>49518.98</v>
      </c>
      <c r="H4000" s="8">
        <v>5527</v>
      </c>
    </row>
    <row r="4001" spans="2:8" ht="17.5" customHeight="1" x14ac:dyDescent="0.4">
      <c r="B4001" t="s">
        <v>7</v>
      </c>
      <c r="C4001" t="s">
        <v>915</v>
      </c>
      <c r="D4001" s="7">
        <f>DATE(2007,5,1)</f>
        <v>39203</v>
      </c>
      <c r="E4001" s="8">
        <f t="shared" si="66"/>
        <v>2007</v>
      </c>
      <c r="F4001" t="s">
        <v>916</v>
      </c>
      <c r="G4001" s="9">
        <v>4700</v>
      </c>
      <c r="H4001" s="8">
        <v>5890</v>
      </c>
    </row>
    <row r="4002" spans="2:8" ht="17.5" customHeight="1" x14ac:dyDescent="0.4">
      <c r="B4002" t="s">
        <v>7</v>
      </c>
      <c r="C4002" t="s">
        <v>915</v>
      </c>
      <c r="D4002" s="7">
        <f>DATE(2008,5,1)</f>
        <v>39569</v>
      </c>
      <c r="E4002" s="8">
        <f t="shared" si="66"/>
        <v>2008</v>
      </c>
      <c r="F4002" t="s">
        <v>916</v>
      </c>
      <c r="G4002" s="9">
        <v>44558.79</v>
      </c>
      <c r="H4002" s="8">
        <v>6635</v>
      </c>
    </row>
    <row r="4003" spans="2:8" ht="17.5" customHeight="1" x14ac:dyDescent="0.4">
      <c r="B4003" t="s">
        <v>7</v>
      </c>
      <c r="C4003" t="s">
        <v>915</v>
      </c>
      <c r="D4003" s="7">
        <f>DATE(2008,5,1)</f>
        <v>39569</v>
      </c>
      <c r="E4003" s="8">
        <f t="shared" si="66"/>
        <v>2008</v>
      </c>
      <c r="F4003" t="s">
        <v>916</v>
      </c>
      <c r="G4003" s="9">
        <v>10054.299999999999</v>
      </c>
      <c r="H4003" s="8">
        <v>6912</v>
      </c>
    </row>
    <row r="4004" spans="2:8" ht="17.5" customHeight="1" x14ac:dyDescent="0.4">
      <c r="B4004" t="s">
        <v>7</v>
      </c>
      <c r="C4004" t="s">
        <v>915</v>
      </c>
      <c r="D4004" s="7">
        <f>DATE(2008,5,1)</f>
        <v>39569</v>
      </c>
      <c r="E4004" s="8">
        <f t="shared" si="66"/>
        <v>2008</v>
      </c>
      <c r="F4004" t="s">
        <v>916</v>
      </c>
      <c r="G4004" s="9">
        <v>53303.63</v>
      </c>
      <c r="H4004" s="8">
        <v>7070</v>
      </c>
    </row>
    <row r="4005" spans="2:8" ht="17.5" customHeight="1" x14ac:dyDescent="0.4">
      <c r="B4005" t="s">
        <v>7</v>
      </c>
      <c r="C4005" t="s">
        <v>915</v>
      </c>
      <c r="D4005" s="7">
        <f>DATE(2009,8,26)</f>
        <v>40051</v>
      </c>
      <c r="E4005" s="8">
        <f t="shared" si="66"/>
        <v>2009</v>
      </c>
      <c r="F4005" t="s">
        <v>916</v>
      </c>
      <c r="G4005" s="9">
        <v>10934.2</v>
      </c>
      <c r="H4005" s="8">
        <v>8959</v>
      </c>
    </row>
    <row r="4006" spans="2:8" ht="17.5" customHeight="1" x14ac:dyDescent="0.4">
      <c r="B4006" t="s">
        <v>7</v>
      </c>
      <c r="C4006" t="s">
        <v>915</v>
      </c>
      <c r="D4006" s="7">
        <f>DATE(2009,8,28)</f>
        <v>40053</v>
      </c>
      <c r="E4006" s="8">
        <f t="shared" si="66"/>
        <v>2009</v>
      </c>
      <c r="F4006" t="s">
        <v>916</v>
      </c>
      <c r="G4006" s="9">
        <v>15232.6</v>
      </c>
      <c r="H4006" s="8">
        <v>8960</v>
      </c>
    </row>
    <row r="4007" spans="2:8" ht="17.5" customHeight="1" x14ac:dyDescent="0.4">
      <c r="B4007" t="s">
        <v>7</v>
      </c>
      <c r="C4007" t="s">
        <v>915</v>
      </c>
      <c r="D4007" s="7">
        <f>DATE(2010,5,3)</f>
        <v>40301</v>
      </c>
      <c r="E4007" s="8">
        <f t="shared" si="66"/>
        <v>2010</v>
      </c>
      <c r="F4007" t="s">
        <v>916</v>
      </c>
      <c r="G4007" s="9">
        <v>58936.49</v>
      </c>
      <c r="H4007" s="8">
        <v>9573</v>
      </c>
    </row>
    <row r="4008" spans="2:8" ht="17.5" customHeight="1" x14ac:dyDescent="0.4">
      <c r="B4008" t="s">
        <v>7</v>
      </c>
      <c r="C4008" t="s">
        <v>915</v>
      </c>
      <c r="D4008" s="7">
        <f>DATE(2010,5,3)</f>
        <v>40301</v>
      </c>
      <c r="E4008" s="8">
        <f t="shared" si="66"/>
        <v>2010</v>
      </c>
      <c r="F4008" t="s">
        <v>916</v>
      </c>
      <c r="G4008" s="9">
        <v>57046.6</v>
      </c>
      <c r="H4008" s="8">
        <v>9593</v>
      </c>
    </row>
    <row r="4009" spans="2:8" ht="17.5" customHeight="1" x14ac:dyDescent="0.4">
      <c r="B4009" t="s">
        <v>7</v>
      </c>
      <c r="C4009" t="s">
        <v>915</v>
      </c>
      <c r="D4009" s="7">
        <f>DATE(2011,4,25)</f>
        <v>40658</v>
      </c>
      <c r="E4009" s="8">
        <f t="shared" si="66"/>
        <v>2011</v>
      </c>
      <c r="F4009" t="s">
        <v>916</v>
      </c>
      <c r="G4009" s="9">
        <v>47623.88</v>
      </c>
      <c r="H4009" s="8">
        <v>10329</v>
      </c>
    </row>
    <row r="4010" spans="2:8" ht="17.5" customHeight="1" x14ac:dyDescent="0.4">
      <c r="B4010" t="s">
        <v>7</v>
      </c>
      <c r="C4010" t="s">
        <v>915</v>
      </c>
      <c r="D4010" s="7">
        <f>DATE(2013,4,24)</f>
        <v>41388</v>
      </c>
      <c r="E4010" s="8">
        <f t="shared" si="66"/>
        <v>2013</v>
      </c>
      <c r="F4010" t="s">
        <v>916</v>
      </c>
      <c r="G4010" s="9">
        <v>56076.52</v>
      </c>
      <c r="H4010" s="8">
        <v>12201</v>
      </c>
    </row>
    <row r="4011" spans="2:8" ht="17.5" customHeight="1" x14ac:dyDescent="0.4">
      <c r="B4011" t="s">
        <v>7</v>
      </c>
      <c r="C4011" t="s">
        <v>915</v>
      </c>
      <c r="D4011" s="7">
        <f>DATE(2014,5,19)</f>
        <v>41778</v>
      </c>
      <c r="E4011" s="8">
        <f t="shared" si="66"/>
        <v>2014</v>
      </c>
      <c r="F4011" t="s">
        <v>916</v>
      </c>
      <c r="G4011" s="9">
        <v>59000</v>
      </c>
      <c r="H4011" s="8">
        <v>12949</v>
      </c>
    </row>
    <row r="4012" spans="2:8" ht="17.5" customHeight="1" x14ac:dyDescent="0.4">
      <c r="B4012" t="s">
        <v>7</v>
      </c>
      <c r="C4012" t="s">
        <v>915</v>
      </c>
      <c r="D4012" s="7">
        <f>DATE(2011,7,22)</f>
        <v>40746</v>
      </c>
      <c r="E4012" s="8">
        <f t="shared" si="66"/>
        <v>2011</v>
      </c>
      <c r="F4012" t="s">
        <v>916</v>
      </c>
      <c r="G4012" s="9">
        <v>13056.65</v>
      </c>
      <c r="H4012" s="8">
        <v>10873</v>
      </c>
    </row>
    <row r="4013" spans="2:8" ht="17.5" customHeight="1" x14ac:dyDescent="0.4">
      <c r="B4013" t="s">
        <v>7</v>
      </c>
      <c r="C4013" t="s">
        <v>915</v>
      </c>
      <c r="D4013" s="7">
        <f>DATE(2011,9,29)</f>
        <v>40815</v>
      </c>
      <c r="E4013" s="8">
        <f t="shared" si="66"/>
        <v>2011</v>
      </c>
      <c r="F4013" t="s">
        <v>916</v>
      </c>
      <c r="G4013" s="9">
        <v>9107.4500000000007</v>
      </c>
      <c r="H4013" s="8">
        <v>11041</v>
      </c>
    </row>
    <row r="4014" spans="2:8" ht="17.5" customHeight="1" x14ac:dyDescent="0.4">
      <c r="B4014" t="s">
        <v>7</v>
      </c>
      <c r="C4014" t="s">
        <v>915</v>
      </c>
      <c r="D4014" s="7">
        <f>DATE(2011,11,30)</f>
        <v>40877</v>
      </c>
      <c r="E4014" s="8">
        <f t="shared" si="66"/>
        <v>2011</v>
      </c>
      <c r="F4014" t="s">
        <v>916</v>
      </c>
      <c r="G4014" s="9">
        <v>5087.84</v>
      </c>
      <c r="H4014" s="8">
        <v>11140</v>
      </c>
    </row>
    <row r="4015" spans="2:8" ht="17.5" customHeight="1" x14ac:dyDescent="0.4">
      <c r="B4015" t="s">
        <v>7</v>
      </c>
      <c r="C4015" t="s">
        <v>915</v>
      </c>
      <c r="D4015" s="7">
        <f>DATE(2012,8,2)</f>
        <v>41123</v>
      </c>
      <c r="E4015" s="8">
        <f t="shared" si="66"/>
        <v>2012</v>
      </c>
      <c r="F4015" t="s">
        <v>916</v>
      </c>
      <c r="G4015" s="9">
        <v>12516.98</v>
      </c>
      <c r="H4015" s="8">
        <v>11762</v>
      </c>
    </row>
    <row r="4016" spans="2:8" ht="17.5" customHeight="1" x14ac:dyDescent="0.4">
      <c r="B4016" t="s">
        <v>16</v>
      </c>
      <c r="C4016" t="s">
        <v>915</v>
      </c>
      <c r="D4016" s="7">
        <f>DATE(2009,9,22)</f>
        <v>40078</v>
      </c>
      <c r="E4016" s="8">
        <f t="shared" si="66"/>
        <v>2009</v>
      </c>
      <c r="F4016" t="s">
        <v>916</v>
      </c>
      <c r="G4016" s="9">
        <v>2184.6</v>
      </c>
      <c r="H4016" s="8">
        <v>9093</v>
      </c>
    </row>
    <row r="4017" spans="2:8" ht="17.5" customHeight="1" x14ac:dyDescent="0.4">
      <c r="B4017" s="3" t="s">
        <v>7</v>
      </c>
      <c r="C4017" s="3" t="s">
        <v>915</v>
      </c>
      <c r="D4017" s="4">
        <f>DATE(2004,3,11)</f>
        <v>38057</v>
      </c>
      <c r="E4017" s="5">
        <f t="shared" si="66"/>
        <v>2004</v>
      </c>
      <c r="F4017" s="3" t="s">
        <v>916</v>
      </c>
      <c r="G4017" s="6">
        <v>352</v>
      </c>
      <c r="H4017" s="5">
        <v>2371</v>
      </c>
    </row>
    <row r="4018" spans="2:8" ht="17.5" customHeight="1" x14ac:dyDescent="0.4">
      <c r="B4018" s="3" t="s">
        <v>7</v>
      </c>
      <c r="C4018" s="3" t="s">
        <v>915</v>
      </c>
      <c r="D4018" s="4">
        <f>DATE(2004,3,31)</f>
        <v>38077</v>
      </c>
      <c r="E4018" s="5">
        <f t="shared" si="66"/>
        <v>2004</v>
      </c>
      <c r="F4018" s="3" t="s">
        <v>916</v>
      </c>
      <c r="G4018" s="6">
        <v>247</v>
      </c>
      <c r="H4018" s="5">
        <v>2535</v>
      </c>
    </row>
    <row r="4019" spans="2:8" ht="17.5" customHeight="1" x14ac:dyDescent="0.4">
      <c r="B4019" s="3" t="s">
        <v>7</v>
      </c>
      <c r="C4019" s="3" t="s">
        <v>915</v>
      </c>
      <c r="D4019" s="4">
        <f>DATE(2007,4,2)</f>
        <v>39174</v>
      </c>
      <c r="E4019" s="5">
        <f t="shared" si="66"/>
        <v>2007</v>
      </c>
      <c r="F4019" s="3" t="s">
        <v>916</v>
      </c>
      <c r="G4019" s="6">
        <v>847.91</v>
      </c>
      <c r="H4019" s="5">
        <v>8301</v>
      </c>
    </row>
    <row r="4020" spans="2:8" ht="17.5" customHeight="1" x14ac:dyDescent="0.4">
      <c r="B4020" s="3" t="s">
        <v>7</v>
      </c>
      <c r="C4020" s="3" t="s">
        <v>915</v>
      </c>
      <c r="D4020" s="4">
        <f>DATE(2008,4,16)</f>
        <v>39554</v>
      </c>
      <c r="E4020" s="5">
        <f t="shared" si="66"/>
        <v>2008</v>
      </c>
      <c r="F4020" s="3" t="s">
        <v>916</v>
      </c>
      <c r="G4020" s="6">
        <v>1213.72</v>
      </c>
      <c r="H4020" s="5">
        <v>10483</v>
      </c>
    </row>
    <row r="4021" spans="2:8" ht="17.5" customHeight="1" x14ac:dyDescent="0.4">
      <c r="B4021" s="3" t="s">
        <v>7</v>
      </c>
      <c r="C4021" s="3" t="s">
        <v>915</v>
      </c>
      <c r="D4021" s="4">
        <f>DATE(2009,1,15)</f>
        <v>39828</v>
      </c>
      <c r="E4021" s="5">
        <f t="shared" si="66"/>
        <v>2009</v>
      </c>
      <c r="F4021" s="3" t="s">
        <v>916</v>
      </c>
      <c r="G4021" s="6">
        <v>217.73</v>
      </c>
      <c r="H4021" s="5">
        <v>11829</v>
      </c>
    </row>
    <row r="4022" spans="2:8" ht="17.5" customHeight="1" x14ac:dyDescent="0.4">
      <c r="B4022" s="3" t="s">
        <v>7</v>
      </c>
      <c r="C4022" s="3" t="s">
        <v>915</v>
      </c>
      <c r="D4022" s="4">
        <f>DATE(2009,8,20)</f>
        <v>40045</v>
      </c>
      <c r="E4022" s="5">
        <f t="shared" si="66"/>
        <v>2009</v>
      </c>
      <c r="F4022" s="3" t="s">
        <v>916</v>
      </c>
      <c r="G4022" s="6">
        <v>1033</v>
      </c>
      <c r="H4022" s="5">
        <v>12919</v>
      </c>
    </row>
    <row r="4023" spans="2:8" ht="17.5" customHeight="1" x14ac:dyDescent="0.4">
      <c r="B4023" s="3" t="s">
        <v>7</v>
      </c>
      <c r="C4023" s="3" t="s">
        <v>915</v>
      </c>
      <c r="D4023" s="4">
        <f>DATE(2010,3,26)</f>
        <v>40263</v>
      </c>
      <c r="E4023" s="5">
        <f t="shared" si="66"/>
        <v>2010</v>
      </c>
      <c r="F4023" s="3" t="s">
        <v>916</v>
      </c>
      <c r="G4023" s="6">
        <v>964</v>
      </c>
      <c r="H4023" s="5">
        <v>13750</v>
      </c>
    </row>
    <row r="4024" spans="2:8" ht="17.5" customHeight="1" x14ac:dyDescent="0.4">
      <c r="B4024" s="3" t="s">
        <v>7</v>
      </c>
      <c r="C4024" s="3" t="s">
        <v>915</v>
      </c>
      <c r="D4024" s="4">
        <f>DATE(2010,4,23)</f>
        <v>40291</v>
      </c>
      <c r="E4024" s="5">
        <f t="shared" si="66"/>
        <v>2010</v>
      </c>
      <c r="F4024" s="3" t="s">
        <v>916</v>
      </c>
      <c r="G4024" s="6">
        <v>482.56</v>
      </c>
      <c r="H4024" s="5">
        <v>13958</v>
      </c>
    </row>
    <row r="4025" spans="2:8" ht="17.5" customHeight="1" x14ac:dyDescent="0.4">
      <c r="B4025" s="3" t="s">
        <v>7</v>
      </c>
      <c r="C4025" s="3" t="s">
        <v>915</v>
      </c>
      <c r="D4025" s="4">
        <f>DATE(2012,5,1)</f>
        <v>41030</v>
      </c>
      <c r="E4025" s="5">
        <f t="shared" si="66"/>
        <v>2012</v>
      </c>
      <c r="F4025" s="3" t="s">
        <v>916</v>
      </c>
      <c r="G4025" s="6">
        <v>194.88</v>
      </c>
      <c r="H4025" s="5">
        <v>17062</v>
      </c>
    </row>
    <row r="4026" spans="2:8" ht="17.5" customHeight="1" x14ac:dyDescent="0.4">
      <c r="B4026" s="3" t="s">
        <v>7</v>
      </c>
      <c r="C4026" s="3" t="s">
        <v>915</v>
      </c>
      <c r="D4026" s="4">
        <f>DATE(2012,8,15)</f>
        <v>41136</v>
      </c>
      <c r="E4026" s="5">
        <f t="shared" si="66"/>
        <v>2012</v>
      </c>
      <c r="F4026" s="3" t="s">
        <v>916</v>
      </c>
      <c r="G4026" s="6">
        <v>346.92</v>
      </c>
      <c r="H4026" s="5">
        <v>17464</v>
      </c>
    </row>
    <row r="4027" spans="2:8" ht="17.5" customHeight="1" x14ac:dyDescent="0.4">
      <c r="B4027" s="3" t="s">
        <v>16</v>
      </c>
      <c r="C4027" s="3" t="s">
        <v>915</v>
      </c>
      <c r="D4027" s="4">
        <f>DATE(2010,4,29)</f>
        <v>40297</v>
      </c>
      <c r="E4027" s="5">
        <f t="shared" si="66"/>
        <v>2010</v>
      </c>
      <c r="F4027" s="3" t="s">
        <v>916</v>
      </c>
      <c r="G4027" s="6">
        <v>475</v>
      </c>
      <c r="H4027" s="5">
        <v>13957</v>
      </c>
    </row>
    <row r="4028" spans="2:8" ht="17.5" customHeight="1" x14ac:dyDescent="0.4">
      <c r="B4028" s="3" t="s">
        <v>7</v>
      </c>
      <c r="C4028" s="3" t="s">
        <v>915</v>
      </c>
      <c r="D4028" s="4">
        <f>DATE(2004,2,19)</f>
        <v>38036</v>
      </c>
      <c r="E4028" s="5">
        <f t="shared" si="66"/>
        <v>2004</v>
      </c>
      <c r="F4028" s="3" t="s">
        <v>917</v>
      </c>
      <c r="G4028" s="6">
        <v>981</v>
      </c>
      <c r="H4028" s="5">
        <v>2207</v>
      </c>
    </row>
    <row r="4029" spans="2:8" ht="17.5" customHeight="1" x14ac:dyDescent="0.4">
      <c r="B4029" t="s">
        <v>7</v>
      </c>
      <c r="C4029" t="s">
        <v>918</v>
      </c>
      <c r="D4029" s="7">
        <f>DATE(2003,6,18)</f>
        <v>37790</v>
      </c>
      <c r="E4029" s="8">
        <f t="shared" si="66"/>
        <v>2003</v>
      </c>
      <c r="F4029" t="s">
        <v>919</v>
      </c>
      <c r="G4029" s="9">
        <v>4217.0600000000004</v>
      </c>
      <c r="H4029" s="8">
        <v>677</v>
      </c>
    </row>
    <row r="4030" spans="2:8" ht="17.5" customHeight="1" x14ac:dyDescent="0.4">
      <c r="B4030" t="s">
        <v>7</v>
      </c>
      <c r="C4030" t="s">
        <v>918</v>
      </c>
      <c r="D4030" s="7">
        <f>DATE(2003,11,1)</f>
        <v>37926</v>
      </c>
      <c r="E4030" s="8">
        <f t="shared" si="66"/>
        <v>2003</v>
      </c>
      <c r="F4030" t="s">
        <v>919</v>
      </c>
      <c r="G4030" s="9">
        <v>3293.55</v>
      </c>
      <c r="H4030" s="8">
        <v>989</v>
      </c>
    </row>
    <row r="4031" spans="2:8" ht="17.5" customHeight="1" x14ac:dyDescent="0.4">
      <c r="B4031" s="3" t="s">
        <v>7</v>
      </c>
      <c r="C4031" s="3" t="s">
        <v>920</v>
      </c>
      <c r="D4031" s="4">
        <f>DATE(2013,5,3)</f>
        <v>41397</v>
      </c>
      <c r="E4031" s="5">
        <f t="shared" si="66"/>
        <v>2013</v>
      </c>
      <c r="F4031" s="3" t="s">
        <v>921</v>
      </c>
      <c r="G4031" s="6">
        <v>933.12</v>
      </c>
      <c r="H4031" s="5">
        <v>18535</v>
      </c>
    </row>
    <row r="4032" spans="2:8" ht="17.5" customHeight="1" x14ac:dyDescent="0.4">
      <c r="B4032" t="s">
        <v>7</v>
      </c>
      <c r="C4032" t="s">
        <v>378</v>
      </c>
      <c r="D4032" s="7">
        <f>DATE(2007,3,21)</f>
        <v>39162</v>
      </c>
      <c r="E4032" s="8">
        <f t="shared" si="66"/>
        <v>2007</v>
      </c>
      <c r="F4032" t="s">
        <v>922</v>
      </c>
      <c r="G4032" s="9">
        <v>11600</v>
      </c>
      <c r="H4032" s="8">
        <v>5712</v>
      </c>
    </row>
    <row r="4033" spans="2:8" ht="17.5" customHeight="1" x14ac:dyDescent="0.4">
      <c r="B4033" t="s">
        <v>7</v>
      </c>
      <c r="C4033" t="s">
        <v>378</v>
      </c>
      <c r="D4033" s="7">
        <f>DATE(2009,6,29)</f>
        <v>39993</v>
      </c>
      <c r="E4033" s="8">
        <f t="shared" si="66"/>
        <v>2009</v>
      </c>
      <c r="F4033" t="s">
        <v>922</v>
      </c>
      <c r="G4033" s="9">
        <v>19625</v>
      </c>
      <c r="H4033" s="8">
        <v>8835</v>
      </c>
    </row>
    <row r="4034" spans="2:8" ht="17.5" customHeight="1" x14ac:dyDescent="0.4">
      <c r="B4034" t="s">
        <v>7</v>
      </c>
      <c r="C4034" t="s">
        <v>378</v>
      </c>
      <c r="D4034" s="7">
        <f>DATE(2011,4,8)</f>
        <v>40641</v>
      </c>
      <c r="E4034" s="8">
        <f t="shared" si="66"/>
        <v>2011</v>
      </c>
      <c r="F4034" t="s">
        <v>922</v>
      </c>
      <c r="G4034" s="9">
        <v>8939.23</v>
      </c>
      <c r="H4034" s="8">
        <v>10653</v>
      </c>
    </row>
    <row r="4035" spans="2:8" ht="17.5" customHeight="1" x14ac:dyDescent="0.4">
      <c r="B4035" s="3" t="s">
        <v>7</v>
      </c>
      <c r="C4035" s="3" t="s">
        <v>378</v>
      </c>
      <c r="D4035" s="4">
        <f>DATE(2007,12,19)</f>
        <v>39435</v>
      </c>
      <c r="E4035" s="5">
        <f t="shared" ref="E4035:E4098" si="67">YEAR(D4035)</f>
        <v>2007</v>
      </c>
      <c r="F4035" s="3" t="s">
        <v>922</v>
      </c>
      <c r="G4035" s="6">
        <v>1515</v>
      </c>
      <c r="H4035" s="5">
        <v>9615</v>
      </c>
    </row>
    <row r="4036" spans="2:8" ht="17.5" customHeight="1" x14ac:dyDescent="0.4">
      <c r="B4036" s="3" t="s">
        <v>7</v>
      </c>
      <c r="C4036" s="3" t="s">
        <v>378</v>
      </c>
      <c r="D4036" s="4">
        <f>DATE(2008,2,6)</f>
        <v>39484</v>
      </c>
      <c r="E4036" s="5">
        <f t="shared" si="67"/>
        <v>2008</v>
      </c>
      <c r="F4036" s="3" t="s">
        <v>922</v>
      </c>
      <c r="G4036" s="6">
        <v>3825</v>
      </c>
      <c r="H4036" s="5">
        <v>9832</v>
      </c>
    </row>
    <row r="4037" spans="2:8" ht="17.5" customHeight="1" x14ac:dyDescent="0.4">
      <c r="B4037" s="3" t="s">
        <v>7</v>
      </c>
      <c r="C4037" s="3" t="s">
        <v>378</v>
      </c>
      <c r="D4037" s="4">
        <f>DATE(2008,3,21)</f>
        <v>39528</v>
      </c>
      <c r="E4037" s="5">
        <f t="shared" si="67"/>
        <v>2008</v>
      </c>
      <c r="F4037" s="3" t="s">
        <v>922</v>
      </c>
      <c r="G4037" s="6">
        <v>203.75</v>
      </c>
      <c r="H4037" s="5">
        <v>10271</v>
      </c>
    </row>
    <row r="4038" spans="2:8" ht="17.5" customHeight="1" x14ac:dyDescent="0.4">
      <c r="B4038" s="3" t="s">
        <v>7</v>
      </c>
      <c r="C4038" s="3" t="s">
        <v>378</v>
      </c>
      <c r="D4038" s="4">
        <f>DATE(2009,1,9)</f>
        <v>39822</v>
      </c>
      <c r="E4038" s="5">
        <f t="shared" si="67"/>
        <v>2009</v>
      </c>
      <c r="F4038" s="3" t="s">
        <v>922</v>
      </c>
      <c r="G4038" s="6">
        <v>5341.07</v>
      </c>
      <c r="H4038" s="5">
        <v>11661</v>
      </c>
    </row>
    <row r="4039" spans="2:8" ht="17.5" customHeight="1" x14ac:dyDescent="0.4">
      <c r="B4039" s="3" t="s">
        <v>7</v>
      </c>
      <c r="C4039" s="3" t="s">
        <v>378</v>
      </c>
      <c r="D4039" s="4">
        <f>DATE(2009,3,11)</f>
        <v>39883</v>
      </c>
      <c r="E4039" s="5">
        <f t="shared" si="67"/>
        <v>2009</v>
      </c>
      <c r="F4039" s="3" t="s">
        <v>922</v>
      </c>
      <c r="G4039" s="6">
        <v>1150</v>
      </c>
      <c r="H4039" s="5">
        <v>12095</v>
      </c>
    </row>
    <row r="4040" spans="2:8" ht="17.5" customHeight="1" x14ac:dyDescent="0.4">
      <c r="B4040" s="3" t="s">
        <v>7</v>
      </c>
      <c r="C4040" s="3" t="s">
        <v>378</v>
      </c>
      <c r="D4040" s="4">
        <f>DATE(2009,6,4)</f>
        <v>39968</v>
      </c>
      <c r="E4040" s="5">
        <f t="shared" si="67"/>
        <v>2009</v>
      </c>
      <c r="F4040" s="3" t="s">
        <v>922</v>
      </c>
      <c r="G4040" s="6">
        <v>761</v>
      </c>
      <c r="H4040" s="5">
        <v>12649</v>
      </c>
    </row>
    <row r="4041" spans="2:8" ht="17.5" customHeight="1" x14ac:dyDescent="0.4">
      <c r="B4041" s="3" t="s">
        <v>7</v>
      </c>
      <c r="C4041" s="3" t="s">
        <v>378</v>
      </c>
      <c r="D4041" s="4">
        <f>DATE(2009,12,15)</f>
        <v>40162</v>
      </c>
      <c r="E4041" s="5">
        <f t="shared" si="67"/>
        <v>2009</v>
      </c>
      <c r="F4041" s="3" t="s">
        <v>922</v>
      </c>
      <c r="G4041" s="6">
        <v>769</v>
      </c>
      <c r="H4041" s="5">
        <v>13325</v>
      </c>
    </row>
    <row r="4042" spans="2:8" ht="17.5" customHeight="1" x14ac:dyDescent="0.4">
      <c r="B4042" s="3" t="s">
        <v>7</v>
      </c>
      <c r="C4042" s="3" t="s">
        <v>378</v>
      </c>
      <c r="D4042" s="4">
        <f>DATE(2010,3,22)</f>
        <v>40259</v>
      </c>
      <c r="E4042" s="5">
        <f t="shared" si="67"/>
        <v>2010</v>
      </c>
      <c r="F4042" s="3" t="s">
        <v>922</v>
      </c>
      <c r="G4042" s="6">
        <v>2163.5500000000002</v>
      </c>
      <c r="H4042" s="5">
        <v>13764</v>
      </c>
    </row>
    <row r="4043" spans="2:8" ht="17.5" customHeight="1" x14ac:dyDescent="0.4">
      <c r="B4043" s="3" t="s">
        <v>7</v>
      </c>
      <c r="C4043" s="3" t="s">
        <v>378</v>
      </c>
      <c r="D4043" s="4">
        <f>DATE(2010,4,15)</f>
        <v>40283</v>
      </c>
      <c r="E4043" s="5">
        <f t="shared" si="67"/>
        <v>2010</v>
      </c>
      <c r="F4043" s="3" t="s">
        <v>922</v>
      </c>
      <c r="G4043" s="6">
        <v>647.5</v>
      </c>
      <c r="H4043" s="5">
        <v>13901</v>
      </c>
    </row>
    <row r="4044" spans="2:8" ht="17.5" customHeight="1" x14ac:dyDescent="0.4">
      <c r="B4044" s="3" t="s">
        <v>7</v>
      </c>
      <c r="C4044" s="3" t="s">
        <v>378</v>
      </c>
      <c r="D4044" s="4">
        <f>DATE(2011,3,9)</f>
        <v>40611</v>
      </c>
      <c r="E4044" s="5">
        <f t="shared" si="67"/>
        <v>2011</v>
      </c>
      <c r="F4044" s="3" t="s">
        <v>922</v>
      </c>
      <c r="G4044" s="6">
        <v>3239.8</v>
      </c>
      <c r="H4044" s="5">
        <v>15192</v>
      </c>
    </row>
    <row r="4045" spans="2:8" ht="17.5" customHeight="1" x14ac:dyDescent="0.4">
      <c r="B4045" s="3" t="s">
        <v>7</v>
      </c>
      <c r="C4045" s="3" t="s">
        <v>378</v>
      </c>
      <c r="D4045" s="4">
        <f>DATE(2011,3,15)</f>
        <v>40617</v>
      </c>
      <c r="E4045" s="5">
        <f t="shared" si="67"/>
        <v>2011</v>
      </c>
      <c r="F4045" s="3" t="s">
        <v>922</v>
      </c>
      <c r="G4045" s="6">
        <v>1151</v>
      </c>
      <c r="H4045" s="5">
        <v>15245</v>
      </c>
    </row>
    <row r="4046" spans="2:8" ht="17.5" customHeight="1" x14ac:dyDescent="0.4">
      <c r="B4046" s="3" t="s">
        <v>7</v>
      </c>
      <c r="C4046" s="3" t="s">
        <v>378</v>
      </c>
      <c r="D4046" s="4">
        <f>DATE(2011,8,9)</f>
        <v>40764</v>
      </c>
      <c r="E4046" s="5">
        <f t="shared" si="67"/>
        <v>2011</v>
      </c>
      <c r="F4046" s="3" t="s">
        <v>922</v>
      </c>
      <c r="G4046" s="6">
        <v>3032.84</v>
      </c>
      <c r="H4046" s="5">
        <v>15817</v>
      </c>
    </row>
    <row r="4047" spans="2:8" ht="17.5" customHeight="1" x14ac:dyDescent="0.4">
      <c r="B4047" s="3" t="s">
        <v>7</v>
      </c>
      <c r="C4047" s="3" t="s">
        <v>378</v>
      </c>
      <c r="D4047" s="4">
        <f>DATE(2013,9,12)</f>
        <v>41529</v>
      </c>
      <c r="E4047" s="5">
        <f t="shared" si="67"/>
        <v>2013</v>
      </c>
      <c r="F4047" s="3" t="s">
        <v>922</v>
      </c>
      <c r="G4047" s="6">
        <v>2215.08</v>
      </c>
      <c r="H4047" s="5">
        <v>18958</v>
      </c>
    </row>
    <row r="4048" spans="2:8" ht="17.5" customHeight="1" x14ac:dyDescent="0.4">
      <c r="B4048" t="s">
        <v>7</v>
      </c>
      <c r="C4048" t="s">
        <v>378</v>
      </c>
      <c r="D4048" s="7">
        <f>DATE(2003,1,29)</f>
        <v>37650</v>
      </c>
      <c r="E4048" s="8">
        <f t="shared" si="67"/>
        <v>2003</v>
      </c>
      <c r="F4048" t="s">
        <v>922</v>
      </c>
      <c r="G4048" s="9">
        <v>18269.61</v>
      </c>
      <c r="H4048" s="8">
        <v>1</v>
      </c>
    </row>
    <row r="4049" spans="2:8" ht="17.5" customHeight="1" x14ac:dyDescent="0.4">
      <c r="B4049" t="s">
        <v>7</v>
      </c>
      <c r="C4049" t="s">
        <v>378</v>
      </c>
      <c r="D4049" s="7">
        <f>DATE(2006,2,27)</f>
        <v>38775</v>
      </c>
      <c r="E4049" s="8">
        <f t="shared" si="67"/>
        <v>2006</v>
      </c>
      <c r="F4049" t="s">
        <v>922</v>
      </c>
      <c r="G4049" s="9">
        <v>19248.43</v>
      </c>
      <c r="H4049" s="8">
        <v>110</v>
      </c>
    </row>
    <row r="4050" spans="2:8" ht="17.5" customHeight="1" x14ac:dyDescent="0.4">
      <c r="B4050" t="s">
        <v>7</v>
      </c>
      <c r="C4050" t="s">
        <v>378</v>
      </c>
      <c r="D4050" s="7">
        <f>DATE(2006,3,19)</f>
        <v>38795</v>
      </c>
      <c r="E4050" s="8">
        <f t="shared" si="67"/>
        <v>2006</v>
      </c>
      <c r="F4050" t="s">
        <v>922</v>
      </c>
      <c r="G4050" s="9">
        <v>27112.33</v>
      </c>
      <c r="H4050" s="8">
        <v>109</v>
      </c>
    </row>
    <row r="4051" spans="2:8" ht="17.5" customHeight="1" x14ac:dyDescent="0.4">
      <c r="B4051" t="s">
        <v>7</v>
      </c>
      <c r="C4051" t="s">
        <v>923</v>
      </c>
      <c r="D4051" s="7">
        <f>DATE(2009,7,27)</f>
        <v>40021</v>
      </c>
      <c r="E4051" s="8">
        <f t="shared" si="67"/>
        <v>2009</v>
      </c>
      <c r="F4051" t="s">
        <v>924</v>
      </c>
      <c r="G4051" s="9">
        <v>44295.86</v>
      </c>
      <c r="H4051" s="8">
        <v>8818</v>
      </c>
    </row>
    <row r="4052" spans="2:8" ht="17.5" customHeight="1" x14ac:dyDescent="0.4">
      <c r="B4052" t="s">
        <v>16</v>
      </c>
      <c r="C4052" t="s">
        <v>923</v>
      </c>
      <c r="D4052" s="7">
        <f>DATE(2009,8,7)</f>
        <v>40032</v>
      </c>
      <c r="E4052" s="8">
        <f t="shared" si="67"/>
        <v>2009</v>
      </c>
      <c r="F4052" t="s">
        <v>924</v>
      </c>
      <c r="G4052" s="9">
        <v>962.5</v>
      </c>
      <c r="H4052" s="8">
        <v>8967</v>
      </c>
    </row>
    <row r="4053" spans="2:8" ht="17.5" customHeight="1" x14ac:dyDescent="0.4">
      <c r="B4053" s="3" t="s">
        <v>7</v>
      </c>
      <c r="C4053" s="3" t="s">
        <v>923</v>
      </c>
      <c r="D4053" s="4">
        <f>DATE(2011,5,17)</f>
        <v>40680</v>
      </c>
      <c r="E4053" s="5">
        <f t="shared" si="67"/>
        <v>2011</v>
      </c>
      <c r="F4053" s="3" t="s">
        <v>924</v>
      </c>
      <c r="G4053" s="6">
        <v>4927.5</v>
      </c>
      <c r="H4053" s="5">
        <v>15503</v>
      </c>
    </row>
    <row r="4054" spans="2:8" ht="17.5" customHeight="1" x14ac:dyDescent="0.4">
      <c r="B4054" t="s">
        <v>7</v>
      </c>
      <c r="C4054" t="s">
        <v>923</v>
      </c>
      <c r="D4054" s="7">
        <f>DATE(2003,10,23)</f>
        <v>37917</v>
      </c>
      <c r="E4054" s="8">
        <f t="shared" si="67"/>
        <v>2003</v>
      </c>
      <c r="F4054" t="s">
        <v>925</v>
      </c>
      <c r="G4054" s="9">
        <v>6500</v>
      </c>
      <c r="H4054" s="8">
        <v>931</v>
      </c>
    </row>
    <row r="4055" spans="2:8" ht="17.5" customHeight="1" x14ac:dyDescent="0.4">
      <c r="B4055" t="s">
        <v>7</v>
      </c>
      <c r="C4055" t="s">
        <v>923</v>
      </c>
      <c r="D4055" s="7">
        <f>DATE(2005,2,16)</f>
        <v>38399</v>
      </c>
      <c r="E4055" s="8">
        <f t="shared" si="67"/>
        <v>2005</v>
      </c>
      <c r="F4055" t="s">
        <v>925</v>
      </c>
      <c r="G4055" s="9">
        <v>19540</v>
      </c>
      <c r="H4055" s="8">
        <v>2559</v>
      </c>
    </row>
    <row r="4056" spans="2:8" ht="17.5" customHeight="1" x14ac:dyDescent="0.4">
      <c r="B4056" t="s">
        <v>7</v>
      </c>
      <c r="C4056" t="s">
        <v>923</v>
      </c>
      <c r="D4056" s="7">
        <f>DATE(2006,8,18)</f>
        <v>38947</v>
      </c>
      <c r="E4056" s="8">
        <f t="shared" si="67"/>
        <v>2006</v>
      </c>
      <c r="F4056" t="s">
        <v>925</v>
      </c>
      <c r="G4056" s="9">
        <v>21318</v>
      </c>
      <c r="H4056" s="8">
        <v>4797</v>
      </c>
    </row>
    <row r="4057" spans="2:8" ht="17.5" customHeight="1" x14ac:dyDescent="0.4">
      <c r="B4057" s="3" t="s">
        <v>7</v>
      </c>
      <c r="C4057" s="3" t="s">
        <v>923</v>
      </c>
      <c r="D4057" s="4">
        <f>DATE(2003,2,10)</f>
        <v>37662</v>
      </c>
      <c r="E4057" s="5">
        <f t="shared" si="67"/>
        <v>2003</v>
      </c>
      <c r="F4057" s="3" t="s">
        <v>925</v>
      </c>
      <c r="G4057" s="6">
        <v>18534</v>
      </c>
      <c r="H4057" s="5">
        <v>207</v>
      </c>
    </row>
    <row r="4058" spans="2:8" ht="17.5" customHeight="1" x14ac:dyDescent="0.4">
      <c r="B4058" s="3" t="s">
        <v>7</v>
      </c>
      <c r="C4058" s="3" t="s">
        <v>923</v>
      </c>
      <c r="D4058" s="4">
        <f>DATE(2003,2,14)</f>
        <v>37666</v>
      </c>
      <c r="E4058" s="5">
        <f t="shared" si="67"/>
        <v>2003</v>
      </c>
      <c r="F4058" s="3" t="s">
        <v>925</v>
      </c>
      <c r="G4058" s="6">
        <v>652</v>
      </c>
      <c r="H4058" s="5">
        <v>287</v>
      </c>
    </row>
    <row r="4059" spans="2:8" ht="17.5" customHeight="1" x14ac:dyDescent="0.4">
      <c r="B4059" s="3" t="s">
        <v>7</v>
      </c>
      <c r="C4059" s="3" t="s">
        <v>923</v>
      </c>
      <c r="D4059" s="4">
        <f>DATE(2005,2,18)</f>
        <v>38401</v>
      </c>
      <c r="E4059" s="5">
        <f t="shared" si="67"/>
        <v>2005</v>
      </c>
      <c r="F4059" s="3" t="s">
        <v>925</v>
      </c>
      <c r="G4059" s="6">
        <v>10116</v>
      </c>
      <c r="H4059" s="5">
        <v>3939</v>
      </c>
    </row>
    <row r="4060" spans="2:8" ht="17.5" customHeight="1" x14ac:dyDescent="0.4">
      <c r="B4060" s="3" t="s">
        <v>7</v>
      </c>
      <c r="C4060" s="3" t="s">
        <v>923</v>
      </c>
      <c r="D4060" s="4">
        <f>DATE(2006,7,31)</f>
        <v>38929</v>
      </c>
      <c r="E4060" s="5">
        <f t="shared" si="67"/>
        <v>2006</v>
      </c>
      <c r="F4060" s="3" t="s">
        <v>925</v>
      </c>
      <c r="G4060" s="6">
        <v>9559.2000000000007</v>
      </c>
      <c r="H4060" s="5">
        <v>6958</v>
      </c>
    </row>
    <row r="4061" spans="2:8" ht="17.5" customHeight="1" x14ac:dyDescent="0.4">
      <c r="B4061" s="3" t="s">
        <v>7</v>
      </c>
      <c r="C4061" s="3" t="s">
        <v>923</v>
      </c>
      <c r="D4061" s="4">
        <f>DATE(2007,1,15)</f>
        <v>39097</v>
      </c>
      <c r="E4061" s="5">
        <f t="shared" si="67"/>
        <v>2007</v>
      </c>
      <c r="F4061" s="3" t="s">
        <v>925</v>
      </c>
      <c r="G4061" s="6">
        <v>5177.04</v>
      </c>
      <c r="H4061" s="5">
        <v>7629</v>
      </c>
    </row>
    <row r="4062" spans="2:8" ht="17.5" customHeight="1" x14ac:dyDescent="0.4">
      <c r="B4062" s="3" t="s">
        <v>7</v>
      </c>
      <c r="C4062" s="3" t="s">
        <v>923</v>
      </c>
      <c r="D4062" s="4">
        <f>DATE(2007,4,6)</f>
        <v>39178</v>
      </c>
      <c r="E4062" s="5">
        <f t="shared" si="67"/>
        <v>2007</v>
      </c>
      <c r="F4062" s="3" t="s">
        <v>925</v>
      </c>
      <c r="G4062" s="6">
        <v>5042.17</v>
      </c>
      <c r="H4062" s="5">
        <v>8318</v>
      </c>
    </row>
    <row r="4063" spans="2:8" ht="17.5" customHeight="1" x14ac:dyDescent="0.4">
      <c r="B4063" s="3" t="s">
        <v>16</v>
      </c>
      <c r="C4063" s="3" t="s">
        <v>923</v>
      </c>
      <c r="D4063" s="4">
        <f>DATE(2007,4,10)</f>
        <v>39182</v>
      </c>
      <c r="E4063" s="5">
        <f t="shared" si="67"/>
        <v>2007</v>
      </c>
      <c r="F4063" s="3" t="s">
        <v>925</v>
      </c>
      <c r="G4063" s="6">
        <v>5139</v>
      </c>
      <c r="H4063" s="5">
        <v>8319</v>
      </c>
    </row>
    <row r="4064" spans="2:8" ht="17.5" customHeight="1" x14ac:dyDescent="0.4">
      <c r="B4064" s="3" t="s">
        <v>7</v>
      </c>
      <c r="C4064" s="3" t="s">
        <v>926</v>
      </c>
      <c r="D4064" s="4">
        <f>DATE(2013,1,11)</f>
        <v>41285</v>
      </c>
      <c r="E4064" s="5">
        <f t="shared" si="67"/>
        <v>2013</v>
      </c>
      <c r="F4064" s="3" t="s">
        <v>927</v>
      </c>
      <c r="G4064" s="6">
        <v>933.76</v>
      </c>
      <c r="H4064" s="5">
        <v>17968</v>
      </c>
    </row>
    <row r="4065" spans="2:8" ht="17.5" customHeight="1" x14ac:dyDescent="0.4">
      <c r="B4065" s="3" t="s">
        <v>7</v>
      </c>
      <c r="C4065" s="3" t="s">
        <v>926</v>
      </c>
      <c r="D4065" s="4">
        <f>DATE(2013,1,23)</f>
        <v>41297</v>
      </c>
      <c r="E4065" s="5">
        <f t="shared" si="67"/>
        <v>2013</v>
      </c>
      <c r="F4065" s="3" t="s">
        <v>927</v>
      </c>
      <c r="G4065" s="6">
        <v>943.84</v>
      </c>
      <c r="H4065" s="5">
        <v>18010</v>
      </c>
    </row>
    <row r="4066" spans="2:8" ht="17.5" customHeight="1" x14ac:dyDescent="0.4">
      <c r="B4066" s="3" t="s">
        <v>7</v>
      </c>
      <c r="C4066" s="3" t="s">
        <v>926</v>
      </c>
      <c r="D4066" s="4">
        <f>DATE(2013,2,20)</f>
        <v>41325</v>
      </c>
      <c r="E4066" s="5">
        <f t="shared" si="67"/>
        <v>2013</v>
      </c>
      <c r="F4066" s="3" t="s">
        <v>927</v>
      </c>
      <c r="G4066" s="6">
        <v>775</v>
      </c>
      <c r="H4066" s="5">
        <v>18188</v>
      </c>
    </row>
    <row r="4067" spans="2:8" ht="17.5" customHeight="1" x14ac:dyDescent="0.4">
      <c r="B4067" s="3" t="s">
        <v>16</v>
      </c>
      <c r="C4067" s="3" t="s">
        <v>926</v>
      </c>
      <c r="D4067" s="4">
        <f>DATE(2013,1,21)</f>
        <v>41295</v>
      </c>
      <c r="E4067" s="5">
        <f t="shared" si="67"/>
        <v>2013</v>
      </c>
      <c r="F4067" s="3" t="s">
        <v>927</v>
      </c>
      <c r="G4067" s="6">
        <v>918.76</v>
      </c>
      <c r="H4067" s="5">
        <v>18008</v>
      </c>
    </row>
    <row r="4068" spans="2:8" ht="17.5" customHeight="1" x14ac:dyDescent="0.4">
      <c r="B4068" t="s">
        <v>7</v>
      </c>
      <c r="C4068" t="s">
        <v>928</v>
      </c>
      <c r="D4068" s="7">
        <f>DATE(2015,10,9)</f>
        <v>42286</v>
      </c>
      <c r="E4068" s="8">
        <f t="shared" si="67"/>
        <v>2015</v>
      </c>
      <c r="F4068" t="s">
        <v>929</v>
      </c>
      <c r="G4068" s="9">
        <v>9616.27</v>
      </c>
      <c r="H4068" s="8">
        <v>21334</v>
      </c>
    </row>
    <row r="4069" spans="2:8" ht="17.5" customHeight="1" x14ac:dyDescent="0.4">
      <c r="B4069" s="3" t="s">
        <v>7</v>
      </c>
      <c r="C4069" s="3" t="s">
        <v>928</v>
      </c>
      <c r="D4069" s="4">
        <f>DATE(2011,2,23)</f>
        <v>40597</v>
      </c>
      <c r="E4069" s="5">
        <f t="shared" si="67"/>
        <v>2011</v>
      </c>
      <c r="F4069" s="3" t="s">
        <v>929</v>
      </c>
      <c r="G4069" s="6">
        <v>271.60000000000002</v>
      </c>
      <c r="H4069" s="5">
        <v>15095</v>
      </c>
    </row>
    <row r="4070" spans="2:8" ht="17.5" customHeight="1" x14ac:dyDescent="0.4">
      <c r="B4070" s="3" t="s">
        <v>7</v>
      </c>
      <c r="C4070" s="3" t="s">
        <v>928</v>
      </c>
      <c r="D4070" s="4">
        <f>DATE(2012,4,17)</f>
        <v>41016</v>
      </c>
      <c r="E4070" s="5">
        <f t="shared" si="67"/>
        <v>2012</v>
      </c>
      <c r="F4070" s="3" t="s">
        <v>929</v>
      </c>
      <c r="G4070" s="6">
        <v>671</v>
      </c>
      <c r="H4070" s="5">
        <v>16974</v>
      </c>
    </row>
    <row r="4071" spans="2:8" ht="17.5" customHeight="1" x14ac:dyDescent="0.4">
      <c r="B4071" s="3" t="s">
        <v>7</v>
      </c>
      <c r="C4071" s="3" t="s">
        <v>928</v>
      </c>
      <c r="D4071" s="4">
        <f>DATE(2013,5,23)</f>
        <v>41417</v>
      </c>
      <c r="E4071" s="5">
        <f t="shared" si="67"/>
        <v>2013</v>
      </c>
      <c r="F4071" s="3" t="s">
        <v>929</v>
      </c>
      <c r="G4071" s="6">
        <v>672</v>
      </c>
      <c r="H4071" s="5">
        <v>18575</v>
      </c>
    </row>
    <row r="4072" spans="2:8" ht="17.5" customHeight="1" x14ac:dyDescent="0.4">
      <c r="B4072" s="3" t="s">
        <v>7</v>
      </c>
      <c r="C4072" s="3" t="s">
        <v>928</v>
      </c>
      <c r="D4072" s="4">
        <f>DATE(2013,12,19)</f>
        <v>41627</v>
      </c>
      <c r="E4072" s="5">
        <f t="shared" si="67"/>
        <v>2013</v>
      </c>
      <c r="F4072" s="3" t="s">
        <v>929</v>
      </c>
      <c r="G4072" s="6">
        <v>2402.62</v>
      </c>
      <c r="H4072" s="5">
        <v>19337</v>
      </c>
    </row>
    <row r="4073" spans="2:8" ht="17.5" customHeight="1" x14ac:dyDescent="0.4">
      <c r="B4073" t="s">
        <v>7</v>
      </c>
      <c r="C4073" t="s">
        <v>930</v>
      </c>
      <c r="D4073" s="7">
        <f>DATE(2015,11,11)</f>
        <v>42319</v>
      </c>
      <c r="E4073" s="8">
        <f t="shared" si="67"/>
        <v>2015</v>
      </c>
      <c r="F4073" t="s">
        <v>931</v>
      </c>
      <c r="G4073" s="9">
        <v>5247</v>
      </c>
      <c r="H4073" s="8">
        <v>21595</v>
      </c>
    </row>
    <row r="4074" spans="2:8" ht="17.5" customHeight="1" x14ac:dyDescent="0.4">
      <c r="B4074" t="s">
        <v>7</v>
      </c>
      <c r="C4074" t="s">
        <v>930</v>
      </c>
      <c r="D4074" s="7">
        <f>DATE(2015,10,6)</f>
        <v>42283</v>
      </c>
      <c r="E4074" s="8">
        <f t="shared" si="67"/>
        <v>2015</v>
      </c>
      <c r="F4074" t="s">
        <v>931</v>
      </c>
      <c r="G4074" s="9">
        <v>25</v>
      </c>
      <c r="H4074" s="8">
        <v>21340</v>
      </c>
    </row>
    <row r="4075" spans="2:8" ht="17.5" customHeight="1" x14ac:dyDescent="0.4">
      <c r="B4075" t="s">
        <v>7</v>
      </c>
      <c r="C4075" t="s">
        <v>930</v>
      </c>
      <c r="D4075" s="7">
        <f>DATE(2015,11,3)</f>
        <v>42311</v>
      </c>
      <c r="E4075" s="8">
        <f t="shared" si="67"/>
        <v>2015</v>
      </c>
      <c r="F4075" t="s">
        <v>931</v>
      </c>
      <c r="G4075" s="9">
        <v>75</v>
      </c>
      <c r="H4075" s="8">
        <v>21524</v>
      </c>
    </row>
    <row r="4076" spans="2:8" ht="17.5" customHeight="1" x14ac:dyDescent="0.4">
      <c r="B4076" t="s">
        <v>7</v>
      </c>
      <c r="C4076" t="s">
        <v>930</v>
      </c>
      <c r="D4076" s="7">
        <f>DATE(2007,10,25)</f>
        <v>39380</v>
      </c>
      <c r="E4076" s="8">
        <f t="shared" si="67"/>
        <v>2007</v>
      </c>
      <c r="F4076" t="s">
        <v>931</v>
      </c>
      <c r="G4076" s="9">
        <v>400</v>
      </c>
      <c r="H4076" s="8">
        <v>6547</v>
      </c>
    </row>
    <row r="4077" spans="2:8" ht="17.5" customHeight="1" x14ac:dyDescent="0.4">
      <c r="B4077" t="s">
        <v>7</v>
      </c>
      <c r="C4077" t="s">
        <v>930</v>
      </c>
      <c r="D4077" s="7">
        <f>DATE(2013,7,31)</f>
        <v>41486</v>
      </c>
      <c r="E4077" s="8">
        <f t="shared" si="67"/>
        <v>2013</v>
      </c>
      <c r="F4077" t="s">
        <v>931</v>
      </c>
      <c r="G4077" s="9">
        <v>450</v>
      </c>
      <c r="H4077" s="8">
        <v>12592</v>
      </c>
    </row>
    <row r="4078" spans="2:8" ht="17.5" customHeight="1" x14ac:dyDescent="0.4">
      <c r="B4078" t="s">
        <v>7</v>
      </c>
      <c r="C4078" t="s">
        <v>930</v>
      </c>
      <c r="D4078" s="7">
        <f>DATE(2014,11,24)</f>
        <v>41967</v>
      </c>
      <c r="E4078" s="8">
        <f t="shared" si="67"/>
        <v>2014</v>
      </c>
      <c r="F4078" t="s">
        <v>931</v>
      </c>
      <c r="G4078" s="9">
        <v>25</v>
      </c>
      <c r="H4078" s="8">
        <v>13612</v>
      </c>
    </row>
    <row r="4079" spans="2:8" ht="17.5" customHeight="1" x14ac:dyDescent="0.4">
      <c r="B4079" t="s">
        <v>7</v>
      </c>
      <c r="C4079" t="s">
        <v>930</v>
      </c>
      <c r="D4079" s="7">
        <f>DATE(2003,7,28)</f>
        <v>37830</v>
      </c>
      <c r="E4079" s="8">
        <f t="shared" si="67"/>
        <v>2003</v>
      </c>
      <c r="F4079" t="s">
        <v>931</v>
      </c>
      <c r="G4079" s="9">
        <v>393.5</v>
      </c>
      <c r="H4079" s="8">
        <v>752</v>
      </c>
    </row>
    <row r="4080" spans="2:8" ht="17.5" customHeight="1" x14ac:dyDescent="0.4">
      <c r="B4080" t="s">
        <v>7</v>
      </c>
      <c r="C4080" t="s">
        <v>930</v>
      </c>
      <c r="D4080" s="7">
        <f>DATE(2004,6,23)</f>
        <v>38161</v>
      </c>
      <c r="E4080" s="8">
        <f t="shared" si="67"/>
        <v>2004</v>
      </c>
      <c r="F4080" t="s">
        <v>931</v>
      </c>
      <c r="G4080" s="9">
        <v>5401.5</v>
      </c>
      <c r="H4080" s="8">
        <v>1916</v>
      </c>
    </row>
    <row r="4081" spans="2:8" ht="17.5" customHeight="1" x14ac:dyDescent="0.4">
      <c r="B4081" t="s">
        <v>7</v>
      </c>
      <c r="C4081" t="s">
        <v>930</v>
      </c>
      <c r="D4081" s="7">
        <f>DATE(2004,8,19)</f>
        <v>38218</v>
      </c>
      <c r="E4081" s="8">
        <f t="shared" si="67"/>
        <v>2004</v>
      </c>
      <c r="F4081" t="s">
        <v>931</v>
      </c>
      <c r="G4081" s="9">
        <v>6127.24</v>
      </c>
      <c r="H4081" s="8">
        <v>2070</v>
      </c>
    </row>
    <row r="4082" spans="2:8" ht="17.5" customHeight="1" x14ac:dyDescent="0.4">
      <c r="B4082" t="s">
        <v>7</v>
      </c>
      <c r="C4082" t="s">
        <v>930</v>
      </c>
      <c r="D4082" s="7">
        <f>DATE(2007,2,24)</f>
        <v>39137</v>
      </c>
      <c r="E4082" s="8">
        <f t="shared" si="67"/>
        <v>2007</v>
      </c>
      <c r="F4082" t="s">
        <v>931</v>
      </c>
      <c r="G4082" s="9">
        <v>7382.6</v>
      </c>
      <c r="H4082" s="8">
        <v>5591</v>
      </c>
    </row>
    <row r="4083" spans="2:8" ht="17.5" customHeight="1" x14ac:dyDescent="0.4">
      <c r="B4083" s="3" t="s">
        <v>7</v>
      </c>
      <c r="C4083" s="3" t="s">
        <v>930</v>
      </c>
      <c r="D4083" s="4">
        <f>DATE(2011,12,16)</f>
        <v>40893</v>
      </c>
      <c r="E4083" s="5">
        <f t="shared" si="67"/>
        <v>2011</v>
      </c>
      <c r="F4083" s="3" t="s">
        <v>931</v>
      </c>
      <c r="G4083" s="6">
        <v>3000</v>
      </c>
      <c r="H4083" s="5">
        <v>16311</v>
      </c>
    </row>
    <row r="4084" spans="2:8" ht="17.5" customHeight="1" x14ac:dyDescent="0.4">
      <c r="B4084" s="3" t="s">
        <v>7</v>
      </c>
      <c r="C4084" s="3" t="s">
        <v>930</v>
      </c>
      <c r="D4084" s="4">
        <f>DATE(2014,3,13)</f>
        <v>41711</v>
      </c>
      <c r="E4084" s="5">
        <f t="shared" si="67"/>
        <v>2014</v>
      </c>
      <c r="F4084" s="3" t="s">
        <v>931</v>
      </c>
      <c r="G4084" s="6">
        <v>3000</v>
      </c>
      <c r="H4084" s="5">
        <v>19629</v>
      </c>
    </row>
    <row r="4085" spans="2:8" ht="17.5" customHeight="1" x14ac:dyDescent="0.4">
      <c r="B4085" s="3" t="s">
        <v>7</v>
      </c>
      <c r="C4085" s="3" t="s">
        <v>930</v>
      </c>
      <c r="D4085" s="4">
        <f>DATE(2014,4,1)</f>
        <v>41730</v>
      </c>
      <c r="E4085" s="5">
        <f t="shared" si="67"/>
        <v>2014</v>
      </c>
      <c r="F4085" s="3" t="s">
        <v>931</v>
      </c>
      <c r="G4085" s="6">
        <v>1500</v>
      </c>
      <c r="H4085" s="5">
        <v>19751</v>
      </c>
    </row>
    <row r="4086" spans="2:8" ht="17.5" customHeight="1" x14ac:dyDescent="0.4">
      <c r="B4086" s="3" t="s">
        <v>7</v>
      </c>
      <c r="C4086" s="3" t="s">
        <v>930</v>
      </c>
      <c r="D4086" s="4">
        <f>DATE(2014,6,5)</f>
        <v>41795</v>
      </c>
      <c r="E4086" s="5">
        <f t="shared" si="67"/>
        <v>2014</v>
      </c>
      <c r="F4086" s="3" t="s">
        <v>931</v>
      </c>
      <c r="G4086" s="6">
        <v>1500</v>
      </c>
      <c r="H4086" s="5">
        <v>20045</v>
      </c>
    </row>
    <row r="4087" spans="2:8" ht="17.5" customHeight="1" x14ac:dyDescent="0.4">
      <c r="B4087" s="3" t="s">
        <v>7</v>
      </c>
      <c r="C4087" s="3" t="s">
        <v>930</v>
      </c>
      <c r="D4087" s="4">
        <f>DATE(2014,6,5)</f>
        <v>41795</v>
      </c>
      <c r="E4087" s="5">
        <f t="shared" si="67"/>
        <v>2014</v>
      </c>
      <c r="F4087" s="3" t="s">
        <v>931</v>
      </c>
      <c r="G4087" s="6">
        <v>4500</v>
      </c>
      <c r="H4087" s="5">
        <v>20048</v>
      </c>
    </row>
    <row r="4088" spans="2:8" ht="17.5" customHeight="1" x14ac:dyDescent="0.4">
      <c r="B4088" s="3" t="s">
        <v>7</v>
      </c>
      <c r="C4088" s="3" t="s">
        <v>930</v>
      </c>
      <c r="D4088" s="4">
        <f>DATE(2014,8,6)</f>
        <v>41857</v>
      </c>
      <c r="E4088" s="5">
        <f t="shared" si="67"/>
        <v>2014</v>
      </c>
      <c r="F4088" s="3" t="s">
        <v>931</v>
      </c>
      <c r="G4088" s="6">
        <v>6000</v>
      </c>
      <c r="H4088" s="5">
        <v>20252</v>
      </c>
    </row>
    <row r="4089" spans="2:8" ht="17.5" customHeight="1" x14ac:dyDescent="0.4">
      <c r="B4089" t="s">
        <v>7</v>
      </c>
      <c r="C4089" t="s">
        <v>932</v>
      </c>
      <c r="D4089" s="7">
        <f>DATE(2015,3,27)</f>
        <v>42090</v>
      </c>
      <c r="E4089" s="8">
        <f t="shared" si="67"/>
        <v>2015</v>
      </c>
      <c r="F4089" t="s">
        <v>933</v>
      </c>
      <c r="G4089" s="9">
        <v>5293.53</v>
      </c>
      <c r="H4089" s="8">
        <v>20070</v>
      </c>
    </row>
    <row r="4090" spans="2:8" ht="17.5" customHeight="1" x14ac:dyDescent="0.4">
      <c r="B4090" s="3" t="s">
        <v>7</v>
      </c>
      <c r="C4090" s="3" t="s">
        <v>932</v>
      </c>
      <c r="D4090" s="4">
        <f>DATE(2003,5,14)</f>
        <v>37755</v>
      </c>
      <c r="E4090" s="5">
        <f t="shared" si="67"/>
        <v>2003</v>
      </c>
      <c r="F4090" s="3" t="s">
        <v>933</v>
      </c>
      <c r="G4090" s="6">
        <v>5400</v>
      </c>
      <c r="H4090" s="5">
        <v>900</v>
      </c>
    </row>
    <row r="4091" spans="2:8" ht="17.5" customHeight="1" x14ac:dyDescent="0.4">
      <c r="B4091" s="3" t="s">
        <v>7</v>
      </c>
      <c r="C4091" s="3" t="s">
        <v>932</v>
      </c>
      <c r="D4091" s="4">
        <f>DATE(2003,9,22)</f>
        <v>37886</v>
      </c>
      <c r="E4091" s="5">
        <f t="shared" si="67"/>
        <v>2003</v>
      </c>
      <c r="F4091" s="3" t="s">
        <v>933</v>
      </c>
      <c r="G4091" s="6">
        <v>5400</v>
      </c>
      <c r="H4091" s="5">
        <v>1512</v>
      </c>
    </row>
    <row r="4092" spans="2:8" ht="17.5" customHeight="1" x14ac:dyDescent="0.4">
      <c r="B4092" s="3" t="s">
        <v>7</v>
      </c>
      <c r="C4092" s="3" t="s">
        <v>932</v>
      </c>
      <c r="D4092" s="4">
        <f>DATE(2004,6,8)</f>
        <v>38146</v>
      </c>
      <c r="E4092" s="5">
        <f t="shared" si="67"/>
        <v>2004</v>
      </c>
      <c r="F4092" s="3" t="s">
        <v>933</v>
      </c>
      <c r="G4092" s="6">
        <v>894</v>
      </c>
      <c r="H4092" s="5">
        <v>3005</v>
      </c>
    </row>
    <row r="4093" spans="2:8" ht="17.5" customHeight="1" x14ac:dyDescent="0.4">
      <c r="B4093" s="3" t="s">
        <v>7</v>
      </c>
      <c r="C4093" s="3" t="s">
        <v>932</v>
      </c>
      <c r="D4093" s="4">
        <f>DATE(2004,6,9)</f>
        <v>38147</v>
      </c>
      <c r="E4093" s="5">
        <f t="shared" si="67"/>
        <v>2004</v>
      </c>
      <c r="F4093" s="3" t="s">
        <v>933</v>
      </c>
      <c r="G4093" s="6">
        <v>5400</v>
      </c>
      <c r="H4093" s="5">
        <v>2996</v>
      </c>
    </row>
    <row r="4094" spans="2:8" ht="17.5" customHeight="1" x14ac:dyDescent="0.4">
      <c r="B4094" s="3" t="s">
        <v>7</v>
      </c>
      <c r="C4094" s="3" t="s">
        <v>932</v>
      </c>
      <c r="D4094" s="4">
        <f>DATE(2004,6,15)</f>
        <v>38153</v>
      </c>
      <c r="E4094" s="5">
        <f t="shared" si="67"/>
        <v>2004</v>
      </c>
      <c r="F4094" s="3" t="s">
        <v>933</v>
      </c>
      <c r="G4094" s="6">
        <v>894</v>
      </c>
      <c r="H4094" s="5">
        <v>3029</v>
      </c>
    </row>
    <row r="4095" spans="2:8" ht="17.5" customHeight="1" x14ac:dyDescent="0.4">
      <c r="B4095" s="3" t="s">
        <v>7</v>
      </c>
      <c r="C4095" s="3" t="s">
        <v>932</v>
      </c>
      <c r="D4095" s="4">
        <f>DATE(2004,9,21)</f>
        <v>38251</v>
      </c>
      <c r="E4095" s="5">
        <f t="shared" si="67"/>
        <v>2004</v>
      </c>
      <c r="F4095" s="3" t="s">
        <v>933</v>
      </c>
      <c r="G4095" s="6">
        <v>670.5</v>
      </c>
      <c r="H4095" s="5">
        <v>3415</v>
      </c>
    </row>
    <row r="4096" spans="2:8" ht="17.5" customHeight="1" x14ac:dyDescent="0.4">
      <c r="B4096" s="3" t="s">
        <v>7</v>
      </c>
      <c r="C4096" s="3" t="s">
        <v>932</v>
      </c>
      <c r="D4096" s="4">
        <f>DATE(2004,10,8)</f>
        <v>38268</v>
      </c>
      <c r="E4096" s="5">
        <f t="shared" si="67"/>
        <v>2004</v>
      </c>
      <c r="F4096" s="3" t="s">
        <v>933</v>
      </c>
      <c r="G4096" s="6">
        <v>894</v>
      </c>
      <c r="H4096" s="5">
        <v>3541</v>
      </c>
    </row>
    <row r="4097" spans="2:8" ht="17.5" customHeight="1" x14ac:dyDescent="0.4">
      <c r="B4097" s="3" t="s">
        <v>7</v>
      </c>
      <c r="C4097" s="3" t="s">
        <v>932</v>
      </c>
      <c r="D4097" s="4">
        <f>DATE(2004,11,23)</f>
        <v>38314</v>
      </c>
      <c r="E4097" s="5">
        <f t="shared" si="67"/>
        <v>2004</v>
      </c>
      <c r="F4097" s="3" t="s">
        <v>933</v>
      </c>
      <c r="G4097" s="6">
        <v>2682</v>
      </c>
      <c r="H4097" s="5">
        <v>3742</v>
      </c>
    </row>
    <row r="4098" spans="2:8" ht="17.5" customHeight="1" x14ac:dyDescent="0.4">
      <c r="B4098" s="3" t="s">
        <v>7</v>
      </c>
      <c r="C4098" s="3" t="s">
        <v>932</v>
      </c>
      <c r="D4098" s="4">
        <f>DATE(2004,12,1)</f>
        <v>38322</v>
      </c>
      <c r="E4098" s="5">
        <f t="shared" si="67"/>
        <v>2004</v>
      </c>
      <c r="F4098" s="3" t="s">
        <v>933</v>
      </c>
      <c r="G4098" s="6">
        <v>5400</v>
      </c>
      <c r="H4098" s="5">
        <v>3776</v>
      </c>
    </row>
    <row r="4099" spans="2:8" ht="17.5" customHeight="1" x14ac:dyDescent="0.4">
      <c r="B4099" s="3" t="s">
        <v>7</v>
      </c>
      <c r="C4099" s="3" t="s">
        <v>932</v>
      </c>
      <c r="D4099" s="4">
        <f>DATE(2005,1,7)</f>
        <v>38359</v>
      </c>
      <c r="E4099" s="5">
        <f t="shared" ref="E4099:E4162" si="68">YEAR(D4099)</f>
        <v>2005</v>
      </c>
      <c r="F4099" s="3" t="s">
        <v>933</v>
      </c>
      <c r="G4099" s="6">
        <v>894</v>
      </c>
      <c r="H4099" s="5">
        <v>3887</v>
      </c>
    </row>
    <row r="4100" spans="2:8" ht="17.5" customHeight="1" x14ac:dyDescent="0.4">
      <c r="B4100" s="3" t="s">
        <v>7</v>
      </c>
      <c r="C4100" s="3" t="s">
        <v>932</v>
      </c>
      <c r="D4100" s="4">
        <f>DATE(2005,4,5)</f>
        <v>38447</v>
      </c>
      <c r="E4100" s="5">
        <f t="shared" si="68"/>
        <v>2005</v>
      </c>
      <c r="F4100" s="3" t="s">
        <v>933</v>
      </c>
      <c r="G4100" s="6">
        <v>5760</v>
      </c>
      <c r="H4100" s="5">
        <v>4476</v>
      </c>
    </row>
    <row r="4101" spans="2:8" ht="17.5" customHeight="1" x14ac:dyDescent="0.4">
      <c r="B4101" s="3" t="s">
        <v>7</v>
      </c>
      <c r="C4101" s="3" t="s">
        <v>932</v>
      </c>
      <c r="D4101" s="4">
        <f>DATE(2005,4,15)</f>
        <v>38457</v>
      </c>
      <c r="E4101" s="5">
        <f t="shared" si="68"/>
        <v>2005</v>
      </c>
      <c r="F4101" s="3" t="s">
        <v>933</v>
      </c>
      <c r="G4101" s="6">
        <v>447</v>
      </c>
      <c r="H4101" s="5">
        <v>4561</v>
      </c>
    </row>
    <row r="4102" spans="2:8" ht="17.5" customHeight="1" x14ac:dyDescent="0.4">
      <c r="B4102" s="3" t="s">
        <v>7</v>
      </c>
      <c r="C4102" s="3" t="s">
        <v>932</v>
      </c>
      <c r="D4102" s="4">
        <f>DATE(2005,7,8)</f>
        <v>38541</v>
      </c>
      <c r="E4102" s="5">
        <f t="shared" si="68"/>
        <v>2005</v>
      </c>
      <c r="F4102" s="3" t="s">
        <v>933</v>
      </c>
      <c r="G4102" s="6">
        <v>63</v>
      </c>
      <c r="H4102" s="5">
        <v>4960</v>
      </c>
    </row>
    <row r="4103" spans="2:8" ht="17.5" customHeight="1" x14ac:dyDescent="0.4">
      <c r="B4103" s="3" t="s">
        <v>7</v>
      </c>
      <c r="C4103" s="3" t="s">
        <v>932</v>
      </c>
      <c r="D4103" s="4">
        <f>DATE(2005,10,6)</f>
        <v>38631</v>
      </c>
      <c r="E4103" s="5">
        <f t="shared" si="68"/>
        <v>2005</v>
      </c>
      <c r="F4103" s="3" t="s">
        <v>933</v>
      </c>
      <c r="G4103" s="6">
        <v>447</v>
      </c>
      <c r="H4103" s="5">
        <v>5387</v>
      </c>
    </row>
    <row r="4104" spans="2:8" ht="17.5" customHeight="1" x14ac:dyDescent="0.4">
      <c r="B4104" s="3" t="s">
        <v>7</v>
      </c>
      <c r="C4104" s="3" t="s">
        <v>932</v>
      </c>
      <c r="D4104" s="4">
        <f>DATE(2005,11,15)</f>
        <v>38671</v>
      </c>
      <c r="E4104" s="5">
        <f t="shared" si="68"/>
        <v>2005</v>
      </c>
      <c r="F4104" s="3" t="s">
        <v>933</v>
      </c>
      <c r="G4104" s="6">
        <v>894</v>
      </c>
      <c r="H4104" s="5">
        <v>5572</v>
      </c>
    </row>
    <row r="4105" spans="2:8" ht="17.5" customHeight="1" x14ac:dyDescent="0.4">
      <c r="B4105" s="3" t="s">
        <v>7</v>
      </c>
      <c r="C4105" s="3" t="s">
        <v>932</v>
      </c>
      <c r="D4105" s="4">
        <f>DATE(2006,2,7)</f>
        <v>38755</v>
      </c>
      <c r="E4105" s="5">
        <f t="shared" si="68"/>
        <v>2006</v>
      </c>
      <c r="F4105" s="3" t="s">
        <v>933</v>
      </c>
      <c r="G4105" s="6">
        <v>1750</v>
      </c>
      <c r="H4105" s="5">
        <v>5945</v>
      </c>
    </row>
    <row r="4106" spans="2:8" ht="17.5" customHeight="1" x14ac:dyDescent="0.4">
      <c r="B4106" s="3" t="s">
        <v>7</v>
      </c>
      <c r="C4106" s="3" t="s">
        <v>932</v>
      </c>
      <c r="D4106" s="4">
        <f>DATE(2007,12,10)</f>
        <v>39426</v>
      </c>
      <c r="E4106" s="5">
        <f t="shared" si="68"/>
        <v>2007</v>
      </c>
      <c r="F4106" s="3" t="s">
        <v>933</v>
      </c>
      <c r="G4106" s="6">
        <v>623.52</v>
      </c>
      <c r="H4106" s="5">
        <v>9500</v>
      </c>
    </row>
    <row r="4107" spans="2:8" ht="17.5" customHeight="1" x14ac:dyDescent="0.4">
      <c r="B4107" t="s">
        <v>7</v>
      </c>
      <c r="C4107" t="s">
        <v>934</v>
      </c>
      <c r="D4107" s="7">
        <f>DATE(2013,11,5)</f>
        <v>41583</v>
      </c>
      <c r="E4107" s="8">
        <f t="shared" si="68"/>
        <v>2013</v>
      </c>
      <c r="F4107" t="s">
        <v>935</v>
      </c>
      <c r="G4107" s="9">
        <v>36712.44</v>
      </c>
      <c r="H4107" s="8">
        <v>12635</v>
      </c>
    </row>
    <row r="4108" spans="2:8" ht="17.5" customHeight="1" x14ac:dyDescent="0.4">
      <c r="B4108" s="3" t="s">
        <v>7</v>
      </c>
      <c r="C4108" s="3" t="s">
        <v>934</v>
      </c>
      <c r="D4108" s="4">
        <f>DATE(2005,3,31)</f>
        <v>38442</v>
      </c>
      <c r="E4108" s="5">
        <f t="shared" si="68"/>
        <v>2005</v>
      </c>
      <c r="F4108" s="3" t="s">
        <v>935</v>
      </c>
      <c r="G4108" s="6">
        <v>154.25</v>
      </c>
      <c r="H4108" s="5">
        <v>4436</v>
      </c>
    </row>
    <row r="4109" spans="2:8" ht="17.5" customHeight="1" x14ac:dyDescent="0.4">
      <c r="B4109" s="3" t="s">
        <v>7</v>
      </c>
      <c r="C4109" s="3" t="s">
        <v>934</v>
      </c>
      <c r="D4109" s="4">
        <f>DATE(2007,2,16)</f>
        <v>39129</v>
      </c>
      <c r="E4109" s="5">
        <f t="shared" si="68"/>
        <v>2007</v>
      </c>
      <c r="F4109" s="3" t="s">
        <v>935</v>
      </c>
      <c r="G4109" s="6">
        <v>1689.53</v>
      </c>
      <c r="H4109" s="5">
        <v>7593</v>
      </c>
    </row>
    <row r="4110" spans="2:8" ht="17.5" customHeight="1" x14ac:dyDescent="0.4">
      <c r="B4110" s="3" t="s">
        <v>7</v>
      </c>
      <c r="C4110" s="3" t="s">
        <v>934</v>
      </c>
      <c r="D4110" s="4">
        <f>DATE(2007,4,20)</f>
        <v>39192</v>
      </c>
      <c r="E4110" s="5">
        <f t="shared" si="68"/>
        <v>2007</v>
      </c>
      <c r="F4110" s="3" t="s">
        <v>935</v>
      </c>
      <c r="G4110" s="6">
        <v>2532</v>
      </c>
      <c r="H4110" s="5">
        <v>8407</v>
      </c>
    </row>
    <row r="4111" spans="2:8" ht="17.5" customHeight="1" x14ac:dyDescent="0.4">
      <c r="B4111" s="3" t="s">
        <v>7</v>
      </c>
      <c r="C4111" s="3" t="s">
        <v>934</v>
      </c>
      <c r="D4111" s="4">
        <f>DATE(2010,2,5)</f>
        <v>40214</v>
      </c>
      <c r="E4111" s="5">
        <f t="shared" si="68"/>
        <v>2010</v>
      </c>
      <c r="F4111" s="3" t="s">
        <v>935</v>
      </c>
      <c r="G4111" s="6">
        <v>355</v>
      </c>
      <c r="H4111" s="5">
        <v>13429</v>
      </c>
    </row>
    <row r="4112" spans="2:8" ht="17.5" customHeight="1" x14ac:dyDescent="0.4">
      <c r="B4112" s="3" t="s">
        <v>7</v>
      </c>
      <c r="C4112" s="3" t="s">
        <v>934</v>
      </c>
      <c r="D4112" s="4">
        <f>DATE(2011,7,19)</f>
        <v>40743</v>
      </c>
      <c r="E4112" s="5">
        <f t="shared" si="68"/>
        <v>2011</v>
      </c>
      <c r="F4112" s="3" t="s">
        <v>935</v>
      </c>
      <c r="G4112" s="6">
        <v>353.65</v>
      </c>
      <c r="H4112" s="5">
        <v>15355</v>
      </c>
    </row>
    <row r="4113" spans="2:8" ht="17.5" customHeight="1" x14ac:dyDescent="0.4">
      <c r="B4113" s="3" t="s">
        <v>7</v>
      </c>
      <c r="C4113" s="3" t="s">
        <v>934</v>
      </c>
      <c r="D4113" s="4">
        <f>DATE(2011,9,8)</f>
        <v>40794</v>
      </c>
      <c r="E4113" s="5">
        <f t="shared" si="68"/>
        <v>2011</v>
      </c>
      <c r="F4113" s="3" t="s">
        <v>935</v>
      </c>
      <c r="G4113" s="6">
        <v>125</v>
      </c>
      <c r="H4113" s="5">
        <v>15951</v>
      </c>
    </row>
    <row r="4114" spans="2:8" ht="17.5" customHeight="1" x14ac:dyDescent="0.4">
      <c r="B4114" s="3" t="s">
        <v>7</v>
      </c>
      <c r="C4114" s="3" t="s">
        <v>934</v>
      </c>
      <c r="D4114" s="4">
        <f>DATE(2011,11,16)</f>
        <v>40863</v>
      </c>
      <c r="E4114" s="5">
        <f t="shared" si="68"/>
        <v>2011</v>
      </c>
      <c r="F4114" s="3" t="s">
        <v>935</v>
      </c>
      <c r="G4114" s="6">
        <v>712.5</v>
      </c>
      <c r="H4114" s="5">
        <v>16207</v>
      </c>
    </row>
    <row r="4115" spans="2:8" ht="17.5" customHeight="1" x14ac:dyDescent="0.4">
      <c r="B4115" s="3" t="s">
        <v>7</v>
      </c>
      <c r="C4115" s="3" t="s">
        <v>934</v>
      </c>
      <c r="D4115" s="4">
        <f>DATE(2013,1,17)</f>
        <v>41291</v>
      </c>
      <c r="E4115" s="5">
        <f t="shared" si="68"/>
        <v>2013</v>
      </c>
      <c r="F4115" s="3" t="s">
        <v>935</v>
      </c>
      <c r="G4115" s="6">
        <v>713.5</v>
      </c>
      <c r="H4115" s="5">
        <v>17939</v>
      </c>
    </row>
    <row r="4116" spans="2:8" ht="17.5" customHeight="1" x14ac:dyDescent="0.4">
      <c r="B4116" s="3" t="s">
        <v>7</v>
      </c>
      <c r="C4116" s="3" t="s">
        <v>934</v>
      </c>
      <c r="D4116" s="4">
        <f>DATE(2013,10,10)</f>
        <v>41557</v>
      </c>
      <c r="E4116" s="5">
        <f t="shared" si="68"/>
        <v>2013</v>
      </c>
      <c r="F4116" s="3" t="s">
        <v>935</v>
      </c>
      <c r="G4116" s="6">
        <v>1416</v>
      </c>
      <c r="H4116" s="5">
        <v>19025</v>
      </c>
    </row>
    <row r="4117" spans="2:8" ht="17.5" customHeight="1" x14ac:dyDescent="0.4">
      <c r="B4117" s="3" t="s">
        <v>7</v>
      </c>
      <c r="C4117" s="3" t="s">
        <v>936</v>
      </c>
      <c r="D4117" s="4">
        <f>DATE(2014,5,21)</f>
        <v>41780</v>
      </c>
      <c r="E4117" s="5">
        <f t="shared" si="68"/>
        <v>2014</v>
      </c>
      <c r="F4117" s="3" t="s">
        <v>937</v>
      </c>
      <c r="G4117" s="6">
        <v>102.24</v>
      </c>
      <c r="H4117" s="5">
        <v>20007</v>
      </c>
    </row>
    <row r="4118" spans="2:8" ht="17.5" customHeight="1" x14ac:dyDescent="0.4">
      <c r="B4118" t="s">
        <v>7</v>
      </c>
      <c r="C4118" t="s">
        <v>938</v>
      </c>
      <c r="D4118" s="7">
        <f>DATE(2003,3,8)</f>
        <v>37688</v>
      </c>
      <c r="E4118" s="8">
        <f t="shared" si="68"/>
        <v>2003</v>
      </c>
      <c r="F4118" t="s">
        <v>939</v>
      </c>
      <c r="G4118" s="9">
        <v>33938</v>
      </c>
      <c r="H4118" s="8">
        <v>143</v>
      </c>
    </row>
    <row r="4119" spans="2:8" ht="17.5" customHeight="1" x14ac:dyDescent="0.4">
      <c r="B4119" t="s">
        <v>7</v>
      </c>
      <c r="C4119" t="s">
        <v>938</v>
      </c>
      <c r="D4119" s="7">
        <f>DATE(2003,6,15)</f>
        <v>37787</v>
      </c>
      <c r="E4119" s="8">
        <f t="shared" si="68"/>
        <v>2003</v>
      </c>
      <c r="F4119" t="s">
        <v>939</v>
      </c>
      <c r="G4119" s="9">
        <v>26983</v>
      </c>
      <c r="H4119" s="8">
        <v>660</v>
      </c>
    </row>
    <row r="4120" spans="2:8" ht="17.5" customHeight="1" x14ac:dyDescent="0.4">
      <c r="B4120" t="s">
        <v>7</v>
      </c>
      <c r="C4120" t="s">
        <v>938</v>
      </c>
      <c r="D4120" s="7">
        <f>DATE(2004,5,1)</f>
        <v>38108</v>
      </c>
      <c r="E4120" s="8">
        <f t="shared" si="68"/>
        <v>2004</v>
      </c>
      <c r="F4120" t="s">
        <v>939</v>
      </c>
      <c r="G4120" s="9">
        <v>18900</v>
      </c>
      <c r="H4120" s="8">
        <v>33</v>
      </c>
    </row>
    <row r="4121" spans="2:8" ht="17.5" customHeight="1" x14ac:dyDescent="0.4">
      <c r="B4121" t="s">
        <v>7</v>
      </c>
      <c r="C4121" t="s">
        <v>938</v>
      </c>
      <c r="D4121" s="7">
        <f>DATE(2004,5,14)</f>
        <v>38121</v>
      </c>
      <c r="E4121" s="8">
        <f t="shared" si="68"/>
        <v>2004</v>
      </c>
      <c r="F4121" t="s">
        <v>939</v>
      </c>
      <c r="G4121" s="9">
        <v>18900</v>
      </c>
      <c r="H4121" s="8">
        <v>43</v>
      </c>
    </row>
    <row r="4122" spans="2:8" ht="17.5" customHeight="1" x14ac:dyDescent="0.4">
      <c r="B4122" t="s">
        <v>7</v>
      </c>
      <c r="C4122" t="s">
        <v>940</v>
      </c>
      <c r="D4122" s="7">
        <f>DATE(2015,4,10)</f>
        <v>42104</v>
      </c>
      <c r="E4122" s="8">
        <f t="shared" si="68"/>
        <v>2015</v>
      </c>
      <c r="F4122" t="s">
        <v>941</v>
      </c>
      <c r="G4122" s="9">
        <v>17880</v>
      </c>
      <c r="H4122" s="8">
        <v>160</v>
      </c>
    </row>
    <row r="4123" spans="2:8" ht="17.5" customHeight="1" x14ac:dyDescent="0.4">
      <c r="B4123" t="s">
        <v>7</v>
      </c>
      <c r="C4123" t="s">
        <v>940</v>
      </c>
      <c r="D4123" s="7">
        <f>DATE(2015,4,10)</f>
        <v>42104</v>
      </c>
      <c r="E4123" s="8">
        <f t="shared" si="68"/>
        <v>2015</v>
      </c>
      <c r="F4123" t="s">
        <v>941</v>
      </c>
      <c r="G4123" s="9">
        <v>15378.83</v>
      </c>
      <c r="H4123" s="8">
        <v>161</v>
      </c>
    </row>
    <row r="4124" spans="2:8" ht="17.5" customHeight="1" x14ac:dyDescent="0.4">
      <c r="B4124" t="s">
        <v>7</v>
      </c>
      <c r="C4124" t="s">
        <v>940</v>
      </c>
      <c r="D4124" s="7">
        <f>DATE(2015,4,10)</f>
        <v>42104</v>
      </c>
      <c r="E4124" s="8">
        <f t="shared" si="68"/>
        <v>2015</v>
      </c>
      <c r="F4124" t="s">
        <v>941</v>
      </c>
      <c r="G4124" s="9">
        <v>16769</v>
      </c>
      <c r="H4124" s="8">
        <v>188</v>
      </c>
    </row>
    <row r="4125" spans="2:8" ht="17.5" customHeight="1" x14ac:dyDescent="0.4">
      <c r="B4125" t="s">
        <v>7</v>
      </c>
      <c r="C4125" t="s">
        <v>940</v>
      </c>
      <c r="D4125" s="7">
        <f>DATE(2015,4,10)</f>
        <v>42104</v>
      </c>
      <c r="E4125" s="8">
        <f t="shared" si="68"/>
        <v>2015</v>
      </c>
      <c r="F4125" t="s">
        <v>941</v>
      </c>
      <c r="G4125" s="9">
        <v>16769</v>
      </c>
      <c r="H4125" s="8">
        <v>190</v>
      </c>
    </row>
    <row r="4126" spans="2:8" ht="17.5" customHeight="1" x14ac:dyDescent="0.4">
      <c r="B4126" t="s">
        <v>7</v>
      </c>
      <c r="C4126" t="s">
        <v>940</v>
      </c>
      <c r="D4126" s="7">
        <f>DATE(2016,11,23)</f>
        <v>42697</v>
      </c>
      <c r="E4126" s="8">
        <f t="shared" si="68"/>
        <v>2016</v>
      </c>
      <c r="F4126" t="s">
        <v>941</v>
      </c>
      <c r="G4126" s="9">
        <v>99.77</v>
      </c>
      <c r="H4126" s="8">
        <v>23873</v>
      </c>
    </row>
    <row r="4127" spans="2:8" ht="17.5" customHeight="1" x14ac:dyDescent="0.4">
      <c r="B4127" t="s">
        <v>7</v>
      </c>
      <c r="C4127" t="s">
        <v>940</v>
      </c>
      <c r="D4127" s="7">
        <f>DATE(2016,4,7)</f>
        <v>42467</v>
      </c>
      <c r="E4127" s="8">
        <f t="shared" si="68"/>
        <v>2016</v>
      </c>
      <c r="F4127" t="s">
        <v>941</v>
      </c>
      <c r="G4127" s="9">
        <v>5863.46</v>
      </c>
      <c r="H4127" s="8">
        <v>22533</v>
      </c>
    </row>
    <row r="4128" spans="2:8" ht="17.5" customHeight="1" x14ac:dyDescent="0.4">
      <c r="B4128" t="s">
        <v>7</v>
      </c>
      <c r="C4128" t="s">
        <v>940</v>
      </c>
      <c r="D4128" s="7">
        <f>DATE(2017,1,25)</f>
        <v>42760</v>
      </c>
      <c r="E4128" s="8">
        <f t="shared" si="68"/>
        <v>2017</v>
      </c>
      <c r="F4128" t="s">
        <v>941</v>
      </c>
      <c r="G4128" s="9">
        <v>5630.36</v>
      </c>
      <c r="H4128" s="8">
        <v>24166</v>
      </c>
    </row>
    <row r="4129" spans="2:8" ht="17.5" customHeight="1" x14ac:dyDescent="0.4">
      <c r="B4129" t="s">
        <v>7</v>
      </c>
      <c r="C4129" t="s">
        <v>940</v>
      </c>
      <c r="D4129" s="7">
        <f>DATE(2017,7,17)</f>
        <v>42933</v>
      </c>
      <c r="E4129" s="8">
        <f t="shared" si="68"/>
        <v>2017</v>
      </c>
      <c r="F4129" t="s">
        <v>941</v>
      </c>
      <c r="G4129" s="9">
        <v>28593.63</v>
      </c>
      <c r="H4129" s="8">
        <v>25175</v>
      </c>
    </row>
    <row r="4130" spans="2:8" ht="17.5" customHeight="1" x14ac:dyDescent="0.4">
      <c r="B4130" t="s">
        <v>7</v>
      </c>
      <c r="C4130" t="s">
        <v>940</v>
      </c>
      <c r="D4130" s="7">
        <f>DATE(2017,10,23)</f>
        <v>43031</v>
      </c>
      <c r="E4130" s="8">
        <f t="shared" si="68"/>
        <v>2017</v>
      </c>
      <c r="F4130" t="s">
        <v>941</v>
      </c>
      <c r="G4130" s="9">
        <v>35815.360000000001</v>
      </c>
      <c r="H4130" s="8">
        <v>25660</v>
      </c>
    </row>
    <row r="4131" spans="2:8" ht="17.5" customHeight="1" x14ac:dyDescent="0.4">
      <c r="B4131" t="s">
        <v>7</v>
      </c>
      <c r="C4131" t="s">
        <v>940</v>
      </c>
      <c r="D4131" s="7">
        <f>DATE(2018,4,23)</f>
        <v>43213</v>
      </c>
      <c r="E4131" s="8">
        <f t="shared" si="68"/>
        <v>2018</v>
      </c>
      <c r="F4131" t="s">
        <v>941</v>
      </c>
      <c r="G4131" s="9">
        <v>21976.33</v>
      </c>
      <c r="H4131" s="8">
        <v>26822</v>
      </c>
    </row>
    <row r="4132" spans="2:8" ht="17.5" customHeight="1" x14ac:dyDescent="0.4">
      <c r="B4132" t="s">
        <v>7</v>
      </c>
      <c r="C4132" t="s">
        <v>940</v>
      </c>
      <c r="D4132" s="7">
        <f>DATE(2013,3,18)</f>
        <v>41351</v>
      </c>
      <c r="E4132" s="8">
        <f t="shared" si="68"/>
        <v>2013</v>
      </c>
      <c r="F4132" t="s">
        <v>941</v>
      </c>
      <c r="G4132" s="9">
        <v>18828.18</v>
      </c>
      <c r="H4132" s="8">
        <v>12120</v>
      </c>
    </row>
    <row r="4133" spans="2:8" ht="17.5" customHeight="1" x14ac:dyDescent="0.4">
      <c r="B4133" t="s">
        <v>7</v>
      </c>
      <c r="C4133" t="s">
        <v>940</v>
      </c>
      <c r="D4133" s="7">
        <f>DATE(2012,4,3)</f>
        <v>41002</v>
      </c>
      <c r="E4133" s="8">
        <f t="shared" si="68"/>
        <v>2012</v>
      </c>
      <c r="F4133" t="s">
        <v>941</v>
      </c>
      <c r="G4133" s="9">
        <v>46767.21</v>
      </c>
      <c r="H4133" s="8">
        <v>11453</v>
      </c>
    </row>
    <row r="4134" spans="2:8" ht="17.5" customHeight="1" x14ac:dyDescent="0.4">
      <c r="B4134" t="s">
        <v>7</v>
      </c>
      <c r="C4134" t="s">
        <v>940</v>
      </c>
      <c r="D4134" s="7">
        <f>DATE(2013,3,18)</f>
        <v>41351</v>
      </c>
      <c r="E4134" s="8">
        <f t="shared" si="68"/>
        <v>2013</v>
      </c>
      <c r="F4134" t="s">
        <v>941</v>
      </c>
      <c r="G4134" s="9">
        <v>36770.99</v>
      </c>
      <c r="H4134" s="8">
        <v>12121</v>
      </c>
    </row>
    <row r="4135" spans="2:8" ht="17.5" customHeight="1" x14ac:dyDescent="0.4">
      <c r="B4135" s="3" t="s">
        <v>7</v>
      </c>
      <c r="C4135" s="3" t="s">
        <v>940</v>
      </c>
      <c r="D4135" s="4">
        <f>DATE(2010,2,17)</f>
        <v>40226</v>
      </c>
      <c r="E4135" s="5">
        <f t="shared" si="68"/>
        <v>2010</v>
      </c>
      <c r="F4135" s="3" t="s">
        <v>941</v>
      </c>
      <c r="G4135" s="6">
        <v>14860.3</v>
      </c>
      <c r="H4135" s="5">
        <v>13472</v>
      </c>
    </row>
    <row r="4136" spans="2:8" ht="17.5" customHeight="1" x14ac:dyDescent="0.4">
      <c r="B4136" s="3" t="s">
        <v>7</v>
      </c>
      <c r="C4136" s="3" t="s">
        <v>940</v>
      </c>
      <c r="D4136" s="4">
        <f>DATE(2010,9,10)</f>
        <v>40431</v>
      </c>
      <c r="E4136" s="5">
        <f t="shared" si="68"/>
        <v>2010</v>
      </c>
      <c r="F4136" s="3" t="s">
        <v>941</v>
      </c>
      <c r="G4136" s="6">
        <v>1230</v>
      </c>
      <c r="H4136" s="5">
        <v>14484</v>
      </c>
    </row>
    <row r="4137" spans="2:8" ht="17.5" customHeight="1" x14ac:dyDescent="0.4">
      <c r="B4137" s="3" t="s">
        <v>7</v>
      </c>
      <c r="C4137" s="3" t="s">
        <v>940</v>
      </c>
      <c r="D4137" s="4">
        <f>DATE(2010,11,10)</f>
        <v>40492</v>
      </c>
      <c r="E4137" s="5">
        <f t="shared" si="68"/>
        <v>2010</v>
      </c>
      <c r="F4137" s="3" t="s">
        <v>941</v>
      </c>
      <c r="G4137" s="6">
        <v>4100</v>
      </c>
      <c r="H4137" s="5">
        <v>14734</v>
      </c>
    </row>
    <row r="4138" spans="2:8" ht="17.5" customHeight="1" x14ac:dyDescent="0.4">
      <c r="B4138" t="s">
        <v>7</v>
      </c>
      <c r="C4138" t="s">
        <v>940</v>
      </c>
      <c r="D4138" s="7">
        <f>DATE(2019,3,8)</f>
        <v>43532</v>
      </c>
      <c r="E4138" s="8">
        <f t="shared" si="68"/>
        <v>2019</v>
      </c>
      <c r="F4138" t="s">
        <v>942</v>
      </c>
      <c r="G4138" s="9">
        <v>14681.88</v>
      </c>
      <c r="H4138" s="8">
        <v>28241</v>
      </c>
    </row>
    <row r="4139" spans="2:8" ht="17.5" customHeight="1" x14ac:dyDescent="0.4">
      <c r="B4139" t="s">
        <v>7</v>
      </c>
      <c r="C4139" t="s">
        <v>940</v>
      </c>
      <c r="D4139" s="7">
        <f>DATE(2018,8,13)</f>
        <v>43325</v>
      </c>
      <c r="E4139" s="8">
        <f t="shared" si="68"/>
        <v>2018</v>
      </c>
      <c r="F4139" t="s">
        <v>942</v>
      </c>
      <c r="G4139" s="9">
        <v>12934.07</v>
      </c>
      <c r="H4139" s="8">
        <v>27398</v>
      </c>
    </row>
    <row r="4140" spans="2:8" ht="17.5" customHeight="1" x14ac:dyDescent="0.4">
      <c r="B4140" t="s">
        <v>7</v>
      </c>
      <c r="C4140" t="s">
        <v>943</v>
      </c>
      <c r="D4140" s="7">
        <f>DATE(2018,5,23)</f>
        <v>43243</v>
      </c>
      <c r="E4140" s="8">
        <f t="shared" si="68"/>
        <v>2018</v>
      </c>
      <c r="F4140" t="s">
        <v>944</v>
      </c>
      <c r="G4140" s="9">
        <v>67247.199999999997</v>
      </c>
      <c r="H4140" s="8">
        <v>26936</v>
      </c>
    </row>
    <row r="4141" spans="2:8" ht="17.5" customHeight="1" x14ac:dyDescent="0.4">
      <c r="B4141" t="s">
        <v>7</v>
      </c>
      <c r="C4141" t="s">
        <v>943</v>
      </c>
      <c r="D4141" s="7">
        <f>DATE(2018,6,11)</f>
        <v>43262</v>
      </c>
      <c r="E4141" s="8">
        <f t="shared" si="68"/>
        <v>2018</v>
      </c>
      <c r="F4141" t="s">
        <v>944</v>
      </c>
      <c r="G4141" s="9">
        <v>18926.919999999998</v>
      </c>
      <c r="H4141" s="8">
        <v>27089</v>
      </c>
    </row>
    <row r="4142" spans="2:8" ht="17.5" customHeight="1" x14ac:dyDescent="0.4">
      <c r="B4142" t="s">
        <v>7</v>
      </c>
      <c r="C4142" t="s">
        <v>943</v>
      </c>
      <c r="D4142" s="7">
        <f>DATE(2019,5,1)</f>
        <v>43586</v>
      </c>
      <c r="E4142" s="8">
        <f t="shared" si="68"/>
        <v>2019</v>
      </c>
      <c r="F4142" t="s">
        <v>945</v>
      </c>
      <c r="G4142" s="9">
        <v>17698.14</v>
      </c>
      <c r="H4142" s="8">
        <v>28772</v>
      </c>
    </row>
    <row r="4143" spans="2:8" ht="17.5" customHeight="1" x14ac:dyDescent="0.4">
      <c r="B4143" t="s">
        <v>7</v>
      </c>
      <c r="C4143" t="s">
        <v>946</v>
      </c>
      <c r="D4143" s="7">
        <f>DATE(2003,3,12)</f>
        <v>37692</v>
      </c>
      <c r="E4143" s="8">
        <f t="shared" si="68"/>
        <v>2003</v>
      </c>
      <c r="F4143" t="s">
        <v>947</v>
      </c>
      <c r="G4143" s="9">
        <v>1500</v>
      </c>
      <c r="H4143" s="8">
        <v>425</v>
      </c>
    </row>
    <row r="4144" spans="2:8" ht="17.5" customHeight="1" x14ac:dyDescent="0.4">
      <c r="B4144" t="s">
        <v>7</v>
      </c>
      <c r="C4144" t="s">
        <v>946</v>
      </c>
      <c r="D4144" s="7">
        <f>DATE(2003,4,25)</f>
        <v>37736</v>
      </c>
      <c r="E4144" s="8">
        <f t="shared" si="68"/>
        <v>2003</v>
      </c>
      <c r="F4144" t="s">
        <v>947</v>
      </c>
      <c r="G4144" s="9">
        <v>27508.91</v>
      </c>
      <c r="H4144" s="8">
        <v>311</v>
      </c>
    </row>
    <row r="4145" spans="2:8" ht="17.5" customHeight="1" x14ac:dyDescent="0.4">
      <c r="B4145" t="s">
        <v>7</v>
      </c>
      <c r="C4145" t="s">
        <v>946</v>
      </c>
      <c r="D4145" s="7">
        <f>DATE(2003,5,29)</f>
        <v>37770</v>
      </c>
      <c r="E4145" s="8">
        <f t="shared" si="68"/>
        <v>2003</v>
      </c>
      <c r="F4145" t="s">
        <v>947</v>
      </c>
      <c r="G4145" s="9">
        <v>9316.6200000000008</v>
      </c>
      <c r="H4145" s="8">
        <v>312</v>
      </c>
    </row>
    <row r="4146" spans="2:8" ht="17.5" customHeight="1" x14ac:dyDescent="0.4">
      <c r="B4146" t="s">
        <v>7</v>
      </c>
      <c r="C4146" t="s">
        <v>946</v>
      </c>
      <c r="D4146" s="7">
        <f>DATE(2016,4,1)</f>
        <v>42461</v>
      </c>
      <c r="E4146" s="8">
        <f t="shared" si="68"/>
        <v>2016</v>
      </c>
      <c r="F4146" t="s">
        <v>948</v>
      </c>
      <c r="G4146" s="9">
        <v>20435.009999999998</v>
      </c>
      <c r="H4146" s="8">
        <v>22079</v>
      </c>
    </row>
    <row r="4147" spans="2:8" ht="17.5" customHeight="1" x14ac:dyDescent="0.4">
      <c r="B4147" t="s">
        <v>7</v>
      </c>
      <c r="C4147" t="s">
        <v>946</v>
      </c>
      <c r="D4147" s="7">
        <f>DATE(2016,5,18)</f>
        <v>42508</v>
      </c>
      <c r="E4147" s="8">
        <f t="shared" si="68"/>
        <v>2016</v>
      </c>
      <c r="F4147" t="s">
        <v>948</v>
      </c>
      <c r="G4147" s="9">
        <v>34253.800000000003</v>
      </c>
      <c r="H4147" s="8">
        <v>22295</v>
      </c>
    </row>
    <row r="4148" spans="2:8" ht="17.5" customHeight="1" x14ac:dyDescent="0.4">
      <c r="B4148" t="s">
        <v>7</v>
      </c>
      <c r="C4148" t="s">
        <v>946</v>
      </c>
      <c r="D4148" s="7">
        <f>DATE(2017,5,16)</f>
        <v>42871</v>
      </c>
      <c r="E4148" s="8">
        <f t="shared" si="68"/>
        <v>2017</v>
      </c>
      <c r="F4148" t="s">
        <v>948</v>
      </c>
      <c r="G4148" s="9">
        <v>34450</v>
      </c>
      <c r="H4148" s="8">
        <v>24786</v>
      </c>
    </row>
    <row r="4149" spans="2:8" ht="17.5" customHeight="1" x14ac:dyDescent="0.4">
      <c r="B4149" t="s">
        <v>7</v>
      </c>
      <c r="C4149" t="s">
        <v>946</v>
      </c>
      <c r="D4149" s="7">
        <f>DATE(2017,10,11)</f>
        <v>43019</v>
      </c>
      <c r="E4149" s="8">
        <f t="shared" si="68"/>
        <v>2017</v>
      </c>
      <c r="F4149" t="s">
        <v>948</v>
      </c>
      <c r="G4149" s="9">
        <v>48950</v>
      </c>
      <c r="H4149" s="8">
        <v>25682</v>
      </c>
    </row>
    <row r="4150" spans="2:8" ht="17.5" customHeight="1" x14ac:dyDescent="0.4">
      <c r="B4150" t="s">
        <v>7</v>
      </c>
      <c r="C4150" t="s">
        <v>946</v>
      </c>
      <c r="D4150" s="7">
        <f>DATE(2019,5,6)</f>
        <v>43591</v>
      </c>
      <c r="E4150" s="8">
        <f t="shared" si="68"/>
        <v>2019</v>
      </c>
      <c r="F4150" t="s">
        <v>948</v>
      </c>
      <c r="G4150" s="9">
        <v>39915</v>
      </c>
      <c r="H4150" s="8">
        <v>28796</v>
      </c>
    </row>
    <row r="4151" spans="2:8" ht="17.5" customHeight="1" x14ac:dyDescent="0.4">
      <c r="B4151" t="s">
        <v>7</v>
      </c>
      <c r="C4151" t="s">
        <v>946</v>
      </c>
      <c r="D4151" s="7">
        <f>DATE(2015,10,21)</f>
        <v>42298</v>
      </c>
      <c r="E4151" s="8">
        <f t="shared" si="68"/>
        <v>2015</v>
      </c>
      <c r="F4151" t="s">
        <v>948</v>
      </c>
      <c r="G4151" s="9">
        <v>23141.83</v>
      </c>
      <c r="H4151" s="8">
        <v>21335</v>
      </c>
    </row>
    <row r="4152" spans="2:8" ht="17.5" customHeight="1" x14ac:dyDescent="0.4">
      <c r="B4152" t="s">
        <v>7</v>
      </c>
      <c r="C4152" t="s">
        <v>946</v>
      </c>
      <c r="D4152" s="7">
        <f>DATE(2015,11,19)</f>
        <v>42327</v>
      </c>
      <c r="E4152" s="8">
        <f t="shared" si="68"/>
        <v>2015</v>
      </c>
      <c r="F4152" t="s">
        <v>948</v>
      </c>
      <c r="G4152" s="9">
        <v>19681.68</v>
      </c>
      <c r="H4152" s="8">
        <v>21583</v>
      </c>
    </row>
    <row r="4153" spans="2:8" ht="17.5" customHeight="1" x14ac:dyDescent="0.4">
      <c r="B4153" t="s">
        <v>7</v>
      </c>
      <c r="C4153" t="s">
        <v>946</v>
      </c>
      <c r="D4153" s="7">
        <f>DATE(2017,1,3)</f>
        <v>42738</v>
      </c>
      <c r="E4153" s="8">
        <f t="shared" si="68"/>
        <v>2017</v>
      </c>
      <c r="F4153" t="s">
        <v>948</v>
      </c>
      <c r="G4153" s="9">
        <v>16626.87</v>
      </c>
      <c r="H4153" s="8">
        <v>23918</v>
      </c>
    </row>
    <row r="4154" spans="2:8" ht="17.5" customHeight="1" x14ac:dyDescent="0.4">
      <c r="B4154" t="s">
        <v>7</v>
      </c>
      <c r="C4154" t="s">
        <v>946</v>
      </c>
      <c r="D4154" s="7">
        <f>DATE(2017,7,27)</f>
        <v>42943</v>
      </c>
      <c r="E4154" s="8">
        <f t="shared" si="68"/>
        <v>2017</v>
      </c>
      <c r="F4154" t="s">
        <v>948</v>
      </c>
      <c r="G4154" s="9">
        <v>17473.27</v>
      </c>
      <c r="H4154" s="8">
        <v>25258</v>
      </c>
    </row>
    <row r="4155" spans="2:8" ht="17.5" customHeight="1" x14ac:dyDescent="0.4">
      <c r="B4155" t="s">
        <v>7</v>
      </c>
      <c r="C4155" t="s">
        <v>946</v>
      </c>
      <c r="D4155" s="7">
        <f>DATE(2018,1,10)</f>
        <v>43110</v>
      </c>
      <c r="E4155" s="8">
        <f t="shared" si="68"/>
        <v>2018</v>
      </c>
      <c r="F4155" t="s">
        <v>948</v>
      </c>
      <c r="G4155" s="9">
        <v>17428.830000000002</v>
      </c>
      <c r="H4155" s="8">
        <v>26142</v>
      </c>
    </row>
    <row r="4156" spans="2:8" ht="17.5" customHeight="1" x14ac:dyDescent="0.4">
      <c r="B4156" t="s">
        <v>7</v>
      </c>
      <c r="C4156" t="s">
        <v>946</v>
      </c>
      <c r="D4156" s="7">
        <f>DATE(2018,11,6)</f>
        <v>43410</v>
      </c>
      <c r="E4156" s="8">
        <f t="shared" si="68"/>
        <v>2018</v>
      </c>
      <c r="F4156" t="s">
        <v>948</v>
      </c>
      <c r="G4156" s="9">
        <v>19268</v>
      </c>
      <c r="H4156" s="8">
        <v>27821</v>
      </c>
    </row>
    <row r="4157" spans="2:8" ht="17.5" customHeight="1" x14ac:dyDescent="0.4">
      <c r="B4157" t="s">
        <v>7</v>
      </c>
      <c r="C4157" t="s">
        <v>946</v>
      </c>
      <c r="D4157" s="7">
        <f>DATE(2003,6,8)</f>
        <v>37780</v>
      </c>
      <c r="E4157" s="8">
        <f t="shared" si="68"/>
        <v>2003</v>
      </c>
      <c r="F4157" t="s">
        <v>948</v>
      </c>
      <c r="G4157" s="9">
        <v>39461.699999999997</v>
      </c>
      <c r="H4157" s="8">
        <v>553</v>
      </c>
    </row>
    <row r="4158" spans="2:8" ht="17.5" customHeight="1" x14ac:dyDescent="0.4">
      <c r="B4158" t="s">
        <v>7</v>
      </c>
      <c r="C4158" t="s">
        <v>946</v>
      </c>
      <c r="D4158" s="7">
        <f>DATE(2005,5,12)</f>
        <v>38484</v>
      </c>
      <c r="E4158" s="8">
        <f t="shared" si="68"/>
        <v>2005</v>
      </c>
      <c r="F4158" t="s">
        <v>948</v>
      </c>
      <c r="G4158" s="9">
        <v>17377.48</v>
      </c>
      <c r="H4158" s="8">
        <v>2551</v>
      </c>
    </row>
    <row r="4159" spans="2:8" ht="17.5" customHeight="1" x14ac:dyDescent="0.4">
      <c r="B4159" t="s">
        <v>7</v>
      </c>
      <c r="C4159" t="s">
        <v>946</v>
      </c>
      <c r="D4159" s="7">
        <f>DATE(2005,5,22)</f>
        <v>38494</v>
      </c>
      <c r="E4159" s="8">
        <f t="shared" si="68"/>
        <v>2005</v>
      </c>
      <c r="F4159" t="s">
        <v>948</v>
      </c>
      <c r="G4159" s="9">
        <v>67066.39</v>
      </c>
      <c r="H4159" s="8">
        <v>2552</v>
      </c>
    </row>
    <row r="4160" spans="2:8" ht="17.5" customHeight="1" x14ac:dyDescent="0.4">
      <c r="B4160" t="s">
        <v>7</v>
      </c>
      <c r="C4160" t="s">
        <v>946</v>
      </c>
      <c r="D4160" s="7">
        <f>DATE(2005,6,14)</f>
        <v>38517</v>
      </c>
      <c r="E4160" s="8">
        <f t="shared" si="68"/>
        <v>2005</v>
      </c>
      <c r="F4160" t="s">
        <v>948</v>
      </c>
      <c r="G4160" s="9">
        <v>39764.44</v>
      </c>
      <c r="H4160" s="8">
        <v>3277</v>
      </c>
    </row>
    <row r="4161" spans="2:8" ht="17.5" customHeight="1" x14ac:dyDescent="0.4">
      <c r="B4161" t="s">
        <v>7</v>
      </c>
      <c r="C4161" t="s">
        <v>946</v>
      </c>
      <c r="D4161" s="7">
        <f>DATE(2005,7,21)</f>
        <v>38554</v>
      </c>
      <c r="E4161" s="8">
        <f t="shared" si="68"/>
        <v>2005</v>
      </c>
      <c r="F4161" t="s">
        <v>948</v>
      </c>
      <c r="G4161" s="9">
        <v>10173.59</v>
      </c>
      <c r="H4161" s="8">
        <v>3385</v>
      </c>
    </row>
    <row r="4162" spans="2:8" ht="17.5" customHeight="1" x14ac:dyDescent="0.4">
      <c r="B4162" t="s">
        <v>7</v>
      </c>
      <c r="C4162" t="s">
        <v>946</v>
      </c>
      <c r="D4162" s="7">
        <f>DATE(2005,7,21)</f>
        <v>38554</v>
      </c>
      <c r="E4162" s="8">
        <f t="shared" si="68"/>
        <v>2005</v>
      </c>
      <c r="F4162" t="s">
        <v>948</v>
      </c>
      <c r="G4162" s="9">
        <v>2543.4</v>
      </c>
      <c r="H4162" s="8">
        <v>3509</v>
      </c>
    </row>
    <row r="4163" spans="2:8" ht="17.5" customHeight="1" x14ac:dyDescent="0.4">
      <c r="B4163" t="s">
        <v>7</v>
      </c>
      <c r="C4163" t="s">
        <v>946</v>
      </c>
      <c r="D4163" s="7">
        <f>DATE(2005,7,21)</f>
        <v>38554</v>
      </c>
      <c r="E4163" s="8">
        <f t="shared" ref="E4163:E4226" si="69">YEAR(D4163)</f>
        <v>2005</v>
      </c>
      <c r="F4163" t="s">
        <v>948</v>
      </c>
      <c r="G4163" s="9">
        <v>2543.4</v>
      </c>
      <c r="H4163" s="8">
        <v>3510</v>
      </c>
    </row>
    <row r="4164" spans="2:8" ht="17.5" customHeight="1" x14ac:dyDescent="0.4">
      <c r="B4164" t="s">
        <v>7</v>
      </c>
      <c r="C4164" t="s">
        <v>946</v>
      </c>
      <c r="D4164" s="7">
        <f>DATE(2005,7,21)</f>
        <v>38554</v>
      </c>
      <c r="E4164" s="8">
        <f t="shared" si="69"/>
        <v>2005</v>
      </c>
      <c r="F4164" t="s">
        <v>948</v>
      </c>
      <c r="G4164" s="9">
        <v>2543.4</v>
      </c>
      <c r="H4164" s="8">
        <v>3511</v>
      </c>
    </row>
    <row r="4165" spans="2:8" ht="17.5" customHeight="1" x14ac:dyDescent="0.4">
      <c r="B4165" t="s">
        <v>7</v>
      </c>
      <c r="C4165" t="s">
        <v>946</v>
      </c>
      <c r="D4165" s="7">
        <f>DATE(2005,7,21)</f>
        <v>38554</v>
      </c>
      <c r="E4165" s="8">
        <f t="shared" si="69"/>
        <v>2005</v>
      </c>
      <c r="F4165" t="s">
        <v>948</v>
      </c>
      <c r="G4165" s="9">
        <v>2543.39</v>
      </c>
      <c r="H4165" s="8">
        <v>3512</v>
      </c>
    </row>
    <row r="4166" spans="2:8" ht="17.5" customHeight="1" x14ac:dyDescent="0.4">
      <c r="B4166" t="s">
        <v>7</v>
      </c>
      <c r="C4166" t="s">
        <v>946</v>
      </c>
      <c r="D4166" s="7">
        <f>DATE(2006,1,31)</f>
        <v>38748</v>
      </c>
      <c r="E4166" s="8">
        <f t="shared" si="69"/>
        <v>2006</v>
      </c>
      <c r="F4166" t="s">
        <v>948</v>
      </c>
      <c r="G4166" s="9">
        <v>38245.160000000003</v>
      </c>
      <c r="H4166" s="8">
        <v>3994</v>
      </c>
    </row>
    <row r="4167" spans="2:8" ht="17.5" customHeight="1" x14ac:dyDescent="0.4">
      <c r="B4167" t="s">
        <v>7</v>
      </c>
      <c r="C4167" t="s">
        <v>946</v>
      </c>
      <c r="D4167" s="7">
        <f>DATE(2006,5,16)</f>
        <v>38853</v>
      </c>
      <c r="E4167" s="8">
        <f t="shared" si="69"/>
        <v>2006</v>
      </c>
      <c r="F4167" t="s">
        <v>948</v>
      </c>
      <c r="G4167" s="9">
        <v>26258.07</v>
      </c>
      <c r="H4167" s="8">
        <v>3877</v>
      </c>
    </row>
    <row r="4168" spans="2:8" ht="17.5" customHeight="1" x14ac:dyDescent="0.4">
      <c r="B4168" t="s">
        <v>7</v>
      </c>
      <c r="C4168" t="s">
        <v>946</v>
      </c>
      <c r="D4168" s="7">
        <f>DATE(2006,5,30)</f>
        <v>38867</v>
      </c>
      <c r="E4168" s="8">
        <f t="shared" si="69"/>
        <v>2006</v>
      </c>
      <c r="F4168" t="s">
        <v>948</v>
      </c>
      <c r="G4168" s="9">
        <v>150236.12</v>
      </c>
      <c r="H4168" s="8">
        <v>3882</v>
      </c>
    </row>
    <row r="4169" spans="2:8" ht="17.5" customHeight="1" x14ac:dyDescent="0.4">
      <c r="B4169" t="s">
        <v>7</v>
      </c>
      <c r="C4169" t="s">
        <v>946</v>
      </c>
      <c r="D4169" s="7">
        <f>DATE(2006,9,16)</f>
        <v>38976</v>
      </c>
      <c r="E4169" s="8">
        <f t="shared" si="69"/>
        <v>2006</v>
      </c>
      <c r="F4169" t="s">
        <v>948</v>
      </c>
      <c r="G4169" s="9">
        <v>19237.7</v>
      </c>
      <c r="H4169" s="8">
        <v>4840</v>
      </c>
    </row>
    <row r="4170" spans="2:8" ht="17.5" customHeight="1" x14ac:dyDescent="0.4">
      <c r="B4170" t="s">
        <v>7</v>
      </c>
      <c r="C4170" t="s">
        <v>946</v>
      </c>
      <c r="D4170" s="7">
        <f>DATE(2006,9,16)</f>
        <v>38976</v>
      </c>
      <c r="E4170" s="8">
        <f t="shared" si="69"/>
        <v>2006</v>
      </c>
      <c r="F4170" t="s">
        <v>948</v>
      </c>
      <c r="G4170" s="9">
        <v>61922</v>
      </c>
      <c r="H4170" s="8">
        <v>4841</v>
      </c>
    </row>
    <row r="4171" spans="2:8" ht="17.5" customHeight="1" x14ac:dyDescent="0.4">
      <c r="B4171" t="s">
        <v>7</v>
      </c>
      <c r="C4171" t="s">
        <v>946</v>
      </c>
      <c r="D4171" s="7">
        <f>DATE(2006,9,12)</f>
        <v>38972</v>
      </c>
      <c r="E4171" s="8">
        <f t="shared" si="69"/>
        <v>2006</v>
      </c>
      <c r="F4171" t="s">
        <v>948</v>
      </c>
      <c r="G4171" s="9">
        <v>19212.54</v>
      </c>
      <c r="H4171" s="8">
        <v>4994</v>
      </c>
    </row>
    <row r="4172" spans="2:8" ht="17.5" customHeight="1" x14ac:dyDescent="0.4">
      <c r="B4172" t="s">
        <v>7</v>
      </c>
      <c r="C4172" t="s">
        <v>946</v>
      </c>
      <c r="D4172" s="7">
        <f>DATE(2006,12,11)</f>
        <v>39062</v>
      </c>
      <c r="E4172" s="8">
        <f t="shared" si="69"/>
        <v>2006</v>
      </c>
      <c r="F4172" t="s">
        <v>948</v>
      </c>
      <c r="G4172" s="9">
        <v>40041.93</v>
      </c>
      <c r="H4172" s="8">
        <v>5226</v>
      </c>
    </row>
    <row r="4173" spans="2:8" ht="17.5" customHeight="1" x14ac:dyDescent="0.4">
      <c r="B4173" t="s">
        <v>7</v>
      </c>
      <c r="C4173" t="s">
        <v>946</v>
      </c>
      <c r="D4173" s="7">
        <f>DATE(2007,5,6)</f>
        <v>39208</v>
      </c>
      <c r="E4173" s="8">
        <f t="shared" si="69"/>
        <v>2007</v>
      </c>
      <c r="F4173" t="s">
        <v>948</v>
      </c>
      <c r="G4173" s="9">
        <v>39267.370000000003</v>
      </c>
      <c r="H4173" s="8">
        <v>5792</v>
      </c>
    </row>
    <row r="4174" spans="2:8" ht="17.5" customHeight="1" x14ac:dyDescent="0.4">
      <c r="B4174" t="s">
        <v>7</v>
      </c>
      <c r="C4174" t="s">
        <v>946</v>
      </c>
      <c r="D4174" s="7">
        <f>DATE(2007,5,13)</f>
        <v>39215</v>
      </c>
      <c r="E4174" s="8">
        <f t="shared" si="69"/>
        <v>2007</v>
      </c>
      <c r="F4174" t="s">
        <v>948</v>
      </c>
      <c r="G4174" s="9">
        <v>34617.4</v>
      </c>
      <c r="H4174" s="8">
        <v>5982</v>
      </c>
    </row>
    <row r="4175" spans="2:8" ht="17.5" customHeight="1" x14ac:dyDescent="0.4">
      <c r="B4175" t="s">
        <v>7</v>
      </c>
      <c r="C4175" t="s">
        <v>946</v>
      </c>
      <c r="D4175" s="7">
        <f>DATE(2008,3,15)</f>
        <v>39522</v>
      </c>
      <c r="E4175" s="8">
        <f t="shared" si="69"/>
        <v>2008</v>
      </c>
      <c r="F4175" t="s">
        <v>948</v>
      </c>
      <c r="G4175" s="9">
        <v>6207.22</v>
      </c>
      <c r="H4175" s="8">
        <v>7016</v>
      </c>
    </row>
    <row r="4176" spans="2:8" ht="17.5" customHeight="1" x14ac:dyDescent="0.4">
      <c r="B4176" t="s">
        <v>7</v>
      </c>
      <c r="C4176" t="s">
        <v>946</v>
      </c>
      <c r="D4176" s="7">
        <f>DATE(2008,3,15)</f>
        <v>39522</v>
      </c>
      <c r="E4176" s="8">
        <f t="shared" si="69"/>
        <v>2008</v>
      </c>
      <c r="F4176" t="s">
        <v>948</v>
      </c>
      <c r="G4176" s="9">
        <v>9310.82</v>
      </c>
      <c r="H4176" s="8">
        <v>7017</v>
      </c>
    </row>
    <row r="4177" spans="2:8" ht="17.5" customHeight="1" x14ac:dyDescent="0.4">
      <c r="B4177" t="s">
        <v>7</v>
      </c>
      <c r="C4177" t="s">
        <v>946</v>
      </c>
      <c r="D4177" s="7">
        <f>DATE(2008,5,1)</f>
        <v>39569</v>
      </c>
      <c r="E4177" s="8">
        <f t="shared" si="69"/>
        <v>2008</v>
      </c>
      <c r="F4177" t="s">
        <v>948</v>
      </c>
      <c r="G4177" s="9">
        <v>45368.33</v>
      </c>
      <c r="H4177" s="8">
        <v>7283</v>
      </c>
    </row>
    <row r="4178" spans="2:8" ht="17.5" customHeight="1" x14ac:dyDescent="0.4">
      <c r="B4178" t="s">
        <v>7</v>
      </c>
      <c r="C4178" t="s">
        <v>946</v>
      </c>
      <c r="D4178" s="7">
        <f>DATE(2008,9,13)</f>
        <v>39704</v>
      </c>
      <c r="E4178" s="8">
        <f t="shared" si="69"/>
        <v>2008</v>
      </c>
      <c r="F4178" t="s">
        <v>948</v>
      </c>
      <c r="G4178" s="9">
        <v>43918.5</v>
      </c>
      <c r="H4178" s="8">
        <v>7767</v>
      </c>
    </row>
    <row r="4179" spans="2:8" ht="17.5" customHeight="1" x14ac:dyDescent="0.4">
      <c r="B4179" t="s">
        <v>7</v>
      </c>
      <c r="C4179" t="s">
        <v>946</v>
      </c>
      <c r="D4179" s="7">
        <f>DATE(2008,9,13)</f>
        <v>39704</v>
      </c>
      <c r="E4179" s="8">
        <f t="shared" si="69"/>
        <v>2008</v>
      </c>
      <c r="F4179" t="s">
        <v>948</v>
      </c>
      <c r="G4179" s="9">
        <v>6929.26</v>
      </c>
      <c r="H4179" s="8">
        <v>7808</v>
      </c>
    </row>
    <row r="4180" spans="2:8" ht="17.5" customHeight="1" x14ac:dyDescent="0.4">
      <c r="B4180" t="s">
        <v>7</v>
      </c>
      <c r="C4180" t="s">
        <v>946</v>
      </c>
      <c r="D4180" s="7">
        <f>DATE(2008,9,23)</f>
        <v>39714</v>
      </c>
      <c r="E4180" s="8">
        <f t="shared" si="69"/>
        <v>2008</v>
      </c>
      <c r="F4180" t="s">
        <v>948</v>
      </c>
      <c r="G4180" s="9">
        <v>16124.23</v>
      </c>
      <c r="H4180" s="8">
        <v>7839</v>
      </c>
    </row>
    <row r="4181" spans="2:8" ht="17.5" customHeight="1" x14ac:dyDescent="0.4">
      <c r="B4181" t="s">
        <v>7</v>
      </c>
      <c r="C4181" t="s">
        <v>946</v>
      </c>
      <c r="D4181" s="7">
        <f>DATE(2008,10,6)</f>
        <v>39727</v>
      </c>
      <c r="E4181" s="8">
        <f t="shared" si="69"/>
        <v>2008</v>
      </c>
      <c r="F4181" t="s">
        <v>948</v>
      </c>
      <c r="G4181" s="9">
        <v>15073.01</v>
      </c>
      <c r="H4181" s="8">
        <v>7904</v>
      </c>
    </row>
    <row r="4182" spans="2:8" ht="17.5" customHeight="1" x14ac:dyDescent="0.4">
      <c r="B4182" t="s">
        <v>7</v>
      </c>
      <c r="C4182" t="s">
        <v>946</v>
      </c>
      <c r="D4182" s="7">
        <f>DATE(2008,10,6)</f>
        <v>39727</v>
      </c>
      <c r="E4182" s="8">
        <f t="shared" si="69"/>
        <v>2008</v>
      </c>
      <c r="F4182" t="s">
        <v>948</v>
      </c>
      <c r="G4182" s="9">
        <v>15983.35</v>
      </c>
      <c r="H4182" s="8">
        <v>7893</v>
      </c>
    </row>
    <row r="4183" spans="2:8" ht="17.5" customHeight="1" x14ac:dyDescent="0.4">
      <c r="B4183" t="s">
        <v>7</v>
      </c>
      <c r="C4183" t="s">
        <v>946</v>
      </c>
      <c r="D4183" s="7">
        <f>DATE(2008,12,1)</f>
        <v>39783</v>
      </c>
      <c r="E4183" s="8">
        <f t="shared" si="69"/>
        <v>2008</v>
      </c>
      <c r="F4183" t="s">
        <v>948</v>
      </c>
      <c r="G4183" s="9">
        <v>29193.360000000001</v>
      </c>
      <c r="H4183" s="8">
        <v>8009</v>
      </c>
    </row>
    <row r="4184" spans="2:8" ht="17.5" customHeight="1" x14ac:dyDescent="0.4">
      <c r="B4184" t="s">
        <v>7</v>
      </c>
      <c r="C4184" t="s">
        <v>946</v>
      </c>
      <c r="D4184" s="7">
        <f>DATE(2008,12,1)</f>
        <v>39783</v>
      </c>
      <c r="E4184" s="8">
        <f t="shared" si="69"/>
        <v>2008</v>
      </c>
      <c r="F4184" t="s">
        <v>948</v>
      </c>
      <c r="G4184" s="9">
        <v>159241.5</v>
      </c>
      <c r="H4184" s="8">
        <v>8013</v>
      </c>
    </row>
    <row r="4185" spans="2:8" ht="17.5" customHeight="1" x14ac:dyDescent="0.4">
      <c r="B4185" t="s">
        <v>7</v>
      </c>
      <c r="C4185" t="s">
        <v>946</v>
      </c>
      <c r="D4185" s="7">
        <f>DATE(2009,4,8)</f>
        <v>39911</v>
      </c>
      <c r="E4185" s="8">
        <f t="shared" si="69"/>
        <v>2009</v>
      </c>
      <c r="F4185" t="s">
        <v>948</v>
      </c>
      <c r="G4185" s="9">
        <v>39200.6</v>
      </c>
      <c r="H4185" s="8">
        <v>8258</v>
      </c>
    </row>
    <row r="4186" spans="2:8" ht="17.5" customHeight="1" x14ac:dyDescent="0.4">
      <c r="B4186" t="s">
        <v>7</v>
      </c>
      <c r="C4186" t="s">
        <v>946</v>
      </c>
      <c r="D4186" s="7">
        <f>DATE(2009,5,28)</f>
        <v>39961</v>
      </c>
      <c r="E4186" s="8">
        <f t="shared" si="69"/>
        <v>2009</v>
      </c>
      <c r="F4186" t="s">
        <v>948</v>
      </c>
      <c r="G4186" s="9">
        <v>20526.419999999998</v>
      </c>
      <c r="H4186" s="8">
        <v>8122</v>
      </c>
    </row>
    <row r="4187" spans="2:8" ht="17.5" customHeight="1" x14ac:dyDescent="0.4">
      <c r="B4187" t="s">
        <v>7</v>
      </c>
      <c r="C4187" t="s">
        <v>946</v>
      </c>
      <c r="D4187" s="7">
        <f>DATE(2009,10,22)</f>
        <v>40108</v>
      </c>
      <c r="E4187" s="8">
        <f t="shared" si="69"/>
        <v>2009</v>
      </c>
      <c r="F4187" t="s">
        <v>948</v>
      </c>
      <c r="G4187" s="9">
        <v>46094.99</v>
      </c>
      <c r="H4187" s="8">
        <v>9152</v>
      </c>
    </row>
    <row r="4188" spans="2:8" ht="17.5" customHeight="1" x14ac:dyDescent="0.4">
      <c r="B4188" t="s">
        <v>7</v>
      </c>
      <c r="C4188" t="s">
        <v>946</v>
      </c>
      <c r="D4188" s="7">
        <f>DATE(2009,11,23)</f>
        <v>40140</v>
      </c>
      <c r="E4188" s="8">
        <f t="shared" si="69"/>
        <v>2009</v>
      </c>
      <c r="F4188" t="s">
        <v>948</v>
      </c>
      <c r="G4188" s="9">
        <v>8933.5</v>
      </c>
      <c r="H4188" s="8">
        <v>9238</v>
      </c>
    </row>
    <row r="4189" spans="2:8" ht="17.5" customHeight="1" x14ac:dyDescent="0.4">
      <c r="B4189" t="s">
        <v>7</v>
      </c>
      <c r="C4189" t="s">
        <v>946</v>
      </c>
      <c r="D4189" s="7">
        <f>DATE(2009,11,23)</f>
        <v>40140</v>
      </c>
      <c r="E4189" s="8">
        <f t="shared" si="69"/>
        <v>2009</v>
      </c>
      <c r="F4189" t="s">
        <v>948</v>
      </c>
      <c r="G4189" s="9">
        <v>9801.06</v>
      </c>
      <c r="H4189" s="8">
        <v>9239</v>
      </c>
    </row>
    <row r="4190" spans="2:8" ht="17.5" customHeight="1" x14ac:dyDescent="0.4">
      <c r="B4190" t="s">
        <v>7</v>
      </c>
      <c r="C4190" t="s">
        <v>946</v>
      </c>
      <c r="D4190" s="7">
        <f>DATE(2010,2,18)</f>
        <v>40227</v>
      </c>
      <c r="E4190" s="8">
        <f t="shared" si="69"/>
        <v>2010</v>
      </c>
      <c r="F4190" t="s">
        <v>948</v>
      </c>
      <c r="G4190" s="9">
        <v>27471.55</v>
      </c>
      <c r="H4190" s="8">
        <v>9499</v>
      </c>
    </row>
    <row r="4191" spans="2:8" ht="17.5" customHeight="1" x14ac:dyDescent="0.4">
      <c r="B4191" t="s">
        <v>7</v>
      </c>
      <c r="C4191" t="s">
        <v>946</v>
      </c>
      <c r="D4191" s="7">
        <f>DATE(2010,6,12)</f>
        <v>40341</v>
      </c>
      <c r="E4191" s="8">
        <f t="shared" si="69"/>
        <v>2010</v>
      </c>
      <c r="F4191" t="s">
        <v>948</v>
      </c>
      <c r="G4191" s="9">
        <v>42646.39</v>
      </c>
      <c r="H4191" s="8">
        <v>9914</v>
      </c>
    </row>
    <row r="4192" spans="2:8" ht="17.5" customHeight="1" x14ac:dyDescent="0.4">
      <c r="B4192" t="s">
        <v>7</v>
      </c>
      <c r="C4192" t="s">
        <v>946</v>
      </c>
      <c r="D4192" s="7">
        <f>DATE(2010,6,12)</f>
        <v>40341</v>
      </c>
      <c r="E4192" s="8">
        <f t="shared" si="69"/>
        <v>2010</v>
      </c>
      <c r="F4192" t="s">
        <v>948</v>
      </c>
      <c r="G4192" s="9">
        <v>31103.14</v>
      </c>
      <c r="H4192" s="8">
        <v>9983</v>
      </c>
    </row>
    <row r="4193" spans="2:8" ht="17.5" customHeight="1" x14ac:dyDescent="0.4">
      <c r="B4193" t="s">
        <v>7</v>
      </c>
      <c r="C4193" t="s">
        <v>946</v>
      </c>
      <c r="D4193" s="7">
        <f>DATE(2010,6,12)</f>
        <v>40341</v>
      </c>
      <c r="E4193" s="8">
        <f t="shared" si="69"/>
        <v>2010</v>
      </c>
      <c r="F4193" t="s">
        <v>948</v>
      </c>
      <c r="G4193" s="9">
        <v>11543.25</v>
      </c>
      <c r="H4193" s="8">
        <v>9983</v>
      </c>
    </row>
    <row r="4194" spans="2:8" ht="17.5" customHeight="1" x14ac:dyDescent="0.4">
      <c r="B4194" t="s">
        <v>7</v>
      </c>
      <c r="C4194" t="s">
        <v>946</v>
      </c>
      <c r="D4194" s="7">
        <f>DATE(2010,12,10)</f>
        <v>40522</v>
      </c>
      <c r="E4194" s="8">
        <f t="shared" si="69"/>
        <v>2010</v>
      </c>
      <c r="F4194" t="s">
        <v>948</v>
      </c>
      <c r="G4194" s="9">
        <v>29043.919999999998</v>
      </c>
      <c r="H4194" s="8">
        <v>10302</v>
      </c>
    </row>
    <row r="4195" spans="2:8" ht="17.5" customHeight="1" x14ac:dyDescent="0.4">
      <c r="B4195" t="s">
        <v>7</v>
      </c>
      <c r="C4195" t="s">
        <v>946</v>
      </c>
      <c r="D4195" s="7">
        <f>DATE(2010,12,15)</f>
        <v>40527</v>
      </c>
      <c r="E4195" s="8">
        <f t="shared" si="69"/>
        <v>2010</v>
      </c>
      <c r="F4195" t="s">
        <v>948</v>
      </c>
      <c r="G4195" s="9">
        <v>7017.5</v>
      </c>
      <c r="H4195" s="8">
        <v>10321</v>
      </c>
    </row>
    <row r="4196" spans="2:8" ht="17.5" customHeight="1" x14ac:dyDescent="0.4">
      <c r="B4196" t="s">
        <v>7</v>
      </c>
      <c r="C4196" t="s">
        <v>946</v>
      </c>
      <c r="D4196" s="7">
        <f>DATE(2010,12,21)</f>
        <v>40533</v>
      </c>
      <c r="E4196" s="8">
        <f t="shared" si="69"/>
        <v>2010</v>
      </c>
      <c r="F4196" t="s">
        <v>948</v>
      </c>
      <c r="G4196" s="9">
        <v>69057.7</v>
      </c>
      <c r="H4196" s="8">
        <v>10311</v>
      </c>
    </row>
    <row r="4197" spans="2:8" ht="17.5" customHeight="1" x14ac:dyDescent="0.4">
      <c r="B4197" t="s">
        <v>7</v>
      </c>
      <c r="C4197" t="s">
        <v>946</v>
      </c>
      <c r="D4197" s="7">
        <f>DATE(2011,4,22)</f>
        <v>40655</v>
      </c>
      <c r="E4197" s="8">
        <f t="shared" si="69"/>
        <v>2011</v>
      </c>
      <c r="F4197" t="s">
        <v>948</v>
      </c>
      <c r="G4197" s="9">
        <v>33376.589999999997</v>
      </c>
      <c r="H4197" s="8">
        <v>10580</v>
      </c>
    </row>
    <row r="4198" spans="2:8" ht="17.5" customHeight="1" x14ac:dyDescent="0.4">
      <c r="B4198" t="s">
        <v>7</v>
      </c>
      <c r="C4198" t="s">
        <v>946</v>
      </c>
      <c r="D4198" s="7">
        <f>DATE(2011,6,8)</f>
        <v>40702</v>
      </c>
      <c r="E4198" s="8">
        <f t="shared" si="69"/>
        <v>2011</v>
      </c>
      <c r="F4198" t="s">
        <v>948</v>
      </c>
      <c r="G4198" s="9">
        <v>21636.080000000002</v>
      </c>
      <c r="H4198" s="8">
        <v>10790</v>
      </c>
    </row>
    <row r="4199" spans="2:8" ht="17.5" customHeight="1" x14ac:dyDescent="0.4">
      <c r="B4199" t="s">
        <v>7</v>
      </c>
      <c r="C4199" t="s">
        <v>946</v>
      </c>
      <c r="D4199" s="7">
        <f>DATE(2012,7,2)</f>
        <v>41092</v>
      </c>
      <c r="E4199" s="8">
        <f t="shared" si="69"/>
        <v>2012</v>
      </c>
      <c r="F4199" t="s">
        <v>948</v>
      </c>
      <c r="G4199" s="9">
        <v>49565.78</v>
      </c>
      <c r="H4199" s="8">
        <v>11701</v>
      </c>
    </row>
    <row r="4200" spans="2:8" ht="17.5" customHeight="1" x14ac:dyDescent="0.4">
      <c r="B4200" t="s">
        <v>7</v>
      </c>
      <c r="C4200" t="s">
        <v>946</v>
      </c>
      <c r="D4200" s="7">
        <f>DATE(2012,12,20)</f>
        <v>41263</v>
      </c>
      <c r="E4200" s="8">
        <f t="shared" si="69"/>
        <v>2012</v>
      </c>
      <c r="F4200" t="s">
        <v>948</v>
      </c>
      <c r="G4200" s="9">
        <v>43828.94</v>
      </c>
      <c r="H4200" s="8">
        <v>12047</v>
      </c>
    </row>
    <row r="4201" spans="2:8" ht="17.5" customHeight="1" x14ac:dyDescent="0.4">
      <c r="B4201" t="s">
        <v>7</v>
      </c>
      <c r="C4201" t="s">
        <v>946</v>
      </c>
      <c r="D4201" s="7">
        <f>DATE(2013,5,24)</f>
        <v>41418</v>
      </c>
      <c r="E4201" s="8">
        <f t="shared" si="69"/>
        <v>2013</v>
      </c>
      <c r="F4201" t="s">
        <v>948</v>
      </c>
      <c r="G4201" s="9">
        <v>35205.15</v>
      </c>
      <c r="H4201" s="8">
        <v>12356</v>
      </c>
    </row>
    <row r="4202" spans="2:8" ht="17.5" customHeight="1" x14ac:dyDescent="0.4">
      <c r="B4202" t="s">
        <v>7</v>
      </c>
      <c r="C4202" t="s">
        <v>946</v>
      </c>
      <c r="D4202" s="7">
        <f>DATE(2014,5,27)</f>
        <v>41786</v>
      </c>
      <c r="E4202" s="8">
        <f t="shared" si="69"/>
        <v>2014</v>
      </c>
      <c r="F4202" t="s">
        <v>948</v>
      </c>
      <c r="G4202" s="9">
        <v>34370.379999999997</v>
      </c>
      <c r="H4202" s="8">
        <v>13055</v>
      </c>
    </row>
    <row r="4203" spans="2:8" ht="17.5" customHeight="1" x14ac:dyDescent="0.4">
      <c r="B4203" t="s">
        <v>7</v>
      </c>
      <c r="C4203" t="s">
        <v>946</v>
      </c>
      <c r="D4203" s="7">
        <f>DATE(2010,7,21)</f>
        <v>40380</v>
      </c>
      <c r="E4203" s="8">
        <f t="shared" si="69"/>
        <v>2010</v>
      </c>
      <c r="F4203" t="s">
        <v>948</v>
      </c>
      <c r="G4203" s="9">
        <v>9384.82</v>
      </c>
      <c r="H4203" s="8">
        <v>9979</v>
      </c>
    </row>
    <row r="4204" spans="2:8" ht="17.5" customHeight="1" x14ac:dyDescent="0.4">
      <c r="B4204" t="s">
        <v>7</v>
      </c>
      <c r="C4204" t="s">
        <v>946</v>
      </c>
      <c r="D4204" s="7">
        <f>DATE(2010,7,21)</f>
        <v>40380</v>
      </c>
      <c r="E4204" s="8">
        <f t="shared" si="69"/>
        <v>2010</v>
      </c>
      <c r="F4204" t="s">
        <v>948</v>
      </c>
      <c r="G4204" s="9">
        <v>8427.83</v>
      </c>
      <c r="H4204" s="8">
        <v>9976</v>
      </c>
    </row>
    <row r="4205" spans="2:8" ht="17.5" customHeight="1" x14ac:dyDescent="0.4">
      <c r="B4205" t="s">
        <v>7</v>
      </c>
      <c r="C4205" t="s">
        <v>946</v>
      </c>
      <c r="D4205" s="7">
        <f>DATE(2012,8,23)</f>
        <v>41144</v>
      </c>
      <c r="E4205" s="8">
        <f t="shared" si="69"/>
        <v>2012</v>
      </c>
      <c r="F4205" t="s">
        <v>948</v>
      </c>
      <c r="G4205" s="9">
        <v>13616.91</v>
      </c>
      <c r="H4205" s="8">
        <v>11777</v>
      </c>
    </row>
    <row r="4206" spans="2:8" ht="17.5" customHeight="1" x14ac:dyDescent="0.4">
      <c r="B4206" t="s">
        <v>7</v>
      </c>
      <c r="C4206" t="s">
        <v>946</v>
      </c>
      <c r="D4206" s="7">
        <f>DATE(2012,8,23)</f>
        <v>41144</v>
      </c>
      <c r="E4206" s="8">
        <f t="shared" si="69"/>
        <v>2012</v>
      </c>
      <c r="F4206" t="s">
        <v>948</v>
      </c>
      <c r="G4206" s="9">
        <v>4683.12</v>
      </c>
      <c r="H4206" s="8">
        <v>11808</v>
      </c>
    </row>
    <row r="4207" spans="2:8" ht="17.5" customHeight="1" x14ac:dyDescent="0.4">
      <c r="B4207" t="s">
        <v>7</v>
      </c>
      <c r="C4207" t="s">
        <v>946</v>
      </c>
      <c r="D4207" s="7">
        <f>DATE(2013,2,6)</f>
        <v>41311</v>
      </c>
      <c r="E4207" s="8">
        <f t="shared" si="69"/>
        <v>2013</v>
      </c>
      <c r="F4207" t="s">
        <v>948</v>
      </c>
      <c r="G4207" s="9">
        <v>11736.62</v>
      </c>
      <c r="H4207" s="8">
        <v>12130</v>
      </c>
    </row>
    <row r="4208" spans="2:8" ht="17.5" customHeight="1" x14ac:dyDescent="0.4">
      <c r="B4208" t="s">
        <v>7</v>
      </c>
      <c r="C4208" t="s">
        <v>946</v>
      </c>
      <c r="D4208" s="7">
        <f>DATE(2014,4,18)</f>
        <v>41747</v>
      </c>
      <c r="E4208" s="8">
        <f t="shared" si="69"/>
        <v>2014</v>
      </c>
      <c r="F4208" t="s">
        <v>948</v>
      </c>
      <c r="G4208" s="9">
        <v>19392.34</v>
      </c>
      <c r="H4208" s="8">
        <v>13088</v>
      </c>
    </row>
    <row r="4209" spans="2:8" ht="17.5" customHeight="1" x14ac:dyDescent="0.4">
      <c r="B4209" t="s">
        <v>7</v>
      </c>
      <c r="C4209" t="s">
        <v>946</v>
      </c>
      <c r="D4209" s="7">
        <f>DATE(2015,1,8)</f>
        <v>42012</v>
      </c>
      <c r="E4209" s="8">
        <f t="shared" si="69"/>
        <v>2015</v>
      </c>
      <c r="F4209" t="s">
        <v>948</v>
      </c>
      <c r="G4209" s="9">
        <v>14319.28</v>
      </c>
      <c r="H4209" s="8">
        <v>13664</v>
      </c>
    </row>
    <row r="4210" spans="2:8" ht="17.5" customHeight="1" x14ac:dyDescent="0.4">
      <c r="B4210" t="s">
        <v>16</v>
      </c>
      <c r="C4210" t="s">
        <v>946</v>
      </c>
      <c r="D4210" s="7">
        <f>DATE(2005,7,21)</f>
        <v>38554</v>
      </c>
      <c r="E4210" s="8">
        <f t="shared" si="69"/>
        <v>2005</v>
      </c>
      <c r="F4210" t="s">
        <v>948</v>
      </c>
      <c r="G4210" s="9">
        <v>10173.59</v>
      </c>
      <c r="H4210" s="8">
        <v>3507</v>
      </c>
    </row>
    <row r="4211" spans="2:8" ht="17.5" customHeight="1" x14ac:dyDescent="0.4">
      <c r="B4211" t="s">
        <v>16</v>
      </c>
      <c r="C4211" t="s">
        <v>946</v>
      </c>
      <c r="D4211" s="7">
        <f>DATE(2010,6,12)</f>
        <v>40341</v>
      </c>
      <c r="E4211" s="8">
        <f t="shared" si="69"/>
        <v>2010</v>
      </c>
      <c r="F4211" t="s">
        <v>948</v>
      </c>
      <c r="G4211" s="9">
        <v>42646.39</v>
      </c>
      <c r="H4211" s="8">
        <v>9984</v>
      </c>
    </row>
    <row r="4212" spans="2:8" ht="17.5" customHeight="1" x14ac:dyDescent="0.4">
      <c r="B4212" s="3" t="s">
        <v>7</v>
      </c>
      <c r="C4212" s="3" t="s">
        <v>946</v>
      </c>
      <c r="D4212" s="4">
        <f>DATE(2007,5,14)</f>
        <v>39216</v>
      </c>
      <c r="E4212" s="5">
        <f t="shared" si="69"/>
        <v>2007</v>
      </c>
      <c r="F4212" s="3" t="s">
        <v>948</v>
      </c>
      <c r="G4212" s="6">
        <v>41.8</v>
      </c>
      <c r="H4212" s="5">
        <v>8565</v>
      </c>
    </row>
    <row r="4213" spans="2:8" ht="17.5" customHeight="1" x14ac:dyDescent="0.4">
      <c r="B4213" t="s">
        <v>7</v>
      </c>
      <c r="C4213" t="s">
        <v>946</v>
      </c>
      <c r="D4213" s="7">
        <f>DATE(2004,4,17)</f>
        <v>38094</v>
      </c>
      <c r="E4213" s="8">
        <f t="shared" si="69"/>
        <v>2004</v>
      </c>
      <c r="F4213" t="s">
        <v>949</v>
      </c>
      <c r="G4213" s="9">
        <v>29586.5</v>
      </c>
      <c r="H4213" s="8">
        <v>1222</v>
      </c>
    </row>
    <row r="4214" spans="2:8" ht="17.5" customHeight="1" x14ac:dyDescent="0.4">
      <c r="B4214" t="s">
        <v>7</v>
      </c>
      <c r="C4214" t="s">
        <v>946</v>
      </c>
      <c r="D4214" s="7">
        <f>DATE(2004,4,29)</f>
        <v>38106</v>
      </c>
      <c r="E4214" s="8">
        <f t="shared" si="69"/>
        <v>2004</v>
      </c>
      <c r="F4214" t="s">
        <v>949</v>
      </c>
      <c r="G4214" s="9">
        <v>172585.61</v>
      </c>
      <c r="H4214" s="8">
        <v>1230</v>
      </c>
    </row>
    <row r="4215" spans="2:8" ht="17.5" customHeight="1" x14ac:dyDescent="0.4">
      <c r="B4215" t="s">
        <v>7</v>
      </c>
      <c r="C4215" t="s">
        <v>946</v>
      </c>
      <c r="D4215" s="7">
        <f>DATE(2004,6,19)</f>
        <v>38157</v>
      </c>
      <c r="E4215" s="8">
        <f t="shared" si="69"/>
        <v>2004</v>
      </c>
      <c r="F4215" t="s">
        <v>949</v>
      </c>
      <c r="G4215" s="9">
        <v>44095.08</v>
      </c>
      <c r="H4215" s="8">
        <v>1771</v>
      </c>
    </row>
    <row r="4216" spans="2:8" ht="17.5" customHeight="1" x14ac:dyDescent="0.4">
      <c r="B4216" t="s">
        <v>7</v>
      </c>
      <c r="C4216" t="s">
        <v>946</v>
      </c>
      <c r="D4216" s="7">
        <f>DATE(2004,7,4)</f>
        <v>38172</v>
      </c>
      <c r="E4216" s="8">
        <f t="shared" si="69"/>
        <v>2004</v>
      </c>
      <c r="F4216" t="s">
        <v>949</v>
      </c>
      <c r="G4216" s="9">
        <v>30822.400000000001</v>
      </c>
      <c r="H4216" s="8">
        <v>1930</v>
      </c>
    </row>
    <row r="4217" spans="2:8" ht="17.5" customHeight="1" x14ac:dyDescent="0.4">
      <c r="B4217" t="s">
        <v>7</v>
      </c>
      <c r="C4217" t="s">
        <v>946</v>
      </c>
      <c r="D4217" s="7">
        <f>DATE(2004,9,24)</f>
        <v>38254</v>
      </c>
      <c r="E4217" s="8">
        <f t="shared" si="69"/>
        <v>2004</v>
      </c>
      <c r="F4217" t="s">
        <v>949</v>
      </c>
      <c r="G4217" s="9">
        <v>11268.91</v>
      </c>
      <c r="H4217" s="8">
        <v>2198</v>
      </c>
    </row>
    <row r="4218" spans="2:8" ht="17.5" customHeight="1" x14ac:dyDescent="0.4">
      <c r="B4218" t="s">
        <v>7</v>
      </c>
      <c r="C4218" t="s">
        <v>946</v>
      </c>
      <c r="D4218" s="7">
        <f>DATE(2005,3,14)</f>
        <v>38425</v>
      </c>
      <c r="E4218" s="8">
        <f t="shared" si="69"/>
        <v>2005</v>
      </c>
      <c r="F4218" t="s">
        <v>949</v>
      </c>
      <c r="G4218" s="9">
        <v>32409.599999999999</v>
      </c>
      <c r="H4218" s="8">
        <v>2908</v>
      </c>
    </row>
    <row r="4219" spans="2:8" ht="17.5" customHeight="1" x14ac:dyDescent="0.4">
      <c r="B4219" t="s">
        <v>7</v>
      </c>
      <c r="C4219" t="s">
        <v>946</v>
      </c>
      <c r="D4219" s="7">
        <f>DATE(2007,7,20)</f>
        <v>39283</v>
      </c>
      <c r="E4219" s="8">
        <f t="shared" si="69"/>
        <v>2007</v>
      </c>
      <c r="F4219" t="s">
        <v>949</v>
      </c>
      <c r="G4219" s="9">
        <v>20148</v>
      </c>
      <c r="H4219" s="8">
        <v>6177</v>
      </c>
    </row>
    <row r="4220" spans="2:8" ht="17.5" customHeight="1" x14ac:dyDescent="0.4">
      <c r="B4220" t="s">
        <v>7</v>
      </c>
      <c r="C4220" t="s">
        <v>946</v>
      </c>
      <c r="D4220" s="7">
        <f>DATE(2007,8,5)</f>
        <v>39299</v>
      </c>
      <c r="E4220" s="8">
        <f t="shared" si="69"/>
        <v>2007</v>
      </c>
      <c r="F4220" t="s">
        <v>949</v>
      </c>
      <c r="G4220" s="9">
        <v>52162</v>
      </c>
      <c r="H4220" s="8">
        <v>6238</v>
      </c>
    </row>
    <row r="4221" spans="2:8" ht="17.5" customHeight="1" x14ac:dyDescent="0.4">
      <c r="B4221" t="s">
        <v>7</v>
      </c>
      <c r="C4221" t="s">
        <v>946</v>
      </c>
      <c r="D4221" s="7">
        <f>DATE(2008,5,12)</f>
        <v>39580</v>
      </c>
      <c r="E4221" s="8">
        <f t="shared" si="69"/>
        <v>2008</v>
      </c>
      <c r="F4221" t="s">
        <v>949</v>
      </c>
      <c r="G4221" s="9">
        <v>42030.76</v>
      </c>
      <c r="H4221" s="8">
        <v>6627</v>
      </c>
    </row>
    <row r="4222" spans="2:8" ht="17.5" customHeight="1" x14ac:dyDescent="0.4">
      <c r="B4222" s="3" t="s">
        <v>7</v>
      </c>
      <c r="C4222" s="3" t="s">
        <v>950</v>
      </c>
      <c r="D4222" s="4">
        <f>DATE(2007,11,30)</f>
        <v>39416</v>
      </c>
      <c r="E4222" s="5">
        <f t="shared" si="69"/>
        <v>2007</v>
      </c>
      <c r="F4222" s="3" t="s">
        <v>951</v>
      </c>
      <c r="G4222" s="6">
        <v>8268.15</v>
      </c>
      <c r="H4222" s="5">
        <v>9539</v>
      </c>
    </row>
    <row r="4223" spans="2:8" ht="17.5" customHeight="1" x14ac:dyDescent="0.4">
      <c r="B4223" s="3" t="s">
        <v>7</v>
      </c>
      <c r="C4223" s="3" t="s">
        <v>950</v>
      </c>
      <c r="D4223" s="4">
        <f>DATE(2007,12,19)</f>
        <v>39435</v>
      </c>
      <c r="E4223" s="5">
        <f t="shared" si="69"/>
        <v>2007</v>
      </c>
      <c r="F4223" s="3" t="s">
        <v>951</v>
      </c>
      <c r="G4223" s="6">
        <v>8268.2999999999993</v>
      </c>
      <c r="H4223" s="5">
        <v>9620</v>
      </c>
    </row>
    <row r="4224" spans="2:8" ht="17.5" customHeight="1" x14ac:dyDescent="0.4">
      <c r="B4224" s="3" t="s">
        <v>7</v>
      </c>
      <c r="C4224" s="3" t="s">
        <v>950</v>
      </c>
      <c r="D4224" s="4">
        <f>DATE(2008,1,18)</f>
        <v>39465</v>
      </c>
      <c r="E4224" s="5">
        <f t="shared" si="69"/>
        <v>2008</v>
      </c>
      <c r="F4224" s="3" t="s">
        <v>951</v>
      </c>
      <c r="G4224" s="6">
        <v>2293.27</v>
      </c>
      <c r="H4224" s="5">
        <v>9761</v>
      </c>
    </row>
    <row r="4225" spans="2:8" ht="17.5" customHeight="1" x14ac:dyDescent="0.4">
      <c r="B4225" s="3" t="s">
        <v>7</v>
      </c>
      <c r="C4225" s="3" t="s">
        <v>950</v>
      </c>
      <c r="D4225" s="4">
        <f>DATE(2008,4,10)</f>
        <v>39548</v>
      </c>
      <c r="E4225" s="5">
        <f t="shared" si="69"/>
        <v>2008</v>
      </c>
      <c r="F4225" s="3" t="s">
        <v>951</v>
      </c>
      <c r="G4225" s="6">
        <v>510</v>
      </c>
      <c r="H4225" s="5">
        <v>10418</v>
      </c>
    </row>
    <row r="4226" spans="2:8" ht="17.5" customHeight="1" x14ac:dyDescent="0.4">
      <c r="B4226" s="3" t="s">
        <v>7</v>
      </c>
      <c r="C4226" s="3" t="s">
        <v>950</v>
      </c>
      <c r="D4226" s="4">
        <f>DATE(2008,6,1)</f>
        <v>39600</v>
      </c>
      <c r="E4226" s="5">
        <f t="shared" si="69"/>
        <v>2008</v>
      </c>
      <c r="F4226" s="3" t="s">
        <v>951</v>
      </c>
      <c r="G4226" s="6">
        <v>9251.9599999999991</v>
      </c>
      <c r="H4226" s="5">
        <v>10114</v>
      </c>
    </row>
    <row r="4227" spans="2:8" ht="17.5" customHeight="1" x14ac:dyDescent="0.4">
      <c r="B4227" t="s">
        <v>7</v>
      </c>
      <c r="C4227" t="s">
        <v>950</v>
      </c>
      <c r="D4227" s="7">
        <f>DATE(2017,4,18)</f>
        <v>42843</v>
      </c>
      <c r="E4227" s="8">
        <f t="shared" ref="E4227:E4290" si="70">YEAR(D4227)</f>
        <v>2017</v>
      </c>
      <c r="F4227" t="s">
        <v>952</v>
      </c>
      <c r="G4227" s="9">
        <v>5205.8</v>
      </c>
      <c r="H4227" s="8">
        <v>24780</v>
      </c>
    </row>
    <row r="4228" spans="2:8" ht="17.5" customHeight="1" x14ac:dyDescent="0.4">
      <c r="B4228" t="s">
        <v>7</v>
      </c>
      <c r="C4228" t="s">
        <v>950</v>
      </c>
      <c r="D4228" s="7">
        <f>DATE(2013,12,6)</f>
        <v>41614</v>
      </c>
      <c r="E4228" s="8">
        <f t="shared" si="70"/>
        <v>2013</v>
      </c>
      <c r="F4228" t="s">
        <v>952</v>
      </c>
      <c r="G4228" s="9">
        <v>11965.3</v>
      </c>
      <c r="H4228" s="8">
        <v>12797</v>
      </c>
    </row>
    <row r="4229" spans="2:8" ht="17.5" customHeight="1" x14ac:dyDescent="0.4">
      <c r="B4229" s="3" t="s">
        <v>7</v>
      </c>
      <c r="C4229" s="3" t="s">
        <v>950</v>
      </c>
      <c r="D4229" s="4">
        <f>DATE(2003,7,16)</f>
        <v>37818</v>
      </c>
      <c r="E4229" s="5">
        <f t="shared" si="70"/>
        <v>2003</v>
      </c>
      <c r="F4229" s="3" t="s">
        <v>952</v>
      </c>
      <c r="G4229" s="6">
        <v>308.25</v>
      </c>
      <c r="H4229" s="5">
        <v>1214</v>
      </c>
    </row>
    <row r="4230" spans="2:8" ht="17.5" customHeight="1" x14ac:dyDescent="0.4">
      <c r="B4230" s="3" t="s">
        <v>7</v>
      </c>
      <c r="C4230" s="3" t="s">
        <v>950</v>
      </c>
      <c r="D4230" s="4">
        <f>DATE(2003,12,11)</f>
        <v>37966</v>
      </c>
      <c r="E4230" s="5">
        <f t="shared" si="70"/>
        <v>2003</v>
      </c>
      <c r="F4230" s="3" t="s">
        <v>952</v>
      </c>
      <c r="G4230" s="6">
        <v>4414.66</v>
      </c>
      <c r="H4230" s="5">
        <v>1275</v>
      </c>
    </row>
    <row r="4231" spans="2:8" ht="17.5" customHeight="1" x14ac:dyDescent="0.4">
      <c r="B4231" s="3" t="s">
        <v>7</v>
      </c>
      <c r="C4231" s="3" t="s">
        <v>950</v>
      </c>
      <c r="D4231" s="4">
        <f>DATE(2004,3,25)</f>
        <v>38071</v>
      </c>
      <c r="E4231" s="5">
        <f t="shared" si="70"/>
        <v>2004</v>
      </c>
      <c r="F4231" s="3" t="s">
        <v>952</v>
      </c>
      <c r="G4231" s="6">
        <v>587</v>
      </c>
      <c r="H4231" s="5">
        <v>2463</v>
      </c>
    </row>
    <row r="4232" spans="2:8" ht="17.5" customHeight="1" x14ac:dyDescent="0.4">
      <c r="B4232" s="3" t="s">
        <v>7</v>
      </c>
      <c r="C4232" s="3" t="s">
        <v>950</v>
      </c>
      <c r="D4232" s="4">
        <f>DATE(2004,12,14)</f>
        <v>38335</v>
      </c>
      <c r="E4232" s="5">
        <f t="shared" si="70"/>
        <v>2004</v>
      </c>
      <c r="F4232" s="3" t="s">
        <v>952</v>
      </c>
      <c r="G4232" s="6">
        <v>4504.62</v>
      </c>
      <c r="H4232" s="5">
        <v>3817</v>
      </c>
    </row>
    <row r="4233" spans="2:8" ht="17.5" customHeight="1" x14ac:dyDescent="0.4">
      <c r="B4233" s="3" t="s">
        <v>7</v>
      </c>
      <c r="C4233" s="3" t="s">
        <v>950</v>
      </c>
      <c r="D4233" s="4">
        <f>DATE(2006,1,26)</f>
        <v>38743</v>
      </c>
      <c r="E4233" s="5">
        <f t="shared" si="70"/>
        <v>2006</v>
      </c>
      <c r="F4233" s="3" t="s">
        <v>952</v>
      </c>
      <c r="G4233" s="6">
        <v>2846.75</v>
      </c>
      <c r="H4233" s="5">
        <v>5921</v>
      </c>
    </row>
    <row r="4234" spans="2:8" ht="17.5" customHeight="1" x14ac:dyDescent="0.4">
      <c r="B4234" s="3" t="s">
        <v>7</v>
      </c>
      <c r="C4234" s="3" t="s">
        <v>950</v>
      </c>
      <c r="D4234" s="4">
        <f>DATE(2006,3,9)</f>
        <v>38785</v>
      </c>
      <c r="E4234" s="5">
        <f t="shared" si="70"/>
        <v>2006</v>
      </c>
      <c r="F4234" s="3" t="s">
        <v>952</v>
      </c>
      <c r="G4234" s="6">
        <v>5302.91</v>
      </c>
      <c r="H4234" s="5">
        <v>6238</v>
      </c>
    </row>
    <row r="4235" spans="2:8" ht="17.5" customHeight="1" x14ac:dyDescent="0.4">
      <c r="B4235" s="3" t="s">
        <v>7</v>
      </c>
      <c r="C4235" s="3" t="s">
        <v>950</v>
      </c>
      <c r="D4235" s="4">
        <f>DATE(2006,8,1)</f>
        <v>38930</v>
      </c>
      <c r="E4235" s="5">
        <f t="shared" si="70"/>
        <v>2006</v>
      </c>
      <c r="F4235" s="3" t="s">
        <v>952</v>
      </c>
      <c r="G4235" s="6">
        <v>4141.78</v>
      </c>
      <c r="H4235" s="5">
        <v>6973</v>
      </c>
    </row>
    <row r="4236" spans="2:8" ht="17.5" customHeight="1" x14ac:dyDescent="0.4">
      <c r="B4236" s="3" t="s">
        <v>7</v>
      </c>
      <c r="C4236" s="3" t="s">
        <v>950</v>
      </c>
      <c r="D4236" s="4">
        <f>DATE(2007,3,5)</f>
        <v>39146</v>
      </c>
      <c r="E4236" s="5">
        <f t="shared" si="70"/>
        <v>2007</v>
      </c>
      <c r="F4236" s="3" t="s">
        <v>952</v>
      </c>
      <c r="G4236" s="6">
        <v>503</v>
      </c>
      <c r="H4236" s="5">
        <v>8060</v>
      </c>
    </row>
    <row r="4237" spans="2:8" ht="17.5" customHeight="1" x14ac:dyDescent="0.4">
      <c r="B4237" s="3" t="s">
        <v>7</v>
      </c>
      <c r="C4237" s="3" t="s">
        <v>950</v>
      </c>
      <c r="D4237" s="4">
        <f>DATE(2008,6,26)</f>
        <v>39625</v>
      </c>
      <c r="E4237" s="5">
        <f t="shared" si="70"/>
        <v>2008</v>
      </c>
      <c r="F4237" s="3" t="s">
        <v>952</v>
      </c>
      <c r="G4237" s="6">
        <v>426.54</v>
      </c>
      <c r="H4237" s="5">
        <v>10886</v>
      </c>
    </row>
    <row r="4238" spans="2:8" ht="17.5" customHeight="1" x14ac:dyDescent="0.4">
      <c r="B4238" s="3" t="s">
        <v>7</v>
      </c>
      <c r="C4238" s="3" t="s">
        <v>950</v>
      </c>
      <c r="D4238" s="4">
        <f>DATE(2008,12,22)</f>
        <v>39804</v>
      </c>
      <c r="E4238" s="5">
        <f t="shared" si="70"/>
        <v>2008</v>
      </c>
      <c r="F4238" s="3" t="s">
        <v>952</v>
      </c>
      <c r="G4238" s="6">
        <v>45499.07</v>
      </c>
      <c r="H4238" s="5">
        <v>11698</v>
      </c>
    </row>
    <row r="4239" spans="2:8" ht="17.5" customHeight="1" x14ac:dyDescent="0.4">
      <c r="B4239" s="3" t="s">
        <v>7</v>
      </c>
      <c r="C4239" s="3" t="s">
        <v>950</v>
      </c>
      <c r="D4239" s="4">
        <f>DATE(2009,2,16)</f>
        <v>39860</v>
      </c>
      <c r="E4239" s="5">
        <f t="shared" si="70"/>
        <v>2009</v>
      </c>
      <c r="F4239" s="3" t="s">
        <v>952</v>
      </c>
      <c r="G4239" s="6">
        <v>444</v>
      </c>
      <c r="H4239" s="5">
        <v>11979</v>
      </c>
    </row>
    <row r="4240" spans="2:8" ht="17.5" customHeight="1" x14ac:dyDescent="0.4">
      <c r="B4240" s="3" t="s">
        <v>7</v>
      </c>
      <c r="C4240" s="3" t="s">
        <v>950</v>
      </c>
      <c r="D4240" s="4">
        <f>DATE(2010,1,21)</f>
        <v>40199</v>
      </c>
      <c r="E4240" s="5">
        <f t="shared" si="70"/>
        <v>2010</v>
      </c>
      <c r="F4240" s="3" t="s">
        <v>952</v>
      </c>
      <c r="G4240" s="6">
        <v>1550.11</v>
      </c>
      <c r="H4240" s="5">
        <v>13441</v>
      </c>
    </row>
    <row r="4241" spans="2:8" ht="17.5" customHeight="1" x14ac:dyDescent="0.4">
      <c r="B4241" s="3" t="s">
        <v>7</v>
      </c>
      <c r="C4241" s="3" t="s">
        <v>950</v>
      </c>
      <c r="D4241" s="4">
        <f>DATE(2011,2,8)</f>
        <v>40582</v>
      </c>
      <c r="E4241" s="5">
        <f t="shared" si="70"/>
        <v>2011</v>
      </c>
      <c r="F4241" s="3" t="s">
        <v>952</v>
      </c>
      <c r="G4241" s="6">
        <v>5605.82</v>
      </c>
      <c r="H4241" s="5">
        <v>15028</v>
      </c>
    </row>
    <row r="4242" spans="2:8" ht="17.5" customHeight="1" x14ac:dyDescent="0.4">
      <c r="B4242" s="3" t="s">
        <v>7</v>
      </c>
      <c r="C4242" s="3" t="s">
        <v>950</v>
      </c>
      <c r="D4242" s="4">
        <f>DATE(2011,2,10)</f>
        <v>40584</v>
      </c>
      <c r="E4242" s="5">
        <f t="shared" si="70"/>
        <v>2011</v>
      </c>
      <c r="F4242" s="3" t="s">
        <v>952</v>
      </c>
      <c r="G4242" s="6">
        <v>2615</v>
      </c>
      <c r="H4242" s="5">
        <v>15047</v>
      </c>
    </row>
    <row r="4243" spans="2:8" ht="17.5" customHeight="1" x14ac:dyDescent="0.4">
      <c r="B4243" s="3" t="s">
        <v>7</v>
      </c>
      <c r="C4243" s="3" t="s">
        <v>950</v>
      </c>
      <c r="D4243" s="4">
        <f>DATE(2011,2,11)</f>
        <v>40585</v>
      </c>
      <c r="E4243" s="5">
        <f t="shared" si="70"/>
        <v>2011</v>
      </c>
      <c r="F4243" s="3" t="s">
        <v>952</v>
      </c>
      <c r="G4243" s="6">
        <v>5807.4</v>
      </c>
      <c r="H4243" s="5">
        <v>15048</v>
      </c>
    </row>
    <row r="4244" spans="2:8" ht="17.5" customHeight="1" x14ac:dyDescent="0.4">
      <c r="B4244" s="3" t="s">
        <v>7</v>
      </c>
      <c r="C4244" s="3" t="s">
        <v>950</v>
      </c>
      <c r="D4244" s="4">
        <f>DATE(2011,2,14)</f>
        <v>40588</v>
      </c>
      <c r="E4244" s="5">
        <f t="shared" si="70"/>
        <v>2011</v>
      </c>
      <c r="F4244" s="3" t="s">
        <v>952</v>
      </c>
      <c r="G4244" s="6">
        <v>2886.1</v>
      </c>
      <c r="H4244" s="5">
        <v>15049</v>
      </c>
    </row>
    <row r="4245" spans="2:8" ht="17.5" customHeight="1" x14ac:dyDescent="0.4">
      <c r="B4245" s="3" t="s">
        <v>7</v>
      </c>
      <c r="C4245" s="3" t="s">
        <v>950</v>
      </c>
      <c r="D4245" s="4">
        <f>DATE(2011,2,16)</f>
        <v>40590</v>
      </c>
      <c r="E4245" s="5">
        <f t="shared" si="70"/>
        <v>2011</v>
      </c>
      <c r="F4245" s="3" t="s">
        <v>952</v>
      </c>
      <c r="G4245" s="6">
        <v>2869.6</v>
      </c>
      <c r="H4245" s="5">
        <v>15049</v>
      </c>
    </row>
    <row r="4246" spans="2:8" ht="17.5" customHeight="1" x14ac:dyDescent="0.4">
      <c r="B4246" s="3" t="s">
        <v>7</v>
      </c>
      <c r="C4246" s="3" t="s">
        <v>950</v>
      </c>
      <c r="D4246" s="4">
        <f>DATE(2011,6,6)</f>
        <v>40700</v>
      </c>
      <c r="E4246" s="5">
        <f t="shared" si="70"/>
        <v>2011</v>
      </c>
      <c r="F4246" s="3" t="s">
        <v>952</v>
      </c>
      <c r="G4246" s="6">
        <v>514</v>
      </c>
      <c r="H4246" s="5">
        <v>15662</v>
      </c>
    </row>
    <row r="4247" spans="2:8" ht="17.5" customHeight="1" x14ac:dyDescent="0.4">
      <c r="B4247" s="3" t="s">
        <v>7</v>
      </c>
      <c r="C4247" s="3" t="s">
        <v>950</v>
      </c>
      <c r="D4247" s="4">
        <f>DATE(2013,3,13)</f>
        <v>41346</v>
      </c>
      <c r="E4247" s="5">
        <f t="shared" si="70"/>
        <v>2013</v>
      </c>
      <c r="F4247" s="3" t="s">
        <v>952</v>
      </c>
      <c r="G4247" s="6">
        <v>1349.56</v>
      </c>
      <c r="H4247" s="5">
        <v>18299</v>
      </c>
    </row>
    <row r="4248" spans="2:8" ht="17.5" customHeight="1" x14ac:dyDescent="0.4">
      <c r="B4248" s="3" t="s">
        <v>16</v>
      </c>
      <c r="C4248" s="3" t="s">
        <v>950</v>
      </c>
      <c r="D4248" s="4">
        <f>DATE(2008,6,13)</f>
        <v>39612</v>
      </c>
      <c r="E4248" s="5">
        <f t="shared" si="70"/>
        <v>2008</v>
      </c>
      <c r="F4248" s="3" t="s">
        <v>952</v>
      </c>
      <c r="G4248" s="6">
        <v>8542.5</v>
      </c>
      <c r="H4248" s="5">
        <v>10844</v>
      </c>
    </row>
    <row r="4249" spans="2:8" ht="17.5" customHeight="1" x14ac:dyDescent="0.4">
      <c r="B4249" t="s">
        <v>7</v>
      </c>
      <c r="C4249" t="s">
        <v>953</v>
      </c>
      <c r="D4249" s="7">
        <f>DATE(2015,4,9)</f>
        <v>42103</v>
      </c>
      <c r="E4249" s="8">
        <f t="shared" si="70"/>
        <v>2015</v>
      </c>
      <c r="F4249" t="s">
        <v>954</v>
      </c>
      <c r="G4249" s="9">
        <v>7810.42</v>
      </c>
      <c r="H4249" s="8">
        <v>20336</v>
      </c>
    </row>
    <row r="4250" spans="2:8" ht="17.5" customHeight="1" x14ac:dyDescent="0.4">
      <c r="B4250" t="s">
        <v>7</v>
      </c>
      <c r="C4250" t="s">
        <v>953</v>
      </c>
      <c r="D4250" s="7">
        <f>DATE(2017,11,17)</f>
        <v>43056</v>
      </c>
      <c r="E4250" s="8">
        <f t="shared" si="70"/>
        <v>2017</v>
      </c>
      <c r="F4250" t="s">
        <v>954</v>
      </c>
      <c r="G4250" s="9">
        <v>8728.6299999999992</v>
      </c>
      <c r="H4250" s="8">
        <v>25731</v>
      </c>
    </row>
    <row r="4251" spans="2:8" ht="17.5" customHeight="1" x14ac:dyDescent="0.4">
      <c r="B4251" t="s">
        <v>7</v>
      </c>
      <c r="C4251" t="s">
        <v>955</v>
      </c>
      <c r="D4251" s="7">
        <f>DATE(2008,2,22)</f>
        <v>39500</v>
      </c>
      <c r="E4251" s="8">
        <f t="shared" si="70"/>
        <v>2008</v>
      </c>
      <c r="F4251" t="s">
        <v>956</v>
      </c>
      <c r="G4251" s="9">
        <v>5200</v>
      </c>
      <c r="H4251" s="8">
        <v>6915</v>
      </c>
    </row>
    <row r="4252" spans="2:8" ht="17.5" customHeight="1" x14ac:dyDescent="0.4">
      <c r="B4252" t="s">
        <v>7</v>
      </c>
      <c r="C4252" t="s">
        <v>955</v>
      </c>
      <c r="D4252" s="7">
        <f>DATE(2010,3,19)</f>
        <v>40256</v>
      </c>
      <c r="E4252" s="8">
        <f t="shared" si="70"/>
        <v>2010</v>
      </c>
      <c r="F4252" t="s">
        <v>956</v>
      </c>
      <c r="G4252" s="9">
        <v>5600</v>
      </c>
      <c r="H4252" s="8">
        <v>9457</v>
      </c>
    </row>
    <row r="4253" spans="2:8" ht="17.5" customHeight="1" x14ac:dyDescent="0.4">
      <c r="B4253" s="3" t="s">
        <v>7</v>
      </c>
      <c r="C4253" s="3" t="s">
        <v>957</v>
      </c>
      <c r="D4253" s="4">
        <f>DATE(2007,11,8)</f>
        <v>39394</v>
      </c>
      <c r="E4253" s="5">
        <f t="shared" si="70"/>
        <v>2007</v>
      </c>
      <c r="F4253" s="3" t="s">
        <v>958</v>
      </c>
      <c r="G4253" s="6">
        <v>3493.8</v>
      </c>
      <c r="H4253" s="5">
        <v>9424</v>
      </c>
    </row>
    <row r="4254" spans="2:8" ht="17.5" customHeight="1" x14ac:dyDescent="0.4">
      <c r="B4254" s="3" t="s">
        <v>7</v>
      </c>
      <c r="C4254" s="3" t="s">
        <v>957</v>
      </c>
      <c r="D4254" s="4">
        <f>DATE(2008,2,27)</f>
        <v>39505</v>
      </c>
      <c r="E4254" s="5">
        <f t="shared" si="70"/>
        <v>2008</v>
      </c>
      <c r="F4254" s="3" t="s">
        <v>958</v>
      </c>
      <c r="G4254" s="6">
        <v>1520</v>
      </c>
      <c r="H4254" s="5">
        <v>10019</v>
      </c>
    </row>
    <row r="4255" spans="2:8" ht="17.5" customHeight="1" x14ac:dyDescent="0.4">
      <c r="B4255" t="s">
        <v>7</v>
      </c>
      <c r="C4255" t="s">
        <v>957</v>
      </c>
      <c r="D4255" s="7">
        <f>DATE(2015,6,30)</f>
        <v>42185</v>
      </c>
      <c r="E4255" s="8">
        <f t="shared" si="70"/>
        <v>2015</v>
      </c>
      <c r="F4255" t="s">
        <v>959</v>
      </c>
      <c r="G4255" s="9">
        <v>390179.08</v>
      </c>
      <c r="H4255" s="8">
        <v>211</v>
      </c>
    </row>
    <row r="4256" spans="2:8" ht="17.5" customHeight="1" x14ac:dyDescent="0.4">
      <c r="B4256" t="s">
        <v>7</v>
      </c>
      <c r="C4256" t="s">
        <v>957</v>
      </c>
      <c r="D4256" s="7">
        <f>DATE(2017,6,28)</f>
        <v>42914</v>
      </c>
      <c r="E4256" s="8">
        <f t="shared" si="70"/>
        <v>2017</v>
      </c>
      <c r="F4256" t="s">
        <v>959</v>
      </c>
      <c r="G4256" s="9">
        <v>488286.33</v>
      </c>
      <c r="H4256" s="8">
        <v>24003</v>
      </c>
    </row>
    <row r="4257" spans="2:8" ht="17.5" customHeight="1" x14ac:dyDescent="0.4">
      <c r="B4257" t="s">
        <v>7</v>
      </c>
      <c r="C4257" t="s">
        <v>957</v>
      </c>
      <c r="D4257" s="7">
        <f>DATE(2015,5,14)</f>
        <v>42138</v>
      </c>
      <c r="E4257" s="8">
        <f t="shared" si="70"/>
        <v>2015</v>
      </c>
      <c r="F4257" t="s">
        <v>959</v>
      </c>
      <c r="G4257" s="9">
        <v>5464.14</v>
      </c>
      <c r="H4257" s="8">
        <v>20501</v>
      </c>
    </row>
    <row r="4258" spans="2:8" ht="17.5" customHeight="1" x14ac:dyDescent="0.4">
      <c r="B4258" t="s">
        <v>7</v>
      </c>
      <c r="C4258" t="s">
        <v>957</v>
      </c>
      <c r="D4258" s="7">
        <f>DATE(2015,5,21)</f>
        <v>42145</v>
      </c>
      <c r="E4258" s="8">
        <f t="shared" si="70"/>
        <v>2015</v>
      </c>
      <c r="F4258" t="s">
        <v>959</v>
      </c>
      <c r="G4258" s="9">
        <v>10815.71</v>
      </c>
      <c r="H4258" s="8">
        <v>20650</v>
      </c>
    </row>
    <row r="4259" spans="2:8" ht="17.5" customHeight="1" x14ac:dyDescent="0.4">
      <c r="B4259" t="s">
        <v>7</v>
      </c>
      <c r="C4259" t="s">
        <v>957</v>
      </c>
      <c r="D4259" s="7">
        <f>DATE(2015,5,28)</f>
        <v>42152</v>
      </c>
      <c r="E4259" s="8">
        <f t="shared" si="70"/>
        <v>2015</v>
      </c>
      <c r="F4259" t="s">
        <v>959</v>
      </c>
      <c r="G4259" s="9">
        <v>823.08</v>
      </c>
      <c r="H4259" s="8">
        <v>20566</v>
      </c>
    </row>
    <row r="4260" spans="2:8" ht="17.5" customHeight="1" x14ac:dyDescent="0.4">
      <c r="B4260" t="s">
        <v>7</v>
      </c>
      <c r="C4260" t="s">
        <v>957</v>
      </c>
      <c r="D4260" s="7">
        <f>DATE(2018,9,17)</f>
        <v>43360</v>
      </c>
      <c r="E4260" s="8">
        <f t="shared" si="70"/>
        <v>2018</v>
      </c>
      <c r="F4260" t="s">
        <v>959</v>
      </c>
      <c r="G4260" s="9">
        <v>1031.7</v>
      </c>
      <c r="H4260" s="8">
        <v>27641</v>
      </c>
    </row>
    <row r="4261" spans="2:8" ht="17.5" customHeight="1" x14ac:dyDescent="0.4">
      <c r="B4261" t="s">
        <v>7</v>
      </c>
      <c r="C4261" t="s">
        <v>957</v>
      </c>
      <c r="D4261" s="7">
        <f>DATE(2018,12,21)</f>
        <v>43455</v>
      </c>
      <c r="E4261" s="8">
        <f t="shared" si="70"/>
        <v>2018</v>
      </c>
      <c r="F4261" t="s">
        <v>959</v>
      </c>
      <c r="G4261" s="9">
        <v>16601.599999999999</v>
      </c>
      <c r="H4261" s="8">
        <v>27981</v>
      </c>
    </row>
    <row r="4262" spans="2:8" ht="17.5" customHeight="1" x14ac:dyDescent="0.4">
      <c r="B4262" t="s">
        <v>7</v>
      </c>
      <c r="C4262" t="s">
        <v>957</v>
      </c>
      <c r="D4262" s="7">
        <f>DATE(2019,1,8)</f>
        <v>43473</v>
      </c>
      <c r="E4262" s="8">
        <f t="shared" si="70"/>
        <v>2019</v>
      </c>
      <c r="F4262" t="s">
        <v>959</v>
      </c>
      <c r="G4262" s="9">
        <v>15945.66</v>
      </c>
      <c r="H4262" s="8">
        <v>28198</v>
      </c>
    </row>
    <row r="4263" spans="2:8" ht="17.5" customHeight="1" x14ac:dyDescent="0.4">
      <c r="B4263" t="s">
        <v>7</v>
      </c>
      <c r="C4263" t="s">
        <v>957</v>
      </c>
      <c r="D4263" s="7">
        <f>DATE(2019,4,29)</f>
        <v>43584</v>
      </c>
      <c r="E4263" s="8">
        <f t="shared" si="70"/>
        <v>2019</v>
      </c>
      <c r="F4263" t="s">
        <v>959</v>
      </c>
      <c r="G4263" s="9">
        <v>24262.69</v>
      </c>
      <c r="H4263" s="8">
        <v>28565</v>
      </c>
    </row>
    <row r="4264" spans="2:8" ht="17.5" customHeight="1" x14ac:dyDescent="0.4">
      <c r="B4264" t="s">
        <v>7</v>
      </c>
      <c r="C4264" t="s">
        <v>957</v>
      </c>
      <c r="D4264" s="7">
        <f>DATE(2019,4,22)</f>
        <v>43577</v>
      </c>
      <c r="E4264" s="8">
        <f t="shared" si="70"/>
        <v>2019</v>
      </c>
      <c r="F4264" t="s">
        <v>959</v>
      </c>
      <c r="G4264" s="9">
        <v>17496.29</v>
      </c>
      <c r="H4264" s="8">
        <v>28815</v>
      </c>
    </row>
    <row r="4265" spans="2:8" ht="17.5" customHeight="1" x14ac:dyDescent="0.4">
      <c r="B4265" t="s">
        <v>16</v>
      </c>
      <c r="C4265" t="s">
        <v>957</v>
      </c>
      <c r="D4265" s="7">
        <f>DATE(2019,1,8)</f>
        <v>43473</v>
      </c>
      <c r="E4265" s="8">
        <f t="shared" si="70"/>
        <v>2019</v>
      </c>
      <c r="F4265" t="s">
        <v>959</v>
      </c>
      <c r="G4265" s="9">
        <v>16601.599999999999</v>
      </c>
      <c r="H4265" s="8">
        <v>28200</v>
      </c>
    </row>
    <row r="4266" spans="2:8" ht="17.5" customHeight="1" x14ac:dyDescent="0.4">
      <c r="B4266" t="s">
        <v>16</v>
      </c>
      <c r="C4266" t="s">
        <v>957</v>
      </c>
      <c r="D4266" s="7">
        <f>DATE(2019,5,9)</f>
        <v>43594</v>
      </c>
      <c r="E4266" s="8">
        <f t="shared" si="70"/>
        <v>2019</v>
      </c>
      <c r="F4266" t="s">
        <v>959</v>
      </c>
      <c r="G4266" s="9">
        <v>1385.52</v>
      </c>
      <c r="H4266" s="8">
        <v>28992</v>
      </c>
    </row>
    <row r="4267" spans="2:8" ht="17.5" customHeight="1" x14ac:dyDescent="0.4">
      <c r="B4267" t="s">
        <v>16</v>
      </c>
      <c r="C4267" t="s">
        <v>957</v>
      </c>
      <c r="D4267" s="7">
        <f>DATE(2019,5,9)</f>
        <v>43594</v>
      </c>
      <c r="E4267" s="8">
        <f t="shared" si="70"/>
        <v>2019</v>
      </c>
      <c r="F4267" t="s">
        <v>959</v>
      </c>
      <c r="G4267" s="9">
        <v>1921.37</v>
      </c>
      <c r="H4267" s="8">
        <v>28993</v>
      </c>
    </row>
    <row r="4268" spans="2:8" ht="17.5" customHeight="1" x14ac:dyDescent="0.4">
      <c r="B4268" t="s">
        <v>7</v>
      </c>
      <c r="C4268" t="s">
        <v>957</v>
      </c>
      <c r="D4268" s="7">
        <f>DATE(2004,5,21)</f>
        <v>38128</v>
      </c>
      <c r="E4268" s="8">
        <f t="shared" si="70"/>
        <v>2004</v>
      </c>
      <c r="F4268" t="s">
        <v>959</v>
      </c>
      <c r="G4268" s="9">
        <v>1322</v>
      </c>
      <c r="H4268" s="8">
        <v>1767</v>
      </c>
    </row>
    <row r="4269" spans="2:8" ht="17.5" customHeight="1" x14ac:dyDescent="0.4">
      <c r="B4269" t="s">
        <v>7</v>
      </c>
      <c r="C4269" t="s">
        <v>957</v>
      </c>
      <c r="D4269" s="7">
        <f>DATE(2004,6,29)</f>
        <v>38167</v>
      </c>
      <c r="E4269" s="8">
        <f t="shared" si="70"/>
        <v>2004</v>
      </c>
      <c r="F4269" t="s">
        <v>959</v>
      </c>
      <c r="G4269" s="9">
        <v>409.77</v>
      </c>
      <c r="H4269" s="8">
        <v>1922</v>
      </c>
    </row>
    <row r="4270" spans="2:8" ht="17.5" customHeight="1" x14ac:dyDescent="0.4">
      <c r="B4270" t="s">
        <v>7</v>
      </c>
      <c r="C4270" t="s">
        <v>957</v>
      </c>
      <c r="D4270" s="7">
        <f>DATE(2005,11,3)</f>
        <v>38659</v>
      </c>
      <c r="E4270" s="8">
        <f t="shared" si="70"/>
        <v>2005</v>
      </c>
      <c r="F4270" t="s">
        <v>959</v>
      </c>
      <c r="G4270" s="9">
        <v>580</v>
      </c>
      <c r="H4270" s="8">
        <v>3736</v>
      </c>
    </row>
    <row r="4271" spans="2:8" ht="17.5" customHeight="1" x14ac:dyDescent="0.4">
      <c r="B4271" t="s">
        <v>7</v>
      </c>
      <c r="C4271" t="s">
        <v>957</v>
      </c>
      <c r="D4271" s="7">
        <f>DATE(2009,7,28)</f>
        <v>40022</v>
      </c>
      <c r="E4271" s="8">
        <f t="shared" si="70"/>
        <v>2009</v>
      </c>
      <c r="F4271" t="s">
        <v>959</v>
      </c>
      <c r="G4271" s="9">
        <v>523.02</v>
      </c>
      <c r="H4271" s="8">
        <v>8931</v>
      </c>
    </row>
    <row r="4272" spans="2:8" ht="17.5" customHeight="1" x14ac:dyDescent="0.4">
      <c r="B4272" t="s">
        <v>7</v>
      </c>
      <c r="C4272" t="s">
        <v>957</v>
      </c>
      <c r="D4272" s="7">
        <f>DATE(2011,2,11)</f>
        <v>40585</v>
      </c>
      <c r="E4272" s="8">
        <f t="shared" si="70"/>
        <v>2011</v>
      </c>
      <c r="F4272" t="s">
        <v>959</v>
      </c>
      <c r="G4272" s="9">
        <v>28900</v>
      </c>
      <c r="H4272" s="8">
        <v>10269</v>
      </c>
    </row>
    <row r="4273" spans="2:8" ht="17.5" customHeight="1" x14ac:dyDescent="0.4">
      <c r="B4273" t="s">
        <v>7</v>
      </c>
      <c r="C4273" t="s">
        <v>957</v>
      </c>
      <c r="D4273" s="7">
        <f>DATE(2005,11,3)</f>
        <v>38659</v>
      </c>
      <c r="E4273" s="8">
        <f t="shared" si="70"/>
        <v>2005</v>
      </c>
      <c r="F4273" t="s">
        <v>959</v>
      </c>
      <c r="G4273" s="9">
        <v>89.81</v>
      </c>
      <c r="H4273" s="8">
        <v>3789</v>
      </c>
    </row>
    <row r="4274" spans="2:8" ht="17.5" customHeight="1" x14ac:dyDescent="0.4">
      <c r="B4274" t="s">
        <v>7</v>
      </c>
      <c r="C4274" t="s">
        <v>957</v>
      </c>
      <c r="D4274" s="7">
        <f>DATE(2006,1,7)</f>
        <v>38724</v>
      </c>
      <c r="E4274" s="8">
        <f t="shared" si="70"/>
        <v>2006</v>
      </c>
      <c r="F4274" t="s">
        <v>959</v>
      </c>
      <c r="G4274" s="9">
        <v>15274.11</v>
      </c>
      <c r="H4274" s="8">
        <v>3907</v>
      </c>
    </row>
    <row r="4275" spans="2:8" ht="17.5" customHeight="1" x14ac:dyDescent="0.4">
      <c r="B4275" t="s">
        <v>7</v>
      </c>
      <c r="C4275" t="s">
        <v>957</v>
      </c>
      <c r="D4275" s="7">
        <f>DATE(2009,7,27)</f>
        <v>40021</v>
      </c>
      <c r="E4275" s="8">
        <f t="shared" si="70"/>
        <v>2009</v>
      </c>
      <c r="F4275" t="s">
        <v>959</v>
      </c>
      <c r="G4275" s="9">
        <v>83539.98</v>
      </c>
      <c r="H4275" s="8">
        <v>8867</v>
      </c>
    </row>
    <row r="4276" spans="2:8" ht="17.5" customHeight="1" x14ac:dyDescent="0.4">
      <c r="B4276" t="s">
        <v>7</v>
      </c>
      <c r="C4276" t="s">
        <v>957</v>
      </c>
      <c r="D4276" s="7">
        <f>DATE(2013,6,28)</f>
        <v>41453</v>
      </c>
      <c r="E4276" s="8">
        <f t="shared" si="70"/>
        <v>2013</v>
      </c>
      <c r="F4276" t="s">
        <v>959</v>
      </c>
      <c r="G4276" s="9">
        <v>537627.82999999996</v>
      </c>
      <c r="H4276" s="8">
        <v>12075</v>
      </c>
    </row>
    <row r="4277" spans="2:8" ht="17.5" customHeight="1" x14ac:dyDescent="0.4">
      <c r="B4277" t="s">
        <v>7</v>
      </c>
      <c r="C4277" t="s">
        <v>957</v>
      </c>
      <c r="D4277" s="7">
        <f>DATE(2010,6,18)</f>
        <v>40347</v>
      </c>
      <c r="E4277" s="8">
        <f t="shared" si="70"/>
        <v>2010</v>
      </c>
      <c r="F4277" t="s">
        <v>959</v>
      </c>
      <c r="G4277" s="9">
        <v>140237.81</v>
      </c>
      <c r="H4277" s="8">
        <v>9897</v>
      </c>
    </row>
    <row r="4278" spans="2:8" ht="17.5" customHeight="1" x14ac:dyDescent="0.4">
      <c r="B4278" t="s">
        <v>7</v>
      </c>
      <c r="C4278" t="s">
        <v>957</v>
      </c>
      <c r="D4278" s="7">
        <f>DATE(2011,9,29)</f>
        <v>40815</v>
      </c>
      <c r="E4278" s="8">
        <f t="shared" si="70"/>
        <v>2011</v>
      </c>
      <c r="F4278" t="s">
        <v>959</v>
      </c>
      <c r="G4278" s="9">
        <v>12617.37</v>
      </c>
      <c r="H4278" s="8">
        <v>11026</v>
      </c>
    </row>
    <row r="4279" spans="2:8" ht="17.5" customHeight="1" x14ac:dyDescent="0.4">
      <c r="B4279" s="3" t="s">
        <v>7</v>
      </c>
      <c r="C4279" s="3" t="s">
        <v>957</v>
      </c>
      <c r="D4279" s="4">
        <f>DATE(2003,5,23)</f>
        <v>37764</v>
      </c>
      <c r="E4279" s="5">
        <f t="shared" si="70"/>
        <v>2003</v>
      </c>
      <c r="F4279" s="3" t="s">
        <v>959</v>
      </c>
      <c r="G4279" s="6">
        <v>1600</v>
      </c>
      <c r="H4279" s="5">
        <v>998</v>
      </c>
    </row>
    <row r="4280" spans="2:8" ht="17.5" customHeight="1" x14ac:dyDescent="0.4">
      <c r="B4280" s="3" t="s">
        <v>7</v>
      </c>
      <c r="C4280" s="3" t="s">
        <v>957</v>
      </c>
      <c r="D4280" s="4">
        <f>DATE(2004,9,29)</f>
        <v>38259</v>
      </c>
      <c r="E4280" s="5">
        <f t="shared" si="70"/>
        <v>2004</v>
      </c>
      <c r="F4280" s="3" t="s">
        <v>959</v>
      </c>
      <c r="G4280" s="6">
        <v>1739.53</v>
      </c>
      <c r="H4280" s="5">
        <v>3464</v>
      </c>
    </row>
    <row r="4281" spans="2:8" ht="17.5" customHeight="1" x14ac:dyDescent="0.4">
      <c r="B4281" s="3" t="s">
        <v>7</v>
      </c>
      <c r="C4281" s="3" t="s">
        <v>957</v>
      </c>
      <c r="D4281" s="4">
        <f>DATE(2004,10,4)</f>
        <v>38264</v>
      </c>
      <c r="E4281" s="5">
        <f t="shared" si="70"/>
        <v>2004</v>
      </c>
      <c r="F4281" s="3" t="s">
        <v>959</v>
      </c>
      <c r="G4281" s="6">
        <v>7400</v>
      </c>
      <c r="H4281" s="5">
        <v>3494</v>
      </c>
    </row>
    <row r="4282" spans="2:8" ht="17.5" customHeight="1" x14ac:dyDescent="0.4">
      <c r="B4282" s="3" t="s">
        <v>7</v>
      </c>
      <c r="C4282" s="3" t="s">
        <v>957</v>
      </c>
      <c r="D4282" s="4">
        <f>DATE(2005,1,24)</f>
        <v>38376</v>
      </c>
      <c r="E4282" s="5">
        <f t="shared" si="70"/>
        <v>2005</v>
      </c>
      <c r="F4282" s="3" t="s">
        <v>959</v>
      </c>
      <c r="G4282" s="6">
        <v>41301.699999999997</v>
      </c>
      <c r="H4282" s="5">
        <v>3963</v>
      </c>
    </row>
    <row r="4283" spans="2:8" ht="17.5" customHeight="1" x14ac:dyDescent="0.4">
      <c r="B4283" s="3" t="s">
        <v>7</v>
      </c>
      <c r="C4283" s="3" t="s">
        <v>957</v>
      </c>
      <c r="D4283" s="4">
        <f>DATE(2006,3,17)</f>
        <v>38793</v>
      </c>
      <c r="E4283" s="5">
        <f t="shared" si="70"/>
        <v>2006</v>
      </c>
      <c r="F4283" s="3" t="s">
        <v>959</v>
      </c>
      <c r="G4283" s="6">
        <v>7764</v>
      </c>
      <c r="H4283" s="5">
        <v>6294</v>
      </c>
    </row>
    <row r="4284" spans="2:8" ht="17.5" customHeight="1" x14ac:dyDescent="0.4">
      <c r="B4284" s="3" t="s">
        <v>7</v>
      </c>
      <c r="C4284" s="3" t="s">
        <v>957</v>
      </c>
      <c r="D4284" s="4">
        <f>DATE(2006,8,15)</f>
        <v>38944</v>
      </c>
      <c r="E4284" s="5">
        <f t="shared" si="70"/>
        <v>2006</v>
      </c>
      <c r="F4284" s="3" t="s">
        <v>959</v>
      </c>
      <c r="G4284" s="6">
        <v>5474</v>
      </c>
      <c r="H4284" s="5">
        <v>7074</v>
      </c>
    </row>
    <row r="4285" spans="2:8" ht="17.5" customHeight="1" x14ac:dyDescent="0.4">
      <c r="B4285" s="3" t="s">
        <v>7</v>
      </c>
      <c r="C4285" s="3" t="s">
        <v>957</v>
      </c>
      <c r="D4285" s="4">
        <f>DATE(2006,10,26)</f>
        <v>39016</v>
      </c>
      <c r="E4285" s="5">
        <f t="shared" si="70"/>
        <v>2006</v>
      </c>
      <c r="F4285" s="3" t="s">
        <v>959</v>
      </c>
      <c r="G4285" s="6">
        <v>8360</v>
      </c>
      <c r="H4285" s="5">
        <v>7433</v>
      </c>
    </row>
    <row r="4286" spans="2:8" ht="17.5" customHeight="1" x14ac:dyDescent="0.4">
      <c r="B4286" s="3" t="s">
        <v>7</v>
      </c>
      <c r="C4286" s="3" t="s">
        <v>957</v>
      </c>
      <c r="D4286" s="4">
        <f>DATE(2006,11,7)</f>
        <v>39028</v>
      </c>
      <c r="E4286" s="5">
        <f t="shared" si="70"/>
        <v>2006</v>
      </c>
      <c r="F4286" s="3" t="s">
        <v>959</v>
      </c>
      <c r="G4286" s="6">
        <v>760</v>
      </c>
      <c r="H4286" s="5">
        <v>7481</v>
      </c>
    </row>
    <row r="4287" spans="2:8" ht="17.5" customHeight="1" x14ac:dyDescent="0.4">
      <c r="B4287" s="3" t="s">
        <v>7</v>
      </c>
      <c r="C4287" s="3" t="s">
        <v>957</v>
      </c>
      <c r="D4287" s="4">
        <f>DATE(2007,3,27)</f>
        <v>39168</v>
      </c>
      <c r="E4287" s="5">
        <f t="shared" si="70"/>
        <v>2007</v>
      </c>
      <c r="F4287" s="3" t="s">
        <v>959</v>
      </c>
      <c r="G4287" s="6">
        <v>2675</v>
      </c>
      <c r="H4287" s="5">
        <v>8203</v>
      </c>
    </row>
    <row r="4288" spans="2:8" ht="17.5" customHeight="1" x14ac:dyDescent="0.4">
      <c r="B4288" s="3" t="s">
        <v>7</v>
      </c>
      <c r="C4288" s="3" t="s">
        <v>957</v>
      </c>
      <c r="D4288" s="4">
        <f>DATE(2007,4,23)</f>
        <v>39195</v>
      </c>
      <c r="E4288" s="5">
        <f t="shared" si="70"/>
        <v>2007</v>
      </c>
      <c r="F4288" s="3" t="s">
        <v>959</v>
      </c>
      <c r="G4288" s="6">
        <v>8893.99</v>
      </c>
      <c r="H4288" s="5">
        <v>8325</v>
      </c>
    </row>
    <row r="4289" spans="2:8" ht="17.5" customHeight="1" x14ac:dyDescent="0.4">
      <c r="B4289" s="3" t="s">
        <v>7</v>
      </c>
      <c r="C4289" s="3" t="s">
        <v>957</v>
      </c>
      <c r="D4289" s="4">
        <f>DATE(2007,5,3)</f>
        <v>39205</v>
      </c>
      <c r="E4289" s="5">
        <f t="shared" si="70"/>
        <v>2007</v>
      </c>
      <c r="F4289" s="3" t="s">
        <v>959</v>
      </c>
      <c r="G4289" s="6">
        <v>49601.67</v>
      </c>
      <c r="H4289" s="5">
        <v>8321</v>
      </c>
    </row>
    <row r="4290" spans="2:8" ht="17.5" customHeight="1" x14ac:dyDescent="0.4">
      <c r="B4290" s="3" t="s">
        <v>7</v>
      </c>
      <c r="C4290" s="3" t="s">
        <v>957</v>
      </c>
      <c r="D4290" s="4">
        <f>DATE(2007,5,31)</f>
        <v>39233</v>
      </c>
      <c r="E4290" s="5">
        <f t="shared" si="70"/>
        <v>2007</v>
      </c>
      <c r="F4290" s="3" t="s">
        <v>959</v>
      </c>
      <c r="G4290" s="6">
        <v>577.5</v>
      </c>
      <c r="H4290" s="5">
        <v>8666</v>
      </c>
    </row>
    <row r="4291" spans="2:8" ht="17.5" customHeight="1" x14ac:dyDescent="0.4">
      <c r="B4291" s="3" t="s">
        <v>7</v>
      </c>
      <c r="C4291" s="3" t="s">
        <v>957</v>
      </c>
      <c r="D4291" s="4">
        <f>DATE(2007,6,7)</f>
        <v>39240</v>
      </c>
      <c r="E4291" s="5">
        <f t="shared" ref="E4291:E4354" si="71">YEAR(D4291)</f>
        <v>2007</v>
      </c>
      <c r="F4291" s="3" t="s">
        <v>959</v>
      </c>
      <c r="G4291" s="6">
        <v>5176</v>
      </c>
      <c r="H4291" s="5">
        <v>8731</v>
      </c>
    </row>
    <row r="4292" spans="2:8" ht="17.5" customHeight="1" x14ac:dyDescent="0.4">
      <c r="B4292" s="3" t="s">
        <v>7</v>
      </c>
      <c r="C4292" s="3" t="s">
        <v>957</v>
      </c>
      <c r="D4292" s="4">
        <f>DATE(2008,12,1)</f>
        <v>39783</v>
      </c>
      <c r="E4292" s="5">
        <f t="shared" si="71"/>
        <v>2008</v>
      </c>
      <c r="F4292" s="3" t="s">
        <v>959</v>
      </c>
      <c r="G4292" s="6">
        <v>7770</v>
      </c>
      <c r="H4292" s="5">
        <v>11574</v>
      </c>
    </row>
    <row r="4293" spans="2:8" ht="17.5" customHeight="1" x14ac:dyDescent="0.4">
      <c r="B4293" s="3" t="s">
        <v>7</v>
      </c>
      <c r="C4293" s="3" t="s">
        <v>957</v>
      </c>
      <c r="D4293" s="4">
        <f>DATE(2010,5,28)</f>
        <v>40326</v>
      </c>
      <c r="E4293" s="5">
        <f t="shared" si="71"/>
        <v>2010</v>
      </c>
      <c r="F4293" s="3" t="s">
        <v>959</v>
      </c>
      <c r="G4293" s="6">
        <v>2588</v>
      </c>
      <c r="H4293" s="5">
        <v>14113</v>
      </c>
    </row>
    <row r="4294" spans="2:8" ht="17.5" customHeight="1" x14ac:dyDescent="0.4">
      <c r="B4294" s="3" t="s">
        <v>7</v>
      </c>
      <c r="C4294" s="3" t="s">
        <v>957</v>
      </c>
      <c r="D4294" s="4">
        <f>DATE(2003,4,16)</f>
        <v>37727</v>
      </c>
      <c r="E4294" s="5">
        <f t="shared" si="71"/>
        <v>2003</v>
      </c>
      <c r="F4294" s="3" t="s">
        <v>960</v>
      </c>
      <c r="G4294" s="6">
        <v>8500</v>
      </c>
      <c r="H4294" s="5">
        <v>701</v>
      </c>
    </row>
    <row r="4295" spans="2:8" ht="17.5" customHeight="1" x14ac:dyDescent="0.4">
      <c r="B4295" t="s">
        <v>7</v>
      </c>
      <c r="C4295" t="s">
        <v>961</v>
      </c>
      <c r="D4295" s="7">
        <f>DATE(2012,6,18)</f>
        <v>41078</v>
      </c>
      <c r="E4295" s="8">
        <f t="shared" si="71"/>
        <v>2012</v>
      </c>
      <c r="F4295" t="s">
        <v>962</v>
      </c>
      <c r="G4295" s="9">
        <v>9586</v>
      </c>
      <c r="H4295" s="8">
        <v>11643</v>
      </c>
    </row>
    <row r="4296" spans="2:8" ht="17.5" customHeight="1" x14ac:dyDescent="0.4">
      <c r="B4296" t="s">
        <v>7</v>
      </c>
      <c r="C4296" t="s">
        <v>961</v>
      </c>
      <c r="D4296" s="7">
        <f>DATE(2008,8,1)</f>
        <v>39661</v>
      </c>
      <c r="E4296" s="8">
        <f t="shared" si="71"/>
        <v>2008</v>
      </c>
      <c r="F4296" t="s">
        <v>962</v>
      </c>
      <c r="G4296" s="9">
        <v>10046.030000000001</v>
      </c>
      <c r="H4296" s="8">
        <v>7061</v>
      </c>
    </row>
    <row r="4297" spans="2:8" ht="17.5" customHeight="1" x14ac:dyDescent="0.4">
      <c r="B4297" t="s">
        <v>7</v>
      </c>
      <c r="C4297" t="s">
        <v>961</v>
      </c>
      <c r="D4297" s="7">
        <f>DATE(2008,11,5)</f>
        <v>39757</v>
      </c>
      <c r="E4297" s="8">
        <f t="shared" si="71"/>
        <v>2008</v>
      </c>
      <c r="F4297" t="s">
        <v>962</v>
      </c>
      <c r="G4297" s="9">
        <v>5097</v>
      </c>
      <c r="H4297" s="8">
        <v>8007</v>
      </c>
    </row>
    <row r="4298" spans="2:8" ht="17.5" customHeight="1" x14ac:dyDescent="0.4">
      <c r="B4298" t="s">
        <v>7</v>
      </c>
      <c r="C4298" t="s">
        <v>961</v>
      </c>
      <c r="D4298" s="7">
        <f>DATE(2008,11,6)</f>
        <v>39758</v>
      </c>
      <c r="E4298" s="8">
        <f t="shared" si="71"/>
        <v>2008</v>
      </c>
      <c r="F4298" t="s">
        <v>962</v>
      </c>
      <c r="G4298" s="9">
        <v>9486.15</v>
      </c>
      <c r="H4298" s="8">
        <v>8017</v>
      </c>
    </row>
    <row r="4299" spans="2:8" ht="17.5" customHeight="1" x14ac:dyDescent="0.4">
      <c r="B4299" t="s">
        <v>7</v>
      </c>
      <c r="C4299" t="s">
        <v>961</v>
      </c>
      <c r="D4299" s="7">
        <f>DATE(2012,6,18)</f>
        <v>41078</v>
      </c>
      <c r="E4299" s="8">
        <f t="shared" si="71"/>
        <v>2012</v>
      </c>
      <c r="F4299" t="s">
        <v>962</v>
      </c>
      <c r="G4299" s="9">
        <v>15573.33</v>
      </c>
      <c r="H4299" s="8">
        <v>11642</v>
      </c>
    </row>
    <row r="4300" spans="2:8" ht="17.5" customHeight="1" x14ac:dyDescent="0.4">
      <c r="B4300" s="3" t="s">
        <v>7</v>
      </c>
      <c r="C4300" s="3" t="s">
        <v>961</v>
      </c>
      <c r="D4300" s="4">
        <f>DATE(2008,11,13)</f>
        <v>39765</v>
      </c>
      <c r="E4300" s="5">
        <f t="shared" si="71"/>
        <v>2008</v>
      </c>
      <c r="F4300" s="3" t="s">
        <v>962</v>
      </c>
      <c r="G4300" s="6">
        <v>365.2</v>
      </c>
      <c r="H4300" s="5">
        <v>11560</v>
      </c>
    </row>
    <row r="4301" spans="2:8" ht="17.5" customHeight="1" x14ac:dyDescent="0.4">
      <c r="B4301" s="3" t="s">
        <v>7</v>
      </c>
      <c r="C4301" s="3" t="s">
        <v>961</v>
      </c>
      <c r="D4301" s="4">
        <f>DATE(2012,5,21)</f>
        <v>41050</v>
      </c>
      <c r="E4301" s="5">
        <f t="shared" si="71"/>
        <v>2012</v>
      </c>
      <c r="F4301" s="3" t="s">
        <v>962</v>
      </c>
      <c r="G4301" s="6">
        <v>4230</v>
      </c>
      <c r="H4301" s="5">
        <v>17079</v>
      </c>
    </row>
    <row r="4302" spans="2:8" ht="17.5" customHeight="1" x14ac:dyDescent="0.4">
      <c r="B4302" s="3" t="s">
        <v>7</v>
      </c>
      <c r="C4302" s="3" t="s">
        <v>961</v>
      </c>
      <c r="D4302" s="4">
        <f>DATE(2014,1,15)</f>
        <v>41654</v>
      </c>
      <c r="E4302" s="5">
        <f t="shared" si="71"/>
        <v>2014</v>
      </c>
      <c r="F4302" s="3" t="s">
        <v>962</v>
      </c>
      <c r="G4302" s="6">
        <v>470.48</v>
      </c>
      <c r="H4302" s="5">
        <v>19398</v>
      </c>
    </row>
    <row r="4303" spans="2:8" ht="17.5" customHeight="1" x14ac:dyDescent="0.4">
      <c r="B4303" s="3" t="s">
        <v>7</v>
      </c>
      <c r="C4303" s="3" t="s">
        <v>961</v>
      </c>
      <c r="D4303" s="4">
        <f>DATE(2014,4,2)</f>
        <v>41731</v>
      </c>
      <c r="E4303" s="5">
        <f t="shared" si="71"/>
        <v>2014</v>
      </c>
      <c r="F4303" s="3" t="s">
        <v>962</v>
      </c>
      <c r="G4303" s="6">
        <v>2864</v>
      </c>
      <c r="H4303" s="5">
        <v>19411</v>
      </c>
    </row>
    <row r="4304" spans="2:8" ht="17.5" customHeight="1" x14ac:dyDescent="0.4">
      <c r="B4304" t="s">
        <v>7</v>
      </c>
      <c r="C4304" t="s">
        <v>963</v>
      </c>
      <c r="D4304" s="7">
        <f>DATE(2017,11,8)</f>
        <v>43047</v>
      </c>
      <c r="E4304" s="8">
        <f t="shared" si="71"/>
        <v>2017</v>
      </c>
      <c r="F4304" t="s">
        <v>964</v>
      </c>
      <c r="G4304" s="9">
        <v>21217.279999999999</v>
      </c>
      <c r="H4304" s="8">
        <v>25645</v>
      </c>
    </row>
    <row r="4305" spans="2:8" ht="17.5" customHeight="1" x14ac:dyDescent="0.4">
      <c r="B4305" t="s">
        <v>7</v>
      </c>
      <c r="C4305" t="s">
        <v>10</v>
      </c>
      <c r="D4305" s="7">
        <f>DATE(2009,4,8)</f>
        <v>39911</v>
      </c>
      <c r="E4305" s="8">
        <f t="shared" si="71"/>
        <v>2009</v>
      </c>
      <c r="F4305" t="s">
        <v>965</v>
      </c>
      <c r="G4305" s="9">
        <v>8858.82</v>
      </c>
      <c r="H4305" s="8">
        <v>8418</v>
      </c>
    </row>
    <row r="4306" spans="2:8" ht="17.5" customHeight="1" x14ac:dyDescent="0.4">
      <c r="B4306" t="s">
        <v>7</v>
      </c>
      <c r="C4306" t="s">
        <v>966</v>
      </c>
      <c r="D4306" s="7">
        <f>DATE(2010,6,29)</f>
        <v>40358</v>
      </c>
      <c r="E4306" s="8">
        <f t="shared" si="71"/>
        <v>2010</v>
      </c>
      <c r="F4306" t="s">
        <v>967</v>
      </c>
      <c r="G4306" s="9">
        <v>25476.07</v>
      </c>
      <c r="H4306" s="8">
        <v>9906</v>
      </c>
    </row>
    <row r="4307" spans="2:8" ht="17.5" customHeight="1" x14ac:dyDescent="0.4">
      <c r="B4307" t="s">
        <v>7</v>
      </c>
      <c r="C4307" t="s">
        <v>968</v>
      </c>
      <c r="D4307" s="7">
        <f>DATE(2015,5,18)</f>
        <v>42142</v>
      </c>
      <c r="E4307" s="8">
        <f t="shared" si="71"/>
        <v>2015</v>
      </c>
      <c r="F4307" t="s">
        <v>969</v>
      </c>
      <c r="G4307" s="9">
        <v>12625.11</v>
      </c>
      <c r="H4307" s="8">
        <v>20353</v>
      </c>
    </row>
    <row r="4308" spans="2:8" ht="17.5" customHeight="1" x14ac:dyDescent="0.4">
      <c r="B4308" t="s">
        <v>7</v>
      </c>
      <c r="C4308" t="s">
        <v>968</v>
      </c>
      <c r="D4308" s="7">
        <f>DATE(2015,5,21)</f>
        <v>42145</v>
      </c>
      <c r="E4308" s="8">
        <f t="shared" si="71"/>
        <v>2015</v>
      </c>
      <c r="F4308" t="s">
        <v>969</v>
      </c>
      <c r="G4308" s="9">
        <v>8875.65</v>
      </c>
      <c r="H4308" s="8">
        <v>20355</v>
      </c>
    </row>
    <row r="4309" spans="2:8" ht="17.5" customHeight="1" x14ac:dyDescent="0.4">
      <c r="B4309" t="s">
        <v>7</v>
      </c>
      <c r="C4309" t="s">
        <v>968</v>
      </c>
      <c r="D4309" s="7">
        <f>DATE(2015,6,30)</f>
        <v>42185</v>
      </c>
      <c r="E4309" s="8">
        <f t="shared" si="71"/>
        <v>2015</v>
      </c>
      <c r="F4309" t="s">
        <v>969</v>
      </c>
      <c r="G4309" s="9">
        <v>4064.35</v>
      </c>
      <c r="H4309" s="8">
        <v>20356</v>
      </c>
    </row>
    <row r="4310" spans="2:8" ht="17.5" customHeight="1" x14ac:dyDescent="0.4">
      <c r="B4310" t="s">
        <v>7</v>
      </c>
      <c r="C4310" t="s">
        <v>968</v>
      </c>
      <c r="D4310" s="7">
        <f>DATE(2015,6,25)</f>
        <v>42180</v>
      </c>
      <c r="E4310" s="8">
        <f t="shared" si="71"/>
        <v>2015</v>
      </c>
      <c r="F4310" t="s">
        <v>969</v>
      </c>
      <c r="G4310" s="9">
        <v>81348.27</v>
      </c>
      <c r="H4310" s="8">
        <v>20636</v>
      </c>
    </row>
    <row r="4311" spans="2:8" ht="17.5" customHeight="1" x14ac:dyDescent="0.4">
      <c r="B4311" t="s">
        <v>7</v>
      </c>
      <c r="C4311" t="s">
        <v>968</v>
      </c>
      <c r="D4311" s="7">
        <f>DATE(2015,6,4)</f>
        <v>42159</v>
      </c>
      <c r="E4311" s="8">
        <f t="shared" si="71"/>
        <v>2015</v>
      </c>
      <c r="F4311" t="s">
        <v>969</v>
      </c>
      <c r="G4311" s="9">
        <v>6644.03</v>
      </c>
      <c r="H4311" s="8">
        <v>20357</v>
      </c>
    </row>
    <row r="4312" spans="2:8" ht="17.5" customHeight="1" x14ac:dyDescent="0.4">
      <c r="B4312" t="s">
        <v>7</v>
      </c>
      <c r="C4312" t="s">
        <v>968</v>
      </c>
      <c r="D4312" s="7">
        <f>DATE(2015,11,13)</f>
        <v>42321</v>
      </c>
      <c r="E4312" s="8">
        <f t="shared" si="71"/>
        <v>2015</v>
      </c>
      <c r="F4312" t="s">
        <v>969</v>
      </c>
      <c r="G4312" s="9">
        <v>180087.27</v>
      </c>
      <c r="H4312" s="8">
        <v>21041</v>
      </c>
    </row>
    <row r="4313" spans="2:8" ht="17.5" customHeight="1" x14ac:dyDescent="0.4">
      <c r="B4313" t="s">
        <v>7</v>
      </c>
      <c r="C4313" t="s">
        <v>968</v>
      </c>
      <c r="D4313" s="7">
        <f>DATE(2015,11,13)</f>
        <v>42321</v>
      </c>
      <c r="E4313" s="8">
        <f t="shared" si="71"/>
        <v>2015</v>
      </c>
      <c r="F4313" t="s">
        <v>969</v>
      </c>
      <c r="G4313" s="9">
        <v>218605.39</v>
      </c>
      <c r="H4313" s="8">
        <v>21110</v>
      </c>
    </row>
    <row r="4314" spans="2:8" ht="17.5" customHeight="1" x14ac:dyDescent="0.4">
      <c r="B4314" t="s">
        <v>7</v>
      </c>
      <c r="C4314" t="s">
        <v>968</v>
      </c>
      <c r="D4314" s="7">
        <f>DATE(2016,7,8)</f>
        <v>42559</v>
      </c>
      <c r="E4314" s="8">
        <f t="shared" si="71"/>
        <v>2016</v>
      </c>
      <c r="F4314" t="s">
        <v>969</v>
      </c>
      <c r="G4314" s="9">
        <v>169954.89</v>
      </c>
      <c r="H4314" s="8">
        <v>22487</v>
      </c>
    </row>
    <row r="4315" spans="2:8" ht="17.5" customHeight="1" x14ac:dyDescent="0.4">
      <c r="B4315" t="s">
        <v>7</v>
      </c>
      <c r="C4315" t="s">
        <v>968</v>
      </c>
      <c r="D4315" s="7">
        <f>DATE(2016,7,8)</f>
        <v>42559</v>
      </c>
      <c r="E4315" s="8">
        <f t="shared" si="71"/>
        <v>2016</v>
      </c>
      <c r="F4315" t="s">
        <v>969</v>
      </c>
      <c r="G4315" s="9">
        <v>189762.25</v>
      </c>
      <c r="H4315" s="8">
        <v>22368</v>
      </c>
    </row>
    <row r="4316" spans="2:8" ht="17.5" customHeight="1" x14ac:dyDescent="0.4">
      <c r="B4316" t="s">
        <v>7</v>
      </c>
      <c r="C4316" t="s">
        <v>968</v>
      </c>
      <c r="D4316" s="7">
        <f>DATE(2016,7,8)</f>
        <v>42559</v>
      </c>
      <c r="E4316" s="8">
        <f t="shared" si="71"/>
        <v>2016</v>
      </c>
      <c r="F4316" t="s">
        <v>969</v>
      </c>
      <c r="G4316" s="9">
        <v>183177.25</v>
      </c>
      <c r="H4316" s="8">
        <v>23668</v>
      </c>
    </row>
    <row r="4317" spans="2:8" ht="17.5" customHeight="1" x14ac:dyDescent="0.4">
      <c r="B4317" t="s">
        <v>7</v>
      </c>
      <c r="C4317" t="s">
        <v>968</v>
      </c>
      <c r="D4317" s="7">
        <f>DATE(2016,7,8)</f>
        <v>42559</v>
      </c>
      <c r="E4317" s="8">
        <f t="shared" si="71"/>
        <v>2016</v>
      </c>
      <c r="F4317" t="s">
        <v>969</v>
      </c>
      <c r="G4317" s="9">
        <v>163624.89000000001</v>
      </c>
      <c r="H4317" s="8">
        <v>23669</v>
      </c>
    </row>
    <row r="4318" spans="2:8" ht="17.5" customHeight="1" x14ac:dyDescent="0.4">
      <c r="B4318" t="s">
        <v>7</v>
      </c>
      <c r="C4318" t="s">
        <v>968</v>
      </c>
      <c r="D4318" s="7">
        <f>DATE(2015,5,21)</f>
        <v>42145</v>
      </c>
      <c r="E4318" s="8">
        <f t="shared" si="71"/>
        <v>2015</v>
      </c>
      <c r="F4318" t="s">
        <v>969</v>
      </c>
      <c r="G4318" s="9">
        <v>1059.0999999999999</v>
      </c>
      <c r="H4318" s="8">
        <v>20359</v>
      </c>
    </row>
    <row r="4319" spans="2:8" ht="17.5" customHeight="1" x14ac:dyDescent="0.4">
      <c r="B4319" t="s">
        <v>16</v>
      </c>
      <c r="C4319" t="s">
        <v>968</v>
      </c>
      <c r="D4319" s="7">
        <f>DATE(2016,10,13)</f>
        <v>42656</v>
      </c>
      <c r="E4319" s="8">
        <f t="shared" si="71"/>
        <v>2016</v>
      </c>
      <c r="F4319" t="s">
        <v>969</v>
      </c>
      <c r="G4319" s="9">
        <v>189762.25</v>
      </c>
      <c r="H4319" s="8">
        <v>23671</v>
      </c>
    </row>
    <row r="4320" spans="2:8" ht="17.5" customHeight="1" x14ac:dyDescent="0.4">
      <c r="B4320" t="s">
        <v>16</v>
      </c>
      <c r="C4320" t="s">
        <v>968</v>
      </c>
      <c r="D4320" s="7">
        <f>DATE(2016,10,13)</f>
        <v>42656</v>
      </c>
      <c r="E4320" s="8">
        <f t="shared" si="71"/>
        <v>2016</v>
      </c>
      <c r="F4320" t="s">
        <v>969</v>
      </c>
      <c r="G4320" s="9">
        <v>169954.89</v>
      </c>
      <c r="H4320" s="8">
        <v>23672</v>
      </c>
    </row>
    <row r="4321" spans="2:8" ht="17.5" customHeight="1" x14ac:dyDescent="0.4">
      <c r="B4321" t="s">
        <v>7</v>
      </c>
      <c r="C4321" t="s">
        <v>968</v>
      </c>
      <c r="D4321" s="7">
        <f>DATE(2004,3,11)</f>
        <v>38057</v>
      </c>
      <c r="E4321" s="8">
        <f t="shared" si="71"/>
        <v>2004</v>
      </c>
      <c r="F4321" t="s">
        <v>969</v>
      </c>
      <c r="G4321" s="9">
        <v>770</v>
      </c>
      <c r="H4321" s="8">
        <v>1517</v>
      </c>
    </row>
    <row r="4322" spans="2:8" ht="17.5" customHeight="1" x14ac:dyDescent="0.4">
      <c r="B4322" t="s">
        <v>7</v>
      </c>
      <c r="C4322" t="s">
        <v>968</v>
      </c>
      <c r="D4322" s="7">
        <f>DATE(2010,1,22)</f>
        <v>40200</v>
      </c>
      <c r="E4322" s="8">
        <f t="shared" si="71"/>
        <v>2010</v>
      </c>
      <c r="F4322" t="s">
        <v>969</v>
      </c>
      <c r="G4322" s="9">
        <v>450</v>
      </c>
      <c r="H4322" s="8">
        <v>9412</v>
      </c>
    </row>
    <row r="4323" spans="2:8" ht="17.5" customHeight="1" x14ac:dyDescent="0.4">
      <c r="B4323" t="s">
        <v>7</v>
      </c>
      <c r="C4323" t="s">
        <v>968</v>
      </c>
      <c r="D4323" s="7">
        <f>DATE(2012,6,5)</f>
        <v>41065</v>
      </c>
      <c r="E4323" s="8">
        <f t="shared" si="71"/>
        <v>2012</v>
      </c>
      <c r="F4323" t="s">
        <v>969</v>
      </c>
      <c r="G4323" s="9">
        <v>900</v>
      </c>
      <c r="H4323" s="8">
        <v>11655</v>
      </c>
    </row>
    <row r="4324" spans="2:8" ht="17.5" customHeight="1" x14ac:dyDescent="0.4">
      <c r="B4324" t="s">
        <v>7</v>
      </c>
      <c r="C4324" t="s">
        <v>968</v>
      </c>
      <c r="D4324" s="7">
        <f>DATE(2012,11,7)</f>
        <v>41220</v>
      </c>
      <c r="E4324" s="8">
        <f t="shared" si="71"/>
        <v>2012</v>
      </c>
      <c r="F4324" t="s">
        <v>969</v>
      </c>
      <c r="G4324" s="9">
        <v>135</v>
      </c>
      <c r="H4324" s="8">
        <v>11976</v>
      </c>
    </row>
    <row r="4325" spans="2:8" ht="17.5" customHeight="1" x14ac:dyDescent="0.4">
      <c r="B4325" t="s">
        <v>7</v>
      </c>
      <c r="C4325" t="s">
        <v>968</v>
      </c>
      <c r="D4325" s="7">
        <f>DATE(2012,11,15)</f>
        <v>41228</v>
      </c>
      <c r="E4325" s="8">
        <f t="shared" si="71"/>
        <v>2012</v>
      </c>
      <c r="F4325" t="s">
        <v>969</v>
      </c>
      <c r="G4325" s="9">
        <v>180</v>
      </c>
      <c r="H4325" s="8">
        <v>11983</v>
      </c>
    </row>
    <row r="4326" spans="2:8" ht="17.5" customHeight="1" x14ac:dyDescent="0.4">
      <c r="B4326" t="s">
        <v>7</v>
      </c>
      <c r="C4326" t="s">
        <v>968</v>
      </c>
      <c r="D4326" s="7">
        <f>DATE(2012,12,14)</f>
        <v>41257</v>
      </c>
      <c r="E4326" s="8">
        <f t="shared" si="71"/>
        <v>2012</v>
      </c>
      <c r="F4326" t="s">
        <v>969</v>
      </c>
      <c r="G4326" s="9">
        <v>60</v>
      </c>
      <c r="H4326" s="8">
        <v>12055</v>
      </c>
    </row>
    <row r="4327" spans="2:8" ht="17.5" customHeight="1" x14ac:dyDescent="0.4">
      <c r="B4327" t="s">
        <v>7</v>
      </c>
      <c r="C4327" t="s">
        <v>968</v>
      </c>
      <c r="D4327" s="7">
        <f>DATE(2013,1,4)</f>
        <v>41278</v>
      </c>
      <c r="E4327" s="8">
        <f t="shared" si="71"/>
        <v>2013</v>
      </c>
      <c r="F4327" t="s">
        <v>969</v>
      </c>
      <c r="G4327" s="9">
        <v>1550</v>
      </c>
      <c r="H4327" s="8">
        <v>12006</v>
      </c>
    </row>
    <row r="4328" spans="2:8" ht="17.5" customHeight="1" x14ac:dyDescent="0.4">
      <c r="B4328" t="s">
        <v>7</v>
      </c>
      <c r="C4328" t="s">
        <v>968</v>
      </c>
      <c r="D4328" s="7">
        <f>DATE(2003,10,9)</f>
        <v>37903</v>
      </c>
      <c r="E4328" s="8">
        <f t="shared" si="71"/>
        <v>2003</v>
      </c>
      <c r="F4328" t="s">
        <v>969</v>
      </c>
      <c r="G4328" s="9">
        <v>29481.95</v>
      </c>
      <c r="H4328" s="8">
        <v>812</v>
      </c>
    </row>
    <row r="4329" spans="2:8" ht="17.5" customHeight="1" x14ac:dyDescent="0.4">
      <c r="B4329" t="s">
        <v>7</v>
      </c>
      <c r="C4329" t="s">
        <v>968</v>
      </c>
      <c r="D4329" s="7">
        <f>DATE(2004,4,15)</f>
        <v>38092</v>
      </c>
      <c r="E4329" s="8">
        <f t="shared" si="71"/>
        <v>2004</v>
      </c>
      <c r="F4329" t="s">
        <v>969</v>
      </c>
      <c r="G4329" s="9">
        <v>57297.84</v>
      </c>
      <c r="H4329" s="8">
        <v>1597</v>
      </c>
    </row>
    <row r="4330" spans="2:8" ht="17.5" customHeight="1" x14ac:dyDescent="0.4">
      <c r="B4330" t="s">
        <v>7</v>
      </c>
      <c r="C4330" t="s">
        <v>968</v>
      </c>
      <c r="D4330" s="7">
        <f>DATE(2004,6,3)</f>
        <v>38141</v>
      </c>
      <c r="E4330" s="8">
        <f t="shared" si="71"/>
        <v>2004</v>
      </c>
      <c r="F4330" t="s">
        <v>969</v>
      </c>
      <c r="G4330" s="9">
        <v>55457.74</v>
      </c>
      <c r="H4330" s="8">
        <v>1691</v>
      </c>
    </row>
    <row r="4331" spans="2:8" ht="17.5" customHeight="1" x14ac:dyDescent="0.4">
      <c r="B4331" t="s">
        <v>7</v>
      </c>
      <c r="C4331" t="s">
        <v>968</v>
      </c>
      <c r="D4331" s="7">
        <f>DATE(2005,4,15)</f>
        <v>38457</v>
      </c>
      <c r="E4331" s="8">
        <f t="shared" si="71"/>
        <v>2005</v>
      </c>
      <c r="F4331" t="s">
        <v>969</v>
      </c>
      <c r="G4331" s="9">
        <v>76937</v>
      </c>
      <c r="H4331" s="8">
        <v>2964</v>
      </c>
    </row>
    <row r="4332" spans="2:8" ht="17.5" customHeight="1" x14ac:dyDescent="0.4">
      <c r="B4332" t="s">
        <v>7</v>
      </c>
      <c r="C4332" t="s">
        <v>968</v>
      </c>
      <c r="D4332" s="7">
        <f>DATE(2005,6,9)</f>
        <v>38512</v>
      </c>
      <c r="E4332" s="8">
        <f t="shared" si="71"/>
        <v>2005</v>
      </c>
      <c r="F4332" t="s">
        <v>969</v>
      </c>
      <c r="G4332" s="9">
        <v>11719.04</v>
      </c>
      <c r="H4332" s="8">
        <v>3223</v>
      </c>
    </row>
    <row r="4333" spans="2:8" ht="17.5" customHeight="1" x14ac:dyDescent="0.4">
      <c r="B4333" t="s">
        <v>7</v>
      </c>
      <c r="C4333" t="s">
        <v>968</v>
      </c>
      <c r="D4333" s="7">
        <f>DATE(2005,10,22)</f>
        <v>38647</v>
      </c>
      <c r="E4333" s="8">
        <f t="shared" si="71"/>
        <v>2005</v>
      </c>
      <c r="F4333" t="s">
        <v>969</v>
      </c>
      <c r="G4333" s="9">
        <v>70152.66</v>
      </c>
      <c r="H4333" s="8">
        <v>3606</v>
      </c>
    </row>
    <row r="4334" spans="2:8" ht="17.5" customHeight="1" x14ac:dyDescent="0.4">
      <c r="B4334" t="s">
        <v>7</v>
      </c>
      <c r="C4334" t="s">
        <v>968</v>
      </c>
      <c r="D4334" s="7">
        <f>DATE(2006,5,25)</f>
        <v>38862</v>
      </c>
      <c r="E4334" s="8">
        <f t="shared" si="71"/>
        <v>2006</v>
      </c>
      <c r="F4334" t="s">
        <v>969</v>
      </c>
      <c r="G4334" s="9">
        <v>21171.27</v>
      </c>
      <c r="H4334" s="8">
        <v>4498</v>
      </c>
    </row>
    <row r="4335" spans="2:8" ht="17.5" customHeight="1" x14ac:dyDescent="0.4">
      <c r="B4335" t="s">
        <v>7</v>
      </c>
      <c r="C4335" t="s">
        <v>968</v>
      </c>
      <c r="D4335" s="7">
        <f>DATE(2008,5,1)</f>
        <v>39569</v>
      </c>
      <c r="E4335" s="8">
        <f t="shared" si="71"/>
        <v>2008</v>
      </c>
      <c r="F4335" t="s">
        <v>969</v>
      </c>
      <c r="G4335" s="9">
        <v>66945.279999999999</v>
      </c>
      <c r="H4335" s="8">
        <v>7012</v>
      </c>
    </row>
    <row r="4336" spans="2:8" ht="17.5" customHeight="1" x14ac:dyDescent="0.4">
      <c r="B4336" t="s">
        <v>7</v>
      </c>
      <c r="C4336" t="s">
        <v>968</v>
      </c>
      <c r="D4336" s="7">
        <f>DATE(2008,5,8)</f>
        <v>39576</v>
      </c>
      <c r="E4336" s="8">
        <f t="shared" si="71"/>
        <v>2008</v>
      </c>
      <c r="F4336" t="s">
        <v>969</v>
      </c>
      <c r="G4336" s="9">
        <v>7388.29</v>
      </c>
      <c r="H4336" s="8">
        <v>7405</v>
      </c>
    </row>
    <row r="4337" spans="2:8" ht="17.5" customHeight="1" x14ac:dyDescent="0.4">
      <c r="B4337" t="s">
        <v>7</v>
      </c>
      <c r="C4337" t="s">
        <v>968</v>
      </c>
      <c r="D4337" s="7">
        <f>DATE(2008,5,22)</f>
        <v>39590</v>
      </c>
      <c r="E4337" s="8">
        <f t="shared" si="71"/>
        <v>2008</v>
      </c>
      <c r="F4337" t="s">
        <v>969</v>
      </c>
      <c r="G4337" s="9">
        <v>7125.55</v>
      </c>
      <c r="H4337" s="8">
        <v>7441</v>
      </c>
    </row>
    <row r="4338" spans="2:8" ht="17.5" customHeight="1" x14ac:dyDescent="0.4">
      <c r="B4338" t="s">
        <v>7</v>
      </c>
      <c r="C4338" t="s">
        <v>968</v>
      </c>
      <c r="D4338" s="7">
        <f>DATE(2008,9,5)</f>
        <v>39696</v>
      </c>
      <c r="E4338" s="8">
        <f t="shared" si="71"/>
        <v>2008</v>
      </c>
      <c r="F4338" t="s">
        <v>969</v>
      </c>
      <c r="G4338" s="9">
        <v>41357.07</v>
      </c>
      <c r="H4338" s="8">
        <v>7757</v>
      </c>
    </row>
    <row r="4339" spans="2:8" ht="17.5" customHeight="1" x14ac:dyDescent="0.4">
      <c r="B4339" t="s">
        <v>7</v>
      </c>
      <c r="C4339" t="s">
        <v>968</v>
      </c>
      <c r="D4339" s="7">
        <f>DATE(2008,9,30)</f>
        <v>39721</v>
      </c>
      <c r="E4339" s="8">
        <f t="shared" si="71"/>
        <v>2008</v>
      </c>
      <c r="F4339" t="s">
        <v>969</v>
      </c>
      <c r="G4339" s="9">
        <v>47869.3</v>
      </c>
      <c r="H4339" s="8">
        <v>7832</v>
      </c>
    </row>
    <row r="4340" spans="2:8" ht="17.5" customHeight="1" x14ac:dyDescent="0.4">
      <c r="B4340" t="s">
        <v>7</v>
      </c>
      <c r="C4340" t="s">
        <v>968</v>
      </c>
      <c r="D4340" s="7">
        <f>DATE(2009,6,18)</f>
        <v>39982</v>
      </c>
      <c r="E4340" s="8">
        <f t="shared" si="71"/>
        <v>2009</v>
      </c>
      <c r="F4340" t="s">
        <v>969</v>
      </c>
      <c r="G4340" s="9">
        <v>23556.68</v>
      </c>
      <c r="H4340" s="8">
        <v>8515</v>
      </c>
    </row>
    <row r="4341" spans="2:8" ht="17.5" customHeight="1" x14ac:dyDescent="0.4">
      <c r="B4341" t="s">
        <v>7</v>
      </c>
      <c r="C4341" t="s">
        <v>968</v>
      </c>
      <c r="D4341" s="7">
        <f>DATE(2009,10,30)</f>
        <v>40116</v>
      </c>
      <c r="E4341" s="8">
        <f t="shared" si="71"/>
        <v>2009</v>
      </c>
      <c r="F4341" t="s">
        <v>969</v>
      </c>
      <c r="G4341" s="9">
        <v>143778.45000000001</v>
      </c>
      <c r="H4341" s="8">
        <v>9074</v>
      </c>
    </row>
    <row r="4342" spans="2:8" ht="17.5" customHeight="1" x14ac:dyDescent="0.4">
      <c r="B4342" t="s">
        <v>7</v>
      </c>
      <c r="C4342" t="s">
        <v>968</v>
      </c>
      <c r="D4342" s="7">
        <f>DATE(2010,5,18)</f>
        <v>40316</v>
      </c>
      <c r="E4342" s="8">
        <f t="shared" si="71"/>
        <v>2010</v>
      </c>
      <c r="F4342" t="s">
        <v>969</v>
      </c>
      <c r="G4342" s="9">
        <v>9395.25</v>
      </c>
      <c r="H4342" s="8">
        <v>9721</v>
      </c>
    </row>
    <row r="4343" spans="2:8" ht="17.5" customHeight="1" x14ac:dyDescent="0.4">
      <c r="B4343" t="s">
        <v>7</v>
      </c>
      <c r="C4343" t="s">
        <v>968</v>
      </c>
      <c r="D4343" s="7">
        <f>DATE(2010,6,4)</f>
        <v>40333</v>
      </c>
      <c r="E4343" s="8">
        <f t="shared" si="71"/>
        <v>2010</v>
      </c>
      <c r="F4343" t="s">
        <v>969</v>
      </c>
      <c r="G4343" s="9">
        <v>121929.85</v>
      </c>
      <c r="H4343" s="8">
        <v>9671</v>
      </c>
    </row>
    <row r="4344" spans="2:8" ht="17.5" customHeight="1" x14ac:dyDescent="0.4">
      <c r="B4344" t="s">
        <v>7</v>
      </c>
      <c r="C4344" t="s">
        <v>968</v>
      </c>
      <c r="D4344" s="7">
        <f>DATE(2010,6,4)</f>
        <v>40333</v>
      </c>
      <c r="E4344" s="8">
        <f t="shared" si="71"/>
        <v>2010</v>
      </c>
      <c r="F4344" t="s">
        <v>969</v>
      </c>
      <c r="G4344" s="9">
        <v>63136.77</v>
      </c>
      <c r="H4344" s="8">
        <v>9669</v>
      </c>
    </row>
    <row r="4345" spans="2:8" ht="17.5" customHeight="1" x14ac:dyDescent="0.4">
      <c r="B4345" t="s">
        <v>7</v>
      </c>
      <c r="C4345" t="s">
        <v>968</v>
      </c>
      <c r="D4345" s="7">
        <f>DATE(2010,6,4)</f>
        <v>40333</v>
      </c>
      <c r="E4345" s="8">
        <f t="shared" si="71"/>
        <v>2010</v>
      </c>
      <c r="F4345" t="s">
        <v>969</v>
      </c>
      <c r="G4345" s="9">
        <v>8797.59</v>
      </c>
      <c r="H4345" s="8">
        <v>9722</v>
      </c>
    </row>
    <row r="4346" spans="2:8" ht="17.5" customHeight="1" x14ac:dyDescent="0.4">
      <c r="B4346" t="s">
        <v>7</v>
      </c>
      <c r="C4346" t="s">
        <v>968</v>
      </c>
      <c r="D4346" s="7">
        <f>DATE(2010,5,18)</f>
        <v>40316</v>
      </c>
      <c r="E4346" s="8">
        <f t="shared" si="71"/>
        <v>2010</v>
      </c>
      <c r="F4346" t="s">
        <v>969</v>
      </c>
      <c r="G4346" s="9">
        <v>8870.6200000000008</v>
      </c>
      <c r="H4346" s="8">
        <v>9923</v>
      </c>
    </row>
    <row r="4347" spans="2:8" ht="17.5" customHeight="1" x14ac:dyDescent="0.4">
      <c r="B4347" t="s">
        <v>7</v>
      </c>
      <c r="C4347" t="s">
        <v>968</v>
      </c>
      <c r="D4347" s="7">
        <f>DATE(2011,6,2)</f>
        <v>40696</v>
      </c>
      <c r="E4347" s="8">
        <f t="shared" si="71"/>
        <v>2011</v>
      </c>
      <c r="F4347" t="s">
        <v>969</v>
      </c>
      <c r="G4347" s="9">
        <v>222720.39</v>
      </c>
      <c r="H4347" s="8">
        <v>10466</v>
      </c>
    </row>
    <row r="4348" spans="2:8" ht="17.5" customHeight="1" x14ac:dyDescent="0.4">
      <c r="B4348" t="s">
        <v>7</v>
      </c>
      <c r="C4348" t="s">
        <v>968</v>
      </c>
      <c r="D4348" s="7">
        <f>DATE(2011,6,2)</f>
        <v>40696</v>
      </c>
      <c r="E4348" s="8">
        <f t="shared" si="71"/>
        <v>2011</v>
      </c>
      <c r="F4348" t="s">
        <v>969</v>
      </c>
      <c r="G4348" s="9">
        <v>9471.34</v>
      </c>
      <c r="H4348" s="8">
        <v>10736</v>
      </c>
    </row>
    <row r="4349" spans="2:8" ht="17.5" customHeight="1" x14ac:dyDescent="0.4">
      <c r="B4349" t="s">
        <v>7</v>
      </c>
      <c r="C4349" t="s">
        <v>968</v>
      </c>
      <c r="D4349" s="7">
        <f>DATE(2011,6,2)</f>
        <v>40696</v>
      </c>
      <c r="E4349" s="8">
        <f t="shared" si="71"/>
        <v>2011</v>
      </c>
      <c r="F4349" t="s">
        <v>969</v>
      </c>
      <c r="G4349" s="9">
        <v>5993.54</v>
      </c>
      <c r="H4349" s="8">
        <v>10737</v>
      </c>
    </row>
    <row r="4350" spans="2:8" ht="17.5" customHeight="1" x14ac:dyDescent="0.4">
      <c r="B4350" t="s">
        <v>7</v>
      </c>
      <c r="C4350" t="s">
        <v>968</v>
      </c>
      <c r="D4350" s="7">
        <f>DATE(2011,9,14)</f>
        <v>40800</v>
      </c>
      <c r="E4350" s="8">
        <f t="shared" si="71"/>
        <v>2011</v>
      </c>
      <c r="F4350" t="s">
        <v>969</v>
      </c>
      <c r="G4350" s="9">
        <v>29212</v>
      </c>
      <c r="H4350" s="8">
        <v>10957</v>
      </c>
    </row>
    <row r="4351" spans="2:8" ht="17.5" customHeight="1" x14ac:dyDescent="0.4">
      <c r="B4351" t="s">
        <v>7</v>
      </c>
      <c r="C4351" t="s">
        <v>968</v>
      </c>
      <c r="D4351" s="7">
        <f>DATE(2011,11,9)</f>
        <v>40856</v>
      </c>
      <c r="E4351" s="8">
        <f t="shared" si="71"/>
        <v>2011</v>
      </c>
      <c r="F4351" t="s">
        <v>969</v>
      </c>
      <c r="G4351" s="9">
        <v>104255.54</v>
      </c>
      <c r="H4351" s="8">
        <v>11048</v>
      </c>
    </row>
    <row r="4352" spans="2:8" ht="17.5" customHeight="1" x14ac:dyDescent="0.4">
      <c r="B4352" t="s">
        <v>7</v>
      </c>
      <c r="C4352" t="s">
        <v>968</v>
      </c>
      <c r="D4352" s="7">
        <f>DATE(2011,11,9)</f>
        <v>40856</v>
      </c>
      <c r="E4352" s="8">
        <f t="shared" si="71"/>
        <v>2011</v>
      </c>
      <c r="F4352" t="s">
        <v>969</v>
      </c>
      <c r="G4352" s="9">
        <v>141179.14000000001</v>
      </c>
      <c r="H4352" s="8">
        <v>11047</v>
      </c>
    </row>
    <row r="4353" spans="2:8" ht="17.5" customHeight="1" x14ac:dyDescent="0.4">
      <c r="B4353" t="s">
        <v>7</v>
      </c>
      <c r="C4353" t="s">
        <v>968</v>
      </c>
      <c r="D4353" s="7">
        <f>DATE(2012,5,16)</f>
        <v>41045</v>
      </c>
      <c r="E4353" s="8">
        <f t="shared" si="71"/>
        <v>2012</v>
      </c>
      <c r="F4353" t="s">
        <v>969</v>
      </c>
      <c r="G4353" s="9">
        <v>7029.34</v>
      </c>
      <c r="H4353" s="8">
        <v>11505</v>
      </c>
    </row>
    <row r="4354" spans="2:8" ht="17.5" customHeight="1" x14ac:dyDescent="0.4">
      <c r="B4354" t="s">
        <v>7</v>
      </c>
      <c r="C4354" t="s">
        <v>968</v>
      </c>
      <c r="D4354" s="7">
        <f>DATE(2012,5,16)</f>
        <v>41045</v>
      </c>
      <c r="E4354" s="8">
        <f t="shared" si="71"/>
        <v>2012</v>
      </c>
      <c r="F4354" t="s">
        <v>969</v>
      </c>
      <c r="G4354" s="9">
        <v>6783.76</v>
      </c>
      <c r="H4354" s="8">
        <v>11506</v>
      </c>
    </row>
    <row r="4355" spans="2:8" ht="17.5" customHeight="1" x14ac:dyDescent="0.4">
      <c r="B4355" t="s">
        <v>7</v>
      </c>
      <c r="C4355" t="s">
        <v>968</v>
      </c>
      <c r="D4355" s="7">
        <f>DATE(2012,5,29)</f>
        <v>41058</v>
      </c>
      <c r="E4355" s="8">
        <f t="shared" ref="E4355:E4418" si="72">YEAR(D4355)</f>
        <v>2012</v>
      </c>
      <c r="F4355" t="s">
        <v>969</v>
      </c>
      <c r="G4355" s="9">
        <v>6306.98</v>
      </c>
      <c r="H4355" s="8">
        <v>11508</v>
      </c>
    </row>
    <row r="4356" spans="2:8" ht="17.5" customHeight="1" x14ac:dyDescent="0.4">
      <c r="B4356" t="s">
        <v>7</v>
      </c>
      <c r="C4356" t="s">
        <v>968</v>
      </c>
      <c r="D4356" s="7">
        <f>DATE(2012,6,27)</f>
        <v>41087</v>
      </c>
      <c r="E4356" s="8">
        <f t="shared" si="72"/>
        <v>2012</v>
      </c>
      <c r="F4356" t="s">
        <v>969</v>
      </c>
      <c r="G4356" s="9">
        <v>9954.25</v>
      </c>
      <c r="H4356" s="8">
        <v>11507</v>
      </c>
    </row>
    <row r="4357" spans="2:8" ht="17.5" customHeight="1" x14ac:dyDescent="0.4">
      <c r="B4357" t="s">
        <v>7</v>
      </c>
      <c r="C4357" t="s">
        <v>968</v>
      </c>
      <c r="D4357" s="7">
        <f>DATE(2012,9,10)</f>
        <v>41162</v>
      </c>
      <c r="E4357" s="8">
        <f t="shared" si="72"/>
        <v>2012</v>
      </c>
      <c r="F4357" t="s">
        <v>969</v>
      </c>
      <c r="G4357" s="9">
        <v>41516.449999999997</v>
      </c>
      <c r="H4357" s="8">
        <v>11768</v>
      </c>
    </row>
    <row r="4358" spans="2:8" ht="17.5" customHeight="1" x14ac:dyDescent="0.4">
      <c r="B4358" t="s">
        <v>7</v>
      </c>
      <c r="C4358" t="s">
        <v>968</v>
      </c>
      <c r="D4358" s="7">
        <f>DATE(2012,10,18)</f>
        <v>41200</v>
      </c>
      <c r="E4358" s="8">
        <f t="shared" si="72"/>
        <v>2012</v>
      </c>
      <c r="F4358" t="s">
        <v>969</v>
      </c>
      <c r="G4358" s="9">
        <v>40515.75</v>
      </c>
      <c r="H4358" s="8">
        <v>11943</v>
      </c>
    </row>
    <row r="4359" spans="2:8" ht="17.5" customHeight="1" x14ac:dyDescent="0.4">
      <c r="B4359" t="s">
        <v>7</v>
      </c>
      <c r="C4359" t="s">
        <v>968</v>
      </c>
      <c r="D4359" s="7">
        <f>DATE(2012,11,7)</f>
        <v>41220</v>
      </c>
      <c r="E4359" s="8">
        <f t="shared" si="72"/>
        <v>2012</v>
      </c>
      <c r="F4359" t="s">
        <v>969</v>
      </c>
      <c r="G4359" s="9">
        <v>174546.22</v>
      </c>
      <c r="H4359" s="8">
        <v>11867</v>
      </c>
    </row>
    <row r="4360" spans="2:8" ht="17.5" customHeight="1" x14ac:dyDescent="0.4">
      <c r="B4360" t="s">
        <v>7</v>
      </c>
      <c r="C4360" t="s">
        <v>968</v>
      </c>
      <c r="D4360" s="7">
        <f>DATE(2012,11,7)</f>
        <v>41220</v>
      </c>
      <c r="E4360" s="8">
        <f t="shared" si="72"/>
        <v>2012</v>
      </c>
      <c r="F4360" t="s">
        <v>969</v>
      </c>
      <c r="G4360" s="9">
        <v>148472.76</v>
      </c>
      <c r="H4360" s="8">
        <v>11865</v>
      </c>
    </row>
    <row r="4361" spans="2:8" ht="17.5" customHeight="1" x14ac:dyDescent="0.4">
      <c r="B4361" t="s">
        <v>7</v>
      </c>
      <c r="C4361" t="s">
        <v>968</v>
      </c>
      <c r="D4361" s="7">
        <f>DATE(2013,5,8)</f>
        <v>41402</v>
      </c>
      <c r="E4361" s="8">
        <f t="shared" si="72"/>
        <v>2013</v>
      </c>
      <c r="F4361" t="s">
        <v>969</v>
      </c>
      <c r="G4361" s="9">
        <v>143266.09</v>
      </c>
      <c r="H4361" s="8">
        <v>12300</v>
      </c>
    </row>
    <row r="4362" spans="2:8" ht="17.5" customHeight="1" x14ac:dyDescent="0.4">
      <c r="B4362" t="s">
        <v>7</v>
      </c>
      <c r="C4362" t="s">
        <v>968</v>
      </c>
      <c r="D4362" s="7">
        <f>DATE(2013,5,8)</f>
        <v>41402</v>
      </c>
      <c r="E4362" s="8">
        <f t="shared" si="72"/>
        <v>2013</v>
      </c>
      <c r="F4362" t="s">
        <v>969</v>
      </c>
      <c r="G4362" s="9">
        <v>187466.36</v>
      </c>
      <c r="H4362" s="8">
        <v>12299</v>
      </c>
    </row>
    <row r="4363" spans="2:8" ht="17.5" customHeight="1" x14ac:dyDescent="0.4">
      <c r="B4363" t="s">
        <v>7</v>
      </c>
      <c r="C4363" t="s">
        <v>968</v>
      </c>
      <c r="D4363" s="7">
        <f>DATE(2013,5,29)</f>
        <v>41423</v>
      </c>
      <c r="E4363" s="8">
        <f t="shared" si="72"/>
        <v>2013</v>
      </c>
      <c r="F4363" t="s">
        <v>969</v>
      </c>
      <c r="G4363" s="9">
        <v>10588.64</v>
      </c>
      <c r="H4363" s="8">
        <v>12425</v>
      </c>
    </row>
    <row r="4364" spans="2:8" ht="17.5" customHeight="1" x14ac:dyDescent="0.4">
      <c r="B4364" t="s">
        <v>7</v>
      </c>
      <c r="C4364" t="s">
        <v>968</v>
      </c>
      <c r="D4364" s="7">
        <f>DATE(2013,5,30)</f>
        <v>41424</v>
      </c>
      <c r="E4364" s="8">
        <f t="shared" si="72"/>
        <v>2013</v>
      </c>
      <c r="F4364" t="s">
        <v>969</v>
      </c>
      <c r="G4364" s="9">
        <v>8075.03</v>
      </c>
      <c r="H4364" s="8">
        <v>12426</v>
      </c>
    </row>
    <row r="4365" spans="2:8" ht="17.5" customHeight="1" x14ac:dyDescent="0.4">
      <c r="B4365" t="s">
        <v>7</v>
      </c>
      <c r="C4365" t="s">
        <v>968</v>
      </c>
      <c r="D4365" s="7">
        <f>DATE(2014,5,6)</f>
        <v>41765</v>
      </c>
      <c r="E4365" s="8">
        <f t="shared" si="72"/>
        <v>2014</v>
      </c>
      <c r="F4365" t="s">
        <v>969</v>
      </c>
      <c r="G4365" s="9">
        <v>186370.79</v>
      </c>
      <c r="H4365" s="8">
        <v>12899</v>
      </c>
    </row>
    <row r="4366" spans="2:8" ht="17.5" customHeight="1" x14ac:dyDescent="0.4">
      <c r="B4366" t="s">
        <v>7</v>
      </c>
      <c r="C4366" t="s">
        <v>968</v>
      </c>
      <c r="D4366" s="7">
        <f>DATE(2014,5,7)</f>
        <v>41766</v>
      </c>
      <c r="E4366" s="8">
        <f t="shared" si="72"/>
        <v>2014</v>
      </c>
      <c r="F4366" t="s">
        <v>969</v>
      </c>
      <c r="G4366" s="9">
        <v>240350.9</v>
      </c>
      <c r="H4366" s="8">
        <v>12898</v>
      </c>
    </row>
    <row r="4367" spans="2:8" ht="17.5" customHeight="1" x14ac:dyDescent="0.4">
      <c r="B4367" t="s">
        <v>7</v>
      </c>
      <c r="C4367" t="s">
        <v>968</v>
      </c>
      <c r="D4367" s="7">
        <f>DATE(2014,6,18)</f>
        <v>41808</v>
      </c>
      <c r="E4367" s="8">
        <f t="shared" si="72"/>
        <v>2014</v>
      </c>
      <c r="F4367" t="s">
        <v>969</v>
      </c>
      <c r="G4367" s="9">
        <v>12969.79</v>
      </c>
      <c r="H4367" s="8">
        <v>13202</v>
      </c>
    </row>
    <row r="4368" spans="2:8" ht="17.5" customHeight="1" x14ac:dyDescent="0.4">
      <c r="B4368" t="s">
        <v>7</v>
      </c>
      <c r="C4368" t="s">
        <v>968</v>
      </c>
      <c r="D4368" s="7">
        <f>DATE(2014,6,10)</f>
        <v>41800</v>
      </c>
      <c r="E4368" s="8">
        <f t="shared" si="72"/>
        <v>2014</v>
      </c>
      <c r="F4368" t="s">
        <v>969</v>
      </c>
      <c r="G4368" s="9">
        <v>11341.38</v>
      </c>
      <c r="H4368" s="8">
        <v>13203</v>
      </c>
    </row>
    <row r="4369" spans="2:8" ht="17.5" customHeight="1" x14ac:dyDescent="0.4">
      <c r="B4369" t="s">
        <v>7</v>
      </c>
      <c r="C4369" t="s">
        <v>968</v>
      </c>
      <c r="D4369" s="7">
        <f>DATE(2014,11,20)</f>
        <v>41963</v>
      </c>
      <c r="E4369" s="8">
        <f t="shared" si="72"/>
        <v>2014</v>
      </c>
      <c r="F4369" t="s">
        <v>969</v>
      </c>
      <c r="G4369" s="9">
        <v>196884.93</v>
      </c>
      <c r="H4369" s="8">
        <v>13456</v>
      </c>
    </row>
    <row r="4370" spans="2:8" ht="17.5" customHeight="1" x14ac:dyDescent="0.4">
      <c r="B4370" t="s">
        <v>7</v>
      </c>
      <c r="C4370" t="s">
        <v>968</v>
      </c>
      <c r="D4370" s="7">
        <f>DATE(2014,11,20)</f>
        <v>41963</v>
      </c>
      <c r="E4370" s="8">
        <f t="shared" si="72"/>
        <v>2014</v>
      </c>
      <c r="F4370" t="s">
        <v>969</v>
      </c>
      <c r="G4370" s="9">
        <v>207413.71</v>
      </c>
      <c r="H4370" s="8">
        <v>13454</v>
      </c>
    </row>
    <row r="4371" spans="2:8" ht="17.5" customHeight="1" x14ac:dyDescent="0.4">
      <c r="B4371" t="s">
        <v>16</v>
      </c>
      <c r="C4371" t="s">
        <v>968</v>
      </c>
      <c r="D4371" s="7">
        <f>DATE(2010,5,18)</f>
        <v>40316</v>
      </c>
      <c r="E4371" s="8">
        <f t="shared" si="72"/>
        <v>2010</v>
      </c>
      <c r="F4371" t="s">
        <v>969</v>
      </c>
      <c r="G4371" s="9">
        <v>9395.25</v>
      </c>
      <c r="H4371" s="8">
        <v>9922</v>
      </c>
    </row>
    <row r="4372" spans="2:8" ht="17.5" customHeight="1" x14ac:dyDescent="0.4">
      <c r="B4372" t="s">
        <v>16</v>
      </c>
      <c r="C4372" t="s">
        <v>968</v>
      </c>
      <c r="D4372" s="7">
        <f>DATE(2012,10,18)</f>
        <v>41200</v>
      </c>
      <c r="E4372" s="8">
        <f t="shared" si="72"/>
        <v>2012</v>
      </c>
      <c r="F4372" t="s">
        <v>969</v>
      </c>
      <c r="G4372" s="9">
        <v>41516.449999999997</v>
      </c>
      <c r="H4372" s="8">
        <v>11942</v>
      </c>
    </row>
    <row r="4373" spans="2:8" ht="17.5" customHeight="1" x14ac:dyDescent="0.4">
      <c r="B4373" s="3" t="s">
        <v>7</v>
      </c>
      <c r="C4373" s="3" t="s">
        <v>968</v>
      </c>
      <c r="D4373" s="4">
        <f>DATE(2003,9,17)</f>
        <v>37881</v>
      </c>
      <c r="E4373" s="5">
        <f t="shared" si="72"/>
        <v>2003</v>
      </c>
      <c r="F4373" s="3" t="s">
        <v>969</v>
      </c>
      <c r="G4373" s="6">
        <v>2103.4699999999998</v>
      </c>
      <c r="H4373" s="5">
        <v>1480</v>
      </c>
    </row>
    <row r="4374" spans="2:8" ht="17.5" customHeight="1" x14ac:dyDescent="0.4">
      <c r="B4374" s="3" t="s">
        <v>7</v>
      </c>
      <c r="C4374" s="3" t="s">
        <v>968</v>
      </c>
      <c r="D4374" s="4">
        <f>DATE(2008,5,1)</f>
        <v>39569</v>
      </c>
      <c r="E4374" s="5">
        <f t="shared" si="72"/>
        <v>2008</v>
      </c>
      <c r="F4374" s="3" t="s">
        <v>969</v>
      </c>
      <c r="G4374" s="6">
        <v>2243.83</v>
      </c>
      <c r="H4374" s="5">
        <v>10501</v>
      </c>
    </row>
    <row r="4375" spans="2:8" ht="17.5" customHeight="1" x14ac:dyDescent="0.4">
      <c r="B4375" s="3" t="s">
        <v>7</v>
      </c>
      <c r="C4375" s="3" t="s">
        <v>968</v>
      </c>
      <c r="D4375" s="4">
        <f>DATE(2008,5,22)</f>
        <v>39590</v>
      </c>
      <c r="E4375" s="5">
        <f t="shared" si="72"/>
        <v>2008</v>
      </c>
      <c r="F4375" s="3" t="s">
        <v>969</v>
      </c>
      <c r="G4375" s="6">
        <v>2225</v>
      </c>
      <c r="H4375" s="5">
        <v>10630</v>
      </c>
    </row>
    <row r="4376" spans="2:8" ht="17.5" customHeight="1" x14ac:dyDescent="0.4">
      <c r="B4376" s="3" t="s">
        <v>7</v>
      </c>
      <c r="C4376" s="3" t="s">
        <v>968</v>
      </c>
      <c r="D4376" s="4">
        <f>DATE(2010,4,21)</f>
        <v>40289</v>
      </c>
      <c r="E4376" s="5">
        <f t="shared" si="72"/>
        <v>2010</v>
      </c>
      <c r="F4376" s="3" t="s">
        <v>969</v>
      </c>
      <c r="G4376" s="6">
        <v>2225</v>
      </c>
      <c r="H4376" s="5">
        <v>13885</v>
      </c>
    </row>
    <row r="4377" spans="2:8" ht="17.5" customHeight="1" x14ac:dyDescent="0.4">
      <c r="B4377" s="3" t="s">
        <v>7</v>
      </c>
      <c r="C4377" s="3" t="s">
        <v>968</v>
      </c>
      <c r="D4377" s="4">
        <f>DATE(2010,4,21)</f>
        <v>40289</v>
      </c>
      <c r="E4377" s="5">
        <f t="shared" si="72"/>
        <v>2010</v>
      </c>
      <c r="F4377" s="3" t="s">
        <v>969</v>
      </c>
      <c r="G4377" s="6">
        <v>238.1</v>
      </c>
      <c r="H4377" s="5">
        <v>13928</v>
      </c>
    </row>
    <row r="4378" spans="2:8" ht="17.5" customHeight="1" x14ac:dyDescent="0.4">
      <c r="B4378" s="3" t="s">
        <v>7</v>
      </c>
      <c r="C4378" s="3" t="s">
        <v>968</v>
      </c>
      <c r="D4378" s="4">
        <f>DATE(2014,10,2)</f>
        <v>41914</v>
      </c>
      <c r="E4378" s="5">
        <f t="shared" si="72"/>
        <v>2014</v>
      </c>
      <c r="F4378" s="3" t="s">
        <v>969</v>
      </c>
      <c r="G4378" s="6">
        <v>4380</v>
      </c>
      <c r="H4378" s="5">
        <v>20436</v>
      </c>
    </row>
    <row r="4379" spans="2:8" ht="17.5" customHeight="1" x14ac:dyDescent="0.4">
      <c r="B4379" t="s">
        <v>7</v>
      </c>
      <c r="C4379" t="s">
        <v>968</v>
      </c>
      <c r="D4379" s="7">
        <f>DATE(2007,1,15)</f>
        <v>39097</v>
      </c>
      <c r="E4379" s="8">
        <f t="shared" si="72"/>
        <v>2007</v>
      </c>
      <c r="F4379" t="s">
        <v>970</v>
      </c>
      <c r="G4379" s="9">
        <v>630</v>
      </c>
      <c r="H4379" s="8">
        <v>5382</v>
      </c>
    </row>
    <row r="4380" spans="2:8" ht="17.5" customHeight="1" x14ac:dyDescent="0.4">
      <c r="B4380" t="s">
        <v>7</v>
      </c>
      <c r="C4380" t="s">
        <v>968</v>
      </c>
      <c r="D4380" s="7">
        <f>DATE(2006,10,17)</f>
        <v>39007</v>
      </c>
      <c r="E4380" s="8">
        <f t="shared" si="72"/>
        <v>2006</v>
      </c>
      <c r="F4380" t="s">
        <v>970</v>
      </c>
      <c r="G4380" s="9">
        <v>50167.41</v>
      </c>
      <c r="H4380" s="8">
        <v>4897</v>
      </c>
    </row>
    <row r="4381" spans="2:8" ht="17.5" customHeight="1" x14ac:dyDescent="0.4">
      <c r="B4381" t="s">
        <v>7</v>
      </c>
      <c r="C4381" t="s">
        <v>968</v>
      </c>
      <c r="D4381" s="7">
        <f>DATE(2007,4,1)</f>
        <v>39173</v>
      </c>
      <c r="E4381" s="8">
        <f t="shared" si="72"/>
        <v>2007</v>
      </c>
      <c r="F4381" t="s">
        <v>970</v>
      </c>
      <c r="G4381" s="9">
        <v>63056.82</v>
      </c>
      <c r="H4381" s="8">
        <v>5298</v>
      </c>
    </row>
    <row r="4382" spans="2:8" ht="17.5" customHeight="1" x14ac:dyDescent="0.4">
      <c r="B4382" t="s">
        <v>7</v>
      </c>
      <c r="C4382" t="s">
        <v>968</v>
      </c>
      <c r="D4382" s="7">
        <f>DATE(2007,5,1)</f>
        <v>39203</v>
      </c>
      <c r="E4382" s="8">
        <f t="shared" si="72"/>
        <v>2007</v>
      </c>
      <c r="F4382" t="s">
        <v>970</v>
      </c>
      <c r="G4382" s="9">
        <v>10069.5</v>
      </c>
      <c r="H4382" s="8">
        <v>5764</v>
      </c>
    </row>
    <row r="4383" spans="2:8" ht="17.5" customHeight="1" x14ac:dyDescent="0.4">
      <c r="B4383" t="s">
        <v>7</v>
      </c>
      <c r="C4383" t="s">
        <v>968</v>
      </c>
      <c r="D4383" s="7">
        <f>DATE(2007,6,1)</f>
        <v>39234</v>
      </c>
      <c r="E4383" s="8">
        <f t="shared" si="72"/>
        <v>2007</v>
      </c>
      <c r="F4383" t="s">
        <v>970</v>
      </c>
      <c r="G4383" s="9">
        <v>12899.93</v>
      </c>
      <c r="H4383" s="8">
        <v>5765</v>
      </c>
    </row>
    <row r="4384" spans="2:8" ht="17.5" customHeight="1" x14ac:dyDescent="0.4">
      <c r="B4384" s="3" t="s">
        <v>7</v>
      </c>
      <c r="C4384" s="3" t="s">
        <v>968</v>
      </c>
      <c r="D4384" s="4">
        <f>DATE(2006,10,2)</f>
        <v>38992</v>
      </c>
      <c r="E4384" s="5">
        <f t="shared" si="72"/>
        <v>2006</v>
      </c>
      <c r="F4384" s="3" t="s">
        <v>970</v>
      </c>
      <c r="G4384" s="6">
        <v>25825.8</v>
      </c>
      <c r="H4384" s="5">
        <v>7087</v>
      </c>
    </row>
    <row r="4385" spans="2:8" ht="17.5" customHeight="1" x14ac:dyDescent="0.4">
      <c r="B4385" t="s">
        <v>7</v>
      </c>
      <c r="C4385" t="s">
        <v>968</v>
      </c>
      <c r="D4385" s="7">
        <f>DATE(2007,8,12)</f>
        <v>39306</v>
      </c>
      <c r="E4385" s="8">
        <f t="shared" si="72"/>
        <v>2007</v>
      </c>
      <c r="F4385" t="s">
        <v>971</v>
      </c>
      <c r="G4385" s="9">
        <v>20205.79</v>
      </c>
      <c r="H4385" s="8">
        <v>6265</v>
      </c>
    </row>
    <row r="4386" spans="2:8" ht="17.5" customHeight="1" x14ac:dyDescent="0.4">
      <c r="B4386" s="3" t="s">
        <v>7</v>
      </c>
      <c r="C4386" s="3" t="s">
        <v>968</v>
      </c>
      <c r="D4386" s="4">
        <f>DATE(2007,9,5)</f>
        <v>39330</v>
      </c>
      <c r="E4386" s="5">
        <f t="shared" si="72"/>
        <v>2007</v>
      </c>
      <c r="F4386" s="3" t="s">
        <v>971</v>
      </c>
      <c r="G4386" s="6">
        <v>6675</v>
      </c>
      <c r="H4386" s="5">
        <v>9050</v>
      </c>
    </row>
    <row r="4387" spans="2:8" ht="17.5" customHeight="1" x14ac:dyDescent="0.4">
      <c r="B4387" t="s">
        <v>7</v>
      </c>
      <c r="C4387" t="s">
        <v>966</v>
      </c>
      <c r="D4387" s="7">
        <f>DATE(2005,10,6)</f>
        <v>38631</v>
      </c>
      <c r="E4387" s="8">
        <f t="shared" si="72"/>
        <v>2005</v>
      </c>
      <c r="F4387" t="s">
        <v>972</v>
      </c>
      <c r="G4387" s="9">
        <v>16869.78</v>
      </c>
      <c r="H4387" s="8">
        <v>3128</v>
      </c>
    </row>
    <row r="4388" spans="2:8" ht="17.5" customHeight="1" x14ac:dyDescent="0.4">
      <c r="B4388" t="s">
        <v>7</v>
      </c>
      <c r="C4388" t="s">
        <v>973</v>
      </c>
      <c r="D4388" s="7">
        <f>DATE(2004,6,29)</f>
        <v>38167</v>
      </c>
      <c r="E4388" s="8">
        <f t="shared" si="72"/>
        <v>2004</v>
      </c>
      <c r="F4388" t="s">
        <v>974</v>
      </c>
      <c r="G4388" s="9">
        <v>1022</v>
      </c>
      <c r="H4388" s="8">
        <v>1935</v>
      </c>
    </row>
    <row r="4389" spans="2:8" ht="17.5" customHeight="1" x14ac:dyDescent="0.4">
      <c r="B4389" t="s">
        <v>7</v>
      </c>
      <c r="C4389" t="s">
        <v>973</v>
      </c>
      <c r="D4389" s="7">
        <f>DATE(2004,9,13)</f>
        <v>38243</v>
      </c>
      <c r="E4389" s="8">
        <f t="shared" si="72"/>
        <v>2004</v>
      </c>
      <c r="F4389" t="s">
        <v>974</v>
      </c>
      <c r="G4389" s="9">
        <v>134</v>
      </c>
      <c r="H4389" s="8">
        <v>2183</v>
      </c>
    </row>
    <row r="4390" spans="2:8" ht="17.5" customHeight="1" x14ac:dyDescent="0.4">
      <c r="B4390" t="s">
        <v>7</v>
      </c>
      <c r="C4390" t="s">
        <v>973</v>
      </c>
      <c r="D4390" s="7">
        <f>DATE(2005,5,3)</f>
        <v>38475</v>
      </c>
      <c r="E4390" s="8">
        <f t="shared" si="72"/>
        <v>2005</v>
      </c>
      <c r="F4390" t="s">
        <v>974</v>
      </c>
      <c r="G4390" s="9">
        <v>77</v>
      </c>
      <c r="H4390" s="8">
        <v>3163</v>
      </c>
    </row>
    <row r="4391" spans="2:8" ht="17.5" customHeight="1" x14ac:dyDescent="0.4">
      <c r="B4391" s="3" t="s">
        <v>7</v>
      </c>
      <c r="C4391" s="3" t="s">
        <v>973</v>
      </c>
      <c r="D4391" s="4">
        <f>DATE(2014,5,23)</f>
        <v>41782</v>
      </c>
      <c r="E4391" s="5">
        <f t="shared" si="72"/>
        <v>2014</v>
      </c>
      <c r="F4391" s="3" t="s">
        <v>974</v>
      </c>
      <c r="G4391" s="6">
        <v>441</v>
      </c>
      <c r="H4391" s="5">
        <v>20015</v>
      </c>
    </row>
    <row r="4392" spans="2:8" ht="17.5" customHeight="1" x14ac:dyDescent="0.4">
      <c r="B4392" s="3" t="s">
        <v>7</v>
      </c>
      <c r="C4392" s="3" t="s">
        <v>975</v>
      </c>
      <c r="D4392" s="4">
        <f>DATE(2012,12,6)</f>
        <v>41249</v>
      </c>
      <c r="E4392" s="5">
        <f t="shared" si="72"/>
        <v>2012</v>
      </c>
      <c r="F4392" s="3" t="s">
        <v>976</v>
      </c>
      <c r="G4392" s="6">
        <v>1421</v>
      </c>
      <c r="H4392" s="5">
        <v>17889</v>
      </c>
    </row>
    <row r="4393" spans="2:8" ht="17.5" customHeight="1" x14ac:dyDescent="0.4">
      <c r="B4393" t="s">
        <v>7</v>
      </c>
      <c r="C4393" t="s">
        <v>977</v>
      </c>
      <c r="D4393" s="7">
        <f>DATE(2005,5,18)</f>
        <v>38490</v>
      </c>
      <c r="E4393" s="8">
        <f t="shared" si="72"/>
        <v>2005</v>
      </c>
      <c r="F4393" t="s">
        <v>978</v>
      </c>
      <c r="G4393" s="9">
        <v>6809.15</v>
      </c>
      <c r="H4393" s="8">
        <v>3160</v>
      </c>
    </row>
    <row r="4394" spans="2:8" ht="17.5" customHeight="1" x14ac:dyDescent="0.4">
      <c r="B4394" s="3" t="s">
        <v>7</v>
      </c>
      <c r="C4394" s="3" t="s">
        <v>979</v>
      </c>
      <c r="D4394" s="4">
        <f>DATE(2003,5,29)</f>
        <v>37770</v>
      </c>
      <c r="E4394" s="5">
        <f t="shared" si="72"/>
        <v>2003</v>
      </c>
      <c r="F4394" s="3" t="s">
        <v>980</v>
      </c>
      <c r="G4394" s="6">
        <v>134.76</v>
      </c>
      <c r="H4394" s="5">
        <v>185</v>
      </c>
    </row>
    <row r="4395" spans="2:8" ht="17.5" customHeight="1" x14ac:dyDescent="0.4">
      <c r="B4395" s="3" t="s">
        <v>7</v>
      </c>
      <c r="C4395" s="3" t="s">
        <v>981</v>
      </c>
      <c r="D4395" s="4">
        <f>DATE(2003,6,16)</f>
        <v>37788</v>
      </c>
      <c r="E4395" s="5">
        <f t="shared" si="72"/>
        <v>2003</v>
      </c>
      <c r="F4395" s="3" t="s">
        <v>982</v>
      </c>
      <c r="G4395" s="6">
        <v>87.26</v>
      </c>
      <c r="H4395" s="5">
        <v>222</v>
      </c>
    </row>
    <row r="4396" spans="2:8" ht="17.5" customHeight="1" x14ac:dyDescent="0.4">
      <c r="B4396" t="s">
        <v>7</v>
      </c>
      <c r="C4396" t="s">
        <v>983</v>
      </c>
      <c r="D4396" s="7">
        <f>DATE(2017,1,17)</f>
        <v>42752</v>
      </c>
      <c r="E4396" s="8">
        <f t="shared" si="72"/>
        <v>2017</v>
      </c>
      <c r="F4396" t="s">
        <v>984</v>
      </c>
      <c r="G4396" s="9">
        <v>315.2</v>
      </c>
      <c r="H4396" s="8">
        <v>24140</v>
      </c>
    </row>
    <row r="4397" spans="2:8" ht="17.5" customHeight="1" x14ac:dyDescent="0.4">
      <c r="B4397" t="s">
        <v>7</v>
      </c>
      <c r="C4397" t="s">
        <v>985</v>
      </c>
      <c r="D4397" s="7">
        <f>DATE(2003,4,4)</f>
        <v>37715</v>
      </c>
      <c r="E4397" s="8">
        <f t="shared" si="72"/>
        <v>2003</v>
      </c>
      <c r="F4397" t="s">
        <v>986</v>
      </c>
      <c r="G4397" s="9">
        <v>12166.86</v>
      </c>
      <c r="H4397" s="8">
        <v>455</v>
      </c>
    </row>
    <row r="4398" spans="2:8" ht="17.5" customHeight="1" x14ac:dyDescent="0.4">
      <c r="B4398" t="s">
        <v>7</v>
      </c>
      <c r="C4398" t="s">
        <v>985</v>
      </c>
      <c r="D4398" s="7">
        <f>DATE(2005,5,9)</f>
        <v>38481</v>
      </c>
      <c r="E4398" s="8">
        <f t="shared" si="72"/>
        <v>2005</v>
      </c>
      <c r="F4398" t="s">
        <v>986</v>
      </c>
      <c r="G4398" s="9">
        <v>2027.23</v>
      </c>
      <c r="H4398" s="8">
        <v>3182</v>
      </c>
    </row>
    <row r="4399" spans="2:8" ht="17.5" customHeight="1" x14ac:dyDescent="0.4">
      <c r="B4399" t="s">
        <v>7</v>
      </c>
      <c r="C4399" t="s">
        <v>985</v>
      </c>
      <c r="D4399" s="7">
        <f>DATE(2005,5,25)</f>
        <v>38497</v>
      </c>
      <c r="E4399" s="8">
        <f t="shared" si="72"/>
        <v>2005</v>
      </c>
      <c r="F4399" t="s">
        <v>986</v>
      </c>
      <c r="G4399" s="9">
        <v>4794.84</v>
      </c>
      <c r="H4399" s="8">
        <v>3232</v>
      </c>
    </row>
    <row r="4400" spans="2:8" ht="17.5" customHeight="1" x14ac:dyDescent="0.4">
      <c r="B4400" s="3" t="s">
        <v>7</v>
      </c>
      <c r="C4400" s="3" t="s">
        <v>985</v>
      </c>
      <c r="D4400" s="4">
        <f>DATE(2004,11,29)</f>
        <v>38320</v>
      </c>
      <c r="E4400" s="5">
        <f t="shared" si="72"/>
        <v>2004</v>
      </c>
      <c r="F4400" s="3" t="s">
        <v>986</v>
      </c>
      <c r="G4400" s="6">
        <v>3043.48</v>
      </c>
      <c r="H4400" s="5">
        <v>866</v>
      </c>
    </row>
    <row r="4401" spans="2:8" ht="17.5" customHeight="1" x14ac:dyDescent="0.4">
      <c r="B4401" s="3" t="s">
        <v>7</v>
      </c>
      <c r="C4401" s="3" t="s">
        <v>985</v>
      </c>
      <c r="D4401" s="4">
        <f>DATE(2004,12,3)</f>
        <v>38324</v>
      </c>
      <c r="E4401" s="5">
        <f t="shared" si="72"/>
        <v>2004</v>
      </c>
      <c r="F4401" s="3" t="s">
        <v>986</v>
      </c>
      <c r="G4401" s="6">
        <v>382.5</v>
      </c>
      <c r="H4401" s="5">
        <v>891</v>
      </c>
    </row>
    <row r="4402" spans="2:8" ht="17.5" customHeight="1" x14ac:dyDescent="0.4">
      <c r="B4402" s="3" t="s">
        <v>7</v>
      </c>
      <c r="C4402" s="3" t="s">
        <v>985</v>
      </c>
      <c r="D4402" s="4">
        <f>DATE(2004,12,22)</f>
        <v>38343</v>
      </c>
      <c r="E4402" s="5">
        <f t="shared" si="72"/>
        <v>2004</v>
      </c>
      <c r="F4402" s="3" t="s">
        <v>986</v>
      </c>
      <c r="G4402" s="6">
        <v>24206.39</v>
      </c>
      <c r="H4402" s="5">
        <v>886</v>
      </c>
    </row>
    <row r="4403" spans="2:8" ht="17.5" customHeight="1" x14ac:dyDescent="0.4">
      <c r="B4403" s="3" t="s">
        <v>7</v>
      </c>
      <c r="C4403" s="3" t="s">
        <v>985</v>
      </c>
      <c r="D4403" s="4">
        <f>DATE(2005,1,6)</f>
        <v>38358</v>
      </c>
      <c r="E4403" s="5">
        <f t="shared" si="72"/>
        <v>2005</v>
      </c>
      <c r="F4403" s="3" t="s">
        <v>986</v>
      </c>
      <c r="G4403" s="6">
        <v>2563.62</v>
      </c>
      <c r="H4403" s="5">
        <v>917</v>
      </c>
    </row>
    <row r="4404" spans="2:8" ht="17.5" customHeight="1" x14ac:dyDescent="0.4">
      <c r="B4404" s="3" t="s">
        <v>7</v>
      </c>
      <c r="C4404" s="3" t="s">
        <v>985</v>
      </c>
      <c r="D4404" s="4">
        <f>DATE(2004,12,22)</f>
        <v>38343</v>
      </c>
      <c r="E4404" s="5">
        <f t="shared" si="72"/>
        <v>2004</v>
      </c>
      <c r="F4404" s="3" t="s">
        <v>986</v>
      </c>
      <c r="G4404" s="6">
        <v>2886.91</v>
      </c>
      <c r="H4404" s="5">
        <v>942</v>
      </c>
    </row>
    <row r="4405" spans="2:8" ht="17.5" customHeight="1" x14ac:dyDescent="0.4">
      <c r="B4405" s="3" t="s">
        <v>16</v>
      </c>
      <c r="C4405" s="3" t="s">
        <v>985</v>
      </c>
      <c r="D4405" s="4">
        <f>DATE(2003,11,17)</f>
        <v>37942</v>
      </c>
      <c r="E4405" s="5">
        <f t="shared" si="72"/>
        <v>2003</v>
      </c>
      <c r="F4405" s="3" t="s">
        <v>986</v>
      </c>
      <c r="G4405" s="6">
        <v>503.1</v>
      </c>
      <c r="H4405" s="5">
        <v>417</v>
      </c>
    </row>
    <row r="4406" spans="2:8" ht="17.5" customHeight="1" x14ac:dyDescent="0.4">
      <c r="B4406" s="3" t="s">
        <v>7</v>
      </c>
      <c r="C4406" s="3" t="s">
        <v>985</v>
      </c>
      <c r="D4406" s="4">
        <f>DATE(2003,2,28)</f>
        <v>37680</v>
      </c>
      <c r="E4406" s="5">
        <f t="shared" si="72"/>
        <v>2003</v>
      </c>
      <c r="F4406" s="3" t="s">
        <v>986</v>
      </c>
      <c r="G4406" s="6">
        <v>34340.879999999997</v>
      </c>
      <c r="H4406" s="5">
        <v>408</v>
      </c>
    </row>
    <row r="4407" spans="2:8" ht="17.5" customHeight="1" x14ac:dyDescent="0.4">
      <c r="B4407" s="3" t="s">
        <v>7</v>
      </c>
      <c r="C4407" s="3" t="s">
        <v>985</v>
      </c>
      <c r="D4407" s="4">
        <f>DATE(2003,4,8)</f>
        <v>37719</v>
      </c>
      <c r="E4407" s="5">
        <f t="shared" si="72"/>
        <v>2003</v>
      </c>
      <c r="F4407" s="3" t="s">
        <v>986</v>
      </c>
      <c r="G4407" s="6">
        <v>26358.41</v>
      </c>
      <c r="H4407" s="5">
        <v>597</v>
      </c>
    </row>
    <row r="4408" spans="2:8" ht="17.5" customHeight="1" x14ac:dyDescent="0.4">
      <c r="B4408" s="3" t="s">
        <v>7</v>
      </c>
      <c r="C4408" s="3" t="s">
        <v>985</v>
      </c>
      <c r="D4408" s="4">
        <f>DATE(2003,4,8)</f>
        <v>37719</v>
      </c>
      <c r="E4408" s="5">
        <f t="shared" si="72"/>
        <v>2003</v>
      </c>
      <c r="F4408" s="3" t="s">
        <v>986</v>
      </c>
      <c r="G4408" s="6">
        <v>26358.41</v>
      </c>
      <c r="H4408" s="5">
        <v>726</v>
      </c>
    </row>
    <row r="4409" spans="2:8" ht="17.5" customHeight="1" x14ac:dyDescent="0.4">
      <c r="B4409" s="3" t="s">
        <v>7</v>
      </c>
      <c r="C4409" s="3" t="s">
        <v>985</v>
      </c>
      <c r="D4409" s="4">
        <f>DATE(2003,4,28)</f>
        <v>37739</v>
      </c>
      <c r="E4409" s="5">
        <f t="shared" si="72"/>
        <v>2003</v>
      </c>
      <c r="F4409" s="3" t="s">
        <v>986</v>
      </c>
      <c r="G4409" s="6">
        <v>335</v>
      </c>
      <c r="H4409" s="5">
        <v>858</v>
      </c>
    </row>
    <row r="4410" spans="2:8" ht="17.5" customHeight="1" x14ac:dyDescent="0.4">
      <c r="B4410" s="3" t="s">
        <v>7</v>
      </c>
      <c r="C4410" s="3" t="s">
        <v>985</v>
      </c>
      <c r="D4410" s="4">
        <f>DATE(2003,6,4)</f>
        <v>37776</v>
      </c>
      <c r="E4410" s="5">
        <f t="shared" si="72"/>
        <v>2003</v>
      </c>
      <c r="F4410" s="3" t="s">
        <v>986</v>
      </c>
      <c r="G4410" s="6">
        <v>17641.45</v>
      </c>
      <c r="H4410" s="5">
        <v>1065</v>
      </c>
    </row>
    <row r="4411" spans="2:8" ht="17.5" customHeight="1" x14ac:dyDescent="0.4">
      <c r="B4411" s="3" t="s">
        <v>7</v>
      </c>
      <c r="C4411" s="3" t="s">
        <v>985</v>
      </c>
      <c r="D4411" s="4">
        <f>DATE(2003,6,27)</f>
        <v>37799</v>
      </c>
      <c r="E4411" s="5">
        <f t="shared" si="72"/>
        <v>2003</v>
      </c>
      <c r="F4411" s="3" t="s">
        <v>986</v>
      </c>
      <c r="G4411" s="6">
        <v>8731.17</v>
      </c>
      <c r="H4411" s="5">
        <v>1160</v>
      </c>
    </row>
    <row r="4412" spans="2:8" ht="17.5" customHeight="1" x14ac:dyDescent="0.4">
      <c r="B4412" s="3" t="s">
        <v>7</v>
      </c>
      <c r="C4412" s="3" t="s">
        <v>985</v>
      </c>
      <c r="D4412" s="4">
        <f>DATE(2003,7,28)</f>
        <v>37830</v>
      </c>
      <c r="E4412" s="5">
        <f t="shared" si="72"/>
        <v>2003</v>
      </c>
      <c r="F4412" s="3" t="s">
        <v>986</v>
      </c>
      <c r="G4412" s="6">
        <v>27264.02</v>
      </c>
      <c r="H4412" s="5">
        <v>1273</v>
      </c>
    </row>
    <row r="4413" spans="2:8" ht="17.5" customHeight="1" x14ac:dyDescent="0.4">
      <c r="B4413" s="3" t="s">
        <v>7</v>
      </c>
      <c r="C4413" s="3" t="s">
        <v>985</v>
      </c>
      <c r="D4413" s="4">
        <f>DATE(2003,9,16)</f>
        <v>37880</v>
      </c>
      <c r="E4413" s="5">
        <f t="shared" si="72"/>
        <v>2003</v>
      </c>
      <c r="F4413" s="3" t="s">
        <v>986</v>
      </c>
      <c r="G4413" s="6">
        <v>4624.07</v>
      </c>
      <c r="H4413" s="5">
        <v>1525</v>
      </c>
    </row>
    <row r="4414" spans="2:8" ht="17.5" customHeight="1" x14ac:dyDescent="0.4">
      <c r="B4414" s="3" t="s">
        <v>7</v>
      </c>
      <c r="C4414" s="3" t="s">
        <v>985</v>
      </c>
      <c r="D4414" s="4">
        <f>DATE(2003,10,3)</f>
        <v>37897</v>
      </c>
      <c r="E4414" s="5">
        <f t="shared" si="72"/>
        <v>2003</v>
      </c>
      <c r="F4414" s="3" t="s">
        <v>986</v>
      </c>
      <c r="G4414" s="6">
        <v>4351.07</v>
      </c>
      <c r="H4414" s="5">
        <v>1605</v>
      </c>
    </row>
    <row r="4415" spans="2:8" ht="17.5" customHeight="1" x14ac:dyDescent="0.4">
      <c r="B4415" s="3" t="s">
        <v>7</v>
      </c>
      <c r="C4415" s="3" t="s">
        <v>985</v>
      </c>
      <c r="D4415" s="4">
        <f>DATE(2003,11,5)</f>
        <v>37930</v>
      </c>
      <c r="E4415" s="5">
        <f t="shared" si="72"/>
        <v>2003</v>
      </c>
      <c r="F4415" s="3" t="s">
        <v>986</v>
      </c>
      <c r="G4415" s="6">
        <v>2408.0700000000002</v>
      </c>
      <c r="H4415" s="5">
        <v>1754</v>
      </c>
    </row>
    <row r="4416" spans="2:8" ht="17.5" customHeight="1" x14ac:dyDescent="0.4">
      <c r="B4416" s="3" t="s">
        <v>7</v>
      </c>
      <c r="C4416" s="3" t="s">
        <v>985</v>
      </c>
      <c r="D4416" s="4">
        <f>DATE(2004,2,20)</f>
        <v>38037</v>
      </c>
      <c r="E4416" s="5">
        <f t="shared" si="72"/>
        <v>2004</v>
      </c>
      <c r="F4416" s="3" t="s">
        <v>986</v>
      </c>
      <c r="G4416" s="6">
        <v>12421.73</v>
      </c>
      <c r="H4416" s="5">
        <v>2180</v>
      </c>
    </row>
    <row r="4417" spans="2:8" ht="17.5" customHeight="1" x14ac:dyDescent="0.4">
      <c r="B4417" s="3" t="s">
        <v>7</v>
      </c>
      <c r="C4417" s="3" t="s">
        <v>985</v>
      </c>
      <c r="D4417" s="4">
        <f>DATE(2004,2,20)</f>
        <v>38037</v>
      </c>
      <c r="E4417" s="5">
        <f t="shared" si="72"/>
        <v>2004</v>
      </c>
      <c r="F4417" s="3" t="s">
        <v>986</v>
      </c>
      <c r="G4417" s="6">
        <v>34746.800000000003</v>
      </c>
      <c r="H4417" s="5">
        <v>2214</v>
      </c>
    </row>
    <row r="4418" spans="2:8" ht="17.5" customHeight="1" x14ac:dyDescent="0.4">
      <c r="B4418" s="3" t="s">
        <v>7</v>
      </c>
      <c r="C4418" s="3" t="s">
        <v>985</v>
      </c>
      <c r="D4418" s="4">
        <f>DATE(2004,4,2)</f>
        <v>38079</v>
      </c>
      <c r="E4418" s="5">
        <f t="shared" si="72"/>
        <v>2004</v>
      </c>
      <c r="F4418" s="3" t="s">
        <v>986</v>
      </c>
      <c r="G4418" s="6">
        <v>5694.33</v>
      </c>
      <c r="H4418" s="5">
        <v>2549</v>
      </c>
    </row>
    <row r="4419" spans="2:8" ht="17.5" customHeight="1" x14ac:dyDescent="0.4">
      <c r="B4419" s="3" t="s">
        <v>7</v>
      </c>
      <c r="C4419" s="3" t="s">
        <v>985</v>
      </c>
      <c r="D4419" s="4">
        <f>DATE(2004,4,2)</f>
        <v>38079</v>
      </c>
      <c r="E4419" s="5">
        <f t="shared" ref="E4419:E4482" si="73">YEAR(D4419)</f>
        <v>2004</v>
      </c>
      <c r="F4419" s="3" t="s">
        <v>986</v>
      </c>
      <c r="G4419" s="6">
        <v>10894.33</v>
      </c>
      <c r="H4419" s="5">
        <v>2550</v>
      </c>
    </row>
    <row r="4420" spans="2:8" ht="17.5" customHeight="1" x14ac:dyDescent="0.4">
      <c r="B4420" s="3" t="s">
        <v>7</v>
      </c>
      <c r="C4420" s="3" t="s">
        <v>985</v>
      </c>
      <c r="D4420" s="4">
        <f>DATE(2004,5,12)</f>
        <v>38119</v>
      </c>
      <c r="E4420" s="5">
        <f t="shared" si="73"/>
        <v>2004</v>
      </c>
      <c r="F4420" s="3" t="s">
        <v>986</v>
      </c>
      <c r="G4420" s="6">
        <v>268</v>
      </c>
      <c r="H4420" s="5">
        <v>2870</v>
      </c>
    </row>
    <row r="4421" spans="2:8" ht="17.5" customHeight="1" x14ac:dyDescent="0.4">
      <c r="B4421" s="3" t="s">
        <v>7</v>
      </c>
      <c r="C4421" s="3" t="s">
        <v>985</v>
      </c>
      <c r="D4421" s="4">
        <f>DATE(2004,5,14)</f>
        <v>38121</v>
      </c>
      <c r="E4421" s="5">
        <f t="shared" si="73"/>
        <v>2004</v>
      </c>
      <c r="F4421" s="3" t="s">
        <v>986</v>
      </c>
      <c r="G4421" s="6">
        <v>24037.56</v>
      </c>
      <c r="H4421" s="5">
        <v>2876</v>
      </c>
    </row>
    <row r="4422" spans="2:8" ht="17.5" customHeight="1" x14ac:dyDescent="0.4">
      <c r="B4422" s="3" t="s">
        <v>7</v>
      </c>
      <c r="C4422" s="3" t="s">
        <v>985</v>
      </c>
      <c r="D4422" s="4">
        <f>DATE(2004,6,21)</f>
        <v>38159</v>
      </c>
      <c r="E4422" s="5">
        <f t="shared" si="73"/>
        <v>2004</v>
      </c>
      <c r="F4422" s="3" t="s">
        <v>986</v>
      </c>
      <c r="G4422" s="6">
        <v>12684.42</v>
      </c>
      <c r="H4422" s="5">
        <v>3062</v>
      </c>
    </row>
    <row r="4423" spans="2:8" ht="17.5" customHeight="1" x14ac:dyDescent="0.4">
      <c r="B4423" s="3" t="s">
        <v>7</v>
      </c>
      <c r="C4423" s="3" t="s">
        <v>985</v>
      </c>
      <c r="D4423" s="4">
        <f>DATE(2004,7,1)</f>
        <v>38169</v>
      </c>
      <c r="E4423" s="5">
        <f t="shared" si="73"/>
        <v>2004</v>
      </c>
      <c r="F4423" s="3" t="s">
        <v>986</v>
      </c>
      <c r="G4423" s="6">
        <v>735</v>
      </c>
      <c r="H4423" s="5">
        <v>3104</v>
      </c>
    </row>
    <row r="4424" spans="2:8" ht="17.5" customHeight="1" x14ac:dyDescent="0.4">
      <c r="B4424" s="3" t="s">
        <v>7</v>
      </c>
      <c r="C4424" s="3" t="s">
        <v>985</v>
      </c>
      <c r="D4424" s="4">
        <f>DATE(2004,9,30)</f>
        <v>38260</v>
      </c>
      <c r="E4424" s="5">
        <f t="shared" si="73"/>
        <v>2004</v>
      </c>
      <c r="F4424" s="3" t="s">
        <v>986</v>
      </c>
      <c r="G4424" s="6">
        <v>33385.29</v>
      </c>
      <c r="H4424" s="5">
        <v>3477</v>
      </c>
    </row>
    <row r="4425" spans="2:8" ht="17.5" customHeight="1" x14ac:dyDescent="0.4">
      <c r="B4425" s="3" t="s">
        <v>7</v>
      </c>
      <c r="C4425" s="3" t="s">
        <v>985</v>
      </c>
      <c r="D4425" s="4">
        <f>DATE(2004,11,5)</f>
        <v>38296</v>
      </c>
      <c r="E4425" s="5">
        <f t="shared" si="73"/>
        <v>2004</v>
      </c>
      <c r="F4425" s="3" t="s">
        <v>986</v>
      </c>
      <c r="G4425" s="6">
        <v>18887.009999999998</v>
      </c>
      <c r="H4425" s="5">
        <v>3668</v>
      </c>
    </row>
    <row r="4426" spans="2:8" ht="17.5" customHeight="1" x14ac:dyDescent="0.4">
      <c r="B4426" s="3" t="s">
        <v>7</v>
      </c>
      <c r="C4426" s="3" t="s">
        <v>985</v>
      </c>
      <c r="D4426" s="4">
        <f>DATE(2004,11,29)</f>
        <v>38320</v>
      </c>
      <c r="E4426" s="5">
        <f t="shared" si="73"/>
        <v>2004</v>
      </c>
      <c r="F4426" s="3" t="s">
        <v>986</v>
      </c>
      <c r="G4426" s="6">
        <v>1811</v>
      </c>
      <c r="H4426" s="5">
        <v>3781</v>
      </c>
    </row>
    <row r="4427" spans="2:8" ht="17.5" customHeight="1" x14ac:dyDescent="0.4">
      <c r="B4427" s="3" t="s">
        <v>7</v>
      </c>
      <c r="C4427" s="3" t="s">
        <v>985</v>
      </c>
      <c r="D4427" s="4">
        <f>DATE(2005,3,7)</f>
        <v>38418</v>
      </c>
      <c r="E4427" s="5">
        <f t="shared" si="73"/>
        <v>2005</v>
      </c>
      <c r="F4427" s="3" t="s">
        <v>986</v>
      </c>
      <c r="G4427" s="6">
        <v>36111.51</v>
      </c>
      <c r="H4427" s="5">
        <v>4247</v>
      </c>
    </row>
    <row r="4428" spans="2:8" ht="17.5" customHeight="1" x14ac:dyDescent="0.4">
      <c r="B4428" s="3" t="s">
        <v>7</v>
      </c>
      <c r="C4428" s="3" t="s">
        <v>985</v>
      </c>
      <c r="D4428" s="4">
        <f>DATE(2005,3,23)</f>
        <v>38434</v>
      </c>
      <c r="E4428" s="5">
        <f t="shared" si="73"/>
        <v>2005</v>
      </c>
      <c r="F4428" s="3" t="s">
        <v>986</v>
      </c>
      <c r="G4428" s="6">
        <v>34099.300000000003</v>
      </c>
      <c r="H4428" s="5">
        <v>4389</v>
      </c>
    </row>
    <row r="4429" spans="2:8" ht="17.5" customHeight="1" x14ac:dyDescent="0.4">
      <c r="B4429" s="3" t="s">
        <v>7</v>
      </c>
      <c r="C4429" s="3" t="s">
        <v>985</v>
      </c>
      <c r="D4429" s="4">
        <f>DATE(2005,5,12)</f>
        <v>38484</v>
      </c>
      <c r="E4429" s="5">
        <f t="shared" si="73"/>
        <v>2005</v>
      </c>
      <c r="F4429" s="3" t="s">
        <v>986</v>
      </c>
      <c r="G4429" s="6">
        <v>280</v>
      </c>
      <c r="H4429" s="5">
        <v>4736</v>
      </c>
    </row>
    <row r="4430" spans="2:8" ht="17.5" customHeight="1" x14ac:dyDescent="0.4">
      <c r="B4430" s="3" t="s">
        <v>7</v>
      </c>
      <c r="C4430" s="3" t="s">
        <v>985</v>
      </c>
      <c r="D4430" s="4">
        <f>DATE(2005,6,15)</f>
        <v>38518</v>
      </c>
      <c r="E4430" s="5">
        <f t="shared" si="73"/>
        <v>2005</v>
      </c>
      <c r="F4430" s="3" t="s">
        <v>986</v>
      </c>
      <c r="G4430" s="6">
        <v>11801.2</v>
      </c>
      <c r="H4430" s="5">
        <v>4879</v>
      </c>
    </row>
    <row r="4431" spans="2:8" ht="17.5" customHeight="1" x14ac:dyDescent="0.4">
      <c r="B4431" s="3" t="s">
        <v>7</v>
      </c>
      <c r="C4431" s="3" t="s">
        <v>985</v>
      </c>
      <c r="D4431" s="4">
        <f>DATE(2005,8,29)</f>
        <v>38593</v>
      </c>
      <c r="E4431" s="5">
        <f t="shared" si="73"/>
        <v>2005</v>
      </c>
      <c r="F4431" s="3" t="s">
        <v>986</v>
      </c>
      <c r="G4431" s="6">
        <v>17399.88</v>
      </c>
      <c r="H4431" s="5">
        <v>5185</v>
      </c>
    </row>
    <row r="4432" spans="2:8" ht="17.5" customHeight="1" x14ac:dyDescent="0.4">
      <c r="B4432" s="3" t="s">
        <v>7</v>
      </c>
      <c r="C4432" s="3" t="s">
        <v>985</v>
      </c>
      <c r="D4432" s="4">
        <f>DATE(2005,9,23)</f>
        <v>38618</v>
      </c>
      <c r="E4432" s="5">
        <f t="shared" si="73"/>
        <v>2005</v>
      </c>
      <c r="F4432" s="3" t="s">
        <v>986</v>
      </c>
      <c r="G4432" s="6">
        <v>1328.52</v>
      </c>
      <c r="H4432" s="5">
        <v>5176</v>
      </c>
    </row>
    <row r="4433" spans="2:8" ht="17.5" customHeight="1" x14ac:dyDescent="0.4">
      <c r="B4433" s="3" t="s">
        <v>7</v>
      </c>
      <c r="C4433" s="3" t="s">
        <v>985</v>
      </c>
      <c r="D4433" s="4">
        <f>DATE(2005,11,4)</f>
        <v>38660</v>
      </c>
      <c r="E4433" s="5">
        <f t="shared" si="73"/>
        <v>2005</v>
      </c>
      <c r="F4433" s="3" t="s">
        <v>986</v>
      </c>
      <c r="G4433" s="6">
        <v>22044.2</v>
      </c>
      <c r="H4433" s="5">
        <v>5521</v>
      </c>
    </row>
    <row r="4434" spans="2:8" ht="17.5" customHeight="1" x14ac:dyDescent="0.4">
      <c r="B4434" s="3" t="s">
        <v>7</v>
      </c>
      <c r="C4434" s="3" t="s">
        <v>985</v>
      </c>
      <c r="D4434" s="4">
        <f>DATE(2005,12,1)</f>
        <v>38687</v>
      </c>
      <c r="E4434" s="5">
        <f t="shared" si="73"/>
        <v>2005</v>
      </c>
      <c r="F4434" s="3" t="s">
        <v>986</v>
      </c>
      <c r="G4434" s="6">
        <v>11582.27</v>
      </c>
      <c r="H4434" s="5">
        <v>5671</v>
      </c>
    </row>
    <row r="4435" spans="2:8" ht="17.5" customHeight="1" x14ac:dyDescent="0.4">
      <c r="B4435" s="3" t="s">
        <v>16</v>
      </c>
      <c r="C4435" s="3" t="s">
        <v>985</v>
      </c>
      <c r="D4435" s="4">
        <f>DATE(2003,4,8)</f>
        <v>37719</v>
      </c>
      <c r="E4435" s="5">
        <f t="shared" si="73"/>
        <v>2003</v>
      </c>
      <c r="F4435" s="3" t="s">
        <v>986</v>
      </c>
      <c r="G4435" s="6">
        <v>26358.41</v>
      </c>
      <c r="H4435" s="5">
        <v>725</v>
      </c>
    </row>
    <row r="4436" spans="2:8" ht="17.5" customHeight="1" x14ac:dyDescent="0.4">
      <c r="B4436" s="3" t="s">
        <v>16</v>
      </c>
      <c r="C4436" s="3" t="s">
        <v>985</v>
      </c>
      <c r="D4436" s="4">
        <f>DATE(2004,4,8)</f>
        <v>38085</v>
      </c>
      <c r="E4436" s="5">
        <f t="shared" si="73"/>
        <v>2004</v>
      </c>
      <c r="F4436" s="3" t="s">
        <v>986</v>
      </c>
      <c r="G4436" s="6">
        <v>13000</v>
      </c>
      <c r="H4436" s="5">
        <v>1303</v>
      </c>
    </row>
    <row r="4437" spans="2:8" ht="17.5" customHeight="1" x14ac:dyDescent="0.4">
      <c r="B4437" t="s">
        <v>7</v>
      </c>
      <c r="C4437" t="s">
        <v>985</v>
      </c>
      <c r="D4437" s="7">
        <f>DATE(2015,2,13)</f>
        <v>42048</v>
      </c>
      <c r="E4437" s="8">
        <f t="shared" si="73"/>
        <v>2015</v>
      </c>
      <c r="F4437" t="s">
        <v>987</v>
      </c>
      <c r="G4437" s="9">
        <v>73316.59</v>
      </c>
      <c r="H4437" s="8">
        <v>404</v>
      </c>
    </row>
    <row r="4438" spans="2:8" ht="17.5" customHeight="1" x14ac:dyDescent="0.4">
      <c r="B4438" t="s">
        <v>7</v>
      </c>
      <c r="C4438" t="s">
        <v>985</v>
      </c>
      <c r="D4438" s="7">
        <f>DATE(2015,3,23)</f>
        <v>42086</v>
      </c>
      <c r="E4438" s="8">
        <f t="shared" si="73"/>
        <v>2015</v>
      </c>
      <c r="F4438" t="s">
        <v>987</v>
      </c>
      <c r="G4438" s="9">
        <v>22072.41</v>
      </c>
      <c r="H4438" s="8">
        <v>20222</v>
      </c>
    </row>
    <row r="4439" spans="2:8" ht="17.5" customHeight="1" x14ac:dyDescent="0.4">
      <c r="B4439" t="s">
        <v>7</v>
      </c>
      <c r="C4439" t="s">
        <v>985</v>
      </c>
      <c r="D4439" s="7">
        <f>DATE(2015,4,15)</f>
        <v>42109</v>
      </c>
      <c r="E4439" s="8">
        <f t="shared" si="73"/>
        <v>2015</v>
      </c>
      <c r="F4439" t="s">
        <v>987</v>
      </c>
      <c r="G4439" s="9">
        <v>21497.86</v>
      </c>
      <c r="H4439" s="8">
        <v>20259</v>
      </c>
    </row>
    <row r="4440" spans="2:8" ht="17.5" customHeight="1" x14ac:dyDescent="0.4">
      <c r="B4440" t="s">
        <v>16</v>
      </c>
      <c r="C4440" t="s">
        <v>985</v>
      </c>
      <c r="D4440" s="7">
        <f>DATE(2015,3,27)</f>
        <v>42090</v>
      </c>
      <c r="E4440" s="8">
        <f t="shared" si="73"/>
        <v>2015</v>
      </c>
      <c r="F4440" t="s">
        <v>987</v>
      </c>
      <c r="G4440" s="9">
        <v>12999.6</v>
      </c>
      <c r="H4440" s="8">
        <v>20305</v>
      </c>
    </row>
    <row r="4441" spans="2:8" ht="17.5" customHeight="1" x14ac:dyDescent="0.4">
      <c r="B4441" t="s">
        <v>16</v>
      </c>
      <c r="C4441" t="s">
        <v>985</v>
      </c>
      <c r="D4441" s="7">
        <f>DATE(2015,11,27)</f>
        <v>42335</v>
      </c>
      <c r="E4441" s="8">
        <f t="shared" si="73"/>
        <v>2015</v>
      </c>
      <c r="F4441" t="s">
        <v>987</v>
      </c>
      <c r="G4441" s="9">
        <v>484.32</v>
      </c>
      <c r="H4441" s="8">
        <v>21693</v>
      </c>
    </row>
    <row r="4442" spans="2:8" ht="17.5" customHeight="1" x14ac:dyDescent="0.4">
      <c r="B4442" t="s">
        <v>7</v>
      </c>
      <c r="C4442" t="s">
        <v>985</v>
      </c>
      <c r="D4442" s="7">
        <f>DATE(2008,3,11)</f>
        <v>39518</v>
      </c>
      <c r="E4442" s="8">
        <f t="shared" si="73"/>
        <v>2008</v>
      </c>
      <c r="F4442" t="s">
        <v>987</v>
      </c>
      <c r="G4442" s="9">
        <v>37160.050000000003</v>
      </c>
      <c r="H4442" s="8">
        <v>7024</v>
      </c>
    </row>
    <row r="4443" spans="2:8" ht="17.5" customHeight="1" x14ac:dyDescent="0.4">
      <c r="B4443" t="s">
        <v>7</v>
      </c>
      <c r="C4443" t="s">
        <v>985</v>
      </c>
      <c r="D4443" s="7">
        <f>DATE(2010,6,16)</f>
        <v>40345</v>
      </c>
      <c r="E4443" s="8">
        <f t="shared" si="73"/>
        <v>2010</v>
      </c>
      <c r="F4443" t="s">
        <v>987</v>
      </c>
      <c r="G4443" s="9">
        <v>16119.91</v>
      </c>
      <c r="H4443" s="8">
        <v>9935</v>
      </c>
    </row>
    <row r="4444" spans="2:8" ht="17.5" customHeight="1" x14ac:dyDescent="0.4">
      <c r="B4444" t="s">
        <v>7</v>
      </c>
      <c r="C4444" t="s">
        <v>985</v>
      </c>
      <c r="D4444" s="7">
        <f>DATE(2010,8,12)</f>
        <v>40402</v>
      </c>
      <c r="E4444" s="8">
        <f t="shared" si="73"/>
        <v>2010</v>
      </c>
      <c r="F4444" t="s">
        <v>987</v>
      </c>
      <c r="G4444" s="9">
        <v>14870.42</v>
      </c>
      <c r="H4444" s="8">
        <v>9895</v>
      </c>
    </row>
    <row r="4445" spans="2:8" ht="17.5" customHeight="1" x14ac:dyDescent="0.4">
      <c r="B4445" t="s">
        <v>7</v>
      </c>
      <c r="C4445" t="s">
        <v>985</v>
      </c>
      <c r="D4445" s="7">
        <f>DATE(2006,1,13)</f>
        <v>38730</v>
      </c>
      <c r="E4445" s="8">
        <f t="shared" si="73"/>
        <v>2006</v>
      </c>
      <c r="F4445" t="s">
        <v>987</v>
      </c>
      <c r="G4445" s="9">
        <v>1228</v>
      </c>
      <c r="H4445" s="8">
        <v>3948</v>
      </c>
    </row>
    <row r="4446" spans="2:8" ht="17.5" customHeight="1" x14ac:dyDescent="0.4">
      <c r="B4446" s="3" t="s">
        <v>7</v>
      </c>
      <c r="C4446" s="3" t="s">
        <v>985</v>
      </c>
      <c r="D4446" s="4">
        <f>DATE(2006,12,1)</f>
        <v>39052</v>
      </c>
      <c r="E4446" s="5">
        <f t="shared" si="73"/>
        <v>2006</v>
      </c>
      <c r="F4446" s="3" t="s">
        <v>987</v>
      </c>
      <c r="G4446" s="6">
        <v>5912.85</v>
      </c>
      <c r="H4446" s="5">
        <v>1886</v>
      </c>
    </row>
    <row r="4447" spans="2:8" ht="17.5" customHeight="1" x14ac:dyDescent="0.4">
      <c r="B4447" s="3" t="s">
        <v>7</v>
      </c>
      <c r="C4447" s="3" t="s">
        <v>985</v>
      </c>
      <c r="D4447" s="4">
        <f>DATE(2006,12,21)</f>
        <v>39072</v>
      </c>
      <c r="E4447" s="5">
        <f t="shared" si="73"/>
        <v>2006</v>
      </c>
      <c r="F4447" s="3" t="s">
        <v>987</v>
      </c>
      <c r="G4447" s="6">
        <v>852.17</v>
      </c>
      <c r="H4447" s="5">
        <v>1969</v>
      </c>
    </row>
    <row r="4448" spans="2:8" ht="17.5" customHeight="1" x14ac:dyDescent="0.4">
      <c r="B4448" s="3" t="s">
        <v>7</v>
      </c>
      <c r="C4448" s="3" t="s">
        <v>985</v>
      </c>
      <c r="D4448" s="4">
        <f>DATE(2006,12,1)</f>
        <v>39052</v>
      </c>
      <c r="E4448" s="5">
        <f t="shared" si="73"/>
        <v>2006</v>
      </c>
      <c r="F4448" s="3" t="s">
        <v>987</v>
      </c>
      <c r="G4448" s="6">
        <v>5341.13</v>
      </c>
      <c r="H4448" s="5">
        <v>1991</v>
      </c>
    </row>
    <row r="4449" spans="2:8" ht="17.5" customHeight="1" x14ac:dyDescent="0.4">
      <c r="B4449" s="3" t="s">
        <v>7</v>
      </c>
      <c r="C4449" s="3" t="s">
        <v>985</v>
      </c>
      <c r="D4449" s="4">
        <f>DATE(2006,12,1)</f>
        <v>39052</v>
      </c>
      <c r="E4449" s="5">
        <f t="shared" si="73"/>
        <v>2006</v>
      </c>
      <c r="F4449" s="3" t="s">
        <v>987</v>
      </c>
      <c r="G4449" s="6">
        <v>571.72</v>
      </c>
      <c r="H4449" s="5">
        <v>1992</v>
      </c>
    </row>
    <row r="4450" spans="2:8" ht="17.5" customHeight="1" x14ac:dyDescent="0.4">
      <c r="B4450" s="3" t="s">
        <v>7</v>
      </c>
      <c r="C4450" s="3" t="s">
        <v>985</v>
      </c>
      <c r="D4450" s="4">
        <f>DATE(2009,9,10)</f>
        <v>40066</v>
      </c>
      <c r="E4450" s="5">
        <f t="shared" si="73"/>
        <v>2009</v>
      </c>
      <c r="F4450" s="3" t="s">
        <v>987</v>
      </c>
      <c r="G4450" s="6">
        <v>1412.41</v>
      </c>
      <c r="H4450" s="5">
        <v>3547</v>
      </c>
    </row>
    <row r="4451" spans="2:8" ht="17.5" customHeight="1" x14ac:dyDescent="0.4">
      <c r="B4451" s="3" t="s">
        <v>7</v>
      </c>
      <c r="C4451" s="3" t="s">
        <v>985</v>
      </c>
      <c r="D4451" s="4">
        <f>DATE(2009,9,10)</f>
        <v>40066</v>
      </c>
      <c r="E4451" s="5">
        <f t="shared" si="73"/>
        <v>2009</v>
      </c>
      <c r="F4451" s="3" t="s">
        <v>987</v>
      </c>
      <c r="G4451" s="6">
        <v>2168.7800000000002</v>
      </c>
      <c r="H4451" s="5">
        <v>3555</v>
      </c>
    </row>
    <row r="4452" spans="2:8" ht="17.5" customHeight="1" x14ac:dyDescent="0.4">
      <c r="B4452" s="3" t="s">
        <v>7</v>
      </c>
      <c r="C4452" s="3" t="s">
        <v>985</v>
      </c>
      <c r="D4452" s="4">
        <f>DATE(2010,1,8)</f>
        <v>40186</v>
      </c>
      <c r="E4452" s="5">
        <f t="shared" si="73"/>
        <v>2010</v>
      </c>
      <c r="F4452" s="3" t="s">
        <v>987</v>
      </c>
      <c r="G4452" s="6">
        <v>124.78</v>
      </c>
      <c r="H4452" s="5">
        <v>3752</v>
      </c>
    </row>
    <row r="4453" spans="2:8" ht="17.5" customHeight="1" x14ac:dyDescent="0.4">
      <c r="B4453" s="3" t="s">
        <v>7</v>
      </c>
      <c r="C4453" s="3" t="s">
        <v>985</v>
      </c>
      <c r="D4453" s="4">
        <f>DATE(2013,5,10)</f>
        <v>41404</v>
      </c>
      <c r="E4453" s="5">
        <f t="shared" si="73"/>
        <v>2013</v>
      </c>
      <c r="F4453" s="3" t="s">
        <v>987</v>
      </c>
      <c r="G4453" s="6">
        <v>630.4</v>
      </c>
      <c r="H4453" s="5">
        <v>5574</v>
      </c>
    </row>
    <row r="4454" spans="2:8" ht="17.5" customHeight="1" x14ac:dyDescent="0.4">
      <c r="B4454" s="3" t="s">
        <v>7</v>
      </c>
      <c r="C4454" s="3" t="s">
        <v>985</v>
      </c>
      <c r="D4454" s="4">
        <f>DATE(2013,7,24)</f>
        <v>41479</v>
      </c>
      <c r="E4454" s="5">
        <f t="shared" si="73"/>
        <v>2013</v>
      </c>
      <c r="F4454" s="3" t="s">
        <v>987</v>
      </c>
      <c r="G4454" s="6">
        <v>922.36</v>
      </c>
      <c r="H4454" s="5">
        <v>5730</v>
      </c>
    </row>
    <row r="4455" spans="2:8" ht="17.5" customHeight="1" x14ac:dyDescent="0.4">
      <c r="B4455" s="3" t="s">
        <v>7</v>
      </c>
      <c r="C4455" s="3" t="s">
        <v>985</v>
      </c>
      <c r="D4455" s="4">
        <f>DATE(2013,8,29)</f>
        <v>41515</v>
      </c>
      <c r="E4455" s="5">
        <f t="shared" si="73"/>
        <v>2013</v>
      </c>
      <c r="F4455" s="3" t="s">
        <v>987</v>
      </c>
      <c r="G4455" s="6">
        <v>2000</v>
      </c>
      <c r="H4455" s="5">
        <v>5785</v>
      </c>
    </row>
    <row r="4456" spans="2:8" ht="17.5" customHeight="1" x14ac:dyDescent="0.4">
      <c r="B4456" s="3" t="s">
        <v>7</v>
      </c>
      <c r="C4456" s="3" t="s">
        <v>985</v>
      </c>
      <c r="D4456" s="4">
        <f>DATE(2014,8,28)</f>
        <v>41879</v>
      </c>
      <c r="E4456" s="5">
        <f t="shared" si="73"/>
        <v>2014</v>
      </c>
      <c r="F4456" s="3" t="s">
        <v>987</v>
      </c>
      <c r="G4456" s="6">
        <v>2657.89</v>
      </c>
      <c r="H4456" s="5">
        <v>6345</v>
      </c>
    </row>
    <row r="4457" spans="2:8" ht="17.5" customHeight="1" x14ac:dyDescent="0.4">
      <c r="B4457" s="3" t="s">
        <v>16</v>
      </c>
      <c r="C4457" s="3" t="s">
        <v>985</v>
      </c>
      <c r="D4457" s="4">
        <f>DATE(2006,12,1)</f>
        <v>39052</v>
      </c>
      <c r="E4457" s="5">
        <f t="shared" si="73"/>
        <v>2006</v>
      </c>
      <c r="F4457" s="3" t="s">
        <v>987</v>
      </c>
      <c r="G4457" s="6">
        <v>5912.85</v>
      </c>
      <c r="H4457" s="5">
        <v>1990</v>
      </c>
    </row>
    <row r="4458" spans="2:8" ht="17.5" customHeight="1" x14ac:dyDescent="0.4">
      <c r="B4458" s="3" t="s">
        <v>16</v>
      </c>
      <c r="C4458" s="3" t="s">
        <v>985</v>
      </c>
      <c r="D4458" s="4">
        <f>DATE(2010,1,8)</f>
        <v>40186</v>
      </c>
      <c r="E4458" s="5">
        <f t="shared" si="73"/>
        <v>2010</v>
      </c>
      <c r="F4458" s="3" t="s">
        <v>987</v>
      </c>
      <c r="G4458" s="6">
        <v>124.78</v>
      </c>
      <c r="H4458" s="5">
        <v>3760</v>
      </c>
    </row>
    <row r="4459" spans="2:8" ht="17.5" customHeight="1" x14ac:dyDescent="0.4">
      <c r="B4459" s="3" t="s">
        <v>16</v>
      </c>
      <c r="C4459" s="3" t="s">
        <v>985</v>
      </c>
      <c r="D4459" s="4">
        <f>DATE(2013,9,9)</f>
        <v>41526</v>
      </c>
      <c r="E4459" s="5">
        <f t="shared" si="73"/>
        <v>2013</v>
      </c>
      <c r="F4459" s="3" t="s">
        <v>987</v>
      </c>
      <c r="G4459" s="6">
        <v>400</v>
      </c>
      <c r="H4459" s="5">
        <v>5805</v>
      </c>
    </row>
    <row r="4460" spans="2:8" ht="17.5" customHeight="1" x14ac:dyDescent="0.4">
      <c r="B4460" s="3" t="s">
        <v>16</v>
      </c>
      <c r="C4460" s="3" t="s">
        <v>985</v>
      </c>
      <c r="D4460" s="4">
        <f>DATE(2014,7,17)</f>
        <v>41837</v>
      </c>
      <c r="E4460" s="5">
        <f t="shared" si="73"/>
        <v>2014</v>
      </c>
      <c r="F4460" s="3" t="s">
        <v>987</v>
      </c>
      <c r="G4460" s="6">
        <v>630.4</v>
      </c>
      <c r="H4460" s="5">
        <v>6289</v>
      </c>
    </row>
    <row r="4461" spans="2:8" ht="17.5" customHeight="1" x14ac:dyDescent="0.4">
      <c r="B4461" s="3" t="s">
        <v>7</v>
      </c>
      <c r="C4461" s="3" t="s">
        <v>985</v>
      </c>
      <c r="D4461" s="4">
        <f>DATE(2006,3,15)</f>
        <v>38791</v>
      </c>
      <c r="E4461" s="5">
        <f t="shared" si="73"/>
        <v>2006</v>
      </c>
      <c r="F4461" s="3" t="s">
        <v>987</v>
      </c>
      <c r="G4461" s="6">
        <v>21356.93</v>
      </c>
      <c r="H4461" s="5">
        <v>6290</v>
      </c>
    </row>
    <row r="4462" spans="2:8" ht="17.5" customHeight="1" x14ac:dyDescent="0.4">
      <c r="B4462" s="3" t="s">
        <v>7</v>
      </c>
      <c r="C4462" s="3" t="s">
        <v>985</v>
      </c>
      <c r="D4462" s="4">
        <f>DATE(2006,4,7)</f>
        <v>38814</v>
      </c>
      <c r="E4462" s="5">
        <f t="shared" si="73"/>
        <v>2006</v>
      </c>
      <c r="F4462" s="3" t="s">
        <v>987</v>
      </c>
      <c r="G4462" s="6">
        <v>13584.53</v>
      </c>
      <c r="H4462" s="5">
        <v>6435</v>
      </c>
    </row>
    <row r="4463" spans="2:8" ht="17.5" customHeight="1" x14ac:dyDescent="0.4">
      <c r="B4463" s="3" t="s">
        <v>7</v>
      </c>
      <c r="C4463" s="3" t="s">
        <v>985</v>
      </c>
      <c r="D4463" s="4">
        <f>DATE(2006,4,12)</f>
        <v>38819</v>
      </c>
      <c r="E4463" s="5">
        <f t="shared" si="73"/>
        <v>2006</v>
      </c>
      <c r="F4463" s="3" t="s">
        <v>987</v>
      </c>
      <c r="G4463" s="6">
        <v>22176.9</v>
      </c>
      <c r="H4463" s="5">
        <v>6459</v>
      </c>
    </row>
    <row r="4464" spans="2:8" ht="17.5" customHeight="1" x14ac:dyDescent="0.4">
      <c r="B4464" s="3" t="s">
        <v>7</v>
      </c>
      <c r="C4464" s="3" t="s">
        <v>985</v>
      </c>
      <c r="D4464" s="4">
        <f>DATE(2006,4,28)</f>
        <v>38835</v>
      </c>
      <c r="E4464" s="5">
        <f t="shared" si="73"/>
        <v>2006</v>
      </c>
      <c r="F4464" s="3" t="s">
        <v>987</v>
      </c>
      <c r="G4464" s="6">
        <v>5707.2</v>
      </c>
      <c r="H4464" s="5">
        <v>6622</v>
      </c>
    </row>
    <row r="4465" spans="2:8" ht="17.5" customHeight="1" x14ac:dyDescent="0.4">
      <c r="B4465" s="3" t="s">
        <v>7</v>
      </c>
      <c r="C4465" s="3" t="s">
        <v>985</v>
      </c>
      <c r="D4465" s="4">
        <f>DATE(2006,6,26)</f>
        <v>38894</v>
      </c>
      <c r="E4465" s="5">
        <f t="shared" si="73"/>
        <v>2006</v>
      </c>
      <c r="F4465" s="3" t="s">
        <v>987</v>
      </c>
      <c r="G4465" s="6">
        <v>35632.53</v>
      </c>
      <c r="H4465" s="5">
        <v>6893</v>
      </c>
    </row>
    <row r="4466" spans="2:8" ht="17.5" customHeight="1" x14ac:dyDescent="0.4">
      <c r="B4466" s="3" t="s">
        <v>7</v>
      </c>
      <c r="C4466" s="3" t="s">
        <v>985</v>
      </c>
      <c r="D4466" s="4">
        <f>DATE(2006,8,9)</f>
        <v>38938</v>
      </c>
      <c r="E4466" s="5">
        <f t="shared" si="73"/>
        <v>2006</v>
      </c>
      <c r="F4466" s="3" t="s">
        <v>987</v>
      </c>
      <c r="G4466" s="6">
        <v>10695.76</v>
      </c>
      <c r="H4466" s="5">
        <v>7066</v>
      </c>
    </row>
    <row r="4467" spans="2:8" ht="17.5" customHeight="1" x14ac:dyDescent="0.4">
      <c r="B4467" s="3" t="s">
        <v>7</v>
      </c>
      <c r="C4467" s="3" t="s">
        <v>985</v>
      </c>
      <c r="D4467" s="4">
        <f>DATE(2006,8,25)</f>
        <v>38954</v>
      </c>
      <c r="E4467" s="5">
        <f t="shared" si="73"/>
        <v>2006</v>
      </c>
      <c r="F4467" s="3" t="s">
        <v>987</v>
      </c>
      <c r="G4467" s="6">
        <v>11977.25</v>
      </c>
      <c r="H4467" s="5">
        <v>7136</v>
      </c>
    </row>
    <row r="4468" spans="2:8" ht="17.5" customHeight="1" x14ac:dyDescent="0.4">
      <c r="B4468" s="3" t="s">
        <v>7</v>
      </c>
      <c r="C4468" s="3" t="s">
        <v>985</v>
      </c>
      <c r="D4468" s="4">
        <f>DATE(2007,3,12)</f>
        <v>39153</v>
      </c>
      <c r="E4468" s="5">
        <f t="shared" si="73"/>
        <v>2007</v>
      </c>
      <c r="F4468" s="3" t="s">
        <v>987</v>
      </c>
      <c r="G4468" s="6">
        <v>22203.08</v>
      </c>
      <c r="H4468" s="5">
        <v>8119</v>
      </c>
    </row>
    <row r="4469" spans="2:8" ht="17.5" customHeight="1" x14ac:dyDescent="0.4">
      <c r="B4469" s="3" t="s">
        <v>7</v>
      </c>
      <c r="C4469" s="3" t="s">
        <v>985</v>
      </c>
      <c r="D4469" s="4">
        <f>DATE(2007,3,29)</f>
        <v>39170</v>
      </c>
      <c r="E4469" s="5">
        <f t="shared" si="73"/>
        <v>2007</v>
      </c>
      <c r="F4469" s="3" t="s">
        <v>987</v>
      </c>
      <c r="G4469" s="6">
        <v>18287.669999999998</v>
      </c>
      <c r="H4469" s="5">
        <v>8253</v>
      </c>
    </row>
    <row r="4470" spans="2:8" ht="17.5" customHeight="1" x14ac:dyDescent="0.4">
      <c r="B4470" s="3" t="s">
        <v>7</v>
      </c>
      <c r="C4470" s="3" t="s">
        <v>985</v>
      </c>
      <c r="D4470" s="4">
        <f>DATE(2007,8,8)</f>
        <v>39302</v>
      </c>
      <c r="E4470" s="5">
        <f t="shared" si="73"/>
        <v>2007</v>
      </c>
      <c r="F4470" s="3" t="s">
        <v>987</v>
      </c>
      <c r="G4470" s="6">
        <v>9462.6</v>
      </c>
      <c r="H4470" s="5">
        <v>8977</v>
      </c>
    </row>
    <row r="4471" spans="2:8" ht="17.5" customHeight="1" x14ac:dyDescent="0.4">
      <c r="B4471" s="3" t="s">
        <v>7</v>
      </c>
      <c r="C4471" s="3" t="s">
        <v>985</v>
      </c>
      <c r="D4471" s="4">
        <f>DATE(2007,11,7)</f>
        <v>39393</v>
      </c>
      <c r="E4471" s="5">
        <f t="shared" si="73"/>
        <v>2007</v>
      </c>
      <c r="F4471" s="3" t="s">
        <v>987</v>
      </c>
      <c r="G4471" s="6">
        <v>21278.76</v>
      </c>
      <c r="H4471" s="5">
        <v>9437</v>
      </c>
    </row>
    <row r="4472" spans="2:8" ht="17.5" customHeight="1" x14ac:dyDescent="0.4">
      <c r="B4472" s="3" t="s">
        <v>7</v>
      </c>
      <c r="C4472" s="3" t="s">
        <v>985</v>
      </c>
      <c r="D4472" s="4">
        <f>DATE(2007,12,5)</f>
        <v>39421</v>
      </c>
      <c r="E4472" s="5">
        <f t="shared" si="73"/>
        <v>2007</v>
      </c>
      <c r="F4472" s="3" t="s">
        <v>987</v>
      </c>
      <c r="G4472" s="6">
        <v>16277.31</v>
      </c>
      <c r="H4472" s="5">
        <v>9561</v>
      </c>
    </row>
    <row r="4473" spans="2:8" ht="17.5" customHeight="1" x14ac:dyDescent="0.4">
      <c r="B4473" s="3" t="s">
        <v>7</v>
      </c>
      <c r="C4473" s="3" t="s">
        <v>985</v>
      </c>
      <c r="D4473" s="4">
        <f>DATE(2007,12,5)</f>
        <v>39421</v>
      </c>
      <c r="E4473" s="5">
        <f t="shared" si="73"/>
        <v>2007</v>
      </c>
      <c r="F4473" s="3" t="s">
        <v>987</v>
      </c>
      <c r="G4473" s="6">
        <v>19227.310000000001</v>
      </c>
      <c r="H4473" s="5">
        <v>9591</v>
      </c>
    </row>
    <row r="4474" spans="2:8" ht="17.5" customHeight="1" x14ac:dyDescent="0.4">
      <c r="B4474" s="3" t="s">
        <v>7</v>
      </c>
      <c r="C4474" s="3" t="s">
        <v>985</v>
      </c>
      <c r="D4474" s="4">
        <f>DATE(2007,12,26)</f>
        <v>39442</v>
      </c>
      <c r="E4474" s="5">
        <f t="shared" si="73"/>
        <v>2007</v>
      </c>
      <c r="F4474" s="3" t="s">
        <v>987</v>
      </c>
      <c r="G4474" s="6">
        <v>2846.28</v>
      </c>
      <c r="H4474" s="5">
        <v>9630</v>
      </c>
    </row>
    <row r="4475" spans="2:8" ht="17.5" customHeight="1" x14ac:dyDescent="0.4">
      <c r="B4475" s="3" t="s">
        <v>7</v>
      </c>
      <c r="C4475" s="3" t="s">
        <v>985</v>
      </c>
      <c r="D4475" s="4">
        <f>DATE(2008,1,1)</f>
        <v>39448</v>
      </c>
      <c r="E4475" s="5">
        <f t="shared" si="73"/>
        <v>2008</v>
      </c>
      <c r="F4475" s="3" t="s">
        <v>987</v>
      </c>
      <c r="G4475" s="6">
        <v>716.69</v>
      </c>
      <c r="H4475" s="5">
        <v>9846</v>
      </c>
    </row>
    <row r="4476" spans="2:8" ht="17.5" customHeight="1" x14ac:dyDescent="0.4">
      <c r="B4476" s="3" t="s">
        <v>7</v>
      </c>
      <c r="C4476" s="3" t="s">
        <v>985</v>
      </c>
      <c r="D4476" s="4">
        <f>DATE(2008,3,20)</f>
        <v>39527</v>
      </c>
      <c r="E4476" s="5">
        <f t="shared" si="73"/>
        <v>2008</v>
      </c>
      <c r="F4476" s="3" t="s">
        <v>987</v>
      </c>
      <c r="G4476" s="6">
        <v>29420.35</v>
      </c>
      <c r="H4476" s="5">
        <v>10266</v>
      </c>
    </row>
    <row r="4477" spans="2:8" ht="17.5" customHeight="1" x14ac:dyDescent="0.4">
      <c r="B4477" s="3" t="s">
        <v>7</v>
      </c>
      <c r="C4477" s="3" t="s">
        <v>985</v>
      </c>
      <c r="D4477" s="4">
        <f>DATE(2008,3,31)</f>
        <v>39538</v>
      </c>
      <c r="E4477" s="5">
        <f t="shared" si="73"/>
        <v>2008</v>
      </c>
      <c r="F4477" s="3" t="s">
        <v>987</v>
      </c>
      <c r="G4477" s="6">
        <v>13311.65</v>
      </c>
      <c r="H4477" s="5">
        <v>10243</v>
      </c>
    </row>
    <row r="4478" spans="2:8" ht="17.5" customHeight="1" x14ac:dyDescent="0.4">
      <c r="B4478" s="3" t="s">
        <v>7</v>
      </c>
      <c r="C4478" s="3" t="s">
        <v>985</v>
      </c>
      <c r="D4478" s="4">
        <f>DATE(2008,4,17)</f>
        <v>39555</v>
      </c>
      <c r="E4478" s="5">
        <f t="shared" si="73"/>
        <v>2008</v>
      </c>
      <c r="F4478" s="3" t="s">
        <v>987</v>
      </c>
      <c r="G4478" s="6">
        <v>2207.29</v>
      </c>
      <c r="H4478" s="5">
        <v>10481</v>
      </c>
    </row>
    <row r="4479" spans="2:8" ht="17.5" customHeight="1" x14ac:dyDescent="0.4">
      <c r="B4479" s="3" t="s">
        <v>7</v>
      </c>
      <c r="C4479" s="3" t="s">
        <v>985</v>
      </c>
      <c r="D4479" s="4">
        <f>DATE(2008,5,29)</f>
        <v>39597</v>
      </c>
      <c r="E4479" s="5">
        <f t="shared" si="73"/>
        <v>2008</v>
      </c>
      <c r="F4479" s="3" t="s">
        <v>987</v>
      </c>
      <c r="G4479" s="6">
        <v>3915.61</v>
      </c>
      <c r="H4479" s="5">
        <v>10743</v>
      </c>
    </row>
    <row r="4480" spans="2:8" ht="17.5" customHeight="1" x14ac:dyDescent="0.4">
      <c r="B4480" s="3" t="s">
        <v>7</v>
      </c>
      <c r="C4480" s="3" t="s">
        <v>985</v>
      </c>
      <c r="D4480" s="4">
        <f>DATE(2008,7,1)</f>
        <v>39630</v>
      </c>
      <c r="E4480" s="5">
        <f t="shared" si="73"/>
        <v>2008</v>
      </c>
      <c r="F4480" s="3" t="s">
        <v>987</v>
      </c>
      <c r="G4480" s="6">
        <v>3786</v>
      </c>
      <c r="H4480" s="5">
        <v>10810</v>
      </c>
    </row>
    <row r="4481" spans="2:8" ht="17.5" customHeight="1" x14ac:dyDescent="0.4">
      <c r="B4481" s="3" t="s">
        <v>7</v>
      </c>
      <c r="C4481" s="3" t="s">
        <v>985</v>
      </c>
      <c r="D4481" s="4">
        <f>DATE(2008,7,14)</f>
        <v>39643</v>
      </c>
      <c r="E4481" s="5">
        <f t="shared" si="73"/>
        <v>2008</v>
      </c>
      <c r="F4481" s="3" t="s">
        <v>987</v>
      </c>
      <c r="G4481" s="6">
        <v>22736.89</v>
      </c>
      <c r="H4481" s="5">
        <v>10944</v>
      </c>
    </row>
    <row r="4482" spans="2:8" ht="17.5" customHeight="1" x14ac:dyDescent="0.4">
      <c r="B4482" s="3" t="s">
        <v>7</v>
      </c>
      <c r="C4482" s="3" t="s">
        <v>985</v>
      </c>
      <c r="D4482" s="4">
        <f>DATE(2008,8,22)</f>
        <v>39682</v>
      </c>
      <c r="E4482" s="5">
        <f t="shared" si="73"/>
        <v>2008</v>
      </c>
      <c r="F4482" s="3" t="s">
        <v>987</v>
      </c>
      <c r="G4482" s="6">
        <v>18966.099999999999</v>
      </c>
      <c r="H4482" s="5">
        <v>11123</v>
      </c>
    </row>
    <row r="4483" spans="2:8" ht="17.5" customHeight="1" x14ac:dyDescent="0.4">
      <c r="B4483" s="3" t="s">
        <v>7</v>
      </c>
      <c r="C4483" s="3" t="s">
        <v>985</v>
      </c>
      <c r="D4483" s="4">
        <f>DATE(2008,9,18)</f>
        <v>39709</v>
      </c>
      <c r="E4483" s="5">
        <f t="shared" ref="E4483:E4546" si="74">YEAR(D4483)</f>
        <v>2008</v>
      </c>
      <c r="F4483" s="3" t="s">
        <v>987</v>
      </c>
      <c r="G4483" s="6">
        <v>3626.13</v>
      </c>
      <c r="H4483" s="5">
        <v>11251</v>
      </c>
    </row>
    <row r="4484" spans="2:8" ht="17.5" customHeight="1" x14ac:dyDescent="0.4">
      <c r="B4484" s="3" t="s">
        <v>7</v>
      </c>
      <c r="C4484" s="3" t="s">
        <v>985</v>
      </c>
      <c r="D4484" s="4">
        <f>DATE(2008,10,15)</f>
        <v>39736</v>
      </c>
      <c r="E4484" s="5">
        <f t="shared" si="74"/>
        <v>2008</v>
      </c>
      <c r="F4484" s="3" t="s">
        <v>987</v>
      </c>
      <c r="G4484" s="6">
        <v>2587.85</v>
      </c>
      <c r="H4484" s="5">
        <v>11424</v>
      </c>
    </row>
    <row r="4485" spans="2:8" ht="17.5" customHeight="1" x14ac:dyDescent="0.4">
      <c r="B4485" s="3" t="s">
        <v>7</v>
      </c>
      <c r="C4485" s="3" t="s">
        <v>985</v>
      </c>
      <c r="D4485" s="4">
        <f>DATE(2008,11,25)</f>
        <v>39777</v>
      </c>
      <c r="E4485" s="5">
        <f t="shared" si="74"/>
        <v>2008</v>
      </c>
      <c r="F4485" s="3" t="s">
        <v>987</v>
      </c>
      <c r="G4485" s="6">
        <v>13592</v>
      </c>
      <c r="H4485" s="5">
        <v>11589</v>
      </c>
    </row>
    <row r="4486" spans="2:8" ht="17.5" customHeight="1" x14ac:dyDescent="0.4">
      <c r="B4486" s="3" t="s">
        <v>7</v>
      </c>
      <c r="C4486" s="3" t="s">
        <v>985</v>
      </c>
      <c r="D4486" s="4">
        <f>DATE(2008,11,25)</f>
        <v>39777</v>
      </c>
      <c r="E4486" s="5">
        <f t="shared" si="74"/>
        <v>2008</v>
      </c>
      <c r="F4486" s="3" t="s">
        <v>987</v>
      </c>
      <c r="G4486" s="6">
        <v>15358.08</v>
      </c>
      <c r="H4486" s="5">
        <v>11634</v>
      </c>
    </row>
    <row r="4487" spans="2:8" ht="17.5" customHeight="1" x14ac:dyDescent="0.4">
      <c r="B4487" s="3" t="s">
        <v>7</v>
      </c>
      <c r="C4487" s="3" t="s">
        <v>985</v>
      </c>
      <c r="D4487" s="4">
        <f>DATE(2009,2,13)</f>
        <v>39857</v>
      </c>
      <c r="E4487" s="5">
        <f t="shared" si="74"/>
        <v>2009</v>
      </c>
      <c r="F4487" s="3" t="s">
        <v>987</v>
      </c>
      <c r="G4487" s="6">
        <v>22611.78</v>
      </c>
      <c r="H4487" s="5">
        <v>11991</v>
      </c>
    </row>
    <row r="4488" spans="2:8" ht="17.5" customHeight="1" x14ac:dyDescent="0.4">
      <c r="B4488" s="3" t="s">
        <v>7</v>
      </c>
      <c r="C4488" s="3" t="s">
        <v>985</v>
      </c>
      <c r="D4488" s="4">
        <f>DATE(2009,4,1)</f>
        <v>39904</v>
      </c>
      <c r="E4488" s="5">
        <f t="shared" si="74"/>
        <v>2009</v>
      </c>
      <c r="F4488" s="3" t="s">
        <v>987</v>
      </c>
      <c r="G4488" s="6">
        <v>15016.98</v>
      </c>
      <c r="H4488" s="5">
        <v>12311</v>
      </c>
    </row>
    <row r="4489" spans="2:8" ht="17.5" customHeight="1" x14ac:dyDescent="0.4">
      <c r="B4489" s="3" t="s">
        <v>7</v>
      </c>
      <c r="C4489" s="3" t="s">
        <v>985</v>
      </c>
      <c r="D4489" s="4">
        <f>DATE(2009,5,18)</f>
        <v>39951</v>
      </c>
      <c r="E4489" s="5">
        <f t="shared" si="74"/>
        <v>2009</v>
      </c>
      <c r="F4489" s="3" t="s">
        <v>987</v>
      </c>
      <c r="G4489" s="6">
        <v>23805.95</v>
      </c>
      <c r="H4489" s="5">
        <v>12567</v>
      </c>
    </row>
    <row r="4490" spans="2:8" ht="17.5" customHeight="1" x14ac:dyDescent="0.4">
      <c r="B4490" s="3" t="s">
        <v>7</v>
      </c>
      <c r="C4490" s="3" t="s">
        <v>985</v>
      </c>
      <c r="D4490" s="4">
        <f>DATE(2009,6,29)</f>
        <v>39993</v>
      </c>
      <c r="E4490" s="5">
        <f t="shared" si="74"/>
        <v>2009</v>
      </c>
      <c r="F4490" s="3" t="s">
        <v>987</v>
      </c>
      <c r="G4490" s="6">
        <v>41199.31</v>
      </c>
      <c r="H4490" s="5">
        <v>12750</v>
      </c>
    </row>
    <row r="4491" spans="2:8" ht="17.5" customHeight="1" x14ac:dyDescent="0.4">
      <c r="B4491" s="3" t="s">
        <v>7</v>
      </c>
      <c r="C4491" s="3" t="s">
        <v>985</v>
      </c>
      <c r="D4491" s="4">
        <f>DATE(2009,7,17)</f>
        <v>40011</v>
      </c>
      <c r="E4491" s="5">
        <f t="shared" si="74"/>
        <v>2009</v>
      </c>
      <c r="F4491" s="3" t="s">
        <v>987</v>
      </c>
      <c r="G4491" s="6">
        <v>41065.32</v>
      </c>
      <c r="H4491" s="5">
        <v>12810</v>
      </c>
    </row>
    <row r="4492" spans="2:8" ht="17.5" customHeight="1" x14ac:dyDescent="0.4">
      <c r="B4492" s="3" t="s">
        <v>7</v>
      </c>
      <c r="C4492" s="3" t="s">
        <v>985</v>
      </c>
      <c r="D4492" s="4">
        <f>DATE(2009,9,1)</f>
        <v>40057</v>
      </c>
      <c r="E4492" s="5">
        <f t="shared" si="74"/>
        <v>2009</v>
      </c>
      <c r="F4492" s="3" t="s">
        <v>987</v>
      </c>
      <c r="G4492" s="6">
        <v>395.92</v>
      </c>
      <c r="H4492" s="5">
        <v>12970</v>
      </c>
    </row>
    <row r="4493" spans="2:8" ht="17.5" customHeight="1" x14ac:dyDescent="0.4">
      <c r="B4493" s="3" t="s">
        <v>7</v>
      </c>
      <c r="C4493" s="3" t="s">
        <v>985</v>
      </c>
      <c r="D4493" s="4">
        <f>DATE(2009,10,12)</f>
        <v>40098</v>
      </c>
      <c r="E4493" s="5">
        <f t="shared" si="74"/>
        <v>2009</v>
      </c>
      <c r="F4493" s="3" t="s">
        <v>987</v>
      </c>
      <c r="G4493" s="6">
        <v>3696.17</v>
      </c>
      <c r="H4493" s="5">
        <v>13133</v>
      </c>
    </row>
    <row r="4494" spans="2:8" ht="17.5" customHeight="1" x14ac:dyDescent="0.4">
      <c r="B4494" s="3" t="s">
        <v>7</v>
      </c>
      <c r="C4494" s="3" t="s">
        <v>985</v>
      </c>
      <c r="D4494" s="4">
        <f>DATE(2009,12,3)</f>
        <v>40150</v>
      </c>
      <c r="E4494" s="5">
        <f t="shared" si="74"/>
        <v>2009</v>
      </c>
      <c r="F4494" s="3" t="s">
        <v>987</v>
      </c>
      <c r="G4494" s="6">
        <v>23222.87</v>
      </c>
      <c r="H4494" s="5">
        <v>13314</v>
      </c>
    </row>
    <row r="4495" spans="2:8" ht="17.5" customHeight="1" x14ac:dyDescent="0.4">
      <c r="B4495" s="3" t="s">
        <v>7</v>
      </c>
      <c r="C4495" s="3" t="s">
        <v>985</v>
      </c>
      <c r="D4495" s="4">
        <f>DATE(2010,3,22)</f>
        <v>40259</v>
      </c>
      <c r="E4495" s="5">
        <f t="shared" si="74"/>
        <v>2010</v>
      </c>
      <c r="F4495" s="3" t="s">
        <v>987</v>
      </c>
      <c r="G4495" s="6">
        <v>2758.69</v>
      </c>
      <c r="H4495" s="5">
        <v>13779</v>
      </c>
    </row>
    <row r="4496" spans="2:8" ht="17.5" customHeight="1" x14ac:dyDescent="0.4">
      <c r="B4496" s="3" t="s">
        <v>7</v>
      </c>
      <c r="C4496" s="3" t="s">
        <v>985</v>
      </c>
      <c r="D4496" s="4">
        <f>DATE(2010,5,13)</f>
        <v>40311</v>
      </c>
      <c r="E4496" s="5">
        <f t="shared" si="74"/>
        <v>2010</v>
      </c>
      <c r="F4496" s="3" t="s">
        <v>987</v>
      </c>
      <c r="G4496" s="6">
        <v>69463.67</v>
      </c>
      <c r="H4496" s="5">
        <v>14037</v>
      </c>
    </row>
    <row r="4497" spans="2:8" ht="17.5" customHeight="1" x14ac:dyDescent="0.4">
      <c r="B4497" s="3" t="s">
        <v>7</v>
      </c>
      <c r="C4497" s="3" t="s">
        <v>985</v>
      </c>
      <c r="D4497" s="4">
        <f>DATE(2010,5,27)</f>
        <v>40325</v>
      </c>
      <c r="E4497" s="5">
        <f t="shared" si="74"/>
        <v>2010</v>
      </c>
      <c r="F4497" s="3" t="s">
        <v>987</v>
      </c>
      <c r="G4497" s="6">
        <v>12960.96</v>
      </c>
      <c r="H4497" s="5">
        <v>14049</v>
      </c>
    </row>
    <row r="4498" spans="2:8" ht="17.5" customHeight="1" x14ac:dyDescent="0.4">
      <c r="B4498" s="3" t="s">
        <v>7</v>
      </c>
      <c r="C4498" s="3" t="s">
        <v>985</v>
      </c>
      <c r="D4498" s="4">
        <f>DATE(2010,7,2)</f>
        <v>40361</v>
      </c>
      <c r="E4498" s="5">
        <f t="shared" si="74"/>
        <v>2010</v>
      </c>
      <c r="F4498" s="3" t="s">
        <v>987</v>
      </c>
      <c r="G4498" s="6">
        <v>125</v>
      </c>
      <c r="H4498" s="5">
        <v>14249</v>
      </c>
    </row>
    <row r="4499" spans="2:8" ht="17.5" customHeight="1" x14ac:dyDescent="0.4">
      <c r="B4499" s="3" t="s">
        <v>7</v>
      </c>
      <c r="C4499" s="3" t="s">
        <v>985</v>
      </c>
      <c r="D4499" s="4">
        <f>DATE(2010,10,13)</f>
        <v>40464</v>
      </c>
      <c r="E4499" s="5">
        <f t="shared" si="74"/>
        <v>2010</v>
      </c>
      <c r="F4499" s="3" t="s">
        <v>987</v>
      </c>
      <c r="G4499" s="6">
        <v>3521.45</v>
      </c>
      <c r="H4499" s="5">
        <v>14628</v>
      </c>
    </row>
    <row r="4500" spans="2:8" ht="17.5" customHeight="1" x14ac:dyDescent="0.4">
      <c r="B4500" s="3" t="s">
        <v>7</v>
      </c>
      <c r="C4500" s="3" t="s">
        <v>985</v>
      </c>
      <c r="D4500" s="4">
        <f>DATE(2010,12,8)</f>
        <v>40520</v>
      </c>
      <c r="E4500" s="5">
        <f t="shared" si="74"/>
        <v>2010</v>
      </c>
      <c r="F4500" s="3" t="s">
        <v>987</v>
      </c>
      <c r="G4500" s="6">
        <v>60561.95</v>
      </c>
      <c r="H4500" s="5">
        <v>14801</v>
      </c>
    </row>
    <row r="4501" spans="2:8" ht="17.5" customHeight="1" x14ac:dyDescent="0.4">
      <c r="B4501" s="3" t="s">
        <v>7</v>
      </c>
      <c r="C4501" s="3" t="s">
        <v>985</v>
      </c>
      <c r="D4501" s="4">
        <f>DATE(2010,12,8)</f>
        <v>40520</v>
      </c>
      <c r="E4501" s="5">
        <f t="shared" si="74"/>
        <v>2010</v>
      </c>
      <c r="F4501" s="3" t="s">
        <v>987</v>
      </c>
      <c r="G4501" s="6">
        <v>37</v>
      </c>
      <c r="H4501" s="5">
        <v>14630</v>
      </c>
    </row>
    <row r="4502" spans="2:8" ht="17.5" customHeight="1" x14ac:dyDescent="0.4">
      <c r="B4502" s="3" t="s">
        <v>7</v>
      </c>
      <c r="C4502" s="3" t="s">
        <v>985</v>
      </c>
      <c r="D4502" s="4">
        <f>DATE(2011,3,29)</f>
        <v>40631</v>
      </c>
      <c r="E4502" s="5">
        <f t="shared" si="74"/>
        <v>2011</v>
      </c>
      <c r="F4502" s="3" t="s">
        <v>987</v>
      </c>
      <c r="G4502" s="6">
        <v>1824.91</v>
      </c>
      <c r="H4502" s="5">
        <v>15331</v>
      </c>
    </row>
    <row r="4503" spans="2:8" ht="17.5" customHeight="1" x14ac:dyDescent="0.4">
      <c r="B4503" s="3" t="s">
        <v>7</v>
      </c>
      <c r="C4503" s="3" t="s">
        <v>985</v>
      </c>
      <c r="D4503" s="4">
        <f>DATE(2011,4,4)</f>
        <v>40637</v>
      </c>
      <c r="E4503" s="5">
        <f t="shared" si="74"/>
        <v>2011</v>
      </c>
      <c r="F4503" s="3" t="s">
        <v>987</v>
      </c>
      <c r="G4503" s="6">
        <v>59473.88</v>
      </c>
      <c r="H4503" s="5">
        <v>15315</v>
      </c>
    </row>
    <row r="4504" spans="2:8" ht="17.5" customHeight="1" x14ac:dyDescent="0.4">
      <c r="B4504" s="3" t="s">
        <v>7</v>
      </c>
      <c r="C4504" s="3" t="s">
        <v>985</v>
      </c>
      <c r="D4504" s="4">
        <f>DATE(2011,6,14)</f>
        <v>40708</v>
      </c>
      <c r="E4504" s="5">
        <f t="shared" si="74"/>
        <v>2011</v>
      </c>
      <c r="F4504" s="3" t="s">
        <v>987</v>
      </c>
      <c r="G4504" s="6">
        <v>190</v>
      </c>
      <c r="H4504" s="5">
        <v>15694</v>
      </c>
    </row>
    <row r="4505" spans="2:8" ht="17.5" customHeight="1" x14ac:dyDescent="0.4">
      <c r="B4505" s="3" t="s">
        <v>7</v>
      </c>
      <c r="C4505" s="3" t="s">
        <v>985</v>
      </c>
      <c r="D4505" s="4">
        <f>DATE(2011,7,5)</f>
        <v>40729</v>
      </c>
      <c r="E4505" s="5">
        <f t="shared" si="74"/>
        <v>2011</v>
      </c>
      <c r="F4505" s="3" t="s">
        <v>987</v>
      </c>
      <c r="G4505" s="6">
        <v>13207.27</v>
      </c>
      <c r="H4505" s="5">
        <v>15751</v>
      </c>
    </row>
    <row r="4506" spans="2:8" ht="17.5" customHeight="1" x14ac:dyDescent="0.4">
      <c r="B4506" s="3" t="s">
        <v>7</v>
      </c>
      <c r="C4506" s="3" t="s">
        <v>985</v>
      </c>
      <c r="D4506" s="4">
        <f>DATE(2011,7,26)</f>
        <v>40750</v>
      </c>
      <c r="E4506" s="5">
        <f t="shared" si="74"/>
        <v>2011</v>
      </c>
      <c r="F4506" s="3" t="s">
        <v>987</v>
      </c>
      <c r="G4506" s="6">
        <v>13617.63</v>
      </c>
      <c r="H4506" s="5">
        <v>15802</v>
      </c>
    </row>
    <row r="4507" spans="2:8" ht="17.5" customHeight="1" x14ac:dyDescent="0.4">
      <c r="B4507" s="3" t="s">
        <v>7</v>
      </c>
      <c r="C4507" s="3" t="s">
        <v>985</v>
      </c>
      <c r="D4507" s="4">
        <f>DATE(2011,8,23)</f>
        <v>40778</v>
      </c>
      <c r="E4507" s="5">
        <f t="shared" si="74"/>
        <v>2011</v>
      </c>
      <c r="F4507" s="3" t="s">
        <v>987</v>
      </c>
      <c r="G4507" s="6">
        <v>15896.14</v>
      </c>
      <c r="H4507" s="5">
        <v>15904</v>
      </c>
    </row>
    <row r="4508" spans="2:8" ht="17.5" customHeight="1" x14ac:dyDescent="0.4">
      <c r="B4508" s="3" t="s">
        <v>7</v>
      </c>
      <c r="C4508" s="3" t="s">
        <v>985</v>
      </c>
      <c r="D4508" s="4">
        <f>DATE(2011,8,31)</f>
        <v>40786</v>
      </c>
      <c r="E4508" s="5">
        <f t="shared" si="74"/>
        <v>2011</v>
      </c>
      <c r="F4508" s="3" t="s">
        <v>987</v>
      </c>
      <c r="G4508" s="6">
        <v>217.5</v>
      </c>
      <c r="H4508" s="5">
        <v>15939</v>
      </c>
    </row>
    <row r="4509" spans="2:8" ht="17.5" customHeight="1" x14ac:dyDescent="0.4">
      <c r="B4509" s="3" t="s">
        <v>7</v>
      </c>
      <c r="C4509" s="3" t="s">
        <v>985</v>
      </c>
      <c r="D4509" s="4">
        <f>DATE(2011,11,9)</f>
        <v>40856</v>
      </c>
      <c r="E4509" s="5">
        <f t="shared" si="74"/>
        <v>2011</v>
      </c>
      <c r="F4509" s="3" t="s">
        <v>987</v>
      </c>
      <c r="G4509" s="6">
        <v>2650.28</v>
      </c>
      <c r="H4509" s="5">
        <v>16187</v>
      </c>
    </row>
    <row r="4510" spans="2:8" ht="17.5" customHeight="1" x14ac:dyDescent="0.4">
      <c r="B4510" s="3" t="s">
        <v>7</v>
      </c>
      <c r="C4510" s="3" t="s">
        <v>985</v>
      </c>
      <c r="D4510" s="4">
        <f>DATE(2012,3,19)</f>
        <v>40987</v>
      </c>
      <c r="E4510" s="5">
        <f t="shared" si="74"/>
        <v>2012</v>
      </c>
      <c r="F4510" s="3" t="s">
        <v>987</v>
      </c>
      <c r="G4510" s="6">
        <v>3877.26</v>
      </c>
      <c r="H4510" s="5">
        <v>16780</v>
      </c>
    </row>
    <row r="4511" spans="2:8" ht="17.5" customHeight="1" x14ac:dyDescent="0.4">
      <c r="B4511" s="3" t="s">
        <v>7</v>
      </c>
      <c r="C4511" s="3" t="s">
        <v>985</v>
      </c>
      <c r="D4511" s="4">
        <f>DATE(2012,4,18)</f>
        <v>41017</v>
      </c>
      <c r="E4511" s="5">
        <f t="shared" si="74"/>
        <v>2012</v>
      </c>
      <c r="F4511" s="3" t="s">
        <v>987</v>
      </c>
      <c r="G4511" s="6">
        <v>80434.06</v>
      </c>
      <c r="H4511" s="5">
        <v>16693</v>
      </c>
    </row>
    <row r="4512" spans="2:8" ht="17.5" customHeight="1" x14ac:dyDescent="0.4">
      <c r="B4512" s="3" t="s">
        <v>7</v>
      </c>
      <c r="C4512" s="3" t="s">
        <v>985</v>
      </c>
      <c r="D4512" s="4">
        <f>DATE(2012,9,21)</f>
        <v>41173</v>
      </c>
      <c r="E4512" s="5">
        <f t="shared" si="74"/>
        <v>2012</v>
      </c>
      <c r="F4512" s="3" t="s">
        <v>987</v>
      </c>
      <c r="G4512" s="6">
        <v>7656.12</v>
      </c>
      <c r="H4512" s="5">
        <v>17609</v>
      </c>
    </row>
    <row r="4513" spans="2:8" ht="17.5" customHeight="1" x14ac:dyDescent="0.4">
      <c r="B4513" s="3" t="s">
        <v>7</v>
      </c>
      <c r="C4513" s="3" t="s">
        <v>985</v>
      </c>
      <c r="D4513" s="4">
        <f>DATE(2013,3,18)</f>
        <v>41351</v>
      </c>
      <c r="E4513" s="5">
        <f t="shared" si="74"/>
        <v>2013</v>
      </c>
      <c r="F4513" s="3" t="s">
        <v>987</v>
      </c>
      <c r="G4513" s="6">
        <v>63190.44</v>
      </c>
      <c r="H4513" s="5">
        <v>18290</v>
      </c>
    </row>
    <row r="4514" spans="2:8" ht="17.5" customHeight="1" x14ac:dyDescent="0.4">
      <c r="B4514" s="3" t="s">
        <v>7</v>
      </c>
      <c r="C4514" s="3" t="s">
        <v>985</v>
      </c>
      <c r="D4514" s="4">
        <f>DATE(2013,3,18)</f>
        <v>41351</v>
      </c>
      <c r="E4514" s="5">
        <f t="shared" si="74"/>
        <v>2013</v>
      </c>
      <c r="F4514" s="3" t="s">
        <v>987</v>
      </c>
      <c r="G4514" s="6">
        <v>1063</v>
      </c>
      <c r="H4514" s="5">
        <v>18337</v>
      </c>
    </row>
    <row r="4515" spans="2:8" ht="17.5" customHeight="1" x14ac:dyDescent="0.4">
      <c r="B4515" s="3" t="s">
        <v>7</v>
      </c>
      <c r="C4515" s="3" t="s">
        <v>985</v>
      </c>
      <c r="D4515" s="4">
        <f>DATE(2013,4,30)</f>
        <v>41394</v>
      </c>
      <c r="E4515" s="5">
        <f t="shared" si="74"/>
        <v>2013</v>
      </c>
      <c r="F4515" s="3" t="s">
        <v>987</v>
      </c>
      <c r="G4515" s="6">
        <v>18020.009999999998</v>
      </c>
      <c r="H4515" s="5">
        <v>18520</v>
      </c>
    </row>
    <row r="4516" spans="2:8" ht="17.5" customHeight="1" x14ac:dyDescent="0.4">
      <c r="B4516" s="3" t="s">
        <v>7</v>
      </c>
      <c r="C4516" s="3" t="s">
        <v>985</v>
      </c>
      <c r="D4516" s="4">
        <f>DATE(2013,8,6)</f>
        <v>41492</v>
      </c>
      <c r="E4516" s="5">
        <f t="shared" si="74"/>
        <v>2013</v>
      </c>
      <c r="F4516" s="3" t="s">
        <v>987</v>
      </c>
      <c r="G4516" s="6">
        <v>8680.5400000000009</v>
      </c>
      <c r="H4516" s="5">
        <v>18844</v>
      </c>
    </row>
    <row r="4517" spans="2:8" ht="17.5" customHeight="1" x14ac:dyDescent="0.4">
      <c r="B4517" s="3" t="s">
        <v>7</v>
      </c>
      <c r="C4517" s="3" t="s">
        <v>985</v>
      </c>
      <c r="D4517" s="4">
        <f>DATE(2013,8,9)</f>
        <v>41495</v>
      </c>
      <c r="E4517" s="5">
        <f t="shared" si="74"/>
        <v>2013</v>
      </c>
      <c r="F4517" s="3" t="s">
        <v>987</v>
      </c>
      <c r="G4517" s="6">
        <v>13311.15</v>
      </c>
      <c r="H4517" s="5">
        <v>18845</v>
      </c>
    </row>
    <row r="4518" spans="2:8" ht="17.5" customHeight="1" x14ac:dyDescent="0.4">
      <c r="B4518" s="3" t="s">
        <v>7</v>
      </c>
      <c r="C4518" s="3" t="s">
        <v>985</v>
      </c>
      <c r="D4518" s="4">
        <f>DATE(2013,8,20)</f>
        <v>41506</v>
      </c>
      <c r="E4518" s="5">
        <f t="shared" si="74"/>
        <v>2013</v>
      </c>
      <c r="F4518" s="3" t="s">
        <v>987</v>
      </c>
      <c r="G4518" s="6">
        <v>16996.86</v>
      </c>
      <c r="H4518" s="5">
        <v>18805</v>
      </c>
    </row>
    <row r="4519" spans="2:8" ht="17.5" customHeight="1" x14ac:dyDescent="0.4">
      <c r="B4519" s="3" t="s">
        <v>7</v>
      </c>
      <c r="C4519" s="3" t="s">
        <v>985</v>
      </c>
      <c r="D4519" s="4">
        <f>DATE(2013,12,11)</f>
        <v>41619</v>
      </c>
      <c r="E4519" s="5">
        <f t="shared" si="74"/>
        <v>2013</v>
      </c>
      <c r="F4519" s="3" t="s">
        <v>987</v>
      </c>
      <c r="G4519" s="6">
        <v>12069.77</v>
      </c>
      <c r="H4519" s="5">
        <v>19307</v>
      </c>
    </row>
    <row r="4520" spans="2:8" ht="17.5" customHeight="1" x14ac:dyDescent="0.4">
      <c r="B4520" s="3" t="s">
        <v>7</v>
      </c>
      <c r="C4520" s="3" t="s">
        <v>985</v>
      </c>
      <c r="D4520" s="4">
        <f>DATE(2014,3,13)</f>
        <v>41711</v>
      </c>
      <c r="E4520" s="5">
        <f t="shared" si="74"/>
        <v>2014</v>
      </c>
      <c r="F4520" s="3" t="s">
        <v>987</v>
      </c>
      <c r="G4520" s="6">
        <v>33.5</v>
      </c>
      <c r="H4520" s="5">
        <v>19702</v>
      </c>
    </row>
    <row r="4521" spans="2:8" ht="17.5" customHeight="1" x14ac:dyDescent="0.4">
      <c r="B4521" s="3" t="s">
        <v>7</v>
      </c>
      <c r="C4521" s="3" t="s">
        <v>985</v>
      </c>
      <c r="D4521" s="4">
        <f>DATE(2014,4,8)</f>
        <v>41737</v>
      </c>
      <c r="E4521" s="5">
        <f t="shared" si="74"/>
        <v>2014</v>
      </c>
      <c r="F4521" s="3" t="s">
        <v>987</v>
      </c>
      <c r="G4521" s="6">
        <v>76313.81</v>
      </c>
      <c r="H4521" s="5">
        <v>19789</v>
      </c>
    </row>
    <row r="4522" spans="2:8" ht="17.5" customHeight="1" x14ac:dyDescent="0.4">
      <c r="B4522" s="3" t="s">
        <v>7</v>
      </c>
      <c r="C4522" s="3" t="s">
        <v>985</v>
      </c>
      <c r="D4522" s="4">
        <f>DATE(2014,6,11)</f>
        <v>41801</v>
      </c>
      <c r="E4522" s="5">
        <f t="shared" si="74"/>
        <v>2014</v>
      </c>
      <c r="F4522" s="3" t="s">
        <v>987</v>
      </c>
      <c r="G4522" s="6">
        <v>1050.8499999999999</v>
      </c>
      <c r="H4522" s="5">
        <v>20062</v>
      </c>
    </row>
    <row r="4523" spans="2:8" ht="17.5" customHeight="1" x14ac:dyDescent="0.4">
      <c r="B4523" s="3" t="s">
        <v>7</v>
      </c>
      <c r="C4523" s="3" t="s">
        <v>985</v>
      </c>
      <c r="D4523" s="4">
        <f>DATE(2014,6,27)</f>
        <v>41817</v>
      </c>
      <c r="E4523" s="5">
        <f t="shared" si="74"/>
        <v>2014</v>
      </c>
      <c r="F4523" s="3" t="s">
        <v>987</v>
      </c>
      <c r="G4523" s="6">
        <v>5122.7</v>
      </c>
      <c r="H4523" s="5">
        <v>20130</v>
      </c>
    </row>
    <row r="4524" spans="2:8" ht="17.5" customHeight="1" x14ac:dyDescent="0.4">
      <c r="B4524" s="3" t="s">
        <v>7</v>
      </c>
      <c r="C4524" s="3" t="s">
        <v>985</v>
      </c>
      <c r="D4524" s="4">
        <f>DATE(2014,7,8)</f>
        <v>41828</v>
      </c>
      <c r="E4524" s="5">
        <f t="shared" si="74"/>
        <v>2014</v>
      </c>
      <c r="F4524" s="3" t="s">
        <v>987</v>
      </c>
      <c r="G4524" s="6">
        <v>21251.88</v>
      </c>
      <c r="H4524" s="5">
        <v>20147</v>
      </c>
    </row>
    <row r="4525" spans="2:8" ht="17.5" customHeight="1" x14ac:dyDescent="0.4">
      <c r="B4525" s="3" t="s">
        <v>7</v>
      </c>
      <c r="C4525" s="3" t="s">
        <v>985</v>
      </c>
      <c r="D4525" s="4">
        <f>DATE(2014,7,17)</f>
        <v>41837</v>
      </c>
      <c r="E4525" s="5">
        <f t="shared" si="74"/>
        <v>2014</v>
      </c>
      <c r="F4525" s="3" t="s">
        <v>987</v>
      </c>
      <c r="G4525" s="6">
        <v>17031.689999999999</v>
      </c>
      <c r="H4525" s="5">
        <v>20161</v>
      </c>
    </row>
    <row r="4526" spans="2:8" ht="17.5" customHeight="1" x14ac:dyDescent="0.4">
      <c r="B4526" s="3" t="s">
        <v>7</v>
      </c>
      <c r="C4526" s="3" t="s">
        <v>985</v>
      </c>
      <c r="D4526" s="4">
        <f>DATE(2014,8,28)</f>
        <v>41879</v>
      </c>
      <c r="E4526" s="5">
        <f t="shared" si="74"/>
        <v>2014</v>
      </c>
      <c r="F4526" s="3" t="s">
        <v>987</v>
      </c>
      <c r="G4526" s="6">
        <v>759</v>
      </c>
      <c r="H4526" s="5">
        <v>20318</v>
      </c>
    </row>
    <row r="4527" spans="2:8" ht="17.5" customHeight="1" x14ac:dyDescent="0.4">
      <c r="B4527" s="3" t="s">
        <v>7</v>
      </c>
      <c r="C4527" s="3" t="s">
        <v>985</v>
      </c>
      <c r="D4527" s="4">
        <f>DATE(2014,11,17)</f>
        <v>41960</v>
      </c>
      <c r="E4527" s="5">
        <f t="shared" si="74"/>
        <v>2014</v>
      </c>
      <c r="F4527" s="3" t="s">
        <v>987</v>
      </c>
      <c r="G4527" s="6">
        <v>7235.68</v>
      </c>
      <c r="H4527" s="5">
        <v>20500</v>
      </c>
    </row>
    <row r="4528" spans="2:8" ht="17.5" customHeight="1" x14ac:dyDescent="0.4">
      <c r="B4528" s="3" t="s">
        <v>16</v>
      </c>
      <c r="C4528" s="3" t="s">
        <v>985</v>
      </c>
      <c r="D4528" s="4">
        <f>DATE(2007,12,5)</f>
        <v>39421</v>
      </c>
      <c r="E4528" s="5">
        <f t="shared" si="74"/>
        <v>2007</v>
      </c>
      <c r="F4528" s="3" t="s">
        <v>987</v>
      </c>
      <c r="G4528" s="6">
        <v>16277.31</v>
      </c>
      <c r="H4528" s="5">
        <v>9590</v>
      </c>
    </row>
    <row r="4529" spans="2:8" ht="17.5" customHeight="1" x14ac:dyDescent="0.4">
      <c r="B4529" s="3" t="s">
        <v>16</v>
      </c>
      <c r="C4529" s="3" t="s">
        <v>985</v>
      </c>
      <c r="D4529" s="4">
        <f>DATE(2008,11,25)</f>
        <v>39777</v>
      </c>
      <c r="E4529" s="5">
        <f t="shared" si="74"/>
        <v>2008</v>
      </c>
      <c r="F4529" s="3" t="s">
        <v>987</v>
      </c>
      <c r="G4529" s="6">
        <v>13592</v>
      </c>
      <c r="H4529" s="5">
        <v>11633</v>
      </c>
    </row>
    <row r="4530" spans="2:8" ht="17.5" customHeight="1" x14ac:dyDescent="0.4">
      <c r="B4530" s="3" t="s">
        <v>16</v>
      </c>
      <c r="C4530" s="3" t="s">
        <v>985</v>
      </c>
      <c r="D4530" s="4">
        <f>DATE(2010,12,15)</f>
        <v>40527</v>
      </c>
      <c r="E4530" s="5">
        <f t="shared" si="74"/>
        <v>2010</v>
      </c>
      <c r="F4530" s="3" t="s">
        <v>987</v>
      </c>
      <c r="G4530" s="6">
        <v>59.66</v>
      </c>
      <c r="H4530" s="5">
        <v>14832</v>
      </c>
    </row>
    <row r="4531" spans="2:8" ht="17.5" customHeight="1" x14ac:dyDescent="0.4">
      <c r="B4531" s="3" t="s">
        <v>16</v>
      </c>
      <c r="C4531" s="3" t="s">
        <v>985</v>
      </c>
      <c r="D4531" s="4">
        <f>DATE(2011,8,2)</f>
        <v>40757</v>
      </c>
      <c r="E4531" s="5">
        <f t="shared" si="74"/>
        <v>2011</v>
      </c>
      <c r="F4531" s="3" t="s">
        <v>987</v>
      </c>
      <c r="G4531" s="6">
        <v>271.02999999999997</v>
      </c>
      <c r="H4531" s="5">
        <v>15844</v>
      </c>
    </row>
    <row r="4532" spans="2:8" ht="17.5" customHeight="1" x14ac:dyDescent="0.4">
      <c r="B4532" s="3" t="s">
        <v>16</v>
      </c>
      <c r="C4532" s="3" t="s">
        <v>985</v>
      </c>
      <c r="D4532" s="4">
        <f>DATE(2011,11,14)</f>
        <v>40861</v>
      </c>
      <c r="E4532" s="5">
        <f t="shared" si="74"/>
        <v>2011</v>
      </c>
      <c r="F4532" s="3" t="s">
        <v>987</v>
      </c>
      <c r="G4532" s="6">
        <v>29.34</v>
      </c>
      <c r="H4532" s="5">
        <v>16211</v>
      </c>
    </row>
    <row r="4533" spans="2:8" ht="17.5" customHeight="1" x14ac:dyDescent="0.4">
      <c r="B4533" s="3" t="s">
        <v>16</v>
      </c>
      <c r="C4533" s="3" t="s">
        <v>985</v>
      </c>
      <c r="D4533" s="4">
        <f>DATE(2013,4,5)</f>
        <v>41369</v>
      </c>
      <c r="E4533" s="5">
        <f t="shared" si="74"/>
        <v>2013</v>
      </c>
      <c r="F4533" s="3" t="s">
        <v>987</v>
      </c>
      <c r="G4533" s="6">
        <v>239.63</v>
      </c>
      <c r="H4533" s="5">
        <v>18422</v>
      </c>
    </row>
    <row r="4534" spans="2:8" ht="17.5" customHeight="1" x14ac:dyDescent="0.4">
      <c r="B4534" s="3" t="s">
        <v>16</v>
      </c>
      <c r="C4534" s="3" t="s">
        <v>985</v>
      </c>
      <c r="D4534" s="4">
        <f>DATE(2013,4,30)</f>
        <v>41394</v>
      </c>
      <c r="E4534" s="5">
        <f t="shared" si="74"/>
        <v>2013</v>
      </c>
      <c r="F4534" s="3" t="s">
        <v>987</v>
      </c>
      <c r="G4534" s="6">
        <v>138.80000000000001</v>
      </c>
      <c r="H4534" s="5">
        <v>18564</v>
      </c>
    </row>
    <row r="4535" spans="2:8" ht="17.5" customHeight="1" x14ac:dyDescent="0.4">
      <c r="B4535" s="3" t="s">
        <v>16</v>
      </c>
      <c r="C4535" s="3" t="s">
        <v>985</v>
      </c>
      <c r="D4535" s="4">
        <f>DATE(2013,8,28)</f>
        <v>41514</v>
      </c>
      <c r="E4535" s="5">
        <f t="shared" si="74"/>
        <v>2013</v>
      </c>
      <c r="F4535" s="3" t="s">
        <v>987</v>
      </c>
      <c r="G4535" s="6">
        <v>97.49</v>
      </c>
      <c r="H4535" s="5">
        <v>18924</v>
      </c>
    </row>
    <row r="4536" spans="2:8" ht="17.5" customHeight="1" x14ac:dyDescent="0.4">
      <c r="B4536" s="3" t="s">
        <v>16</v>
      </c>
      <c r="C4536" s="3" t="s">
        <v>985</v>
      </c>
      <c r="D4536" s="4">
        <f>DATE(2014,6,27)</f>
        <v>41817</v>
      </c>
      <c r="E4536" s="5">
        <f t="shared" si="74"/>
        <v>2014</v>
      </c>
      <c r="F4536" s="3" t="s">
        <v>987</v>
      </c>
      <c r="G4536" s="6">
        <v>5122.7</v>
      </c>
      <c r="H4536" s="5">
        <v>20157</v>
      </c>
    </row>
    <row r="4537" spans="2:8" ht="17.5" customHeight="1" x14ac:dyDescent="0.4">
      <c r="B4537" s="3" t="s">
        <v>16</v>
      </c>
      <c r="C4537" s="3" t="s">
        <v>985</v>
      </c>
      <c r="D4537" s="4">
        <f>DATE(2014,7,17)</f>
        <v>41837</v>
      </c>
      <c r="E4537" s="5">
        <f t="shared" si="74"/>
        <v>2014</v>
      </c>
      <c r="F4537" s="3" t="s">
        <v>987</v>
      </c>
      <c r="G4537" s="6">
        <v>33.5</v>
      </c>
      <c r="H4537" s="5">
        <v>20208</v>
      </c>
    </row>
    <row r="4538" spans="2:8" ht="17.5" customHeight="1" x14ac:dyDescent="0.4">
      <c r="B4538" t="s">
        <v>7</v>
      </c>
      <c r="C4538" t="s">
        <v>988</v>
      </c>
      <c r="D4538" s="7">
        <f>DATE(2018,5,9)</f>
        <v>43229</v>
      </c>
      <c r="E4538" s="8">
        <f t="shared" si="74"/>
        <v>2018</v>
      </c>
      <c r="F4538" t="s">
        <v>989</v>
      </c>
      <c r="G4538" s="9">
        <v>2570</v>
      </c>
      <c r="H4538" s="8">
        <v>27007</v>
      </c>
    </row>
    <row r="4539" spans="2:8" ht="17.5" customHeight="1" x14ac:dyDescent="0.4">
      <c r="B4539" t="s">
        <v>7</v>
      </c>
      <c r="C4539" t="s">
        <v>988</v>
      </c>
      <c r="D4539" s="7">
        <f>DATE(2019,2,21)</f>
        <v>43517</v>
      </c>
      <c r="E4539" s="8">
        <f t="shared" si="74"/>
        <v>2019</v>
      </c>
      <c r="F4539" t="s">
        <v>989</v>
      </c>
      <c r="G4539" s="9">
        <v>306</v>
      </c>
      <c r="H4539" s="8">
        <v>28466</v>
      </c>
    </row>
    <row r="4540" spans="2:8" ht="17.5" customHeight="1" x14ac:dyDescent="0.4">
      <c r="B4540" t="s">
        <v>7</v>
      </c>
      <c r="C4540" t="s">
        <v>988</v>
      </c>
      <c r="D4540" s="7">
        <f>DATE(2019,3,5)</f>
        <v>43529</v>
      </c>
      <c r="E4540" s="8">
        <f t="shared" si="74"/>
        <v>2019</v>
      </c>
      <c r="F4540" t="s">
        <v>989</v>
      </c>
      <c r="G4540" s="9">
        <v>605</v>
      </c>
      <c r="H4540" s="8">
        <v>28549</v>
      </c>
    </row>
    <row r="4541" spans="2:8" ht="17.5" customHeight="1" x14ac:dyDescent="0.4">
      <c r="B4541" t="s">
        <v>7</v>
      </c>
      <c r="C4541" t="s">
        <v>988</v>
      </c>
      <c r="D4541" s="7">
        <f>DATE(2019,4,8)</f>
        <v>43563</v>
      </c>
      <c r="E4541" s="8">
        <f t="shared" si="74"/>
        <v>2019</v>
      </c>
      <c r="F4541" t="s">
        <v>989</v>
      </c>
      <c r="G4541" s="9">
        <v>484</v>
      </c>
      <c r="H4541" s="8">
        <v>28761</v>
      </c>
    </row>
    <row r="4542" spans="2:8" ht="17.5" customHeight="1" x14ac:dyDescent="0.4">
      <c r="B4542" t="s">
        <v>7</v>
      </c>
      <c r="C4542" t="s">
        <v>988</v>
      </c>
      <c r="D4542" s="7">
        <f>DATE(2019,5,3)</f>
        <v>43588</v>
      </c>
      <c r="E4542" s="8">
        <f t="shared" si="74"/>
        <v>2019</v>
      </c>
      <c r="F4542" t="s">
        <v>989</v>
      </c>
      <c r="G4542" s="9">
        <v>3060</v>
      </c>
      <c r="H4542" s="8">
        <v>28956</v>
      </c>
    </row>
    <row r="4543" spans="2:8" ht="17.5" customHeight="1" x14ac:dyDescent="0.4">
      <c r="B4543" t="s">
        <v>7</v>
      </c>
      <c r="C4543" t="s">
        <v>988</v>
      </c>
      <c r="D4543" s="7">
        <f>DATE(2018,5,3)</f>
        <v>43223</v>
      </c>
      <c r="E4543" s="8">
        <f t="shared" si="74"/>
        <v>2018</v>
      </c>
      <c r="F4543" t="s">
        <v>989</v>
      </c>
      <c r="G4543" s="9">
        <v>2762.5</v>
      </c>
      <c r="H4543" s="8">
        <v>26948</v>
      </c>
    </row>
    <row r="4544" spans="2:8" ht="17.5" customHeight="1" x14ac:dyDescent="0.4">
      <c r="B4544" t="s">
        <v>7</v>
      </c>
      <c r="C4544" t="s">
        <v>988</v>
      </c>
      <c r="D4544" s="7">
        <f>DATE(2018,6,15)</f>
        <v>43266</v>
      </c>
      <c r="E4544" s="8">
        <f t="shared" si="74"/>
        <v>2018</v>
      </c>
      <c r="F4544" t="s">
        <v>989</v>
      </c>
      <c r="G4544" s="9">
        <v>285</v>
      </c>
      <c r="H4544" s="8">
        <v>27221</v>
      </c>
    </row>
    <row r="4545" spans="2:8" ht="17.5" customHeight="1" x14ac:dyDescent="0.4">
      <c r="B4545" t="s">
        <v>7</v>
      </c>
      <c r="C4545" t="s">
        <v>988</v>
      </c>
      <c r="D4545" s="7">
        <f>DATE(2018,7,20)</f>
        <v>43301</v>
      </c>
      <c r="E4545" s="8">
        <f t="shared" si="74"/>
        <v>2018</v>
      </c>
      <c r="F4545" t="s">
        <v>989</v>
      </c>
      <c r="G4545" s="9">
        <v>9112</v>
      </c>
      <c r="H4545" s="8">
        <v>27211</v>
      </c>
    </row>
    <row r="4546" spans="2:8" ht="17.5" customHeight="1" x14ac:dyDescent="0.4">
      <c r="B4546" t="s">
        <v>7</v>
      </c>
      <c r="C4546" t="s">
        <v>988</v>
      </c>
      <c r="D4546" s="7">
        <f>DATE(2018,7,27)</f>
        <v>43308</v>
      </c>
      <c r="E4546" s="8">
        <f t="shared" si="74"/>
        <v>2018</v>
      </c>
      <c r="F4546" t="s">
        <v>989</v>
      </c>
      <c r="G4546" s="9">
        <v>1072</v>
      </c>
      <c r="H4546" s="8">
        <v>27420</v>
      </c>
    </row>
    <row r="4547" spans="2:8" ht="17.5" customHeight="1" x14ac:dyDescent="0.4">
      <c r="B4547" t="s">
        <v>7</v>
      </c>
      <c r="C4547" t="s">
        <v>988</v>
      </c>
      <c r="D4547" s="7">
        <f>DATE(2018,8,21)</f>
        <v>43333</v>
      </c>
      <c r="E4547" s="8">
        <f t="shared" ref="E4547:E4610" si="75">YEAR(D4547)</f>
        <v>2018</v>
      </c>
      <c r="F4547" t="s">
        <v>989</v>
      </c>
      <c r="G4547" s="9">
        <v>1335</v>
      </c>
      <c r="H4547" s="8">
        <v>27521</v>
      </c>
    </row>
    <row r="4548" spans="2:8" ht="17.5" customHeight="1" x14ac:dyDescent="0.4">
      <c r="B4548" t="s">
        <v>7</v>
      </c>
      <c r="C4548" t="s">
        <v>988</v>
      </c>
      <c r="D4548" s="7">
        <f>DATE(2018,9,18)</f>
        <v>43361</v>
      </c>
      <c r="E4548" s="8">
        <f t="shared" si="75"/>
        <v>2018</v>
      </c>
      <c r="F4548" t="s">
        <v>989</v>
      </c>
      <c r="G4548" s="9">
        <v>204</v>
      </c>
      <c r="H4548" s="8">
        <v>27646</v>
      </c>
    </row>
    <row r="4549" spans="2:8" ht="17.5" customHeight="1" x14ac:dyDescent="0.4">
      <c r="B4549" t="s">
        <v>7</v>
      </c>
      <c r="C4549" t="s">
        <v>988</v>
      </c>
      <c r="D4549" s="7">
        <f>DATE(2018,10,1)</f>
        <v>43374</v>
      </c>
      <c r="E4549" s="8">
        <f t="shared" si="75"/>
        <v>2018</v>
      </c>
      <c r="F4549" t="s">
        <v>989</v>
      </c>
      <c r="G4549" s="9">
        <v>1064</v>
      </c>
      <c r="H4549" s="8">
        <v>27694</v>
      </c>
    </row>
    <row r="4550" spans="2:8" ht="17.5" customHeight="1" x14ac:dyDescent="0.4">
      <c r="B4550" t="s">
        <v>7</v>
      </c>
      <c r="C4550" t="s">
        <v>988</v>
      </c>
      <c r="D4550" s="7">
        <f>DATE(2018,10,1)</f>
        <v>43374</v>
      </c>
      <c r="E4550" s="8">
        <f t="shared" si="75"/>
        <v>2018</v>
      </c>
      <c r="F4550" t="s">
        <v>989</v>
      </c>
      <c r="G4550" s="9">
        <v>1540</v>
      </c>
      <c r="H4550" s="8">
        <v>27693</v>
      </c>
    </row>
    <row r="4551" spans="2:8" ht="17.5" customHeight="1" x14ac:dyDescent="0.4">
      <c r="B4551" t="s">
        <v>7</v>
      </c>
      <c r="C4551" t="s">
        <v>988</v>
      </c>
      <c r="D4551" s="7">
        <f>DATE(2018,10,4)</f>
        <v>43377</v>
      </c>
      <c r="E4551" s="8">
        <f t="shared" si="75"/>
        <v>2018</v>
      </c>
      <c r="F4551" t="s">
        <v>989</v>
      </c>
      <c r="G4551" s="9">
        <v>2137.5</v>
      </c>
      <c r="H4551" s="8">
        <v>27748</v>
      </c>
    </row>
    <row r="4552" spans="2:8" ht="17.5" customHeight="1" x14ac:dyDescent="0.4">
      <c r="B4552" t="s">
        <v>7</v>
      </c>
      <c r="C4552" t="s">
        <v>988</v>
      </c>
      <c r="D4552" s="7">
        <f>DATE(2018,10,24)</f>
        <v>43397</v>
      </c>
      <c r="E4552" s="8">
        <f t="shared" si="75"/>
        <v>2018</v>
      </c>
      <c r="F4552" t="s">
        <v>989</v>
      </c>
      <c r="G4552" s="9">
        <v>920</v>
      </c>
      <c r="H4552" s="8">
        <v>27882</v>
      </c>
    </row>
    <row r="4553" spans="2:8" ht="17.5" customHeight="1" x14ac:dyDescent="0.4">
      <c r="B4553" t="s">
        <v>7</v>
      </c>
      <c r="C4553" t="s">
        <v>988</v>
      </c>
      <c r="D4553" s="7">
        <f>DATE(2018,10,26)</f>
        <v>43399</v>
      </c>
      <c r="E4553" s="8">
        <f t="shared" si="75"/>
        <v>2018</v>
      </c>
      <c r="F4553" t="s">
        <v>989</v>
      </c>
      <c r="G4553" s="9">
        <v>514</v>
      </c>
      <c r="H4553" s="8">
        <v>27893</v>
      </c>
    </row>
    <row r="4554" spans="2:8" ht="17.5" customHeight="1" x14ac:dyDescent="0.4">
      <c r="B4554" t="s">
        <v>7</v>
      </c>
      <c r="C4554" t="s">
        <v>988</v>
      </c>
      <c r="D4554" s="7">
        <f>DATE(2018,11,14)</f>
        <v>43418</v>
      </c>
      <c r="E4554" s="8">
        <f t="shared" si="75"/>
        <v>2018</v>
      </c>
      <c r="F4554" t="s">
        <v>989</v>
      </c>
      <c r="G4554" s="9">
        <v>786.5</v>
      </c>
      <c r="H4554" s="8">
        <v>27987</v>
      </c>
    </row>
    <row r="4555" spans="2:8" ht="17.5" customHeight="1" x14ac:dyDescent="0.4">
      <c r="B4555" t="s">
        <v>7</v>
      </c>
      <c r="C4555" t="s">
        <v>988</v>
      </c>
      <c r="D4555" s="7">
        <f>DATE(2018,11,15)</f>
        <v>43419</v>
      </c>
      <c r="E4555" s="8">
        <f t="shared" si="75"/>
        <v>2018</v>
      </c>
      <c r="F4555" t="s">
        <v>989</v>
      </c>
      <c r="G4555" s="9">
        <v>1080</v>
      </c>
      <c r="H4555" s="8">
        <v>27989</v>
      </c>
    </row>
    <row r="4556" spans="2:8" ht="17.5" customHeight="1" x14ac:dyDescent="0.4">
      <c r="B4556" t="s">
        <v>7</v>
      </c>
      <c r="C4556" t="s">
        <v>988</v>
      </c>
      <c r="D4556" s="7">
        <f>DATE(2019,4,8)</f>
        <v>43563</v>
      </c>
      <c r="E4556" s="8">
        <f t="shared" si="75"/>
        <v>2019</v>
      </c>
      <c r="F4556" t="s">
        <v>989</v>
      </c>
      <c r="G4556" s="9">
        <v>670</v>
      </c>
      <c r="H4556" s="8">
        <v>28763</v>
      </c>
    </row>
    <row r="4557" spans="2:8" ht="17.5" customHeight="1" x14ac:dyDescent="0.4">
      <c r="B4557" t="s">
        <v>7</v>
      </c>
      <c r="C4557" t="s">
        <v>990</v>
      </c>
      <c r="D4557" s="7">
        <f>DATE(2019,4,30)</f>
        <v>43585</v>
      </c>
      <c r="E4557" s="8">
        <f t="shared" si="75"/>
        <v>2019</v>
      </c>
      <c r="F4557" t="s">
        <v>991</v>
      </c>
      <c r="G4557" s="9">
        <v>15590.22</v>
      </c>
      <c r="H4557" s="8">
        <v>28558</v>
      </c>
    </row>
    <row r="4558" spans="2:8" ht="17.5" customHeight="1" x14ac:dyDescent="0.4">
      <c r="B4558" t="s">
        <v>7</v>
      </c>
      <c r="C4558" t="s">
        <v>990</v>
      </c>
      <c r="D4558" s="7">
        <f>DATE(2019,5,20)</f>
        <v>43605</v>
      </c>
      <c r="E4558" s="8">
        <f t="shared" si="75"/>
        <v>2019</v>
      </c>
      <c r="F4558" t="s">
        <v>991</v>
      </c>
      <c r="G4558" s="9">
        <v>31175.11</v>
      </c>
      <c r="H4558" s="8">
        <v>28788</v>
      </c>
    </row>
    <row r="4559" spans="2:8" ht="17.5" customHeight="1" x14ac:dyDescent="0.4">
      <c r="B4559" t="s">
        <v>7</v>
      </c>
      <c r="C4559" t="s">
        <v>990</v>
      </c>
      <c r="D4559" s="7">
        <f>DATE(2016,9,13)</f>
        <v>42626</v>
      </c>
      <c r="E4559" s="8">
        <f t="shared" si="75"/>
        <v>2016</v>
      </c>
      <c r="F4559" t="s">
        <v>991</v>
      </c>
      <c r="G4559" s="9">
        <v>26998.46</v>
      </c>
      <c r="H4559" s="8">
        <v>23056</v>
      </c>
    </row>
    <row r="4560" spans="2:8" ht="17.5" customHeight="1" x14ac:dyDescent="0.4">
      <c r="B4560" t="s">
        <v>7</v>
      </c>
      <c r="C4560" t="s">
        <v>990</v>
      </c>
      <c r="D4560" s="7">
        <f>DATE(2016,11,18)</f>
        <v>42692</v>
      </c>
      <c r="E4560" s="8">
        <f t="shared" si="75"/>
        <v>2016</v>
      </c>
      <c r="F4560" t="s">
        <v>991</v>
      </c>
      <c r="G4560" s="9">
        <v>10389.52</v>
      </c>
      <c r="H4560" s="8">
        <v>23664</v>
      </c>
    </row>
    <row r="4561" spans="2:8" ht="17.5" customHeight="1" x14ac:dyDescent="0.4">
      <c r="B4561" t="s">
        <v>7</v>
      </c>
      <c r="C4561" t="s">
        <v>990</v>
      </c>
      <c r="D4561" s="7">
        <f>DATE(2017,7,31)</f>
        <v>42947</v>
      </c>
      <c r="E4561" s="8">
        <f t="shared" si="75"/>
        <v>2017</v>
      </c>
      <c r="F4561" t="s">
        <v>991</v>
      </c>
      <c r="G4561" s="9">
        <v>2132</v>
      </c>
      <c r="H4561" s="8">
        <v>25155</v>
      </c>
    </row>
    <row r="4562" spans="2:8" ht="17.5" customHeight="1" x14ac:dyDescent="0.4">
      <c r="B4562" t="s">
        <v>7</v>
      </c>
      <c r="C4562" t="s">
        <v>990</v>
      </c>
      <c r="D4562" s="7">
        <f>DATE(2017,11,29)</f>
        <v>43068</v>
      </c>
      <c r="E4562" s="8">
        <f t="shared" si="75"/>
        <v>2017</v>
      </c>
      <c r="F4562" t="s">
        <v>991</v>
      </c>
      <c r="G4562" s="9">
        <v>24937.4</v>
      </c>
      <c r="H4562" s="8">
        <v>25576</v>
      </c>
    </row>
    <row r="4563" spans="2:8" ht="17.5" customHeight="1" x14ac:dyDescent="0.4">
      <c r="B4563" t="s">
        <v>7</v>
      </c>
      <c r="C4563" t="s">
        <v>990</v>
      </c>
      <c r="D4563" s="7">
        <f>DATE(2018,5,24)</f>
        <v>43244</v>
      </c>
      <c r="E4563" s="8">
        <f t="shared" si="75"/>
        <v>2018</v>
      </c>
      <c r="F4563" t="s">
        <v>991</v>
      </c>
      <c r="G4563" s="9">
        <v>38637.980000000003</v>
      </c>
      <c r="H4563" s="8">
        <v>26567</v>
      </c>
    </row>
    <row r="4564" spans="2:8" ht="17.5" customHeight="1" x14ac:dyDescent="0.4">
      <c r="B4564" t="s">
        <v>7</v>
      </c>
      <c r="C4564" t="s">
        <v>990</v>
      </c>
      <c r="D4564" s="7">
        <f>DATE(2015,2,26)</f>
        <v>42061</v>
      </c>
      <c r="E4564" s="8">
        <f t="shared" si="75"/>
        <v>2015</v>
      </c>
      <c r="F4564" t="s">
        <v>991</v>
      </c>
      <c r="G4564" s="9">
        <v>1191.54</v>
      </c>
      <c r="H4564" s="8">
        <v>5026</v>
      </c>
    </row>
    <row r="4565" spans="2:8" ht="17.5" customHeight="1" x14ac:dyDescent="0.4">
      <c r="B4565" t="s">
        <v>7</v>
      </c>
      <c r="C4565" t="s">
        <v>990</v>
      </c>
      <c r="D4565" s="7">
        <f>DATE(2015,9,24)</f>
        <v>42271</v>
      </c>
      <c r="E4565" s="8">
        <f t="shared" si="75"/>
        <v>2015</v>
      </c>
      <c r="F4565" t="s">
        <v>991</v>
      </c>
      <c r="G4565" s="9">
        <v>8841.7000000000007</v>
      </c>
      <c r="H4565" s="8">
        <v>21221</v>
      </c>
    </row>
    <row r="4566" spans="2:8" ht="17.5" customHeight="1" x14ac:dyDescent="0.4">
      <c r="B4566" t="s">
        <v>7</v>
      </c>
      <c r="C4566" t="s">
        <v>990</v>
      </c>
      <c r="D4566" s="7">
        <f>DATE(2015,10,29)</f>
        <v>42306</v>
      </c>
      <c r="E4566" s="8">
        <f t="shared" si="75"/>
        <v>2015</v>
      </c>
      <c r="F4566" t="s">
        <v>991</v>
      </c>
      <c r="G4566" s="9">
        <v>1572</v>
      </c>
      <c r="H4566" s="8">
        <v>21500</v>
      </c>
    </row>
    <row r="4567" spans="2:8" ht="17.5" customHeight="1" x14ac:dyDescent="0.4">
      <c r="B4567" t="s">
        <v>7</v>
      </c>
      <c r="C4567" t="s">
        <v>990</v>
      </c>
      <c r="D4567" s="7">
        <f>DATE(2015,11,9)</f>
        <v>42317</v>
      </c>
      <c r="E4567" s="8">
        <f t="shared" si="75"/>
        <v>2015</v>
      </c>
      <c r="F4567" t="s">
        <v>991</v>
      </c>
      <c r="G4567" s="9">
        <v>1691.56</v>
      </c>
      <c r="H4567" s="8">
        <v>21526</v>
      </c>
    </row>
    <row r="4568" spans="2:8" ht="17.5" customHeight="1" x14ac:dyDescent="0.4">
      <c r="B4568" t="s">
        <v>7</v>
      </c>
      <c r="C4568" t="s">
        <v>990</v>
      </c>
      <c r="D4568" s="7">
        <f>DATE(2016,3,10)</f>
        <v>42439</v>
      </c>
      <c r="E4568" s="8">
        <f t="shared" si="75"/>
        <v>2016</v>
      </c>
      <c r="F4568" t="s">
        <v>991</v>
      </c>
      <c r="G4568" s="9">
        <v>4214.4399999999996</v>
      </c>
      <c r="H4568" s="8">
        <v>22360</v>
      </c>
    </row>
    <row r="4569" spans="2:8" ht="17.5" customHeight="1" x14ac:dyDescent="0.4">
      <c r="B4569" t="s">
        <v>7</v>
      </c>
      <c r="C4569" t="s">
        <v>990</v>
      </c>
      <c r="D4569" s="7">
        <f>DATE(2016,3,10)</f>
        <v>42439</v>
      </c>
      <c r="E4569" s="8">
        <f t="shared" si="75"/>
        <v>2016</v>
      </c>
      <c r="F4569" t="s">
        <v>991</v>
      </c>
      <c r="G4569" s="9">
        <v>1367.77</v>
      </c>
      <c r="H4569" s="8">
        <v>22357</v>
      </c>
    </row>
    <row r="4570" spans="2:8" ht="17.5" customHeight="1" x14ac:dyDescent="0.4">
      <c r="B4570" t="s">
        <v>7</v>
      </c>
      <c r="C4570" t="s">
        <v>990</v>
      </c>
      <c r="D4570" s="7">
        <f>DATE(2016,3,22)</f>
        <v>42451</v>
      </c>
      <c r="E4570" s="8">
        <f t="shared" si="75"/>
        <v>2016</v>
      </c>
      <c r="F4570" t="s">
        <v>991</v>
      </c>
      <c r="G4570" s="9">
        <v>185.9</v>
      </c>
      <c r="H4570" s="8">
        <v>22499</v>
      </c>
    </row>
    <row r="4571" spans="2:8" ht="17.5" customHeight="1" x14ac:dyDescent="0.4">
      <c r="B4571" t="s">
        <v>7</v>
      </c>
      <c r="C4571" t="s">
        <v>990</v>
      </c>
      <c r="D4571" s="7">
        <f>DATE(2016,3,23)</f>
        <v>42452</v>
      </c>
      <c r="E4571" s="8">
        <f t="shared" si="75"/>
        <v>2016</v>
      </c>
      <c r="F4571" t="s">
        <v>991</v>
      </c>
      <c r="G4571" s="9">
        <v>461.35</v>
      </c>
      <c r="H4571" s="8">
        <v>22476</v>
      </c>
    </row>
    <row r="4572" spans="2:8" ht="17.5" customHeight="1" x14ac:dyDescent="0.4">
      <c r="B4572" t="s">
        <v>7</v>
      </c>
      <c r="C4572" t="s">
        <v>990</v>
      </c>
      <c r="D4572" s="7">
        <f>DATE(2016,3,24)</f>
        <v>42453</v>
      </c>
      <c r="E4572" s="8">
        <f t="shared" si="75"/>
        <v>2016</v>
      </c>
      <c r="F4572" t="s">
        <v>991</v>
      </c>
      <c r="G4572" s="9">
        <v>449.38</v>
      </c>
      <c r="H4572" s="8">
        <v>22506</v>
      </c>
    </row>
    <row r="4573" spans="2:8" ht="17.5" customHeight="1" x14ac:dyDescent="0.4">
      <c r="B4573" t="s">
        <v>7</v>
      </c>
      <c r="C4573" t="s">
        <v>990</v>
      </c>
      <c r="D4573" s="7">
        <f>DATE(2016,3,29)</f>
        <v>42458</v>
      </c>
      <c r="E4573" s="8">
        <f t="shared" si="75"/>
        <v>2016</v>
      </c>
      <c r="F4573" t="s">
        <v>991</v>
      </c>
      <c r="G4573" s="9">
        <v>164.02</v>
      </c>
      <c r="H4573" s="8">
        <v>22550</v>
      </c>
    </row>
    <row r="4574" spans="2:8" ht="17.5" customHeight="1" x14ac:dyDescent="0.4">
      <c r="B4574" t="s">
        <v>7</v>
      </c>
      <c r="C4574" t="s">
        <v>990</v>
      </c>
      <c r="D4574" s="7">
        <f>DATE(2016,4,8)</f>
        <v>42468</v>
      </c>
      <c r="E4574" s="8">
        <f t="shared" si="75"/>
        <v>2016</v>
      </c>
      <c r="F4574" t="s">
        <v>991</v>
      </c>
      <c r="G4574" s="9">
        <v>9456.9</v>
      </c>
      <c r="H4574" s="8">
        <v>22562</v>
      </c>
    </row>
    <row r="4575" spans="2:8" ht="17.5" customHeight="1" x14ac:dyDescent="0.4">
      <c r="B4575" t="s">
        <v>7</v>
      </c>
      <c r="C4575" t="s">
        <v>990</v>
      </c>
      <c r="D4575" s="7">
        <f>DATE(2016,4,26)</f>
        <v>42486</v>
      </c>
      <c r="E4575" s="8">
        <f t="shared" si="75"/>
        <v>2016</v>
      </c>
      <c r="F4575" t="s">
        <v>991</v>
      </c>
      <c r="G4575" s="9">
        <v>327.36</v>
      </c>
      <c r="H4575" s="8">
        <v>22650</v>
      </c>
    </row>
    <row r="4576" spans="2:8" ht="17.5" customHeight="1" x14ac:dyDescent="0.4">
      <c r="B4576" t="s">
        <v>7</v>
      </c>
      <c r="C4576" t="s">
        <v>990</v>
      </c>
      <c r="D4576" s="7">
        <f>DATE(2016,6,27)</f>
        <v>42548</v>
      </c>
      <c r="E4576" s="8">
        <f t="shared" si="75"/>
        <v>2016</v>
      </c>
      <c r="F4576" t="s">
        <v>991</v>
      </c>
      <c r="G4576" s="9">
        <v>1211.25</v>
      </c>
      <c r="H4576" s="8">
        <v>23050</v>
      </c>
    </row>
    <row r="4577" spans="2:8" ht="17.5" customHeight="1" x14ac:dyDescent="0.4">
      <c r="B4577" t="s">
        <v>7</v>
      </c>
      <c r="C4577" t="s">
        <v>990</v>
      </c>
      <c r="D4577" s="7">
        <f>DATE(2016,6,28)</f>
        <v>42549</v>
      </c>
      <c r="E4577" s="8">
        <f t="shared" si="75"/>
        <v>2016</v>
      </c>
      <c r="F4577" t="s">
        <v>991</v>
      </c>
      <c r="G4577" s="9">
        <v>459.45</v>
      </c>
      <c r="H4577" s="8">
        <v>23064</v>
      </c>
    </row>
    <row r="4578" spans="2:8" ht="17.5" customHeight="1" x14ac:dyDescent="0.4">
      <c r="B4578" t="s">
        <v>7</v>
      </c>
      <c r="C4578" t="s">
        <v>990</v>
      </c>
      <c r="D4578" s="7">
        <f>DATE(2016,8,16)</f>
        <v>42598</v>
      </c>
      <c r="E4578" s="8">
        <f t="shared" si="75"/>
        <v>2016</v>
      </c>
      <c r="F4578" t="s">
        <v>991</v>
      </c>
      <c r="G4578" s="9">
        <v>890.86</v>
      </c>
      <c r="H4578" s="8">
        <v>23216</v>
      </c>
    </row>
    <row r="4579" spans="2:8" ht="17.5" customHeight="1" x14ac:dyDescent="0.4">
      <c r="B4579" t="s">
        <v>7</v>
      </c>
      <c r="C4579" t="s">
        <v>990</v>
      </c>
      <c r="D4579" s="7">
        <f>DATE(2016,10,17)</f>
        <v>42660</v>
      </c>
      <c r="E4579" s="8">
        <f t="shared" si="75"/>
        <v>2016</v>
      </c>
      <c r="F4579" t="s">
        <v>991</v>
      </c>
      <c r="G4579" s="9">
        <v>26265.55</v>
      </c>
      <c r="H4579" s="8">
        <v>23554</v>
      </c>
    </row>
    <row r="4580" spans="2:8" ht="17.5" customHeight="1" x14ac:dyDescent="0.4">
      <c r="B4580" t="s">
        <v>7</v>
      </c>
      <c r="C4580" t="s">
        <v>990</v>
      </c>
      <c r="D4580" s="7">
        <f>DATE(2016,10,20)</f>
        <v>42663</v>
      </c>
      <c r="E4580" s="8">
        <f t="shared" si="75"/>
        <v>2016</v>
      </c>
      <c r="F4580" t="s">
        <v>991</v>
      </c>
      <c r="G4580" s="9">
        <v>635.83000000000004</v>
      </c>
      <c r="H4580" s="8">
        <v>23704</v>
      </c>
    </row>
    <row r="4581" spans="2:8" ht="17.5" customHeight="1" x14ac:dyDescent="0.4">
      <c r="B4581" t="s">
        <v>7</v>
      </c>
      <c r="C4581" t="s">
        <v>990</v>
      </c>
      <c r="D4581" s="7">
        <f>DATE(2016,10,24)</f>
        <v>42667</v>
      </c>
      <c r="E4581" s="8">
        <f t="shared" si="75"/>
        <v>2016</v>
      </c>
      <c r="F4581" t="s">
        <v>991</v>
      </c>
      <c r="G4581" s="9">
        <v>669.8</v>
      </c>
      <c r="H4581" s="8">
        <v>23681</v>
      </c>
    </row>
    <row r="4582" spans="2:8" ht="17.5" customHeight="1" x14ac:dyDescent="0.4">
      <c r="B4582" t="s">
        <v>7</v>
      </c>
      <c r="C4582" t="s">
        <v>990</v>
      </c>
      <c r="D4582" s="7">
        <f>DATE(2016,11,3)</f>
        <v>42677</v>
      </c>
      <c r="E4582" s="8">
        <f t="shared" si="75"/>
        <v>2016</v>
      </c>
      <c r="F4582" t="s">
        <v>991</v>
      </c>
      <c r="G4582" s="9">
        <v>11291.39</v>
      </c>
      <c r="H4582" s="8">
        <v>23756</v>
      </c>
    </row>
    <row r="4583" spans="2:8" ht="17.5" customHeight="1" x14ac:dyDescent="0.4">
      <c r="B4583" t="s">
        <v>7</v>
      </c>
      <c r="C4583" t="s">
        <v>990</v>
      </c>
      <c r="D4583" s="7">
        <f>DATE(2016,11,30)</f>
        <v>42704</v>
      </c>
      <c r="E4583" s="8">
        <f t="shared" si="75"/>
        <v>2016</v>
      </c>
      <c r="F4583" t="s">
        <v>991</v>
      </c>
      <c r="G4583" s="9">
        <v>1313.34</v>
      </c>
      <c r="H4583" s="8">
        <v>23893</v>
      </c>
    </row>
    <row r="4584" spans="2:8" ht="17.5" customHeight="1" x14ac:dyDescent="0.4">
      <c r="B4584" t="s">
        <v>7</v>
      </c>
      <c r="C4584" t="s">
        <v>990</v>
      </c>
      <c r="D4584" s="7">
        <f>DATE(2017,8,24)</f>
        <v>42971</v>
      </c>
      <c r="E4584" s="8">
        <f t="shared" si="75"/>
        <v>2017</v>
      </c>
      <c r="F4584" t="s">
        <v>991</v>
      </c>
      <c r="G4584" s="9">
        <v>1128</v>
      </c>
      <c r="H4584" s="8">
        <v>25366</v>
      </c>
    </row>
    <row r="4585" spans="2:8" ht="17.5" customHeight="1" x14ac:dyDescent="0.4">
      <c r="B4585" t="s">
        <v>7</v>
      </c>
      <c r="C4585" t="s">
        <v>990</v>
      </c>
      <c r="D4585" s="7">
        <f>DATE(2017,9,15)</f>
        <v>42993</v>
      </c>
      <c r="E4585" s="8">
        <f t="shared" si="75"/>
        <v>2017</v>
      </c>
      <c r="F4585" t="s">
        <v>991</v>
      </c>
      <c r="G4585" s="9">
        <v>7555.56</v>
      </c>
      <c r="H4585" s="8">
        <v>25518</v>
      </c>
    </row>
    <row r="4586" spans="2:8" ht="17.5" customHeight="1" x14ac:dyDescent="0.4">
      <c r="B4586" t="s">
        <v>7</v>
      </c>
      <c r="C4586" t="s">
        <v>990</v>
      </c>
      <c r="D4586" s="7">
        <f>DATE(2017,9,28)</f>
        <v>43006</v>
      </c>
      <c r="E4586" s="8">
        <f t="shared" si="75"/>
        <v>2017</v>
      </c>
      <c r="F4586" t="s">
        <v>991</v>
      </c>
      <c r="G4586" s="9">
        <v>8672.15</v>
      </c>
      <c r="H4586" s="8">
        <v>25574</v>
      </c>
    </row>
    <row r="4587" spans="2:8" ht="17.5" customHeight="1" x14ac:dyDescent="0.4">
      <c r="B4587" t="s">
        <v>7</v>
      </c>
      <c r="C4587" t="s">
        <v>990</v>
      </c>
      <c r="D4587" s="7">
        <f>DATE(2017,11,6)</f>
        <v>43045</v>
      </c>
      <c r="E4587" s="8">
        <f t="shared" si="75"/>
        <v>2017</v>
      </c>
      <c r="F4587" t="s">
        <v>991</v>
      </c>
      <c r="G4587" s="9">
        <v>1035.92</v>
      </c>
      <c r="H4587" s="8">
        <v>25838</v>
      </c>
    </row>
    <row r="4588" spans="2:8" ht="17.5" customHeight="1" x14ac:dyDescent="0.4">
      <c r="B4588" t="s">
        <v>7</v>
      </c>
      <c r="C4588" t="s">
        <v>990</v>
      </c>
      <c r="D4588" s="7">
        <f>DATE(2017,11,7)</f>
        <v>43046</v>
      </c>
      <c r="E4588" s="8">
        <f t="shared" si="75"/>
        <v>2017</v>
      </c>
      <c r="F4588" t="s">
        <v>991</v>
      </c>
      <c r="G4588" s="9">
        <v>783.37</v>
      </c>
      <c r="H4588" s="8">
        <v>25870</v>
      </c>
    </row>
    <row r="4589" spans="2:8" ht="17.5" customHeight="1" x14ac:dyDescent="0.4">
      <c r="B4589" t="s">
        <v>7</v>
      </c>
      <c r="C4589" t="s">
        <v>990</v>
      </c>
      <c r="D4589" s="7">
        <f>DATE(2018,1,15)</f>
        <v>43115</v>
      </c>
      <c r="E4589" s="8">
        <f t="shared" si="75"/>
        <v>2018</v>
      </c>
      <c r="F4589" t="s">
        <v>991</v>
      </c>
      <c r="G4589" s="9">
        <v>709.8</v>
      </c>
      <c r="H4589" s="8">
        <v>26219</v>
      </c>
    </row>
    <row r="4590" spans="2:8" ht="17.5" customHeight="1" x14ac:dyDescent="0.4">
      <c r="B4590" t="s">
        <v>7</v>
      </c>
      <c r="C4590" t="s">
        <v>990</v>
      </c>
      <c r="D4590" s="7">
        <f>DATE(2018,2,15)</f>
        <v>43146</v>
      </c>
      <c r="E4590" s="8">
        <f t="shared" si="75"/>
        <v>2018</v>
      </c>
      <c r="F4590" t="s">
        <v>991</v>
      </c>
      <c r="G4590" s="9">
        <v>1233.0999999999999</v>
      </c>
      <c r="H4590" s="8">
        <v>26433</v>
      </c>
    </row>
    <row r="4591" spans="2:8" ht="17.5" customHeight="1" x14ac:dyDescent="0.4">
      <c r="B4591" t="s">
        <v>7</v>
      </c>
      <c r="C4591" t="s">
        <v>990</v>
      </c>
      <c r="D4591" s="7">
        <f>DATE(2018,2,21)</f>
        <v>43152</v>
      </c>
      <c r="E4591" s="8">
        <f t="shared" si="75"/>
        <v>2018</v>
      </c>
      <c r="F4591" t="s">
        <v>991</v>
      </c>
      <c r="G4591" s="9">
        <v>5628.75</v>
      </c>
      <c r="H4591" s="8">
        <v>26492</v>
      </c>
    </row>
    <row r="4592" spans="2:8" ht="17.5" customHeight="1" x14ac:dyDescent="0.4">
      <c r="B4592" t="s">
        <v>7</v>
      </c>
      <c r="C4592" t="s">
        <v>990</v>
      </c>
      <c r="D4592" s="7">
        <f>DATE(2018,3,1)</f>
        <v>43160</v>
      </c>
      <c r="E4592" s="8">
        <f t="shared" si="75"/>
        <v>2018</v>
      </c>
      <c r="F4592" t="s">
        <v>991</v>
      </c>
      <c r="G4592" s="9">
        <v>6694.6</v>
      </c>
      <c r="H4592" s="8">
        <v>26039</v>
      </c>
    </row>
    <row r="4593" spans="2:8" ht="17.5" customHeight="1" x14ac:dyDescent="0.4">
      <c r="B4593" t="s">
        <v>7</v>
      </c>
      <c r="C4593" t="s">
        <v>990</v>
      </c>
      <c r="D4593" s="7">
        <f>DATE(2018,3,13)</f>
        <v>43172</v>
      </c>
      <c r="E4593" s="8">
        <f t="shared" si="75"/>
        <v>2018</v>
      </c>
      <c r="F4593" t="s">
        <v>991</v>
      </c>
      <c r="G4593" s="9">
        <v>586.32000000000005</v>
      </c>
      <c r="H4593" s="8">
        <v>26650</v>
      </c>
    </row>
    <row r="4594" spans="2:8" ht="17.5" customHeight="1" x14ac:dyDescent="0.4">
      <c r="B4594" t="s">
        <v>7</v>
      </c>
      <c r="C4594" t="s">
        <v>990</v>
      </c>
      <c r="D4594" s="7">
        <f>DATE(2018,4,10)</f>
        <v>43200</v>
      </c>
      <c r="E4594" s="8">
        <f t="shared" si="75"/>
        <v>2018</v>
      </c>
      <c r="F4594" t="s">
        <v>991</v>
      </c>
      <c r="G4594" s="9">
        <v>2937.43</v>
      </c>
      <c r="H4594" s="8">
        <v>26796</v>
      </c>
    </row>
    <row r="4595" spans="2:8" ht="17.5" customHeight="1" x14ac:dyDescent="0.4">
      <c r="B4595" t="s">
        <v>7</v>
      </c>
      <c r="C4595" t="s">
        <v>990</v>
      </c>
      <c r="D4595" s="7">
        <f>DATE(2018,5,21)</f>
        <v>43241</v>
      </c>
      <c r="E4595" s="8">
        <f t="shared" si="75"/>
        <v>2018</v>
      </c>
      <c r="F4595" t="s">
        <v>991</v>
      </c>
      <c r="G4595" s="9">
        <v>1247.8</v>
      </c>
      <c r="H4595" s="8">
        <v>27060</v>
      </c>
    </row>
    <row r="4596" spans="2:8" ht="17.5" customHeight="1" x14ac:dyDescent="0.4">
      <c r="B4596" t="s">
        <v>7</v>
      </c>
      <c r="C4596" t="s">
        <v>990</v>
      </c>
      <c r="D4596" s="7">
        <f>DATE(2018,12,10)</f>
        <v>43444</v>
      </c>
      <c r="E4596" s="8">
        <f t="shared" si="75"/>
        <v>2018</v>
      </c>
      <c r="F4596" t="s">
        <v>991</v>
      </c>
      <c r="G4596" s="9">
        <v>3963.83</v>
      </c>
      <c r="H4596" s="8">
        <v>28081</v>
      </c>
    </row>
    <row r="4597" spans="2:8" ht="17.5" customHeight="1" x14ac:dyDescent="0.4">
      <c r="B4597" t="s">
        <v>7</v>
      </c>
      <c r="C4597" t="s">
        <v>990</v>
      </c>
      <c r="D4597" s="7">
        <f>DATE(2019,4,5)</f>
        <v>43560</v>
      </c>
      <c r="E4597" s="8">
        <f t="shared" si="75"/>
        <v>2019</v>
      </c>
      <c r="F4597" t="s">
        <v>991</v>
      </c>
      <c r="G4597" s="9">
        <v>95.2</v>
      </c>
      <c r="H4597" s="8">
        <v>28784</v>
      </c>
    </row>
    <row r="4598" spans="2:8" ht="17.5" customHeight="1" x14ac:dyDescent="0.4">
      <c r="B4598" t="s">
        <v>7</v>
      </c>
      <c r="C4598" t="s">
        <v>990</v>
      </c>
      <c r="D4598" s="7">
        <f>DATE(2015,2,3)</f>
        <v>42038</v>
      </c>
      <c r="E4598" s="8">
        <f t="shared" si="75"/>
        <v>2015</v>
      </c>
      <c r="F4598" t="s">
        <v>991</v>
      </c>
      <c r="G4598" s="9">
        <v>9604.02</v>
      </c>
      <c r="H4598" s="8">
        <v>173</v>
      </c>
    </row>
    <row r="4599" spans="2:8" ht="17.5" customHeight="1" x14ac:dyDescent="0.4">
      <c r="B4599" t="s">
        <v>7</v>
      </c>
      <c r="C4599" t="s">
        <v>990</v>
      </c>
      <c r="D4599" s="7">
        <f>DATE(2018,9,28)</f>
        <v>43371</v>
      </c>
      <c r="E4599" s="8">
        <f t="shared" si="75"/>
        <v>2018</v>
      </c>
      <c r="F4599" t="s">
        <v>991</v>
      </c>
      <c r="G4599" s="9">
        <v>7783.87</v>
      </c>
      <c r="H4599" s="8">
        <v>27726</v>
      </c>
    </row>
    <row r="4600" spans="2:8" ht="17.5" customHeight="1" x14ac:dyDescent="0.4">
      <c r="B4600" t="s">
        <v>7</v>
      </c>
      <c r="C4600" t="s">
        <v>990</v>
      </c>
      <c r="D4600" s="7">
        <f>DATE(2015,6,3)</f>
        <v>42158</v>
      </c>
      <c r="E4600" s="8">
        <f t="shared" si="75"/>
        <v>2015</v>
      </c>
      <c r="F4600" t="s">
        <v>991</v>
      </c>
      <c r="G4600" s="9">
        <v>2238.08</v>
      </c>
      <c r="H4600" s="8">
        <v>20258</v>
      </c>
    </row>
    <row r="4601" spans="2:8" ht="17.5" customHeight="1" x14ac:dyDescent="0.4">
      <c r="B4601" t="s">
        <v>7</v>
      </c>
      <c r="C4601" t="s">
        <v>990</v>
      </c>
      <c r="D4601" s="7">
        <f>DATE(2015,8,6)</f>
        <v>42222</v>
      </c>
      <c r="E4601" s="8">
        <f t="shared" si="75"/>
        <v>2015</v>
      </c>
      <c r="F4601" t="s">
        <v>991</v>
      </c>
      <c r="G4601" s="9">
        <v>164.88</v>
      </c>
      <c r="H4601" s="8">
        <v>21059</v>
      </c>
    </row>
    <row r="4602" spans="2:8" ht="17.5" customHeight="1" x14ac:dyDescent="0.4">
      <c r="B4602" t="s">
        <v>7</v>
      </c>
      <c r="C4602" t="s">
        <v>990</v>
      </c>
      <c r="D4602" s="7">
        <f>DATE(2015,12,4)</f>
        <v>42342</v>
      </c>
      <c r="E4602" s="8">
        <f t="shared" si="75"/>
        <v>2015</v>
      </c>
      <c r="F4602" t="s">
        <v>991</v>
      </c>
      <c r="G4602" s="9">
        <v>20052.48</v>
      </c>
      <c r="H4602" s="8">
        <v>21457</v>
      </c>
    </row>
    <row r="4603" spans="2:8" ht="17.5" customHeight="1" x14ac:dyDescent="0.4">
      <c r="B4603" t="s">
        <v>7</v>
      </c>
      <c r="C4603" t="s">
        <v>990</v>
      </c>
      <c r="D4603" s="7">
        <f>DATE(2016,5,6)</f>
        <v>42496</v>
      </c>
      <c r="E4603" s="8">
        <f t="shared" si="75"/>
        <v>2016</v>
      </c>
      <c r="F4603" t="s">
        <v>991</v>
      </c>
      <c r="G4603" s="9">
        <v>119806.73</v>
      </c>
      <c r="H4603" s="8">
        <v>21920</v>
      </c>
    </row>
    <row r="4604" spans="2:8" ht="17.5" customHeight="1" x14ac:dyDescent="0.4">
      <c r="B4604" t="s">
        <v>7</v>
      </c>
      <c r="C4604" t="s">
        <v>990</v>
      </c>
      <c r="D4604" s="7">
        <f>DATE(2016,9,13)</f>
        <v>42626</v>
      </c>
      <c r="E4604" s="8">
        <f t="shared" si="75"/>
        <v>2016</v>
      </c>
      <c r="F4604" t="s">
        <v>991</v>
      </c>
      <c r="G4604" s="9">
        <v>2650</v>
      </c>
      <c r="H4604" s="8">
        <v>22727</v>
      </c>
    </row>
    <row r="4605" spans="2:8" ht="17.5" customHeight="1" x14ac:dyDescent="0.4">
      <c r="B4605" t="s">
        <v>7</v>
      </c>
      <c r="C4605" t="s">
        <v>990</v>
      </c>
      <c r="D4605" s="7">
        <f>DATE(2016,10,21)</f>
        <v>42664</v>
      </c>
      <c r="E4605" s="8">
        <f t="shared" si="75"/>
        <v>2016</v>
      </c>
      <c r="F4605" t="s">
        <v>991</v>
      </c>
      <c r="G4605" s="9">
        <v>101763.3</v>
      </c>
      <c r="H4605" s="8">
        <v>23200</v>
      </c>
    </row>
    <row r="4606" spans="2:8" ht="17.5" customHeight="1" x14ac:dyDescent="0.4">
      <c r="B4606" t="s">
        <v>7</v>
      </c>
      <c r="C4606" t="s">
        <v>990</v>
      </c>
      <c r="D4606" s="7">
        <f>DATE(2016,11,10)</f>
        <v>42684</v>
      </c>
      <c r="E4606" s="8">
        <f t="shared" si="75"/>
        <v>2016</v>
      </c>
      <c r="F4606" t="s">
        <v>991</v>
      </c>
      <c r="G4606" s="9">
        <v>17217.09</v>
      </c>
      <c r="H4606" s="8">
        <v>23544</v>
      </c>
    </row>
    <row r="4607" spans="2:8" ht="17.5" customHeight="1" x14ac:dyDescent="0.4">
      <c r="B4607" t="s">
        <v>7</v>
      </c>
      <c r="C4607" t="s">
        <v>990</v>
      </c>
      <c r="D4607" s="7">
        <f>DATE(2017,5,4)</f>
        <v>42859</v>
      </c>
      <c r="E4607" s="8">
        <f t="shared" si="75"/>
        <v>2017</v>
      </c>
      <c r="F4607" t="s">
        <v>991</v>
      </c>
      <c r="G4607" s="9">
        <v>2850</v>
      </c>
      <c r="H4607" s="8">
        <v>24881</v>
      </c>
    </row>
    <row r="4608" spans="2:8" ht="17.5" customHeight="1" x14ac:dyDescent="0.4">
      <c r="B4608" t="s">
        <v>7</v>
      </c>
      <c r="C4608" t="s">
        <v>990</v>
      </c>
      <c r="D4608" s="7">
        <f>DATE(2017,10,11)</f>
        <v>43019</v>
      </c>
      <c r="E4608" s="8">
        <f t="shared" si="75"/>
        <v>2017</v>
      </c>
      <c r="F4608" t="s">
        <v>991</v>
      </c>
      <c r="G4608" s="9">
        <v>109751.49</v>
      </c>
      <c r="H4608" s="8">
        <v>25421</v>
      </c>
    </row>
    <row r="4609" spans="2:8" ht="17.5" customHeight="1" x14ac:dyDescent="0.4">
      <c r="B4609" t="s">
        <v>7</v>
      </c>
      <c r="C4609" t="s">
        <v>990</v>
      </c>
      <c r="D4609" s="7">
        <f>DATE(2018,3,7)</f>
        <v>43166</v>
      </c>
      <c r="E4609" s="8">
        <f t="shared" si="75"/>
        <v>2018</v>
      </c>
      <c r="F4609" t="s">
        <v>991</v>
      </c>
      <c r="G4609" s="9">
        <v>1850</v>
      </c>
      <c r="H4609" s="8">
        <v>25796</v>
      </c>
    </row>
    <row r="4610" spans="2:8" ht="17.5" customHeight="1" x14ac:dyDescent="0.4">
      <c r="B4610" t="s">
        <v>7</v>
      </c>
      <c r="C4610" t="s">
        <v>990</v>
      </c>
      <c r="D4610" s="7">
        <f>DATE(2018,9,20)</f>
        <v>43363</v>
      </c>
      <c r="E4610" s="8">
        <f t="shared" si="75"/>
        <v>2018</v>
      </c>
      <c r="F4610" t="s">
        <v>991</v>
      </c>
      <c r="G4610" s="9">
        <v>17393.79</v>
      </c>
      <c r="H4610" s="8">
        <v>27517</v>
      </c>
    </row>
    <row r="4611" spans="2:8" ht="17.5" customHeight="1" x14ac:dyDescent="0.4">
      <c r="B4611" t="s">
        <v>7</v>
      </c>
      <c r="C4611" t="s">
        <v>990</v>
      </c>
      <c r="D4611" s="7">
        <f>DATE(2018,11,14)</f>
        <v>43418</v>
      </c>
      <c r="E4611" s="8">
        <f t="shared" ref="E4611:E4674" si="76">YEAR(D4611)</f>
        <v>2018</v>
      </c>
      <c r="F4611" t="s">
        <v>991</v>
      </c>
      <c r="G4611" s="9">
        <v>20605.939999999999</v>
      </c>
      <c r="H4611" s="8">
        <v>27750</v>
      </c>
    </row>
    <row r="4612" spans="2:8" ht="17.5" customHeight="1" x14ac:dyDescent="0.4">
      <c r="B4612" t="s">
        <v>7</v>
      </c>
      <c r="C4612" t="s">
        <v>990</v>
      </c>
      <c r="D4612" s="7">
        <f>DATE(2019,3,22)</f>
        <v>43546</v>
      </c>
      <c r="E4612" s="8">
        <f t="shared" si="76"/>
        <v>2019</v>
      </c>
      <c r="F4612" t="s">
        <v>991</v>
      </c>
      <c r="G4612" s="9">
        <v>38573.54</v>
      </c>
      <c r="H4612" s="8">
        <v>28332</v>
      </c>
    </row>
    <row r="4613" spans="2:8" ht="17.5" customHeight="1" x14ac:dyDescent="0.4">
      <c r="B4613" t="s">
        <v>7</v>
      </c>
      <c r="C4613" t="s">
        <v>990</v>
      </c>
      <c r="D4613" s="7">
        <f>DATE(2015,1,22)</f>
        <v>42026</v>
      </c>
      <c r="E4613" s="8">
        <f t="shared" si="76"/>
        <v>2015</v>
      </c>
      <c r="F4613" t="s">
        <v>991</v>
      </c>
      <c r="G4613" s="9">
        <v>1290.3</v>
      </c>
      <c r="H4613" s="8">
        <v>22</v>
      </c>
    </row>
    <row r="4614" spans="2:8" ht="17.5" customHeight="1" x14ac:dyDescent="0.4">
      <c r="B4614" t="s">
        <v>7</v>
      </c>
      <c r="C4614" t="s">
        <v>990</v>
      </c>
      <c r="D4614" s="7">
        <f>DATE(2015,1,22)</f>
        <v>42026</v>
      </c>
      <c r="E4614" s="8">
        <f t="shared" si="76"/>
        <v>2015</v>
      </c>
      <c r="F4614" t="s">
        <v>991</v>
      </c>
      <c r="G4614" s="9">
        <v>5625</v>
      </c>
      <c r="H4614" s="8">
        <v>53</v>
      </c>
    </row>
    <row r="4615" spans="2:8" ht="17.5" customHeight="1" x14ac:dyDescent="0.4">
      <c r="B4615" t="s">
        <v>7</v>
      </c>
      <c r="C4615" t="s">
        <v>990</v>
      </c>
      <c r="D4615" s="7">
        <f>DATE(2015,1,29)</f>
        <v>42033</v>
      </c>
      <c r="E4615" s="8">
        <f t="shared" si="76"/>
        <v>2015</v>
      </c>
      <c r="F4615" t="s">
        <v>991</v>
      </c>
      <c r="G4615" s="9">
        <v>2019.8</v>
      </c>
      <c r="H4615" s="8">
        <v>274</v>
      </c>
    </row>
    <row r="4616" spans="2:8" ht="17.5" customHeight="1" x14ac:dyDescent="0.4">
      <c r="B4616" t="s">
        <v>7</v>
      </c>
      <c r="C4616" t="s">
        <v>990</v>
      </c>
      <c r="D4616" s="7">
        <f>DATE(2015,1,30)</f>
        <v>42034</v>
      </c>
      <c r="E4616" s="8">
        <f t="shared" si="76"/>
        <v>2015</v>
      </c>
      <c r="F4616" t="s">
        <v>991</v>
      </c>
      <c r="G4616" s="9">
        <v>7518</v>
      </c>
      <c r="H4616" s="8">
        <v>303</v>
      </c>
    </row>
    <row r="4617" spans="2:8" ht="17.5" customHeight="1" x14ac:dyDescent="0.4">
      <c r="B4617" t="s">
        <v>7</v>
      </c>
      <c r="C4617" t="s">
        <v>990</v>
      </c>
      <c r="D4617" s="7">
        <f>DATE(2015,2,6)</f>
        <v>42041</v>
      </c>
      <c r="E4617" s="8">
        <f t="shared" si="76"/>
        <v>2015</v>
      </c>
      <c r="F4617" t="s">
        <v>991</v>
      </c>
      <c r="G4617" s="9">
        <v>5731.5</v>
      </c>
      <c r="H4617" s="8">
        <v>337</v>
      </c>
    </row>
    <row r="4618" spans="2:8" ht="17.5" customHeight="1" x14ac:dyDescent="0.4">
      <c r="B4618" t="s">
        <v>7</v>
      </c>
      <c r="C4618" t="s">
        <v>990</v>
      </c>
      <c r="D4618" s="7">
        <f>DATE(2015,2,16)</f>
        <v>42051</v>
      </c>
      <c r="E4618" s="8">
        <f t="shared" si="76"/>
        <v>2015</v>
      </c>
      <c r="F4618" t="s">
        <v>991</v>
      </c>
      <c r="G4618" s="9">
        <v>3550</v>
      </c>
      <c r="H4618" s="8">
        <v>414</v>
      </c>
    </row>
    <row r="4619" spans="2:8" ht="17.5" customHeight="1" x14ac:dyDescent="0.4">
      <c r="B4619" t="s">
        <v>7</v>
      </c>
      <c r="C4619" t="s">
        <v>990</v>
      </c>
      <c r="D4619" s="7">
        <f>DATE(2015,2,25)</f>
        <v>42060</v>
      </c>
      <c r="E4619" s="8">
        <f t="shared" si="76"/>
        <v>2015</v>
      </c>
      <c r="F4619" t="s">
        <v>991</v>
      </c>
      <c r="G4619" s="9">
        <v>488.75</v>
      </c>
      <c r="H4619" s="8">
        <v>20034</v>
      </c>
    </row>
    <row r="4620" spans="2:8" ht="17.5" customHeight="1" x14ac:dyDescent="0.4">
      <c r="B4620" t="s">
        <v>7</v>
      </c>
      <c r="C4620" t="s">
        <v>990</v>
      </c>
      <c r="D4620" s="7">
        <f>DATE(2015,3,12)</f>
        <v>42075</v>
      </c>
      <c r="E4620" s="8">
        <f t="shared" si="76"/>
        <v>2015</v>
      </c>
      <c r="F4620" t="s">
        <v>991</v>
      </c>
      <c r="G4620" s="9">
        <v>3337.66</v>
      </c>
      <c r="H4620" s="8">
        <v>20129</v>
      </c>
    </row>
    <row r="4621" spans="2:8" ht="17.5" customHeight="1" x14ac:dyDescent="0.4">
      <c r="B4621" t="s">
        <v>7</v>
      </c>
      <c r="C4621" t="s">
        <v>990</v>
      </c>
      <c r="D4621" s="7">
        <f>DATE(2015,3,26)</f>
        <v>42089</v>
      </c>
      <c r="E4621" s="8">
        <f t="shared" si="76"/>
        <v>2015</v>
      </c>
      <c r="F4621" t="s">
        <v>991</v>
      </c>
      <c r="G4621" s="9">
        <v>5910</v>
      </c>
      <c r="H4621" s="8">
        <v>20173</v>
      </c>
    </row>
    <row r="4622" spans="2:8" ht="17.5" customHeight="1" x14ac:dyDescent="0.4">
      <c r="B4622" t="s">
        <v>7</v>
      </c>
      <c r="C4622" t="s">
        <v>990</v>
      </c>
      <c r="D4622" s="7">
        <f>DATE(2015,3,26)</f>
        <v>42089</v>
      </c>
      <c r="E4622" s="8">
        <f t="shared" si="76"/>
        <v>2015</v>
      </c>
      <c r="F4622" t="s">
        <v>991</v>
      </c>
      <c r="G4622" s="9">
        <v>9362</v>
      </c>
      <c r="H4622" s="8">
        <v>20157</v>
      </c>
    </row>
    <row r="4623" spans="2:8" ht="17.5" customHeight="1" x14ac:dyDescent="0.4">
      <c r="B4623" t="s">
        <v>7</v>
      </c>
      <c r="C4623" t="s">
        <v>990</v>
      </c>
      <c r="D4623" s="7">
        <f>DATE(2015,4,21)</f>
        <v>42115</v>
      </c>
      <c r="E4623" s="8">
        <f t="shared" si="76"/>
        <v>2015</v>
      </c>
      <c r="F4623" t="s">
        <v>991</v>
      </c>
      <c r="G4623" s="9">
        <v>688.5</v>
      </c>
      <c r="H4623" s="8">
        <v>20467</v>
      </c>
    </row>
    <row r="4624" spans="2:8" ht="17.5" customHeight="1" x14ac:dyDescent="0.4">
      <c r="B4624" t="s">
        <v>7</v>
      </c>
      <c r="C4624" t="s">
        <v>990</v>
      </c>
      <c r="D4624" s="7">
        <f>DATE(2015,4,22)</f>
        <v>42116</v>
      </c>
      <c r="E4624" s="8">
        <f t="shared" si="76"/>
        <v>2015</v>
      </c>
      <c r="F4624" t="s">
        <v>991</v>
      </c>
      <c r="G4624" s="9">
        <v>178.4</v>
      </c>
      <c r="H4624" s="8">
        <v>20465</v>
      </c>
    </row>
    <row r="4625" spans="2:8" ht="17.5" customHeight="1" x14ac:dyDescent="0.4">
      <c r="B4625" t="s">
        <v>7</v>
      </c>
      <c r="C4625" t="s">
        <v>990</v>
      </c>
      <c r="D4625" s="7">
        <f>DATE(2015,5,5)</f>
        <v>42129</v>
      </c>
      <c r="E4625" s="8">
        <f t="shared" si="76"/>
        <v>2015</v>
      </c>
      <c r="F4625" t="s">
        <v>991</v>
      </c>
      <c r="G4625" s="9">
        <v>890</v>
      </c>
      <c r="H4625" s="8">
        <v>20525</v>
      </c>
    </row>
    <row r="4626" spans="2:8" ht="17.5" customHeight="1" x14ac:dyDescent="0.4">
      <c r="B4626" t="s">
        <v>7</v>
      </c>
      <c r="C4626" t="s">
        <v>990</v>
      </c>
      <c r="D4626" s="7">
        <f>DATE(2015,5,7)</f>
        <v>42131</v>
      </c>
      <c r="E4626" s="8">
        <f t="shared" si="76"/>
        <v>2015</v>
      </c>
      <c r="F4626" t="s">
        <v>991</v>
      </c>
      <c r="G4626" s="9">
        <v>1780.8</v>
      </c>
      <c r="H4626" s="8">
        <v>20476</v>
      </c>
    </row>
    <row r="4627" spans="2:8" ht="17.5" customHeight="1" x14ac:dyDescent="0.4">
      <c r="B4627" t="s">
        <v>7</v>
      </c>
      <c r="C4627" t="s">
        <v>990</v>
      </c>
      <c r="D4627" s="7">
        <f>DATE(2015,5,11)</f>
        <v>42135</v>
      </c>
      <c r="E4627" s="8">
        <f t="shared" si="76"/>
        <v>2015</v>
      </c>
      <c r="F4627" t="s">
        <v>991</v>
      </c>
      <c r="G4627" s="9">
        <v>4840</v>
      </c>
      <c r="H4627" s="8">
        <v>20390</v>
      </c>
    </row>
    <row r="4628" spans="2:8" ht="17.5" customHeight="1" x14ac:dyDescent="0.4">
      <c r="B4628" t="s">
        <v>7</v>
      </c>
      <c r="C4628" t="s">
        <v>990</v>
      </c>
      <c r="D4628" s="7">
        <f>DATE(2015,5,18)</f>
        <v>42142</v>
      </c>
      <c r="E4628" s="8">
        <f t="shared" si="76"/>
        <v>2015</v>
      </c>
      <c r="F4628" t="s">
        <v>991</v>
      </c>
      <c r="G4628" s="9">
        <v>5523.3</v>
      </c>
      <c r="H4628" s="8">
        <v>20589</v>
      </c>
    </row>
    <row r="4629" spans="2:8" ht="17.5" customHeight="1" x14ac:dyDescent="0.4">
      <c r="B4629" t="s">
        <v>7</v>
      </c>
      <c r="C4629" t="s">
        <v>990</v>
      </c>
      <c r="D4629" s="7">
        <f>DATE(2015,6,2)</f>
        <v>42157</v>
      </c>
      <c r="E4629" s="8">
        <f t="shared" si="76"/>
        <v>2015</v>
      </c>
      <c r="F4629" t="s">
        <v>991</v>
      </c>
      <c r="G4629" s="9">
        <v>15223</v>
      </c>
      <c r="H4629" s="8">
        <v>20680</v>
      </c>
    </row>
    <row r="4630" spans="2:8" ht="17.5" customHeight="1" x14ac:dyDescent="0.4">
      <c r="B4630" t="s">
        <v>7</v>
      </c>
      <c r="C4630" t="s">
        <v>990</v>
      </c>
      <c r="D4630" s="7">
        <f>DATE(2015,6,12)</f>
        <v>42167</v>
      </c>
      <c r="E4630" s="8">
        <f t="shared" si="76"/>
        <v>2015</v>
      </c>
      <c r="F4630" t="s">
        <v>991</v>
      </c>
      <c r="G4630" s="9">
        <v>3630</v>
      </c>
      <c r="H4630" s="8">
        <v>20705</v>
      </c>
    </row>
    <row r="4631" spans="2:8" ht="17.5" customHeight="1" x14ac:dyDescent="0.4">
      <c r="B4631" t="s">
        <v>7</v>
      </c>
      <c r="C4631" t="s">
        <v>990</v>
      </c>
      <c r="D4631" s="7">
        <f>DATE(2015,6,12)</f>
        <v>42167</v>
      </c>
      <c r="E4631" s="8">
        <f t="shared" si="76"/>
        <v>2015</v>
      </c>
      <c r="F4631" t="s">
        <v>991</v>
      </c>
      <c r="G4631" s="9">
        <v>1160</v>
      </c>
      <c r="H4631" s="8">
        <v>20781</v>
      </c>
    </row>
    <row r="4632" spans="2:8" ht="17.5" customHeight="1" x14ac:dyDescent="0.4">
      <c r="B4632" t="s">
        <v>7</v>
      </c>
      <c r="C4632" t="s">
        <v>990</v>
      </c>
      <c r="D4632" s="7">
        <f>DATE(2015,7,7)</f>
        <v>42192</v>
      </c>
      <c r="E4632" s="8">
        <f t="shared" si="76"/>
        <v>2015</v>
      </c>
      <c r="F4632" t="s">
        <v>991</v>
      </c>
      <c r="G4632" s="9">
        <v>5898.3</v>
      </c>
      <c r="H4632" s="8">
        <v>20875</v>
      </c>
    </row>
    <row r="4633" spans="2:8" ht="17.5" customHeight="1" x14ac:dyDescent="0.4">
      <c r="B4633" t="s">
        <v>7</v>
      </c>
      <c r="C4633" t="s">
        <v>990</v>
      </c>
      <c r="D4633" s="7">
        <f>DATE(2015,7,8)</f>
        <v>42193</v>
      </c>
      <c r="E4633" s="8">
        <f t="shared" si="76"/>
        <v>2015</v>
      </c>
      <c r="F4633" t="s">
        <v>991</v>
      </c>
      <c r="G4633" s="9">
        <v>5750</v>
      </c>
      <c r="H4633" s="8">
        <v>20896</v>
      </c>
    </row>
    <row r="4634" spans="2:8" ht="17.5" customHeight="1" x14ac:dyDescent="0.4">
      <c r="B4634" t="s">
        <v>7</v>
      </c>
      <c r="C4634" t="s">
        <v>990</v>
      </c>
      <c r="D4634" s="7">
        <f>DATE(2015,7,21)</f>
        <v>42206</v>
      </c>
      <c r="E4634" s="8">
        <f t="shared" si="76"/>
        <v>2015</v>
      </c>
      <c r="F4634" t="s">
        <v>991</v>
      </c>
      <c r="G4634" s="9">
        <v>19239</v>
      </c>
      <c r="H4634" s="8">
        <v>20895</v>
      </c>
    </row>
    <row r="4635" spans="2:8" ht="17.5" customHeight="1" x14ac:dyDescent="0.4">
      <c r="B4635" t="s">
        <v>7</v>
      </c>
      <c r="C4635" t="s">
        <v>990</v>
      </c>
      <c r="D4635" s="7">
        <f>DATE(2015,7,22)</f>
        <v>42207</v>
      </c>
      <c r="E4635" s="8">
        <f t="shared" si="76"/>
        <v>2015</v>
      </c>
      <c r="F4635" t="s">
        <v>991</v>
      </c>
      <c r="G4635" s="9">
        <v>658</v>
      </c>
      <c r="H4635" s="8">
        <v>20935</v>
      </c>
    </row>
    <row r="4636" spans="2:8" ht="17.5" customHeight="1" x14ac:dyDescent="0.4">
      <c r="B4636" t="s">
        <v>7</v>
      </c>
      <c r="C4636" t="s">
        <v>990</v>
      </c>
      <c r="D4636" s="7">
        <f>DATE(2015,7,22)</f>
        <v>42207</v>
      </c>
      <c r="E4636" s="8">
        <f t="shared" si="76"/>
        <v>2015</v>
      </c>
      <c r="F4636" t="s">
        <v>991</v>
      </c>
      <c r="G4636" s="9">
        <v>156.4</v>
      </c>
      <c r="H4636" s="8">
        <v>20934</v>
      </c>
    </row>
    <row r="4637" spans="2:8" ht="17.5" customHeight="1" x14ac:dyDescent="0.4">
      <c r="B4637" t="s">
        <v>7</v>
      </c>
      <c r="C4637" t="s">
        <v>990</v>
      </c>
      <c r="D4637" s="7">
        <f>DATE(2015,7,24)</f>
        <v>42209</v>
      </c>
      <c r="E4637" s="8">
        <f t="shared" si="76"/>
        <v>2015</v>
      </c>
      <c r="F4637" t="s">
        <v>991</v>
      </c>
      <c r="G4637" s="9">
        <v>3480</v>
      </c>
      <c r="H4637" s="8">
        <v>20986</v>
      </c>
    </row>
    <row r="4638" spans="2:8" ht="17.5" customHeight="1" x14ac:dyDescent="0.4">
      <c r="B4638" t="s">
        <v>7</v>
      </c>
      <c r="C4638" t="s">
        <v>990</v>
      </c>
      <c r="D4638" s="7">
        <f>DATE(2015,7,27)</f>
        <v>42212</v>
      </c>
      <c r="E4638" s="8">
        <f t="shared" si="76"/>
        <v>2015</v>
      </c>
      <c r="F4638" t="s">
        <v>991</v>
      </c>
      <c r="G4638" s="9">
        <v>1662</v>
      </c>
      <c r="H4638" s="8">
        <v>20996</v>
      </c>
    </row>
    <row r="4639" spans="2:8" ht="17.5" customHeight="1" x14ac:dyDescent="0.4">
      <c r="B4639" t="s">
        <v>7</v>
      </c>
      <c r="C4639" t="s">
        <v>990</v>
      </c>
      <c r="D4639" s="7">
        <f>DATE(2015,8,11)</f>
        <v>42227</v>
      </c>
      <c r="E4639" s="8">
        <f t="shared" si="76"/>
        <v>2015</v>
      </c>
      <c r="F4639" t="s">
        <v>991</v>
      </c>
      <c r="G4639" s="9">
        <v>445</v>
      </c>
      <c r="H4639" s="8">
        <v>21058</v>
      </c>
    </row>
    <row r="4640" spans="2:8" ht="17.5" customHeight="1" x14ac:dyDescent="0.4">
      <c r="B4640" t="s">
        <v>7</v>
      </c>
      <c r="C4640" t="s">
        <v>990</v>
      </c>
      <c r="D4640" s="7">
        <f>DATE(2015,8,21)</f>
        <v>42237</v>
      </c>
      <c r="E4640" s="8">
        <f t="shared" si="76"/>
        <v>2015</v>
      </c>
      <c r="F4640" t="s">
        <v>991</v>
      </c>
      <c r="G4640" s="9">
        <v>3895.8</v>
      </c>
      <c r="H4640" s="8">
        <v>21081</v>
      </c>
    </row>
    <row r="4641" spans="2:8" ht="17.5" customHeight="1" x14ac:dyDescent="0.4">
      <c r="B4641" t="s">
        <v>7</v>
      </c>
      <c r="C4641" t="s">
        <v>990</v>
      </c>
      <c r="D4641" s="7">
        <f>DATE(2015,9,1)</f>
        <v>42248</v>
      </c>
      <c r="E4641" s="8">
        <f t="shared" si="76"/>
        <v>2015</v>
      </c>
      <c r="F4641" t="s">
        <v>991</v>
      </c>
      <c r="G4641" s="9">
        <v>5963.9</v>
      </c>
      <c r="H4641" s="8">
        <v>21142</v>
      </c>
    </row>
    <row r="4642" spans="2:8" ht="17.5" customHeight="1" x14ac:dyDescent="0.4">
      <c r="B4642" t="s">
        <v>7</v>
      </c>
      <c r="C4642" t="s">
        <v>990</v>
      </c>
      <c r="D4642" s="7">
        <f>DATE(2015,9,14)</f>
        <v>42261</v>
      </c>
      <c r="E4642" s="8">
        <f t="shared" si="76"/>
        <v>2015</v>
      </c>
      <c r="F4642" t="s">
        <v>991</v>
      </c>
      <c r="G4642" s="9">
        <v>1015</v>
      </c>
      <c r="H4642" s="8">
        <v>21185</v>
      </c>
    </row>
    <row r="4643" spans="2:8" ht="17.5" customHeight="1" x14ac:dyDescent="0.4">
      <c r="B4643" t="s">
        <v>7</v>
      </c>
      <c r="C4643" t="s">
        <v>990</v>
      </c>
      <c r="D4643" s="7">
        <f>DATE(2015,9,23)</f>
        <v>42270</v>
      </c>
      <c r="E4643" s="8">
        <f t="shared" si="76"/>
        <v>2015</v>
      </c>
      <c r="F4643" t="s">
        <v>991</v>
      </c>
      <c r="G4643" s="9">
        <v>195.5</v>
      </c>
      <c r="H4643" s="8">
        <v>21283</v>
      </c>
    </row>
    <row r="4644" spans="2:8" ht="17.5" customHeight="1" x14ac:dyDescent="0.4">
      <c r="B4644" t="s">
        <v>7</v>
      </c>
      <c r="C4644" t="s">
        <v>990</v>
      </c>
      <c r="D4644" s="7">
        <f>DATE(2015,10,19)</f>
        <v>42296</v>
      </c>
      <c r="E4644" s="8">
        <f t="shared" si="76"/>
        <v>2015</v>
      </c>
      <c r="F4644" t="s">
        <v>991</v>
      </c>
      <c r="G4644" s="9">
        <v>360</v>
      </c>
      <c r="H4644" s="8">
        <v>21423</v>
      </c>
    </row>
    <row r="4645" spans="2:8" ht="17.5" customHeight="1" x14ac:dyDescent="0.4">
      <c r="B4645" t="s">
        <v>7</v>
      </c>
      <c r="C4645" t="s">
        <v>990</v>
      </c>
      <c r="D4645" s="7">
        <f>DATE(2015,10,22)</f>
        <v>42299</v>
      </c>
      <c r="E4645" s="8">
        <f t="shared" si="76"/>
        <v>2015</v>
      </c>
      <c r="F4645" t="s">
        <v>991</v>
      </c>
      <c r="G4645" s="9">
        <v>500</v>
      </c>
      <c r="H4645" s="8">
        <v>21455</v>
      </c>
    </row>
    <row r="4646" spans="2:8" ht="17.5" customHeight="1" x14ac:dyDescent="0.4">
      <c r="B4646" t="s">
        <v>7</v>
      </c>
      <c r="C4646" t="s">
        <v>990</v>
      </c>
      <c r="D4646" s="7">
        <f>DATE(2015,10,28)</f>
        <v>42305</v>
      </c>
      <c r="E4646" s="8">
        <f t="shared" si="76"/>
        <v>2015</v>
      </c>
      <c r="F4646" t="s">
        <v>991</v>
      </c>
      <c r="G4646" s="9">
        <v>178.5</v>
      </c>
      <c r="H4646" s="8">
        <v>21461</v>
      </c>
    </row>
    <row r="4647" spans="2:8" ht="17.5" customHeight="1" x14ac:dyDescent="0.4">
      <c r="B4647" t="s">
        <v>7</v>
      </c>
      <c r="C4647" t="s">
        <v>990</v>
      </c>
      <c r="D4647" s="7">
        <f>DATE(2015,10,29)</f>
        <v>42306</v>
      </c>
      <c r="E4647" s="8">
        <f t="shared" si="76"/>
        <v>2015</v>
      </c>
      <c r="F4647" t="s">
        <v>991</v>
      </c>
      <c r="G4647" s="9">
        <v>6375</v>
      </c>
      <c r="H4647" s="8">
        <v>21510</v>
      </c>
    </row>
    <row r="4648" spans="2:8" ht="17.5" customHeight="1" x14ac:dyDescent="0.4">
      <c r="B4648" t="s">
        <v>7</v>
      </c>
      <c r="C4648" t="s">
        <v>990</v>
      </c>
      <c r="D4648" s="7">
        <f>DATE(2015,11,2)</f>
        <v>42310</v>
      </c>
      <c r="E4648" s="8">
        <f t="shared" si="76"/>
        <v>2015</v>
      </c>
      <c r="F4648" t="s">
        <v>991</v>
      </c>
      <c r="G4648" s="9">
        <v>1425</v>
      </c>
      <c r="H4648" s="8">
        <v>21549</v>
      </c>
    </row>
    <row r="4649" spans="2:8" ht="17.5" customHeight="1" x14ac:dyDescent="0.4">
      <c r="B4649" t="s">
        <v>7</v>
      </c>
      <c r="C4649" t="s">
        <v>990</v>
      </c>
      <c r="D4649" s="7">
        <f>DATE(2015,11,4)</f>
        <v>42312</v>
      </c>
      <c r="E4649" s="8">
        <f t="shared" si="76"/>
        <v>2015</v>
      </c>
      <c r="F4649" t="s">
        <v>991</v>
      </c>
      <c r="G4649" s="9">
        <v>6375</v>
      </c>
      <c r="H4649" s="8">
        <v>21385</v>
      </c>
    </row>
    <row r="4650" spans="2:8" ht="17.5" customHeight="1" x14ac:dyDescent="0.4">
      <c r="B4650" t="s">
        <v>7</v>
      </c>
      <c r="C4650" t="s">
        <v>990</v>
      </c>
      <c r="D4650" s="7">
        <f>DATE(2015,11,6)</f>
        <v>42314</v>
      </c>
      <c r="E4650" s="8">
        <f t="shared" si="76"/>
        <v>2015</v>
      </c>
      <c r="F4650" t="s">
        <v>991</v>
      </c>
      <c r="G4650" s="9">
        <v>719.6</v>
      </c>
      <c r="H4650" s="8">
        <v>21586</v>
      </c>
    </row>
    <row r="4651" spans="2:8" ht="17.5" customHeight="1" x14ac:dyDescent="0.4">
      <c r="B4651" t="s">
        <v>7</v>
      </c>
      <c r="C4651" t="s">
        <v>990</v>
      </c>
      <c r="D4651" s="7">
        <f>DATE(2015,11,9)</f>
        <v>42317</v>
      </c>
      <c r="E4651" s="8">
        <f t="shared" si="76"/>
        <v>2015</v>
      </c>
      <c r="F4651" t="s">
        <v>991</v>
      </c>
      <c r="G4651" s="9">
        <v>2090</v>
      </c>
      <c r="H4651" s="8">
        <v>21570</v>
      </c>
    </row>
    <row r="4652" spans="2:8" ht="17.5" customHeight="1" x14ac:dyDescent="0.4">
      <c r="B4652" t="s">
        <v>7</v>
      </c>
      <c r="C4652" t="s">
        <v>990</v>
      </c>
      <c r="D4652" s="7">
        <f>DATE(2015,11,11)</f>
        <v>42319</v>
      </c>
      <c r="E4652" s="8">
        <f t="shared" si="76"/>
        <v>2015</v>
      </c>
      <c r="F4652" t="s">
        <v>991</v>
      </c>
      <c r="G4652" s="9">
        <v>432</v>
      </c>
      <c r="H4652" s="8">
        <v>21591</v>
      </c>
    </row>
    <row r="4653" spans="2:8" ht="17.5" customHeight="1" x14ac:dyDescent="0.4">
      <c r="B4653" t="s">
        <v>7</v>
      </c>
      <c r="C4653" t="s">
        <v>990</v>
      </c>
      <c r="D4653" s="7">
        <f>DATE(2015,11,12)</f>
        <v>42320</v>
      </c>
      <c r="E4653" s="8">
        <f t="shared" si="76"/>
        <v>2015</v>
      </c>
      <c r="F4653" t="s">
        <v>991</v>
      </c>
      <c r="G4653" s="9">
        <v>289</v>
      </c>
      <c r="H4653" s="8">
        <v>21629</v>
      </c>
    </row>
    <row r="4654" spans="2:8" ht="17.5" customHeight="1" x14ac:dyDescent="0.4">
      <c r="B4654" t="s">
        <v>7</v>
      </c>
      <c r="C4654" t="s">
        <v>990</v>
      </c>
      <c r="D4654" s="7">
        <f>DATE(2015,11,13)</f>
        <v>42321</v>
      </c>
      <c r="E4654" s="8">
        <f t="shared" si="76"/>
        <v>2015</v>
      </c>
      <c r="F4654" t="s">
        <v>991</v>
      </c>
      <c r="G4654" s="9">
        <v>1840.12</v>
      </c>
      <c r="H4654" s="8">
        <v>21637</v>
      </c>
    </row>
    <row r="4655" spans="2:8" ht="17.5" customHeight="1" x14ac:dyDescent="0.4">
      <c r="B4655" t="s">
        <v>7</v>
      </c>
      <c r="C4655" t="s">
        <v>990</v>
      </c>
      <c r="D4655" s="7">
        <f>DATE(2015,11,17)</f>
        <v>42325</v>
      </c>
      <c r="E4655" s="8">
        <f t="shared" si="76"/>
        <v>2015</v>
      </c>
      <c r="F4655" t="s">
        <v>991</v>
      </c>
      <c r="G4655" s="9">
        <v>195.5</v>
      </c>
      <c r="H4655" s="8">
        <v>21638</v>
      </c>
    </row>
    <row r="4656" spans="2:8" ht="17.5" customHeight="1" x14ac:dyDescent="0.4">
      <c r="B4656" t="s">
        <v>7</v>
      </c>
      <c r="C4656" t="s">
        <v>990</v>
      </c>
      <c r="D4656" s="7">
        <f>DATE(2015,11,20)</f>
        <v>42328</v>
      </c>
      <c r="E4656" s="8">
        <f t="shared" si="76"/>
        <v>2015</v>
      </c>
      <c r="F4656" t="s">
        <v>991</v>
      </c>
      <c r="G4656" s="9">
        <v>360</v>
      </c>
      <c r="H4656" s="8">
        <v>21672</v>
      </c>
    </row>
    <row r="4657" spans="2:8" ht="17.5" customHeight="1" x14ac:dyDescent="0.4">
      <c r="B4657" t="s">
        <v>7</v>
      </c>
      <c r="C4657" t="s">
        <v>990</v>
      </c>
      <c r="D4657" s="7">
        <f>DATE(2015,11,25)</f>
        <v>42333</v>
      </c>
      <c r="E4657" s="8">
        <f t="shared" si="76"/>
        <v>2015</v>
      </c>
      <c r="F4657" t="s">
        <v>991</v>
      </c>
      <c r="G4657" s="9">
        <v>2295</v>
      </c>
      <c r="H4657" s="8">
        <v>21694</v>
      </c>
    </row>
    <row r="4658" spans="2:8" ht="17.5" customHeight="1" x14ac:dyDescent="0.4">
      <c r="B4658" t="s">
        <v>7</v>
      </c>
      <c r="C4658" t="s">
        <v>990</v>
      </c>
      <c r="D4658" s="7">
        <f>DATE(2015,11,27)</f>
        <v>42335</v>
      </c>
      <c r="E4658" s="8">
        <f t="shared" si="76"/>
        <v>2015</v>
      </c>
      <c r="F4658" t="s">
        <v>991</v>
      </c>
      <c r="G4658" s="9">
        <v>2601</v>
      </c>
      <c r="H4658" s="8">
        <v>21711</v>
      </c>
    </row>
    <row r="4659" spans="2:8" ht="17.5" customHeight="1" x14ac:dyDescent="0.4">
      <c r="B4659" t="s">
        <v>7</v>
      </c>
      <c r="C4659" t="s">
        <v>990</v>
      </c>
      <c r="D4659" s="7">
        <f>DATE(2015,11,27)</f>
        <v>42335</v>
      </c>
      <c r="E4659" s="8">
        <f t="shared" si="76"/>
        <v>2015</v>
      </c>
      <c r="F4659" t="s">
        <v>991</v>
      </c>
      <c r="G4659" s="9">
        <v>178.4</v>
      </c>
      <c r="H4659" s="8">
        <v>21695</v>
      </c>
    </row>
    <row r="4660" spans="2:8" ht="17.5" customHeight="1" x14ac:dyDescent="0.4">
      <c r="B4660" t="s">
        <v>7</v>
      </c>
      <c r="C4660" t="s">
        <v>990</v>
      </c>
      <c r="D4660" s="7">
        <f>DATE(2015,12,9)</f>
        <v>42347</v>
      </c>
      <c r="E4660" s="8">
        <f t="shared" si="76"/>
        <v>2015</v>
      </c>
      <c r="F4660" t="s">
        <v>991</v>
      </c>
      <c r="G4660" s="9">
        <v>531.79999999999995</v>
      </c>
      <c r="H4660" s="8">
        <v>21740</v>
      </c>
    </row>
    <row r="4661" spans="2:8" ht="17.5" customHeight="1" x14ac:dyDescent="0.4">
      <c r="B4661" t="s">
        <v>7</v>
      </c>
      <c r="C4661" t="s">
        <v>990</v>
      </c>
      <c r="D4661" s="7">
        <f>DATE(2015,12,11)</f>
        <v>42349</v>
      </c>
      <c r="E4661" s="8">
        <f t="shared" si="76"/>
        <v>2015</v>
      </c>
      <c r="F4661" t="s">
        <v>991</v>
      </c>
      <c r="G4661" s="9">
        <v>4660.7</v>
      </c>
      <c r="H4661" s="8">
        <v>21742</v>
      </c>
    </row>
    <row r="4662" spans="2:8" ht="17.5" customHeight="1" x14ac:dyDescent="0.4">
      <c r="B4662" t="s">
        <v>7</v>
      </c>
      <c r="C4662" t="s">
        <v>990</v>
      </c>
      <c r="D4662" s="7">
        <f>DATE(2015,12,15)</f>
        <v>42353</v>
      </c>
      <c r="E4662" s="8">
        <f t="shared" si="76"/>
        <v>2015</v>
      </c>
      <c r="F4662" t="s">
        <v>991</v>
      </c>
      <c r="G4662" s="9">
        <v>890</v>
      </c>
      <c r="H4662" s="8">
        <v>21830</v>
      </c>
    </row>
    <row r="4663" spans="2:8" ht="17.5" customHeight="1" x14ac:dyDescent="0.4">
      <c r="B4663" t="s">
        <v>7</v>
      </c>
      <c r="C4663" t="s">
        <v>990</v>
      </c>
      <c r="D4663" s="7">
        <f>DATE(2016,1,15)</f>
        <v>42384</v>
      </c>
      <c r="E4663" s="8">
        <f t="shared" si="76"/>
        <v>2016</v>
      </c>
      <c r="F4663" t="s">
        <v>991</v>
      </c>
      <c r="G4663" s="9">
        <v>7733</v>
      </c>
      <c r="H4663" s="8">
        <v>21931</v>
      </c>
    </row>
    <row r="4664" spans="2:8" ht="17.5" customHeight="1" x14ac:dyDescent="0.4">
      <c r="B4664" t="s">
        <v>7</v>
      </c>
      <c r="C4664" t="s">
        <v>990</v>
      </c>
      <c r="D4664" s="7">
        <f>DATE(2016,2,8)</f>
        <v>42408</v>
      </c>
      <c r="E4664" s="8">
        <f t="shared" si="76"/>
        <v>2016</v>
      </c>
      <c r="F4664" t="s">
        <v>991</v>
      </c>
      <c r="G4664" s="9">
        <v>15343.19</v>
      </c>
      <c r="H4664" s="8">
        <v>22132</v>
      </c>
    </row>
    <row r="4665" spans="2:8" ht="17.5" customHeight="1" x14ac:dyDescent="0.4">
      <c r="B4665" t="s">
        <v>7</v>
      </c>
      <c r="C4665" t="s">
        <v>990</v>
      </c>
      <c r="D4665" s="7">
        <f>DATE(2016,2,9)</f>
        <v>42409</v>
      </c>
      <c r="E4665" s="8">
        <f t="shared" si="76"/>
        <v>2016</v>
      </c>
      <c r="F4665" t="s">
        <v>991</v>
      </c>
      <c r="G4665" s="9">
        <v>497.25</v>
      </c>
      <c r="H4665" s="8">
        <v>22139</v>
      </c>
    </row>
    <row r="4666" spans="2:8" ht="17.5" customHeight="1" x14ac:dyDescent="0.4">
      <c r="B4666" t="s">
        <v>7</v>
      </c>
      <c r="C4666" t="s">
        <v>990</v>
      </c>
      <c r="D4666" s="7">
        <f>DATE(2016,2,9)</f>
        <v>42409</v>
      </c>
      <c r="E4666" s="8">
        <f t="shared" si="76"/>
        <v>2016</v>
      </c>
      <c r="F4666" t="s">
        <v>991</v>
      </c>
      <c r="G4666" s="9">
        <v>1715.63</v>
      </c>
      <c r="H4666" s="8">
        <v>22142</v>
      </c>
    </row>
    <row r="4667" spans="2:8" ht="17.5" customHeight="1" x14ac:dyDescent="0.4">
      <c r="B4667" t="s">
        <v>7</v>
      </c>
      <c r="C4667" t="s">
        <v>990</v>
      </c>
      <c r="D4667" s="7">
        <f>DATE(2016,2,18)</f>
        <v>42418</v>
      </c>
      <c r="E4667" s="8">
        <f t="shared" si="76"/>
        <v>2016</v>
      </c>
      <c r="F4667" t="s">
        <v>991</v>
      </c>
      <c r="G4667" s="9">
        <v>522.5</v>
      </c>
      <c r="H4667" s="8">
        <v>22212</v>
      </c>
    </row>
    <row r="4668" spans="2:8" ht="17.5" customHeight="1" x14ac:dyDescent="0.4">
      <c r="B4668" t="s">
        <v>7</v>
      </c>
      <c r="C4668" t="s">
        <v>990</v>
      </c>
      <c r="D4668" s="7">
        <f>DATE(2016,2,18)</f>
        <v>42418</v>
      </c>
      <c r="E4668" s="8">
        <f t="shared" si="76"/>
        <v>2016</v>
      </c>
      <c r="F4668" t="s">
        <v>991</v>
      </c>
      <c r="G4668" s="9">
        <v>731.5</v>
      </c>
      <c r="H4668" s="8">
        <v>22184</v>
      </c>
    </row>
    <row r="4669" spans="2:8" ht="17.5" customHeight="1" x14ac:dyDescent="0.4">
      <c r="B4669" t="s">
        <v>7</v>
      </c>
      <c r="C4669" t="s">
        <v>990</v>
      </c>
      <c r="D4669" s="7">
        <f>DATE(2016,2,19)</f>
        <v>42419</v>
      </c>
      <c r="E4669" s="8">
        <f t="shared" si="76"/>
        <v>2016</v>
      </c>
      <c r="F4669" t="s">
        <v>991</v>
      </c>
      <c r="G4669" s="9">
        <v>1160</v>
      </c>
      <c r="H4669" s="8">
        <v>22180</v>
      </c>
    </row>
    <row r="4670" spans="2:8" ht="17.5" customHeight="1" x14ac:dyDescent="0.4">
      <c r="B4670" t="s">
        <v>7</v>
      </c>
      <c r="C4670" t="s">
        <v>990</v>
      </c>
      <c r="D4670" s="7">
        <f>DATE(2016,2,25)</f>
        <v>42425</v>
      </c>
      <c r="E4670" s="8">
        <f t="shared" si="76"/>
        <v>2016</v>
      </c>
      <c r="F4670" t="s">
        <v>991</v>
      </c>
      <c r="G4670" s="9">
        <v>31749.1</v>
      </c>
      <c r="H4670" s="8">
        <v>22236</v>
      </c>
    </row>
    <row r="4671" spans="2:8" ht="17.5" customHeight="1" x14ac:dyDescent="0.4">
      <c r="B4671" t="s">
        <v>7</v>
      </c>
      <c r="C4671" t="s">
        <v>990</v>
      </c>
      <c r="D4671" s="7">
        <f>DATE(2016,3,1)</f>
        <v>42430</v>
      </c>
      <c r="E4671" s="8">
        <f t="shared" si="76"/>
        <v>2016</v>
      </c>
      <c r="F4671" t="s">
        <v>991</v>
      </c>
      <c r="G4671" s="9">
        <v>9496</v>
      </c>
      <c r="H4671" s="8">
        <v>22255</v>
      </c>
    </row>
    <row r="4672" spans="2:8" ht="17.5" customHeight="1" x14ac:dyDescent="0.4">
      <c r="B4672" t="s">
        <v>7</v>
      </c>
      <c r="C4672" t="s">
        <v>990</v>
      </c>
      <c r="D4672" s="7">
        <f>DATE(2016,3,4)</f>
        <v>42433</v>
      </c>
      <c r="E4672" s="8">
        <f t="shared" si="76"/>
        <v>2016</v>
      </c>
      <c r="F4672" t="s">
        <v>991</v>
      </c>
      <c r="G4672" s="9">
        <v>1912.2</v>
      </c>
      <c r="H4672" s="8">
        <v>22350</v>
      </c>
    </row>
    <row r="4673" spans="2:8" ht="17.5" customHeight="1" x14ac:dyDescent="0.4">
      <c r="B4673" t="s">
        <v>7</v>
      </c>
      <c r="C4673" t="s">
        <v>990</v>
      </c>
      <c r="D4673" s="7">
        <f>DATE(2016,3,9)</f>
        <v>42438</v>
      </c>
      <c r="E4673" s="8">
        <f t="shared" si="76"/>
        <v>2016</v>
      </c>
      <c r="F4673" t="s">
        <v>991</v>
      </c>
      <c r="G4673" s="9">
        <v>13600.3</v>
      </c>
      <c r="H4673" s="8">
        <v>22351</v>
      </c>
    </row>
    <row r="4674" spans="2:8" ht="17.5" customHeight="1" x14ac:dyDescent="0.4">
      <c r="B4674" t="s">
        <v>7</v>
      </c>
      <c r="C4674" t="s">
        <v>990</v>
      </c>
      <c r="D4674" s="7">
        <f>DATE(2016,3,23)</f>
        <v>42452</v>
      </c>
      <c r="E4674" s="8">
        <f t="shared" si="76"/>
        <v>2016</v>
      </c>
      <c r="F4674" t="s">
        <v>991</v>
      </c>
      <c r="G4674" s="9">
        <v>198.1</v>
      </c>
      <c r="H4674" s="8">
        <v>22362</v>
      </c>
    </row>
    <row r="4675" spans="2:8" ht="17.5" customHeight="1" x14ac:dyDescent="0.4">
      <c r="B4675" t="s">
        <v>7</v>
      </c>
      <c r="C4675" t="s">
        <v>990</v>
      </c>
      <c r="D4675" s="7">
        <f>DATE(2016,3,28)</f>
        <v>42457</v>
      </c>
      <c r="E4675" s="8">
        <f t="shared" ref="E4675:E4738" si="77">YEAR(D4675)</f>
        <v>2016</v>
      </c>
      <c r="F4675" t="s">
        <v>991</v>
      </c>
      <c r="G4675" s="9">
        <v>1432</v>
      </c>
      <c r="H4675" s="8">
        <v>22509</v>
      </c>
    </row>
    <row r="4676" spans="2:8" ht="17.5" customHeight="1" x14ac:dyDescent="0.4">
      <c r="B4676" t="s">
        <v>7</v>
      </c>
      <c r="C4676" t="s">
        <v>990</v>
      </c>
      <c r="D4676" s="7">
        <f>DATE(2016,4,4)</f>
        <v>42464</v>
      </c>
      <c r="E4676" s="8">
        <f t="shared" si="77"/>
        <v>2016</v>
      </c>
      <c r="F4676" t="s">
        <v>991</v>
      </c>
      <c r="G4676" s="9">
        <v>132.5</v>
      </c>
      <c r="H4676" s="8">
        <v>22571</v>
      </c>
    </row>
    <row r="4677" spans="2:8" ht="17.5" customHeight="1" x14ac:dyDescent="0.4">
      <c r="B4677" t="s">
        <v>7</v>
      </c>
      <c r="C4677" t="s">
        <v>990</v>
      </c>
      <c r="D4677" s="7">
        <f>DATE(2016,4,5)</f>
        <v>42465</v>
      </c>
      <c r="E4677" s="8">
        <f t="shared" si="77"/>
        <v>2016</v>
      </c>
      <c r="F4677" t="s">
        <v>991</v>
      </c>
      <c r="G4677" s="9">
        <v>222.28</v>
      </c>
      <c r="H4677" s="8">
        <v>22570</v>
      </c>
    </row>
    <row r="4678" spans="2:8" ht="17.5" customHeight="1" x14ac:dyDescent="0.4">
      <c r="B4678" t="s">
        <v>7</v>
      </c>
      <c r="C4678" t="s">
        <v>990</v>
      </c>
      <c r="D4678" s="7">
        <f>DATE(2016,4,14)</f>
        <v>42474</v>
      </c>
      <c r="E4678" s="8">
        <f t="shared" si="77"/>
        <v>2016</v>
      </c>
      <c r="F4678" t="s">
        <v>991</v>
      </c>
      <c r="G4678" s="9">
        <v>2625.3</v>
      </c>
      <c r="H4678" s="8">
        <v>22591</v>
      </c>
    </row>
    <row r="4679" spans="2:8" ht="17.5" customHeight="1" x14ac:dyDescent="0.4">
      <c r="B4679" t="s">
        <v>7</v>
      </c>
      <c r="C4679" t="s">
        <v>990</v>
      </c>
      <c r="D4679" s="7">
        <f>DATE(2016,4,27)</f>
        <v>42487</v>
      </c>
      <c r="E4679" s="8">
        <f t="shared" si="77"/>
        <v>2016</v>
      </c>
      <c r="F4679" t="s">
        <v>991</v>
      </c>
      <c r="G4679" s="9">
        <v>2225</v>
      </c>
      <c r="H4679" s="8">
        <v>22752</v>
      </c>
    </row>
    <row r="4680" spans="2:8" ht="17.5" customHeight="1" x14ac:dyDescent="0.4">
      <c r="B4680" t="s">
        <v>7</v>
      </c>
      <c r="C4680" t="s">
        <v>990</v>
      </c>
      <c r="D4680" s="7">
        <f>DATE(2016,4,27)</f>
        <v>42487</v>
      </c>
      <c r="E4680" s="8">
        <f t="shared" si="77"/>
        <v>2016</v>
      </c>
      <c r="F4680" t="s">
        <v>991</v>
      </c>
      <c r="G4680" s="9">
        <v>267.60000000000002</v>
      </c>
      <c r="H4680" s="8">
        <v>22736</v>
      </c>
    </row>
    <row r="4681" spans="2:8" ht="17.5" customHeight="1" x14ac:dyDescent="0.4">
      <c r="B4681" t="s">
        <v>7</v>
      </c>
      <c r="C4681" t="s">
        <v>990</v>
      </c>
      <c r="D4681" s="7">
        <f>DATE(2016,4,29)</f>
        <v>42489</v>
      </c>
      <c r="E4681" s="8">
        <f t="shared" si="77"/>
        <v>2016</v>
      </c>
      <c r="F4681" t="s">
        <v>991</v>
      </c>
      <c r="G4681" s="9">
        <v>561.1</v>
      </c>
      <c r="H4681" s="8">
        <v>22742</v>
      </c>
    </row>
    <row r="4682" spans="2:8" ht="17.5" customHeight="1" x14ac:dyDescent="0.4">
      <c r="B4682" t="s">
        <v>7</v>
      </c>
      <c r="C4682" t="s">
        <v>990</v>
      </c>
      <c r="D4682" s="7">
        <f>DATE(2016,5,17)</f>
        <v>42507</v>
      </c>
      <c r="E4682" s="8">
        <f t="shared" si="77"/>
        <v>2016</v>
      </c>
      <c r="F4682" t="s">
        <v>991</v>
      </c>
      <c r="G4682" s="9">
        <v>2668</v>
      </c>
      <c r="H4682" s="8">
        <v>22829</v>
      </c>
    </row>
    <row r="4683" spans="2:8" ht="17.5" customHeight="1" x14ac:dyDescent="0.4">
      <c r="B4683" t="s">
        <v>7</v>
      </c>
      <c r="C4683" t="s">
        <v>990</v>
      </c>
      <c r="D4683" s="7">
        <f>DATE(2016,5,18)</f>
        <v>42508</v>
      </c>
      <c r="E4683" s="8">
        <f t="shared" si="77"/>
        <v>2016</v>
      </c>
      <c r="F4683" t="s">
        <v>991</v>
      </c>
      <c r="G4683" s="9">
        <v>2225</v>
      </c>
      <c r="H4683" s="8">
        <v>22866</v>
      </c>
    </row>
    <row r="4684" spans="2:8" ht="17.5" customHeight="1" x14ac:dyDescent="0.4">
      <c r="B4684" t="s">
        <v>7</v>
      </c>
      <c r="C4684" t="s">
        <v>990</v>
      </c>
      <c r="D4684" s="7">
        <f>DATE(2016,5,24)</f>
        <v>42514</v>
      </c>
      <c r="E4684" s="8">
        <f t="shared" si="77"/>
        <v>2016</v>
      </c>
      <c r="F4684" t="s">
        <v>991</v>
      </c>
      <c r="G4684" s="9">
        <v>52.84</v>
      </c>
      <c r="H4684" s="8">
        <v>22897</v>
      </c>
    </row>
    <row r="4685" spans="2:8" ht="17.5" customHeight="1" x14ac:dyDescent="0.4">
      <c r="B4685" t="s">
        <v>7</v>
      </c>
      <c r="C4685" t="s">
        <v>990</v>
      </c>
      <c r="D4685" s="7">
        <f>DATE(2016,5,26)</f>
        <v>42516</v>
      </c>
      <c r="E4685" s="8">
        <f t="shared" si="77"/>
        <v>2016</v>
      </c>
      <c r="F4685" t="s">
        <v>991</v>
      </c>
      <c r="G4685" s="9">
        <v>98.5</v>
      </c>
      <c r="H4685" s="8">
        <v>22906</v>
      </c>
    </row>
    <row r="4686" spans="2:8" ht="17.5" customHeight="1" x14ac:dyDescent="0.4">
      <c r="B4686" t="s">
        <v>7</v>
      </c>
      <c r="C4686" t="s">
        <v>990</v>
      </c>
      <c r="D4686" s="7">
        <f>DATE(2016,6,1)</f>
        <v>42522</v>
      </c>
      <c r="E4686" s="8">
        <f t="shared" si="77"/>
        <v>2016</v>
      </c>
      <c r="F4686" t="s">
        <v>991</v>
      </c>
      <c r="G4686" s="9">
        <v>400.5</v>
      </c>
      <c r="H4686" s="8">
        <v>22943</v>
      </c>
    </row>
    <row r="4687" spans="2:8" ht="17.5" customHeight="1" x14ac:dyDescent="0.4">
      <c r="B4687" t="s">
        <v>7</v>
      </c>
      <c r="C4687" t="s">
        <v>990</v>
      </c>
      <c r="D4687" s="7">
        <f>DATE(2016,6,6)</f>
        <v>42527</v>
      </c>
      <c r="E4687" s="8">
        <f t="shared" si="77"/>
        <v>2016</v>
      </c>
      <c r="F4687" t="s">
        <v>991</v>
      </c>
      <c r="G4687" s="9">
        <v>993</v>
      </c>
      <c r="H4687" s="8">
        <v>22949</v>
      </c>
    </row>
    <row r="4688" spans="2:8" ht="17.5" customHeight="1" x14ac:dyDescent="0.4">
      <c r="B4688" t="s">
        <v>7</v>
      </c>
      <c r="C4688" t="s">
        <v>990</v>
      </c>
      <c r="D4688" s="7">
        <f>DATE(2016,6,8)</f>
        <v>42529</v>
      </c>
      <c r="E4688" s="8">
        <f t="shared" si="77"/>
        <v>2016</v>
      </c>
      <c r="F4688" t="s">
        <v>991</v>
      </c>
      <c r="G4688" s="9">
        <v>720</v>
      </c>
      <c r="H4688" s="8">
        <v>22976</v>
      </c>
    </row>
    <row r="4689" spans="2:8" ht="17.5" customHeight="1" x14ac:dyDescent="0.4">
      <c r="B4689" t="s">
        <v>7</v>
      </c>
      <c r="C4689" t="s">
        <v>990</v>
      </c>
      <c r="D4689" s="7">
        <f>DATE(2016,6,10)</f>
        <v>42531</v>
      </c>
      <c r="E4689" s="8">
        <f t="shared" si="77"/>
        <v>2016</v>
      </c>
      <c r="F4689" t="s">
        <v>991</v>
      </c>
      <c r="G4689" s="9">
        <v>11000</v>
      </c>
      <c r="H4689" s="8">
        <v>23003</v>
      </c>
    </row>
    <row r="4690" spans="2:8" ht="17.5" customHeight="1" x14ac:dyDescent="0.4">
      <c r="B4690" t="s">
        <v>7</v>
      </c>
      <c r="C4690" t="s">
        <v>990</v>
      </c>
      <c r="D4690" s="7">
        <f>DATE(2016,7,11)</f>
        <v>42562</v>
      </c>
      <c r="E4690" s="8">
        <f t="shared" si="77"/>
        <v>2016</v>
      </c>
      <c r="F4690" t="s">
        <v>991</v>
      </c>
      <c r="G4690" s="9">
        <v>1164.5999999999999</v>
      </c>
      <c r="H4690" s="8">
        <v>23115</v>
      </c>
    </row>
    <row r="4691" spans="2:8" ht="17.5" customHeight="1" x14ac:dyDescent="0.4">
      <c r="B4691" t="s">
        <v>7</v>
      </c>
      <c r="C4691" t="s">
        <v>990</v>
      </c>
      <c r="D4691" s="7">
        <f>DATE(2016,7,12)</f>
        <v>42563</v>
      </c>
      <c r="E4691" s="8">
        <f t="shared" si="77"/>
        <v>2016</v>
      </c>
      <c r="F4691" t="s">
        <v>991</v>
      </c>
      <c r="G4691" s="9">
        <v>5783.4</v>
      </c>
      <c r="H4691" s="8">
        <v>23116</v>
      </c>
    </row>
    <row r="4692" spans="2:8" ht="17.5" customHeight="1" x14ac:dyDescent="0.4">
      <c r="B4692" t="s">
        <v>7</v>
      </c>
      <c r="C4692" t="s">
        <v>990</v>
      </c>
      <c r="D4692" s="7">
        <f>DATE(2016,7,18)</f>
        <v>42569</v>
      </c>
      <c r="E4692" s="8">
        <f t="shared" si="77"/>
        <v>2016</v>
      </c>
      <c r="F4692" t="s">
        <v>991</v>
      </c>
      <c r="G4692" s="9">
        <v>1015</v>
      </c>
      <c r="H4692" s="8">
        <v>23127</v>
      </c>
    </row>
    <row r="4693" spans="2:8" ht="17.5" customHeight="1" x14ac:dyDescent="0.4">
      <c r="B4693" t="s">
        <v>7</v>
      </c>
      <c r="C4693" t="s">
        <v>990</v>
      </c>
      <c r="D4693" s="7">
        <f>DATE(2016,7,18)</f>
        <v>42569</v>
      </c>
      <c r="E4693" s="8">
        <f t="shared" si="77"/>
        <v>2016</v>
      </c>
      <c r="F4693" t="s">
        <v>991</v>
      </c>
      <c r="G4693" s="9">
        <v>1780</v>
      </c>
      <c r="H4693" s="8">
        <v>23150</v>
      </c>
    </row>
    <row r="4694" spans="2:8" ht="17.5" customHeight="1" x14ac:dyDescent="0.4">
      <c r="B4694" t="s">
        <v>7</v>
      </c>
      <c r="C4694" t="s">
        <v>990</v>
      </c>
      <c r="D4694" s="7">
        <f>DATE(2016,7,19)</f>
        <v>42570</v>
      </c>
      <c r="E4694" s="8">
        <f t="shared" si="77"/>
        <v>2016</v>
      </c>
      <c r="F4694" t="s">
        <v>991</v>
      </c>
      <c r="G4694" s="9">
        <v>28.05</v>
      </c>
      <c r="H4694" s="8">
        <v>23153</v>
      </c>
    </row>
    <row r="4695" spans="2:8" ht="17.5" customHeight="1" x14ac:dyDescent="0.4">
      <c r="B4695" t="s">
        <v>7</v>
      </c>
      <c r="C4695" t="s">
        <v>990</v>
      </c>
      <c r="D4695" s="7">
        <f>DATE(2016,8,8)</f>
        <v>42590</v>
      </c>
      <c r="E4695" s="8">
        <f t="shared" si="77"/>
        <v>2016</v>
      </c>
      <c r="F4695" t="s">
        <v>991</v>
      </c>
      <c r="G4695" s="9">
        <v>1625.6</v>
      </c>
      <c r="H4695" s="8">
        <v>23233</v>
      </c>
    </row>
    <row r="4696" spans="2:8" ht="17.5" customHeight="1" x14ac:dyDescent="0.4">
      <c r="B4696" t="s">
        <v>7</v>
      </c>
      <c r="C4696" t="s">
        <v>990</v>
      </c>
      <c r="D4696" s="7">
        <f>DATE(2016,8,9)</f>
        <v>42591</v>
      </c>
      <c r="E4696" s="8">
        <f t="shared" si="77"/>
        <v>2016</v>
      </c>
      <c r="F4696" t="s">
        <v>991</v>
      </c>
      <c r="G4696" s="9">
        <v>19295.900000000001</v>
      </c>
      <c r="H4696" s="8">
        <v>23230</v>
      </c>
    </row>
    <row r="4697" spans="2:8" ht="17.5" customHeight="1" x14ac:dyDescent="0.4">
      <c r="B4697" t="s">
        <v>7</v>
      </c>
      <c r="C4697" t="s">
        <v>990</v>
      </c>
      <c r="D4697" s="7">
        <f>DATE(2016,8,9)</f>
        <v>42591</v>
      </c>
      <c r="E4697" s="8">
        <f t="shared" si="77"/>
        <v>2016</v>
      </c>
      <c r="F4697" t="s">
        <v>991</v>
      </c>
      <c r="G4697" s="9">
        <v>786.5</v>
      </c>
      <c r="H4697" s="8">
        <v>23246</v>
      </c>
    </row>
    <row r="4698" spans="2:8" ht="17.5" customHeight="1" x14ac:dyDescent="0.4">
      <c r="B4698" t="s">
        <v>7</v>
      </c>
      <c r="C4698" t="s">
        <v>990</v>
      </c>
      <c r="D4698" s="7">
        <f>DATE(2016,8,9)</f>
        <v>42591</v>
      </c>
      <c r="E4698" s="8">
        <f t="shared" si="77"/>
        <v>2016</v>
      </c>
      <c r="F4698" t="s">
        <v>991</v>
      </c>
      <c r="G4698" s="9">
        <v>349.95</v>
      </c>
      <c r="H4698" s="8">
        <v>23257</v>
      </c>
    </row>
    <row r="4699" spans="2:8" ht="17.5" customHeight="1" x14ac:dyDescent="0.4">
      <c r="B4699" t="s">
        <v>7</v>
      </c>
      <c r="C4699" t="s">
        <v>990</v>
      </c>
      <c r="D4699" s="7">
        <f>DATE(2016,8,12)</f>
        <v>42594</v>
      </c>
      <c r="E4699" s="8">
        <f t="shared" si="77"/>
        <v>2016</v>
      </c>
      <c r="F4699" t="s">
        <v>991</v>
      </c>
      <c r="G4699" s="9">
        <v>582.5</v>
      </c>
      <c r="H4699" s="8">
        <v>23278</v>
      </c>
    </row>
    <row r="4700" spans="2:8" ht="17.5" customHeight="1" x14ac:dyDescent="0.4">
      <c r="B4700" t="s">
        <v>7</v>
      </c>
      <c r="C4700" t="s">
        <v>990</v>
      </c>
      <c r="D4700" s="7">
        <f>DATE(2016,8,15)</f>
        <v>42597</v>
      </c>
      <c r="E4700" s="8">
        <f t="shared" si="77"/>
        <v>2016</v>
      </c>
      <c r="F4700" t="s">
        <v>991</v>
      </c>
      <c r="G4700" s="9">
        <v>445</v>
      </c>
      <c r="H4700" s="8">
        <v>23286</v>
      </c>
    </row>
    <row r="4701" spans="2:8" ht="17.5" customHeight="1" x14ac:dyDescent="0.4">
      <c r="B4701" t="s">
        <v>7</v>
      </c>
      <c r="C4701" t="s">
        <v>990</v>
      </c>
      <c r="D4701" s="7">
        <f>DATE(2016,9,6)</f>
        <v>42619</v>
      </c>
      <c r="E4701" s="8">
        <f t="shared" si="77"/>
        <v>2016</v>
      </c>
      <c r="F4701" t="s">
        <v>991</v>
      </c>
      <c r="G4701" s="9">
        <v>1130.8</v>
      </c>
      <c r="H4701" s="8">
        <v>23400</v>
      </c>
    </row>
    <row r="4702" spans="2:8" ht="17.5" customHeight="1" x14ac:dyDescent="0.4">
      <c r="B4702" t="s">
        <v>7</v>
      </c>
      <c r="C4702" t="s">
        <v>990</v>
      </c>
      <c r="D4702" s="7">
        <f>DATE(2016,9,7)</f>
        <v>42620</v>
      </c>
      <c r="E4702" s="8">
        <f t="shared" si="77"/>
        <v>2016</v>
      </c>
      <c r="F4702" t="s">
        <v>991</v>
      </c>
      <c r="G4702" s="9">
        <v>66.900000000000006</v>
      </c>
      <c r="H4702" s="8">
        <v>23382</v>
      </c>
    </row>
    <row r="4703" spans="2:8" ht="17.5" customHeight="1" x14ac:dyDescent="0.4">
      <c r="B4703" t="s">
        <v>7</v>
      </c>
      <c r="C4703" t="s">
        <v>990</v>
      </c>
      <c r="D4703" s="7">
        <f>DATE(2016,9,8)</f>
        <v>42621</v>
      </c>
      <c r="E4703" s="8">
        <f t="shared" si="77"/>
        <v>2016</v>
      </c>
      <c r="F4703" t="s">
        <v>991</v>
      </c>
      <c r="G4703" s="9">
        <v>110.5</v>
      </c>
      <c r="H4703" s="8">
        <v>23440</v>
      </c>
    </row>
    <row r="4704" spans="2:8" ht="17.5" customHeight="1" x14ac:dyDescent="0.4">
      <c r="B4704" t="s">
        <v>7</v>
      </c>
      <c r="C4704" t="s">
        <v>990</v>
      </c>
      <c r="D4704" s="7">
        <f>DATE(2016,9,20)</f>
        <v>42633</v>
      </c>
      <c r="E4704" s="8">
        <f t="shared" si="77"/>
        <v>2016</v>
      </c>
      <c r="F4704" t="s">
        <v>991</v>
      </c>
      <c r="G4704" s="9">
        <v>1224</v>
      </c>
      <c r="H4704" s="8">
        <v>23509</v>
      </c>
    </row>
    <row r="4705" spans="2:8" ht="17.5" customHeight="1" x14ac:dyDescent="0.4">
      <c r="B4705" t="s">
        <v>7</v>
      </c>
      <c r="C4705" t="s">
        <v>990</v>
      </c>
      <c r="D4705" s="7">
        <f>DATE(2016,10,12)</f>
        <v>42655</v>
      </c>
      <c r="E4705" s="8">
        <f t="shared" si="77"/>
        <v>2016</v>
      </c>
      <c r="F4705" t="s">
        <v>991</v>
      </c>
      <c r="G4705" s="9">
        <v>787.6</v>
      </c>
      <c r="H4705" s="8">
        <v>23639</v>
      </c>
    </row>
    <row r="4706" spans="2:8" ht="17.5" customHeight="1" x14ac:dyDescent="0.4">
      <c r="B4706" t="s">
        <v>7</v>
      </c>
      <c r="C4706" t="s">
        <v>990</v>
      </c>
      <c r="D4706" s="7">
        <f>DATE(2016,10,13)</f>
        <v>42656</v>
      </c>
      <c r="E4706" s="8">
        <f t="shared" si="77"/>
        <v>2016</v>
      </c>
      <c r="F4706" t="s">
        <v>991</v>
      </c>
      <c r="G4706" s="9">
        <v>193.8</v>
      </c>
      <c r="H4706" s="8">
        <v>23658</v>
      </c>
    </row>
    <row r="4707" spans="2:8" ht="17.5" customHeight="1" x14ac:dyDescent="0.4">
      <c r="B4707" t="s">
        <v>7</v>
      </c>
      <c r="C4707" t="s">
        <v>990</v>
      </c>
      <c r="D4707" s="7">
        <f>DATE(2016,10,24)</f>
        <v>42667</v>
      </c>
      <c r="E4707" s="8">
        <f t="shared" si="77"/>
        <v>2016</v>
      </c>
      <c r="F4707" t="s">
        <v>991</v>
      </c>
      <c r="G4707" s="9">
        <v>778.4</v>
      </c>
      <c r="H4707" s="8">
        <v>23706</v>
      </c>
    </row>
    <row r="4708" spans="2:8" ht="17.5" customHeight="1" x14ac:dyDescent="0.4">
      <c r="B4708" t="s">
        <v>7</v>
      </c>
      <c r="C4708" t="s">
        <v>990</v>
      </c>
      <c r="D4708" s="7">
        <f>DATE(2016,11,8)</f>
        <v>42682</v>
      </c>
      <c r="E4708" s="8">
        <f t="shared" si="77"/>
        <v>2016</v>
      </c>
      <c r="F4708" t="s">
        <v>991</v>
      </c>
      <c r="G4708" s="9">
        <v>484</v>
      </c>
      <c r="H4708" s="8">
        <v>23781</v>
      </c>
    </row>
    <row r="4709" spans="2:8" ht="17.5" customHeight="1" x14ac:dyDescent="0.4">
      <c r="B4709" t="s">
        <v>7</v>
      </c>
      <c r="C4709" t="s">
        <v>990</v>
      </c>
      <c r="D4709" s="7">
        <f>DATE(2016,11,17)</f>
        <v>42691</v>
      </c>
      <c r="E4709" s="8">
        <f t="shared" si="77"/>
        <v>2016</v>
      </c>
      <c r="F4709" t="s">
        <v>991</v>
      </c>
      <c r="G4709" s="9">
        <v>1379.4</v>
      </c>
      <c r="H4709" s="8">
        <v>23828</v>
      </c>
    </row>
    <row r="4710" spans="2:8" ht="17.5" customHeight="1" x14ac:dyDescent="0.4">
      <c r="B4710" t="s">
        <v>7</v>
      </c>
      <c r="C4710" t="s">
        <v>990</v>
      </c>
      <c r="D4710" s="7">
        <f>DATE(2016,11,30)</f>
        <v>42704</v>
      </c>
      <c r="E4710" s="8">
        <f t="shared" si="77"/>
        <v>2016</v>
      </c>
      <c r="F4710" t="s">
        <v>991</v>
      </c>
      <c r="G4710" s="9">
        <v>2310</v>
      </c>
      <c r="H4710" s="8">
        <v>23898</v>
      </c>
    </row>
    <row r="4711" spans="2:8" ht="17.5" customHeight="1" x14ac:dyDescent="0.4">
      <c r="B4711" t="s">
        <v>7</v>
      </c>
      <c r="C4711" t="s">
        <v>990</v>
      </c>
      <c r="D4711" s="7">
        <f>DATE(2016,11,30)</f>
        <v>42704</v>
      </c>
      <c r="E4711" s="8">
        <f t="shared" si="77"/>
        <v>2016</v>
      </c>
      <c r="F4711" t="s">
        <v>991</v>
      </c>
      <c r="G4711" s="9">
        <v>302.5</v>
      </c>
      <c r="H4711" s="8">
        <v>23825</v>
      </c>
    </row>
    <row r="4712" spans="2:8" ht="17.5" customHeight="1" x14ac:dyDescent="0.4">
      <c r="B4712" t="s">
        <v>7</v>
      </c>
      <c r="C4712" t="s">
        <v>990</v>
      </c>
      <c r="D4712" s="7">
        <f>DATE(2016,12,6)</f>
        <v>42710</v>
      </c>
      <c r="E4712" s="8">
        <f t="shared" si="77"/>
        <v>2016</v>
      </c>
      <c r="F4712" t="s">
        <v>991</v>
      </c>
      <c r="G4712" s="9">
        <v>2642</v>
      </c>
      <c r="H4712" s="8">
        <v>23906</v>
      </c>
    </row>
    <row r="4713" spans="2:8" ht="17.5" customHeight="1" x14ac:dyDescent="0.4">
      <c r="B4713" t="s">
        <v>7</v>
      </c>
      <c r="C4713" t="s">
        <v>990</v>
      </c>
      <c r="D4713" s="7">
        <f>DATE(2016,12,14)</f>
        <v>42718</v>
      </c>
      <c r="E4713" s="8">
        <f t="shared" si="77"/>
        <v>2016</v>
      </c>
      <c r="F4713" t="s">
        <v>991</v>
      </c>
      <c r="G4713" s="9">
        <v>488.75</v>
      </c>
      <c r="H4713" s="8">
        <v>23943</v>
      </c>
    </row>
    <row r="4714" spans="2:8" ht="17.5" customHeight="1" x14ac:dyDescent="0.4">
      <c r="B4714" t="s">
        <v>7</v>
      </c>
      <c r="C4714" t="s">
        <v>990</v>
      </c>
      <c r="D4714" s="7">
        <f>DATE(2016,12,22)</f>
        <v>42726</v>
      </c>
      <c r="E4714" s="8">
        <f t="shared" si="77"/>
        <v>2016</v>
      </c>
      <c r="F4714" t="s">
        <v>991</v>
      </c>
      <c r="G4714" s="9">
        <v>140</v>
      </c>
      <c r="H4714" s="8">
        <v>23970</v>
      </c>
    </row>
    <row r="4715" spans="2:8" ht="17.5" customHeight="1" x14ac:dyDescent="0.4">
      <c r="B4715" t="s">
        <v>7</v>
      </c>
      <c r="C4715" t="s">
        <v>990</v>
      </c>
      <c r="D4715" s="7">
        <f>DATE(2016,12,22)</f>
        <v>42726</v>
      </c>
      <c r="E4715" s="8">
        <f t="shared" si="77"/>
        <v>2016</v>
      </c>
      <c r="F4715" t="s">
        <v>991</v>
      </c>
      <c r="G4715" s="9">
        <v>500</v>
      </c>
      <c r="H4715" s="8">
        <v>24022</v>
      </c>
    </row>
    <row r="4716" spans="2:8" ht="17.5" customHeight="1" x14ac:dyDescent="0.4">
      <c r="B4716" t="s">
        <v>7</v>
      </c>
      <c r="C4716" t="s">
        <v>990</v>
      </c>
      <c r="D4716" s="7">
        <f>DATE(2016,12,22)</f>
        <v>42726</v>
      </c>
      <c r="E4716" s="8">
        <f t="shared" si="77"/>
        <v>2016</v>
      </c>
      <c r="F4716" t="s">
        <v>991</v>
      </c>
      <c r="G4716" s="9">
        <v>3894.5</v>
      </c>
      <c r="H4716" s="8">
        <v>23971</v>
      </c>
    </row>
    <row r="4717" spans="2:8" ht="17.5" customHeight="1" x14ac:dyDescent="0.4">
      <c r="B4717" t="s">
        <v>7</v>
      </c>
      <c r="C4717" t="s">
        <v>990</v>
      </c>
      <c r="D4717" s="7">
        <f>DATE(2016,12,29)</f>
        <v>42733</v>
      </c>
      <c r="E4717" s="8">
        <f t="shared" si="77"/>
        <v>2016</v>
      </c>
      <c r="F4717" t="s">
        <v>991</v>
      </c>
      <c r="G4717" s="9">
        <v>1780</v>
      </c>
      <c r="H4717" s="8">
        <v>24048</v>
      </c>
    </row>
    <row r="4718" spans="2:8" ht="17.5" customHeight="1" x14ac:dyDescent="0.4">
      <c r="B4718" t="s">
        <v>7</v>
      </c>
      <c r="C4718" t="s">
        <v>990</v>
      </c>
      <c r="D4718" s="7">
        <f>DATE(2017,1,23)</f>
        <v>42758</v>
      </c>
      <c r="E4718" s="8">
        <f t="shared" si="77"/>
        <v>2017</v>
      </c>
      <c r="F4718" t="s">
        <v>991</v>
      </c>
      <c r="G4718" s="9">
        <v>1155</v>
      </c>
      <c r="H4718" s="8">
        <v>24161</v>
      </c>
    </row>
    <row r="4719" spans="2:8" ht="17.5" customHeight="1" x14ac:dyDescent="0.4">
      <c r="B4719" t="s">
        <v>7</v>
      </c>
      <c r="C4719" t="s">
        <v>990</v>
      </c>
      <c r="D4719" s="7">
        <f>DATE(2017,1,25)</f>
        <v>42760</v>
      </c>
      <c r="E4719" s="8">
        <f t="shared" si="77"/>
        <v>2017</v>
      </c>
      <c r="F4719" t="s">
        <v>991</v>
      </c>
      <c r="G4719" s="9">
        <v>564</v>
      </c>
      <c r="H4719" s="8">
        <v>24170</v>
      </c>
    </row>
    <row r="4720" spans="2:8" ht="17.5" customHeight="1" x14ac:dyDescent="0.4">
      <c r="B4720" t="s">
        <v>7</v>
      </c>
      <c r="C4720" t="s">
        <v>990</v>
      </c>
      <c r="D4720" s="7">
        <f>DATE(2017,2,1)</f>
        <v>42767</v>
      </c>
      <c r="E4720" s="8">
        <f t="shared" si="77"/>
        <v>2017</v>
      </c>
      <c r="F4720" t="s">
        <v>991</v>
      </c>
      <c r="G4720" s="9">
        <v>9593.4</v>
      </c>
      <c r="H4720" s="8">
        <v>24177</v>
      </c>
    </row>
    <row r="4721" spans="2:8" ht="17.5" customHeight="1" x14ac:dyDescent="0.4">
      <c r="B4721" t="s">
        <v>7</v>
      </c>
      <c r="C4721" t="s">
        <v>990</v>
      </c>
      <c r="D4721" s="7">
        <f>DATE(2017,2,23)</f>
        <v>42789</v>
      </c>
      <c r="E4721" s="8">
        <f t="shared" si="77"/>
        <v>2017</v>
      </c>
      <c r="F4721" t="s">
        <v>991</v>
      </c>
      <c r="G4721" s="9">
        <v>127.5</v>
      </c>
      <c r="H4721" s="8">
        <v>24329</v>
      </c>
    </row>
    <row r="4722" spans="2:8" ht="17.5" customHeight="1" x14ac:dyDescent="0.4">
      <c r="B4722" t="s">
        <v>7</v>
      </c>
      <c r="C4722" t="s">
        <v>990</v>
      </c>
      <c r="D4722" s="7">
        <f>DATE(2017,3,13)</f>
        <v>42807</v>
      </c>
      <c r="E4722" s="8">
        <f t="shared" si="77"/>
        <v>2017</v>
      </c>
      <c r="F4722" t="s">
        <v>991</v>
      </c>
      <c r="G4722" s="9">
        <v>1320</v>
      </c>
      <c r="H4722" s="8">
        <v>24533</v>
      </c>
    </row>
    <row r="4723" spans="2:8" ht="17.5" customHeight="1" x14ac:dyDescent="0.4">
      <c r="B4723" t="s">
        <v>7</v>
      </c>
      <c r="C4723" t="s">
        <v>990</v>
      </c>
      <c r="D4723" s="7">
        <f>DATE(2017,3,17)</f>
        <v>42811</v>
      </c>
      <c r="E4723" s="8">
        <f t="shared" si="77"/>
        <v>2017</v>
      </c>
      <c r="F4723" t="s">
        <v>991</v>
      </c>
      <c r="G4723" s="9">
        <v>5750</v>
      </c>
      <c r="H4723" s="8">
        <v>24514</v>
      </c>
    </row>
    <row r="4724" spans="2:8" ht="17.5" customHeight="1" x14ac:dyDescent="0.4">
      <c r="B4724" t="s">
        <v>7</v>
      </c>
      <c r="C4724" t="s">
        <v>990</v>
      </c>
      <c r="D4724" s="7">
        <f>DATE(2017,3,22)</f>
        <v>42816</v>
      </c>
      <c r="E4724" s="8">
        <f t="shared" si="77"/>
        <v>2017</v>
      </c>
      <c r="F4724" t="s">
        <v>991</v>
      </c>
      <c r="G4724" s="9">
        <v>356.8</v>
      </c>
      <c r="H4724" s="8">
        <v>24519</v>
      </c>
    </row>
    <row r="4725" spans="2:8" ht="17.5" customHeight="1" x14ac:dyDescent="0.4">
      <c r="B4725" t="s">
        <v>7</v>
      </c>
      <c r="C4725" t="s">
        <v>990</v>
      </c>
      <c r="D4725" s="7">
        <f>DATE(2017,3,22)</f>
        <v>42816</v>
      </c>
      <c r="E4725" s="8">
        <f t="shared" si="77"/>
        <v>2017</v>
      </c>
      <c r="F4725" t="s">
        <v>991</v>
      </c>
      <c r="G4725" s="9">
        <v>4000</v>
      </c>
      <c r="H4725" s="8">
        <v>24435</v>
      </c>
    </row>
    <row r="4726" spans="2:8" ht="17.5" customHeight="1" x14ac:dyDescent="0.4">
      <c r="B4726" t="s">
        <v>7</v>
      </c>
      <c r="C4726" t="s">
        <v>990</v>
      </c>
      <c r="D4726" s="7">
        <f>DATE(2017,3,22)</f>
        <v>42816</v>
      </c>
      <c r="E4726" s="8">
        <f t="shared" si="77"/>
        <v>2017</v>
      </c>
      <c r="F4726" t="s">
        <v>991</v>
      </c>
      <c r="G4726" s="9">
        <v>10111.5</v>
      </c>
      <c r="H4726" s="8">
        <v>24512</v>
      </c>
    </row>
    <row r="4727" spans="2:8" ht="17.5" customHeight="1" x14ac:dyDescent="0.4">
      <c r="B4727" t="s">
        <v>7</v>
      </c>
      <c r="C4727" t="s">
        <v>990</v>
      </c>
      <c r="D4727" s="7">
        <f>DATE(2017,3,24)</f>
        <v>42818</v>
      </c>
      <c r="E4727" s="8">
        <f t="shared" si="77"/>
        <v>2017</v>
      </c>
      <c r="F4727" t="s">
        <v>991</v>
      </c>
      <c r="G4727" s="9">
        <v>2637.99</v>
      </c>
      <c r="H4727" s="8">
        <v>24578</v>
      </c>
    </row>
    <row r="4728" spans="2:8" ht="17.5" customHeight="1" x14ac:dyDescent="0.4">
      <c r="B4728" t="s">
        <v>7</v>
      </c>
      <c r="C4728" t="s">
        <v>990</v>
      </c>
      <c r="D4728" s="7">
        <f>DATE(2017,3,23)</f>
        <v>42817</v>
      </c>
      <c r="E4728" s="8">
        <f t="shared" si="77"/>
        <v>2017</v>
      </c>
      <c r="F4728" t="s">
        <v>991</v>
      </c>
      <c r="G4728" s="9">
        <v>3490.3</v>
      </c>
      <c r="H4728" s="8">
        <v>24563</v>
      </c>
    </row>
    <row r="4729" spans="2:8" ht="17.5" customHeight="1" x14ac:dyDescent="0.4">
      <c r="B4729" t="s">
        <v>7</v>
      </c>
      <c r="C4729" t="s">
        <v>990</v>
      </c>
      <c r="D4729" s="7">
        <f>DATE(2017,3,28)</f>
        <v>42822</v>
      </c>
      <c r="E4729" s="8">
        <f t="shared" si="77"/>
        <v>2017</v>
      </c>
      <c r="F4729" t="s">
        <v>991</v>
      </c>
      <c r="G4729" s="9">
        <v>865.55</v>
      </c>
      <c r="H4729" s="8">
        <v>24641</v>
      </c>
    </row>
    <row r="4730" spans="2:8" ht="17.5" customHeight="1" x14ac:dyDescent="0.4">
      <c r="B4730" t="s">
        <v>7</v>
      </c>
      <c r="C4730" t="s">
        <v>990</v>
      </c>
      <c r="D4730" s="7">
        <f>DATE(2017,3,31)</f>
        <v>42825</v>
      </c>
      <c r="E4730" s="8">
        <f t="shared" si="77"/>
        <v>2017</v>
      </c>
      <c r="F4730" t="s">
        <v>991</v>
      </c>
      <c r="G4730" s="9">
        <v>12750</v>
      </c>
      <c r="H4730" s="8">
        <v>24540</v>
      </c>
    </row>
    <row r="4731" spans="2:8" ht="17.5" customHeight="1" x14ac:dyDescent="0.4">
      <c r="B4731" t="s">
        <v>7</v>
      </c>
      <c r="C4731" t="s">
        <v>990</v>
      </c>
      <c r="D4731" s="7">
        <f>DATE(2017,3,31)</f>
        <v>42825</v>
      </c>
      <c r="E4731" s="8">
        <f t="shared" si="77"/>
        <v>2017</v>
      </c>
      <c r="F4731" t="s">
        <v>991</v>
      </c>
      <c r="G4731" s="9">
        <v>1700</v>
      </c>
      <c r="H4731" s="8">
        <v>24577</v>
      </c>
    </row>
    <row r="4732" spans="2:8" ht="17.5" customHeight="1" x14ac:dyDescent="0.4">
      <c r="B4732" t="s">
        <v>7</v>
      </c>
      <c r="C4732" t="s">
        <v>990</v>
      </c>
      <c r="D4732" s="7">
        <f>DATE(2017,3,31)</f>
        <v>42825</v>
      </c>
      <c r="E4732" s="8">
        <f t="shared" si="77"/>
        <v>2017</v>
      </c>
      <c r="F4732" t="s">
        <v>991</v>
      </c>
      <c r="G4732" s="9">
        <v>1463</v>
      </c>
      <c r="H4732" s="8">
        <v>24620</v>
      </c>
    </row>
    <row r="4733" spans="2:8" ht="17.5" customHeight="1" x14ac:dyDescent="0.4">
      <c r="B4733" t="s">
        <v>7</v>
      </c>
      <c r="C4733" t="s">
        <v>990</v>
      </c>
      <c r="D4733" s="7">
        <f>DATE(2017,4,6)</f>
        <v>42831</v>
      </c>
      <c r="E4733" s="8">
        <f t="shared" si="77"/>
        <v>2017</v>
      </c>
      <c r="F4733" t="s">
        <v>991</v>
      </c>
      <c r="G4733" s="9">
        <v>3630</v>
      </c>
      <c r="H4733" s="8">
        <v>24683</v>
      </c>
    </row>
    <row r="4734" spans="2:8" ht="17.5" customHeight="1" x14ac:dyDescent="0.4">
      <c r="B4734" t="s">
        <v>7</v>
      </c>
      <c r="C4734" t="s">
        <v>990</v>
      </c>
      <c r="D4734" s="7">
        <f>DATE(2017,4,11)</f>
        <v>42836</v>
      </c>
      <c r="E4734" s="8">
        <f t="shared" si="77"/>
        <v>2017</v>
      </c>
      <c r="F4734" t="s">
        <v>991</v>
      </c>
      <c r="G4734" s="9">
        <v>42.75</v>
      </c>
      <c r="H4734" s="8">
        <v>24690</v>
      </c>
    </row>
    <row r="4735" spans="2:8" ht="17.5" customHeight="1" x14ac:dyDescent="0.4">
      <c r="B4735" t="s">
        <v>7</v>
      </c>
      <c r="C4735" t="s">
        <v>990</v>
      </c>
      <c r="D4735" s="7">
        <f>DATE(2017,4,11)</f>
        <v>42836</v>
      </c>
      <c r="E4735" s="8">
        <f t="shared" si="77"/>
        <v>2017</v>
      </c>
      <c r="F4735" t="s">
        <v>991</v>
      </c>
      <c r="G4735" s="9">
        <v>719.6</v>
      </c>
      <c r="H4735" s="8">
        <v>24691</v>
      </c>
    </row>
    <row r="4736" spans="2:8" ht="17.5" customHeight="1" x14ac:dyDescent="0.4">
      <c r="B4736" t="s">
        <v>7</v>
      </c>
      <c r="C4736" t="s">
        <v>990</v>
      </c>
      <c r="D4736" s="7">
        <f>DATE(2017,4,17)</f>
        <v>42842</v>
      </c>
      <c r="E4736" s="8">
        <f t="shared" si="77"/>
        <v>2017</v>
      </c>
      <c r="F4736" t="s">
        <v>991</v>
      </c>
      <c r="G4736" s="9">
        <v>606.5</v>
      </c>
      <c r="H4736" s="8">
        <v>24763</v>
      </c>
    </row>
    <row r="4737" spans="2:8" ht="17.5" customHeight="1" x14ac:dyDescent="0.4">
      <c r="B4737" t="s">
        <v>7</v>
      </c>
      <c r="C4737" t="s">
        <v>990</v>
      </c>
      <c r="D4737" s="7">
        <f>DATE(2017,4,27)</f>
        <v>42852</v>
      </c>
      <c r="E4737" s="8">
        <f t="shared" si="77"/>
        <v>2017</v>
      </c>
      <c r="F4737" t="s">
        <v>991</v>
      </c>
      <c r="G4737" s="9">
        <v>3550</v>
      </c>
      <c r="H4737" s="8">
        <v>24803</v>
      </c>
    </row>
    <row r="4738" spans="2:8" ht="17.5" customHeight="1" x14ac:dyDescent="0.4">
      <c r="B4738" t="s">
        <v>7</v>
      </c>
      <c r="C4738" t="s">
        <v>990</v>
      </c>
      <c r="D4738" s="7">
        <f>DATE(2017,5,5)</f>
        <v>42860</v>
      </c>
      <c r="E4738" s="8">
        <f t="shared" si="77"/>
        <v>2017</v>
      </c>
      <c r="F4738" t="s">
        <v>991</v>
      </c>
      <c r="G4738" s="9">
        <v>3250</v>
      </c>
      <c r="H4738" s="8">
        <v>24869</v>
      </c>
    </row>
    <row r="4739" spans="2:8" ht="17.5" customHeight="1" x14ac:dyDescent="0.4">
      <c r="B4739" t="s">
        <v>7</v>
      </c>
      <c r="C4739" t="s">
        <v>990</v>
      </c>
      <c r="D4739" s="7">
        <f>DATE(2017,5,8)</f>
        <v>42863</v>
      </c>
      <c r="E4739" s="8">
        <f t="shared" ref="E4739:E4802" si="78">YEAR(D4739)</f>
        <v>2017</v>
      </c>
      <c r="F4739" t="s">
        <v>991</v>
      </c>
      <c r="G4739" s="9">
        <v>1440</v>
      </c>
      <c r="H4739" s="8">
        <v>24874</v>
      </c>
    </row>
    <row r="4740" spans="2:8" ht="17.5" customHeight="1" x14ac:dyDescent="0.4">
      <c r="B4740" t="s">
        <v>7</v>
      </c>
      <c r="C4740" t="s">
        <v>990</v>
      </c>
      <c r="D4740" s="7">
        <f>DATE(2017,5,10)</f>
        <v>42865</v>
      </c>
      <c r="E4740" s="8">
        <f t="shared" si="78"/>
        <v>2017</v>
      </c>
      <c r="F4740" t="s">
        <v>991</v>
      </c>
      <c r="G4740" s="9">
        <v>75</v>
      </c>
      <c r="H4740" s="8">
        <v>24907</v>
      </c>
    </row>
    <row r="4741" spans="2:8" ht="17.5" customHeight="1" x14ac:dyDescent="0.4">
      <c r="B4741" t="s">
        <v>7</v>
      </c>
      <c r="C4741" t="s">
        <v>990</v>
      </c>
      <c r="D4741" s="7">
        <f>DATE(2017,5,11)</f>
        <v>42866</v>
      </c>
      <c r="E4741" s="8">
        <f t="shared" si="78"/>
        <v>2017</v>
      </c>
      <c r="F4741" t="s">
        <v>991</v>
      </c>
      <c r="G4741" s="9">
        <v>889.95</v>
      </c>
      <c r="H4741" s="8">
        <v>24916</v>
      </c>
    </row>
    <row r="4742" spans="2:8" ht="17.5" customHeight="1" x14ac:dyDescent="0.4">
      <c r="B4742" t="s">
        <v>7</v>
      </c>
      <c r="C4742" t="s">
        <v>990</v>
      </c>
      <c r="D4742" s="7">
        <f>DATE(2017,5,22)</f>
        <v>42877</v>
      </c>
      <c r="E4742" s="8">
        <f t="shared" si="78"/>
        <v>2017</v>
      </c>
      <c r="F4742" t="s">
        <v>991</v>
      </c>
      <c r="G4742" s="9">
        <v>2500</v>
      </c>
      <c r="H4742" s="8">
        <v>24978</v>
      </c>
    </row>
    <row r="4743" spans="2:8" ht="17.5" customHeight="1" x14ac:dyDescent="0.4">
      <c r="B4743" t="s">
        <v>7</v>
      </c>
      <c r="C4743" t="s">
        <v>990</v>
      </c>
      <c r="D4743" s="7">
        <f>DATE(2017,5,23)</f>
        <v>42878</v>
      </c>
      <c r="E4743" s="8">
        <f t="shared" si="78"/>
        <v>2017</v>
      </c>
      <c r="F4743" t="s">
        <v>991</v>
      </c>
      <c r="G4743" s="9">
        <v>514</v>
      </c>
      <c r="H4743" s="8">
        <v>24965</v>
      </c>
    </row>
    <row r="4744" spans="2:8" ht="17.5" customHeight="1" x14ac:dyDescent="0.4">
      <c r="B4744" t="s">
        <v>7</v>
      </c>
      <c r="C4744" t="s">
        <v>990</v>
      </c>
      <c r="D4744" s="7">
        <f>DATE(2017,6,6)</f>
        <v>42892</v>
      </c>
      <c r="E4744" s="8">
        <f t="shared" si="78"/>
        <v>2017</v>
      </c>
      <c r="F4744" t="s">
        <v>991</v>
      </c>
      <c r="G4744" s="9">
        <v>2361.6999999999998</v>
      </c>
      <c r="H4744" s="8">
        <v>25034</v>
      </c>
    </row>
    <row r="4745" spans="2:8" ht="17.5" customHeight="1" x14ac:dyDescent="0.4">
      <c r="B4745" t="s">
        <v>7</v>
      </c>
      <c r="C4745" t="s">
        <v>990</v>
      </c>
      <c r="D4745" s="7">
        <f>DATE(2017,6,8)</f>
        <v>42894</v>
      </c>
      <c r="E4745" s="8">
        <f t="shared" si="78"/>
        <v>2017</v>
      </c>
      <c r="F4745" t="s">
        <v>991</v>
      </c>
      <c r="G4745" s="9">
        <v>1015</v>
      </c>
      <c r="H4745" s="8">
        <v>25059</v>
      </c>
    </row>
    <row r="4746" spans="2:8" ht="17.5" customHeight="1" x14ac:dyDescent="0.4">
      <c r="B4746" t="s">
        <v>7</v>
      </c>
      <c r="C4746" t="s">
        <v>990</v>
      </c>
      <c r="D4746" s="7">
        <f>DATE(2017,6,14)</f>
        <v>42900</v>
      </c>
      <c r="E4746" s="8">
        <f t="shared" si="78"/>
        <v>2017</v>
      </c>
      <c r="F4746" t="s">
        <v>991</v>
      </c>
      <c r="G4746" s="9">
        <v>1700</v>
      </c>
      <c r="H4746" s="8">
        <v>25084</v>
      </c>
    </row>
    <row r="4747" spans="2:8" ht="17.5" customHeight="1" x14ac:dyDescent="0.4">
      <c r="B4747" t="s">
        <v>7</v>
      </c>
      <c r="C4747" t="s">
        <v>990</v>
      </c>
      <c r="D4747" s="7">
        <f>DATE(2017,6,29)</f>
        <v>42915</v>
      </c>
      <c r="E4747" s="8">
        <f t="shared" si="78"/>
        <v>2017</v>
      </c>
      <c r="F4747" t="s">
        <v>991</v>
      </c>
      <c r="G4747" s="9">
        <v>7490.41</v>
      </c>
      <c r="H4747" s="8">
        <v>25181</v>
      </c>
    </row>
    <row r="4748" spans="2:8" ht="17.5" customHeight="1" x14ac:dyDescent="0.4">
      <c r="B4748" t="s">
        <v>7</v>
      </c>
      <c r="C4748" t="s">
        <v>990</v>
      </c>
      <c r="D4748" s="7">
        <f>DATE(2017,6,29)</f>
        <v>42915</v>
      </c>
      <c r="E4748" s="8">
        <f t="shared" si="78"/>
        <v>2017</v>
      </c>
      <c r="F4748" t="s">
        <v>991</v>
      </c>
      <c r="G4748" s="9">
        <v>4150.55</v>
      </c>
      <c r="H4748" s="8">
        <v>25182</v>
      </c>
    </row>
    <row r="4749" spans="2:8" ht="17.5" customHeight="1" x14ac:dyDescent="0.4">
      <c r="B4749" t="s">
        <v>7</v>
      </c>
      <c r="C4749" t="s">
        <v>990</v>
      </c>
      <c r="D4749" s="7">
        <f>DATE(2017,7,12)</f>
        <v>42928</v>
      </c>
      <c r="E4749" s="8">
        <f t="shared" si="78"/>
        <v>2017</v>
      </c>
      <c r="F4749" t="s">
        <v>991</v>
      </c>
      <c r="G4749" s="9">
        <v>178</v>
      </c>
      <c r="H4749" s="8">
        <v>25220</v>
      </c>
    </row>
    <row r="4750" spans="2:8" ht="17.5" customHeight="1" x14ac:dyDescent="0.4">
      <c r="B4750" t="s">
        <v>7</v>
      </c>
      <c r="C4750" t="s">
        <v>990</v>
      </c>
      <c r="D4750" s="7">
        <f>DATE(2017,7,13)</f>
        <v>42929</v>
      </c>
      <c r="E4750" s="8">
        <f t="shared" si="78"/>
        <v>2017</v>
      </c>
      <c r="F4750" t="s">
        <v>991</v>
      </c>
      <c r="G4750" s="9">
        <v>890</v>
      </c>
      <c r="H4750" s="8">
        <v>25222</v>
      </c>
    </row>
    <row r="4751" spans="2:8" ht="17.5" customHeight="1" x14ac:dyDescent="0.4">
      <c r="B4751" t="s">
        <v>7</v>
      </c>
      <c r="C4751" t="s">
        <v>990</v>
      </c>
      <c r="D4751" s="7">
        <f>DATE(2017,7,21)</f>
        <v>42937</v>
      </c>
      <c r="E4751" s="8">
        <f t="shared" si="78"/>
        <v>2017</v>
      </c>
      <c r="F4751" t="s">
        <v>991</v>
      </c>
      <c r="G4751" s="9">
        <v>375</v>
      </c>
      <c r="H4751" s="8">
        <v>25298</v>
      </c>
    </row>
    <row r="4752" spans="2:8" ht="17.5" customHeight="1" x14ac:dyDescent="0.4">
      <c r="B4752" t="s">
        <v>7</v>
      </c>
      <c r="C4752" t="s">
        <v>990</v>
      </c>
      <c r="D4752" s="7">
        <f>DATE(2017,7,21)</f>
        <v>42937</v>
      </c>
      <c r="E4752" s="8">
        <f t="shared" si="78"/>
        <v>2017</v>
      </c>
      <c r="F4752" t="s">
        <v>991</v>
      </c>
      <c r="G4752" s="9">
        <v>1900</v>
      </c>
      <c r="H4752" s="8">
        <v>25255</v>
      </c>
    </row>
    <row r="4753" spans="2:8" ht="17.5" customHeight="1" x14ac:dyDescent="0.4">
      <c r="B4753" t="s">
        <v>7</v>
      </c>
      <c r="C4753" t="s">
        <v>990</v>
      </c>
      <c r="D4753" s="7">
        <f>DATE(2017,7,24)</f>
        <v>42940</v>
      </c>
      <c r="E4753" s="8">
        <f t="shared" si="78"/>
        <v>2017</v>
      </c>
      <c r="F4753" t="s">
        <v>991</v>
      </c>
      <c r="G4753" s="9">
        <v>13687.6</v>
      </c>
      <c r="H4753" s="8">
        <v>25265</v>
      </c>
    </row>
    <row r="4754" spans="2:8" ht="17.5" customHeight="1" x14ac:dyDescent="0.4">
      <c r="B4754" t="s">
        <v>7</v>
      </c>
      <c r="C4754" t="s">
        <v>990</v>
      </c>
      <c r="D4754" s="7">
        <f>DATE(2017,8,3)</f>
        <v>42950</v>
      </c>
      <c r="E4754" s="8">
        <f t="shared" si="78"/>
        <v>2017</v>
      </c>
      <c r="F4754" t="s">
        <v>991</v>
      </c>
      <c r="G4754" s="9">
        <v>415.5</v>
      </c>
      <c r="H4754" s="8">
        <v>25360</v>
      </c>
    </row>
    <row r="4755" spans="2:8" ht="17.5" customHeight="1" x14ac:dyDescent="0.4">
      <c r="B4755" t="s">
        <v>7</v>
      </c>
      <c r="C4755" t="s">
        <v>990</v>
      </c>
      <c r="D4755" s="7">
        <f>DATE(2017,8,16)</f>
        <v>42963</v>
      </c>
      <c r="E4755" s="8">
        <f t="shared" si="78"/>
        <v>2017</v>
      </c>
      <c r="F4755" t="s">
        <v>991</v>
      </c>
      <c r="G4755" s="9">
        <v>6732</v>
      </c>
      <c r="H4755" s="8">
        <v>25400</v>
      </c>
    </row>
    <row r="4756" spans="2:8" ht="17.5" customHeight="1" x14ac:dyDescent="0.4">
      <c r="B4756" t="s">
        <v>7</v>
      </c>
      <c r="C4756" t="s">
        <v>990</v>
      </c>
      <c r="D4756" s="7">
        <f>DATE(2017,8,18)</f>
        <v>42965</v>
      </c>
      <c r="E4756" s="8">
        <f t="shared" si="78"/>
        <v>2017</v>
      </c>
      <c r="F4756" t="s">
        <v>991</v>
      </c>
      <c r="G4756" s="9">
        <v>14428.4</v>
      </c>
      <c r="H4756" s="8">
        <v>25415</v>
      </c>
    </row>
    <row r="4757" spans="2:8" ht="17.5" customHeight="1" x14ac:dyDescent="0.4">
      <c r="B4757" t="s">
        <v>7</v>
      </c>
      <c r="C4757" t="s">
        <v>990</v>
      </c>
      <c r="D4757" s="7">
        <f>DATE(2017,8,18)</f>
        <v>42965</v>
      </c>
      <c r="E4757" s="8">
        <f t="shared" si="78"/>
        <v>2017</v>
      </c>
      <c r="F4757" t="s">
        <v>991</v>
      </c>
      <c r="G4757" s="9">
        <v>1750</v>
      </c>
      <c r="H4757" s="8">
        <v>25443</v>
      </c>
    </row>
    <row r="4758" spans="2:8" ht="17.5" customHeight="1" x14ac:dyDescent="0.4">
      <c r="B4758" t="s">
        <v>7</v>
      </c>
      <c r="C4758" t="s">
        <v>990</v>
      </c>
      <c r="D4758" s="7">
        <f>DATE(2017,8,23)</f>
        <v>42970</v>
      </c>
      <c r="E4758" s="8">
        <f t="shared" si="78"/>
        <v>2017</v>
      </c>
      <c r="F4758" t="s">
        <v>991</v>
      </c>
      <c r="G4758" s="9">
        <v>3115</v>
      </c>
      <c r="H4758" s="8">
        <v>25468</v>
      </c>
    </row>
    <row r="4759" spans="2:8" ht="17.5" customHeight="1" x14ac:dyDescent="0.4">
      <c r="B4759" t="s">
        <v>7</v>
      </c>
      <c r="C4759" t="s">
        <v>990</v>
      </c>
      <c r="D4759" s="7">
        <f>DATE(2017,8,28)</f>
        <v>42975</v>
      </c>
      <c r="E4759" s="8">
        <f t="shared" si="78"/>
        <v>2017</v>
      </c>
      <c r="F4759" t="s">
        <v>991</v>
      </c>
      <c r="G4759" s="9">
        <v>2752.15</v>
      </c>
      <c r="H4759" s="8">
        <v>25457</v>
      </c>
    </row>
    <row r="4760" spans="2:8" ht="17.5" customHeight="1" x14ac:dyDescent="0.4">
      <c r="B4760" t="s">
        <v>7</v>
      </c>
      <c r="C4760" t="s">
        <v>990</v>
      </c>
      <c r="D4760" s="7">
        <f>DATE(2017,8,31)</f>
        <v>42978</v>
      </c>
      <c r="E4760" s="8">
        <f t="shared" si="78"/>
        <v>2017</v>
      </c>
      <c r="F4760" t="s">
        <v>991</v>
      </c>
      <c r="G4760" s="9">
        <v>4750</v>
      </c>
      <c r="H4760" s="8">
        <v>25498</v>
      </c>
    </row>
    <row r="4761" spans="2:8" ht="17.5" customHeight="1" x14ac:dyDescent="0.4">
      <c r="B4761" t="s">
        <v>7</v>
      </c>
      <c r="C4761" t="s">
        <v>990</v>
      </c>
      <c r="D4761" s="7">
        <f>DATE(2017,9,7)</f>
        <v>42985</v>
      </c>
      <c r="E4761" s="8">
        <f t="shared" si="78"/>
        <v>2017</v>
      </c>
      <c r="F4761" t="s">
        <v>991</v>
      </c>
      <c r="G4761" s="9">
        <v>2447.5</v>
      </c>
      <c r="H4761" s="8">
        <v>25523</v>
      </c>
    </row>
    <row r="4762" spans="2:8" ht="17.5" customHeight="1" x14ac:dyDescent="0.4">
      <c r="B4762" t="s">
        <v>7</v>
      </c>
      <c r="C4762" t="s">
        <v>990</v>
      </c>
      <c r="D4762" s="7">
        <f>DATE(2017,9,8)</f>
        <v>42986</v>
      </c>
      <c r="E4762" s="8">
        <f t="shared" si="78"/>
        <v>2017</v>
      </c>
      <c r="F4762" t="s">
        <v>991</v>
      </c>
      <c r="G4762" s="9">
        <v>6120</v>
      </c>
      <c r="H4762" s="8">
        <v>25389</v>
      </c>
    </row>
    <row r="4763" spans="2:8" ht="17.5" customHeight="1" x14ac:dyDescent="0.4">
      <c r="B4763" t="s">
        <v>7</v>
      </c>
      <c r="C4763" t="s">
        <v>990</v>
      </c>
      <c r="D4763" s="7">
        <f>DATE(2017,9,15)</f>
        <v>42993</v>
      </c>
      <c r="E4763" s="8">
        <f t="shared" si="78"/>
        <v>2017</v>
      </c>
      <c r="F4763" t="s">
        <v>991</v>
      </c>
      <c r="G4763" s="9">
        <v>1576</v>
      </c>
      <c r="H4763" s="8">
        <v>25549</v>
      </c>
    </row>
    <row r="4764" spans="2:8" ht="17.5" customHeight="1" x14ac:dyDescent="0.4">
      <c r="B4764" t="s">
        <v>7</v>
      </c>
      <c r="C4764" t="s">
        <v>990</v>
      </c>
      <c r="D4764" s="7">
        <f>DATE(2017,9,22)</f>
        <v>43000</v>
      </c>
      <c r="E4764" s="8">
        <f t="shared" si="78"/>
        <v>2017</v>
      </c>
      <c r="F4764" t="s">
        <v>991</v>
      </c>
      <c r="G4764" s="9">
        <v>3790.72</v>
      </c>
      <c r="H4764" s="8">
        <v>25609</v>
      </c>
    </row>
    <row r="4765" spans="2:8" ht="17.5" customHeight="1" x14ac:dyDescent="0.4">
      <c r="B4765" t="s">
        <v>7</v>
      </c>
      <c r="C4765" t="s">
        <v>990</v>
      </c>
      <c r="D4765" s="7">
        <f>DATE(2017,10,3)</f>
        <v>43011</v>
      </c>
      <c r="E4765" s="8">
        <f t="shared" si="78"/>
        <v>2017</v>
      </c>
      <c r="F4765" t="s">
        <v>991</v>
      </c>
      <c r="G4765" s="9">
        <v>6655</v>
      </c>
      <c r="H4765" s="8">
        <v>25611</v>
      </c>
    </row>
    <row r="4766" spans="2:8" ht="17.5" customHeight="1" x14ac:dyDescent="0.4">
      <c r="B4766" t="s">
        <v>7</v>
      </c>
      <c r="C4766" t="s">
        <v>990</v>
      </c>
      <c r="D4766" s="7">
        <f>DATE(2017,10,9)</f>
        <v>43017</v>
      </c>
      <c r="E4766" s="8">
        <f t="shared" si="78"/>
        <v>2017</v>
      </c>
      <c r="F4766" t="s">
        <v>991</v>
      </c>
      <c r="G4766" s="9">
        <v>1425</v>
      </c>
      <c r="H4766" s="8">
        <v>25702</v>
      </c>
    </row>
    <row r="4767" spans="2:8" ht="17.5" customHeight="1" x14ac:dyDescent="0.4">
      <c r="B4767" t="s">
        <v>7</v>
      </c>
      <c r="C4767" t="s">
        <v>990</v>
      </c>
      <c r="D4767" s="7">
        <f>DATE(2017,10,11)</f>
        <v>43019</v>
      </c>
      <c r="E4767" s="8">
        <f t="shared" si="78"/>
        <v>2017</v>
      </c>
      <c r="F4767" t="s">
        <v>991</v>
      </c>
      <c r="G4767" s="9">
        <v>2250</v>
      </c>
      <c r="H4767" s="8">
        <v>25714</v>
      </c>
    </row>
    <row r="4768" spans="2:8" ht="17.5" customHeight="1" x14ac:dyDescent="0.4">
      <c r="B4768" t="s">
        <v>7</v>
      </c>
      <c r="C4768" t="s">
        <v>990</v>
      </c>
      <c r="D4768" s="7">
        <f>DATE(2017,10,17)</f>
        <v>43025</v>
      </c>
      <c r="E4768" s="8">
        <f t="shared" si="78"/>
        <v>2017</v>
      </c>
      <c r="F4768" t="s">
        <v>991</v>
      </c>
      <c r="G4768" s="9">
        <v>28500</v>
      </c>
      <c r="H4768" s="8">
        <v>25644</v>
      </c>
    </row>
    <row r="4769" spans="2:8" ht="17.5" customHeight="1" x14ac:dyDescent="0.4">
      <c r="B4769" t="s">
        <v>7</v>
      </c>
      <c r="C4769" t="s">
        <v>990</v>
      </c>
      <c r="D4769" s="7">
        <f>DATE(2017,10,17)</f>
        <v>43025</v>
      </c>
      <c r="E4769" s="8">
        <f t="shared" si="78"/>
        <v>2017</v>
      </c>
      <c r="F4769" t="s">
        <v>991</v>
      </c>
      <c r="G4769" s="9">
        <v>3800</v>
      </c>
      <c r="H4769" s="8">
        <v>25686</v>
      </c>
    </row>
    <row r="4770" spans="2:8" ht="17.5" customHeight="1" x14ac:dyDescent="0.4">
      <c r="B4770" t="s">
        <v>7</v>
      </c>
      <c r="C4770" t="s">
        <v>990</v>
      </c>
      <c r="D4770" s="7">
        <f>DATE(2017,10,24)</f>
        <v>43032</v>
      </c>
      <c r="E4770" s="8">
        <f t="shared" si="78"/>
        <v>2017</v>
      </c>
      <c r="F4770" t="s">
        <v>991</v>
      </c>
      <c r="G4770" s="9">
        <v>1899.35</v>
      </c>
      <c r="H4770" s="8">
        <v>25788</v>
      </c>
    </row>
    <row r="4771" spans="2:8" ht="17.5" customHeight="1" x14ac:dyDescent="0.4">
      <c r="B4771" t="s">
        <v>7</v>
      </c>
      <c r="C4771" t="s">
        <v>990</v>
      </c>
      <c r="D4771" s="7">
        <f>DATE(2017,11,1)</f>
        <v>43040</v>
      </c>
      <c r="E4771" s="8">
        <f t="shared" si="78"/>
        <v>2017</v>
      </c>
      <c r="F4771" t="s">
        <v>991</v>
      </c>
      <c r="G4771" s="9">
        <v>225.6</v>
      </c>
      <c r="H4771" s="8">
        <v>25821</v>
      </c>
    </row>
    <row r="4772" spans="2:8" ht="17.5" customHeight="1" x14ac:dyDescent="0.4">
      <c r="B4772" t="s">
        <v>7</v>
      </c>
      <c r="C4772" t="s">
        <v>990</v>
      </c>
      <c r="D4772" s="7">
        <f>DATE(2017,11,1)</f>
        <v>43040</v>
      </c>
      <c r="E4772" s="8">
        <f t="shared" si="78"/>
        <v>2017</v>
      </c>
      <c r="F4772" t="s">
        <v>991</v>
      </c>
      <c r="G4772" s="9">
        <v>4000</v>
      </c>
      <c r="H4772" s="8">
        <v>25779</v>
      </c>
    </row>
    <row r="4773" spans="2:8" ht="17.5" customHeight="1" x14ac:dyDescent="0.4">
      <c r="B4773" t="s">
        <v>7</v>
      </c>
      <c r="C4773" t="s">
        <v>990</v>
      </c>
      <c r="D4773" s="7">
        <f>DATE(2017,11,16)</f>
        <v>43055</v>
      </c>
      <c r="E4773" s="8">
        <f t="shared" si="78"/>
        <v>2017</v>
      </c>
      <c r="F4773" t="s">
        <v>991</v>
      </c>
      <c r="G4773" s="9">
        <v>8360</v>
      </c>
      <c r="H4773" s="8">
        <v>25909</v>
      </c>
    </row>
    <row r="4774" spans="2:8" ht="17.5" customHeight="1" x14ac:dyDescent="0.4">
      <c r="B4774" t="s">
        <v>7</v>
      </c>
      <c r="C4774" t="s">
        <v>990</v>
      </c>
      <c r="D4774" s="7">
        <f>DATE(2017,12,1)</f>
        <v>43070</v>
      </c>
      <c r="E4774" s="8">
        <f t="shared" si="78"/>
        <v>2017</v>
      </c>
      <c r="F4774" t="s">
        <v>991</v>
      </c>
      <c r="G4774" s="9">
        <v>786.5</v>
      </c>
      <c r="H4774" s="8">
        <v>25985</v>
      </c>
    </row>
    <row r="4775" spans="2:8" ht="17.5" customHeight="1" x14ac:dyDescent="0.4">
      <c r="B4775" t="s">
        <v>7</v>
      </c>
      <c r="C4775" t="s">
        <v>990</v>
      </c>
      <c r="D4775" s="7">
        <f>DATE(2017,12,4)</f>
        <v>43073</v>
      </c>
      <c r="E4775" s="8">
        <f t="shared" si="78"/>
        <v>2017</v>
      </c>
      <c r="F4775" t="s">
        <v>991</v>
      </c>
      <c r="G4775" s="9">
        <v>2090.2800000000002</v>
      </c>
      <c r="H4775" s="8">
        <v>25972</v>
      </c>
    </row>
    <row r="4776" spans="2:8" ht="17.5" customHeight="1" x14ac:dyDescent="0.4">
      <c r="B4776" t="s">
        <v>7</v>
      </c>
      <c r="C4776" t="s">
        <v>990</v>
      </c>
      <c r="D4776" s="7">
        <f>DATE(2017,12,4)</f>
        <v>43073</v>
      </c>
      <c r="E4776" s="8">
        <f t="shared" si="78"/>
        <v>2017</v>
      </c>
      <c r="F4776" t="s">
        <v>991</v>
      </c>
      <c r="G4776" s="9">
        <v>991.95</v>
      </c>
      <c r="H4776" s="8">
        <v>25994</v>
      </c>
    </row>
    <row r="4777" spans="2:8" ht="17.5" customHeight="1" x14ac:dyDescent="0.4">
      <c r="B4777" t="s">
        <v>7</v>
      </c>
      <c r="C4777" t="s">
        <v>990</v>
      </c>
      <c r="D4777" s="7">
        <f>DATE(2017,12,4)</f>
        <v>43073</v>
      </c>
      <c r="E4777" s="8">
        <f t="shared" si="78"/>
        <v>2017</v>
      </c>
      <c r="F4777" t="s">
        <v>991</v>
      </c>
      <c r="G4777" s="9">
        <v>5516</v>
      </c>
      <c r="H4777" s="8">
        <v>25984</v>
      </c>
    </row>
    <row r="4778" spans="2:8" ht="17.5" customHeight="1" x14ac:dyDescent="0.4">
      <c r="B4778" t="s">
        <v>7</v>
      </c>
      <c r="C4778" t="s">
        <v>990</v>
      </c>
      <c r="D4778" s="7">
        <f>DATE(2017,12,18)</f>
        <v>43087</v>
      </c>
      <c r="E4778" s="8">
        <f t="shared" si="78"/>
        <v>2017</v>
      </c>
      <c r="F4778" t="s">
        <v>991</v>
      </c>
      <c r="G4778" s="9">
        <v>2770.67</v>
      </c>
      <c r="H4778" s="8">
        <v>26042</v>
      </c>
    </row>
    <row r="4779" spans="2:8" ht="17.5" customHeight="1" x14ac:dyDescent="0.4">
      <c r="B4779" t="s">
        <v>7</v>
      </c>
      <c r="C4779" t="s">
        <v>990</v>
      </c>
      <c r="D4779" s="7">
        <f>DATE(2017,12,27)</f>
        <v>43096</v>
      </c>
      <c r="E4779" s="8">
        <f t="shared" si="78"/>
        <v>2017</v>
      </c>
      <c r="F4779" t="s">
        <v>991</v>
      </c>
      <c r="G4779" s="9">
        <v>579</v>
      </c>
      <c r="H4779" s="8">
        <v>25903</v>
      </c>
    </row>
    <row r="4780" spans="2:8" ht="17.5" customHeight="1" x14ac:dyDescent="0.4">
      <c r="B4780" t="s">
        <v>7</v>
      </c>
      <c r="C4780" t="s">
        <v>990</v>
      </c>
      <c r="D4780" s="7">
        <f>DATE(2018,1,12)</f>
        <v>43112</v>
      </c>
      <c r="E4780" s="8">
        <f t="shared" si="78"/>
        <v>2018</v>
      </c>
      <c r="F4780" t="s">
        <v>991</v>
      </c>
      <c r="G4780" s="9">
        <v>1009.8</v>
      </c>
      <c r="H4780" s="8">
        <v>26146</v>
      </c>
    </row>
    <row r="4781" spans="2:8" ht="17.5" customHeight="1" x14ac:dyDescent="0.4">
      <c r="B4781" t="s">
        <v>7</v>
      </c>
      <c r="C4781" t="s">
        <v>990</v>
      </c>
      <c r="D4781" s="7">
        <f>DATE(2018,1,12)</f>
        <v>43112</v>
      </c>
      <c r="E4781" s="8">
        <f t="shared" si="78"/>
        <v>2018</v>
      </c>
      <c r="F4781" t="s">
        <v>991</v>
      </c>
      <c r="G4781" s="9">
        <v>1790</v>
      </c>
      <c r="H4781" s="8">
        <v>26193</v>
      </c>
    </row>
    <row r="4782" spans="2:8" ht="17.5" customHeight="1" x14ac:dyDescent="0.4">
      <c r="B4782" t="s">
        <v>7</v>
      </c>
      <c r="C4782" t="s">
        <v>990</v>
      </c>
      <c r="D4782" s="7">
        <f>DATE(2018,1,15)</f>
        <v>43115</v>
      </c>
      <c r="E4782" s="8">
        <f t="shared" si="78"/>
        <v>2018</v>
      </c>
      <c r="F4782" t="s">
        <v>991</v>
      </c>
      <c r="G4782" s="9">
        <v>3039.35</v>
      </c>
      <c r="H4782" s="8">
        <v>26160</v>
      </c>
    </row>
    <row r="4783" spans="2:8" ht="17.5" customHeight="1" x14ac:dyDescent="0.4">
      <c r="B4783" t="s">
        <v>7</v>
      </c>
      <c r="C4783" t="s">
        <v>990</v>
      </c>
      <c r="D4783" s="7">
        <f>DATE(2018,1,15)</f>
        <v>43115</v>
      </c>
      <c r="E4783" s="8">
        <f t="shared" si="78"/>
        <v>2018</v>
      </c>
      <c r="F4783" t="s">
        <v>991</v>
      </c>
      <c r="G4783" s="9">
        <v>5704.7</v>
      </c>
      <c r="H4783" s="8">
        <v>26217</v>
      </c>
    </row>
    <row r="4784" spans="2:8" ht="17.5" customHeight="1" x14ac:dyDescent="0.4">
      <c r="B4784" t="s">
        <v>7</v>
      </c>
      <c r="C4784" t="s">
        <v>990</v>
      </c>
      <c r="D4784" s="7">
        <f>DATE(2018,1,15)</f>
        <v>43115</v>
      </c>
      <c r="E4784" s="8">
        <f t="shared" si="78"/>
        <v>2018</v>
      </c>
      <c r="F4784" t="s">
        <v>991</v>
      </c>
      <c r="G4784" s="9">
        <v>2670</v>
      </c>
      <c r="H4784" s="8">
        <v>26180</v>
      </c>
    </row>
    <row r="4785" spans="2:8" ht="17.5" customHeight="1" x14ac:dyDescent="0.4">
      <c r="B4785" t="s">
        <v>7</v>
      </c>
      <c r="C4785" t="s">
        <v>990</v>
      </c>
      <c r="D4785" s="7">
        <f>DATE(2018,1,25)</f>
        <v>43125</v>
      </c>
      <c r="E4785" s="8">
        <f t="shared" si="78"/>
        <v>2018</v>
      </c>
      <c r="F4785" t="s">
        <v>991</v>
      </c>
      <c r="G4785" s="9">
        <v>2251.75</v>
      </c>
      <c r="H4785" s="8">
        <v>26287</v>
      </c>
    </row>
    <row r="4786" spans="2:8" ht="17.5" customHeight="1" x14ac:dyDescent="0.4">
      <c r="B4786" t="s">
        <v>7</v>
      </c>
      <c r="C4786" t="s">
        <v>990</v>
      </c>
      <c r="D4786" s="7">
        <f>DATE(2018,2,1)</f>
        <v>43132</v>
      </c>
      <c r="E4786" s="8">
        <f t="shared" si="78"/>
        <v>2018</v>
      </c>
      <c r="F4786" t="s">
        <v>991</v>
      </c>
      <c r="G4786" s="9">
        <v>2924</v>
      </c>
      <c r="H4786" s="8">
        <v>26304</v>
      </c>
    </row>
    <row r="4787" spans="2:8" ht="17.5" customHeight="1" x14ac:dyDescent="0.4">
      <c r="B4787" t="s">
        <v>7</v>
      </c>
      <c r="C4787" t="s">
        <v>990</v>
      </c>
      <c r="D4787" s="7">
        <f>DATE(2018,2,2)</f>
        <v>43133</v>
      </c>
      <c r="E4787" s="8">
        <f t="shared" si="78"/>
        <v>2018</v>
      </c>
      <c r="F4787" t="s">
        <v>991</v>
      </c>
      <c r="G4787" s="9">
        <v>9171</v>
      </c>
      <c r="H4787" s="8">
        <v>26382</v>
      </c>
    </row>
    <row r="4788" spans="2:8" ht="17.5" customHeight="1" x14ac:dyDescent="0.4">
      <c r="B4788" t="s">
        <v>7</v>
      </c>
      <c r="C4788" t="s">
        <v>990</v>
      </c>
      <c r="D4788" s="7">
        <f>DATE(2018,2,27)</f>
        <v>43158</v>
      </c>
      <c r="E4788" s="8">
        <f t="shared" si="78"/>
        <v>2018</v>
      </c>
      <c r="F4788" t="s">
        <v>991</v>
      </c>
      <c r="G4788" s="9">
        <v>13733.2</v>
      </c>
      <c r="H4788" s="8">
        <v>26529</v>
      </c>
    </row>
    <row r="4789" spans="2:8" ht="17.5" customHeight="1" x14ac:dyDescent="0.4">
      <c r="B4789" t="s">
        <v>7</v>
      </c>
      <c r="C4789" t="s">
        <v>990</v>
      </c>
      <c r="D4789" s="7">
        <f>DATE(2018,3,7)</f>
        <v>43166</v>
      </c>
      <c r="E4789" s="8">
        <f t="shared" si="78"/>
        <v>2018</v>
      </c>
      <c r="F4789" t="s">
        <v>991</v>
      </c>
      <c r="G4789" s="9">
        <v>4450</v>
      </c>
      <c r="H4789" s="8">
        <v>26580</v>
      </c>
    </row>
    <row r="4790" spans="2:8" ht="17.5" customHeight="1" x14ac:dyDescent="0.4">
      <c r="B4790" t="s">
        <v>7</v>
      </c>
      <c r="C4790" t="s">
        <v>990</v>
      </c>
      <c r="D4790" s="7">
        <f>DATE(2018,3,9)</f>
        <v>43168</v>
      </c>
      <c r="E4790" s="8">
        <f t="shared" si="78"/>
        <v>2018</v>
      </c>
      <c r="F4790" t="s">
        <v>991</v>
      </c>
      <c r="G4790" s="9">
        <v>1050</v>
      </c>
      <c r="H4790" s="8">
        <v>26633</v>
      </c>
    </row>
    <row r="4791" spans="2:8" ht="17.5" customHeight="1" x14ac:dyDescent="0.4">
      <c r="B4791" t="s">
        <v>7</v>
      </c>
      <c r="C4791" t="s">
        <v>990</v>
      </c>
      <c r="D4791" s="7">
        <f>DATE(2018,3,13)</f>
        <v>43172</v>
      </c>
      <c r="E4791" s="8">
        <f t="shared" si="78"/>
        <v>2018</v>
      </c>
      <c r="F4791" t="s">
        <v>991</v>
      </c>
      <c r="G4791" s="9">
        <v>4819.6000000000004</v>
      </c>
      <c r="H4791" s="8">
        <v>26588</v>
      </c>
    </row>
    <row r="4792" spans="2:8" ht="17.5" customHeight="1" x14ac:dyDescent="0.4">
      <c r="B4792" t="s">
        <v>7</v>
      </c>
      <c r="C4792" t="s">
        <v>990</v>
      </c>
      <c r="D4792" s="7">
        <f>DATE(2018,3,21)</f>
        <v>43180</v>
      </c>
      <c r="E4792" s="8">
        <f t="shared" si="78"/>
        <v>2018</v>
      </c>
      <c r="F4792" t="s">
        <v>991</v>
      </c>
      <c r="G4792" s="9">
        <v>6270</v>
      </c>
      <c r="H4792" s="8">
        <v>26634</v>
      </c>
    </row>
    <row r="4793" spans="2:8" ht="17.5" customHeight="1" x14ac:dyDescent="0.4">
      <c r="B4793" t="s">
        <v>7</v>
      </c>
      <c r="C4793" t="s">
        <v>990</v>
      </c>
      <c r="D4793" s="7">
        <f>DATE(2018,3,21)</f>
        <v>43180</v>
      </c>
      <c r="E4793" s="8">
        <f t="shared" si="78"/>
        <v>2018</v>
      </c>
      <c r="F4793" t="s">
        <v>991</v>
      </c>
      <c r="G4793" s="9">
        <v>29988</v>
      </c>
      <c r="H4793" s="8">
        <v>26655</v>
      </c>
    </row>
    <row r="4794" spans="2:8" ht="17.5" customHeight="1" x14ac:dyDescent="0.4">
      <c r="B4794" t="s">
        <v>7</v>
      </c>
      <c r="C4794" t="s">
        <v>990</v>
      </c>
      <c r="D4794" s="7">
        <f>DATE(2018,3,23)</f>
        <v>43182</v>
      </c>
      <c r="E4794" s="8">
        <f t="shared" si="78"/>
        <v>2018</v>
      </c>
      <c r="F4794" t="s">
        <v>991</v>
      </c>
      <c r="G4794" s="9">
        <v>510</v>
      </c>
      <c r="H4794" s="8">
        <v>26598</v>
      </c>
    </row>
    <row r="4795" spans="2:8" ht="17.5" customHeight="1" x14ac:dyDescent="0.4">
      <c r="B4795" t="s">
        <v>7</v>
      </c>
      <c r="C4795" t="s">
        <v>990</v>
      </c>
      <c r="D4795" s="7">
        <f>DATE(2018,3,23)</f>
        <v>43182</v>
      </c>
      <c r="E4795" s="8">
        <f t="shared" si="78"/>
        <v>2018</v>
      </c>
      <c r="F4795" t="s">
        <v>991</v>
      </c>
      <c r="G4795" s="9">
        <v>14440.7</v>
      </c>
      <c r="H4795" s="8">
        <v>26640</v>
      </c>
    </row>
    <row r="4796" spans="2:8" ht="17.5" customHeight="1" x14ac:dyDescent="0.4">
      <c r="B4796" t="s">
        <v>7</v>
      </c>
      <c r="C4796" t="s">
        <v>990</v>
      </c>
      <c r="D4796" s="7">
        <f>DATE(2018,3,26)</f>
        <v>43185</v>
      </c>
      <c r="E4796" s="8">
        <f t="shared" si="78"/>
        <v>2018</v>
      </c>
      <c r="F4796" t="s">
        <v>991</v>
      </c>
      <c r="G4796" s="9">
        <v>1341.6</v>
      </c>
      <c r="H4796" s="8">
        <v>26741</v>
      </c>
    </row>
    <row r="4797" spans="2:8" ht="17.5" customHeight="1" x14ac:dyDescent="0.4">
      <c r="B4797" t="s">
        <v>7</v>
      </c>
      <c r="C4797" t="s">
        <v>990</v>
      </c>
      <c r="D4797" s="7">
        <f>DATE(2018,4,4)</f>
        <v>43194</v>
      </c>
      <c r="E4797" s="8">
        <f t="shared" si="78"/>
        <v>2018</v>
      </c>
      <c r="F4797" t="s">
        <v>991</v>
      </c>
      <c r="G4797" s="9">
        <v>22800</v>
      </c>
      <c r="H4797" s="8">
        <v>26708</v>
      </c>
    </row>
    <row r="4798" spans="2:8" ht="17.5" customHeight="1" x14ac:dyDescent="0.4">
      <c r="B4798" t="s">
        <v>7</v>
      </c>
      <c r="C4798" t="s">
        <v>990</v>
      </c>
      <c r="D4798" s="7">
        <f>DATE(2018,4,5)</f>
        <v>43195</v>
      </c>
      <c r="E4798" s="8">
        <f t="shared" si="78"/>
        <v>2018</v>
      </c>
      <c r="F4798" t="s">
        <v>991</v>
      </c>
      <c r="G4798" s="9">
        <v>728.94</v>
      </c>
      <c r="H4798" s="8">
        <v>26827</v>
      </c>
    </row>
    <row r="4799" spans="2:8" ht="17.5" customHeight="1" x14ac:dyDescent="0.4">
      <c r="B4799" t="s">
        <v>7</v>
      </c>
      <c r="C4799" t="s">
        <v>990</v>
      </c>
      <c r="D4799" s="7">
        <f>DATE(2018,4,6)</f>
        <v>43196</v>
      </c>
      <c r="E4799" s="8">
        <f t="shared" si="78"/>
        <v>2018</v>
      </c>
      <c r="F4799" t="s">
        <v>991</v>
      </c>
      <c r="G4799" s="9">
        <v>728.94</v>
      </c>
      <c r="H4799" s="8">
        <v>26829</v>
      </c>
    </row>
    <row r="4800" spans="2:8" ht="17.5" customHeight="1" x14ac:dyDescent="0.4">
      <c r="B4800" t="s">
        <v>7</v>
      </c>
      <c r="C4800" t="s">
        <v>990</v>
      </c>
      <c r="D4800" s="7">
        <f>DATE(2018,4,9)</f>
        <v>43199</v>
      </c>
      <c r="E4800" s="8">
        <f t="shared" si="78"/>
        <v>2018</v>
      </c>
      <c r="F4800" t="s">
        <v>991</v>
      </c>
      <c r="G4800" s="9">
        <v>2675</v>
      </c>
      <c r="H4800" s="8">
        <v>26830</v>
      </c>
    </row>
    <row r="4801" spans="2:8" ht="17.5" customHeight="1" x14ac:dyDescent="0.4">
      <c r="B4801" t="s">
        <v>7</v>
      </c>
      <c r="C4801" t="s">
        <v>990</v>
      </c>
      <c r="D4801" s="7">
        <f>DATE(2018,4,9)</f>
        <v>43199</v>
      </c>
      <c r="E4801" s="8">
        <f t="shared" si="78"/>
        <v>2018</v>
      </c>
      <c r="F4801" t="s">
        <v>991</v>
      </c>
      <c r="G4801" s="9">
        <v>531.79999999999995</v>
      </c>
      <c r="H4801" s="8">
        <v>26842</v>
      </c>
    </row>
    <row r="4802" spans="2:8" ht="17.5" customHeight="1" x14ac:dyDescent="0.4">
      <c r="B4802" t="s">
        <v>7</v>
      </c>
      <c r="C4802" t="s">
        <v>990</v>
      </c>
      <c r="D4802" s="7">
        <f>DATE(2018,4,12)</f>
        <v>43202</v>
      </c>
      <c r="E4802" s="8">
        <f t="shared" si="78"/>
        <v>2018</v>
      </c>
      <c r="F4802" t="s">
        <v>991</v>
      </c>
      <c r="G4802" s="9">
        <v>3566.6</v>
      </c>
      <c r="H4802" s="8">
        <v>26444</v>
      </c>
    </row>
    <row r="4803" spans="2:8" ht="17.5" customHeight="1" x14ac:dyDescent="0.4">
      <c r="B4803" t="s">
        <v>7</v>
      </c>
      <c r="C4803" t="s">
        <v>990</v>
      </c>
      <c r="D4803" s="7">
        <f>DATE(2018,4,13)</f>
        <v>43203</v>
      </c>
      <c r="E4803" s="8">
        <f t="shared" ref="E4803:E4866" si="79">YEAR(D4803)</f>
        <v>2018</v>
      </c>
      <c r="F4803" t="s">
        <v>991</v>
      </c>
      <c r="G4803" s="9">
        <v>4240</v>
      </c>
      <c r="H4803" s="8">
        <v>26818</v>
      </c>
    </row>
    <row r="4804" spans="2:8" ht="17.5" customHeight="1" x14ac:dyDescent="0.4">
      <c r="B4804" t="s">
        <v>7</v>
      </c>
      <c r="C4804" t="s">
        <v>990</v>
      </c>
      <c r="D4804" s="7">
        <f>DATE(2018,4,16)</f>
        <v>43206</v>
      </c>
      <c r="E4804" s="8">
        <f t="shared" si="79"/>
        <v>2018</v>
      </c>
      <c r="F4804" t="s">
        <v>991</v>
      </c>
      <c r="G4804" s="9">
        <v>1370.72</v>
      </c>
      <c r="H4804" s="8">
        <v>26884</v>
      </c>
    </row>
    <row r="4805" spans="2:8" ht="17.5" customHeight="1" x14ac:dyDescent="0.4">
      <c r="B4805" t="s">
        <v>7</v>
      </c>
      <c r="C4805" t="s">
        <v>990</v>
      </c>
      <c r="D4805" s="7">
        <f>DATE(2018,4,20)</f>
        <v>43210</v>
      </c>
      <c r="E4805" s="8">
        <f t="shared" si="79"/>
        <v>2018</v>
      </c>
      <c r="F4805" t="s">
        <v>991</v>
      </c>
      <c r="G4805" s="9">
        <v>5750</v>
      </c>
      <c r="H4805" s="8">
        <v>26925</v>
      </c>
    </row>
    <row r="4806" spans="2:8" ht="17.5" customHeight="1" x14ac:dyDescent="0.4">
      <c r="B4806" t="s">
        <v>7</v>
      </c>
      <c r="C4806" t="s">
        <v>990</v>
      </c>
      <c r="D4806" s="7">
        <f>DATE(2018,4,25)</f>
        <v>43215</v>
      </c>
      <c r="E4806" s="8">
        <f t="shared" si="79"/>
        <v>2018</v>
      </c>
      <c r="F4806" t="s">
        <v>991</v>
      </c>
      <c r="G4806" s="9">
        <v>4840</v>
      </c>
      <c r="H4806" s="8">
        <v>26920</v>
      </c>
    </row>
    <row r="4807" spans="2:8" ht="17.5" customHeight="1" x14ac:dyDescent="0.4">
      <c r="B4807" t="s">
        <v>7</v>
      </c>
      <c r="C4807" t="s">
        <v>990</v>
      </c>
      <c r="D4807" s="7">
        <f>DATE(2018,5,14)</f>
        <v>43234</v>
      </c>
      <c r="E4807" s="8">
        <f t="shared" si="79"/>
        <v>2018</v>
      </c>
      <c r="F4807" t="s">
        <v>991</v>
      </c>
      <c r="G4807" s="9">
        <v>1485</v>
      </c>
      <c r="H4807" s="8">
        <v>27027</v>
      </c>
    </row>
    <row r="4808" spans="2:8" ht="17.5" customHeight="1" x14ac:dyDescent="0.4">
      <c r="B4808" t="s">
        <v>7</v>
      </c>
      <c r="C4808" t="s">
        <v>990</v>
      </c>
      <c r="D4808" s="7">
        <f>DATE(2018,5,30)</f>
        <v>43250</v>
      </c>
      <c r="E4808" s="8">
        <f t="shared" si="79"/>
        <v>2018</v>
      </c>
      <c r="F4808" t="s">
        <v>991</v>
      </c>
      <c r="G4808" s="9">
        <v>627</v>
      </c>
      <c r="H4808" s="8">
        <v>27126</v>
      </c>
    </row>
    <row r="4809" spans="2:8" ht="17.5" customHeight="1" x14ac:dyDescent="0.4">
      <c r="B4809" t="s">
        <v>7</v>
      </c>
      <c r="C4809" t="s">
        <v>990</v>
      </c>
      <c r="D4809" s="7">
        <f>DATE(2018,6,1)</f>
        <v>43252</v>
      </c>
      <c r="E4809" s="8">
        <f t="shared" si="79"/>
        <v>2018</v>
      </c>
      <c r="F4809" t="s">
        <v>991</v>
      </c>
      <c r="G4809" s="9">
        <v>664.62</v>
      </c>
      <c r="H4809" s="8">
        <v>27133</v>
      </c>
    </row>
    <row r="4810" spans="2:8" ht="17.5" customHeight="1" x14ac:dyDescent="0.4">
      <c r="B4810" t="s">
        <v>7</v>
      </c>
      <c r="C4810" t="s">
        <v>990</v>
      </c>
      <c r="D4810" s="7">
        <f>DATE(2018,6,4)</f>
        <v>43255</v>
      </c>
      <c r="E4810" s="8">
        <f t="shared" si="79"/>
        <v>2018</v>
      </c>
      <c r="F4810" t="s">
        <v>991</v>
      </c>
      <c r="G4810" s="9">
        <v>5750</v>
      </c>
      <c r="H4810" s="8">
        <v>27116</v>
      </c>
    </row>
    <row r="4811" spans="2:8" ht="17.5" customHeight="1" x14ac:dyDescent="0.4">
      <c r="B4811" t="s">
        <v>7</v>
      </c>
      <c r="C4811" t="s">
        <v>990</v>
      </c>
      <c r="D4811" s="7">
        <f>DATE(2018,6,5)</f>
        <v>43256</v>
      </c>
      <c r="E4811" s="8">
        <f t="shared" si="79"/>
        <v>2018</v>
      </c>
      <c r="F4811" t="s">
        <v>991</v>
      </c>
      <c r="G4811" s="9">
        <v>720</v>
      </c>
      <c r="H4811" s="8">
        <v>27172</v>
      </c>
    </row>
    <row r="4812" spans="2:8" ht="17.5" customHeight="1" x14ac:dyDescent="0.4">
      <c r="B4812" t="s">
        <v>7</v>
      </c>
      <c r="C4812" t="s">
        <v>990</v>
      </c>
      <c r="D4812" s="7">
        <f>DATE(2018,6,14)</f>
        <v>43265</v>
      </c>
      <c r="E4812" s="8">
        <f t="shared" si="79"/>
        <v>2018</v>
      </c>
      <c r="F4812" t="s">
        <v>991</v>
      </c>
      <c r="G4812" s="9">
        <v>2552</v>
      </c>
      <c r="H4812" s="8">
        <v>27201</v>
      </c>
    </row>
    <row r="4813" spans="2:8" ht="17.5" customHeight="1" x14ac:dyDescent="0.4">
      <c r="B4813" t="s">
        <v>7</v>
      </c>
      <c r="C4813" t="s">
        <v>990</v>
      </c>
      <c r="D4813" s="7">
        <f>DATE(2018,6,21)</f>
        <v>43272</v>
      </c>
      <c r="E4813" s="8">
        <f t="shared" si="79"/>
        <v>2018</v>
      </c>
      <c r="F4813" t="s">
        <v>991</v>
      </c>
      <c r="G4813" s="9">
        <v>1107.7</v>
      </c>
      <c r="H4813" s="8">
        <v>27231</v>
      </c>
    </row>
    <row r="4814" spans="2:8" ht="17.5" customHeight="1" x14ac:dyDescent="0.4">
      <c r="B4814" t="s">
        <v>7</v>
      </c>
      <c r="C4814" t="s">
        <v>990</v>
      </c>
      <c r="D4814" s="7">
        <f>DATE(2018,6,22)</f>
        <v>43273</v>
      </c>
      <c r="E4814" s="8">
        <f t="shared" si="79"/>
        <v>2018</v>
      </c>
      <c r="F4814" t="s">
        <v>991</v>
      </c>
      <c r="G4814" s="9">
        <v>790.2</v>
      </c>
      <c r="H4814" s="8">
        <v>27215</v>
      </c>
    </row>
    <row r="4815" spans="2:8" ht="17.5" customHeight="1" x14ac:dyDescent="0.4">
      <c r="B4815" t="s">
        <v>7</v>
      </c>
      <c r="C4815" t="s">
        <v>990</v>
      </c>
      <c r="D4815" s="7">
        <f>DATE(2018,6,27)</f>
        <v>43278</v>
      </c>
      <c r="E4815" s="8">
        <f t="shared" si="79"/>
        <v>2018</v>
      </c>
      <c r="F4815" t="s">
        <v>991</v>
      </c>
      <c r="G4815" s="9">
        <v>138.32</v>
      </c>
      <c r="H4815" s="8">
        <v>27100</v>
      </c>
    </row>
    <row r="4816" spans="2:8" ht="17.5" customHeight="1" x14ac:dyDescent="0.4">
      <c r="B4816" t="s">
        <v>7</v>
      </c>
      <c r="C4816" t="s">
        <v>990</v>
      </c>
      <c r="D4816" s="7">
        <f>DATE(2018,7,2)</f>
        <v>43283</v>
      </c>
      <c r="E4816" s="8">
        <f t="shared" si="79"/>
        <v>2018</v>
      </c>
      <c r="F4816" t="s">
        <v>991</v>
      </c>
      <c r="G4816" s="9">
        <v>10098</v>
      </c>
      <c r="H4816" s="8">
        <v>27304</v>
      </c>
    </row>
    <row r="4817" spans="2:8" ht="17.5" customHeight="1" x14ac:dyDescent="0.4">
      <c r="B4817" t="s">
        <v>7</v>
      </c>
      <c r="C4817" t="s">
        <v>990</v>
      </c>
      <c r="D4817" s="7">
        <f>DATE(2018,7,13)</f>
        <v>43294</v>
      </c>
      <c r="E4817" s="8">
        <f t="shared" si="79"/>
        <v>2018</v>
      </c>
      <c r="F4817" t="s">
        <v>991</v>
      </c>
      <c r="G4817" s="9">
        <v>536</v>
      </c>
      <c r="H4817" s="8">
        <v>27349</v>
      </c>
    </row>
    <row r="4818" spans="2:8" ht="17.5" customHeight="1" x14ac:dyDescent="0.4">
      <c r="B4818" t="s">
        <v>7</v>
      </c>
      <c r="C4818" t="s">
        <v>990</v>
      </c>
      <c r="D4818" s="7">
        <f>DATE(2018,7,24)</f>
        <v>43305</v>
      </c>
      <c r="E4818" s="8">
        <f t="shared" si="79"/>
        <v>2018</v>
      </c>
      <c r="F4818" t="s">
        <v>991</v>
      </c>
      <c r="G4818" s="9">
        <v>9347.5400000000009</v>
      </c>
      <c r="H4818" s="8">
        <v>27377</v>
      </c>
    </row>
    <row r="4819" spans="2:8" ht="17.5" customHeight="1" x14ac:dyDescent="0.4">
      <c r="B4819" t="s">
        <v>7</v>
      </c>
      <c r="C4819" t="s">
        <v>990</v>
      </c>
      <c r="D4819" s="7">
        <f>DATE(2018,7,25)</f>
        <v>43306</v>
      </c>
      <c r="E4819" s="8">
        <f t="shared" si="79"/>
        <v>2018</v>
      </c>
      <c r="F4819" t="s">
        <v>991</v>
      </c>
      <c r="G4819" s="9">
        <v>1356.2</v>
      </c>
      <c r="H4819" s="8">
        <v>27376</v>
      </c>
    </row>
    <row r="4820" spans="2:8" ht="17.5" customHeight="1" x14ac:dyDescent="0.4">
      <c r="B4820" t="s">
        <v>7</v>
      </c>
      <c r="C4820" t="s">
        <v>990</v>
      </c>
      <c r="D4820" s="7">
        <f>DATE(2018,8,22)</f>
        <v>43334</v>
      </c>
      <c r="E4820" s="8">
        <f t="shared" si="79"/>
        <v>2018</v>
      </c>
      <c r="F4820" t="s">
        <v>991</v>
      </c>
      <c r="G4820" s="9">
        <v>9489.5499999999993</v>
      </c>
      <c r="H4820" s="8">
        <v>27509</v>
      </c>
    </row>
    <row r="4821" spans="2:8" ht="17.5" customHeight="1" x14ac:dyDescent="0.4">
      <c r="B4821" t="s">
        <v>7</v>
      </c>
      <c r="C4821" t="s">
        <v>990</v>
      </c>
      <c r="D4821" s="7">
        <f>DATE(2018,8,24)</f>
        <v>43336</v>
      </c>
      <c r="E4821" s="8">
        <f t="shared" si="79"/>
        <v>2018</v>
      </c>
      <c r="F4821" t="s">
        <v>991</v>
      </c>
      <c r="G4821" s="9">
        <v>263.33999999999997</v>
      </c>
      <c r="H4821" s="8">
        <v>27557</v>
      </c>
    </row>
    <row r="4822" spans="2:8" ht="17.5" customHeight="1" x14ac:dyDescent="0.4">
      <c r="B4822" t="s">
        <v>7</v>
      </c>
      <c r="C4822" t="s">
        <v>990</v>
      </c>
      <c r="D4822" s="7">
        <f>DATE(2018,9,4)</f>
        <v>43347</v>
      </c>
      <c r="E4822" s="8">
        <f t="shared" si="79"/>
        <v>2018</v>
      </c>
      <c r="F4822" t="s">
        <v>991</v>
      </c>
      <c r="G4822" s="9">
        <v>2368.08</v>
      </c>
      <c r="H4822" s="8">
        <v>27587</v>
      </c>
    </row>
    <row r="4823" spans="2:8" ht="17.5" customHeight="1" x14ac:dyDescent="0.4">
      <c r="B4823" t="s">
        <v>7</v>
      </c>
      <c r="C4823" t="s">
        <v>990</v>
      </c>
      <c r="D4823" s="7">
        <f>DATE(2018,9,12)</f>
        <v>43355</v>
      </c>
      <c r="E4823" s="8">
        <f t="shared" si="79"/>
        <v>2018</v>
      </c>
      <c r="F4823" t="s">
        <v>991</v>
      </c>
      <c r="G4823" s="9">
        <v>348.34</v>
      </c>
      <c r="H4823" s="8">
        <v>27612</v>
      </c>
    </row>
    <row r="4824" spans="2:8" ht="17.5" customHeight="1" x14ac:dyDescent="0.4">
      <c r="B4824" t="s">
        <v>7</v>
      </c>
      <c r="C4824" t="s">
        <v>990</v>
      </c>
      <c r="D4824" s="7">
        <f>DATE(2018,9,24)</f>
        <v>43367</v>
      </c>
      <c r="E4824" s="8">
        <f t="shared" si="79"/>
        <v>2018</v>
      </c>
      <c r="F4824" t="s">
        <v>991</v>
      </c>
      <c r="G4824" s="9">
        <v>7140</v>
      </c>
      <c r="H4824" s="8">
        <v>27609</v>
      </c>
    </row>
    <row r="4825" spans="2:8" ht="17.5" customHeight="1" x14ac:dyDescent="0.4">
      <c r="B4825" t="s">
        <v>7</v>
      </c>
      <c r="C4825" t="s">
        <v>990</v>
      </c>
      <c r="D4825" s="7">
        <f>DATE(2018,9,28)</f>
        <v>43371</v>
      </c>
      <c r="E4825" s="8">
        <f t="shared" si="79"/>
        <v>2018</v>
      </c>
      <c r="F4825" t="s">
        <v>991</v>
      </c>
      <c r="G4825" s="9">
        <v>83.34</v>
      </c>
      <c r="H4825" s="8">
        <v>27725</v>
      </c>
    </row>
    <row r="4826" spans="2:8" ht="17.5" customHeight="1" x14ac:dyDescent="0.4">
      <c r="B4826" t="s">
        <v>7</v>
      </c>
      <c r="C4826" t="s">
        <v>990</v>
      </c>
      <c r="D4826" s="7">
        <f>DATE(2018,10,1)</f>
        <v>43374</v>
      </c>
      <c r="E4826" s="8">
        <f t="shared" si="79"/>
        <v>2018</v>
      </c>
      <c r="F4826" t="s">
        <v>991</v>
      </c>
      <c r="G4826" s="9">
        <v>54476</v>
      </c>
      <c r="H4826" s="8">
        <v>27630</v>
      </c>
    </row>
    <row r="4827" spans="2:8" ht="17.5" customHeight="1" x14ac:dyDescent="0.4">
      <c r="B4827" t="s">
        <v>7</v>
      </c>
      <c r="C4827" t="s">
        <v>990</v>
      </c>
      <c r="D4827" s="7">
        <f>DATE(2018,10,1)</f>
        <v>43374</v>
      </c>
      <c r="E4827" s="8">
        <f t="shared" si="79"/>
        <v>2018</v>
      </c>
      <c r="F4827" t="s">
        <v>991</v>
      </c>
      <c r="G4827" s="9">
        <v>4180</v>
      </c>
      <c r="H4827" s="8">
        <v>27676</v>
      </c>
    </row>
    <row r="4828" spans="2:8" ht="17.5" customHeight="1" x14ac:dyDescent="0.4">
      <c r="B4828" t="s">
        <v>7</v>
      </c>
      <c r="C4828" t="s">
        <v>990</v>
      </c>
      <c r="D4828" s="7">
        <f>DATE(2018,10,8)</f>
        <v>43381</v>
      </c>
      <c r="E4828" s="8">
        <f t="shared" si="79"/>
        <v>2018</v>
      </c>
      <c r="F4828" t="s">
        <v>991</v>
      </c>
      <c r="G4828" s="9">
        <v>9109.82</v>
      </c>
      <c r="H4828" s="8">
        <v>27662</v>
      </c>
    </row>
    <row r="4829" spans="2:8" ht="17.5" customHeight="1" x14ac:dyDescent="0.4">
      <c r="B4829" t="s">
        <v>7</v>
      </c>
      <c r="C4829" t="s">
        <v>990</v>
      </c>
      <c r="D4829" s="7">
        <f>DATE(2018,10,10)</f>
        <v>43383</v>
      </c>
      <c r="E4829" s="8">
        <f t="shared" si="79"/>
        <v>2018</v>
      </c>
      <c r="F4829" t="s">
        <v>991</v>
      </c>
      <c r="G4829" s="9">
        <v>646</v>
      </c>
      <c r="H4829" s="8">
        <v>27776</v>
      </c>
    </row>
    <row r="4830" spans="2:8" ht="17.5" customHeight="1" x14ac:dyDescent="0.4">
      <c r="B4830" t="s">
        <v>7</v>
      </c>
      <c r="C4830" t="s">
        <v>990</v>
      </c>
      <c r="D4830" s="7">
        <f>DATE(2018,10,10)</f>
        <v>43383</v>
      </c>
      <c r="E4830" s="8">
        <f t="shared" si="79"/>
        <v>2018</v>
      </c>
      <c r="F4830" t="s">
        <v>991</v>
      </c>
      <c r="G4830" s="9">
        <v>1089</v>
      </c>
      <c r="H4830" s="8">
        <v>27781</v>
      </c>
    </row>
    <row r="4831" spans="2:8" ht="17.5" customHeight="1" x14ac:dyDescent="0.4">
      <c r="B4831" t="s">
        <v>7</v>
      </c>
      <c r="C4831" t="s">
        <v>990</v>
      </c>
      <c r="D4831" s="7">
        <f>DATE(2018,10,11)</f>
        <v>43384</v>
      </c>
      <c r="E4831" s="8">
        <f t="shared" si="79"/>
        <v>2018</v>
      </c>
      <c r="F4831" t="s">
        <v>991</v>
      </c>
      <c r="G4831" s="9">
        <v>4295.16</v>
      </c>
      <c r="H4831" s="8">
        <v>27774</v>
      </c>
    </row>
    <row r="4832" spans="2:8" ht="17.5" customHeight="1" x14ac:dyDescent="0.4">
      <c r="B4832" t="s">
        <v>7</v>
      </c>
      <c r="C4832" t="s">
        <v>990</v>
      </c>
      <c r="D4832" s="7">
        <f>DATE(2018,10,12)</f>
        <v>43385</v>
      </c>
      <c r="E4832" s="8">
        <f t="shared" si="79"/>
        <v>2018</v>
      </c>
      <c r="F4832" t="s">
        <v>991</v>
      </c>
      <c r="G4832" s="9">
        <v>3100.52</v>
      </c>
      <c r="H4832" s="8">
        <v>27807</v>
      </c>
    </row>
    <row r="4833" spans="2:8" ht="17.5" customHeight="1" x14ac:dyDescent="0.4">
      <c r="B4833" t="s">
        <v>7</v>
      </c>
      <c r="C4833" t="s">
        <v>990</v>
      </c>
      <c r="D4833" s="7">
        <f>DATE(2018,10,15)</f>
        <v>43388</v>
      </c>
      <c r="E4833" s="8">
        <f t="shared" si="79"/>
        <v>2018</v>
      </c>
      <c r="F4833" t="s">
        <v>991</v>
      </c>
      <c r="G4833" s="9">
        <v>3767.2</v>
      </c>
      <c r="H4833" s="8">
        <v>27813</v>
      </c>
    </row>
    <row r="4834" spans="2:8" ht="17.5" customHeight="1" x14ac:dyDescent="0.4">
      <c r="B4834" t="s">
        <v>7</v>
      </c>
      <c r="C4834" t="s">
        <v>990</v>
      </c>
      <c r="D4834" s="7">
        <f>DATE(2018,10,29)</f>
        <v>43402</v>
      </c>
      <c r="E4834" s="8">
        <f t="shared" si="79"/>
        <v>2018</v>
      </c>
      <c r="F4834" t="s">
        <v>991</v>
      </c>
      <c r="G4834" s="9">
        <v>185.94</v>
      </c>
      <c r="H4834" s="8">
        <v>27856</v>
      </c>
    </row>
    <row r="4835" spans="2:8" ht="17.5" customHeight="1" x14ac:dyDescent="0.4">
      <c r="B4835" t="s">
        <v>7</v>
      </c>
      <c r="C4835" t="s">
        <v>990</v>
      </c>
      <c r="D4835" s="7">
        <f>DATE(2018,11,5)</f>
        <v>43409</v>
      </c>
      <c r="E4835" s="8">
        <f t="shared" si="79"/>
        <v>2018</v>
      </c>
      <c r="F4835" t="s">
        <v>991</v>
      </c>
      <c r="G4835" s="9">
        <v>15896.54</v>
      </c>
      <c r="H4835" s="8">
        <v>27853</v>
      </c>
    </row>
    <row r="4836" spans="2:8" ht="17.5" customHeight="1" x14ac:dyDescent="0.4">
      <c r="B4836" t="s">
        <v>7</v>
      </c>
      <c r="C4836" t="s">
        <v>990</v>
      </c>
      <c r="D4836" s="7">
        <f>DATE(2018,11,12)</f>
        <v>43416</v>
      </c>
      <c r="E4836" s="8">
        <f t="shared" si="79"/>
        <v>2018</v>
      </c>
      <c r="F4836" t="s">
        <v>991</v>
      </c>
      <c r="G4836" s="9">
        <v>3050</v>
      </c>
      <c r="H4836" s="8">
        <v>27970</v>
      </c>
    </row>
    <row r="4837" spans="2:8" ht="17.5" customHeight="1" x14ac:dyDescent="0.4">
      <c r="B4837" t="s">
        <v>7</v>
      </c>
      <c r="C4837" t="s">
        <v>990</v>
      </c>
      <c r="D4837" s="7">
        <f>DATE(2018,11,21)</f>
        <v>43425</v>
      </c>
      <c r="E4837" s="8">
        <f t="shared" si="79"/>
        <v>2018</v>
      </c>
      <c r="F4837" t="s">
        <v>991</v>
      </c>
      <c r="G4837" s="9">
        <v>257</v>
      </c>
      <c r="H4837" s="8">
        <v>28005</v>
      </c>
    </row>
    <row r="4838" spans="2:8" ht="17.5" customHeight="1" x14ac:dyDescent="0.4">
      <c r="B4838" t="s">
        <v>7</v>
      </c>
      <c r="C4838" t="s">
        <v>990</v>
      </c>
      <c r="D4838" s="7">
        <f>DATE(2018,11,26)</f>
        <v>43430</v>
      </c>
      <c r="E4838" s="8">
        <f t="shared" si="79"/>
        <v>2018</v>
      </c>
      <c r="F4838" t="s">
        <v>991</v>
      </c>
      <c r="G4838" s="9">
        <v>918</v>
      </c>
      <c r="H4838" s="8">
        <v>28040</v>
      </c>
    </row>
    <row r="4839" spans="2:8" ht="17.5" customHeight="1" x14ac:dyDescent="0.4">
      <c r="B4839" t="s">
        <v>7</v>
      </c>
      <c r="C4839" t="s">
        <v>990</v>
      </c>
      <c r="D4839" s="7">
        <f>DATE(2018,12,12)</f>
        <v>43446</v>
      </c>
      <c r="E4839" s="8">
        <f t="shared" si="79"/>
        <v>2018</v>
      </c>
      <c r="F4839" t="s">
        <v>991</v>
      </c>
      <c r="G4839" s="9">
        <v>2090</v>
      </c>
      <c r="H4839" s="8">
        <v>28065</v>
      </c>
    </row>
    <row r="4840" spans="2:8" ht="17.5" customHeight="1" x14ac:dyDescent="0.4">
      <c r="B4840" t="s">
        <v>7</v>
      </c>
      <c r="C4840" t="s">
        <v>990</v>
      </c>
      <c r="D4840" s="7">
        <f>DATE(2018,12,13)</f>
        <v>43447</v>
      </c>
      <c r="E4840" s="8">
        <f t="shared" si="79"/>
        <v>2018</v>
      </c>
      <c r="F4840" t="s">
        <v>991</v>
      </c>
      <c r="G4840" s="9">
        <v>103</v>
      </c>
      <c r="H4840" s="8">
        <v>28027</v>
      </c>
    </row>
    <row r="4841" spans="2:8" ht="17.5" customHeight="1" x14ac:dyDescent="0.4">
      <c r="B4841" t="s">
        <v>7</v>
      </c>
      <c r="C4841" t="s">
        <v>990</v>
      </c>
      <c r="D4841" s="7">
        <f>DATE(2018,12,20)</f>
        <v>43454</v>
      </c>
      <c r="E4841" s="8">
        <f t="shared" si="79"/>
        <v>2018</v>
      </c>
      <c r="F4841" t="s">
        <v>991</v>
      </c>
      <c r="G4841" s="9">
        <v>646</v>
      </c>
      <c r="H4841" s="8">
        <v>28135</v>
      </c>
    </row>
    <row r="4842" spans="2:8" ht="17.5" customHeight="1" x14ac:dyDescent="0.4">
      <c r="B4842" t="s">
        <v>7</v>
      </c>
      <c r="C4842" t="s">
        <v>990</v>
      </c>
      <c r="D4842" s="7">
        <f>DATE(2018,12,28)</f>
        <v>43462</v>
      </c>
      <c r="E4842" s="8">
        <f t="shared" si="79"/>
        <v>2018</v>
      </c>
      <c r="F4842" t="s">
        <v>991</v>
      </c>
      <c r="G4842" s="9">
        <v>3439</v>
      </c>
      <c r="H4842" s="8">
        <v>28152</v>
      </c>
    </row>
    <row r="4843" spans="2:8" ht="17.5" customHeight="1" x14ac:dyDescent="0.4">
      <c r="B4843" t="s">
        <v>7</v>
      </c>
      <c r="C4843" t="s">
        <v>990</v>
      </c>
      <c r="D4843" s="7">
        <f>DATE(2019,1,2)</f>
        <v>43467</v>
      </c>
      <c r="E4843" s="8">
        <f t="shared" si="79"/>
        <v>2019</v>
      </c>
      <c r="F4843" t="s">
        <v>991</v>
      </c>
      <c r="G4843" s="9">
        <v>6101.5</v>
      </c>
      <c r="H4843" s="8">
        <v>28150</v>
      </c>
    </row>
    <row r="4844" spans="2:8" ht="17.5" customHeight="1" x14ac:dyDescent="0.4">
      <c r="B4844" t="s">
        <v>7</v>
      </c>
      <c r="C4844" t="s">
        <v>990</v>
      </c>
      <c r="D4844" s="7">
        <f>DATE(2019,1,11)</f>
        <v>43476</v>
      </c>
      <c r="E4844" s="8">
        <f t="shared" si="79"/>
        <v>2019</v>
      </c>
      <c r="F4844" t="s">
        <v>991</v>
      </c>
      <c r="G4844" s="9">
        <v>342.65</v>
      </c>
      <c r="H4844" s="8">
        <v>28205</v>
      </c>
    </row>
    <row r="4845" spans="2:8" ht="17.5" customHeight="1" x14ac:dyDescent="0.4">
      <c r="B4845" t="s">
        <v>7</v>
      </c>
      <c r="C4845" t="s">
        <v>990</v>
      </c>
      <c r="D4845" s="7">
        <f>DATE(2019,1,14)</f>
        <v>43479</v>
      </c>
      <c r="E4845" s="8">
        <f t="shared" si="79"/>
        <v>2019</v>
      </c>
      <c r="F4845" t="s">
        <v>991</v>
      </c>
      <c r="G4845" s="9">
        <v>3978</v>
      </c>
      <c r="H4845" s="8">
        <v>28233</v>
      </c>
    </row>
    <row r="4846" spans="2:8" ht="17.5" customHeight="1" x14ac:dyDescent="0.4">
      <c r="B4846" t="s">
        <v>7</v>
      </c>
      <c r="C4846" t="s">
        <v>990</v>
      </c>
      <c r="D4846" s="7">
        <f>DATE(2019,1,15)</f>
        <v>43480</v>
      </c>
      <c r="E4846" s="8">
        <f t="shared" si="79"/>
        <v>2019</v>
      </c>
      <c r="F4846" t="s">
        <v>991</v>
      </c>
      <c r="G4846" s="9">
        <v>2448</v>
      </c>
      <c r="H4846" s="8">
        <v>28146</v>
      </c>
    </row>
    <row r="4847" spans="2:8" ht="17.5" customHeight="1" x14ac:dyDescent="0.4">
      <c r="B4847" t="s">
        <v>7</v>
      </c>
      <c r="C4847" t="s">
        <v>990</v>
      </c>
      <c r="D4847" s="7">
        <f>DATE(2019,1,28)</f>
        <v>43493</v>
      </c>
      <c r="E4847" s="8">
        <f t="shared" si="79"/>
        <v>2019</v>
      </c>
      <c r="F4847" t="s">
        <v>991</v>
      </c>
      <c r="G4847" s="9">
        <v>3130</v>
      </c>
      <c r="H4847" s="8">
        <v>28254</v>
      </c>
    </row>
    <row r="4848" spans="2:8" ht="17.5" customHeight="1" x14ac:dyDescent="0.4">
      <c r="B4848" t="s">
        <v>7</v>
      </c>
      <c r="C4848" t="s">
        <v>990</v>
      </c>
      <c r="D4848" s="7">
        <f>DATE(2019,2,12)</f>
        <v>43508</v>
      </c>
      <c r="E4848" s="8">
        <f t="shared" si="79"/>
        <v>2019</v>
      </c>
      <c r="F4848" t="s">
        <v>991</v>
      </c>
      <c r="G4848" s="9">
        <v>1179.2</v>
      </c>
      <c r="H4848" s="8">
        <v>28358</v>
      </c>
    </row>
    <row r="4849" spans="2:8" ht="17.5" customHeight="1" x14ac:dyDescent="0.4">
      <c r="B4849" t="s">
        <v>7</v>
      </c>
      <c r="C4849" t="s">
        <v>990</v>
      </c>
      <c r="D4849" s="7">
        <f>DATE(2019,2,12)</f>
        <v>43508</v>
      </c>
      <c r="E4849" s="8">
        <f t="shared" si="79"/>
        <v>2019</v>
      </c>
      <c r="F4849" t="s">
        <v>991</v>
      </c>
      <c r="G4849" s="9">
        <v>432</v>
      </c>
      <c r="H4849" s="8">
        <v>28393</v>
      </c>
    </row>
    <row r="4850" spans="2:8" ht="17.5" customHeight="1" x14ac:dyDescent="0.4">
      <c r="B4850" t="s">
        <v>7</v>
      </c>
      <c r="C4850" t="s">
        <v>990</v>
      </c>
      <c r="D4850" s="7">
        <f>DATE(2019,2,13)</f>
        <v>43509</v>
      </c>
      <c r="E4850" s="8">
        <f t="shared" si="79"/>
        <v>2019</v>
      </c>
      <c r="F4850" t="s">
        <v>991</v>
      </c>
      <c r="G4850" s="9">
        <v>1633.95</v>
      </c>
      <c r="H4850" s="8">
        <v>28309</v>
      </c>
    </row>
    <row r="4851" spans="2:8" ht="17.5" customHeight="1" x14ac:dyDescent="0.4">
      <c r="B4851" t="s">
        <v>7</v>
      </c>
      <c r="C4851" t="s">
        <v>990</v>
      </c>
      <c r="D4851" s="7">
        <f>DATE(2019,2,25)</f>
        <v>43521</v>
      </c>
      <c r="E4851" s="8">
        <f t="shared" si="79"/>
        <v>2019</v>
      </c>
      <c r="F4851" t="s">
        <v>991</v>
      </c>
      <c r="G4851" s="9">
        <v>1881</v>
      </c>
      <c r="H4851" s="8">
        <v>28440</v>
      </c>
    </row>
    <row r="4852" spans="2:8" ht="17.5" customHeight="1" x14ac:dyDescent="0.4">
      <c r="B4852" t="s">
        <v>7</v>
      </c>
      <c r="C4852" t="s">
        <v>990</v>
      </c>
      <c r="D4852" s="7">
        <f>DATE(2019,2,27)</f>
        <v>43523</v>
      </c>
      <c r="E4852" s="8">
        <f t="shared" si="79"/>
        <v>2019</v>
      </c>
      <c r="F4852" t="s">
        <v>991</v>
      </c>
      <c r="G4852" s="9">
        <v>1542</v>
      </c>
      <c r="H4852" s="8">
        <v>28514</v>
      </c>
    </row>
    <row r="4853" spans="2:8" ht="17.5" customHeight="1" x14ac:dyDescent="0.4">
      <c r="B4853" t="s">
        <v>7</v>
      </c>
      <c r="C4853" t="s">
        <v>990</v>
      </c>
      <c r="D4853" s="7">
        <f>DATE(2019,3,5)</f>
        <v>43529</v>
      </c>
      <c r="E4853" s="8">
        <f t="shared" si="79"/>
        <v>2019</v>
      </c>
      <c r="F4853" t="s">
        <v>991</v>
      </c>
      <c r="G4853" s="9">
        <v>7865</v>
      </c>
      <c r="H4853" s="8">
        <v>28550</v>
      </c>
    </row>
    <row r="4854" spans="2:8" ht="17.5" customHeight="1" x14ac:dyDescent="0.4">
      <c r="B4854" t="s">
        <v>7</v>
      </c>
      <c r="C4854" t="s">
        <v>990</v>
      </c>
      <c r="D4854" s="7">
        <f>DATE(2019,3,12)</f>
        <v>43536</v>
      </c>
      <c r="E4854" s="8">
        <f t="shared" si="79"/>
        <v>2019</v>
      </c>
      <c r="F4854" t="s">
        <v>991</v>
      </c>
      <c r="G4854" s="9">
        <v>4895</v>
      </c>
      <c r="H4854" s="8">
        <v>28454</v>
      </c>
    </row>
    <row r="4855" spans="2:8" ht="17.5" customHeight="1" x14ac:dyDescent="0.4">
      <c r="B4855" t="s">
        <v>7</v>
      </c>
      <c r="C4855" t="s">
        <v>990</v>
      </c>
      <c r="D4855" s="7">
        <f>DATE(2019,3,12)</f>
        <v>43536</v>
      </c>
      <c r="E4855" s="8">
        <f t="shared" si="79"/>
        <v>2019</v>
      </c>
      <c r="F4855" t="s">
        <v>991</v>
      </c>
      <c r="G4855" s="9">
        <v>550</v>
      </c>
      <c r="H4855" s="8">
        <v>28607</v>
      </c>
    </row>
    <row r="4856" spans="2:8" ht="17.5" customHeight="1" x14ac:dyDescent="0.4">
      <c r="B4856" t="s">
        <v>7</v>
      </c>
      <c r="C4856" t="s">
        <v>990</v>
      </c>
      <c r="D4856" s="7">
        <f>DATE(2019,3,13)</f>
        <v>43537</v>
      </c>
      <c r="E4856" s="8">
        <f t="shared" si="79"/>
        <v>2019</v>
      </c>
      <c r="F4856" t="s">
        <v>991</v>
      </c>
      <c r="G4856" s="9">
        <v>629</v>
      </c>
      <c r="H4856" s="8">
        <v>28618</v>
      </c>
    </row>
    <row r="4857" spans="2:8" ht="17.5" customHeight="1" x14ac:dyDescent="0.4">
      <c r="B4857" t="s">
        <v>7</v>
      </c>
      <c r="C4857" t="s">
        <v>990</v>
      </c>
      <c r="D4857" s="7">
        <f>DATE(2019,3,15)</f>
        <v>43539</v>
      </c>
      <c r="E4857" s="8">
        <f t="shared" si="79"/>
        <v>2019</v>
      </c>
      <c r="F4857" t="s">
        <v>991</v>
      </c>
      <c r="G4857" s="9">
        <v>228.96</v>
      </c>
      <c r="H4857" s="8">
        <v>28619</v>
      </c>
    </row>
    <row r="4858" spans="2:8" ht="17.5" customHeight="1" x14ac:dyDescent="0.4">
      <c r="B4858" t="s">
        <v>7</v>
      </c>
      <c r="C4858" t="s">
        <v>990</v>
      </c>
      <c r="D4858" s="7">
        <f>DATE(2019,3,20)</f>
        <v>43544</v>
      </c>
      <c r="E4858" s="8">
        <f t="shared" si="79"/>
        <v>2019</v>
      </c>
      <c r="F4858" t="s">
        <v>991</v>
      </c>
      <c r="G4858" s="9">
        <v>1572.09</v>
      </c>
      <c r="H4858" s="8">
        <v>28672</v>
      </c>
    </row>
    <row r="4859" spans="2:8" ht="17.5" customHeight="1" x14ac:dyDescent="0.4">
      <c r="B4859" t="s">
        <v>7</v>
      </c>
      <c r="C4859" t="s">
        <v>990</v>
      </c>
      <c r="D4859" s="7">
        <f>DATE(2019,3,27)</f>
        <v>43551</v>
      </c>
      <c r="E4859" s="8">
        <f t="shared" si="79"/>
        <v>2019</v>
      </c>
      <c r="F4859" t="s">
        <v>991</v>
      </c>
      <c r="G4859" s="9">
        <v>667.5</v>
      </c>
      <c r="H4859" s="8">
        <v>28715</v>
      </c>
    </row>
    <row r="4860" spans="2:8" ht="17.5" customHeight="1" x14ac:dyDescent="0.4">
      <c r="B4860" t="s">
        <v>7</v>
      </c>
      <c r="C4860" t="s">
        <v>990</v>
      </c>
      <c r="D4860" s="7">
        <f>DATE(2019,3,27)</f>
        <v>43551</v>
      </c>
      <c r="E4860" s="8">
        <f t="shared" si="79"/>
        <v>2019</v>
      </c>
      <c r="F4860" t="s">
        <v>991</v>
      </c>
      <c r="G4860" s="9">
        <v>137.80000000000001</v>
      </c>
      <c r="H4860" s="8">
        <v>28690</v>
      </c>
    </row>
    <row r="4861" spans="2:8" ht="17.5" customHeight="1" x14ac:dyDescent="0.4">
      <c r="B4861" t="s">
        <v>7</v>
      </c>
      <c r="C4861" t="s">
        <v>990</v>
      </c>
      <c r="D4861" s="7">
        <f>DATE(2019,3,29)</f>
        <v>43553</v>
      </c>
      <c r="E4861" s="8">
        <f t="shared" si="79"/>
        <v>2019</v>
      </c>
      <c r="F4861" t="s">
        <v>991</v>
      </c>
      <c r="G4861" s="9">
        <v>6823.8</v>
      </c>
      <c r="H4861" s="8">
        <v>28716</v>
      </c>
    </row>
    <row r="4862" spans="2:8" ht="17.5" customHeight="1" x14ac:dyDescent="0.4">
      <c r="B4862" t="s">
        <v>7</v>
      </c>
      <c r="C4862" t="s">
        <v>990</v>
      </c>
      <c r="D4862" s="7">
        <f>DATE(2019,4,12)</f>
        <v>43567</v>
      </c>
      <c r="E4862" s="8">
        <f t="shared" si="79"/>
        <v>2019</v>
      </c>
      <c r="F4862" t="s">
        <v>991</v>
      </c>
      <c r="G4862" s="9">
        <v>2500</v>
      </c>
      <c r="H4862" s="8">
        <v>28799</v>
      </c>
    </row>
    <row r="4863" spans="2:8" ht="17.5" customHeight="1" x14ac:dyDescent="0.4">
      <c r="B4863" t="s">
        <v>7</v>
      </c>
      <c r="C4863" t="s">
        <v>990</v>
      </c>
      <c r="D4863" s="7">
        <f>DATE(2019,4,16)</f>
        <v>43571</v>
      </c>
      <c r="E4863" s="8">
        <f t="shared" si="79"/>
        <v>2019</v>
      </c>
      <c r="F4863" t="s">
        <v>991</v>
      </c>
      <c r="G4863" s="9">
        <v>9196</v>
      </c>
      <c r="H4863" s="8">
        <v>28817</v>
      </c>
    </row>
    <row r="4864" spans="2:8" ht="17.5" customHeight="1" x14ac:dyDescent="0.4">
      <c r="B4864" t="s">
        <v>7</v>
      </c>
      <c r="C4864" t="s">
        <v>990</v>
      </c>
      <c r="D4864" s="7">
        <f>DATE(2019,4,23)</f>
        <v>43578</v>
      </c>
      <c r="E4864" s="8">
        <f t="shared" si="79"/>
        <v>2019</v>
      </c>
      <c r="F4864" t="s">
        <v>991</v>
      </c>
      <c r="G4864" s="9">
        <v>141.1</v>
      </c>
      <c r="H4864" s="8">
        <v>28886</v>
      </c>
    </row>
    <row r="4865" spans="2:8" ht="17.5" customHeight="1" x14ac:dyDescent="0.4">
      <c r="B4865" t="s">
        <v>7</v>
      </c>
      <c r="C4865" t="s">
        <v>990</v>
      </c>
      <c r="D4865" s="7">
        <f>DATE(2019,4,26)</f>
        <v>43581</v>
      </c>
      <c r="E4865" s="8">
        <f t="shared" si="79"/>
        <v>2019</v>
      </c>
      <c r="F4865" t="s">
        <v>991</v>
      </c>
      <c r="G4865" s="9">
        <v>312</v>
      </c>
      <c r="H4865" s="8">
        <v>28916</v>
      </c>
    </row>
    <row r="4866" spans="2:8" ht="17.5" customHeight="1" x14ac:dyDescent="0.4">
      <c r="B4866" t="s">
        <v>7</v>
      </c>
      <c r="C4866" t="s">
        <v>990</v>
      </c>
      <c r="D4866" s="7">
        <f>DATE(2019,4,30)</f>
        <v>43585</v>
      </c>
      <c r="E4866" s="8">
        <f t="shared" si="79"/>
        <v>2019</v>
      </c>
      <c r="F4866" t="s">
        <v>991</v>
      </c>
      <c r="G4866" s="9">
        <v>11946</v>
      </c>
      <c r="H4866" s="8">
        <v>28922</v>
      </c>
    </row>
    <row r="4867" spans="2:8" ht="17.5" customHeight="1" x14ac:dyDescent="0.4">
      <c r="B4867" t="s">
        <v>7</v>
      </c>
      <c r="C4867" t="s">
        <v>990</v>
      </c>
      <c r="D4867" s="7">
        <f>DATE(2019,5,7)</f>
        <v>43592</v>
      </c>
      <c r="E4867" s="8">
        <f t="shared" ref="E4867:E4930" si="80">YEAR(D4867)</f>
        <v>2019</v>
      </c>
      <c r="F4867" t="s">
        <v>991</v>
      </c>
      <c r="G4867" s="9">
        <v>951.15</v>
      </c>
      <c r="H4867" s="8">
        <v>28941</v>
      </c>
    </row>
    <row r="4868" spans="2:8" ht="17.5" customHeight="1" x14ac:dyDescent="0.4">
      <c r="B4868" t="s">
        <v>7</v>
      </c>
      <c r="C4868" t="s">
        <v>990</v>
      </c>
      <c r="D4868" s="7">
        <f>DATE(2019,5,8)</f>
        <v>43593</v>
      </c>
      <c r="E4868" s="8">
        <f t="shared" si="80"/>
        <v>2019</v>
      </c>
      <c r="F4868" t="s">
        <v>991</v>
      </c>
      <c r="G4868" s="9">
        <v>2800</v>
      </c>
      <c r="H4868" s="8">
        <v>28985</v>
      </c>
    </row>
    <row r="4869" spans="2:8" ht="17.5" customHeight="1" x14ac:dyDescent="0.4">
      <c r="B4869" t="s">
        <v>7</v>
      </c>
      <c r="C4869" t="s">
        <v>990</v>
      </c>
      <c r="D4869" s="7">
        <f>DATE(2019,5,10)</f>
        <v>43595</v>
      </c>
      <c r="E4869" s="8">
        <f t="shared" si="80"/>
        <v>2019</v>
      </c>
      <c r="F4869" t="s">
        <v>991</v>
      </c>
      <c r="G4869" s="9">
        <v>672.91</v>
      </c>
      <c r="H4869" s="8">
        <v>29003</v>
      </c>
    </row>
    <row r="4870" spans="2:8" ht="17.5" customHeight="1" x14ac:dyDescent="0.4">
      <c r="B4870" t="s">
        <v>7</v>
      </c>
      <c r="C4870" t="s">
        <v>990</v>
      </c>
      <c r="D4870" s="7">
        <f>DATE(2019,5,10)</f>
        <v>43595</v>
      </c>
      <c r="E4870" s="8">
        <f t="shared" si="80"/>
        <v>2019</v>
      </c>
      <c r="F4870" t="s">
        <v>991</v>
      </c>
      <c r="G4870" s="9">
        <v>646.4</v>
      </c>
      <c r="H4870" s="8">
        <v>28995</v>
      </c>
    </row>
    <row r="4871" spans="2:8" ht="17.5" customHeight="1" x14ac:dyDescent="0.4">
      <c r="B4871" t="s">
        <v>7</v>
      </c>
      <c r="C4871" t="s">
        <v>990</v>
      </c>
      <c r="D4871" s="7">
        <f>DATE(2019,5,16)</f>
        <v>43601</v>
      </c>
      <c r="E4871" s="8">
        <f t="shared" si="80"/>
        <v>2019</v>
      </c>
      <c r="F4871" t="s">
        <v>991</v>
      </c>
      <c r="G4871" s="9">
        <v>4904.6000000000004</v>
      </c>
      <c r="H4871" s="8">
        <v>29004</v>
      </c>
    </row>
    <row r="4872" spans="2:8" ht="17.5" customHeight="1" x14ac:dyDescent="0.4">
      <c r="B4872" t="s">
        <v>7</v>
      </c>
      <c r="C4872" t="s">
        <v>990</v>
      </c>
      <c r="D4872" s="7">
        <f>DATE(2015,3,17)</f>
        <v>42080</v>
      </c>
      <c r="E4872" s="8">
        <f t="shared" si="80"/>
        <v>2015</v>
      </c>
      <c r="F4872" t="s">
        <v>991</v>
      </c>
      <c r="G4872" s="9">
        <v>528</v>
      </c>
      <c r="H4872" s="8">
        <v>20150</v>
      </c>
    </row>
    <row r="4873" spans="2:8" ht="17.5" customHeight="1" x14ac:dyDescent="0.4">
      <c r="B4873" t="s">
        <v>7</v>
      </c>
      <c r="C4873" t="s">
        <v>990</v>
      </c>
      <c r="D4873" s="7">
        <f>DATE(2015,4,17)</f>
        <v>42111</v>
      </c>
      <c r="E4873" s="8">
        <f t="shared" si="80"/>
        <v>2015</v>
      </c>
      <c r="F4873" t="s">
        <v>991</v>
      </c>
      <c r="G4873" s="9">
        <v>35555</v>
      </c>
      <c r="H4873" s="8">
        <v>336</v>
      </c>
    </row>
    <row r="4874" spans="2:8" ht="17.5" customHeight="1" x14ac:dyDescent="0.4">
      <c r="B4874" t="s">
        <v>7</v>
      </c>
      <c r="C4874" t="s">
        <v>990</v>
      </c>
      <c r="D4874" s="7">
        <f>DATE(2015,4,24)</f>
        <v>42118</v>
      </c>
      <c r="E4874" s="8">
        <f t="shared" si="80"/>
        <v>2015</v>
      </c>
      <c r="F4874" t="s">
        <v>991</v>
      </c>
      <c r="G4874" s="9">
        <v>4630</v>
      </c>
      <c r="H4874" s="8">
        <v>20409</v>
      </c>
    </row>
    <row r="4875" spans="2:8" ht="17.5" customHeight="1" x14ac:dyDescent="0.4">
      <c r="B4875" t="s">
        <v>7</v>
      </c>
      <c r="C4875" t="s">
        <v>990</v>
      </c>
      <c r="D4875" s="7">
        <f>DATE(2015,8,27)</f>
        <v>42243</v>
      </c>
      <c r="E4875" s="8">
        <f t="shared" si="80"/>
        <v>2015</v>
      </c>
      <c r="F4875" t="s">
        <v>991</v>
      </c>
      <c r="G4875" s="9">
        <v>8636.77</v>
      </c>
      <c r="H4875" s="8">
        <v>21077</v>
      </c>
    </row>
    <row r="4876" spans="2:8" ht="17.5" customHeight="1" x14ac:dyDescent="0.4">
      <c r="B4876" t="s">
        <v>7</v>
      </c>
      <c r="C4876" t="s">
        <v>990</v>
      </c>
      <c r="D4876" s="7">
        <f>DATE(2016,6,17)</f>
        <v>42538</v>
      </c>
      <c r="E4876" s="8">
        <f t="shared" si="80"/>
        <v>2016</v>
      </c>
      <c r="F4876" t="s">
        <v>991</v>
      </c>
      <c r="G4876" s="9">
        <v>200</v>
      </c>
      <c r="H4876" s="8">
        <v>23017</v>
      </c>
    </row>
    <row r="4877" spans="2:8" ht="17.5" customHeight="1" x14ac:dyDescent="0.4">
      <c r="B4877" t="s">
        <v>7</v>
      </c>
      <c r="C4877" t="s">
        <v>990</v>
      </c>
      <c r="D4877" s="7">
        <f>DATE(2016,7,27)</f>
        <v>42578</v>
      </c>
      <c r="E4877" s="8">
        <f t="shared" si="80"/>
        <v>2016</v>
      </c>
      <c r="F4877" t="s">
        <v>991</v>
      </c>
      <c r="G4877" s="9">
        <v>29830.2</v>
      </c>
      <c r="H4877" s="8">
        <v>23065</v>
      </c>
    </row>
    <row r="4878" spans="2:8" ht="17.5" customHeight="1" x14ac:dyDescent="0.4">
      <c r="B4878" t="s">
        <v>7</v>
      </c>
      <c r="C4878" t="s">
        <v>990</v>
      </c>
      <c r="D4878" s="7">
        <f>DATE(2016,11,3)</f>
        <v>42677</v>
      </c>
      <c r="E4878" s="8">
        <f t="shared" si="80"/>
        <v>2016</v>
      </c>
      <c r="F4878" t="s">
        <v>991</v>
      </c>
      <c r="G4878" s="9">
        <v>2511.4</v>
      </c>
      <c r="H4878" s="8">
        <v>23638</v>
      </c>
    </row>
    <row r="4879" spans="2:8" ht="17.5" customHeight="1" x14ac:dyDescent="0.4">
      <c r="B4879" t="s">
        <v>7</v>
      </c>
      <c r="C4879" t="s">
        <v>990</v>
      </c>
      <c r="D4879" s="7">
        <f>DATE(2018,4,27)</f>
        <v>43217</v>
      </c>
      <c r="E4879" s="8">
        <f t="shared" si="80"/>
        <v>2018</v>
      </c>
      <c r="F4879" t="s">
        <v>991</v>
      </c>
      <c r="G4879" s="9">
        <v>13000</v>
      </c>
      <c r="H4879" s="8">
        <v>26754</v>
      </c>
    </row>
    <row r="4880" spans="2:8" ht="17.5" customHeight="1" x14ac:dyDescent="0.4">
      <c r="B4880" t="s">
        <v>7</v>
      </c>
      <c r="C4880" t="s">
        <v>990</v>
      </c>
      <c r="D4880" s="7">
        <f>DATE(2018,9,28)</f>
        <v>43371</v>
      </c>
      <c r="E4880" s="8">
        <f t="shared" si="80"/>
        <v>2018</v>
      </c>
      <c r="F4880" t="s">
        <v>991</v>
      </c>
      <c r="G4880" s="9">
        <v>22537.48</v>
      </c>
      <c r="H4880" s="8">
        <v>27534</v>
      </c>
    </row>
    <row r="4881" spans="2:8" ht="17.5" customHeight="1" x14ac:dyDescent="0.4">
      <c r="B4881" t="s">
        <v>7</v>
      </c>
      <c r="C4881" t="s">
        <v>990</v>
      </c>
      <c r="D4881" s="7">
        <f>DATE(2015,6,5)</f>
        <v>42160</v>
      </c>
      <c r="E4881" s="8">
        <f t="shared" si="80"/>
        <v>2015</v>
      </c>
      <c r="F4881" t="s">
        <v>991</v>
      </c>
      <c r="G4881" s="9">
        <v>13992.58</v>
      </c>
      <c r="H4881" s="8">
        <v>20458</v>
      </c>
    </row>
    <row r="4882" spans="2:8" ht="17.5" customHeight="1" x14ac:dyDescent="0.4">
      <c r="B4882" t="s">
        <v>7</v>
      </c>
      <c r="C4882" t="s">
        <v>990</v>
      </c>
      <c r="D4882" s="7">
        <f>DATE(2015,6,30)</f>
        <v>42185</v>
      </c>
      <c r="E4882" s="8">
        <f t="shared" si="80"/>
        <v>2015</v>
      </c>
      <c r="F4882" t="s">
        <v>991</v>
      </c>
      <c r="G4882" s="9">
        <v>8322.8700000000008</v>
      </c>
      <c r="H4882" s="8">
        <v>20940</v>
      </c>
    </row>
    <row r="4883" spans="2:8" ht="17.5" customHeight="1" x14ac:dyDescent="0.4">
      <c r="B4883" t="s">
        <v>7</v>
      </c>
      <c r="C4883" t="s">
        <v>990</v>
      </c>
      <c r="D4883" s="7">
        <f>DATE(2015,10,1)</f>
        <v>42278</v>
      </c>
      <c r="E4883" s="8">
        <f t="shared" si="80"/>
        <v>2015</v>
      </c>
      <c r="F4883" t="s">
        <v>991</v>
      </c>
      <c r="G4883" s="9">
        <v>70651.759999999995</v>
      </c>
      <c r="H4883" s="8">
        <v>20841</v>
      </c>
    </row>
    <row r="4884" spans="2:8" ht="17.5" customHeight="1" x14ac:dyDescent="0.4">
      <c r="B4884" t="s">
        <v>7</v>
      </c>
      <c r="C4884" t="s">
        <v>990</v>
      </c>
      <c r="D4884" s="7">
        <f>DATE(2015,10,1)</f>
        <v>42278</v>
      </c>
      <c r="E4884" s="8">
        <f t="shared" si="80"/>
        <v>2015</v>
      </c>
      <c r="F4884" t="s">
        <v>991</v>
      </c>
      <c r="G4884" s="9">
        <v>5120.16</v>
      </c>
      <c r="H4884" s="8">
        <v>21228</v>
      </c>
    </row>
    <row r="4885" spans="2:8" ht="17.5" customHeight="1" x14ac:dyDescent="0.4">
      <c r="B4885" t="s">
        <v>7</v>
      </c>
      <c r="C4885" t="s">
        <v>990</v>
      </c>
      <c r="D4885" s="7">
        <f>DATE(2016,2,18)</f>
        <v>42418</v>
      </c>
      <c r="E4885" s="8">
        <f t="shared" si="80"/>
        <v>2016</v>
      </c>
      <c r="F4885" t="s">
        <v>991</v>
      </c>
      <c r="G4885" s="9">
        <v>1919.67</v>
      </c>
      <c r="H4885" s="8">
        <v>22091</v>
      </c>
    </row>
    <row r="4886" spans="2:8" ht="17.5" customHeight="1" x14ac:dyDescent="0.4">
      <c r="B4886" t="s">
        <v>7</v>
      </c>
      <c r="C4886" t="s">
        <v>990</v>
      </c>
      <c r="D4886" s="7">
        <f>DATE(2016,3,25)</f>
        <v>42454</v>
      </c>
      <c r="E4886" s="8">
        <f t="shared" si="80"/>
        <v>2016</v>
      </c>
      <c r="F4886" t="s">
        <v>991</v>
      </c>
      <c r="G4886" s="9">
        <v>1294.1400000000001</v>
      </c>
      <c r="H4886" s="8">
        <v>22233</v>
      </c>
    </row>
    <row r="4887" spans="2:8" ht="17.5" customHeight="1" x14ac:dyDescent="0.4">
      <c r="B4887" t="s">
        <v>7</v>
      </c>
      <c r="C4887" t="s">
        <v>990</v>
      </c>
      <c r="D4887" s="7">
        <f>DATE(2016,5,6)</f>
        <v>42496</v>
      </c>
      <c r="E4887" s="8">
        <f t="shared" si="80"/>
        <v>2016</v>
      </c>
      <c r="F4887" t="s">
        <v>991</v>
      </c>
      <c r="G4887" s="9">
        <v>15398.16</v>
      </c>
      <c r="H4887" s="8">
        <v>22335</v>
      </c>
    </row>
    <row r="4888" spans="2:8" ht="17.5" customHeight="1" x14ac:dyDescent="0.4">
      <c r="B4888" t="s">
        <v>7</v>
      </c>
      <c r="C4888" t="s">
        <v>990</v>
      </c>
      <c r="D4888" s="7">
        <f>DATE(2016,7,29)</f>
        <v>42580</v>
      </c>
      <c r="E4888" s="8">
        <f t="shared" si="80"/>
        <v>2016</v>
      </c>
      <c r="F4888" t="s">
        <v>991</v>
      </c>
      <c r="G4888" s="9">
        <v>48035.87</v>
      </c>
      <c r="H4888" s="8">
        <v>23219</v>
      </c>
    </row>
    <row r="4889" spans="2:8" ht="17.5" customHeight="1" x14ac:dyDescent="0.4">
      <c r="B4889" t="s">
        <v>7</v>
      </c>
      <c r="C4889" t="s">
        <v>990</v>
      </c>
      <c r="D4889" s="7">
        <f>DATE(2016,8,1)</f>
        <v>42583</v>
      </c>
      <c r="E4889" s="8">
        <f t="shared" si="80"/>
        <v>2016</v>
      </c>
      <c r="F4889" t="s">
        <v>991</v>
      </c>
      <c r="G4889" s="9">
        <v>51405.38</v>
      </c>
      <c r="H4889" s="8">
        <v>23224</v>
      </c>
    </row>
    <row r="4890" spans="2:8" ht="17.5" customHeight="1" x14ac:dyDescent="0.4">
      <c r="B4890" t="s">
        <v>7</v>
      </c>
      <c r="C4890" t="s">
        <v>990</v>
      </c>
      <c r="D4890" s="7">
        <f>DATE(2016,8,17)</f>
        <v>42599</v>
      </c>
      <c r="E4890" s="8">
        <f t="shared" si="80"/>
        <v>2016</v>
      </c>
      <c r="F4890" t="s">
        <v>991</v>
      </c>
      <c r="G4890" s="9">
        <v>45221.95</v>
      </c>
      <c r="H4890" s="8">
        <v>22560</v>
      </c>
    </row>
    <row r="4891" spans="2:8" ht="17.5" customHeight="1" x14ac:dyDescent="0.4">
      <c r="B4891" t="s">
        <v>7</v>
      </c>
      <c r="C4891" t="s">
        <v>990</v>
      </c>
      <c r="D4891" s="7">
        <f>DATE(2017,2,1)</f>
        <v>42767</v>
      </c>
      <c r="E4891" s="8">
        <f t="shared" si="80"/>
        <v>2017</v>
      </c>
      <c r="F4891" t="s">
        <v>991</v>
      </c>
      <c r="G4891" s="9">
        <v>5184.32</v>
      </c>
      <c r="H4891" s="8">
        <v>24020</v>
      </c>
    </row>
    <row r="4892" spans="2:8" ht="17.5" customHeight="1" x14ac:dyDescent="0.4">
      <c r="B4892" t="s">
        <v>7</v>
      </c>
      <c r="C4892" t="s">
        <v>990</v>
      </c>
      <c r="D4892" s="7">
        <f>DATE(2017,2,27)</f>
        <v>42793</v>
      </c>
      <c r="E4892" s="8">
        <f t="shared" si="80"/>
        <v>2017</v>
      </c>
      <c r="F4892" t="s">
        <v>991</v>
      </c>
      <c r="G4892" s="9">
        <v>3462.16</v>
      </c>
      <c r="H4892" s="8">
        <v>24021</v>
      </c>
    </row>
    <row r="4893" spans="2:8" ht="17.5" customHeight="1" x14ac:dyDescent="0.4">
      <c r="B4893" t="s">
        <v>7</v>
      </c>
      <c r="C4893" t="s">
        <v>990</v>
      </c>
      <c r="D4893" s="7">
        <f>DATE(2017,7,31)</f>
        <v>42947</v>
      </c>
      <c r="E4893" s="8">
        <f t="shared" si="80"/>
        <v>2017</v>
      </c>
      <c r="F4893" t="s">
        <v>991</v>
      </c>
      <c r="G4893" s="9">
        <v>58004.07</v>
      </c>
      <c r="H4893" s="8">
        <v>25336</v>
      </c>
    </row>
    <row r="4894" spans="2:8" ht="17.5" customHeight="1" x14ac:dyDescent="0.4">
      <c r="B4894" t="s">
        <v>7</v>
      </c>
      <c r="C4894" t="s">
        <v>990</v>
      </c>
      <c r="D4894" s="7">
        <f>DATE(2017,7,31)</f>
        <v>42947</v>
      </c>
      <c r="E4894" s="8">
        <f t="shared" si="80"/>
        <v>2017</v>
      </c>
      <c r="F4894" t="s">
        <v>991</v>
      </c>
      <c r="G4894" s="9">
        <v>50123.96</v>
      </c>
      <c r="H4894" s="8">
        <v>25340</v>
      </c>
    </row>
    <row r="4895" spans="2:8" ht="17.5" customHeight="1" x14ac:dyDescent="0.4">
      <c r="B4895" t="s">
        <v>7</v>
      </c>
      <c r="C4895" t="s">
        <v>990</v>
      </c>
      <c r="D4895" s="7">
        <f>DATE(2017,8,8)</f>
        <v>42955</v>
      </c>
      <c r="E4895" s="8">
        <f t="shared" si="80"/>
        <v>2017</v>
      </c>
      <c r="F4895" t="s">
        <v>991</v>
      </c>
      <c r="G4895" s="9">
        <v>60864.4</v>
      </c>
      <c r="H4895" s="8">
        <v>24959</v>
      </c>
    </row>
    <row r="4896" spans="2:8" ht="17.5" customHeight="1" x14ac:dyDescent="0.4">
      <c r="B4896" t="s">
        <v>7</v>
      </c>
      <c r="C4896" t="s">
        <v>990</v>
      </c>
      <c r="D4896" s="7">
        <f>DATE(2017,8,8)</f>
        <v>42955</v>
      </c>
      <c r="E4896" s="8">
        <f t="shared" si="80"/>
        <v>2017</v>
      </c>
      <c r="F4896" t="s">
        <v>991</v>
      </c>
      <c r="G4896" s="9">
        <v>2283.84</v>
      </c>
      <c r="H4896" s="8">
        <v>25302</v>
      </c>
    </row>
    <row r="4897" spans="2:8" ht="17.5" customHeight="1" x14ac:dyDescent="0.4">
      <c r="B4897" t="s">
        <v>7</v>
      </c>
      <c r="C4897" t="s">
        <v>990</v>
      </c>
      <c r="D4897" s="7">
        <f>DATE(2017,11,8)</f>
        <v>43047</v>
      </c>
      <c r="E4897" s="8">
        <f t="shared" si="80"/>
        <v>2017</v>
      </c>
      <c r="F4897" t="s">
        <v>991</v>
      </c>
      <c r="G4897" s="9">
        <v>2251.4499999999998</v>
      </c>
      <c r="H4897" s="8">
        <v>25824</v>
      </c>
    </row>
    <row r="4898" spans="2:8" ht="17.5" customHeight="1" x14ac:dyDescent="0.4">
      <c r="B4898" t="s">
        <v>7</v>
      </c>
      <c r="C4898" t="s">
        <v>990</v>
      </c>
      <c r="D4898" s="7">
        <f>DATE(2018,1,2)</f>
        <v>43102</v>
      </c>
      <c r="E4898" s="8">
        <f t="shared" si="80"/>
        <v>2018</v>
      </c>
      <c r="F4898" t="s">
        <v>991</v>
      </c>
      <c r="G4898" s="9">
        <v>2773.1</v>
      </c>
      <c r="H4898" s="8">
        <v>26027</v>
      </c>
    </row>
    <row r="4899" spans="2:8" ht="17.5" customHeight="1" x14ac:dyDescent="0.4">
      <c r="B4899" t="s">
        <v>7</v>
      </c>
      <c r="C4899" t="s">
        <v>990</v>
      </c>
      <c r="D4899" s="7">
        <f>DATE(2018,5,24)</f>
        <v>43244</v>
      </c>
      <c r="E4899" s="8">
        <f t="shared" si="80"/>
        <v>2018</v>
      </c>
      <c r="F4899" t="s">
        <v>991</v>
      </c>
      <c r="G4899" s="9">
        <v>30034.18</v>
      </c>
      <c r="H4899" s="8">
        <v>26847</v>
      </c>
    </row>
    <row r="4900" spans="2:8" ht="17.5" customHeight="1" x14ac:dyDescent="0.4">
      <c r="B4900" t="s">
        <v>7</v>
      </c>
      <c r="C4900" t="s">
        <v>990</v>
      </c>
      <c r="D4900" s="7">
        <f>DATE(2018,6,29)</f>
        <v>43280</v>
      </c>
      <c r="E4900" s="8">
        <f t="shared" si="80"/>
        <v>2018</v>
      </c>
      <c r="F4900" t="s">
        <v>991</v>
      </c>
      <c r="G4900" s="9">
        <v>33288.32</v>
      </c>
      <c r="H4900" s="8">
        <v>27308</v>
      </c>
    </row>
    <row r="4901" spans="2:8" ht="17.5" customHeight="1" x14ac:dyDescent="0.4">
      <c r="B4901" t="s">
        <v>7</v>
      </c>
      <c r="C4901" t="s">
        <v>990</v>
      </c>
      <c r="D4901" s="7">
        <f>DATE(2018,7,12)</f>
        <v>43293</v>
      </c>
      <c r="E4901" s="8">
        <f t="shared" si="80"/>
        <v>2018</v>
      </c>
      <c r="F4901" t="s">
        <v>991</v>
      </c>
      <c r="G4901" s="9">
        <v>28835.88</v>
      </c>
      <c r="H4901" s="8">
        <v>27364</v>
      </c>
    </row>
    <row r="4902" spans="2:8" ht="17.5" customHeight="1" x14ac:dyDescent="0.4">
      <c r="B4902" t="s">
        <v>7</v>
      </c>
      <c r="C4902" t="s">
        <v>990</v>
      </c>
      <c r="D4902" s="7">
        <f>DATE(2018,7,26)</f>
        <v>43307</v>
      </c>
      <c r="E4902" s="8">
        <f t="shared" si="80"/>
        <v>2018</v>
      </c>
      <c r="F4902" t="s">
        <v>991</v>
      </c>
      <c r="G4902" s="9">
        <v>31882.23</v>
      </c>
      <c r="H4902" s="8">
        <v>27407</v>
      </c>
    </row>
    <row r="4903" spans="2:8" ht="17.5" customHeight="1" x14ac:dyDescent="0.4">
      <c r="B4903" t="s">
        <v>7</v>
      </c>
      <c r="C4903" t="s">
        <v>990</v>
      </c>
      <c r="D4903" s="7">
        <f>DATE(2018,8,9)</f>
        <v>43321</v>
      </c>
      <c r="E4903" s="8">
        <f t="shared" si="80"/>
        <v>2018</v>
      </c>
      <c r="F4903" t="s">
        <v>991</v>
      </c>
      <c r="G4903" s="9">
        <v>21964.74</v>
      </c>
      <c r="H4903" s="8">
        <v>27086</v>
      </c>
    </row>
    <row r="4904" spans="2:8" ht="17.5" customHeight="1" x14ac:dyDescent="0.4">
      <c r="B4904" t="s">
        <v>7</v>
      </c>
      <c r="C4904" t="s">
        <v>990</v>
      </c>
      <c r="D4904" s="7">
        <f>DATE(2019,4,30)</f>
        <v>43585</v>
      </c>
      <c r="E4904" s="8">
        <f t="shared" si="80"/>
        <v>2019</v>
      </c>
      <c r="F4904" t="s">
        <v>991</v>
      </c>
      <c r="G4904" s="9">
        <v>8798.8700000000008</v>
      </c>
      <c r="H4904" s="8">
        <v>28542</v>
      </c>
    </row>
    <row r="4905" spans="2:8" ht="17.5" customHeight="1" x14ac:dyDescent="0.4">
      <c r="B4905" t="s">
        <v>7</v>
      </c>
      <c r="C4905" t="s">
        <v>990</v>
      </c>
      <c r="D4905" s="7">
        <f>DATE(2019,4,30)</f>
        <v>43585</v>
      </c>
      <c r="E4905" s="8">
        <f t="shared" si="80"/>
        <v>2019</v>
      </c>
      <c r="F4905" t="s">
        <v>991</v>
      </c>
      <c r="G4905" s="9">
        <v>33805.07</v>
      </c>
      <c r="H4905" s="8">
        <v>28485</v>
      </c>
    </row>
    <row r="4906" spans="2:8" ht="17.5" customHeight="1" x14ac:dyDescent="0.4">
      <c r="B4906" t="s">
        <v>16</v>
      </c>
      <c r="C4906" t="s">
        <v>990</v>
      </c>
      <c r="D4906" s="7">
        <f>DATE(2018,5,10)</f>
        <v>43230</v>
      </c>
      <c r="E4906" s="8">
        <f t="shared" si="80"/>
        <v>2018</v>
      </c>
      <c r="F4906" t="s">
        <v>991</v>
      </c>
      <c r="G4906" s="9">
        <v>586.32000000000005</v>
      </c>
      <c r="H4906" s="8">
        <v>27055</v>
      </c>
    </row>
    <row r="4907" spans="2:8" ht="17.5" customHeight="1" x14ac:dyDescent="0.4">
      <c r="B4907" t="s">
        <v>16</v>
      </c>
      <c r="C4907" t="s">
        <v>990</v>
      </c>
      <c r="D4907" s="7">
        <f>DATE(2015,8,25)</f>
        <v>42241</v>
      </c>
      <c r="E4907" s="8">
        <f t="shared" si="80"/>
        <v>2015</v>
      </c>
      <c r="F4907" t="s">
        <v>991</v>
      </c>
      <c r="G4907" s="9">
        <v>4058.17</v>
      </c>
      <c r="H4907" s="8">
        <v>21138</v>
      </c>
    </row>
    <row r="4908" spans="2:8" ht="17.5" customHeight="1" x14ac:dyDescent="0.4">
      <c r="B4908" t="s">
        <v>16</v>
      </c>
      <c r="C4908" t="s">
        <v>990</v>
      </c>
      <c r="D4908" s="7">
        <f>DATE(2018,10,12)</f>
        <v>43385</v>
      </c>
      <c r="E4908" s="8">
        <f t="shared" si="80"/>
        <v>2018</v>
      </c>
      <c r="F4908" t="s">
        <v>991</v>
      </c>
      <c r="G4908" s="9">
        <v>138.32</v>
      </c>
      <c r="H4908" s="8">
        <v>27812</v>
      </c>
    </row>
    <row r="4909" spans="2:8" ht="17.5" customHeight="1" x14ac:dyDescent="0.4">
      <c r="B4909" t="s">
        <v>7</v>
      </c>
      <c r="C4909" t="s">
        <v>990</v>
      </c>
      <c r="D4909" s="7">
        <f>DATE(2007,2,15)</f>
        <v>39128</v>
      </c>
      <c r="E4909" s="8">
        <f t="shared" si="80"/>
        <v>2007</v>
      </c>
      <c r="F4909" t="s">
        <v>991</v>
      </c>
      <c r="G4909" s="9">
        <v>2086.25</v>
      </c>
      <c r="H4909" s="8">
        <v>5671</v>
      </c>
    </row>
    <row r="4910" spans="2:8" ht="17.5" customHeight="1" x14ac:dyDescent="0.4">
      <c r="B4910" t="s">
        <v>7</v>
      </c>
      <c r="C4910" t="s">
        <v>990</v>
      </c>
      <c r="D4910" s="7">
        <f>DATE(2007,10,17)</f>
        <v>39372</v>
      </c>
      <c r="E4910" s="8">
        <f t="shared" si="80"/>
        <v>2007</v>
      </c>
      <c r="F4910" t="s">
        <v>991</v>
      </c>
      <c r="G4910" s="9">
        <v>435.2</v>
      </c>
      <c r="H4910" s="8">
        <v>6503</v>
      </c>
    </row>
    <row r="4911" spans="2:8" ht="17.5" customHeight="1" x14ac:dyDescent="0.4">
      <c r="B4911" t="s">
        <v>7</v>
      </c>
      <c r="C4911" t="s">
        <v>990</v>
      </c>
      <c r="D4911" s="7">
        <f>DATE(2008,1,16)</f>
        <v>39463</v>
      </c>
      <c r="E4911" s="8">
        <f t="shared" si="80"/>
        <v>2008</v>
      </c>
      <c r="F4911" t="s">
        <v>991</v>
      </c>
      <c r="G4911" s="9">
        <v>30260</v>
      </c>
      <c r="H4911" s="8">
        <v>6500</v>
      </c>
    </row>
    <row r="4912" spans="2:8" ht="17.5" customHeight="1" x14ac:dyDescent="0.4">
      <c r="B4912" t="s">
        <v>7</v>
      </c>
      <c r="C4912" t="s">
        <v>990</v>
      </c>
      <c r="D4912" s="7">
        <f>DATE(2008,3,10)</f>
        <v>39517</v>
      </c>
      <c r="E4912" s="8">
        <f t="shared" si="80"/>
        <v>2008</v>
      </c>
      <c r="F4912" t="s">
        <v>991</v>
      </c>
      <c r="G4912" s="9">
        <v>335</v>
      </c>
      <c r="H4912" s="8">
        <v>7133</v>
      </c>
    </row>
    <row r="4913" spans="2:8" ht="17.5" customHeight="1" x14ac:dyDescent="0.4">
      <c r="B4913" t="s">
        <v>7</v>
      </c>
      <c r="C4913" t="s">
        <v>990</v>
      </c>
      <c r="D4913" s="7">
        <f>DATE(2008,3,28)</f>
        <v>39535</v>
      </c>
      <c r="E4913" s="8">
        <f t="shared" si="80"/>
        <v>2008</v>
      </c>
      <c r="F4913" t="s">
        <v>991</v>
      </c>
      <c r="G4913" s="9">
        <v>1309.1300000000001</v>
      </c>
      <c r="H4913" s="8">
        <v>6501</v>
      </c>
    </row>
    <row r="4914" spans="2:8" ht="17.5" customHeight="1" x14ac:dyDescent="0.4">
      <c r="B4914" t="s">
        <v>7</v>
      </c>
      <c r="C4914" t="s">
        <v>990</v>
      </c>
      <c r="D4914" s="7">
        <f>DATE(2008,3,28)</f>
        <v>39535</v>
      </c>
      <c r="E4914" s="8">
        <f t="shared" si="80"/>
        <v>2008</v>
      </c>
      <c r="F4914" t="s">
        <v>991</v>
      </c>
      <c r="G4914" s="9">
        <v>5244.13</v>
      </c>
      <c r="H4914" s="8">
        <v>6538</v>
      </c>
    </row>
    <row r="4915" spans="2:8" ht="17.5" customHeight="1" x14ac:dyDescent="0.4">
      <c r="B4915" t="s">
        <v>7</v>
      </c>
      <c r="C4915" t="s">
        <v>990</v>
      </c>
      <c r="D4915" s="7">
        <f>DATE(2008,4,1)</f>
        <v>39539</v>
      </c>
      <c r="E4915" s="8">
        <f t="shared" si="80"/>
        <v>2008</v>
      </c>
      <c r="F4915" t="s">
        <v>991</v>
      </c>
      <c r="G4915" s="9">
        <v>400</v>
      </c>
      <c r="H4915" s="8">
        <v>7402</v>
      </c>
    </row>
    <row r="4916" spans="2:8" ht="17.5" customHeight="1" x14ac:dyDescent="0.4">
      <c r="B4916" t="s">
        <v>7</v>
      </c>
      <c r="C4916" t="s">
        <v>990</v>
      </c>
      <c r="D4916" s="7">
        <f>DATE(2008,6,6)</f>
        <v>39605</v>
      </c>
      <c r="E4916" s="8">
        <f t="shared" si="80"/>
        <v>2008</v>
      </c>
      <c r="F4916" t="s">
        <v>991</v>
      </c>
      <c r="G4916" s="9">
        <v>3545</v>
      </c>
      <c r="H4916" s="8">
        <v>7490</v>
      </c>
    </row>
    <row r="4917" spans="2:8" ht="17.5" customHeight="1" x14ac:dyDescent="0.4">
      <c r="B4917" t="s">
        <v>7</v>
      </c>
      <c r="C4917" t="s">
        <v>990</v>
      </c>
      <c r="D4917" s="7">
        <f>DATE(2008,9,17)</f>
        <v>39708</v>
      </c>
      <c r="E4917" s="8">
        <f t="shared" si="80"/>
        <v>2008</v>
      </c>
      <c r="F4917" t="s">
        <v>991</v>
      </c>
      <c r="G4917" s="9">
        <v>1485</v>
      </c>
      <c r="H4917" s="8">
        <v>7831</v>
      </c>
    </row>
    <row r="4918" spans="2:8" ht="17.5" customHeight="1" x14ac:dyDescent="0.4">
      <c r="B4918" t="s">
        <v>7</v>
      </c>
      <c r="C4918" t="s">
        <v>990</v>
      </c>
      <c r="D4918" s="7">
        <f>DATE(2008,9,23)</f>
        <v>39714</v>
      </c>
      <c r="E4918" s="8">
        <f t="shared" si="80"/>
        <v>2008</v>
      </c>
      <c r="F4918" t="s">
        <v>991</v>
      </c>
      <c r="G4918" s="9">
        <v>2255</v>
      </c>
      <c r="H4918" s="8">
        <v>7841</v>
      </c>
    </row>
    <row r="4919" spans="2:8" ht="17.5" customHeight="1" x14ac:dyDescent="0.4">
      <c r="B4919" t="s">
        <v>7</v>
      </c>
      <c r="C4919" t="s">
        <v>990</v>
      </c>
      <c r="D4919" s="7">
        <f>DATE(2009,1,14)</f>
        <v>39827</v>
      </c>
      <c r="E4919" s="8">
        <f t="shared" si="80"/>
        <v>2009</v>
      </c>
      <c r="F4919" t="s">
        <v>991</v>
      </c>
      <c r="G4919" s="9">
        <v>23089.95</v>
      </c>
      <c r="H4919" s="8">
        <v>7897</v>
      </c>
    </row>
    <row r="4920" spans="2:8" ht="17.5" customHeight="1" x14ac:dyDescent="0.4">
      <c r="B4920" t="s">
        <v>7</v>
      </c>
      <c r="C4920" t="s">
        <v>990</v>
      </c>
      <c r="D4920" s="7">
        <f>DATE(2009,3,23)</f>
        <v>39895</v>
      </c>
      <c r="E4920" s="8">
        <f t="shared" si="80"/>
        <v>2009</v>
      </c>
      <c r="F4920" t="s">
        <v>991</v>
      </c>
      <c r="G4920" s="9">
        <v>765</v>
      </c>
      <c r="H4920" s="8">
        <v>8534</v>
      </c>
    </row>
    <row r="4921" spans="2:8" ht="17.5" customHeight="1" x14ac:dyDescent="0.4">
      <c r="B4921" t="s">
        <v>7</v>
      </c>
      <c r="C4921" t="s">
        <v>990</v>
      </c>
      <c r="D4921" s="7">
        <f>DATE(2009,3,23)</f>
        <v>39895</v>
      </c>
      <c r="E4921" s="8">
        <f t="shared" si="80"/>
        <v>2009</v>
      </c>
      <c r="F4921" t="s">
        <v>991</v>
      </c>
      <c r="G4921" s="9">
        <v>796.8</v>
      </c>
      <c r="H4921" s="8">
        <v>8184</v>
      </c>
    </row>
    <row r="4922" spans="2:8" ht="17.5" customHeight="1" x14ac:dyDescent="0.4">
      <c r="B4922" t="s">
        <v>7</v>
      </c>
      <c r="C4922" t="s">
        <v>990</v>
      </c>
      <c r="D4922" s="7">
        <f>DATE(2009,4,21)</f>
        <v>39924</v>
      </c>
      <c r="E4922" s="8">
        <f t="shared" si="80"/>
        <v>2009</v>
      </c>
      <c r="F4922" t="s">
        <v>991</v>
      </c>
      <c r="G4922" s="9">
        <v>4004.3</v>
      </c>
      <c r="H4922" s="8">
        <v>8651</v>
      </c>
    </row>
    <row r="4923" spans="2:8" ht="17.5" customHeight="1" x14ac:dyDescent="0.4">
      <c r="B4923" t="s">
        <v>7</v>
      </c>
      <c r="C4923" t="s">
        <v>990</v>
      </c>
      <c r="D4923" s="7">
        <f>DATE(2009,5,22)</f>
        <v>39955</v>
      </c>
      <c r="E4923" s="8">
        <f t="shared" si="80"/>
        <v>2009</v>
      </c>
      <c r="F4923" t="s">
        <v>991</v>
      </c>
      <c r="G4923" s="9">
        <v>4174.5</v>
      </c>
      <c r="H4923" s="8">
        <v>8749</v>
      </c>
    </row>
    <row r="4924" spans="2:8" ht="17.5" customHeight="1" x14ac:dyDescent="0.4">
      <c r="B4924" t="s">
        <v>7</v>
      </c>
      <c r="C4924" t="s">
        <v>990</v>
      </c>
      <c r="D4924" s="7">
        <f>DATE(2009,5,29)</f>
        <v>39962</v>
      </c>
      <c r="E4924" s="8">
        <f t="shared" si="80"/>
        <v>2009</v>
      </c>
      <c r="F4924" t="s">
        <v>991</v>
      </c>
      <c r="G4924" s="9">
        <v>2783</v>
      </c>
      <c r="H4924" s="8">
        <v>8771</v>
      </c>
    </row>
    <row r="4925" spans="2:8" ht="17.5" customHeight="1" x14ac:dyDescent="0.4">
      <c r="B4925" t="s">
        <v>7</v>
      </c>
      <c r="C4925" t="s">
        <v>990</v>
      </c>
      <c r="D4925" s="7">
        <f>DATE(2009,6,10)</f>
        <v>39974</v>
      </c>
      <c r="E4925" s="8">
        <f t="shared" si="80"/>
        <v>2009</v>
      </c>
      <c r="F4925" t="s">
        <v>991</v>
      </c>
      <c r="G4925" s="9">
        <v>34084</v>
      </c>
      <c r="H4925" s="8">
        <v>8728</v>
      </c>
    </row>
    <row r="4926" spans="2:8" ht="17.5" customHeight="1" x14ac:dyDescent="0.4">
      <c r="B4926" t="s">
        <v>7</v>
      </c>
      <c r="C4926" t="s">
        <v>990</v>
      </c>
      <c r="D4926" s="7">
        <f>DATE(2009,8,11)</f>
        <v>40036</v>
      </c>
      <c r="E4926" s="8">
        <f t="shared" si="80"/>
        <v>2009</v>
      </c>
      <c r="F4926" t="s">
        <v>991</v>
      </c>
      <c r="G4926" s="9">
        <v>1240</v>
      </c>
      <c r="H4926" s="8">
        <v>8966</v>
      </c>
    </row>
    <row r="4927" spans="2:8" ht="17.5" customHeight="1" x14ac:dyDescent="0.4">
      <c r="B4927" t="s">
        <v>7</v>
      </c>
      <c r="C4927" t="s">
        <v>990</v>
      </c>
      <c r="D4927" s="7">
        <f>DATE(2009,11,13)</f>
        <v>40130</v>
      </c>
      <c r="E4927" s="8">
        <f t="shared" si="80"/>
        <v>2009</v>
      </c>
      <c r="F4927" t="s">
        <v>991</v>
      </c>
      <c r="G4927" s="9">
        <v>5850</v>
      </c>
      <c r="H4927" s="8">
        <v>9025</v>
      </c>
    </row>
    <row r="4928" spans="2:8" ht="17.5" customHeight="1" x14ac:dyDescent="0.4">
      <c r="B4928" t="s">
        <v>7</v>
      </c>
      <c r="C4928" t="s">
        <v>990</v>
      </c>
      <c r="D4928" s="7">
        <f>DATE(2010,4,23)</f>
        <v>40291</v>
      </c>
      <c r="E4928" s="8">
        <f t="shared" si="80"/>
        <v>2010</v>
      </c>
      <c r="F4928" t="s">
        <v>991</v>
      </c>
      <c r="G4928" s="9">
        <v>190</v>
      </c>
      <c r="H4928" s="8">
        <v>9792</v>
      </c>
    </row>
    <row r="4929" spans="2:8" ht="17.5" customHeight="1" x14ac:dyDescent="0.4">
      <c r="B4929" t="s">
        <v>7</v>
      </c>
      <c r="C4929" t="s">
        <v>990</v>
      </c>
      <c r="D4929" s="7">
        <f>DATE(2010,5,12)</f>
        <v>40310</v>
      </c>
      <c r="E4929" s="8">
        <f t="shared" si="80"/>
        <v>2010</v>
      </c>
      <c r="F4929" t="s">
        <v>991</v>
      </c>
      <c r="G4929" s="9">
        <v>4190</v>
      </c>
      <c r="H4929" s="8">
        <v>9857</v>
      </c>
    </row>
    <row r="4930" spans="2:8" ht="17.5" customHeight="1" x14ac:dyDescent="0.4">
      <c r="B4930" t="s">
        <v>7</v>
      </c>
      <c r="C4930" t="s">
        <v>990</v>
      </c>
      <c r="D4930" s="7">
        <f>DATE(2010,6,18)</f>
        <v>40347</v>
      </c>
      <c r="E4930" s="8">
        <f t="shared" si="80"/>
        <v>2010</v>
      </c>
      <c r="F4930" t="s">
        <v>991</v>
      </c>
      <c r="G4930" s="9">
        <v>2240</v>
      </c>
      <c r="H4930" s="8">
        <v>9937</v>
      </c>
    </row>
    <row r="4931" spans="2:8" ht="17.5" customHeight="1" x14ac:dyDescent="0.4">
      <c r="B4931" t="s">
        <v>7</v>
      </c>
      <c r="C4931" t="s">
        <v>990</v>
      </c>
      <c r="D4931" s="7">
        <f>DATE(2010,10,29)</f>
        <v>40480</v>
      </c>
      <c r="E4931" s="8">
        <f t="shared" ref="E4931:E4994" si="81">YEAR(D4931)</f>
        <v>2010</v>
      </c>
      <c r="F4931" t="s">
        <v>991</v>
      </c>
      <c r="G4931" s="9">
        <v>1565</v>
      </c>
      <c r="H4931" s="8">
        <v>10232</v>
      </c>
    </row>
    <row r="4932" spans="2:8" ht="17.5" customHeight="1" x14ac:dyDescent="0.4">
      <c r="B4932" t="s">
        <v>7</v>
      </c>
      <c r="C4932" t="s">
        <v>990</v>
      </c>
      <c r="D4932" s="7">
        <f>DATE(2012,1,12)</f>
        <v>40920</v>
      </c>
      <c r="E4932" s="8">
        <f t="shared" si="81"/>
        <v>2012</v>
      </c>
      <c r="F4932" t="s">
        <v>991</v>
      </c>
      <c r="G4932" s="9">
        <v>3755</v>
      </c>
      <c r="H4932" s="8">
        <v>10835</v>
      </c>
    </row>
    <row r="4933" spans="2:8" ht="17.5" customHeight="1" x14ac:dyDescent="0.4">
      <c r="B4933" t="s">
        <v>7</v>
      </c>
      <c r="C4933" t="s">
        <v>990</v>
      </c>
      <c r="D4933" s="7">
        <f>DATE(2012,9,13)</f>
        <v>41165</v>
      </c>
      <c r="E4933" s="8">
        <f t="shared" si="81"/>
        <v>2012</v>
      </c>
      <c r="F4933" t="s">
        <v>991</v>
      </c>
      <c r="G4933" s="9">
        <v>58.9</v>
      </c>
      <c r="H4933" s="8">
        <v>11870</v>
      </c>
    </row>
    <row r="4934" spans="2:8" ht="17.5" customHeight="1" x14ac:dyDescent="0.4">
      <c r="B4934" t="s">
        <v>7</v>
      </c>
      <c r="C4934" t="s">
        <v>990</v>
      </c>
      <c r="D4934" s="7">
        <f>DATE(2012,11,30)</f>
        <v>41243</v>
      </c>
      <c r="E4934" s="8">
        <f t="shared" si="81"/>
        <v>2012</v>
      </c>
      <c r="F4934" t="s">
        <v>991</v>
      </c>
      <c r="G4934" s="9">
        <v>1390</v>
      </c>
      <c r="H4934" s="8">
        <v>11923</v>
      </c>
    </row>
    <row r="4935" spans="2:8" ht="17.5" customHeight="1" x14ac:dyDescent="0.4">
      <c r="B4935" t="s">
        <v>7</v>
      </c>
      <c r="C4935" t="s">
        <v>990</v>
      </c>
      <c r="D4935" s="7">
        <f>DATE(2012,12,11)</f>
        <v>41254</v>
      </c>
      <c r="E4935" s="8">
        <f t="shared" si="81"/>
        <v>2012</v>
      </c>
      <c r="F4935" t="s">
        <v>991</v>
      </c>
      <c r="G4935" s="9">
        <v>320</v>
      </c>
      <c r="H4935" s="8">
        <v>12038</v>
      </c>
    </row>
    <row r="4936" spans="2:8" ht="17.5" customHeight="1" x14ac:dyDescent="0.4">
      <c r="B4936" t="s">
        <v>7</v>
      </c>
      <c r="C4936" t="s">
        <v>990</v>
      </c>
      <c r="D4936" s="7">
        <f>DATE(2013,4,1)</f>
        <v>41365</v>
      </c>
      <c r="E4936" s="8">
        <f t="shared" si="81"/>
        <v>2013</v>
      </c>
      <c r="F4936" t="s">
        <v>991</v>
      </c>
      <c r="G4936" s="9">
        <v>2700</v>
      </c>
      <c r="H4936" s="8">
        <v>12367</v>
      </c>
    </row>
    <row r="4937" spans="2:8" ht="17.5" customHeight="1" x14ac:dyDescent="0.4">
      <c r="B4937" t="s">
        <v>7</v>
      </c>
      <c r="C4937" t="s">
        <v>990</v>
      </c>
      <c r="D4937" s="7">
        <f>DATE(2013,4,30)</f>
        <v>41394</v>
      </c>
      <c r="E4937" s="8">
        <f t="shared" si="81"/>
        <v>2013</v>
      </c>
      <c r="F4937" t="s">
        <v>991</v>
      </c>
      <c r="G4937" s="9">
        <v>7460</v>
      </c>
      <c r="H4937" s="8">
        <v>12331</v>
      </c>
    </row>
    <row r="4938" spans="2:8" ht="17.5" customHeight="1" x14ac:dyDescent="0.4">
      <c r="B4938" t="s">
        <v>7</v>
      </c>
      <c r="C4938" t="s">
        <v>990</v>
      </c>
      <c r="D4938" s="7">
        <f>DATE(2013,7,3)</f>
        <v>41458</v>
      </c>
      <c r="E4938" s="8">
        <f t="shared" si="81"/>
        <v>2013</v>
      </c>
      <c r="F4938" t="s">
        <v>991</v>
      </c>
      <c r="G4938" s="9">
        <v>620</v>
      </c>
      <c r="H4938" s="8">
        <v>12517</v>
      </c>
    </row>
    <row r="4939" spans="2:8" ht="17.5" customHeight="1" x14ac:dyDescent="0.4">
      <c r="B4939" t="s">
        <v>7</v>
      </c>
      <c r="C4939" t="s">
        <v>990</v>
      </c>
      <c r="D4939" s="7">
        <f>DATE(2014,7,29)</f>
        <v>41849</v>
      </c>
      <c r="E4939" s="8">
        <f t="shared" si="81"/>
        <v>2014</v>
      </c>
      <c r="F4939" t="s">
        <v>991</v>
      </c>
      <c r="G4939" s="9">
        <v>264</v>
      </c>
      <c r="H4939" s="8">
        <v>13363</v>
      </c>
    </row>
    <row r="4940" spans="2:8" ht="17.5" customHeight="1" x14ac:dyDescent="0.4">
      <c r="B4940" t="s">
        <v>7</v>
      </c>
      <c r="C4940" t="s">
        <v>990</v>
      </c>
      <c r="D4940" s="7">
        <f>DATE(2010,4,23)</f>
        <v>40291</v>
      </c>
      <c r="E4940" s="8">
        <f t="shared" si="81"/>
        <v>2010</v>
      </c>
      <c r="F4940" t="s">
        <v>991</v>
      </c>
      <c r="G4940" s="9">
        <v>1860</v>
      </c>
      <c r="H4940" s="8">
        <v>9797</v>
      </c>
    </row>
    <row r="4941" spans="2:8" ht="17.5" customHeight="1" x14ac:dyDescent="0.4">
      <c r="B4941" t="s">
        <v>7</v>
      </c>
      <c r="C4941" t="s">
        <v>990</v>
      </c>
      <c r="D4941" s="7">
        <f>DATE(2010,6,29)</f>
        <v>40358</v>
      </c>
      <c r="E4941" s="8">
        <f t="shared" si="81"/>
        <v>2010</v>
      </c>
      <c r="F4941" t="s">
        <v>991</v>
      </c>
      <c r="G4941" s="9">
        <v>557.6</v>
      </c>
      <c r="H4941" s="8">
        <v>9860</v>
      </c>
    </row>
    <row r="4942" spans="2:8" ht="17.5" customHeight="1" x14ac:dyDescent="0.4">
      <c r="B4942" t="s">
        <v>7</v>
      </c>
      <c r="C4942" t="s">
        <v>990</v>
      </c>
      <c r="D4942" s="7">
        <f>DATE(2010,6,29)</f>
        <v>40358</v>
      </c>
      <c r="E4942" s="8">
        <f t="shared" si="81"/>
        <v>2010</v>
      </c>
      <c r="F4942" t="s">
        <v>991</v>
      </c>
      <c r="G4942" s="9">
        <v>2037.45</v>
      </c>
      <c r="H4942" s="8">
        <v>9861</v>
      </c>
    </row>
    <row r="4943" spans="2:8" ht="17.5" customHeight="1" x14ac:dyDescent="0.4">
      <c r="B4943" t="s">
        <v>7</v>
      </c>
      <c r="C4943" t="s">
        <v>990</v>
      </c>
      <c r="D4943" s="7">
        <f>DATE(2010,10,29)</f>
        <v>40480</v>
      </c>
      <c r="E4943" s="8">
        <f t="shared" si="81"/>
        <v>2010</v>
      </c>
      <c r="F4943" t="s">
        <v>991</v>
      </c>
      <c r="G4943" s="9">
        <v>12137.02</v>
      </c>
      <c r="H4943" s="8">
        <v>10242</v>
      </c>
    </row>
    <row r="4944" spans="2:8" ht="17.5" customHeight="1" x14ac:dyDescent="0.4">
      <c r="B4944" t="s">
        <v>7</v>
      </c>
      <c r="C4944" t="s">
        <v>990</v>
      </c>
      <c r="D4944" s="7">
        <f>DATE(2010,11,16)</f>
        <v>40498</v>
      </c>
      <c r="E4944" s="8">
        <f t="shared" si="81"/>
        <v>2010</v>
      </c>
      <c r="F4944" t="s">
        <v>991</v>
      </c>
      <c r="G4944" s="9">
        <v>1428.85</v>
      </c>
      <c r="H4944" s="8">
        <v>10166</v>
      </c>
    </row>
    <row r="4945" spans="2:8" ht="17.5" customHeight="1" x14ac:dyDescent="0.4">
      <c r="B4945" t="s">
        <v>7</v>
      </c>
      <c r="C4945" t="s">
        <v>990</v>
      </c>
      <c r="D4945" s="7">
        <f>DATE(2010,11,16)</f>
        <v>40498</v>
      </c>
      <c r="E4945" s="8">
        <f t="shared" si="81"/>
        <v>2010</v>
      </c>
      <c r="F4945" t="s">
        <v>991</v>
      </c>
      <c r="G4945" s="9">
        <v>975.8</v>
      </c>
      <c r="H4945" s="8">
        <v>10212</v>
      </c>
    </row>
    <row r="4946" spans="2:8" ht="17.5" customHeight="1" x14ac:dyDescent="0.4">
      <c r="B4946" t="s">
        <v>7</v>
      </c>
      <c r="C4946" t="s">
        <v>990</v>
      </c>
      <c r="D4946" s="7">
        <f>DATE(2010,11,29)</f>
        <v>40511</v>
      </c>
      <c r="E4946" s="8">
        <f t="shared" si="81"/>
        <v>2010</v>
      </c>
      <c r="F4946" t="s">
        <v>991</v>
      </c>
      <c r="G4946" s="9">
        <v>3392.5</v>
      </c>
      <c r="H4946" s="8">
        <v>10092</v>
      </c>
    </row>
    <row r="4947" spans="2:8" ht="17.5" customHeight="1" x14ac:dyDescent="0.4">
      <c r="B4947" t="s">
        <v>7</v>
      </c>
      <c r="C4947" t="s">
        <v>990</v>
      </c>
      <c r="D4947" s="7">
        <f>DATE(2011,9,26)</f>
        <v>40812</v>
      </c>
      <c r="E4947" s="8">
        <f t="shared" si="81"/>
        <v>2011</v>
      </c>
      <c r="F4947" t="s">
        <v>991</v>
      </c>
      <c r="G4947" s="9">
        <v>975.8</v>
      </c>
      <c r="H4947" s="8">
        <v>10836</v>
      </c>
    </row>
    <row r="4948" spans="2:8" ht="17.5" customHeight="1" x14ac:dyDescent="0.4">
      <c r="B4948" t="s">
        <v>7</v>
      </c>
      <c r="C4948" t="s">
        <v>990</v>
      </c>
      <c r="D4948" s="7">
        <f>DATE(2011,10,13)</f>
        <v>40829</v>
      </c>
      <c r="E4948" s="8">
        <f t="shared" si="81"/>
        <v>2011</v>
      </c>
      <c r="F4948" t="s">
        <v>991</v>
      </c>
      <c r="G4948" s="9">
        <v>50910</v>
      </c>
      <c r="H4948" s="8">
        <v>10956</v>
      </c>
    </row>
    <row r="4949" spans="2:8" ht="17.5" customHeight="1" x14ac:dyDescent="0.4">
      <c r="B4949" t="s">
        <v>7</v>
      </c>
      <c r="C4949" t="s">
        <v>990</v>
      </c>
      <c r="D4949" s="7">
        <f>DATE(2011,11,1)</f>
        <v>40848</v>
      </c>
      <c r="E4949" s="8">
        <f t="shared" si="81"/>
        <v>2011</v>
      </c>
      <c r="F4949" t="s">
        <v>991</v>
      </c>
      <c r="G4949" s="9">
        <v>36376</v>
      </c>
      <c r="H4949" s="8">
        <v>11009</v>
      </c>
    </row>
    <row r="4950" spans="2:8" ht="17.5" customHeight="1" x14ac:dyDescent="0.4">
      <c r="B4950" t="s">
        <v>7</v>
      </c>
      <c r="C4950" t="s">
        <v>990</v>
      </c>
      <c r="D4950" s="7">
        <f>DATE(2011,11,9)</f>
        <v>40856</v>
      </c>
      <c r="E4950" s="8">
        <f t="shared" si="81"/>
        <v>2011</v>
      </c>
      <c r="F4950" t="s">
        <v>991</v>
      </c>
      <c r="G4950" s="9">
        <v>166.51</v>
      </c>
      <c r="H4950" s="8">
        <v>11059</v>
      </c>
    </row>
    <row r="4951" spans="2:8" ht="17.5" customHeight="1" x14ac:dyDescent="0.4">
      <c r="B4951" t="s">
        <v>7</v>
      </c>
      <c r="C4951" t="s">
        <v>990</v>
      </c>
      <c r="D4951" s="7">
        <f>DATE(2011,11,15)</f>
        <v>40862</v>
      </c>
      <c r="E4951" s="8">
        <f t="shared" si="81"/>
        <v>2011</v>
      </c>
      <c r="F4951" t="s">
        <v>991</v>
      </c>
      <c r="G4951" s="9">
        <v>890.5</v>
      </c>
      <c r="H4951" s="8">
        <v>11134</v>
      </c>
    </row>
    <row r="4952" spans="2:8" ht="17.5" customHeight="1" x14ac:dyDescent="0.4">
      <c r="B4952" t="s">
        <v>7</v>
      </c>
      <c r="C4952" t="s">
        <v>990</v>
      </c>
      <c r="D4952" s="7">
        <f>DATE(2012,5,18)</f>
        <v>41047</v>
      </c>
      <c r="E4952" s="8">
        <f t="shared" si="81"/>
        <v>2012</v>
      </c>
      <c r="F4952" t="s">
        <v>991</v>
      </c>
      <c r="G4952" s="9">
        <v>47196.56</v>
      </c>
      <c r="H4952" s="8">
        <v>11499</v>
      </c>
    </row>
    <row r="4953" spans="2:8" ht="17.5" customHeight="1" x14ac:dyDescent="0.4">
      <c r="B4953" t="s">
        <v>7</v>
      </c>
      <c r="C4953" t="s">
        <v>990</v>
      </c>
      <c r="D4953" s="7">
        <f>DATE(2012,9,27)</f>
        <v>41179</v>
      </c>
      <c r="E4953" s="8">
        <f t="shared" si="81"/>
        <v>2012</v>
      </c>
      <c r="F4953" t="s">
        <v>991</v>
      </c>
      <c r="G4953" s="9">
        <v>33912.03</v>
      </c>
      <c r="H4953" s="8">
        <v>11773</v>
      </c>
    </row>
    <row r="4954" spans="2:8" ht="17.5" customHeight="1" x14ac:dyDescent="0.4">
      <c r="B4954" t="s">
        <v>7</v>
      </c>
      <c r="C4954" t="s">
        <v>990</v>
      </c>
      <c r="D4954" s="7">
        <f>DATE(2013,1,8)</f>
        <v>41282</v>
      </c>
      <c r="E4954" s="8">
        <f t="shared" si="81"/>
        <v>2013</v>
      </c>
      <c r="F4954" t="s">
        <v>991</v>
      </c>
      <c r="G4954" s="9">
        <v>12824.01</v>
      </c>
      <c r="H4954" s="8">
        <v>12024</v>
      </c>
    </row>
    <row r="4955" spans="2:8" ht="17.5" customHeight="1" x14ac:dyDescent="0.4">
      <c r="B4955" t="s">
        <v>7</v>
      </c>
      <c r="C4955" t="s">
        <v>990</v>
      </c>
      <c r="D4955" s="7">
        <f>DATE(2013,4,30)</f>
        <v>41394</v>
      </c>
      <c r="E4955" s="8">
        <f t="shared" si="81"/>
        <v>2013</v>
      </c>
      <c r="F4955" t="s">
        <v>991</v>
      </c>
      <c r="G4955" s="9">
        <v>43843.78</v>
      </c>
      <c r="H4955" s="8">
        <v>12200</v>
      </c>
    </row>
    <row r="4956" spans="2:8" ht="17.5" customHeight="1" x14ac:dyDescent="0.4">
      <c r="B4956" t="s">
        <v>7</v>
      </c>
      <c r="C4956" t="s">
        <v>990</v>
      </c>
      <c r="D4956" s="7">
        <f>DATE(2013,4,30)</f>
        <v>41394</v>
      </c>
      <c r="E4956" s="8">
        <f t="shared" si="81"/>
        <v>2013</v>
      </c>
      <c r="F4956" t="s">
        <v>991</v>
      </c>
      <c r="G4956" s="9">
        <v>76449.64</v>
      </c>
      <c r="H4956" s="8">
        <v>12329</v>
      </c>
    </row>
    <row r="4957" spans="2:8" ht="17.5" customHeight="1" x14ac:dyDescent="0.4">
      <c r="B4957" t="s">
        <v>7</v>
      </c>
      <c r="C4957" t="s">
        <v>990</v>
      </c>
      <c r="D4957" s="7">
        <f>DATE(2013,8,8)</f>
        <v>41494</v>
      </c>
      <c r="E4957" s="8">
        <f t="shared" si="81"/>
        <v>2013</v>
      </c>
      <c r="F4957" t="s">
        <v>991</v>
      </c>
      <c r="G4957" s="9">
        <v>9815.75</v>
      </c>
      <c r="H4957" s="8">
        <v>12518</v>
      </c>
    </row>
    <row r="4958" spans="2:8" ht="17.5" customHeight="1" x14ac:dyDescent="0.4">
      <c r="B4958" t="s">
        <v>7</v>
      </c>
      <c r="C4958" t="s">
        <v>990</v>
      </c>
      <c r="D4958" s="7">
        <f>DATE(2013,8,14)</f>
        <v>41500</v>
      </c>
      <c r="E4958" s="8">
        <f t="shared" si="81"/>
        <v>2013</v>
      </c>
      <c r="F4958" t="s">
        <v>991</v>
      </c>
      <c r="G4958" s="9">
        <v>1800</v>
      </c>
      <c r="H4958" s="8">
        <v>12462</v>
      </c>
    </row>
    <row r="4959" spans="2:8" ht="17.5" customHeight="1" x14ac:dyDescent="0.4">
      <c r="B4959" t="s">
        <v>7</v>
      </c>
      <c r="C4959" t="s">
        <v>990</v>
      </c>
      <c r="D4959" s="7">
        <f>DATE(2013,10,14)</f>
        <v>41561</v>
      </c>
      <c r="E4959" s="8">
        <f t="shared" si="81"/>
        <v>2013</v>
      </c>
      <c r="F4959" t="s">
        <v>991</v>
      </c>
      <c r="G4959" s="9">
        <v>51530.400000000001</v>
      </c>
      <c r="H4959" s="8">
        <v>12596</v>
      </c>
    </row>
    <row r="4960" spans="2:8" ht="17.5" customHeight="1" x14ac:dyDescent="0.4">
      <c r="B4960" t="s">
        <v>7</v>
      </c>
      <c r="C4960" t="s">
        <v>990</v>
      </c>
      <c r="D4960" s="7">
        <f>DATE(2013,10,16)</f>
        <v>41563</v>
      </c>
      <c r="E4960" s="8">
        <f t="shared" si="81"/>
        <v>2013</v>
      </c>
      <c r="F4960" t="s">
        <v>991</v>
      </c>
      <c r="G4960" s="9">
        <v>98206.04</v>
      </c>
      <c r="H4960" s="8">
        <v>12565</v>
      </c>
    </row>
    <row r="4961" spans="2:8" ht="17.5" customHeight="1" x14ac:dyDescent="0.4">
      <c r="B4961" t="s">
        <v>7</v>
      </c>
      <c r="C4961" t="s">
        <v>990</v>
      </c>
      <c r="D4961" s="7">
        <f>DATE(2013,10,16)</f>
        <v>41563</v>
      </c>
      <c r="E4961" s="8">
        <f t="shared" si="81"/>
        <v>2013</v>
      </c>
      <c r="F4961" t="s">
        <v>991</v>
      </c>
      <c r="G4961" s="9">
        <v>45635.38</v>
      </c>
      <c r="H4961" s="8">
        <v>12597</v>
      </c>
    </row>
    <row r="4962" spans="2:8" ht="17.5" customHeight="1" x14ac:dyDescent="0.4">
      <c r="B4962" t="s">
        <v>7</v>
      </c>
      <c r="C4962" t="s">
        <v>990</v>
      </c>
      <c r="D4962" s="7">
        <f>DATE(2013,11,7)</f>
        <v>41585</v>
      </c>
      <c r="E4962" s="8">
        <f t="shared" si="81"/>
        <v>2013</v>
      </c>
      <c r="F4962" t="s">
        <v>991</v>
      </c>
      <c r="G4962" s="9">
        <v>9281.6200000000008</v>
      </c>
      <c r="H4962" s="8">
        <v>12744</v>
      </c>
    </row>
    <row r="4963" spans="2:8" ht="17.5" customHeight="1" x14ac:dyDescent="0.4">
      <c r="B4963" t="s">
        <v>7</v>
      </c>
      <c r="C4963" t="s">
        <v>990</v>
      </c>
      <c r="D4963" s="7">
        <f>DATE(2013,12,4)</f>
        <v>41612</v>
      </c>
      <c r="E4963" s="8">
        <f t="shared" si="81"/>
        <v>2013</v>
      </c>
      <c r="F4963" t="s">
        <v>991</v>
      </c>
      <c r="G4963" s="9">
        <v>10036.33</v>
      </c>
      <c r="H4963" s="8">
        <v>12738</v>
      </c>
    </row>
    <row r="4964" spans="2:8" ht="17.5" customHeight="1" x14ac:dyDescent="0.4">
      <c r="B4964" t="s">
        <v>7</v>
      </c>
      <c r="C4964" t="s">
        <v>990</v>
      </c>
      <c r="D4964" s="7">
        <f>DATE(2013,12,4)</f>
        <v>41612</v>
      </c>
      <c r="E4964" s="8">
        <f t="shared" si="81"/>
        <v>2013</v>
      </c>
      <c r="F4964" t="s">
        <v>991</v>
      </c>
      <c r="G4964" s="9">
        <v>3223.4</v>
      </c>
      <c r="H4964" s="8">
        <v>12778</v>
      </c>
    </row>
    <row r="4965" spans="2:8" ht="17.5" customHeight="1" x14ac:dyDescent="0.4">
      <c r="B4965" t="s">
        <v>7</v>
      </c>
      <c r="C4965" t="s">
        <v>990</v>
      </c>
      <c r="D4965" s="7">
        <f>DATE(2014,2,13)</f>
        <v>41683</v>
      </c>
      <c r="E4965" s="8">
        <f t="shared" si="81"/>
        <v>2014</v>
      </c>
      <c r="F4965" t="s">
        <v>991</v>
      </c>
      <c r="G4965" s="9">
        <v>2650</v>
      </c>
      <c r="H4965" s="8">
        <v>12885</v>
      </c>
    </row>
    <row r="4966" spans="2:8" ht="17.5" customHeight="1" x14ac:dyDescent="0.4">
      <c r="B4966" t="s">
        <v>7</v>
      </c>
      <c r="C4966" t="s">
        <v>990</v>
      </c>
      <c r="D4966" s="7">
        <f>DATE(2014,3,25)</f>
        <v>41723</v>
      </c>
      <c r="E4966" s="8">
        <f t="shared" si="81"/>
        <v>2014</v>
      </c>
      <c r="F4966" t="s">
        <v>991</v>
      </c>
      <c r="G4966" s="9">
        <v>8810.35</v>
      </c>
      <c r="H4966" s="8">
        <v>12904</v>
      </c>
    </row>
    <row r="4967" spans="2:8" ht="17.5" customHeight="1" x14ac:dyDescent="0.4">
      <c r="B4967" t="s">
        <v>7</v>
      </c>
      <c r="C4967" t="s">
        <v>990</v>
      </c>
      <c r="D4967" s="7">
        <f>DATE(2014,5,12)</f>
        <v>41771</v>
      </c>
      <c r="E4967" s="8">
        <f t="shared" si="81"/>
        <v>2014</v>
      </c>
      <c r="F4967" t="s">
        <v>991</v>
      </c>
      <c r="G4967" s="9">
        <v>1700</v>
      </c>
      <c r="H4967" s="8">
        <v>12883</v>
      </c>
    </row>
    <row r="4968" spans="2:8" ht="17.5" customHeight="1" x14ac:dyDescent="0.4">
      <c r="B4968" t="s">
        <v>7</v>
      </c>
      <c r="C4968" t="s">
        <v>990</v>
      </c>
      <c r="D4968" s="7">
        <f>DATE(2014,6,3)</f>
        <v>41793</v>
      </c>
      <c r="E4968" s="8">
        <f t="shared" si="81"/>
        <v>2014</v>
      </c>
      <c r="F4968" t="s">
        <v>991</v>
      </c>
      <c r="G4968" s="9">
        <v>14517.01</v>
      </c>
      <c r="H4968" s="8">
        <v>13190</v>
      </c>
    </row>
    <row r="4969" spans="2:8" ht="17.5" customHeight="1" x14ac:dyDescent="0.4">
      <c r="B4969" t="s">
        <v>7</v>
      </c>
      <c r="C4969" t="s">
        <v>990</v>
      </c>
      <c r="D4969" s="7">
        <f>DATE(2014,9,30)</f>
        <v>41912</v>
      </c>
      <c r="E4969" s="8">
        <f t="shared" si="81"/>
        <v>2014</v>
      </c>
      <c r="F4969" t="s">
        <v>991</v>
      </c>
      <c r="G4969" s="9">
        <v>128160.77</v>
      </c>
      <c r="H4969" s="8">
        <v>13417</v>
      </c>
    </row>
    <row r="4970" spans="2:8" ht="17.5" customHeight="1" x14ac:dyDescent="0.4">
      <c r="B4970" t="s">
        <v>7</v>
      </c>
      <c r="C4970" t="s">
        <v>990</v>
      </c>
      <c r="D4970" s="7">
        <f>DATE(2014,9,30)</f>
        <v>41912</v>
      </c>
      <c r="E4970" s="8">
        <f t="shared" si="81"/>
        <v>2014</v>
      </c>
      <c r="F4970" t="s">
        <v>991</v>
      </c>
      <c r="G4970" s="9">
        <v>11710.34</v>
      </c>
      <c r="H4970" s="8">
        <v>13396</v>
      </c>
    </row>
    <row r="4971" spans="2:8" ht="17.5" customHeight="1" x14ac:dyDescent="0.4">
      <c r="B4971" t="s">
        <v>7</v>
      </c>
      <c r="C4971" t="s">
        <v>990</v>
      </c>
      <c r="D4971" s="7">
        <f>DATE(2014,12,5)</f>
        <v>41978</v>
      </c>
      <c r="E4971" s="8">
        <f t="shared" si="81"/>
        <v>2014</v>
      </c>
      <c r="F4971" t="s">
        <v>991</v>
      </c>
      <c r="G4971" s="9">
        <v>25002.38</v>
      </c>
      <c r="H4971" s="8">
        <v>13596</v>
      </c>
    </row>
    <row r="4972" spans="2:8" ht="17.5" customHeight="1" x14ac:dyDescent="0.4">
      <c r="B4972" t="s">
        <v>7</v>
      </c>
      <c r="C4972" t="s">
        <v>990</v>
      </c>
      <c r="D4972" s="7">
        <f>DATE(2003,1,23)</f>
        <v>37644</v>
      </c>
      <c r="E4972" s="8">
        <f t="shared" si="81"/>
        <v>2003</v>
      </c>
      <c r="F4972" t="s">
        <v>991</v>
      </c>
      <c r="G4972" s="9">
        <v>349.6</v>
      </c>
      <c r="H4972" s="8">
        <v>88</v>
      </c>
    </row>
    <row r="4973" spans="2:8" ht="17.5" customHeight="1" x14ac:dyDescent="0.4">
      <c r="B4973" t="s">
        <v>7</v>
      </c>
      <c r="C4973" t="s">
        <v>990</v>
      </c>
      <c r="D4973" s="7">
        <f>DATE(2003,4,15)</f>
        <v>37726</v>
      </c>
      <c r="E4973" s="8">
        <f t="shared" si="81"/>
        <v>2003</v>
      </c>
      <c r="F4973" t="s">
        <v>991</v>
      </c>
      <c r="G4973" s="9">
        <v>1134</v>
      </c>
      <c r="H4973" s="8">
        <v>478</v>
      </c>
    </row>
    <row r="4974" spans="2:8" ht="17.5" customHeight="1" x14ac:dyDescent="0.4">
      <c r="B4974" t="s">
        <v>7</v>
      </c>
      <c r="C4974" t="s">
        <v>990</v>
      </c>
      <c r="D4974" s="7">
        <f>DATE(2003,4,15)</f>
        <v>37726</v>
      </c>
      <c r="E4974" s="8">
        <f t="shared" si="81"/>
        <v>2003</v>
      </c>
      <c r="F4974" t="s">
        <v>991</v>
      </c>
      <c r="G4974" s="9">
        <v>378</v>
      </c>
      <c r="H4974" s="8">
        <v>487</v>
      </c>
    </row>
    <row r="4975" spans="2:8" ht="17.5" customHeight="1" x14ac:dyDescent="0.4">
      <c r="B4975" t="s">
        <v>7</v>
      </c>
      <c r="C4975" t="s">
        <v>990</v>
      </c>
      <c r="D4975" s="7">
        <f>DATE(2003,5,20)</f>
        <v>37761</v>
      </c>
      <c r="E4975" s="8">
        <f t="shared" si="81"/>
        <v>2003</v>
      </c>
      <c r="F4975" t="s">
        <v>991</v>
      </c>
      <c r="G4975" s="9">
        <v>43684.52</v>
      </c>
      <c r="H4975" s="8">
        <v>610</v>
      </c>
    </row>
    <row r="4976" spans="2:8" ht="17.5" customHeight="1" x14ac:dyDescent="0.4">
      <c r="B4976" t="s">
        <v>7</v>
      </c>
      <c r="C4976" t="s">
        <v>990</v>
      </c>
      <c r="D4976" s="7">
        <f>DATE(2003,7,18)</f>
        <v>37820</v>
      </c>
      <c r="E4976" s="8">
        <f t="shared" si="81"/>
        <v>2003</v>
      </c>
      <c r="F4976" t="s">
        <v>991</v>
      </c>
      <c r="G4976" s="9">
        <v>340</v>
      </c>
      <c r="H4976" s="8">
        <v>738</v>
      </c>
    </row>
    <row r="4977" spans="2:8" ht="17.5" customHeight="1" x14ac:dyDescent="0.4">
      <c r="B4977" t="s">
        <v>7</v>
      </c>
      <c r="C4977" t="s">
        <v>990</v>
      </c>
      <c r="D4977" s="7">
        <f>DATE(2003,7,30)</f>
        <v>37832</v>
      </c>
      <c r="E4977" s="8">
        <f t="shared" si="81"/>
        <v>2003</v>
      </c>
      <c r="F4977" t="s">
        <v>991</v>
      </c>
      <c r="G4977" s="9">
        <v>2885.1</v>
      </c>
      <c r="H4977" s="8">
        <v>755</v>
      </c>
    </row>
    <row r="4978" spans="2:8" ht="17.5" customHeight="1" x14ac:dyDescent="0.4">
      <c r="B4978" t="s">
        <v>7</v>
      </c>
      <c r="C4978" t="s">
        <v>990</v>
      </c>
      <c r="D4978" s="7">
        <f>DATE(2003,10,27)</f>
        <v>37921</v>
      </c>
      <c r="E4978" s="8">
        <f t="shared" si="81"/>
        <v>2003</v>
      </c>
      <c r="F4978" t="s">
        <v>991</v>
      </c>
      <c r="G4978" s="9">
        <v>1781.75</v>
      </c>
      <c r="H4978" s="8">
        <v>975</v>
      </c>
    </row>
    <row r="4979" spans="2:8" ht="17.5" customHeight="1" x14ac:dyDescent="0.4">
      <c r="B4979" t="s">
        <v>7</v>
      </c>
      <c r="C4979" t="s">
        <v>990</v>
      </c>
      <c r="D4979" s="7">
        <f>DATE(2003,10,29)</f>
        <v>37923</v>
      </c>
      <c r="E4979" s="8">
        <f t="shared" si="81"/>
        <v>2003</v>
      </c>
      <c r="F4979" t="s">
        <v>991</v>
      </c>
      <c r="G4979" s="9">
        <v>1000</v>
      </c>
      <c r="H4979" s="8">
        <v>981</v>
      </c>
    </row>
    <row r="4980" spans="2:8" ht="17.5" customHeight="1" x14ac:dyDescent="0.4">
      <c r="B4980" t="s">
        <v>7</v>
      </c>
      <c r="C4980" t="s">
        <v>990</v>
      </c>
      <c r="D4980" s="7">
        <f>DATE(2003,10,30)</f>
        <v>37924</v>
      </c>
      <c r="E4980" s="8">
        <f t="shared" si="81"/>
        <v>2003</v>
      </c>
      <c r="F4980" t="s">
        <v>991</v>
      </c>
      <c r="G4980" s="9">
        <v>1058.5</v>
      </c>
      <c r="H4980" s="8">
        <v>984</v>
      </c>
    </row>
    <row r="4981" spans="2:8" ht="17.5" customHeight="1" x14ac:dyDescent="0.4">
      <c r="B4981" t="s">
        <v>7</v>
      </c>
      <c r="C4981" t="s">
        <v>990</v>
      </c>
      <c r="D4981" s="7">
        <f>DATE(2003,11,17)</f>
        <v>37942</v>
      </c>
      <c r="E4981" s="8">
        <f t="shared" si="81"/>
        <v>2003</v>
      </c>
      <c r="F4981" t="s">
        <v>991</v>
      </c>
      <c r="G4981" s="9">
        <v>9557.26</v>
      </c>
      <c r="H4981" s="8">
        <v>967</v>
      </c>
    </row>
    <row r="4982" spans="2:8" ht="17.5" customHeight="1" x14ac:dyDescent="0.4">
      <c r="B4982" t="s">
        <v>7</v>
      </c>
      <c r="C4982" t="s">
        <v>990</v>
      </c>
      <c r="D4982" s="7">
        <f>DATE(2004,2,13)</f>
        <v>38030</v>
      </c>
      <c r="E4982" s="8">
        <f t="shared" si="81"/>
        <v>2004</v>
      </c>
      <c r="F4982" t="s">
        <v>991</v>
      </c>
      <c r="G4982" s="9">
        <v>248.5</v>
      </c>
      <c r="H4982" s="8">
        <v>1355</v>
      </c>
    </row>
    <row r="4983" spans="2:8" ht="17.5" customHeight="1" x14ac:dyDescent="0.4">
      <c r="B4983" t="s">
        <v>7</v>
      </c>
      <c r="C4983" t="s">
        <v>990</v>
      </c>
      <c r="D4983" s="7">
        <f>DATE(2004,3,9)</f>
        <v>38055</v>
      </c>
      <c r="E4983" s="8">
        <f t="shared" si="81"/>
        <v>2004</v>
      </c>
      <c r="F4983" t="s">
        <v>991</v>
      </c>
      <c r="G4983" s="9">
        <v>514.19000000000005</v>
      </c>
      <c r="H4983" s="8">
        <v>1508</v>
      </c>
    </row>
    <row r="4984" spans="2:8" ht="17.5" customHeight="1" x14ac:dyDescent="0.4">
      <c r="B4984" t="s">
        <v>7</v>
      </c>
      <c r="C4984" t="s">
        <v>990</v>
      </c>
      <c r="D4984" s="7">
        <f>DATE(2004,4,13)</f>
        <v>38090</v>
      </c>
      <c r="E4984" s="8">
        <f t="shared" si="81"/>
        <v>2004</v>
      </c>
      <c r="F4984" t="s">
        <v>991</v>
      </c>
      <c r="G4984" s="9">
        <v>979.79</v>
      </c>
      <c r="H4984" s="8">
        <v>1680</v>
      </c>
    </row>
    <row r="4985" spans="2:8" ht="17.5" customHeight="1" x14ac:dyDescent="0.4">
      <c r="B4985" t="s">
        <v>7</v>
      </c>
      <c r="C4985" t="s">
        <v>990</v>
      </c>
      <c r="D4985" s="7">
        <f>DATE(2007,2,10)</f>
        <v>39123</v>
      </c>
      <c r="E4985" s="8">
        <f t="shared" si="81"/>
        <v>2007</v>
      </c>
      <c r="F4985" t="s">
        <v>991</v>
      </c>
      <c r="G4985" s="9">
        <v>5001.6400000000003</v>
      </c>
      <c r="H4985" s="8">
        <v>5495</v>
      </c>
    </row>
    <row r="4986" spans="2:8" ht="17.5" customHeight="1" x14ac:dyDescent="0.4">
      <c r="B4986" t="s">
        <v>7</v>
      </c>
      <c r="C4986" t="s">
        <v>990</v>
      </c>
      <c r="D4986" s="7">
        <f>DATE(2007,2,28)</f>
        <v>39141</v>
      </c>
      <c r="E4986" s="8">
        <f t="shared" si="81"/>
        <v>2007</v>
      </c>
      <c r="F4986" t="s">
        <v>991</v>
      </c>
      <c r="G4986" s="9">
        <v>3875.3</v>
      </c>
      <c r="H4986" s="8">
        <v>5556</v>
      </c>
    </row>
    <row r="4987" spans="2:8" ht="17.5" customHeight="1" x14ac:dyDescent="0.4">
      <c r="B4987" t="s">
        <v>7</v>
      </c>
      <c r="C4987" t="s">
        <v>990</v>
      </c>
      <c r="D4987" s="7">
        <f>DATE(2007,7,1)</f>
        <v>39264</v>
      </c>
      <c r="E4987" s="8">
        <f t="shared" si="81"/>
        <v>2007</v>
      </c>
      <c r="F4987" t="s">
        <v>991</v>
      </c>
      <c r="G4987" s="9">
        <v>354.8</v>
      </c>
      <c r="H4987" s="8">
        <v>6250</v>
      </c>
    </row>
    <row r="4988" spans="2:8" ht="17.5" customHeight="1" x14ac:dyDescent="0.4">
      <c r="B4988" t="s">
        <v>7</v>
      </c>
      <c r="C4988" t="s">
        <v>990</v>
      </c>
      <c r="D4988" s="7">
        <f>DATE(2007,7,21)</f>
        <v>39284</v>
      </c>
      <c r="E4988" s="8">
        <f t="shared" si="81"/>
        <v>2007</v>
      </c>
      <c r="F4988" t="s">
        <v>991</v>
      </c>
      <c r="G4988" s="9">
        <v>1086.6300000000001</v>
      </c>
      <c r="H4988" s="8">
        <v>6118</v>
      </c>
    </row>
    <row r="4989" spans="2:8" ht="17.5" customHeight="1" x14ac:dyDescent="0.4">
      <c r="B4989" t="s">
        <v>7</v>
      </c>
      <c r="C4989" t="s">
        <v>990</v>
      </c>
      <c r="D4989" s="7">
        <f>DATE(2007,7,23)</f>
        <v>39286</v>
      </c>
      <c r="E4989" s="8">
        <f t="shared" si="81"/>
        <v>2007</v>
      </c>
      <c r="F4989" t="s">
        <v>991</v>
      </c>
      <c r="G4989" s="9">
        <v>6317.18</v>
      </c>
      <c r="H4989" s="8">
        <v>6117</v>
      </c>
    </row>
    <row r="4990" spans="2:8" ht="17.5" customHeight="1" x14ac:dyDescent="0.4">
      <c r="B4990" t="s">
        <v>7</v>
      </c>
      <c r="C4990" t="s">
        <v>990</v>
      </c>
      <c r="D4990" s="7">
        <f>DATE(2007,7,23)</f>
        <v>39286</v>
      </c>
      <c r="E4990" s="8">
        <f t="shared" si="81"/>
        <v>2007</v>
      </c>
      <c r="F4990" t="s">
        <v>991</v>
      </c>
      <c r="G4990" s="9">
        <v>2145</v>
      </c>
      <c r="H4990" s="8">
        <v>6269</v>
      </c>
    </row>
    <row r="4991" spans="2:8" ht="17.5" customHeight="1" x14ac:dyDescent="0.4">
      <c r="B4991" t="s">
        <v>7</v>
      </c>
      <c r="C4991" t="s">
        <v>990</v>
      </c>
      <c r="D4991" s="7">
        <f>DATE(2007,8,3)</f>
        <v>39297</v>
      </c>
      <c r="E4991" s="8">
        <f t="shared" si="81"/>
        <v>2007</v>
      </c>
      <c r="F4991" t="s">
        <v>991</v>
      </c>
      <c r="G4991" s="9">
        <v>3385.14</v>
      </c>
      <c r="H4991" s="8">
        <v>6204</v>
      </c>
    </row>
    <row r="4992" spans="2:8" ht="17.5" customHeight="1" x14ac:dyDescent="0.4">
      <c r="B4992" t="s">
        <v>7</v>
      </c>
      <c r="C4992" t="s">
        <v>990</v>
      </c>
      <c r="D4992" s="7">
        <f>DATE(2007,12,1)</f>
        <v>39417</v>
      </c>
      <c r="E4992" s="8">
        <f t="shared" si="81"/>
        <v>2007</v>
      </c>
      <c r="F4992" t="s">
        <v>991</v>
      </c>
      <c r="G4992" s="9">
        <v>458.9</v>
      </c>
      <c r="H4992" s="8">
        <v>6439</v>
      </c>
    </row>
    <row r="4993" spans="2:8" ht="17.5" customHeight="1" x14ac:dyDescent="0.4">
      <c r="B4993" t="s">
        <v>7</v>
      </c>
      <c r="C4993" t="s">
        <v>990</v>
      </c>
      <c r="D4993" s="7">
        <f>DATE(2007,12,1)</f>
        <v>39417</v>
      </c>
      <c r="E4993" s="8">
        <f t="shared" si="81"/>
        <v>2007</v>
      </c>
      <c r="F4993" t="s">
        <v>991</v>
      </c>
      <c r="G4993" s="9">
        <v>91.78</v>
      </c>
      <c r="H4993" s="8">
        <v>6624</v>
      </c>
    </row>
    <row r="4994" spans="2:8" ht="17.5" customHeight="1" x14ac:dyDescent="0.4">
      <c r="B4994" t="s">
        <v>7</v>
      </c>
      <c r="C4994" t="s">
        <v>990</v>
      </c>
      <c r="D4994" s="7">
        <f>DATE(2008,1,9)</f>
        <v>39456</v>
      </c>
      <c r="E4994" s="8">
        <f t="shared" si="81"/>
        <v>2008</v>
      </c>
      <c r="F4994" t="s">
        <v>991</v>
      </c>
      <c r="G4994" s="9">
        <v>7889.35</v>
      </c>
      <c r="H4994" s="8">
        <v>6715</v>
      </c>
    </row>
    <row r="4995" spans="2:8" ht="17.5" customHeight="1" x14ac:dyDescent="0.4">
      <c r="B4995" t="s">
        <v>7</v>
      </c>
      <c r="C4995" t="s">
        <v>990</v>
      </c>
      <c r="D4995" s="7">
        <f>DATE(2008,2,11)</f>
        <v>39489</v>
      </c>
      <c r="E4995" s="8">
        <f t="shared" ref="E4995:E5058" si="82">YEAR(D4995)</f>
        <v>2008</v>
      </c>
      <c r="F4995" t="s">
        <v>991</v>
      </c>
      <c r="G4995" s="9">
        <v>148.75</v>
      </c>
      <c r="H4995" s="8">
        <v>7007</v>
      </c>
    </row>
    <row r="4996" spans="2:8" ht="17.5" customHeight="1" x14ac:dyDescent="0.4">
      <c r="B4996" t="s">
        <v>7</v>
      </c>
      <c r="C4996" t="s">
        <v>990</v>
      </c>
      <c r="D4996" s="7">
        <f>DATE(2008,3,10)</f>
        <v>39517</v>
      </c>
      <c r="E4996" s="8">
        <f t="shared" si="82"/>
        <v>2008</v>
      </c>
      <c r="F4996" t="s">
        <v>991</v>
      </c>
      <c r="G4996" s="9">
        <v>510</v>
      </c>
      <c r="H4996" s="8">
        <v>7092</v>
      </c>
    </row>
    <row r="4997" spans="2:8" ht="17.5" customHeight="1" x14ac:dyDescent="0.4">
      <c r="B4997" t="s">
        <v>7</v>
      </c>
      <c r="C4997" t="s">
        <v>990</v>
      </c>
      <c r="D4997" s="7">
        <f>DATE(2008,3,10)</f>
        <v>39517</v>
      </c>
      <c r="E4997" s="8">
        <f t="shared" si="82"/>
        <v>2008</v>
      </c>
      <c r="F4997" t="s">
        <v>991</v>
      </c>
      <c r="G4997" s="9">
        <v>3575</v>
      </c>
      <c r="H4997" s="8">
        <v>7175</v>
      </c>
    </row>
    <row r="4998" spans="2:8" ht="17.5" customHeight="1" x14ac:dyDescent="0.4">
      <c r="B4998" t="s">
        <v>7</v>
      </c>
      <c r="C4998" t="s">
        <v>990</v>
      </c>
      <c r="D4998" s="7">
        <f>DATE(2008,3,10)</f>
        <v>39517</v>
      </c>
      <c r="E4998" s="8">
        <f t="shared" si="82"/>
        <v>2008</v>
      </c>
      <c r="F4998" t="s">
        <v>991</v>
      </c>
      <c r="G4998" s="9">
        <v>1109</v>
      </c>
      <c r="H4998" s="8">
        <v>7138</v>
      </c>
    </row>
    <row r="4999" spans="2:8" ht="17.5" customHeight="1" x14ac:dyDescent="0.4">
      <c r="B4999" t="s">
        <v>7</v>
      </c>
      <c r="C4999" t="s">
        <v>990</v>
      </c>
      <c r="D4999" s="7">
        <f>DATE(2008,3,7)</f>
        <v>39514</v>
      </c>
      <c r="E4999" s="8">
        <f t="shared" si="82"/>
        <v>2008</v>
      </c>
      <c r="F4999" t="s">
        <v>991</v>
      </c>
      <c r="G4999" s="9">
        <v>5825.46</v>
      </c>
      <c r="H4999" s="8">
        <v>7040</v>
      </c>
    </row>
    <row r="5000" spans="2:8" ht="17.5" customHeight="1" x14ac:dyDescent="0.4">
      <c r="B5000" t="s">
        <v>7</v>
      </c>
      <c r="C5000" t="s">
        <v>990</v>
      </c>
      <c r="D5000" s="7">
        <f>DATE(2008,4,1)</f>
        <v>39539</v>
      </c>
      <c r="E5000" s="8">
        <f t="shared" si="82"/>
        <v>2008</v>
      </c>
      <c r="F5000" t="s">
        <v>991</v>
      </c>
      <c r="G5000" s="9">
        <v>2559.3000000000002</v>
      </c>
      <c r="H5000" s="8">
        <v>7213</v>
      </c>
    </row>
    <row r="5001" spans="2:8" ht="17.5" customHeight="1" x14ac:dyDescent="0.4">
      <c r="B5001" t="s">
        <v>7</v>
      </c>
      <c r="C5001" t="s">
        <v>990</v>
      </c>
      <c r="D5001" s="7">
        <f>DATE(2008,6,24)</f>
        <v>39623</v>
      </c>
      <c r="E5001" s="8">
        <f t="shared" si="82"/>
        <v>2008</v>
      </c>
      <c r="F5001" t="s">
        <v>991</v>
      </c>
      <c r="G5001" s="9">
        <v>4559.75</v>
      </c>
      <c r="H5001" s="8">
        <v>7551</v>
      </c>
    </row>
    <row r="5002" spans="2:8" ht="17.5" customHeight="1" x14ac:dyDescent="0.4">
      <c r="B5002" t="s">
        <v>7</v>
      </c>
      <c r="C5002" t="s">
        <v>990</v>
      </c>
      <c r="D5002" s="7">
        <f>DATE(2008,8,1)</f>
        <v>39661</v>
      </c>
      <c r="E5002" s="8">
        <f t="shared" si="82"/>
        <v>2008</v>
      </c>
      <c r="F5002" t="s">
        <v>991</v>
      </c>
      <c r="G5002" s="9">
        <v>1932.66</v>
      </c>
      <c r="H5002" s="8">
        <v>6684</v>
      </c>
    </row>
    <row r="5003" spans="2:8" ht="17.5" customHeight="1" x14ac:dyDescent="0.4">
      <c r="B5003" t="s">
        <v>7</v>
      </c>
      <c r="C5003" t="s">
        <v>990</v>
      </c>
      <c r="D5003" s="7">
        <f>DATE(2008,8,1)</f>
        <v>39661</v>
      </c>
      <c r="E5003" s="8">
        <f t="shared" si="82"/>
        <v>2008</v>
      </c>
      <c r="F5003" t="s">
        <v>991</v>
      </c>
      <c r="G5003" s="9">
        <v>1049.8399999999999</v>
      </c>
      <c r="H5003" s="8">
        <v>6771</v>
      </c>
    </row>
    <row r="5004" spans="2:8" ht="17.5" customHeight="1" x14ac:dyDescent="0.4">
      <c r="B5004" t="s">
        <v>7</v>
      </c>
      <c r="C5004" t="s">
        <v>990</v>
      </c>
      <c r="D5004" s="7">
        <f>DATE(2008,8,1)</f>
        <v>39661</v>
      </c>
      <c r="E5004" s="8">
        <f t="shared" si="82"/>
        <v>2008</v>
      </c>
      <c r="F5004" t="s">
        <v>991</v>
      </c>
      <c r="G5004" s="9">
        <v>226.67</v>
      </c>
      <c r="H5004" s="8">
        <v>7064</v>
      </c>
    </row>
    <row r="5005" spans="2:8" ht="17.5" customHeight="1" x14ac:dyDescent="0.4">
      <c r="B5005" t="s">
        <v>7</v>
      </c>
      <c r="C5005" t="s">
        <v>990</v>
      </c>
      <c r="D5005" s="7">
        <f>DATE(2008,8,1)</f>
        <v>39661</v>
      </c>
      <c r="E5005" s="8">
        <f t="shared" si="82"/>
        <v>2008</v>
      </c>
      <c r="F5005" t="s">
        <v>991</v>
      </c>
      <c r="G5005" s="9">
        <v>299.48</v>
      </c>
      <c r="H5005" s="8">
        <v>7065</v>
      </c>
    </row>
    <row r="5006" spans="2:8" ht="17.5" customHeight="1" x14ac:dyDescent="0.4">
      <c r="B5006" t="s">
        <v>7</v>
      </c>
      <c r="C5006" t="s">
        <v>990</v>
      </c>
      <c r="D5006" s="7">
        <f>DATE(2008,8,1)</f>
        <v>39661</v>
      </c>
      <c r="E5006" s="8">
        <f t="shared" si="82"/>
        <v>2008</v>
      </c>
      <c r="F5006" t="s">
        <v>991</v>
      </c>
      <c r="G5006" s="9">
        <v>440.48</v>
      </c>
      <c r="H5006" s="8">
        <v>7598</v>
      </c>
    </row>
    <row r="5007" spans="2:8" ht="17.5" customHeight="1" x14ac:dyDescent="0.4">
      <c r="B5007" t="s">
        <v>7</v>
      </c>
      <c r="C5007" t="s">
        <v>990</v>
      </c>
      <c r="D5007" s="7">
        <f>DATE(2008,12,1)</f>
        <v>39783</v>
      </c>
      <c r="E5007" s="8">
        <f t="shared" si="82"/>
        <v>2008</v>
      </c>
      <c r="F5007" t="s">
        <v>991</v>
      </c>
      <c r="G5007" s="9">
        <v>1574.76</v>
      </c>
      <c r="H5007" s="8">
        <v>7597</v>
      </c>
    </row>
    <row r="5008" spans="2:8" ht="17.5" customHeight="1" x14ac:dyDescent="0.4">
      <c r="B5008" t="s">
        <v>7</v>
      </c>
      <c r="C5008" t="s">
        <v>990</v>
      </c>
      <c r="D5008" s="7">
        <f>DATE(2008,12,1)</f>
        <v>39783</v>
      </c>
      <c r="E5008" s="8">
        <f t="shared" si="82"/>
        <v>2008</v>
      </c>
      <c r="F5008" t="s">
        <v>991</v>
      </c>
      <c r="G5008" s="9">
        <v>560.71</v>
      </c>
      <c r="H5008" s="8">
        <v>7652</v>
      </c>
    </row>
    <row r="5009" spans="2:8" ht="17.5" customHeight="1" x14ac:dyDescent="0.4">
      <c r="B5009" t="s">
        <v>7</v>
      </c>
      <c r="C5009" t="s">
        <v>990</v>
      </c>
      <c r="D5009" s="7">
        <f>DATE(2008,12,1)</f>
        <v>39783</v>
      </c>
      <c r="E5009" s="8">
        <f t="shared" si="82"/>
        <v>2008</v>
      </c>
      <c r="F5009" t="s">
        <v>991</v>
      </c>
      <c r="G5009" s="9">
        <v>1586.69</v>
      </c>
      <c r="H5009" s="8">
        <v>7772</v>
      </c>
    </row>
    <row r="5010" spans="2:8" ht="17.5" customHeight="1" x14ac:dyDescent="0.4">
      <c r="B5010" t="s">
        <v>7</v>
      </c>
      <c r="C5010" t="s">
        <v>990</v>
      </c>
      <c r="D5010" s="7">
        <f>DATE(2009,1,1)</f>
        <v>39814</v>
      </c>
      <c r="E5010" s="8">
        <f t="shared" si="82"/>
        <v>2009</v>
      </c>
      <c r="F5010" t="s">
        <v>991</v>
      </c>
      <c r="G5010" s="9">
        <v>906.68</v>
      </c>
      <c r="H5010" s="8">
        <v>8030</v>
      </c>
    </row>
    <row r="5011" spans="2:8" ht="17.5" customHeight="1" x14ac:dyDescent="0.4">
      <c r="B5011" t="s">
        <v>7</v>
      </c>
      <c r="C5011" t="s">
        <v>990</v>
      </c>
      <c r="D5011" s="7">
        <f>DATE(2009,2,25)</f>
        <v>39869</v>
      </c>
      <c r="E5011" s="8">
        <f t="shared" si="82"/>
        <v>2009</v>
      </c>
      <c r="F5011" t="s">
        <v>991</v>
      </c>
      <c r="G5011" s="9">
        <v>167.02</v>
      </c>
      <c r="H5011" s="8">
        <v>8220</v>
      </c>
    </row>
    <row r="5012" spans="2:8" ht="17.5" customHeight="1" x14ac:dyDescent="0.4">
      <c r="B5012" t="s">
        <v>7</v>
      </c>
      <c r="C5012" t="s">
        <v>990</v>
      </c>
      <c r="D5012" s="7">
        <f>DATE(2009,3,19)</f>
        <v>39891</v>
      </c>
      <c r="E5012" s="8">
        <f t="shared" si="82"/>
        <v>2009</v>
      </c>
      <c r="F5012" t="s">
        <v>991</v>
      </c>
      <c r="G5012" s="9">
        <v>799</v>
      </c>
      <c r="H5012" s="8">
        <v>8361</v>
      </c>
    </row>
    <row r="5013" spans="2:8" ht="17.5" customHeight="1" x14ac:dyDescent="0.4">
      <c r="B5013" t="s">
        <v>7</v>
      </c>
      <c r="C5013" t="s">
        <v>990</v>
      </c>
      <c r="D5013" s="7">
        <f>DATE(2009,3,27)</f>
        <v>39899</v>
      </c>
      <c r="E5013" s="8">
        <f t="shared" si="82"/>
        <v>2009</v>
      </c>
      <c r="F5013" t="s">
        <v>991</v>
      </c>
      <c r="G5013" s="9">
        <v>4490</v>
      </c>
      <c r="H5013" s="8">
        <v>8519</v>
      </c>
    </row>
    <row r="5014" spans="2:8" ht="17.5" customHeight="1" x14ac:dyDescent="0.4">
      <c r="B5014" t="s">
        <v>7</v>
      </c>
      <c r="C5014" t="s">
        <v>990</v>
      </c>
      <c r="D5014" s="7">
        <f>DATE(2009,4,9)</f>
        <v>39912</v>
      </c>
      <c r="E5014" s="8">
        <f t="shared" si="82"/>
        <v>2009</v>
      </c>
      <c r="F5014" t="s">
        <v>991</v>
      </c>
      <c r="G5014" s="9">
        <v>46802.5</v>
      </c>
      <c r="H5014" s="8">
        <v>8230</v>
      </c>
    </row>
    <row r="5015" spans="2:8" ht="17.5" customHeight="1" x14ac:dyDescent="0.4">
      <c r="B5015" t="s">
        <v>7</v>
      </c>
      <c r="C5015" t="s">
        <v>990</v>
      </c>
      <c r="D5015" s="7">
        <f>DATE(2009,4,27)</f>
        <v>39930</v>
      </c>
      <c r="E5015" s="8">
        <f t="shared" si="82"/>
        <v>2009</v>
      </c>
      <c r="F5015" t="s">
        <v>991</v>
      </c>
      <c r="G5015" s="9">
        <v>47400</v>
      </c>
      <c r="H5015" s="8">
        <v>8230</v>
      </c>
    </row>
    <row r="5016" spans="2:8" ht="17.5" customHeight="1" x14ac:dyDescent="0.4">
      <c r="B5016" t="s">
        <v>7</v>
      </c>
      <c r="C5016" t="s">
        <v>990</v>
      </c>
      <c r="D5016" s="7">
        <f>DATE(2009,5,12)</f>
        <v>39945</v>
      </c>
      <c r="E5016" s="8">
        <f t="shared" si="82"/>
        <v>2009</v>
      </c>
      <c r="F5016" t="s">
        <v>991</v>
      </c>
      <c r="G5016" s="9">
        <v>43040</v>
      </c>
      <c r="H5016" s="8">
        <v>8230</v>
      </c>
    </row>
    <row r="5017" spans="2:8" ht="17.5" customHeight="1" x14ac:dyDescent="0.4">
      <c r="B5017" t="s">
        <v>7</v>
      </c>
      <c r="C5017" t="s">
        <v>990</v>
      </c>
      <c r="D5017" s="7">
        <f>DATE(2009,6,5)</f>
        <v>39969</v>
      </c>
      <c r="E5017" s="8">
        <f t="shared" si="82"/>
        <v>2009</v>
      </c>
      <c r="F5017" t="s">
        <v>991</v>
      </c>
      <c r="G5017" s="9">
        <v>42647.5</v>
      </c>
      <c r="H5017" s="8">
        <v>8230</v>
      </c>
    </row>
    <row r="5018" spans="2:8" ht="17.5" customHeight="1" x14ac:dyDescent="0.4">
      <c r="B5018" t="s">
        <v>7</v>
      </c>
      <c r="C5018" t="s">
        <v>990</v>
      </c>
      <c r="D5018" s="7">
        <f>DATE(2009,6,11)</f>
        <v>39975</v>
      </c>
      <c r="E5018" s="8">
        <f t="shared" si="82"/>
        <v>2009</v>
      </c>
      <c r="F5018" t="s">
        <v>991</v>
      </c>
      <c r="G5018" s="9">
        <v>11314.4</v>
      </c>
      <c r="H5018" s="8">
        <v>8664</v>
      </c>
    </row>
    <row r="5019" spans="2:8" ht="17.5" customHeight="1" x14ac:dyDescent="0.4">
      <c r="B5019" t="s">
        <v>7</v>
      </c>
      <c r="C5019" t="s">
        <v>990</v>
      </c>
      <c r="D5019" s="7">
        <f>DATE(2009,6,11)</f>
        <v>39975</v>
      </c>
      <c r="E5019" s="8">
        <f t="shared" si="82"/>
        <v>2009</v>
      </c>
      <c r="F5019" t="s">
        <v>991</v>
      </c>
      <c r="G5019" s="9">
        <v>32834.78</v>
      </c>
      <c r="H5019" s="8">
        <v>8772</v>
      </c>
    </row>
    <row r="5020" spans="2:8" ht="17.5" customHeight="1" x14ac:dyDescent="0.4">
      <c r="B5020" t="s">
        <v>7</v>
      </c>
      <c r="C5020" t="s">
        <v>990</v>
      </c>
      <c r="D5020" s="7">
        <f>DATE(2009,6,18)</f>
        <v>39982</v>
      </c>
      <c r="E5020" s="8">
        <f t="shared" si="82"/>
        <v>2009</v>
      </c>
      <c r="F5020" t="s">
        <v>991</v>
      </c>
      <c r="G5020" s="9">
        <v>15475.55</v>
      </c>
      <c r="H5020" s="8">
        <v>8230</v>
      </c>
    </row>
    <row r="5021" spans="2:8" ht="17.5" customHeight="1" x14ac:dyDescent="0.4">
      <c r="B5021" t="s">
        <v>7</v>
      </c>
      <c r="C5021" t="s">
        <v>990</v>
      </c>
      <c r="D5021" s="7">
        <f>DATE(2009,10,6)</f>
        <v>40092</v>
      </c>
      <c r="E5021" s="8">
        <f t="shared" si="82"/>
        <v>2009</v>
      </c>
      <c r="F5021" t="s">
        <v>991</v>
      </c>
      <c r="G5021" s="9">
        <v>786.25</v>
      </c>
      <c r="H5021" s="8">
        <v>8964</v>
      </c>
    </row>
    <row r="5022" spans="2:8" ht="17.5" customHeight="1" x14ac:dyDescent="0.4">
      <c r="B5022" t="s">
        <v>7</v>
      </c>
      <c r="C5022" t="s">
        <v>990</v>
      </c>
      <c r="D5022" s="7">
        <f>DATE(2009,11,16)</f>
        <v>40133</v>
      </c>
      <c r="E5022" s="8">
        <f t="shared" si="82"/>
        <v>2009</v>
      </c>
      <c r="F5022" t="s">
        <v>991</v>
      </c>
      <c r="G5022" s="9">
        <v>22820.78</v>
      </c>
      <c r="H5022" s="8">
        <v>9024</v>
      </c>
    </row>
    <row r="5023" spans="2:8" ht="17.5" customHeight="1" x14ac:dyDescent="0.4">
      <c r="B5023" t="s">
        <v>7</v>
      </c>
      <c r="C5023" t="s">
        <v>990</v>
      </c>
      <c r="D5023" s="7">
        <f>DATE(2010,2,10)</f>
        <v>40219</v>
      </c>
      <c r="E5023" s="8">
        <f t="shared" si="82"/>
        <v>2010</v>
      </c>
      <c r="F5023" t="s">
        <v>991</v>
      </c>
      <c r="G5023" s="9">
        <v>1840</v>
      </c>
      <c r="H5023" s="8">
        <v>9513</v>
      </c>
    </row>
    <row r="5024" spans="2:8" ht="17.5" customHeight="1" x14ac:dyDescent="0.4">
      <c r="B5024" t="s">
        <v>7</v>
      </c>
      <c r="C5024" t="s">
        <v>990</v>
      </c>
      <c r="D5024" s="7">
        <f>DATE(2010,4,1)</f>
        <v>40269</v>
      </c>
      <c r="E5024" s="8">
        <f t="shared" si="82"/>
        <v>2010</v>
      </c>
      <c r="F5024" t="s">
        <v>991</v>
      </c>
      <c r="G5024" s="9">
        <v>2312.85</v>
      </c>
      <c r="H5024" s="8">
        <v>9607</v>
      </c>
    </row>
    <row r="5025" spans="2:8" ht="17.5" customHeight="1" x14ac:dyDescent="0.4">
      <c r="B5025" t="s">
        <v>7</v>
      </c>
      <c r="C5025" t="s">
        <v>990</v>
      </c>
      <c r="D5025" s="7">
        <f>DATE(2010,10,28)</f>
        <v>40479</v>
      </c>
      <c r="E5025" s="8">
        <f t="shared" si="82"/>
        <v>2010</v>
      </c>
      <c r="F5025" t="s">
        <v>991</v>
      </c>
      <c r="G5025" s="9">
        <v>21094.06</v>
      </c>
      <c r="H5025" s="8">
        <v>10090</v>
      </c>
    </row>
    <row r="5026" spans="2:8" ht="17.5" customHeight="1" x14ac:dyDescent="0.4">
      <c r="B5026" t="s">
        <v>7</v>
      </c>
      <c r="C5026" t="s">
        <v>990</v>
      </c>
      <c r="D5026" s="7">
        <f>DATE(2011,2,1)</f>
        <v>40575</v>
      </c>
      <c r="E5026" s="8">
        <f t="shared" si="82"/>
        <v>2011</v>
      </c>
      <c r="F5026" t="s">
        <v>991</v>
      </c>
      <c r="G5026" s="9">
        <v>5573.42</v>
      </c>
      <c r="H5026" s="8">
        <v>10352</v>
      </c>
    </row>
    <row r="5027" spans="2:8" ht="17.5" customHeight="1" x14ac:dyDescent="0.4">
      <c r="B5027" t="s">
        <v>7</v>
      </c>
      <c r="C5027" t="s">
        <v>990</v>
      </c>
      <c r="D5027" s="7">
        <f>DATE(2011,3,21)</f>
        <v>40623</v>
      </c>
      <c r="E5027" s="8">
        <f t="shared" si="82"/>
        <v>2011</v>
      </c>
      <c r="F5027" t="s">
        <v>991</v>
      </c>
      <c r="G5027" s="9">
        <v>6982.83</v>
      </c>
      <c r="H5027" s="8">
        <v>10459</v>
      </c>
    </row>
    <row r="5028" spans="2:8" ht="17.5" customHeight="1" x14ac:dyDescent="0.4">
      <c r="B5028" t="s">
        <v>7</v>
      </c>
      <c r="C5028" t="s">
        <v>990</v>
      </c>
      <c r="D5028" s="7">
        <f>DATE(2011,9,29)</f>
        <v>40815</v>
      </c>
      <c r="E5028" s="8">
        <f t="shared" si="82"/>
        <v>2011</v>
      </c>
      <c r="F5028" t="s">
        <v>991</v>
      </c>
      <c r="G5028" s="9">
        <v>13267.81</v>
      </c>
      <c r="H5028" s="8">
        <v>10955</v>
      </c>
    </row>
    <row r="5029" spans="2:8" ht="17.5" customHeight="1" x14ac:dyDescent="0.4">
      <c r="B5029" t="s">
        <v>7</v>
      </c>
      <c r="C5029" t="s">
        <v>990</v>
      </c>
      <c r="D5029" s="7">
        <f>DATE(2014,9,3)</f>
        <v>41885</v>
      </c>
      <c r="E5029" s="8">
        <f t="shared" si="82"/>
        <v>2014</v>
      </c>
      <c r="F5029" t="s">
        <v>991</v>
      </c>
      <c r="G5029" s="9">
        <v>9946.6200000000008</v>
      </c>
      <c r="H5029" s="8">
        <v>13381</v>
      </c>
    </row>
    <row r="5030" spans="2:8" ht="17.5" customHeight="1" x14ac:dyDescent="0.4">
      <c r="B5030" t="s">
        <v>7</v>
      </c>
      <c r="C5030" t="s">
        <v>990</v>
      </c>
      <c r="D5030" s="7">
        <f>DATE(2010,9,9)</f>
        <v>40430</v>
      </c>
      <c r="E5030" s="8">
        <f t="shared" si="82"/>
        <v>2010</v>
      </c>
      <c r="F5030" t="s">
        <v>991</v>
      </c>
      <c r="G5030" s="9">
        <v>12239.99</v>
      </c>
      <c r="H5030" s="8">
        <v>10040</v>
      </c>
    </row>
    <row r="5031" spans="2:8" ht="17.5" customHeight="1" x14ac:dyDescent="0.4">
      <c r="B5031" t="s">
        <v>7</v>
      </c>
      <c r="C5031" t="s">
        <v>990</v>
      </c>
      <c r="D5031" s="7">
        <f>DATE(2011,2,18)</f>
        <v>40592</v>
      </c>
      <c r="E5031" s="8">
        <f t="shared" si="82"/>
        <v>2011</v>
      </c>
      <c r="F5031" t="s">
        <v>991</v>
      </c>
      <c r="G5031" s="9">
        <v>1836</v>
      </c>
      <c r="H5031" s="8">
        <v>10485</v>
      </c>
    </row>
    <row r="5032" spans="2:8" ht="17.5" customHeight="1" x14ac:dyDescent="0.4">
      <c r="B5032" t="s">
        <v>7</v>
      </c>
      <c r="C5032" t="s">
        <v>990</v>
      </c>
      <c r="D5032" s="7">
        <f>DATE(2012,1,6)</f>
        <v>40914</v>
      </c>
      <c r="E5032" s="8">
        <f t="shared" si="82"/>
        <v>2012</v>
      </c>
      <c r="F5032" t="s">
        <v>991</v>
      </c>
      <c r="G5032" s="9">
        <v>14703.47</v>
      </c>
      <c r="H5032" s="8">
        <v>11164</v>
      </c>
    </row>
    <row r="5033" spans="2:8" ht="17.5" customHeight="1" x14ac:dyDescent="0.4">
      <c r="B5033" t="s">
        <v>7</v>
      </c>
      <c r="C5033" t="s">
        <v>990</v>
      </c>
      <c r="D5033" s="7">
        <f>DATE(2013,6,28)</f>
        <v>41453</v>
      </c>
      <c r="E5033" s="8">
        <f t="shared" si="82"/>
        <v>2013</v>
      </c>
      <c r="F5033" t="s">
        <v>991</v>
      </c>
      <c r="G5033" s="9">
        <v>15120.76</v>
      </c>
      <c r="H5033" s="8">
        <v>12520</v>
      </c>
    </row>
    <row r="5034" spans="2:8" ht="17.5" customHeight="1" x14ac:dyDescent="0.4">
      <c r="B5034" t="s">
        <v>7</v>
      </c>
      <c r="C5034" t="s">
        <v>990</v>
      </c>
      <c r="D5034" s="7">
        <f>DATE(2013,11,1)</f>
        <v>41579</v>
      </c>
      <c r="E5034" s="8">
        <f t="shared" si="82"/>
        <v>2013</v>
      </c>
      <c r="F5034" t="s">
        <v>991</v>
      </c>
      <c r="G5034" s="9">
        <v>14846.55</v>
      </c>
      <c r="H5034" s="8">
        <v>12703</v>
      </c>
    </row>
    <row r="5035" spans="2:8" ht="17.5" customHeight="1" x14ac:dyDescent="0.4">
      <c r="B5035" t="s">
        <v>16</v>
      </c>
      <c r="C5035" t="s">
        <v>990</v>
      </c>
      <c r="D5035" s="7">
        <f>DATE(2007,12,11)</f>
        <v>39427</v>
      </c>
      <c r="E5035" s="8">
        <f t="shared" si="82"/>
        <v>2007</v>
      </c>
      <c r="F5035" t="s">
        <v>991</v>
      </c>
      <c r="G5035" s="9">
        <v>435.2</v>
      </c>
      <c r="H5035" s="8">
        <v>6692</v>
      </c>
    </row>
    <row r="5036" spans="2:8" ht="17.5" customHeight="1" x14ac:dyDescent="0.4">
      <c r="B5036" t="s">
        <v>16</v>
      </c>
      <c r="C5036" t="s">
        <v>990</v>
      </c>
      <c r="D5036" s="7">
        <f>DATE(2008,3,12)</f>
        <v>39519</v>
      </c>
      <c r="E5036" s="8">
        <f t="shared" si="82"/>
        <v>2008</v>
      </c>
      <c r="F5036" t="s">
        <v>991</v>
      </c>
      <c r="G5036" s="9">
        <v>1105</v>
      </c>
      <c r="H5036" s="8">
        <v>7218</v>
      </c>
    </row>
    <row r="5037" spans="2:8" ht="17.5" customHeight="1" x14ac:dyDescent="0.4">
      <c r="B5037" t="s">
        <v>16</v>
      </c>
      <c r="C5037" t="s">
        <v>990</v>
      </c>
      <c r="D5037" s="7">
        <f>DATE(2009,6,15)</f>
        <v>39979</v>
      </c>
      <c r="E5037" s="8">
        <f t="shared" si="82"/>
        <v>2009</v>
      </c>
      <c r="F5037" t="s">
        <v>991</v>
      </c>
      <c r="G5037" s="9">
        <v>3565.5</v>
      </c>
      <c r="H5037" s="8">
        <v>8809</v>
      </c>
    </row>
    <row r="5038" spans="2:8" ht="17.5" customHeight="1" x14ac:dyDescent="0.4">
      <c r="B5038" s="3" t="s">
        <v>7</v>
      </c>
      <c r="C5038" s="3" t="s">
        <v>990</v>
      </c>
      <c r="D5038" s="4">
        <f>DATE(2003,2,5)</f>
        <v>37657</v>
      </c>
      <c r="E5038" s="5">
        <f t="shared" si="82"/>
        <v>2003</v>
      </c>
      <c r="F5038" s="3" t="s">
        <v>991</v>
      </c>
      <c r="G5038" s="6">
        <v>1872</v>
      </c>
      <c r="H5038" s="5">
        <v>10</v>
      </c>
    </row>
    <row r="5039" spans="2:8" ht="17.5" customHeight="1" x14ac:dyDescent="0.4">
      <c r="B5039" s="3" t="s">
        <v>7</v>
      </c>
      <c r="C5039" s="3" t="s">
        <v>990</v>
      </c>
      <c r="D5039" s="4">
        <f>DATE(2003,5,12)</f>
        <v>37753</v>
      </c>
      <c r="E5039" s="5">
        <f t="shared" si="82"/>
        <v>2003</v>
      </c>
      <c r="F5039" s="3" t="s">
        <v>991</v>
      </c>
      <c r="G5039" s="6">
        <v>995.5</v>
      </c>
      <c r="H5039" s="5">
        <v>142</v>
      </c>
    </row>
    <row r="5040" spans="2:8" ht="17.5" customHeight="1" x14ac:dyDescent="0.4">
      <c r="B5040" s="3" t="s">
        <v>7</v>
      </c>
      <c r="C5040" s="3" t="s">
        <v>990</v>
      </c>
      <c r="D5040" s="4">
        <f>DATE(2003,5,22)</f>
        <v>37763</v>
      </c>
      <c r="E5040" s="5">
        <f t="shared" si="82"/>
        <v>2003</v>
      </c>
      <c r="F5040" s="3" t="s">
        <v>991</v>
      </c>
      <c r="G5040" s="6">
        <v>1337.75</v>
      </c>
      <c r="H5040" s="5">
        <v>160</v>
      </c>
    </row>
    <row r="5041" spans="2:8" ht="17.5" customHeight="1" x14ac:dyDescent="0.4">
      <c r="B5041" s="3" t="s">
        <v>7</v>
      </c>
      <c r="C5041" s="3" t="s">
        <v>990</v>
      </c>
      <c r="D5041" s="4">
        <f>DATE(2003,5,29)</f>
        <v>37770</v>
      </c>
      <c r="E5041" s="5">
        <f t="shared" si="82"/>
        <v>2003</v>
      </c>
      <c r="F5041" s="3" t="s">
        <v>991</v>
      </c>
      <c r="G5041" s="6">
        <v>378.5</v>
      </c>
      <c r="H5041" s="5">
        <v>175</v>
      </c>
    </row>
    <row r="5042" spans="2:8" ht="17.5" customHeight="1" x14ac:dyDescent="0.4">
      <c r="B5042" s="3" t="s">
        <v>7</v>
      </c>
      <c r="C5042" s="3" t="s">
        <v>990</v>
      </c>
      <c r="D5042" s="4">
        <f>DATE(2003,8,28)</f>
        <v>37861</v>
      </c>
      <c r="E5042" s="5">
        <f t="shared" si="82"/>
        <v>2003</v>
      </c>
      <c r="F5042" s="3" t="s">
        <v>991</v>
      </c>
      <c r="G5042" s="6">
        <v>7643.8</v>
      </c>
      <c r="H5042" s="5">
        <v>298</v>
      </c>
    </row>
    <row r="5043" spans="2:8" ht="17.5" customHeight="1" x14ac:dyDescent="0.4">
      <c r="B5043" s="3" t="s">
        <v>7</v>
      </c>
      <c r="C5043" s="3" t="s">
        <v>990</v>
      </c>
      <c r="D5043" s="4">
        <f>DATE(2003,10,21)</f>
        <v>37915</v>
      </c>
      <c r="E5043" s="5">
        <f t="shared" si="82"/>
        <v>2003</v>
      </c>
      <c r="F5043" s="3" t="s">
        <v>991</v>
      </c>
      <c r="G5043" s="6">
        <v>1330</v>
      </c>
      <c r="H5043" s="5">
        <v>382</v>
      </c>
    </row>
    <row r="5044" spans="2:8" ht="17.5" customHeight="1" x14ac:dyDescent="0.4">
      <c r="B5044" s="3" t="s">
        <v>7</v>
      </c>
      <c r="C5044" s="3" t="s">
        <v>990</v>
      </c>
      <c r="D5044" s="4">
        <f>DATE(2003,10,24)</f>
        <v>37918</v>
      </c>
      <c r="E5044" s="5">
        <f t="shared" si="82"/>
        <v>2003</v>
      </c>
      <c r="F5044" s="3" t="s">
        <v>991</v>
      </c>
      <c r="G5044" s="6">
        <v>16585.68</v>
      </c>
      <c r="H5044" s="5">
        <v>309</v>
      </c>
    </row>
    <row r="5045" spans="2:8" ht="17.5" customHeight="1" x14ac:dyDescent="0.4">
      <c r="B5045" s="3" t="s">
        <v>7</v>
      </c>
      <c r="C5045" s="3" t="s">
        <v>990</v>
      </c>
      <c r="D5045" s="4">
        <f>DATE(2003,10,31)</f>
        <v>37925</v>
      </c>
      <c r="E5045" s="5">
        <f t="shared" si="82"/>
        <v>2003</v>
      </c>
      <c r="F5045" s="3" t="s">
        <v>991</v>
      </c>
      <c r="G5045" s="6">
        <v>3062.78</v>
      </c>
      <c r="H5045" s="5">
        <v>385</v>
      </c>
    </row>
    <row r="5046" spans="2:8" ht="17.5" customHeight="1" x14ac:dyDescent="0.4">
      <c r="B5046" s="3" t="s">
        <v>7</v>
      </c>
      <c r="C5046" s="3" t="s">
        <v>990</v>
      </c>
      <c r="D5046" s="4">
        <f>DATE(2003,10,31)</f>
        <v>37925</v>
      </c>
      <c r="E5046" s="5">
        <f t="shared" si="82"/>
        <v>2003</v>
      </c>
      <c r="F5046" s="3" t="s">
        <v>991</v>
      </c>
      <c r="G5046" s="6">
        <v>92.63</v>
      </c>
      <c r="H5046" s="5">
        <v>405</v>
      </c>
    </row>
    <row r="5047" spans="2:8" ht="17.5" customHeight="1" x14ac:dyDescent="0.4">
      <c r="B5047" s="3" t="s">
        <v>7</v>
      </c>
      <c r="C5047" s="3" t="s">
        <v>990</v>
      </c>
      <c r="D5047" s="4">
        <f>DATE(2004,2,4)</f>
        <v>38021</v>
      </c>
      <c r="E5047" s="5">
        <f t="shared" si="82"/>
        <v>2004</v>
      </c>
      <c r="F5047" s="3" t="s">
        <v>991</v>
      </c>
      <c r="G5047" s="6">
        <v>7970</v>
      </c>
      <c r="H5047" s="5">
        <v>503</v>
      </c>
    </row>
    <row r="5048" spans="2:8" ht="17.5" customHeight="1" x14ac:dyDescent="0.4">
      <c r="B5048" s="3" t="s">
        <v>7</v>
      </c>
      <c r="C5048" s="3" t="s">
        <v>990</v>
      </c>
      <c r="D5048" s="4">
        <f>DATE(2004,1,30)</f>
        <v>38016</v>
      </c>
      <c r="E5048" s="5">
        <f t="shared" si="82"/>
        <v>2004</v>
      </c>
      <c r="F5048" s="3" t="s">
        <v>991</v>
      </c>
      <c r="G5048" s="6">
        <v>25642.2</v>
      </c>
      <c r="H5048" s="5">
        <v>502</v>
      </c>
    </row>
    <row r="5049" spans="2:8" ht="17.5" customHeight="1" x14ac:dyDescent="0.4">
      <c r="B5049" s="3" t="s">
        <v>7</v>
      </c>
      <c r="C5049" s="3" t="s">
        <v>990</v>
      </c>
      <c r="D5049" s="4">
        <f>DATE(2004,3,8)</f>
        <v>38054</v>
      </c>
      <c r="E5049" s="5">
        <f t="shared" si="82"/>
        <v>2004</v>
      </c>
      <c r="F5049" s="3" t="s">
        <v>991</v>
      </c>
      <c r="G5049" s="6">
        <v>659.85</v>
      </c>
      <c r="H5049" s="5">
        <v>551</v>
      </c>
    </row>
    <row r="5050" spans="2:8" ht="17.5" customHeight="1" x14ac:dyDescent="0.4">
      <c r="B5050" s="3" t="s">
        <v>7</v>
      </c>
      <c r="C5050" s="3" t="s">
        <v>990</v>
      </c>
      <c r="D5050" s="4">
        <f>DATE(2004,3,26)</f>
        <v>38072</v>
      </c>
      <c r="E5050" s="5">
        <f t="shared" si="82"/>
        <v>2004</v>
      </c>
      <c r="F5050" s="3" t="s">
        <v>991</v>
      </c>
      <c r="G5050" s="6">
        <v>582.75</v>
      </c>
      <c r="H5050" s="5">
        <v>573</v>
      </c>
    </row>
    <row r="5051" spans="2:8" ht="17.5" customHeight="1" x14ac:dyDescent="0.4">
      <c r="B5051" s="3" t="s">
        <v>7</v>
      </c>
      <c r="C5051" s="3" t="s">
        <v>990</v>
      </c>
      <c r="D5051" s="4">
        <f>DATE(2007,2,1)</f>
        <v>39114</v>
      </c>
      <c r="E5051" s="5">
        <f t="shared" si="82"/>
        <v>2007</v>
      </c>
      <c r="F5051" s="3" t="s">
        <v>991</v>
      </c>
      <c r="G5051" s="6">
        <v>1765.2</v>
      </c>
      <c r="H5051" s="5">
        <v>2091</v>
      </c>
    </row>
    <row r="5052" spans="2:8" ht="17.5" customHeight="1" x14ac:dyDescent="0.4">
      <c r="B5052" s="3" t="s">
        <v>7</v>
      </c>
      <c r="C5052" s="3" t="s">
        <v>990</v>
      </c>
      <c r="D5052" s="4">
        <f>DATE(2007,2,28)</f>
        <v>39141</v>
      </c>
      <c r="E5052" s="5">
        <f t="shared" si="82"/>
        <v>2007</v>
      </c>
      <c r="F5052" s="3" t="s">
        <v>991</v>
      </c>
      <c r="G5052" s="6">
        <v>438.5</v>
      </c>
      <c r="H5052" s="5">
        <v>2082</v>
      </c>
    </row>
    <row r="5053" spans="2:8" ht="17.5" customHeight="1" x14ac:dyDescent="0.4">
      <c r="B5053" s="3" t="s">
        <v>7</v>
      </c>
      <c r="C5053" s="3" t="s">
        <v>990</v>
      </c>
      <c r="D5053" s="4">
        <f>DATE(2007,2,28)</f>
        <v>39141</v>
      </c>
      <c r="E5053" s="5">
        <f t="shared" si="82"/>
        <v>2007</v>
      </c>
      <c r="F5053" s="3" t="s">
        <v>991</v>
      </c>
      <c r="G5053" s="6">
        <v>2729.5</v>
      </c>
      <c r="H5053" s="5">
        <v>2083</v>
      </c>
    </row>
    <row r="5054" spans="2:8" ht="17.5" customHeight="1" x14ac:dyDescent="0.4">
      <c r="B5054" s="3" t="s">
        <v>7</v>
      </c>
      <c r="C5054" s="3" t="s">
        <v>990</v>
      </c>
      <c r="D5054" s="4">
        <f>DATE(2007,3,2)</f>
        <v>39143</v>
      </c>
      <c r="E5054" s="5">
        <f t="shared" si="82"/>
        <v>2007</v>
      </c>
      <c r="F5054" s="3" t="s">
        <v>991</v>
      </c>
      <c r="G5054" s="6">
        <v>438.5</v>
      </c>
      <c r="H5054" s="5">
        <v>2089</v>
      </c>
    </row>
    <row r="5055" spans="2:8" ht="17.5" customHeight="1" x14ac:dyDescent="0.4">
      <c r="B5055" s="3" t="s">
        <v>7</v>
      </c>
      <c r="C5055" s="3" t="s">
        <v>990</v>
      </c>
      <c r="D5055" s="4">
        <f>DATE(2007,3,6)</f>
        <v>39147</v>
      </c>
      <c r="E5055" s="5">
        <f t="shared" si="82"/>
        <v>2007</v>
      </c>
      <c r="F5055" s="3" t="s">
        <v>991</v>
      </c>
      <c r="G5055" s="6">
        <v>438.5</v>
      </c>
      <c r="H5055" s="5">
        <v>2107</v>
      </c>
    </row>
    <row r="5056" spans="2:8" ht="17.5" customHeight="1" x14ac:dyDescent="0.4">
      <c r="B5056" s="3" t="s">
        <v>7</v>
      </c>
      <c r="C5056" s="3" t="s">
        <v>990</v>
      </c>
      <c r="D5056" s="4">
        <f>DATE(2007,3,7)</f>
        <v>39148</v>
      </c>
      <c r="E5056" s="5">
        <f t="shared" si="82"/>
        <v>2007</v>
      </c>
      <c r="F5056" s="3" t="s">
        <v>991</v>
      </c>
      <c r="G5056" s="6">
        <v>330.3</v>
      </c>
      <c r="H5056" s="5">
        <v>2139</v>
      </c>
    </row>
    <row r="5057" spans="2:8" ht="17.5" customHeight="1" x14ac:dyDescent="0.4">
      <c r="B5057" s="3" t="s">
        <v>7</v>
      </c>
      <c r="C5057" s="3" t="s">
        <v>990</v>
      </c>
      <c r="D5057" s="4">
        <f>DATE(2007,3,7)</f>
        <v>39148</v>
      </c>
      <c r="E5057" s="5">
        <f t="shared" si="82"/>
        <v>2007</v>
      </c>
      <c r="F5057" s="3" t="s">
        <v>991</v>
      </c>
      <c r="G5057" s="6">
        <v>2247.7800000000002</v>
      </c>
      <c r="H5057" s="5">
        <v>2140</v>
      </c>
    </row>
    <row r="5058" spans="2:8" ht="17.5" customHeight="1" x14ac:dyDescent="0.4">
      <c r="B5058" s="3" t="s">
        <v>7</v>
      </c>
      <c r="C5058" s="3" t="s">
        <v>990</v>
      </c>
      <c r="D5058" s="4">
        <f>DATE(2007,3,7)</f>
        <v>39148</v>
      </c>
      <c r="E5058" s="5">
        <f t="shared" si="82"/>
        <v>2007</v>
      </c>
      <c r="F5058" s="3" t="s">
        <v>991</v>
      </c>
      <c r="G5058" s="6">
        <v>660.6</v>
      </c>
      <c r="H5058" s="5">
        <v>2141</v>
      </c>
    </row>
    <row r="5059" spans="2:8" ht="17.5" customHeight="1" x14ac:dyDescent="0.4">
      <c r="B5059" s="3" t="s">
        <v>7</v>
      </c>
      <c r="C5059" s="3" t="s">
        <v>990</v>
      </c>
      <c r="D5059" s="4">
        <f>DATE(2007,3,20)</f>
        <v>39161</v>
      </c>
      <c r="E5059" s="5">
        <f t="shared" ref="E5059:E5122" si="83">YEAR(D5059)</f>
        <v>2007</v>
      </c>
      <c r="F5059" s="3" t="s">
        <v>991</v>
      </c>
      <c r="G5059" s="6">
        <v>2954.52</v>
      </c>
      <c r="H5059" s="5">
        <v>2116</v>
      </c>
    </row>
    <row r="5060" spans="2:8" ht="17.5" customHeight="1" x14ac:dyDescent="0.4">
      <c r="B5060" s="3" t="s">
        <v>7</v>
      </c>
      <c r="C5060" s="3" t="s">
        <v>990</v>
      </c>
      <c r="D5060" s="4">
        <f>DATE(2007,3,21)</f>
        <v>39162</v>
      </c>
      <c r="E5060" s="5">
        <f t="shared" si="83"/>
        <v>2007</v>
      </c>
      <c r="F5060" s="3" t="s">
        <v>991</v>
      </c>
      <c r="G5060" s="6">
        <v>550.96</v>
      </c>
      <c r="H5060" s="5">
        <v>2134</v>
      </c>
    </row>
    <row r="5061" spans="2:8" ht="17.5" customHeight="1" x14ac:dyDescent="0.4">
      <c r="B5061" s="3" t="s">
        <v>7</v>
      </c>
      <c r="C5061" s="3" t="s">
        <v>990</v>
      </c>
      <c r="D5061" s="4">
        <f>DATE(2007,3,22)</f>
        <v>39163</v>
      </c>
      <c r="E5061" s="5">
        <f t="shared" si="83"/>
        <v>2007</v>
      </c>
      <c r="F5061" s="3" t="s">
        <v>991</v>
      </c>
      <c r="G5061" s="6">
        <v>137.34</v>
      </c>
      <c r="H5061" s="5">
        <v>2135</v>
      </c>
    </row>
    <row r="5062" spans="2:8" ht="17.5" customHeight="1" x14ac:dyDescent="0.4">
      <c r="B5062" s="3" t="s">
        <v>7</v>
      </c>
      <c r="C5062" s="3" t="s">
        <v>990</v>
      </c>
      <c r="D5062" s="4">
        <f>DATE(2007,4,24)</f>
        <v>39196</v>
      </c>
      <c r="E5062" s="5">
        <f t="shared" si="83"/>
        <v>2007</v>
      </c>
      <c r="F5062" s="3" t="s">
        <v>991</v>
      </c>
      <c r="G5062" s="6">
        <v>253.28</v>
      </c>
      <c r="H5062" s="5">
        <v>2203</v>
      </c>
    </row>
    <row r="5063" spans="2:8" ht="17.5" customHeight="1" x14ac:dyDescent="0.4">
      <c r="B5063" s="3" t="s">
        <v>7</v>
      </c>
      <c r="C5063" s="3" t="s">
        <v>990</v>
      </c>
      <c r="D5063" s="4">
        <f>DATE(2007,5,11)</f>
        <v>39213</v>
      </c>
      <c r="E5063" s="5">
        <f t="shared" si="83"/>
        <v>2007</v>
      </c>
      <c r="F5063" s="3" t="s">
        <v>991</v>
      </c>
      <c r="G5063" s="6">
        <v>14191.08</v>
      </c>
      <c r="H5063" s="5">
        <v>2229</v>
      </c>
    </row>
    <row r="5064" spans="2:8" ht="17.5" customHeight="1" x14ac:dyDescent="0.4">
      <c r="B5064" s="3" t="s">
        <v>7</v>
      </c>
      <c r="C5064" s="3" t="s">
        <v>990</v>
      </c>
      <c r="D5064" s="4">
        <f>DATE(2007,5,18)</f>
        <v>39220</v>
      </c>
      <c r="E5064" s="5">
        <f t="shared" si="83"/>
        <v>2007</v>
      </c>
      <c r="F5064" s="3" t="s">
        <v>991</v>
      </c>
      <c r="G5064" s="6">
        <v>191.97</v>
      </c>
      <c r="H5064" s="5">
        <v>2255</v>
      </c>
    </row>
    <row r="5065" spans="2:8" ht="17.5" customHeight="1" x14ac:dyDescent="0.4">
      <c r="B5065" s="3" t="s">
        <v>7</v>
      </c>
      <c r="C5065" s="3" t="s">
        <v>990</v>
      </c>
      <c r="D5065" s="4">
        <f>DATE(2007,5,15)</f>
        <v>39217</v>
      </c>
      <c r="E5065" s="5">
        <f t="shared" si="83"/>
        <v>2007</v>
      </c>
      <c r="F5065" s="3" t="s">
        <v>991</v>
      </c>
      <c r="G5065" s="6">
        <v>567.1</v>
      </c>
      <c r="H5065" s="5">
        <v>2268</v>
      </c>
    </row>
    <row r="5066" spans="2:8" ht="17.5" customHeight="1" x14ac:dyDescent="0.4">
      <c r="B5066" s="3" t="s">
        <v>7</v>
      </c>
      <c r="C5066" s="3" t="s">
        <v>990</v>
      </c>
      <c r="D5066" s="4">
        <f>DATE(2007,5,29)</f>
        <v>39231</v>
      </c>
      <c r="E5066" s="5">
        <f t="shared" si="83"/>
        <v>2007</v>
      </c>
      <c r="F5066" s="3" t="s">
        <v>991</v>
      </c>
      <c r="G5066" s="6">
        <v>172.38</v>
      </c>
      <c r="H5066" s="5">
        <v>2269</v>
      </c>
    </row>
    <row r="5067" spans="2:8" ht="17.5" customHeight="1" x14ac:dyDescent="0.4">
      <c r="B5067" s="3" t="s">
        <v>7</v>
      </c>
      <c r="C5067" s="3" t="s">
        <v>990</v>
      </c>
      <c r="D5067" s="4">
        <f>DATE(2007,5,30)</f>
        <v>39232</v>
      </c>
      <c r="E5067" s="5">
        <f t="shared" si="83"/>
        <v>2007</v>
      </c>
      <c r="F5067" s="3" t="s">
        <v>991</v>
      </c>
      <c r="G5067" s="6">
        <v>1695.07</v>
      </c>
      <c r="H5067" s="5">
        <v>2271</v>
      </c>
    </row>
    <row r="5068" spans="2:8" ht="17.5" customHeight="1" x14ac:dyDescent="0.4">
      <c r="B5068" s="3" t="s">
        <v>7</v>
      </c>
      <c r="C5068" s="3" t="s">
        <v>990</v>
      </c>
      <c r="D5068" s="4">
        <f>DATE(2007,5,17)</f>
        <v>39219</v>
      </c>
      <c r="E5068" s="5">
        <f t="shared" si="83"/>
        <v>2007</v>
      </c>
      <c r="F5068" s="3" t="s">
        <v>991</v>
      </c>
      <c r="G5068" s="6">
        <v>49200</v>
      </c>
      <c r="H5068" s="5">
        <v>2256</v>
      </c>
    </row>
    <row r="5069" spans="2:8" ht="17.5" customHeight="1" x14ac:dyDescent="0.4">
      <c r="B5069" s="3" t="s">
        <v>7</v>
      </c>
      <c r="C5069" s="3" t="s">
        <v>990</v>
      </c>
      <c r="D5069" s="4">
        <f>DATE(2007,6,4)</f>
        <v>39237</v>
      </c>
      <c r="E5069" s="5">
        <f t="shared" si="83"/>
        <v>2007</v>
      </c>
      <c r="F5069" s="3" t="s">
        <v>991</v>
      </c>
      <c r="G5069" s="6">
        <v>769.8</v>
      </c>
      <c r="H5069" s="5">
        <v>2287</v>
      </c>
    </row>
    <row r="5070" spans="2:8" ht="17.5" customHeight="1" x14ac:dyDescent="0.4">
      <c r="B5070" s="3" t="s">
        <v>7</v>
      </c>
      <c r="C5070" s="3" t="s">
        <v>990</v>
      </c>
      <c r="D5070" s="4">
        <f>DATE(2007,5,29)</f>
        <v>39231</v>
      </c>
      <c r="E5070" s="5">
        <f t="shared" si="83"/>
        <v>2007</v>
      </c>
      <c r="F5070" s="3" t="s">
        <v>991</v>
      </c>
      <c r="G5070" s="6">
        <v>826.65</v>
      </c>
      <c r="H5070" s="5">
        <v>2316</v>
      </c>
    </row>
    <row r="5071" spans="2:8" ht="17.5" customHeight="1" x14ac:dyDescent="0.4">
      <c r="B5071" s="3" t="s">
        <v>7</v>
      </c>
      <c r="C5071" s="3" t="s">
        <v>990</v>
      </c>
      <c r="D5071" s="4">
        <f>DATE(2007,6,4)</f>
        <v>39237</v>
      </c>
      <c r="E5071" s="5">
        <f t="shared" si="83"/>
        <v>2007</v>
      </c>
      <c r="F5071" s="3" t="s">
        <v>991</v>
      </c>
      <c r="G5071" s="6">
        <v>890.65</v>
      </c>
      <c r="H5071" s="5">
        <v>2317</v>
      </c>
    </row>
    <row r="5072" spans="2:8" ht="17.5" customHeight="1" x14ac:dyDescent="0.4">
      <c r="B5072" s="3" t="s">
        <v>7</v>
      </c>
      <c r="C5072" s="3" t="s">
        <v>990</v>
      </c>
      <c r="D5072" s="4">
        <f>DATE(2007,8,2)</f>
        <v>39296</v>
      </c>
      <c r="E5072" s="5">
        <f t="shared" si="83"/>
        <v>2007</v>
      </c>
      <c r="F5072" s="3" t="s">
        <v>991</v>
      </c>
      <c r="G5072" s="6">
        <v>544.78</v>
      </c>
      <c r="H5072" s="5">
        <v>2352</v>
      </c>
    </row>
    <row r="5073" spans="2:8" ht="17.5" customHeight="1" x14ac:dyDescent="0.4">
      <c r="B5073" s="3" t="s">
        <v>7</v>
      </c>
      <c r="C5073" s="3" t="s">
        <v>990</v>
      </c>
      <c r="D5073" s="4">
        <f>DATE(2007,8,3)</f>
        <v>39297</v>
      </c>
      <c r="E5073" s="5">
        <f t="shared" si="83"/>
        <v>2007</v>
      </c>
      <c r="F5073" s="3" t="s">
        <v>991</v>
      </c>
      <c r="G5073" s="6">
        <v>2393.8000000000002</v>
      </c>
      <c r="H5073" s="5">
        <v>2353</v>
      </c>
    </row>
    <row r="5074" spans="2:8" ht="17.5" customHeight="1" x14ac:dyDescent="0.4">
      <c r="B5074" s="3" t="s">
        <v>7</v>
      </c>
      <c r="C5074" s="3" t="s">
        <v>990</v>
      </c>
      <c r="D5074" s="4">
        <f>DATE(2007,8,10)</f>
        <v>39304</v>
      </c>
      <c r="E5074" s="5">
        <f t="shared" si="83"/>
        <v>2007</v>
      </c>
      <c r="F5074" s="3" t="s">
        <v>991</v>
      </c>
      <c r="G5074" s="6">
        <v>578.25</v>
      </c>
      <c r="H5074" s="5">
        <v>2362</v>
      </c>
    </row>
    <row r="5075" spans="2:8" ht="17.5" customHeight="1" x14ac:dyDescent="0.4">
      <c r="B5075" s="3" t="s">
        <v>7</v>
      </c>
      <c r="C5075" s="3" t="s">
        <v>990</v>
      </c>
      <c r="D5075" s="4">
        <f>DATE(2007,8,17)</f>
        <v>39311</v>
      </c>
      <c r="E5075" s="5">
        <f t="shared" si="83"/>
        <v>2007</v>
      </c>
      <c r="F5075" s="3" t="s">
        <v>991</v>
      </c>
      <c r="G5075" s="6">
        <v>867.11</v>
      </c>
      <c r="H5075" s="5">
        <v>2356</v>
      </c>
    </row>
    <row r="5076" spans="2:8" ht="17.5" customHeight="1" x14ac:dyDescent="0.4">
      <c r="B5076" s="3" t="s">
        <v>7</v>
      </c>
      <c r="C5076" s="3" t="s">
        <v>990</v>
      </c>
      <c r="D5076" s="4">
        <f>DATE(2007,8,3)</f>
        <v>39297</v>
      </c>
      <c r="E5076" s="5">
        <f t="shared" si="83"/>
        <v>2007</v>
      </c>
      <c r="F5076" s="3" t="s">
        <v>991</v>
      </c>
      <c r="G5076" s="6">
        <v>277.74</v>
      </c>
      <c r="H5076" s="5">
        <v>2369</v>
      </c>
    </row>
    <row r="5077" spans="2:8" ht="17.5" customHeight="1" x14ac:dyDescent="0.4">
      <c r="B5077" s="3" t="s">
        <v>7</v>
      </c>
      <c r="C5077" s="3" t="s">
        <v>990</v>
      </c>
      <c r="D5077" s="4">
        <f>DATE(2007,9,28)</f>
        <v>39353</v>
      </c>
      <c r="E5077" s="5">
        <f t="shared" si="83"/>
        <v>2007</v>
      </c>
      <c r="F5077" s="3" t="s">
        <v>991</v>
      </c>
      <c r="G5077" s="6">
        <v>562.4</v>
      </c>
      <c r="H5077" s="5">
        <v>2415</v>
      </c>
    </row>
    <row r="5078" spans="2:8" ht="17.5" customHeight="1" x14ac:dyDescent="0.4">
      <c r="B5078" s="3" t="s">
        <v>7</v>
      </c>
      <c r="C5078" s="3" t="s">
        <v>990</v>
      </c>
      <c r="D5078" s="4">
        <f>DATE(2007,10,4)</f>
        <v>39359</v>
      </c>
      <c r="E5078" s="5">
        <f t="shared" si="83"/>
        <v>2007</v>
      </c>
      <c r="F5078" s="3" t="s">
        <v>991</v>
      </c>
      <c r="G5078" s="6">
        <v>405.7</v>
      </c>
      <c r="H5078" s="5">
        <v>2427</v>
      </c>
    </row>
    <row r="5079" spans="2:8" ht="17.5" customHeight="1" x14ac:dyDescent="0.4">
      <c r="B5079" s="3" t="s">
        <v>7</v>
      </c>
      <c r="C5079" s="3" t="s">
        <v>990</v>
      </c>
      <c r="D5079" s="4">
        <f>DATE(2007,11,29)</f>
        <v>39415</v>
      </c>
      <c r="E5079" s="5">
        <f t="shared" si="83"/>
        <v>2007</v>
      </c>
      <c r="F5079" s="3" t="s">
        <v>991</v>
      </c>
      <c r="G5079" s="6">
        <v>1187.76</v>
      </c>
      <c r="H5079" s="5">
        <v>2506</v>
      </c>
    </row>
    <row r="5080" spans="2:8" ht="17.5" customHeight="1" x14ac:dyDescent="0.4">
      <c r="B5080" s="3" t="s">
        <v>7</v>
      </c>
      <c r="C5080" s="3" t="s">
        <v>990</v>
      </c>
      <c r="D5080" s="4">
        <f>DATE(2007,11,30)</f>
        <v>39416</v>
      </c>
      <c r="E5080" s="5">
        <f t="shared" si="83"/>
        <v>2007</v>
      </c>
      <c r="F5080" s="3" t="s">
        <v>991</v>
      </c>
      <c r="G5080" s="6">
        <v>924.97</v>
      </c>
      <c r="H5080" s="5">
        <v>2526</v>
      </c>
    </row>
    <row r="5081" spans="2:8" ht="17.5" customHeight="1" x14ac:dyDescent="0.4">
      <c r="B5081" s="3" t="s">
        <v>7</v>
      </c>
      <c r="C5081" s="3" t="s">
        <v>990</v>
      </c>
      <c r="D5081" s="4">
        <f>DATE(2007,12,5)</f>
        <v>39421</v>
      </c>
      <c r="E5081" s="5">
        <f t="shared" si="83"/>
        <v>2007</v>
      </c>
      <c r="F5081" s="3" t="s">
        <v>991</v>
      </c>
      <c r="G5081" s="6">
        <v>405.7</v>
      </c>
      <c r="H5081" s="5">
        <v>2530</v>
      </c>
    </row>
    <row r="5082" spans="2:8" ht="17.5" customHeight="1" x14ac:dyDescent="0.4">
      <c r="B5082" s="3" t="s">
        <v>7</v>
      </c>
      <c r="C5082" s="3" t="s">
        <v>990</v>
      </c>
      <c r="D5082" s="4">
        <f>DATE(2007,12,11)</f>
        <v>39427</v>
      </c>
      <c r="E5082" s="5">
        <f t="shared" si="83"/>
        <v>2007</v>
      </c>
      <c r="F5082" s="3" t="s">
        <v>991</v>
      </c>
      <c r="G5082" s="6">
        <v>2117.56</v>
      </c>
      <c r="H5082" s="5">
        <v>2521</v>
      </c>
    </row>
    <row r="5083" spans="2:8" ht="17.5" customHeight="1" x14ac:dyDescent="0.4">
      <c r="B5083" s="3" t="s">
        <v>7</v>
      </c>
      <c r="C5083" s="3" t="s">
        <v>990</v>
      </c>
      <c r="D5083" s="4">
        <f>DATE(2008,5,8)</f>
        <v>39576</v>
      </c>
      <c r="E5083" s="5">
        <f t="shared" si="83"/>
        <v>2008</v>
      </c>
      <c r="F5083" s="3" t="s">
        <v>991</v>
      </c>
      <c r="G5083" s="6">
        <v>1464.7</v>
      </c>
      <c r="H5083" s="5">
        <v>2817</v>
      </c>
    </row>
    <row r="5084" spans="2:8" ht="17.5" customHeight="1" x14ac:dyDescent="0.4">
      <c r="B5084" s="3" t="s">
        <v>7</v>
      </c>
      <c r="C5084" s="3" t="s">
        <v>990</v>
      </c>
      <c r="D5084" s="4">
        <f>DATE(2008,5,14)</f>
        <v>39582</v>
      </c>
      <c r="E5084" s="5">
        <f t="shared" si="83"/>
        <v>2008</v>
      </c>
      <c r="F5084" s="3" t="s">
        <v>991</v>
      </c>
      <c r="G5084" s="6">
        <v>420.2</v>
      </c>
      <c r="H5084" s="5">
        <v>2828</v>
      </c>
    </row>
    <row r="5085" spans="2:8" ht="17.5" customHeight="1" x14ac:dyDescent="0.4">
      <c r="B5085" s="3" t="s">
        <v>7</v>
      </c>
      <c r="C5085" s="3" t="s">
        <v>990</v>
      </c>
      <c r="D5085" s="4">
        <f>DATE(2008,5,15)</f>
        <v>39583</v>
      </c>
      <c r="E5085" s="5">
        <f t="shared" si="83"/>
        <v>2008</v>
      </c>
      <c r="F5085" s="3" t="s">
        <v>991</v>
      </c>
      <c r="G5085" s="6">
        <v>4799.4799999999996</v>
      </c>
      <c r="H5085" s="5">
        <v>2791</v>
      </c>
    </row>
    <row r="5086" spans="2:8" ht="17.5" customHeight="1" x14ac:dyDescent="0.4">
      <c r="B5086" s="3" t="s">
        <v>7</v>
      </c>
      <c r="C5086" s="3" t="s">
        <v>990</v>
      </c>
      <c r="D5086" s="4">
        <f>DATE(2008,6,17)</f>
        <v>39616</v>
      </c>
      <c r="E5086" s="5">
        <f t="shared" si="83"/>
        <v>2008</v>
      </c>
      <c r="F5086" s="3" t="s">
        <v>991</v>
      </c>
      <c r="G5086" s="6">
        <v>2461.09</v>
      </c>
      <c r="H5086" s="5">
        <v>2889</v>
      </c>
    </row>
    <row r="5087" spans="2:8" ht="17.5" customHeight="1" x14ac:dyDescent="0.4">
      <c r="B5087" s="3" t="s">
        <v>7</v>
      </c>
      <c r="C5087" s="3" t="s">
        <v>990</v>
      </c>
      <c r="D5087" s="4">
        <f>DATE(2008,6,17)</f>
        <v>39616</v>
      </c>
      <c r="E5087" s="5">
        <f t="shared" si="83"/>
        <v>2008</v>
      </c>
      <c r="F5087" s="3" t="s">
        <v>991</v>
      </c>
      <c r="G5087" s="6">
        <v>1094.46</v>
      </c>
      <c r="H5087" s="5">
        <v>2890</v>
      </c>
    </row>
    <row r="5088" spans="2:8" ht="17.5" customHeight="1" x14ac:dyDescent="0.4">
      <c r="B5088" s="3" t="s">
        <v>7</v>
      </c>
      <c r="C5088" s="3" t="s">
        <v>990</v>
      </c>
      <c r="D5088" s="4">
        <f>DATE(2008,6,23)</f>
        <v>39622</v>
      </c>
      <c r="E5088" s="5">
        <f t="shared" si="83"/>
        <v>2008</v>
      </c>
      <c r="F5088" s="3" t="s">
        <v>991</v>
      </c>
      <c r="G5088" s="6">
        <v>2325.0100000000002</v>
      </c>
      <c r="H5088" s="5">
        <v>2892</v>
      </c>
    </row>
    <row r="5089" spans="2:8" ht="17.5" customHeight="1" x14ac:dyDescent="0.4">
      <c r="B5089" s="3" t="s">
        <v>7</v>
      </c>
      <c r="C5089" s="3" t="s">
        <v>990</v>
      </c>
      <c r="D5089" s="4">
        <f>DATE(2008,6,26)</f>
        <v>39625</v>
      </c>
      <c r="E5089" s="5">
        <f t="shared" si="83"/>
        <v>2008</v>
      </c>
      <c r="F5089" s="3" t="s">
        <v>991</v>
      </c>
      <c r="G5089" s="6">
        <v>689.56</v>
      </c>
      <c r="H5089" s="5">
        <v>2898</v>
      </c>
    </row>
    <row r="5090" spans="2:8" ht="17.5" customHeight="1" x14ac:dyDescent="0.4">
      <c r="B5090" s="3" t="s">
        <v>7</v>
      </c>
      <c r="C5090" s="3" t="s">
        <v>990</v>
      </c>
      <c r="D5090" s="4">
        <f>DATE(2008,7,11)</f>
        <v>39640</v>
      </c>
      <c r="E5090" s="5">
        <f t="shared" si="83"/>
        <v>2008</v>
      </c>
      <c r="F5090" s="3" t="s">
        <v>991</v>
      </c>
      <c r="G5090" s="6">
        <v>1488.56</v>
      </c>
      <c r="H5090" s="5">
        <v>2921</v>
      </c>
    </row>
    <row r="5091" spans="2:8" ht="17.5" customHeight="1" x14ac:dyDescent="0.4">
      <c r="B5091" s="3" t="s">
        <v>7</v>
      </c>
      <c r="C5091" s="3" t="s">
        <v>990</v>
      </c>
      <c r="D5091" s="4">
        <f>DATE(2008,7,11)</f>
        <v>39640</v>
      </c>
      <c r="E5091" s="5">
        <f t="shared" si="83"/>
        <v>2008</v>
      </c>
      <c r="F5091" s="3" t="s">
        <v>991</v>
      </c>
      <c r="G5091" s="6">
        <v>636.65</v>
      </c>
      <c r="H5091" s="5">
        <v>2925</v>
      </c>
    </row>
    <row r="5092" spans="2:8" ht="17.5" customHeight="1" x14ac:dyDescent="0.4">
      <c r="B5092" s="3" t="s">
        <v>7</v>
      </c>
      <c r="C5092" s="3" t="s">
        <v>990</v>
      </c>
      <c r="D5092" s="4">
        <f>DATE(2008,8,1)</f>
        <v>39661</v>
      </c>
      <c r="E5092" s="5">
        <f t="shared" si="83"/>
        <v>2008</v>
      </c>
      <c r="F5092" s="3" t="s">
        <v>991</v>
      </c>
      <c r="G5092" s="6">
        <v>1116.3399999999999</v>
      </c>
      <c r="H5092" s="5">
        <v>2948</v>
      </c>
    </row>
    <row r="5093" spans="2:8" ht="17.5" customHeight="1" x14ac:dyDescent="0.4">
      <c r="B5093" s="3" t="s">
        <v>7</v>
      </c>
      <c r="C5093" s="3" t="s">
        <v>990</v>
      </c>
      <c r="D5093" s="4">
        <f>DATE(2008,8,6)</f>
        <v>39666</v>
      </c>
      <c r="E5093" s="5">
        <f t="shared" si="83"/>
        <v>2008</v>
      </c>
      <c r="F5093" s="3" t="s">
        <v>991</v>
      </c>
      <c r="G5093" s="6">
        <v>574.6</v>
      </c>
      <c r="H5093" s="5">
        <v>2951</v>
      </c>
    </row>
    <row r="5094" spans="2:8" ht="17.5" customHeight="1" x14ac:dyDescent="0.4">
      <c r="B5094" s="3" t="s">
        <v>7</v>
      </c>
      <c r="C5094" s="3" t="s">
        <v>990</v>
      </c>
      <c r="D5094" s="4">
        <f>DATE(2008,8,7)</f>
        <v>39667</v>
      </c>
      <c r="E5094" s="5">
        <f t="shared" si="83"/>
        <v>2008</v>
      </c>
      <c r="F5094" s="3" t="s">
        <v>991</v>
      </c>
      <c r="G5094" s="6">
        <v>2461.09</v>
      </c>
      <c r="H5094" s="5">
        <v>2942</v>
      </c>
    </row>
    <row r="5095" spans="2:8" ht="17.5" customHeight="1" x14ac:dyDescent="0.4">
      <c r="B5095" s="3" t="s">
        <v>7</v>
      </c>
      <c r="C5095" s="3" t="s">
        <v>990</v>
      </c>
      <c r="D5095" s="4">
        <f>DATE(2008,8,20)</f>
        <v>39680</v>
      </c>
      <c r="E5095" s="5">
        <f t="shared" si="83"/>
        <v>2008</v>
      </c>
      <c r="F5095" s="3" t="s">
        <v>991</v>
      </c>
      <c r="G5095" s="6">
        <v>867.2</v>
      </c>
      <c r="H5095" s="5">
        <v>2991</v>
      </c>
    </row>
    <row r="5096" spans="2:8" ht="17.5" customHeight="1" x14ac:dyDescent="0.4">
      <c r="B5096" s="3" t="s">
        <v>7</v>
      </c>
      <c r="C5096" s="3" t="s">
        <v>990</v>
      </c>
      <c r="D5096" s="4">
        <f>DATE(2008,9,2)</f>
        <v>39693</v>
      </c>
      <c r="E5096" s="5">
        <f t="shared" si="83"/>
        <v>2008</v>
      </c>
      <c r="F5096" s="3" t="s">
        <v>991</v>
      </c>
      <c r="G5096" s="6">
        <v>241.33</v>
      </c>
      <c r="H5096" s="5">
        <v>3006</v>
      </c>
    </row>
    <row r="5097" spans="2:8" ht="17.5" customHeight="1" x14ac:dyDescent="0.4">
      <c r="B5097" s="3" t="s">
        <v>7</v>
      </c>
      <c r="C5097" s="3" t="s">
        <v>990</v>
      </c>
      <c r="D5097" s="4">
        <f>DATE(2008,10,14)</f>
        <v>39735</v>
      </c>
      <c r="E5097" s="5">
        <f t="shared" si="83"/>
        <v>2008</v>
      </c>
      <c r="F5097" s="3" t="s">
        <v>991</v>
      </c>
      <c r="G5097" s="6">
        <v>382.5</v>
      </c>
      <c r="H5097" s="5">
        <v>2961</v>
      </c>
    </row>
    <row r="5098" spans="2:8" ht="17.5" customHeight="1" x14ac:dyDescent="0.4">
      <c r="B5098" s="3" t="s">
        <v>7</v>
      </c>
      <c r="C5098" s="3" t="s">
        <v>990</v>
      </c>
      <c r="D5098" s="4">
        <f>DATE(2008,11,12)</f>
        <v>39764</v>
      </c>
      <c r="E5098" s="5">
        <f t="shared" si="83"/>
        <v>2008</v>
      </c>
      <c r="F5098" s="3" t="s">
        <v>991</v>
      </c>
      <c r="G5098" s="6">
        <v>287.3</v>
      </c>
      <c r="H5098" s="5">
        <v>3154</v>
      </c>
    </row>
    <row r="5099" spans="2:8" ht="17.5" customHeight="1" x14ac:dyDescent="0.4">
      <c r="B5099" s="3" t="s">
        <v>7</v>
      </c>
      <c r="C5099" s="3" t="s">
        <v>990</v>
      </c>
      <c r="D5099" s="4">
        <f>DATE(2008,11,18)</f>
        <v>39770</v>
      </c>
      <c r="E5099" s="5">
        <f t="shared" si="83"/>
        <v>2008</v>
      </c>
      <c r="F5099" s="3" t="s">
        <v>991</v>
      </c>
      <c r="G5099" s="6">
        <v>5565.38</v>
      </c>
      <c r="H5099" s="5">
        <v>3137</v>
      </c>
    </row>
    <row r="5100" spans="2:8" ht="17.5" customHeight="1" x14ac:dyDescent="0.4">
      <c r="B5100" s="3" t="s">
        <v>7</v>
      </c>
      <c r="C5100" s="3" t="s">
        <v>990</v>
      </c>
      <c r="D5100" s="4">
        <f>DATE(2008,12,11)</f>
        <v>39793</v>
      </c>
      <c r="E5100" s="5">
        <f t="shared" si="83"/>
        <v>2008</v>
      </c>
      <c r="F5100" s="3" t="s">
        <v>991</v>
      </c>
      <c r="G5100" s="6">
        <v>1652.06</v>
      </c>
      <c r="H5100" s="5">
        <v>3170</v>
      </c>
    </row>
    <row r="5101" spans="2:8" ht="17.5" customHeight="1" x14ac:dyDescent="0.4">
      <c r="B5101" s="3" t="s">
        <v>7</v>
      </c>
      <c r="C5101" s="3" t="s">
        <v>990</v>
      </c>
      <c r="D5101" s="4">
        <f>DATE(2008,12,19)</f>
        <v>39801</v>
      </c>
      <c r="E5101" s="5">
        <f t="shared" si="83"/>
        <v>2008</v>
      </c>
      <c r="F5101" s="3" t="s">
        <v>991</v>
      </c>
      <c r="G5101" s="6">
        <v>6519.34</v>
      </c>
      <c r="H5101" s="5">
        <v>3179</v>
      </c>
    </row>
    <row r="5102" spans="2:8" ht="17.5" customHeight="1" x14ac:dyDescent="0.4">
      <c r="B5102" s="3" t="s">
        <v>7</v>
      </c>
      <c r="C5102" s="3" t="s">
        <v>990</v>
      </c>
      <c r="D5102" s="4">
        <f>DATE(2009,1,28)</f>
        <v>39841</v>
      </c>
      <c r="E5102" s="5">
        <f t="shared" si="83"/>
        <v>2009</v>
      </c>
      <c r="F5102" s="3" t="s">
        <v>991</v>
      </c>
      <c r="G5102" s="6">
        <v>4942.71</v>
      </c>
      <c r="H5102" s="5">
        <v>3208</v>
      </c>
    </row>
    <row r="5103" spans="2:8" ht="17.5" customHeight="1" x14ac:dyDescent="0.4">
      <c r="B5103" s="3" t="s">
        <v>7</v>
      </c>
      <c r="C5103" s="3" t="s">
        <v>990</v>
      </c>
      <c r="D5103" s="4">
        <f>DATE(2009,3,23)</f>
        <v>39895</v>
      </c>
      <c r="E5103" s="5">
        <f t="shared" si="83"/>
        <v>2009</v>
      </c>
      <c r="F5103" s="3" t="s">
        <v>991</v>
      </c>
      <c r="G5103" s="6">
        <v>34994.160000000003</v>
      </c>
      <c r="H5103" s="5">
        <v>3281</v>
      </c>
    </row>
    <row r="5104" spans="2:8" ht="17.5" customHeight="1" x14ac:dyDescent="0.4">
      <c r="B5104" s="3" t="s">
        <v>7</v>
      </c>
      <c r="C5104" s="3" t="s">
        <v>990</v>
      </c>
      <c r="D5104" s="4">
        <f>DATE(2009,3,23)</f>
        <v>39895</v>
      </c>
      <c r="E5104" s="5">
        <f t="shared" si="83"/>
        <v>2009</v>
      </c>
      <c r="F5104" s="3" t="s">
        <v>991</v>
      </c>
      <c r="G5104" s="6">
        <v>5419.6</v>
      </c>
      <c r="H5104" s="5">
        <v>3300</v>
      </c>
    </row>
    <row r="5105" spans="2:8" ht="17.5" customHeight="1" x14ac:dyDescent="0.4">
      <c r="B5105" s="3" t="s">
        <v>7</v>
      </c>
      <c r="C5105" s="3" t="s">
        <v>990</v>
      </c>
      <c r="D5105" s="4">
        <f>DATE(2009,3,23)</f>
        <v>39895</v>
      </c>
      <c r="E5105" s="5">
        <f t="shared" si="83"/>
        <v>2009</v>
      </c>
      <c r="F5105" s="3" t="s">
        <v>991</v>
      </c>
      <c r="G5105" s="6">
        <v>9908.07</v>
      </c>
      <c r="H5105" s="5">
        <v>3332</v>
      </c>
    </row>
    <row r="5106" spans="2:8" ht="17.5" customHeight="1" x14ac:dyDescent="0.4">
      <c r="B5106" s="3" t="s">
        <v>7</v>
      </c>
      <c r="C5106" s="3" t="s">
        <v>990</v>
      </c>
      <c r="D5106" s="4">
        <f>DATE(2009,7,2)</f>
        <v>39996</v>
      </c>
      <c r="E5106" s="5">
        <f t="shared" si="83"/>
        <v>2009</v>
      </c>
      <c r="F5106" s="3" t="s">
        <v>991</v>
      </c>
      <c r="G5106" s="6">
        <v>92.25</v>
      </c>
      <c r="H5106" s="5">
        <v>3493</v>
      </c>
    </row>
    <row r="5107" spans="2:8" ht="17.5" customHeight="1" x14ac:dyDescent="0.4">
      <c r="B5107" s="3" t="s">
        <v>7</v>
      </c>
      <c r="C5107" s="3" t="s">
        <v>990</v>
      </c>
      <c r="D5107" s="4">
        <f>DATE(2009,7,8)</f>
        <v>40002</v>
      </c>
      <c r="E5107" s="5">
        <f t="shared" si="83"/>
        <v>2009</v>
      </c>
      <c r="F5107" s="3" t="s">
        <v>991</v>
      </c>
      <c r="G5107" s="6">
        <v>2356.1999999999998</v>
      </c>
      <c r="H5107" s="5">
        <v>3498</v>
      </c>
    </row>
    <row r="5108" spans="2:8" ht="17.5" customHeight="1" x14ac:dyDescent="0.4">
      <c r="B5108" s="3" t="s">
        <v>7</v>
      </c>
      <c r="C5108" s="3" t="s">
        <v>990</v>
      </c>
      <c r="D5108" s="4">
        <f>DATE(2009,7,8)</f>
        <v>40002</v>
      </c>
      <c r="E5108" s="5">
        <f t="shared" si="83"/>
        <v>2009</v>
      </c>
      <c r="F5108" s="3" t="s">
        <v>991</v>
      </c>
      <c r="G5108" s="6">
        <v>156.83000000000001</v>
      </c>
      <c r="H5108" s="5">
        <v>3512</v>
      </c>
    </row>
    <row r="5109" spans="2:8" ht="17.5" customHeight="1" x14ac:dyDescent="0.4">
      <c r="B5109" s="3" t="s">
        <v>7</v>
      </c>
      <c r="C5109" s="3" t="s">
        <v>990</v>
      </c>
      <c r="D5109" s="4">
        <f>DATE(2009,7,24)</f>
        <v>40018</v>
      </c>
      <c r="E5109" s="5">
        <f t="shared" si="83"/>
        <v>2009</v>
      </c>
      <c r="F5109" s="3" t="s">
        <v>991</v>
      </c>
      <c r="G5109" s="6">
        <v>858.4</v>
      </c>
      <c r="H5109" s="5">
        <v>3527</v>
      </c>
    </row>
    <row r="5110" spans="2:8" ht="17.5" customHeight="1" x14ac:dyDescent="0.4">
      <c r="B5110" s="3" t="s">
        <v>7</v>
      </c>
      <c r="C5110" s="3" t="s">
        <v>990</v>
      </c>
      <c r="D5110" s="4">
        <f>DATE(2009,8,5)</f>
        <v>40030</v>
      </c>
      <c r="E5110" s="5">
        <f t="shared" si="83"/>
        <v>2009</v>
      </c>
      <c r="F5110" s="3" t="s">
        <v>991</v>
      </c>
      <c r="G5110" s="6">
        <v>3125.54</v>
      </c>
      <c r="H5110" s="5">
        <v>3532</v>
      </c>
    </row>
    <row r="5111" spans="2:8" ht="17.5" customHeight="1" x14ac:dyDescent="0.4">
      <c r="B5111" s="3" t="s">
        <v>7</v>
      </c>
      <c r="C5111" s="3" t="s">
        <v>990</v>
      </c>
      <c r="D5111" s="4">
        <f>DATE(2009,9,10)</f>
        <v>40066</v>
      </c>
      <c r="E5111" s="5">
        <f t="shared" si="83"/>
        <v>2009</v>
      </c>
      <c r="F5111" s="3" t="s">
        <v>991</v>
      </c>
      <c r="G5111" s="6">
        <v>394</v>
      </c>
      <c r="H5111" s="5">
        <v>3561</v>
      </c>
    </row>
    <row r="5112" spans="2:8" ht="17.5" customHeight="1" x14ac:dyDescent="0.4">
      <c r="B5112" s="3" t="s">
        <v>7</v>
      </c>
      <c r="C5112" s="3" t="s">
        <v>990</v>
      </c>
      <c r="D5112" s="4">
        <f>DATE(2009,10,15)</f>
        <v>40101</v>
      </c>
      <c r="E5112" s="5">
        <f t="shared" si="83"/>
        <v>2009</v>
      </c>
      <c r="F5112" s="3" t="s">
        <v>991</v>
      </c>
      <c r="G5112" s="6">
        <v>999.14</v>
      </c>
      <c r="H5112" s="5">
        <v>3633</v>
      </c>
    </row>
    <row r="5113" spans="2:8" ht="17.5" customHeight="1" x14ac:dyDescent="0.4">
      <c r="B5113" s="3" t="s">
        <v>7</v>
      </c>
      <c r="C5113" s="3" t="s">
        <v>990</v>
      </c>
      <c r="D5113" s="4">
        <f>DATE(2009,12,2)</f>
        <v>40149</v>
      </c>
      <c r="E5113" s="5">
        <f t="shared" si="83"/>
        <v>2009</v>
      </c>
      <c r="F5113" s="3" t="s">
        <v>991</v>
      </c>
      <c r="G5113" s="6">
        <v>858.4</v>
      </c>
      <c r="H5113" s="5">
        <v>3670</v>
      </c>
    </row>
    <row r="5114" spans="2:8" ht="17.5" customHeight="1" x14ac:dyDescent="0.4">
      <c r="B5114" s="3" t="s">
        <v>7</v>
      </c>
      <c r="C5114" s="3" t="s">
        <v>990</v>
      </c>
      <c r="D5114" s="4">
        <f>DATE(2009,12,2)</f>
        <v>40149</v>
      </c>
      <c r="E5114" s="5">
        <f t="shared" si="83"/>
        <v>2009</v>
      </c>
      <c r="F5114" s="3" t="s">
        <v>991</v>
      </c>
      <c r="G5114" s="6">
        <v>10200.49</v>
      </c>
      <c r="H5114" s="5">
        <v>3649</v>
      </c>
    </row>
    <row r="5115" spans="2:8" ht="17.5" customHeight="1" x14ac:dyDescent="0.4">
      <c r="B5115" s="3" t="s">
        <v>7</v>
      </c>
      <c r="C5115" s="3" t="s">
        <v>990</v>
      </c>
      <c r="D5115" s="4">
        <f>DATE(2010,1,6)</f>
        <v>40184</v>
      </c>
      <c r="E5115" s="5">
        <f t="shared" si="83"/>
        <v>2010</v>
      </c>
      <c r="F5115" s="3" t="s">
        <v>991</v>
      </c>
      <c r="G5115" s="6">
        <v>3410.8</v>
      </c>
      <c r="H5115" s="5">
        <v>3714</v>
      </c>
    </row>
    <row r="5116" spans="2:8" ht="17.5" customHeight="1" x14ac:dyDescent="0.4">
      <c r="B5116" s="3" t="s">
        <v>7</v>
      </c>
      <c r="C5116" s="3" t="s">
        <v>990</v>
      </c>
      <c r="D5116" s="4">
        <f>DATE(2010,1,25)</f>
        <v>40203</v>
      </c>
      <c r="E5116" s="5">
        <f t="shared" si="83"/>
        <v>2010</v>
      </c>
      <c r="F5116" s="3" t="s">
        <v>991</v>
      </c>
      <c r="G5116" s="6">
        <v>616.25</v>
      </c>
      <c r="H5116" s="5">
        <v>3770</v>
      </c>
    </row>
    <row r="5117" spans="2:8" ht="17.5" customHeight="1" x14ac:dyDescent="0.4">
      <c r="B5117" s="3" t="s">
        <v>7</v>
      </c>
      <c r="C5117" s="3" t="s">
        <v>990</v>
      </c>
      <c r="D5117" s="4">
        <f>DATE(2010,2,11)</f>
        <v>40220</v>
      </c>
      <c r="E5117" s="5">
        <f t="shared" si="83"/>
        <v>2010</v>
      </c>
      <c r="F5117" s="3" t="s">
        <v>991</v>
      </c>
      <c r="G5117" s="6">
        <v>12635.45</v>
      </c>
      <c r="H5117" s="5">
        <v>3715</v>
      </c>
    </row>
    <row r="5118" spans="2:8" ht="17.5" customHeight="1" x14ac:dyDescent="0.4">
      <c r="B5118" s="3" t="s">
        <v>7</v>
      </c>
      <c r="C5118" s="3" t="s">
        <v>990</v>
      </c>
      <c r="D5118" s="4">
        <f>DATE(2010,3,8)</f>
        <v>40245</v>
      </c>
      <c r="E5118" s="5">
        <f t="shared" si="83"/>
        <v>2010</v>
      </c>
      <c r="F5118" s="3" t="s">
        <v>991</v>
      </c>
      <c r="G5118" s="6">
        <v>1270.5</v>
      </c>
      <c r="H5118" s="5">
        <v>3790</v>
      </c>
    </row>
    <row r="5119" spans="2:8" ht="17.5" customHeight="1" x14ac:dyDescent="0.4">
      <c r="B5119" s="3" t="s">
        <v>7</v>
      </c>
      <c r="C5119" s="3" t="s">
        <v>990</v>
      </c>
      <c r="D5119" s="4">
        <f>DATE(2010,5,11)</f>
        <v>40309</v>
      </c>
      <c r="E5119" s="5">
        <f t="shared" si="83"/>
        <v>2010</v>
      </c>
      <c r="F5119" s="3" t="s">
        <v>991</v>
      </c>
      <c r="G5119" s="6">
        <v>847</v>
      </c>
      <c r="H5119" s="5">
        <v>3924</v>
      </c>
    </row>
    <row r="5120" spans="2:8" ht="17.5" customHeight="1" x14ac:dyDescent="0.4">
      <c r="B5120" s="3" t="s">
        <v>7</v>
      </c>
      <c r="C5120" s="3" t="s">
        <v>990</v>
      </c>
      <c r="D5120" s="4">
        <f>DATE(2010,5,11)</f>
        <v>40309</v>
      </c>
      <c r="E5120" s="5">
        <f t="shared" si="83"/>
        <v>2010</v>
      </c>
      <c r="F5120" s="3" t="s">
        <v>991</v>
      </c>
      <c r="G5120" s="6">
        <v>317.5</v>
      </c>
      <c r="H5120" s="5">
        <v>3938</v>
      </c>
    </row>
    <row r="5121" spans="2:8" ht="17.5" customHeight="1" x14ac:dyDescent="0.4">
      <c r="B5121" s="3" t="s">
        <v>7</v>
      </c>
      <c r="C5121" s="3" t="s">
        <v>990</v>
      </c>
      <c r="D5121" s="4">
        <f>DATE(2010,5,21)</f>
        <v>40319</v>
      </c>
      <c r="E5121" s="5">
        <f t="shared" si="83"/>
        <v>2010</v>
      </c>
      <c r="F5121" s="3" t="s">
        <v>991</v>
      </c>
      <c r="G5121" s="6">
        <v>378</v>
      </c>
      <c r="H5121" s="5">
        <v>3948</v>
      </c>
    </row>
    <row r="5122" spans="2:8" ht="17.5" customHeight="1" x14ac:dyDescent="0.4">
      <c r="B5122" s="3" t="s">
        <v>7</v>
      </c>
      <c r="C5122" s="3" t="s">
        <v>990</v>
      </c>
      <c r="D5122" s="4">
        <f>DATE(2010,5,24)</f>
        <v>40322</v>
      </c>
      <c r="E5122" s="5">
        <f t="shared" si="83"/>
        <v>2010</v>
      </c>
      <c r="F5122" s="3" t="s">
        <v>991</v>
      </c>
      <c r="G5122" s="6">
        <v>853.3</v>
      </c>
      <c r="H5122" s="5">
        <v>3949</v>
      </c>
    </row>
    <row r="5123" spans="2:8" ht="17.5" customHeight="1" x14ac:dyDescent="0.4">
      <c r="B5123" s="3" t="s">
        <v>7</v>
      </c>
      <c r="C5123" s="3" t="s">
        <v>990</v>
      </c>
      <c r="D5123" s="4">
        <f>DATE(2010,6,16)</f>
        <v>40345</v>
      </c>
      <c r="E5123" s="5">
        <f t="shared" ref="E5123:E5186" si="84">YEAR(D5123)</f>
        <v>2010</v>
      </c>
      <c r="F5123" s="3" t="s">
        <v>991</v>
      </c>
      <c r="G5123" s="6">
        <v>121.82</v>
      </c>
      <c r="H5123" s="5">
        <v>3996</v>
      </c>
    </row>
    <row r="5124" spans="2:8" ht="17.5" customHeight="1" x14ac:dyDescent="0.4">
      <c r="B5124" s="3" t="s">
        <v>7</v>
      </c>
      <c r="C5124" s="3" t="s">
        <v>990</v>
      </c>
      <c r="D5124" s="4">
        <f>DATE(2010,7,29)</f>
        <v>40388</v>
      </c>
      <c r="E5124" s="5">
        <f t="shared" si="84"/>
        <v>2010</v>
      </c>
      <c r="F5124" s="3" t="s">
        <v>991</v>
      </c>
      <c r="G5124" s="6">
        <v>548</v>
      </c>
      <c r="H5124" s="5">
        <v>4017</v>
      </c>
    </row>
    <row r="5125" spans="2:8" ht="17.5" customHeight="1" x14ac:dyDescent="0.4">
      <c r="B5125" s="3" t="s">
        <v>7</v>
      </c>
      <c r="C5125" s="3" t="s">
        <v>990</v>
      </c>
      <c r="D5125" s="4">
        <f>DATE(2010,8,26)</f>
        <v>40416</v>
      </c>
      <c r="E5125" s="5">
        <f t="shared" si="84"/>
        <v>2010</v>
      </c>
      <c r="F5125" s="3" t="s">
        <v>991</v>
      </c>
      <c r="G5125" s="6">
        <v>291.14999999999998</v>
      </c>
      <c r="H5125" s="5">
        <v>4053</v>
      </c>
    </row>
    <row r="5126" spans="2:8" ht="17.5" customHeight="1" x14ac:dyDescent="0.4">
      <c r="B5126" s="3" t="s">
        <v>7</v>
      </c>
      <c r="C5126" s="3" t="s">
        <v>990</v>
      </c>
      <c r="D5126" s="4">
        <f>DATE(2010,8,26)</f>
        <v>40416</v>
      </c>
      <c r="E5126" s="5">
        <f t="shared" si="84"/>
        <v>2010</v>
      </c>
      <c r="F5126" s="3" t="s">
        <v>991</v>
      </c>
      <c r="G5126" s="6">
        <v>3194.5</v>
      </c>
      <c r="H5126" s="5">
        <v>4048</v>
      </c>
    </row>
    <row r="5127" spans="2:8" ht="17.5" customHeight="1" x14ac:dyDescent="0.4">
      <c r="B5127" s="3" t="s">
        <v>7</v>
      </c>
      <c r="C5127" s="3" t="s">
        <v>990</v>
      </c>
      <c r="D5127" s="4">
        <f>DATE(2010,8,26)</f>
        <v>40416</v>
      </c>
      <c r="E5127" s="5">
        <f t="shared" si="84"/>
        <v>2010</v>
      </c>
      <c r="F5127" s="3" t="s">
        <v>991</v>
      </c>
      <c r="G5127" s="6">
        <v>6514.65</v>
      </c>
      <c r="H5127" s="5">
        <v>4067</v>
      </c>
    </row>
    <row r="5128" spans="2:8" ht="17.5" customHeight="1" x14ac:dyDescent="0.4">
      <c r="B5128" s="3" t="s">
        <v>7</v>
      </c>
      <c r="C5128" s="3" t="s">
        <v>990</v>
      </c>
      <c r="D5128" s="4">
        <f>DATE(2010,8,30)</f>
        <v>40420</v>
      </c>
      <c r="E5128" s="5">
        <f t="shared" si="84"/>
        <v>2010</v>
      </c>
      <c r="F5128" s="3" t="s">
        <v>991</v>
      </c>
      <c r="G5128" s="6">
        <v>94.38</v>
      </c>
      <c r="H5128" s="5">
        <v>4105</v>
      </c>
    </row>
    <row r="5129" spans="2:8" ht="17.5" customHeight="1" x14ac:dyDescent="0.4">
      <c r="B5129" s="3" t="s">
        <v>7</v>
      </c>
      <c r="C5129" s="3" t="s">
        <v>990</v>
      </c>
      <c r="D5129" s="4">
        <f>DATE(2010,9,22)</f>
        <v>40443</v>
      </c>
      <c r="E5129" s="5">
        <f t="shared" si="84"/>
        <v>2010</v>
      </c>
      <c r="F5129" s="3" t="s">
        <v>991</v>
      </c>
      <c r="G5129" s="6">
        <v>4071.47</v>
      </c>
      <c r="H5129" s="5">
        <v>4149</v>
      </c>
    </row>
    <row r="5130" spans="2:8" ht="17.5" customHeight="1" x14ac:dyDescent="0.4">
      <c r="B5130" s="3" t="s">
        <v>7</v>
      </c>
      <c r="C5130" s="3" t="s">
        <v>990</v>
      </c>
      <c r="D5130" s="4">
        <f>DATE(2010,9,30)</f>
        <v>40451</v>
      </c>
      <c r="E5130" s="5">
        <f t="shared" si="84"/>
        <v>2010</v>
      </c>
      <c r="F5130" s="3" t="s">
        <v>991</v>
      </c>
      <c r="G5130" s="6">
        <v>1962</v>
      </c>
      <c r="H5130" s="5">
        <v>4150</v>
      </c>
    </row>
    <row r="5131" spans="2:8" ht="17.5" customHeight="1" x14ac:dyDescent="0.4">
      <c r="B5131" s="3" t="s">
        <v>7</v>
      </c>
      <c r="C5131" s="3" t="s">
        <v>990</v>
      </c>
      <c r="D5131" s="4">
        <f>DATE(2010,11,8)</f>
        <v>40490</v>
      </c>
      <c r="E5131" s="5">
        <f t="shared" si="84"/>
        <v>2010</v>
      </c>
      <c r="F5131" s="3" t="s">
        <v>991</v>
      </c>
      <c r="G5131" s="6">
        <v>292.83</v>
      </c>
      <c r="H5131" s="5">
        <v>4207</v>
      </c>
    </row>
    <row r="5132" spans="2:8" ht="17.5" customHeight="1" x14ac:dyDescent="0.4">
      <c r="B5132" s="3" t="s">
        <v>7</v>
      </c>
      <c r="C5132" s="3" t="s">
        <v>990</v>
      </c>
      <c r="D5132" s="4">
        <f>DATE(2010,11,29)</f>
        <v>40511</v>
      </c>
      <c r="E5132" s="5">
        <f t="shared" si="84"/>
        <v>2010</v>
      </c>
      <c r="F5132" s="3" t="s">
        <v>991</v>
      </c>
      <c r="G5132" s="6">
        <v>1716.8</v>
      </c>
      <c r="H5132" s="5">
        <v>4237</v>
      </c>
    </row>
    <row r="5133" spans="2:8" ht="17.5" customHeight="1" x14ac:dyDescent="0.4">
      <c r="B5133" s="3" t="s">
        <v>7</v>
      </c>
      <c r="C5133" s="3" t="s">
        <v>990</v>
      </c>
      <c r="D5133" s="4">
        <f>DATE(2010,12,17)</f>
        <v>40529</v>
      </c>
      <c r="E5133" s="5">
        <f t="shared" si="84"/>
        <v>2010</v>
      </c>
      <c r="F5133" s="3" t="s">
        <v>991</v>
      </c>
      <c r="G5133" s="6">
        <v>6466.16</v>
      </c>
      <c r="H5133" s="5">
        <v>4244</v>
      </c>
    </row>
    <row r="5134" spans="2:8" ht="17.5" customHeight="1" x14ac:dyDescent="0.4">
      <c r="B5134" s="3" t="s">
        <v>7</v>
      </c>
      <c r="C5134" s="3" t="s">
        <v>990</v>
      </c>
      <c r="D5134" s="4">
        <f>DATE(2011,3,25)</f>
        <v>40627</v>
      </c>
      <c r="E5134" s="5">
        <f t="shared" si="84"/>
        <v>2011</v>
      </c>
      <c r="F5134" s="3" t="s">
        <v>991</v>
      </c>
      <c r="G5134" s="6">
        <v>953</v>
      </c>
      <c r="H5134" s="5">
        <v>4344</v>
      </c>
    </row>
    <row r="5135" spans="2:8" ht="17.5" customHeight="1" x14ac:dyDescent="0.4">
      <c r="B5135" s="3" t="s">
        <v>7</v>
      </c>
      <c r="C5135" s="3" t="s">
        <v>990</v>
      </c>
      <c r="D5135" s="4">
        <f>DATE(2011,3,27)</f>
        <v>40629</v>
      </c>
      <c r="E5135" s="5">
        <f t="shared" si="84"/>
        <v>2011</v>
      </c>
      <c r="F5135" s="3" t="s">
        <v>991</v>
      </c>
      <c r="G5135" s="6">
        <v>8437.92</v>
      </c>
      <c r="H5135" s="5">
        <v>4362</v>
      </c>
    </row>
    <row r="5136" spans="2:8" ht="17.5" customHeight="1" x14ac:dyDescent="0.4">
      <c r="B5136" s="3" t="s">
        <v>7</v>
      </c>
      <c r="C5136" s="3" t="s">
        <v>990</v>
      </c>
      <c r="D5136" s="4">
        <f>DATE(2011,8,9)</f>
        <v>40764</v>
      </c>
      <c r="E5136" s="5">
        <f t="shared" si="84"/>
        <v>2011</v>
      </c>
      <c r="F5136" s="3" t="s">
        <v>991</v>
      </c>
      <c r="G5136" s="6">
        <v>1252.0999999999999</v>
      </c>
      <c r="H5136" s="5">
        <v>4566</v>
      </c>
    </row>
    <row r="5137" spans="2:8" ht="17.5" customHeight="1" x14ac:dyDescent="0.4">
      <c r="B5137" s="3" t="s">
        <v>7</v>
      </c>
      <c r="C5137" s="3" t="s">
        <v>990</v>
      </c>
      <c r="D5137" s="4">
        <f>DATE(2011,8,16)</f>
        <v>40771</v>
      </c>
      <c r="E5137" s="5">
        <f t="shared" si="84"/>
        <v>2011</v>
      </c>
      <c r="F5137" s="3" t="s">
        <v>991</v>
      </c>
      <c r="G5137" s="6">
        <v>649</v>
      </c>
      <c r="H5137" s="5">
        <v>4581</v>
      </c>
    </row>
    <row r="5138" spans="2:8" ht="17.5" customHeight="1" x14ac:dyDescent="0.4">
      <c r="B5138" s="3" t="s">
        <v>7</v>
      </c>
      <c r="C5138" s="3" t="s">
        <v>990</v>
      </c>
      <c r="D5138" s="4">
        <f>DATE(2012,2,3)</f>
        <v>40942</v>
      </c>
      <c r="E5138" s="5">
        <f t="shared" si="84"/>
        <v>2012</v>
      </c>
      <c r="F5138" s="3" t="s">
        <v>991</v>
      </c>
      <c r="G5138" s="6">
        <v>6350.7</v>
      </c>
      <c r="H5138" s="5">
        <v>4712</v>
      </c>
    </row>
    <row r="5139" spans="2:8" ht="17.5" customHeight="1" x14ac:dyDescent="0.4">
      <c r="B5139" s="3" t="s">
        <v>7</v>
      </c>
      <c r="C5139" s="3" t="s">
        <v>990</v>
      </c>
      <c r="D5139" s="4">
        <f>DATE(2012,3,12)</f>
        <v>40980</v>
      </c>
      <c r="E5139" s="5">
        <f t="shared" si="84"/>
        <v>2012</v>
      </c>
      <c r="F5139" s="3" t="s">
        <v>991</v>
      </c>
      <c r="G5139" s="6">
        <v>20.7</v>
      </c>
      <c r="H5139" s="5">
        <v>4920</v>
      </c>
    </row>
    <row r="5140" spans="2:8" ht="17.5" customHeight="1" x14ac:dyDescent="0.4">
      <c r="B5140" s="3" t="s">
        <v>7</v>
      </c>
      <c r="C5140" s="3" t="s">
        <v>990</v>
      </c>
      <c r="D5140" s="4">
        <f>DATE(2012,4,9)</f>
        <v>41008</v>
      </c>
      <c r="E5140" s="5">
        <f t="shared" si="84"/>
        <v>2012</v>
      </c>
      <c r="F5140" s="3" t="s">
        <v>991</v>
      </c>
      <c r="G5140" s="6">
        <v>292.83</v>
      </c>
      <c r="H5140" s="5">
        <v>4990</v>
      </c>
    </row>
    <row r="5141" spans="2:8" ht="17.5" customHeight="1" x14ac:dyDescent="0.4">
      <c r="B5141" s="3" t="s">
        <v>7</v>
      </c>
      <c r="C5141" s="3" t="s">
        <v>990</v>
      </c>
      <c r="D5141" s="4">
        <f>DATE(2012,5,31)</f>
        <v>41060</v>
      </c>
      <c r="E5141" s="5">
        <f t="shared" si="84"/>
        <v>2012</v>
      </c>
      <c r="F5141" s="3" t="s">
        <v>991</v>
      </c>
      <c r="G5141" s="6">
        <v>8167.28</v>
      </c>
      <c r="H5141" s="5">
        <v>5081</v>
      </c>
    </row>
    <row r="5142" spans="2:8" ht="17.5" customHeight="1" x14ac:dyDescent="0.4">
      <c r="B5142" s="3" t="s">
        <v>7</v>
      </c>
      <c r="C5142" s="3" t="s">
        <v>990</v>
      </c>
      <c r="D5142" s="4">
        <f>DATE(2012,6,8)</f>
        <v>41068</v>
      </c>
      <c r="E5142" s="5">
        <f t="shared" si="84"/>
        <v>2012</v>
      </c>
      <c r="F5142" s="3" t="s">
        <v>991</v>
      </c>
      <c r="G5142" s="6">
        <v>438.4</v>
      </c>
      <c r="H5142" s="5">
        <v>5123</v>
      </c>
    </row>
    <row r="5143" spans="2:8" ht="17.5" customHeight="1" x14ac:dyDescent="0.4">
      <c r="B5143" s="3" t="s">
        <v>7</v>
      </c>
      <c r="C5143" s="3" t="s">
        <v>990</v>
      </c>
      <c r="D5143" s="4">
        <f>DATE(2012,6,29)</f>
        <v>41089</v>
      </c>
      <c r="E5143" s="5">
        <f t="shared" si="84"/>
        <v>2012</v>
      </c>
      <c r="F5143" s="3" t="s">
        <v>991</v>
      </c>
      <c r="G5143" s="6">
        <v>79</v>
      </c>
      <c r="H5143" s="5">
        <v>5146</v>
      </c>
    </row>
    <row r="5144" spans="2:8" ht="17.5" customHeight="1" x14ac:dyDescent="0.4">
      <c r="B5144" s="3" t="s">
        <v>7</v>
      </c>
      <c r="C5144" s="3" t="s">
        <v>990</v>
      </c>
      <c r="D5144" s="4">
        <f>DATE(2012,8,22)</f>
        <v>41143</v>
      </c>
      <c r="E5144" s="5">
        <f t="shared" si="84"/>
        <v>2012</v>
      </c>
      <c r="F5144" s="3" t="s">
        <v>991</v>
      </c>
      <c r="G5144" s="6">
        <v>166.67</v>
      </c>
      <c r="H5144" s="5">
        <v>5189</v>
      </c>
    </row>
    <row r="5145" spans="2:8" ht="17.5" customHeight="1" x14ac:dyDescent="0.4">
      <c r="B5145" s="3" t="s">
        <v>7</v>
      </c>
      <c r="C5145" s="3" t="s">
        <v>990</v>
      </c>
      <c r="D5145" s="4">
        <f>DATE(2012,10,24)</f>
        <v>41206</v>
      </c>
      <c r="E5145" s="5">
        <f t="shared" si="84"/>
        <v>2012</v>
      </c>
      <c r="F5145" s="3" t="s">
        <v>991</v>
      </c>
      <c r="G5145" s="6">
        <v>857.01</v>
      </c>
      <c r="H5145" s="5">
        <v>5246</v>
      </c>
    </row>
    <row r="5146" spans="2:8" ht="17.5" customHeight="1" x14ac:dyDescent="0.4">
      <c r="B5146" s="3" t="s">
        <v>7</v>
      </c>
      <c r="C5146" s="3" t="s">
        <v>990</v>
      </c>
      <c r="D5146" s="4">
        <f>DATE(2012,10,24)</f>
        <v>41206</v>
      </c>
      <c r="E5146" s="5">
        <f t="shared" si="84"/>
        <v>2012</v>
      </c>
      <c r="F5146" s="3" t="s">
        <v>991</v>
      </c>
      <c r="G5146" s="6">
        <v>1317.62</v>
      </c>
      <c r="H5146" s="5">
        <v>5236</v>
      </c>
    </row>
    <row r="5147" spans="2:8" ht="17.5" customHeight="1" x14ac:dyDescent="0.4">
      <c r="B5147" s="3" t="s">
        <v>7</v>
      </c>
      <c r="C5147" s="3" t="s">
        <v>990</v>
      </c>
      <c r="D5147" s="4">
        <f>DATE(2012,11,12)</f>
        <v>41225</v>
      </c>
      <c r="E5147" s="5">
        <f t="shared" si="84"/>
        <v>2012</v>
      </c>
      <c r="F5147" s="3" t="s">
        <v>991</v>
      </c>
      <c r="G5147" s="6">
        <v>1781.4</v>
      </c>
      <c r="H5147" s="5">
        <v>5294</v>
      </c>
    </row>
    <row r="5148" spans="2:8" ht="17.5" customHeight="1" x14ac:dyDescent="0.4">
      <c r="B5148" s="3" t="s">
        <v>7</v>
      </c>
      <c r="C5148" s="3" t="s">
        <v>990</v>
      </c>
      <c r="D5148" s="4">
        <f>DATE(2013,1,25)</f>
        <v>41299</v>
      </c>
      <c r="E5148" s="5">
        <f t="shared" si="84"/>
        <v>2013</v>
      </c>
      <c r="F5148" s="3" t="s">
        <v>991</v>
      </c>
      <c r="G5148" s="6">
        <v>445.17</v>
      </c>
      <c r="H5148" s="5">
        <v>5412</v>
      </c>
    </row>
    <row r="5149" spans="2:8" ht="17.5" customHeight="1" x14ac:dyDescent="0.4">
      <c r="B5149" s="3" t="s">
        <v>7</v>
      </c>
      <c r="C5149" s="3" t="s">
        <v>990</v>
      </c>
      <c r="D5149" s="4">
        <f>DATE(2013,3,13)</f>
        <v>41346</v>
      </c>
      <c r="E5149" s="5">
        <f t="shared" si="84"/>
        <v>2013</v>
      </c>
      <c r="F5149" s="3" t="s">
        <v>991</v>
      </c>
      <c r="G5149" s="6">
        <v>578</v>
      </c>
      <c r="H5149" s="5">
        <v>5462</v>
      </c>
    </row>
    <row r="5150" spans="2:8" ht="17.5" customHeight="1" x14ac:dyDescent="0.4">
      <c r="B5150" s="3" t="s">
        <v>7</v>
      </c>
      <c r="C5150" s="3" t="s">
        <v>990</v>
      </c>
      <c r="D5150" s="4">
        <f>DATE(2013,5,17)</f>
        <v>41411</v>
      </c>
      <c r="E5150" s="5">
        <f t="shared" si="84"/>
        <v>2013</v>
      </c>
      <c r="F5150" s="3" t="s">
        <v>991</v>
      </c>
      <c r="G5150" s="6">
        <v>4912.5600000000004</v>
      </c>
      <c r="H5150" s="5">
        <v>5561</v>
      </c>
    </row>
    <row r="5151" spans="2:8" ht="17.5" customHeight="1" x14ac:dyDescent="0.4">
      <c r="B5151" s="3" t="s">
        <v>7</v>
      </c>
      <c r="C5151" s="3" t="s">
        <v>990</v>
      </c>
      <c r="D5151" s="4">
        <f>DATE(2013,9,17)</f>
        <v>41534</v>
      </c>
      <c r="E5151" s="5">
        <f t="shared" si="84"/>
        <v>2013</v>
      </c>
      <c r="F5151" s="3" t="s">
        <v>991</v>
      </c>
      <c r="G5151" s="6">
        <v>6393.08</v>
      </c>
      <c r="H5151" s="5">
        <v>5780</v>
      </c>
    </row>
    <row r="5152" spans="2:8" ht="17.5" customHeight="1" x14ac:dyDescent="0.4">
      <c r="B5152" s="3" t="s">
        <v>7</v>
      </c>
      <c r="C5152" s="3" t="s">
        <v>990</v>
      </c>
      <c r="D5152" s="4">
        <f>DATE(2013,9,18)</f>
        <v>41535</v>
      </c>
      <c r="E5152" s="5">
        <f t="shared" si="84"/>
        <v>2013</v>
      </c>
      <c r="F5152" s="3" t="s">
        <v>991</v>
      </c>
      <c r="G5152" s="6">
        <v>3764.84</v>
      </c>
      <c r="H5152" s="5">
        <v>5790</v>
      </c>
    </row>
    <row r="5153" spans="2:8" ht="17.5" customHeight="1" x14ac:dyDescent="0.4">
      <c r="B5153" s="3" t="s">
        <v>7</v>
      </c>
      <c r="C5153" s="3" t="s">
        <v>990</v>
      </c>
      <c r="D5153" s="4">
        <f>DATE(2013,11,15)</f>
        <v>41593</v>
      </c>
      <c r="E5153" s="5">
        <f t="shared" si="84"/>
        <v>2013</v>
      </c>
      <c r="F5153" s="3" t="s">
        <v>991</v>
      </c>
      <c r="G5153" s="6">
        <v>1256.17</v>
      </c>
      <c r="H5153" s="5">
        <v>5905</v>
      </c>
    </row>
    <row r="5154" spans="2:8" ht="17.5" customHeight="1" x14ac:dyDescent="0.4">
      <c r="B5154" s="3" t="s">
        <v>7</v>
      </c>
      <c r="C5154" s="3" t="s">
        <v>990</v>
      </c>
      <c r="D5154" s="4">
        <f>DATE(2013,11,26)</f>
        <v>41604</v>
      </c>
      <c r="E5154" s="5">
        <f t="shared" si="84"/>
        <v>2013</v>
      </c>
      <c r="F5154" s="3" t="s">
        <v>991</v>
      </c>
      <c r="G5154" s="6">
        <v>3764.84</v>
      </c>
      <c r="H5154" s="5">
        <v>5911</v>
      </c>
    </row>
    <row r="5155" spans="2:8" ht="17.5" customHeight="1" x14ac:dyDescent="0.4">
      <c r="B5155" s="3" t="s">
        <v>7</v>
      </c>
      <c r="C5155" s="3" t="s">
        <v>990</v>
      </c>
      <c r="D5155" s="4">
        <f>DATE(2014,1,29)</f>
        <v>41668</v>
      </c>
      <c r="E5155" s="5">
        <f t="shared" si="84"/>
        <v>2014</v>
      </c>
      <c r="F5155" s="3" t="s">
        <v>991</v>
      </c>
      <c r="G5155" s="6">
        <v>1674.5</v>
      </c>
      <c r="H5155" s="5">
        <v>5992</v>
      </c>
    </row>
    <row r="5156" spans="2:8" ht="17.5" customHeight="1" x14ac:dyDescent="0.4">
      <c r="B5156" s="3" t="s">
        <v>7</v>
      </c>
      <c r="C5156" s="3" t="s">
        <v>990</v>
      </c>
      <c r="D5156" s="4">
        <f>DATE(2014,3,17)</f>
        <v>41715</v>
      </c>
      <c r="E5156" s="5">
        <f t="shared" si="84"/>
        <v>2014</v>
      </c>
      <c r="F5156" s="3" t="s">
        <v>991</v>
      </c>
      <c r="G5156" s="6">
        <v>182.32</v>
      </c>
      <c r="H5156" s="5">
        <v>6109</v>
      </c>
    </row>
    <row r="5157" spans="2:8" ht="17.5" customHeight="1" x14ac:dyDescent="0.4">
      <c r="B5157" s="3" t="s">
        <v>7</v>
      </c>
      <c r="C5157" s="3" t="s">
        <v>990</v>
      </c>
      <c r="D5157" s="4">
        <f>DATE(2014,4,16)</f>
        <v>41745</v>
      </c>
      <c r="E5157" s="5">
        <f t="shared" si="84"/>
        <v>2014</v>
      </c>
      <c r="F5157" s="3" t="s">
        <v>991</v>
      </c>
      <c r="G5157" s="6">
        <v>461</v>
      </c>
      <c r="H5157" s="5">
        <v>6155</v>
      </c>
    </row>
    <row r="5158" spans="2:8" ht="17.5" customHeight="1" x14ac:dyDescent="0.4">
      <c r="B5158" s="3" t="s">
        <v>7</v>
      </c>
      <c r="C5158" s="3" t="s">
        <v>990</v>
      </c>
      <c r="D5158" s="4">
        <f>DATE(2014,4,16)</f>
        <v>41745</v>
      </c>
      <c r="E5158" s="5">
        <f t="shared" si="84"/>
        <v>2014</v>
      </c>
      <c r="F5158" s="3" t="s">
        <v>991</v>
      </c>
      <c r="G5158" s="6">
        <v>524.07000000000005</v>
      </c>
      <c r="H5158" s="5">
        <v>6152</v>
      </c>
    </row>
    <row r="5159" spans="2:8" ht="17.5" customHeight="1" x14ac:dyDescent="0.4">
      <c r="B5159" s="3" t="s">
        <v>7</v>
      </c>
      <c r="C5159" s="3" t="s">
        <v>990</v>
      </c>
      <c r="D5159" s="4">
        <f>DATE(2014,5,8)</f>
        <v>41767</v>
      </c>
      <c r="E5159" s="5">
        <f t="shared" si="84"/>
        <v>2014</v>
      </c>
      <c r="F5159" s="3" t="s">
        <v>991</v>
      </c>
      <c r="G5159" s="6">
        <v>1752</v>
      </c>
      <c r="H5159" s="5">
        <v>6130</v>
      </c>
    </row>
    <row r="5160" spans="2:8" ht="17.5" customHeight="1" x14ac:dyDescent="0.4">
      <c r="B5160" s="3" t="s">
        <v>7</v>
      </c>
      <c r="C5160" s="3" t="s">
        <v>990</v>
      </c>
      <c r="D5160" s="4">
        <f>DATE(2014,5,8)</f>
        <v>41767</v>
      </c>
      <c r="E5160" s="5">
        <f t="shared" si="84"/>
        <v>2014</v>
      </c>
      <c r="F5160" s="3" t="s">
        <v>991</v>
      </c>
      <c r="G5160" s="6">
        <v>250.42</v>
      </c>
      <c r="H5160" s="5">
        <v>6177</v>
      </c>
    </row>
    <row r="5161" spans="2:8" ht="17.5" customHeight="1" x14ac:dyDescent="0.4">
      <c r="B5161" s="3" t="s">
        <v>7</v>
      </c>
      <c r="C5161" s="3" t="s">
        <v>990</v>
      </c>
      <c r="D5161" s="4">
        <f>DATE(2014,5,15)</f>
        <v>41774</v>
      </c>
      <c r="E5161" s="5">
        <f t="shared" si="84"/>
        <v>2014</v>
      </c>
      <c r="F5161" s="3" t="s">
        <v>991</v>
      </c>
      <c r="G5161" s="6">
        <v>214.5</v>
      </c>
      <c r="H5161" s="5">
        <v>6194</v>
      </c>
    </row>
    <row r="5162" spans="2:8" ht="17.5" customHeight="1" x14ac:dyDescent="0.4">
      <c r="B5162" s="3" t="s">
        <v>7</v>
      </c>
      <c r="C5162" s="3" t="s">
        <v>990</v>
      </c>
      <c r="D5162" s="4">
        <f>DATE(2014,6,24)</f>
        <v>41814</v>
      </c>
      <c r="E5162" s="5">
        <f t="shared" si="84"/>
        <v>2014</v>
      </c>
      <c r="F5162" s="3" t="s">
        <v>991</v>
      </c>
      <c r="G5162" s="6">
        <v>658.51</v>
      </c>
      <c r="H5162" s="5">
        <v>6250</v>
      </c>
    </row>
    <row r="5163" spans="2:8" ht="17.5" customHeight="1" x14ac:dyDescent="0.4">
      <c r="B5163" s="3" t="s">
        <v>7</v>
      </c>
      <c r="C5163" s="3" t="s">
        <v>990</v>
      </c>
      <c r="D5163" s="4">
        <f>DATE(2014,8,7)</f>
        <v>41858</v>
      </c>
      <c r="E5163" s="5">
        <f t="shared" si="84"/>
        <v>2014</v>
      </c>
      <c r="F5163" s="3" t="s">
        <v>991</v>
      </c>
      <c r="G5163" s="6">
        <v>522.91999999999996</v>
      </c>
      <c r="H5163" s="5">
        <v>6300</v>
      </c>
    </row>
    <row r="5164" spans="2:8" ht="17.5" customHeight="1" x14ac:dyDescent="0.4">
      <c r="B5164" s="3" t="s">
        <v>7</v>
      </c>
      <c r="C5164" s="3" t="s">
        <v>990</v>
      </c>
      <c r="D5164" s="4">
        <f>DATE(2014,8,12)</f>
        <v>41863</v>
      </c>
      <c r="E5164" s="5">
        <f t="shared" si="84"/>
        <v>2014</v>
      </c>
      <c r="F5164" s="3" t="s">
        <v>991</v>
      </c>
      <c r="G5164" s="6">
        <v>174.84</v>
      </c>
      <c r="H5164" s="5">
        <v>6326</v>
      </c>
    </row>
    <row r="5165" spans="2:8" ht="17.5" customHeight="1" x14ac:dyDescent="0.4">
      <c r="B5165" s="3" t="s">
        <v>7</v>
      </c>
      <c r="C5165" s="3" t="s">
        <v>990</v>
      </c>
      <c r="D5165" s="4">
        <f>DATE(2014,8,20)</f>
        <v>41871</v>
      </c>
      <c r="E5165" s="5">
        <f t="shared" si="84"/>
        <v>2014</v>
      </c>
      <c r="F5165" s="3" t="s">
        <v>991</v>
      </c>
      <c r="G5165" s="6">
        <v>182.32</v>
      </c>
      <c r="H5165" s="5">
        <v>6319</v>
      </c>
    </row>
    <row r="5166" spans="2:8" ht="17.5" customHeight="1" x14ac:dyDescent="0.4">
      <c r="B5166" s="3" t="s">
        <v>7</v>
      </c>
      <c r="C5166" s="3" t="s">
        <v>990</v>
      </c>
      <c r="D5166" s="4">
        <f>DATE(2014,8,21)</f>
        <v>41872</v>
      </c>
      <c r="E5166" s="5">
        <f t="shared" si="84"/>
        <v>2014</v>
      </c>
      <c r="F5166" s="3" t="s">
        <v>991</v>
      </c>
      <c r="G5166" s="6">
        <v>23.12</v>
      </c>
      <c r="H5166" s="5">
        <v>6332</v>
      </c>
    </row>
    <row r="5167" spans="2:8" ht="17.5" customHeight="1" x14ac:dyDescent="0.4">
      <c r="B5167" s="3" t="s">
        <v>7</v>
      </c>
      <c r="C5167" s="3" t="s">
        <v>990</v>
      </c>
      <c r="D5167" s="4">
        <f>DATE(2014,11,12)</f>
        <v>41955</v>
      </c>
      <c r="E5167" s="5">
        <f t="shared" si="84"/>
        <v>2014</v>
      </c>
      <c r="F5167" s="3" t="s">
        <v>991</v>
      </c>
      <c r="G5167" s="6">
        <v>1164.5999999999999</v>
      </c>
      <c r="H5167" s="5">
        <v>6459</v>
      </c>
    </row>
    <row r="5168" spans="2:8" ht="17.5" customHeight="1" x14ac:dyDescent="0.4">
      <c r="B5168" s="3" t="s">
        <v>7</v>
      </c>
      <c r="C5168" s="3" t="s">
        <v>990</v>
      </c>
      <c r="D5168" s="4">
        <f>DATE(2014,11,20)</f>
        <v>41963</v>
      </c>
      <c r="E5168" s="5">
        <f t="shared" si="84"/>
        <v>2014</v>
      </c>
      <c r="F5168" s="3" t="s">
        <v>991</v>
      </c>
      <c r="G5168" s="6">
        <v>785.05</v>
      </c>
      <c r="H5168" s="5">
        <v>6489</v>
      </c>
    </row>
    <row r="5169" spans="2:8" ht="17.5" customHeight="1" x14ac:dyDescent="0.4">
      <c r="B5169" s="3" t="s">
        <v>7</v>
      </c>
      <c r="C5169" s="3" t="s">
        <v>990</v>
      </c>
      <c r="D5169" s="4">
        <f>DATE(2014,12,5)</f>
        <v>41978</v>
      </c>
      <c r="E5169" s="5">
        <f t="shared" si="84"/>
        <v>2014</v>
      </c>
      <c r="F5169" s="3" t="s">
        <v>991</v>
      </c>
      <c r="G5169" s="6">
        <v>116.16</v>
      </c>
      <c r="H5169" s="5">
        <v>6517</v>
      </c>
    </row>
    <row r="5170" spans="2:8" ht="17.5" customHeight="1" x14ac:dyDescent="0.4">
      <c r="B5170" s="3" t="s">
        <v>16</v>
      </c>
      <c r="C5170" s="3" t="s">
        <v>990</v>
      </c>
      <c r="D5170" s="4">
        <f>DATE(2007,3,7)</f>
        <v>39148</v>
      </c>
      <c r="E5170" s="5">
        <f t="shared" si="84"/>
        <v>2007</v>
      </c>
      <c r="F5170" s="3" t="s">
        <v>991</v>
      </c>
      <c r="G5170" s="6">
        <v>388.5</v>
      </c>
      <c r="H5170" s="5">
        <v>2129</v>
      </c>
    </row>
    <row r="5171" spans="2:8" ht="17.5" customHeight="1" x14ac:dyDescent="0.4">
      <c r="B5171" s="3" t="s">
        <v>16</v>
      </c>
      <c r="C5171" s="3" t="s">
        <v>990</v>
      </c>
      <c r="D5171" s="4">
        <f>DATE(2007,3,7)</f>
        <v>39148</v>
      </c>
      <c r="E5171" s="5">
        <f t="shared" si="84"/>
        <v>2007</v>
      </c>
      <c r="F5171" s="3" t="s">
        <v>991</v>
      </c>
      <c r="G5171" s="6">
        <v>388.5</v>
      </c>
      <c r="H5171" s="5">
        <v>2131</v>
      </c>
    </row>
    <row r="5172" spans="2:8" ht="17.5" customHeight="1" x14ac:dyDescent="0.4">
      <c r="B5172" s="3" t="s">
        <v>16</v>
      </c>
      <c r="C5172" s="3" t="s">
        <v>990</v>
      </c>
      <c r="D5172" s="4">
        <f>DATE(2007,3,7)</f>
        <v>39148</v>
      </c>
      <c r="E5172" s="5">
        <f t="shared" si="84"/>
        <v>2007</v>
      </c>
      <c r="F5172" s="3" t="s">
        <v>991</v>
      </c>
      <c r="G5172" s="6">
        <v>388.5</v>
      </c>
      <c r="H5172" s="5">
        <v>2132</v>
      </c>
    </row>
    <row r="5173" spans="2:8" ht="17.5" customHeight="1" x14ac:dyDescent="0.4">
      <c r="B5173" s="3" t="s">
        <v>16</v>
      </c>
      <c r="C5173" s="3" t="s">
        <v>990</v>
      </c>
      <c r="D5173" s="4">
        <f>DATE(2007,3,7)</f>
        <v>39148</v>
      </c>
      <c r="E5173" s="5">
        <f t="shared" si="84"/>
        <v>2007</v>
      </c>
      <c r="F5173" s="3" t="s">
        <v>991</v>
      </c>
      <c r="G5173" s="6">
        <v>2644.5</v>
      </c>
      <c r="H5173" s="5">
        <v>2133</v>
      </c>
    </row>
    <row r="5174" spans="2:8" ht="17.5" customHeight="1" x14ac:dyDescent="0.4">
      <c r="B5174" s="3" t="s">
        <v>16</v>
      </c>
      <c r="C5174" s="3" t="s">
        <v>990</v>
      </c>
      <c r="D5174" s="4">
        <f>DATE(2008,4,1)</f>
        <v>39539</v>
      </c>
      <c r="E5174" s="5">
        <f t="shared" si="84"/>
        <v>2008</v>
      </c>
      <c r="F5174" s="3" t="s">
        <v>991</v>
      </c>
      <c r="G5174" s="6">
        <v>890.65</v>
      </c>
      <c r="H5174" s="5">
        <v>2790</v>
      </c>
    </row>
    <row r="5175" spans="2:8" ht="17.5" customHeight="1" x14ac:dyDescent="0.4">
      <c r="B5175" s="3" t="s">
        <v>16</v>
      </c>
      <c r="C5175" s="3" t="s">
        <v>990</v>
      </c>
      <c r="D5175" s="4">
        <f>DATE(2014,8,12)</f>
        <v>41863</v>
      </c>
      <c r="E5175" s="5">
        <f t="shared" si="84"/>
        <v>2014</v>
      </c>
      <c r="F5175" s="3" t="s">
        <v>991</v>
      </c>
      <c r="G5175" s="6">
        <v>348.04</v>
      </c>
      <c r="H5175" s="5">
        <v>6329</v>
      </c>
    </row>
    <row r="5176" spans="2:8" ht="17.5" customHeight="1" x14ac:dyDescent="0.4">
      <c r="B5176" s="3" t="s">
        <v>7</v>
      </c>
      <c r="C5176" s="3" t="s">
        <v>990</v>
      </c>
      <c r="D5176" s="4">
        <f>DATE(2003,1,23)</f>
        <v>37644</v>
      </c>
      <c r="E5176" s="5">
        <f t="shared" si="84"/>
        <v>2003</v>
      </c>
      <c r="F5176" s="3" t="s">
        <v>991</v>
      </c>
      <c r="G5176" s="6">
        <v>33362</v>
      </c>
      <c r="H5176" s="5">
        <v>64</v>
      </c>
    </row>
    <row r="5177" spans="2:8" ht="17.5" customHeight="1" x14ac:dyDescent="0.4">
      <c r="B5177" s="3" t="s">
        <v>7</v>
      </c>
      <c r="C5177" s="3" t="s">
        <v>990</v>
      </c>
      <c r="D5177" s="4">
        <f>DATE(2003,1,30)</f>
        <v>37651</v>
      </c>
      <c r="E5177" s="5">
        <f t="shared" si="84"/>
        <v>2003</v>
      </c>
      <c r="F5177" s="3" t="s">
        <v>991</v>
      </c>
      <c r="G5177" s="6">
        <v>905.7</v>
      </c>
      <c r="H5177" s="5">
        <v>181</v>
      </c>
    </row>
    <row r="5178" spans="2:8" ht="17.5" customHeight="1" x14ac:dyDescent="0.4">
      <c r="B5178" s="3" t="s">
        <v>7</v>
      </c>
      <c r="C5178" s="3" t="s">
        <v>990</v>
      </c>
      <c r="D5178" s="4">
        <f>DATE(2003,2,21)</f>
        <v>37673</v>
      </c>
      <c r="E5178" s="5">
        <f t="shared" si="84"/>
        <v>2003</v>
      </c>
      <c r="F5178" s="3" t="s">
        <v>991</v>
      </c>
      <c r="G5178" s="6">
        <v>7495</v>
      </c>
      <c r="H5178" s="5">
        <v>277</v>
      </c>
    </row>
    <row r="5179" spans="2:8" ht="17.5" customHeight="1" x14ac:dyDescent="0.4">
      <c r="B5179" s="3" t="s">
        <v>7</v>
      </c>
      <c r="C5179" s="3" t="s">
        <v>990</v>
      </c>
      <c r="D5179" s="4">
        <f>DATE(2003,3,18)</f>
        <v>37698</v>
      </c>
      <c r="E5179" s="5">
        <f t="shared" si="84"/>
        <v>2003</v>
      </c>
      <c r="F5179" s="3" t="s">
        <v>991</v>
      </c>
      <c r="G5179" s="6">
        <v>8784</v>
      </c>
      <c r="H5179" s="5">
        <v>516</v>
      </c>
    </row>
    <row r="5180" spans="2:8" ht="17.5" customHeight="1" x14ac:dyDescent="0.4">
      <c r="B5180" s="3" t="s">
        <v>7</v>
      </c>
      <c r="C5180" s="3" t="s">
        <v>990</v>
      </c>
      <c r="D5180" s="4">
        <f>DATE(2003,4,1)</f>
        <v>37712</v>
      </c>
      <c r="E5180" s="5">
        <f t="shared" si="84"/>
        <v>2003</v>
      </c>
      <c r="F5180" s="3" t="s">
        <v>991</v>
      </c>
      <c r="G5180" s="6">
        <v>230</v>
      </c>
      <c r="H5180" s="5">
        <v>670</v>
      </c>
    </row>
    <row r="5181" spans="2:8" ht="17.5" customHeight="1" x14ac:dyDescent="0.4">
      <c r="B5181" s="3" t="s">
        <v>7</v>
      </c>
      <c r="C5181" s="3" t="s">
        <v>990</v>
      </c>
      <c r="D5181" s="4">
        <f>DATE(2003,4,16)</f>
        <v>37727</v>
      </c>
      <c r="E5181" s="5">
        <f t="shared" si="84"/>
        <v>2003</v>
      </c>
      <c r="F5181" s="3" t="s">
        <v>991</v>
      </c>
      <c r="G5181" s="6">
        <v>3825</v>
      </c>
      <c r="H5181" s="5">
        <v>744</v>
      </c>
    </row>
    <row r="5182" spans="2:8" ht="17.5" customHeight="1" x14ac:dyDescent="0.4">
      <c r="B5182" s="3" t="s">
        <v>7</v>
      </c>
      <c r="C5182" s="3" t="s">
        <v>990</v>
      </c>
      <c r="D5182" s="4">
        <f>DATE(2003,4,16)</f>
        <v>37727</v>
      </c>
      <c r="E5182" s="5">
        <f t="shared" si="84"/>
        <v>2003</v>
      </c>
      <c r="F5182" s="3" t="s">
        <v>991</v>
      </c>
      <c r="G5182" s="6">
        <v>255</v>
      </c>
      <c r="H5182" s="5">
        <v>505</v>
      </c>
    </row>
    <row r="5183" spans="2:8" ht="17.5" customHeight="1" x14ac:dyDescent="0.4">
      <c r="B5183" s="3" t="s">
        <v>7</v>
      </c>
      <c r="C5183" s="3" t="s">
        <v>990</v>
      </c>
      <c r="D5183" s="4">
        <f>DATE(2003,5,29)</f>
        <v>37770</v>
      </c>
      <c r="E5183" s="5">
        <f t="shared" si="84"/>
        <v>2003</v>
      </c>
      <c r="F5183" s="3" t="s">
        <v>991</v>
      </c>
      <c r="G5183" s="6">
        <v>97.8</v>
      </c>
      <c r="H5183" s="5">
        <v>1019</v>
      </c>
    </row>
    <row r="5184" spans="2:8" ht="17.5" customHeight="1" x14ac:dyDescent="0.4">
      <c r="B5184" s="3" t="s">
        <v>7</v>
      </c>
      <c r="C5184" s="3" t="s">
        <v>990</v>
      </c>
      <c r="D5184" s="4">
        <f>DATE(2003,6,17)</f>
        <v>37789</v>
      </c>
      <c r="E5184" s="5">
        <f t="shared" si="84"/>
        <v>2003</v>
      </c>
      <c r="F5184" s="3" t="s">
        <v>991</v>
      </c>
      <c r="G5184" s="6">
        <v>1428.5</v>
      </c>
      <c r="H5184" s="5">
        <v>1128</v>
      </c>
    </row>
    <row r="5185" spans="2:8" ht="17.5" customHeight="1" x14ac:dyDescent="0.4">
      <c r="B5185" s="3" t="s">
        <v>7</v>
      </c>
      <c r="C5185" s="3" t="s">
        <v>990</v>
      </c>
      <c r="D5185" s="4">
        <f>DATE(2003,6,24)</f>
        <v>37796</v>
      </c>
      <c r="E5185" s="5">
        <f t="shared" si="84"/>
        <v>2003</v>
      </c>
      <c r="F5185" s="3" t="s">
        <v>991</v>
      </c>
      <c r="G5185" s="6">
        <v>468.3</v>
      </c>
      <c r="H5185" s="5">
        <v>1143</v>
      </c>
    </row>
    <row r="5186" spans="2:8" ht="17.5" customHeight="1" x14ac:dyDescent="0.4">
      <c r="B5186" s="3" t="s">
        <v>7</v>
      </c>
      <c r="C5186" s="3" t="s">
        <v>990</v>
      </c>
      <c r="D5186" s="4">
        <f>DATE(2003,7,16)</f>
        <v>37818</v>
      </c>
      <c r="E5186" s="5">
        <f t="shared" si="84"/>
        <v>2003</v>
      </c>
      <c r="F5186" s="3" t="s">
        <v>991</v>
      </c>
      <c r="G5186" s="6">
        <v>180.9</v>
      </c>
      <c r="H5186" s="5">
        <v>1197</v>
      </c>
    </row>
    <row r="5187" spans="2:8" ht="17.5" customHeight="1" x14ac:dyDescent="0.4">
      <c r="B5187" s="3" t="s">
        <v>7</v>
      </c>
      <c r="C5187" s="3" t="s">
        <v>990</v>
      </c>
      <c r="D5187" s="4">
        <f>DATE(2003,8,15)</f>
        <v>37848</v>
      </c>
      <c r="E5187" s="5">
        <f t="shared" ref="E5187:E5250" si="85">YEAR(D5187)</f>
        <v>2003</v>
      </c>
      <c r="F5187" s="3" t="s">
        <v>991</v>
      </c>
      <c r="G5187" s="6">
        <v>11868</v>
      </c>
      <c r="H5187" s="5">
        <v>1357</v>
      </c>
    </row>
    <row r="5188" spans="2:8" ht="17.5" customHeight="1" x14ac:dyDescent="0.4">
      <c r="B5188" s="3" t="s">
        <v>7</v>
      </c>
      <c r="C5188" s="3" t="s">
        <v>990</v>
      </c>
      <c r="D5188" s="4">
        <f>DATE(2003,8,21)</f>
        <v>37854</v>
      </c>
      <c r="E5188" s="5">
        <f t="shared" si="85"/>
        <v>2003</v>
      </c>
      <c r="F5188" s="3" t="s">
        <v>991</v>
      </c>
      <c r="G5188" s="6">
        <v>3623.5</v>
      </c>
      <c r="H5188" s="5">
        <v>1398</v>
      </c>
    </row>
    <row r="5189" spans="2:8" ht="17.5" customHeight="1" x14ac:dyDescent="0.4">
      <c r="B5189" s="3" t="s">
        <v>7</v>
      </c>
      <c r="C5189" s="3" t="s">
        <v>990</v>
      </c>
      <c r="D5189" s="4">
        <f>DATE(2003,9,2)</f>
        <v>37866</v>
      </c>
      <c r="E5189" s="5">
        <f t="shared" si="85"/>
        <v>2003</v>
      </c>
      <c r="F5189" s="3" t="s">
        <v>991</v>
      </c>
      <c r="G5189" s="6">
        <v>16970.2</v>
      </c>
      <c r="H5189" s="5">
        <v>1452</v>
      </c>
    </row>
    <row r="5190" spans="2:8" ht="17.5" customHeight="1" x14ac:dyDescent="0.4">
      <c r="B5190" s="3" t="s">
        <v>7</v>
      </c>
      <c r="C5190" s="3" t="s">
        <v>990</v>
      </c>
      <c r="D5190" s="4">
        <f>DATE(2003,9,3)</f>
        <v>37867</v>
      </c>
      <c r="E5190" s="5">
        <f t="shared" si="85"/>
        <v>2003</v>
      </c>
      <c r="F5190" s="3" t="s">
        <v>991</v>
      </c>
      <c r="G5190" s="6">
        <v>552</v>
      </c>
      <c r="H5190" s="5">
        <v>1448</v>
      </c>
    </row>
    <row r="5191" spans="2:8" ht="17.5" customHeight="1" x14ac:dyDescent="0.4">
      <c r="B5191" s="3" t="s">
        <v>7</v>
      </c>
      <c r="C5191" s="3" t="s">
        <v>990</v>
      </c>
      <c r="D5191" s="4">
        <f>DATE(2003,9,4)</f>
        <v>37868</v>
      </c>
      <c r="E5191" s="5">
        <f t="shared" si="85"/>
        <v>2003</v>
      </c>
      <c r="F5191" s="3" t="s">
        <v>991</v>
      </c>
      <c r="G5191" s="6">
        <v>76.5</v>
      </c>
      <c r="H5191" s="5">
        <v>1423</v>
      </c>
    </row>
    <row r="5192" spans="2:8" ht="17.5" customHeight="1" x14ac:dyDescent="0.4">
      <c r="B5192" s="3" t="s">
        <v>7</v>
      </c>
      <c r="C5192" s="3" t="s">
        <v>990</v>
      </c>
      <c r="D5192" s="4">
        <f>DATE(2003,9,9)</f>
        <v>37873</v>
      </c>
      <c r="E5192" s="5">
        <f t="shared" si="85"/>
        <v>2003</v>
      </c>
      <c r="F5192" s="3" t="s">
        <v>991</v>
      </c>
      <c r="G5192" s="6">
        <v>27128.799999999999</v>
      </c>
      <c r="H5192" s="5">
        <v>1434</v>
      </c>
    </row>
    <row r="5193" spans="2:8" ht="17.5" customHeight="1" x14ac:dyDescent="0.4">
      <c r="B5193" s="3" t="s">
        <v>7</v>
      </c>
      <c r="C5193" s="3" t="s">
        <v>990</v>
      </c>
      <c r="D5193" s="4">
        <f>DATE(2003,9,10)</f>
        <v>37874</v>
      </c>
      <c r="E5193" s="5">
        <f t="shared" si="85"/>
        <v>2003</v>
      </c>
      <c r="F5193" s="3" t="s">
        <v>991</v>
      </c>
      <c r="G5193" s="6">
        <v>50911.7</v>
      </c>
      <c r="H5193" s="5">
        <v>1428</v>
      </c>
    </row>
    <row r="5194" spans="2:8" ht="17.5" customHeight="1" x14ac:dyDescent="0.4">
      <c r="B5194" s="3" t="s">
        <v>7</v>
      </c>
      <c r="C5194" s="3" t="s">
        <v>990</v>
      </c>
      <c r="D5194" s="4">
        <f>DATE(2003,10,21)</f>
        <v>37915</v>
      </c>
      <c r="E5194" s="5">
        <f t="shared" si="85"/>
        <v>2003</v>
      </c>
      <c r="F5194" s="3" t="s">
        <v>991</v>
      </c>
      <c r="G5194" s="6">
        <v>1222.5</v>
      </c>
      <c r="H5194" s="5">
        <v>1677</v>
      </c>
    </row>
    <row r="5195" spans="2:8" ht="17.5" customHeight="1" x14ac:dyDescent="0.4">
      <c r="B5195" s="3" t="s">
        <v>7</v>
      </c>
      <c r="C5195" s="3" t="s">
        <v>990</v>
      </c>
      <c r="D5195" s="4">
        <f>DATE(2003,10,23)</f>
        <v>37917</v>
      </c>
      <c r="E5195" s="5">
        <f t="shared" si="85"/>
        <v>2003</v>
      </c>
      <c r="F5195" s="3" t="s">
        <v>991</v>
      </c>
      <c r="G5195" s="6">
        <v>460</v>
      </c>
      <c r="H5195" s="5">
        <v>1686</v>
      </c>
    </row>
    <row r="5196" spans="2:8" ht="17.5" customHeight="1" x14ac:dyDescent="0.4">
      <c r="B5196" s="3" t="s">
        <v>7</v>
      </c>
      <c r="C5196" s="3" t="s">
        <v>990</v>
      </c>
      <c r="D5196" s="4">
        <f>DATE(2003,10,28)</f>
        <v>37922</v>
      </c>
      <c r="E5196" s="5">
        <f t="shared" si="85"/>
        <v>2003</v>
      </c>
      <c r="F5196" s="3" t="s">
        <v>991</v>
      </c>
      <c r="G5196" s="6">
        <v>5576</v>
      </c>
      <c r="H5196" s="5">
        <v>1687</v>
      </c>
    </row>
    <row r="5197" spans="2:8" ht="17.5" customHeight="1" x14ac:dyDescent="0.4">
      <c r="B5197" s="3" t="s">
        <v>7</v>
      </c>
      <c r="C5197" s="3" t="s">
        <v>990</v>
      </c>
      <c r="D5197" s="4">
        <f>DATE(2003,10,28)</f>
        <v>37922</v>
      </c>
      <c r="E5197" s="5">
        <f t="shared" si="85"/>
        <v>2003</v>
      </c>
      <c r="F5197" s="3" t="s">
        <v>991</v>
      </c>
      <c r="G5197" s="6">
        <v>525</v>
      </c>
      <c r="H5197" s="5">
        <v>1688</v>
      </c>
    </row>
    <row r="5198" spans="2:8" ht="17.5" customHeight="1" x14ac:dyDescent="0.4">
      <c r="B5198" s="3" t="s">
        <v>7</v>
      </c>
      <c r="C5198" s="3" t="s">
        <v>990</v>
      </c>
      <c r="D5198" s="4">
        <f>DATE(2003,12,4)</f>
        <v>37959</v>
      </c>
      <c r="E5198" s="5">
        <f t="shared" si="85"/>
        <v>2003</v>
      </c>
      <c r="F5198" s="3" t="s">
        <v>991</v>
      </c>
      <c r="G5198" s="6">
        <v>966</v>
      </c>
      <c r="H5198" s="5">
        <v>1865</v>
      </c>
    </row>
    <row r="5199" spans="2:8" ht="17.5" customHeight="1" x14ac:dyDescent="0.4">
      <c r="B5199" s="3" t="s">
        <v>7</v>
      </c>
      <c r="C5199" s="3" t="s">
        <v>990</v>
      </c>
      <c r="D5199" s="4">
        <f>DATE(2004,1,16)</f>
        <v>38002</v>
      </c>
      <c r="E5199" s="5">
        <f t="shared" si="85"/>
        <v>2004</v>
      </c>
      <c r="F5199" s="3" t="s">
        <v>991</v>
      </c>
      <c r="G5199" s="6">
        <v>6070</v>
      </c>
      <c r="H5199" s="5">
        <v>1970</v>
      </c>
    </row>
    <row r="5200" spans="2:8" ht="17.5" customHeight="1" x14ac:dyDescent="0.4">
      <c r="B5200" s="3" t="s">
        <v>7</v>
      </c>
      <c r="C5200" s="3" t="s">
        <v>990</v>
      </c>
      <c r="D5200" s="4">
        <f>DATE(2004,1,22)</f>
        <v>38008</v>
      </c>
      <c r="E5200" s="5">
        <f t="shared" si="85"/>
        <v>2004</v>
      </c>
      <c r="F5200" s="3" t="s">
        <v>991</v>
      </c>
      <c r="G5200" s="6">
        <v>7374</v>
      </c>
      <c r="H5200" s="5">
        <v>2004</v>
      </c>
    </row>
    <row r="5201" spans="2:8" ht="17.5" customHeight="1" x14ac:dyDescent="0.4">
      <c r="B5201" s="3" t="s">
        <v>7</v>
      </c>
      <c r="C5201" s="3" t="s">
        <v>990</v>
      </c>
      <c r="D5201" s="4">
        <f>DATE(2004,2,11)</f>
        <v>38028</v>
      </c>
      <c r="E5201" s="5">
        <f t="shared" si="85"/>
        <v>2004</v>
      </c>
      <c r="F5201" s="3" t="s">
        <v>991</v>
      </c>
      <c r="G5201" s="6">
        <v>484</v>
      </c>
      <c r="H5201" s="5">
        <v>2132</v>
      </c>
    </row>
    <row r="5202" spans="2:8" ht="17.5" customHeight="1" x14ac:dyDescent="0.4">
      <c r="B5202" s="3" t="s">
        <v>7</v>
      </c>
      <c r="C5202" s="3" t="s">
        <v>990</v>
      </c>
      <c r="D5202" s="4">
        <f>DATE(2004,2,12)</f>
        <v>38029</v>
      </c>
      <c r="E5202" s="5">
        <f t="shared" si="85"/>
        <v>2004</v>
      </c>
      <c r="F5202" s="3" t="s">
        <v>991</v>
      </c>
      <c r="G5202" s="6">
        <v>1500</v>
      </c>
      <c r="H5202" s="5">
        <v>2156</v>
      </c>
    </row>
    <row r="5203" spans="2:8" ht="17.5" customHeight="1" x14ac:dyDescent="0.4">
      <c r="B5203" s="3" t="s">
        <v>7</v>
      </c>
      <c r="C5203" s="3" t="s">
        <v>990</v>
      </c>
      <c r="D5203" s="4">
        <f>DATE(2004,2,24)</f>
        <v>38041</v>
      </c>
      <c r="E5203" s="5">
        <f t="shared" si="85"/>
        <v>2004</v>
      </c>
      <c r="F5203" s="3" t="s">
        <v>991</v>
      </c>
      <c r="G5203" s="6">
        <v>2420</v>
      </c>
      <c r="H5203" s="5">
        <v>2234</v>
      </c>
    </row>
    <row r="5204" spans="2:8" ht="17.5" customHeight="1" x14ac:dyDescent="0.4">
      <c r="B5204" s="3" t="s">
        <v>7</v>
      </c>
      <c r="C5204" s="3" t="s">
        <v>990</v>
      </c>
      <c r="D5204" s="4">
        <f>DATE(2004,3,5)</f>
        <v>38051</v>
      </c>
      <c r="E5204" s="5">
        <f t="shared" si="85"/>
        <v>2004</v>
      </c>
      <c r="F5204" s="3" t="s">
        <v>991</v>
      </c>
      <c r="G5204" s="6">
        <v>6348</v>
      </c>
      <c r="H5204" s="5">
        <v>2326</v>
      </c>
    </row>
    <row r="5205" spans="2:8" ht="17.5" customHeight="1" x14ac:dyDescent="0.4">
      <c r="B5205" s="3" t="s">
        <v>7</v>
      </c>
      <c r="C5205" s="3" t="s">
        <v>990</v>
      </c>
      <c r="D5205" s="4">
        <f>DATE(2004,3,19)</f>
        <v>38065</v>
      </c>
      <c r="E5205" s="5">
        <f t="shared" si="85"/>
        <v>2004</v>
      </c>
      <c r="F5205" s="3" t="s">
        <v>991</v>
      </c>
      <c r="G5205" s="6">
        <v>138</v>
      </c>
      <c r="H5205" s="5">
        <v>2434</v>
      </c>
    </row>
    <row r="5206" spans="2:8" ht="17.5" customHeight="1" x14ac:dyDescent="0.4">
      <c r="B5206" s="3" t="s">
        <v>7</v>
      </c>
      <c r="C5206" s="3" t="s">
        <v>990</v>
      </c>
      <c r="D5206" s="4">
        <f>DATE(2004,3,26)</f>
        <v>38072</v>
      </c>
      <c r="E5206" s="5">
        <f t="shared" si="85"/>
        <v>2004</v>
      </c>
      <c r="F5206" s="3" t="s">
        <v>991</v>
      </c>
      <c r="G5206" s="6">
        <v>1236.73</v>
      </c>
      <c r="H5206" s="5">
        <v>2239</v>
      </c>
    </row>
    <row r="5207" spans="2:8" ht="17.5" customHeight="1" x14ac:dyDescent="0.4">
      <c r="B5207" s="3" t="s">
        <v>7</v>
      </c>
      <c r="C5207" s="3" t="s">
        <v>990</v>
      </c>
      <c r="D5207" s="4">
        <f>DATE(2005,1,2)</f>
        <v>38354</v>
      </c>
      <c r="E5207" s="5">
        <f t="shared" si="85"/>
        <v>2005</v>
      </c>
      <c r="F5207" s="3" t="s">
        <v>991</v>
      </c>
      <c r="G5207" s="6">
        <v>508.05</v>
      </c>
      <c r="H5207" s="5">
        <v>4042</v>
      </c>
    </row>
    <row r="5208" spans="2:8" ht="17.5" customHeight="1" x14ac:dyDescent="0.4">
      <c r="B5208" s="3" t="s">
        <v>7</v>
      </c>
      <c r="C5208" s="3" t="s">
        <v>990</v>
      </c>
      <c r="D5208" s="4">
        <f>DATE(2004,12,5)</f>
        <v>38326</v>
      </c>
      <c r="E5208" s="5">
        <f t="shared" si="85"/>
        <v>2004</v>
      </c>
      <c r="F5208" s="3" t="s">
        <v>991</v>
      </c>
      <c r="G5208" s="6">
        <v>3500.29</v>
      </c>
      <c r="H5208" s="5">
        <v>4243</v>
      </c>
    </row>
    <row r="5209" spans="2:8" ht="17.5" customHeight="1" x14ac:dyDescent="0.4">
      <c r="B5209" s="3" t="s">
        <v>7</v>
      </c>
      <c r="C5209" s="3" t="s">
        <v>990</v>
      </c>
      <c r="D5209" s="4">
        <f>DATE(2006,4,20)</f>
        <v>38827</v>
      </c>
      <c r="E5209" s="5">
        <f t="shared" si="85"/>
        <v>2006</v>
      </c>
      <c r="F5209" s="3" t="s">
        <v>991</v>
      </c>
      <c r="G5209" s="6">
        <v>1750</v>
      </c>
      <c r="H5209" s="5">
        <v>6529</v>
      </c>
    </row>
    <row r="5210" spans="2:8" ht="17.5" customHeight="1" x14ac:dyDescent="0.4">
      <c r="B5210" s="3" t="s">
        <v>7</v>
      </c>
      <c r="C5210" s="3" t="s">
        <v>990</v>
      </c>
      <c r="D5210" s="4">
        <f t="shared" ref="D5210:D5215" si="86">DATE(2007,2,1)</f>
        <v>39114</v>
      </c>
      <c r="E5210" s="5">
        <f t="shared" si="85"/>
        <v>2007</v>
      </c>
      <c r="F5210" s="3" t="s">
        <v>991</v>
      </c>
      <c r="G5210" s="6">
        <v>4950</v>
      </c>
      <c r="H5210" s="5">
        <v>8073</v>
      </c>
    </row>
    <row r="5211" spans="2:8" ht="17.5" customHeight="1" x14ac:dyDescent="0.4">
      <c r="B5211" s="3" t="s">
        <v>7</v>
      </c>
      <c r="C5211" s="3" t="s">
        <v>990</v>
      </c>
      <c r="D5211" s="4">
        <f t="shared" si="86"/>
        <v>39114</v>
      </c>
      <c r="E5211" s="5">
        <f t="shared" si="85"/>
        <v>2007</v>
      </c>
      <c r="F5211" s="3" t="s">
        <v>991</v>
      </c>
      <c r="G5211" s="6">
        <v>550</v>
      </c>
      <c r="H5211" s="5">
        <v>8074</v>
      </c>
    </row>
    <row r="5212" spans="2:8" ht="17.5" customHeight="1" x14ac:dyDescent="0.4">
      <c r="B5212" s="3" t="s">
        <v>7</v>
      </c>
      <c r="C5212" s="3" t="s">
        <v>990</v>
      </c>
      <c r="D5212" s="4">
        <f t="shared" si="86"/>
        <v>39114</v>
      </c>
      <c r="E5212" s="5">
        <f t="shared" si="85"/>
        <v>2007</v>
      </c>
      <c r="F5212" s="3" t="s">
        <v>991</v>
      </c>
      <c r="G5212" s="6">
        <v>4583.3</v>
      </c>
      <c r="H5212" s="5">
        <v>8075</v>
      </c>
    </row>
    <row r="5213" spans="2:8" ht="17.5" customHeight="1" x14ac:dyDescent="0.4">
      <c r="B5213" s="3" t="s">
        <v>7</v>
      </c>
      <c r="C5213" s="3" t="s">
        <v>990</v>
      </c>
      <c r="D5213" s="4">
        <f t="shared" si="86"/>
        <v>39114</v>
      </c>
      <c r="E5213" s="5">
        <f t="shared" si="85"/>
        <v>2007</v>
      </c>
      <c r="F5213" s="3" t="s">
        <v>991</v>
      </c>
      <c r="G5213" s="6">
        <v>3300</v>
      </c>
      <c r="H5213" s="5">
        <v>8076</v>
      </c>
    </row>
    <row r="5214" spans="2:8" ht="17.5" customHeight="1" x14ac:dyDescent="0.4">
      <c r="B5214" s="3" t="s">
        <v>7</v>
      </c>
      <c r="C5214" s="3" t="s">
        <v>990</v>
      </c>
      <c r="D5214" s="4">
        <f t="shared" si="86"/>
        <v>39114</v>
      </c>
      <c r="E5214" s="5">
        <f t="shared" si="85"/>
        <v>2007</v>
      </c>
      <c r="F5214" s="3" t="s">
        <v>991</v>
      </c>
      <c r="G5214" s="6">
        <v>8080</v>
      </c>
      <c r="H5214" s="5">
        <v>8077</v>
      </c>
    </row>
    <row r="5215" spans="2:8" ht="17.5" customHeight="1" x14ac:dyDescent="0.4">
      <c r="B5215" s="3" t="s">
        <v>7</v>
      </c>
      <c r="C5215" s="3" t="s">
        <v>990</v>
      </c>
      <c r="D5215" s="4">
        <f t="shared" si="86"/>
        <v>39114</v>
      </c>
      <c r="E5215" s="5">
        <f t="shared" si="85"/>
        <v>2007</v>
      </c>
      <c r="F5215" s="3" t="s">
        <v>991</v>
      </c>
      <c r="G5215" s="6">
        <v>18180</v>
      </c>
      <c r="H5215" s="5">
        <v>8078</v>
      </c>
    </row>
    <row r="5216" spans="2:8" ht="17.5" customHeight="1" x14ac:dyDescent="0.4">
      <c r="B5216" s="3" t="s">
        <v>7</v>
      </c>
      <c r="C5216" s="3" t="s">
        <v>990</v>
      </c>
      <c r="D5216" s="4">
        <f>DATE(2007,2,6)</f>
        <v>39119</v>
      </c>
      <c r="E5216" s="5">
        <f t="shared" si="85"/>
        <v>2007</v>
      </c>
      <c r="F5216" s="3" t="s">
        <v>991</v>
      </c>
      <c r="G5216" s="6">
        <v>1800</v>
      </c>
      <c r="H5216" s="5">
        <v>8080</v>
      </c>
    </row>
    <row r="5217" spans="2:8" ht="17.5" customHeight="1" x14ac:dyDescent="0.4">
      <c r="B5217" s="3" t="s">
        <v>7</v>
      </c>
      <c r="C5217" s="3" t="s">
        <v>990</v>
      </c>
      <c r="D5217" s="4">
        <f>DATE(2007,2,7)</f>
        <v>39120</v>
      </c>
      <c r="E5217" s="5">
        <f t="shared" si="85"/>
        <v>2007</v>
      </c>
      <c r="F5217" s="3" t="s">
        <v>991</v>
      </c>
      <c r="G5217" s="6">
        <v>1280</v>
      </c>
      <c r="H5217" s="5">
        <v>8082</v>
      </c>
    </row>
    <row r="5218" spans="2:8" ht="17.5" customHeight="1" x14ac:dyDescent="0.4">
      <c r="B5218" s="3" t="s">
        <v>7</v>
      </c>
      <c r="C5218" s="3" t="s">
        <v>990</v>
      </c>
      <c r="D5218" s="4">
        <f>DATE(2007,2,19)</f>
        <v>39132</v>
      </c>
      <c r="E5218" s="5">
        <f t="shared" si="85"/>
        <v>2007</v>
      </c>
      <c r="F5218" s="3" t="s">
        <v>991</v>
      </c>
      <c r="G5218" s="6">
        <v>2184</v>
      </c>
      <c r="H5218" s="5">
        <v>8084</v>
      </c>
    </row>
    <row r="5219" spans="2:8" ht="17.5" customHeight="1" x14ac:dyDescent="0.4">
      <c r="B5219" s="3" t="s">
        <v>7</v>
      </c>
      <c r="C5219" s="3" t="s">
        <v>990</v>
      </c>
      <c r="D5219" s="4">
        <f>DATE(2007,3,14)</f>
        <v>39155</v>
      </c>
      <c r="E5219" s="5">
        <f t="shared" si="85"/>
        <v>2007</v>
      </c>
      <c r="F5219" s="3" t="s">
        <v>991</v>
      </c>
      <c r="G5219" s="6">
        <v>6074</v>
      </c>
      <c r="H5219" s="5">
        <v>8111</v>
      </c>
    </row>
    <row r="5220" spans="2:8" ht="17.5" customHeight="1" x14ac:dyDescent="0.4">
      <c r="B5220" s="3" t="s">
        <v>7</v>
      </c>
      <c r="C5220" s="3" t="s">
        <v>990</v>
      </c>
      <c r="D5220" s="4">
        <f>DATE(2007,3,16)</f>
        <v>39157</v>
      </c>
      <c r="E5220" s="5">
        <f t="shared" si="85"/>
        <v>2007</v>
      </c>
      <c r="F5220" s="3" t="s">
        <v>991</v>
      </c>
      <c r="G5220" s="6">
        <v>5049.3999999999996</v>
      </c>
      <c r="H5220" s="5">
        <v>8148</v>
      </c>
    </row>
    <row r="5221" spans="2:8" ht="17.5" customHeight="1" x14ac:dyDescent="0.4">
      <c r="B5221" s="3" t="s">
        <v>7</v>
      </c>
      <c r="C5221" s="3" t="s">
        <v>990</v>
      </c>
      <c r="D5221" s="4">
        <f>DATE(2007,3,21)</f>
        <v>39162</v>
      </c>
      <c r="E5221" s="5">
        <f t="shared" si="85"/>
        <v>2007</v>
      </c>
      <c r="F5221" s="3" t="s">
        <v>991</v>
      </c>
      <c r="G5221" s="6">
        <v>3300</v>
      </c>
      <c r="H5221" s="5">
        <v>8179</v>
      </c>
    </row>
    <row r="5222" spans="2:8" ht="17.5" customHeight="1" x14ac:dyDescent="0.4">
      <c r="B5222" s="3" t="s">
        <v>7</v>
      </c>
      <c r="C5222" s="3" t="s">
        <v>990</v>
      </c>
      <c r="D5222" s="4">
        <f>DATE(2007,4,10)</f>
        <v>39182</v>
      </c>
      <c r="E5222" s="5">
        <f t="shared" si="85"/>
        <v>2007</v>
      </c>
      <c r="F5222" s="3" t="s">
        <v>991</v>
      </c>
      <c r="G5222" s="6">
        <v>9096.6299999999992</v>
      </c>
      <c r="H5222" s="5">
        <v>8089</v>
      </c>
    </row>
    <row r="5223" spans="2:8" ht="17.5" customHeight="1" x14ac:dyDescent="0.4">
      <c r="B5223" s="3" t="s">
        <v>7</v>
      </c>
      <c r="C5223" s="3" t="s">
        <v>990</v>
      </c>
      <c r="D5223" s="4">
        <f>DATE(2007,4,10)</f>
        <v>39182</v>
      </c>
      <c r="E5223" s="5">
        <f t="shared" si="85"/>
        <v>2007</v>
      </c>
      <c r="F5223" s="3" t="s">
        <v>991</v>
      </c>
      <c r="G5223" s="6">
        <v>8568</v>
      </c>
      <c r="H5223" s="5">
        <v>8272</v>
      </c>
    </row>
    <row r="5224" spans="2:8" ht="17.5" customHeight="1" x14ac:dyDescent="0.4">
      <c r="B5224" s="3" t="s">
        <v>7</v>
      </c>
      <c r="C5224" s="3" t="s">
        <v>990</v>
      </c>
      <c r="D5224" s="4">
        <f>DATE(2007,4,23)</f>
        <v>39195</v>
      </c>
      <c r="E5224" s="5">
        <f t="shared" si="85"/>
        <v>2007</v>
      </c>
      <c r="F5224" s="3" t="s">
        <v>991</v>
      </c>
      <c r="G5224" s="6">
        <v>3300</v>
      </c>
      <c r="H5224" s="5">
        <v>8421</v>
      </c>
    </row>
    <row r="5225" spans="2:8" ht="17.5" customHeight="1" x14ac:dyDescent="0.4">
      <c r="B5225" s="3" t="s">
        <v>7</v>
      </c>
      <c r="C5225" s="3" t="s">
        <v>990</v>
      </c>
      <c r="D5225" s="4">
        <f>DATE(2007,5,4)</f>
        <v>39206</v>
      </c>
      <c r="E5225" s="5">
        <f t="shared" si="85"/>
        <v>2007</v>
      </c>
      <c r="F5225" s="3" t="s">
        <v>991</v>
      </c>
      <c r="G5225" s="6">
        <v>3300</v>
      </c>
      <c r="H5225" s="5">
        <v>8525</v>
      </c>
    </row>
    <row r="5226" spans="2:8" ht="17.5" customHeight="1" x14ac:dyDescent="0.4">
      <c r="B5226" s="3" t="s">
        <v>7</v>
      </c>
      <c r="C5226" s="3" t="s">
        <v>990</v>
      </c>
      <c r="D5226" s="4">
        <f>DATE(2007,5,17)</f>
        <v>39219</v>
      </c>
      <c r="E5226" s="5">
        <f t="shared" si="85"/>
        <v>2007</v>
      </c>
      <c r="F5226" s="3" t="s">
        <v>991</v>
      </c>
      <c r="G5226" s="6">
        <v>769.5</v>
      </c>
      <c r="H5226" s="5">
        <v>8595</v>
      </c>
    </row>
    <row r="5227" spans="2:8" ht="17.5" customHeight="1" x14ac:dyDescent="0.4">
      <c r="B5227" s="3" t="s">
        <v>7</v>
      </c>
      <c r="C5227" s="3" t="s">
        <v>990</v>
      </c>
      <c r="D5227" s="4">
        <f>DATE(2007,6,5)</f>
        <v>39238</v>
      </c>
      <c r="E5227" s="5">
        <f t="shared" si="85"/>
        <v>2007</v>
      </c>
      <c r="F5227" s="3" t="s">
        <v>991</v>
      </c>
      <c r="G5227" s="6">
        <v>3030</v>
      </c>
      <c r="H5227" s="5">
        <v>8712</v>
      </c>
    </row>
    <row r="5228" spans="2:8" ht="17.5" customHeight="1" x14ac:dyDescent="0.4">
      <c r="B5228" s="3" t="s">
        <v>7</v>
      </c>
      <c r="C5228" s="3" t="s">
        <v>990</v>
      </c>
      <c r="D5228" s="4">
        <f>DATE(2007,6,13)</f>
        <v>39246</v>
      </c>
      <c r="E5228" s="5">
        <f t="shared" si="85"/>
        <v>2007</v>
      </c>
      <c r="F5228" s="3" t="s">
        <v>991</v>
      </c>
      <c r="G5228" s="6">
        <v>2020</v>
      </c>
      <c r="H5228" s="5">
        <v>8753</v>
      </c>
    </row>
    <row r="5229" spans="2:8" ht="17.5" customHeight="1" x14ac:dyDescent="0.4">
      <c r="B5229" s="3" t="s">
        <v>7</v>
      </c>
      <c r="C5229" s="3" t="s">
        <v>990</v>
      </c>
      <c r="D5229" s="4">
        <f>DATE(2007,6,21)</f>
        <v>39254</v>
      </c>
      <c r="E5229" s="5">
        <f t="shared" si="85"/>
        <v>2007</v>
      </c>
      <c r="F5229" s="3" t="s">
        <v>991</v>
      </c>
      <c r="G5229" s="6">
        <v>1293</v>
      </c>
      <c r="H5229" s="5">
        <v>8802</v>
      </c>
    </row>
    <row r="5230" spans="2:8" ht="17.5" customHeight="1" x14ac:dyDescent="0.4">
      <c r="B5230" s="3" t="s">
        <v>7</v>
      </c>
      <c r="C5230" s="3" t="s">
        <v>990</v>
      </c>
      <c r="D5230" s="4">
        <f>DATE(2007,6,22)</f>
        <v>39255</v>
      </c>
      <c r="E5230" s="5">
        <f t="shared" si="85"/>
        <v>2007</v>
      </c>
      <c r="F5230" s="3" t="s">
        <v>991</v>
      </c>
      <c r="G5230" s="6">
        <v>79</v>
      </c>
      <c r="H5230" s="5">
        <v>8768</v>
      </c>
    </row>
    <row r="5231" spans="2:8" ht="17.5" customHeight="1" x14ac:dyDescent="0.4">
      <c r="B5231" s="3" t="s">
        <v>7</v>
      </c>
      <c r="C5231" s="3" t="s">
        <v>990</v>
      </c>
      <c r="D5231" s="4">
        <f>DATE(2007,6,25)</f>
        <v>39258</v>
      </c>
      <c r="E5231" s="5">
        <f t="shared" si="85"/>
        <v>2007</v>
      </c>
      <c r="F5231" s="3" t="s">
        <v>991</v>
      </c>
      <c r="G5231" s="6">
        <v>6605</v>
      </c>
      <c r="H5231" s="5">
        <v>8814</v>
      </c>
    </row>
    <row r="5232" spans="2:8" ht="17.5" customHeight="1" x14ac:dyDescent="0.4">
      <c r="B5232" s="3" t="s">
        <v>7</v>
      </c>
      <c r="C5232" s="3" t="s">
        <v>990</v>
      </c>
      <c r="D5232" s="4">
        <f>DATE(2007,6,27)</f>
        <v>39260</v>
      </c>
      <c r="E5232" s="5">
        <f t="shared" si="85"/>
        <v>2007</v>
      </c>
      <c r="F5232" s="3" t="s">
        <v>991</v>
      </c>
      <c r="G5232" s="6">
        <v>537</v>
      </c>
      <c r="H5232" s="5">
        <v>8823</v>
      </c>
    </row>
    <row r="5233" spans="2:8" ht="17.5" customHeight="1" x14ac:dyDescent="0.4">
      <c r="B5233" s="3" t="s">
        <v>7</v>
      </c>
      <c r="C5233" s="3" t="s">
        <v>990</v>
      </c>
      <c r="D5233" s="4">
        <f>DATE(2007,7,10)</f>
        <v>39273</v>
      </c>
      <c r="E5233" s="5">
        <f t="shared" si="85"/>
        <v>2007</v>
      </c>
      <c r="F5233" s="3" t="s">
        <v>991</v>
      </c>
      <c r="G5233" s="6">
        <v>9161.23</v>
      </c>
      <c r="H5233" s="5">
        <v>8866</v>
      </c>
    </row>
    <row r="5234" spans="2:8" ht="17.5" customHeight="1" x14ac:dyDescent="0.4">
      <c r="B5234" s="3" t="s">
        <v>7</v>
      </c>
      <c r="C5234" s="3" t="s">
        <v>990</v>
      </c>
      <c r="D5234" s="4">
        <f>DATE(2007,7,27)</f>
        <v>39290</v>
      </c>
      <c r="E5234" s="5">
        <f t="shared" si="85"/>
        <v>2007</v>
      </c>
      <c r="F5234" s="3" t="s">
        <v>991</v>
      </c>
      <c r="G5234" s="6">
        <v>3580</v>
      </c>
      <c r="H5234" s="5">
        <v>8941</v>
      </c>
    </row>
    <row r="5235" spans="2:8" ht="17.5" customHeight="1" x14ac:dyDescent="0.4">
      <c r="B5235" s="3" t="s">
        <v>7</v>
      </c>
      <c r="C5235" s="3" t="s">
        <v>990</v>
      </c>
      <c r="D5235" s="4">
        <f>DATE(2007,8,14)</f>
        <v>39308</v>
      </c>
      <c r="E5235" s="5">
        <f t="shared" si="85"/>
        <v>2007</v>
      </c>
      <c r="F5235" s="3" t="s">
        <v>991</v>
      </c>
      <c r="G5235" s="6">
        <v>2664</v>
      </c>
      <c r="H5235" s="5">
        <v>9018</v>
      </c>
    </row>
    <row r="5236" spans="2:8" ht="17.5" customHeight="1" x14ac:dyDescent="0.4">
      <c r="B5236" s="3" t="s">
        <v>7</v>
      </c>
      <c r="C5236" s="3" t="s">
        <v>990</v>
      </c>
      <c r="D5236" s="4">
        <f>DATE(2007,8,24)</f>
        <v>39318</v>
      </c>
      <c r="E5236" s="5">
        <f t="shared" si="85"/>
        <v>2007</v>
      </c>
      <c r="F5236" s="3" t="s">
        <v>991</v>
      </c>
      <c r="G5236" s="6">
        <v>6447</v>
      </c>
      <c r="H5236" s="5">
        <v>9062</v>
      </c>
    </row>
    <row r="5237" spans="2:8" ht="17.5" customHeight="1" x14ac:dyDescent="0.4">
      <c r="B5237" s="3" t="s">
        <v>7</v>
      </c>
      <c r="C5237" s="3" t="s">
        <v>990</v>
      </c>
      <c r="D5237" s="4">
        <f>DATE(2007,8,29)</f>
        <v>39323</v>
      </c>
      <c r="E5237" s="5">
        <f t="shared" si="85"/>
        <v>2007</v>
      </c>
      <c r="F5237" s="3" t="s">
        <v>991</v>
      </c>
      <c r="G5237" s="6">
        <v>3300</v>
      </c>
      <c r="H5237" s="5">
        <v>9081</v>
      </c>
    </row>
    <row r="5238" spans="2:8" ht="17.5" customHeight="1" x14ac:dyDescent="0.4">
      <c r="B5238" s="3" t="s">
        <v>7</v>
      </c>
      <c r="C5238" s="3" t="s">
        <v>990</v>
      </c>
      <c r="D5238" s="4">
        <f>DATE(2007,8,30)</f>
        <v>39324</v>
      </c>
      <c r="E5238" s="5">
        <f t="shared" si="85"/>
        <v>2007</v>
      </c>
      <c r="F5238" s="3" t="s">
        <v>991</v>
      </c>
      <c r="G5238" s="6">
        <v>3466.88</v>
      </c>
      <c r="H5238" s="5">
        <v>9091</v>
      </c>
    </row>
    <row r="5239" spans="2:8" ht="17.5" customHeight="1" x14ac:dyDescent="0.4">
      <c r="B5239" s="3" t="s">
        <v>7</v>
      </c>
      <c r="C5239" s="3" t="s">
        <v>990</v>
      </c>
      <c r="D5239" s="4">
        <f>DATE(2007,9,5)</f>
        <v>39330</v>
      </c>
      <c r="E5239" s="5">
        <f t="shared" si="85"/>
        <v>2007</v>
      </c>
      <c r="F5239" s="3" t="s">
        <v>991</v>
      </c>
      <c r="G5239" s="6">
        <v>1797.4</v>
      </c>
      <c r="H5239" s="5">
        <v>9120</v>
      </c>
    </row>
    <row r="5240" spans="2:8" ht="17.5" customHeight="1" x14ac:dyDescent="0.4">
      <c r="B5240" s="3" t="s">
        <v>7</v>
      </c>
      <c r="C5240" s="3" t="s">
        <v>990</v>
      </c>
      <c r="D5240" s="4">
        <f>DATE(2007,9,13)</f>
        <v>39338</v>
      </c>
      <c r="E5240" s="5">
        <f t="shared" si="85"/>
        <v>2007</v>
      </c>
      <c r="F5240" s="3" t="s">
        <v>991</v>
      </c>
      <c r="G5240" s="6">
        <v>3300</v>
      </c>
      <c r="H5240" s="5">
        <v>9163</v>
      </c>
    </row>
    <row r="5241" spans="2:8" ht="17.5" customHeight="1" x14ac:dyDescent="0.4">
      <c r="B5241" s="3" t="s">
        <v>7</v>
      </c>
      <c r="C5241" s="3" t="s">
        <v>990</v>
      </c>
      <c r="D5241" s="4">
        <f>DATE(2007,9,20)</f>
        <v>39345</v>
      </c>
      <c r="E5241" s="5">
        <f t="shared" si="85"/>
        <v>2007</v>
      </c>
      <c r="F5241" s="3" t="s">
        <v>991</v>
      </c>
      <c r="G5241" s="6">
        <v>792</v>
      </c>
      <c r="H5241" s="5">
        <v>9205</v>
      </c>
    </row>
    <row r="5242" spans="2:8" ht="17.5" customHeight="1" x14ac:dyDescent="0.4">
      <c r="B5242" s="3" t="s">
        <v>7</v>
      </c>
      <c r="C5242" s="3" t="s">
        <v>990</v>
      </c>
      <c r="D5242" s="4">
        <f>DATE(2007,9,20)</f>
        <v>39345</v>
      </c>
      <c r="E5242" s="5">
        <f t="shared" si="85"/>
        <v>2007</v>
      </c>
      <c r="F5242" s="3" t="s">
        <v>991</v>
      </c>
      <c r="G5242" s="6">
        <v>30.3</v>
      </c>
      <c r="H5242" s="5">
        <v>9209</v>
      </c>
    </row>
    <row r="5243" spans="2:8" ht="17.5" customHeight="1" x14ac:dyDescent="0.4">
      <c r="B5243" s="3" t="s">
        <v>7</v>
      </c>
      <c r="C5243" s="3" t="s">
        <v>990</v>
      </c>
      <c r="D5243" s="4">
        <f>DATE(2007,9,25)</f>
        <v>39350</v>
      </c>
      <c r="E5243" s="5">
        <f t="shared" si="85"/>
        <v>2007</v>
      </c>
      <c r="F5243" s="3" t="s">
        <v>991</v>
      </c>
      <c r="G5243" s="6">
        <v>594</v>
      </c>
      <c r="H5243" s="5">
        <v>9229</v>
      </c>
    </row>
    <row r="5244" spans="2:8" ht="17.5" customHeight="1" x14ac:dyDescent="0.4">
      <c r="B5244" s="3" t="s">
        <v>7</v>
      </c>
      <c r="C5244" s="3" t="s">
        <v>990</v>
      </c>
      <c r="D5244" s="4">
        <f>DATE(2007,9,26)</f>
        <v>39351</v>
      </c>
      <c r="E5244" s="5">
        <f t="shared" si="85"/>
        <v>2007</v>
      </c>
      <c r="F5244" s="3" t="s">
        <v>991</v>
      </c>
      <c r="G5244" s="6">
        <v>145.19999999999999</v>
      </c>
      <c r="H5244" s="5">
        <v>9236</v>
      </c>
    </row>
    <row r="5245" spans="2:8" ht="17.5" customHeight="1" x14ac:dyDescent="0.4">
      <c r="B5245" s="3" t="s">
        <v>7</v>
      </c>
      <c r="C5245" s="3" t="s">
        <v>990</v>
      </c>
      <c r="D5245" s="4">
        <f>DATE(2007,10,4)</f>
        <v>39359</v>
      </c>
      <c r="E5245" s="5">
        <f t="shared" si="85"/>
        <v>2007</v>
      </c>
      <c r="F5245" s="3" t="s">
        <v>991</v>
      </c>
      <c r="G5245" s="6">
        <v>252.5</v>
      </c>
      <c r="H5245" s="5">
        <v>9280</v>
      </c>
    </row>
    <row r="5246" spans="2:8" ht="17.5" customHeight="1" x14ac:dyDescent="0.4">
      <c r="B5246" s="3" t="s">
        <v>7</v>
      </c>
      <c r="C5246" s="3" t="s">
        <v>990</v>
      </c>
      <c r="D5246" s="4">
        <f>DATE(2007,10,11)</f>
        <v>39366</v>
      </c>
      <c r="E5246" s="5">
        <f t="shared" si="85"/>
        <v>2007</v>
      </c>
      <c r="F5246" s="3" t="s">
        <v>991</v>
      </c>
      <c r="G5246" s="6">
        <v>130.85</v>
      </c>
      <c r="H5246" s="5">
        <v>9319</v>
      </c>
    </row>
    <row r="5247" spans="2:8" ht="17.5" customHeight="1" x14ac:dyDescent="0.4">
      <c r="B5247" s="3" t="s">
        <v>7</v>
      </c>
      <c r="C5247" s="3" t="s">
        <v>990</v>
      </c>
      <c r="D5247" s="4">
        <f>DATE(2007,10,17)</f>
        <v>39372</v>
      </c>
      <c r="E5247" s="5">
        <f t="shared" si="85"/>
        <v>2007</v>
      </c>
      <c r="F5247" s="3" t="s">
        <v>991</v>
      </c>
      <c r="G5247" s="6">
        <v>267.60000000000002</v>
      </c>
      <c r="H5247" s="5">
        <v>9341</v>
      </c>
    </row>
    <row r="5248" spans="2:8" ht="17.5" customHeight="1" x14ac:dyDescent="0.4">
      <c r="B5248" s="3" t="s">
        <v>7</v>
      </c>
      <c r="C5248" s="3" t="s">
        <v>990</v>
      </c>
      <c r="D5248" s="4">
        <f>DATE(2007,10,19)</f>
        <v>39374</v>
      </c>
      <c r="E5248" s="5">
        <f t="shared" si="85"/>
        <v>2007</v>
      </c>
      <c r="F5248" s="3" t="s">
        <v>991</v>
      </c>
      <c r="G5248" s="6">
        <v>459</v>
      </c>
      <c r="H5248" s="5">
        <v>9365</v>
      </c>
    </row>
    <row r="5249" spans="2:8" ht="17.5" customHeight="1" x14ac:dyDescent="0.4">
      <c r="B5249" s="3" t="s">
        <v>7</v>
      </c>
      <c r="C5249" s="3" t="s">
        <v>990</v>
      </c>
      <c r="D5249" s="4">
        <f>DATE(2007,10,19)</f>
        <v>39374</v>
      </c>
      <c r="E5249" s="5">
        <f t="shared" si="85"/>
        <v>2007</v>
      </c>
      <c r="F5249" s="3" t="s">
        <v>991</v>
      </c>
      <c r="G5249" s="6">
        <v>3850</v>
      </c>
      <c r="H5249" s="5">
        <v>9355</v>
      </c>
    </row>
    <row r="5250" spans="2:8" ht="17.5" customHeight="1" x14ac:dyDescent="0.4">
      <c r="B5250" s="3" t="s">
        <v>7</v>
      </c>
      <c r="C5250" s="3" t="s">
        <v>990</v>
      </c>
      <c r="D5250" s="4">
        <f>DATE(2007,11,2)</f>
        <v>39388</v>
      </c>
      <c r="E5250" s="5">
        <f t="shared" si="85"/>
        <v>2007</v>
      </c>
      <c r="F5250" s="3" t="s">
        <v>991</v>
      </c>
      <c r="G5250" s="6">
        <v>1015</v>
      </c>
      <c r="H5250" s="5">
        <v>9425</v>
      </c>
    </row>
    <row r="5251" spans="2:8" ht="17.5" customHeight="1" x14ac:dyDescent="0.4">
      <c r="B5251" s="3" t="s">
        <v>7</v>
      </c>
      <c r="C5251" s="3" t="s">
        <v>990</v>
      </c>
      <c r="D5251" s="4">
        <f>DATE(2007,11,9)</f>
        <v>39395</v>
      </c>
      <c r="E5251" s="5">
        <f t="shared" ref="E5251:E5314" si="87">YEAR(D5251)</f>
        <v>2007</v>
      </c>
      <c r="F5251" s="3" t="s">
        <v>991</v>
      </c>
      <c r="G5251" s="6">
        <v>1028</v>
      </c>
      <c r="H5251" s="5">
        <v>9464</v>
      </c>
    </row>
    <row r="5252" spans="2:8" ht="17.5" customHeight="1" x14ac:dyDescent="0.4">
      <c r="B5252" s="3" t="s">
        <v>7</v>
      </c>
      <c r="C5252" s="3" t="s">
        <v>990</v>
      </c>
      <c r="D5252" s="4">
        <f>DATE(2007,11,15)</f>
        <v>39401</v>
      </c>
      <c r="E5252" s="5">
        <f t="shared" si="87"/>
        <v>2007</v>
      </c>
      <c r="F5252" s="3" t="s">
        <v>991</v>
      </c>
      <c r="G5252" s="6">
        <v>537</v>
      </c>
      <c r="H5252" s="5">
        <v>9486</v>
      </c>
    </row>
    <row r="5253" spans="2:8" ht="17.5" customHeight="1" x14ac:dyDescent="0.4">
      <c r="B5253" s="3" t="s">
        <v>7</v>
      </c>
      <c r="C5253" s="3" t="s">
        <v>990</v>
      </c>
      <c r="D5253" s="4">
        <f>DATE(2007,11,16)</f>
        <v>39402</v>
      </c>
      <c r="E5253" s="5">
        <f t="shared" si="87"/>
        <v>2007</v>
      </c>
      <c r="F5253" s="3" t="s">
        <v>991</v>
      </c>
      <c r="G5253" s="6">
        <v>864</v>
      </c>
      <c r="H5253" s="5">
        <v>9495</v>
      </c>
    </row>
    <row r="5254" spans="2:8" ht="17.5" customHeight="1" x14ac:dyDescent="0.4">
      <c r="B5254" s="3" t="s">
        <v>7</v>
      </c>
      <c r="C5254" s="3" t="s">
        <v>990</v>
      </c>
      <c r="D5254" s="4">
        <f>DATE(2007,11,30)</f>
        <v>39416</v>
      </c>
      <c r="E5254" s="5">
        <f t="shared" si="87"/>
        <v>2007</v>
      </c>
      <c r="F5254" s="3" t="s">
        <v>991</v>
      </c>
      <c r="G5254" s="6">
        <v>6600</v>
      </c>
      <c r="H5254" s="5">
        <v>9519</v>
      </c>
    </row>
    <row r="5255" spans="2:8" ht="17.5" customHeight="1" x14ac:dyDescent="0.4">
      <c r="B5255" s="3" t="s">
        <v>7</v>
      </c>
      <c r="C5255" s="3" t="s">
        <v>990</v>
      </c>
      <c r="D5255" s="4">
        <f>DATE(2007,12,4)</f>
        <v>39420</v>
      </c>
      <c r="E5255" s="5">
        <f t="shared" si="87"/>
        <v>2007</v>
      </c>
      <c r="F5255" s="3" t="s">
        <v>991</v>
      </c>
      <c r="G5255" s="6">
        <v>500</v>
      </c>
      <c r="H5255" s="5">
        <v>9559</v>
      </c>
    </row>
    <row r="5256" spans="2:8" ht="17.5" customHeight="1" x14ac:dyDescent="0.4">
      <c r="B5256" s="3" t="s">
        <v>7</v>
      </c>
      <c r="C5256" s="3" t="s">
        <v>990</v>
      </c>
      <c r="D5256" s="4">
        <f>DATE(2007,12,11)</f>
        <v>39427</v>
      </c>
      <c r="E5256" s="5">
        <f t="shared" si="87"/>
        <v>2007</v>
      </c>
      <c r="F5256" s="3" t="s">
        <v>991</v>
      </c>
      <c r="G5256" s="6">
        <v>14081</v>
      </c>
      <c r="H5256" s="5">
        <v>9582</v>
      </c>
    </row>
    <row r="5257" spans="2:8" ht="17.5" customHeight="1" x14ac:dyDescent="0.4">
      <c r="B5257" s="3" t="s">
        <v>7</v>
      </c>
      <c r="C5257" s="3" t="s">
        <v>990</v>
      </c>
      <c r="D5257" s="4">
        <f>DATE(2007,12,26)</f>
        <v>39442</v>
      </c>
      <c r="E5257" s="5">
        <f t="shared" si="87"/>
        <v>2007</v>
      </c>
      <c r="F5257" s="3" t="s">
        <v>991</v>
      </c>
      <c r="G5257" s="6">
        <v>5000</v>
      </c>
      <c r="H5257" s="5">
        <v>9629</v>
      </c>
    </row>
    <row r="5258" spans="2:8" ht="17.5" customHeight="1" x14ac:dyDescent="0.4">
      <c r="B5258" s="3" t="s">
        <v>7</v>
      </c>
      <c r="C5258" s="3" t="s">
        <v>990</v>
      </c>
      <c r="D5258" s="4">
        <f>DATE(2007,12,14)</f>
        <v>39430</v>
      </c>
      <c r="E5258" s="5">
        <f t="shared" si="87"/>
        <v>2007</v>
      </c>
      <c r="F5258" s="3" t="s">
        <v>991</v>
      </c>
      <c r="G5258" s="6">
        <v>4601.28</v>
      </c>
      <c r="H5258" s="5">
        <v>9678</v>
      </c>
    </row>
    <row r="5259" spans="2:8" ht="17.5" customHeight="1" x14ac:dyDescent="0.4">
      <c r="B5259" s="3" t="s">
        <v>7</v>
      </c>
      <c r="C5259" s="3" t="s">
        <v>990</v>
      </c>
      <c r="D5259" s="4">
        <f>DATE(2008,1,10)</f>
        <v>39457</v>
      </c>
      <c r="E5259" s="5">
        <f t="shared" si="87"/>
        <v>2008</v>
      </c>
      <c r="F5259" s="3" t="s">
        <v>991</v>
      </c>
      <c r="G5259" s="6">
        <v>1780</v>
      </c>
      <c r="H5259" s="5">
        <v>9692</v>
      </c>
    </row>
    <row r="5260" spans="2:8" ht="17.5" customHeight="1" x14ac:dyDescent="0.4">
      <c r="B5260" s="3" t="s">
        <v>7</v>
      </c>
      <c r="C5260" s="3" t="s">
        <v>990</v>
      </c>
      <c r="D5260" s="4">
        <f>DATE(2008,1,8)</f>
        <v>39455</v>
      </c>
      <c r="E5260" s="5">
        <f t="shared" si="87"/>
        <v>2008</v>
      </c>
      <c r="F5260" s="3" t="s">
        <v>991</v>
      </c>
      <c r="G5260" s="6">
        <v>3962</v>
      </c>
      <c r="H5260" s="5">
        <v>9687</v>
      </c>
    </row>
    <row r="5261" spans="2:8" ht="17.5" customHeight="1" x14ac:dyDescent="0.4">
      <c r="B5261" s="3" t="s">
        <v>7</v>
      </c>
      <c r="C5261" s="3" t="s">
        <v>990</v>
      </c>
      <c r="D5261" s="4">
        <f>DATE(2008,2,13)</f>
        <v>39491</v>
      </c>
      <c r="E5261" s="5">
        <f t="shared" si="87"/>
        <v>2008</v>
      </c>
      <c r="F5261" s="3" t="s">
        <v>991</v>
      </c>
      <c r="G5261" s="6">
        <v>608</v>
      </c>
      <c r="H5261" s="5">
        <v>9938</v>
      </c>
    </row>
    <row r="5262" spans="2:8" ht="17.5" customHeight="1" x14ac:dyDescent="0.4">
      <c r="B5262" s="3" t="s">
        <v>7</v>
      </c>
      <c r="C5262" s="3" t="s">
        <v>990</v>
      </c>
      <c r="D5262" s="4">
        <f>DATE(2008,2,22)</f>
        <v>39500</v>
      </c>
      <c r="E5262" s="5">
        <f t="shared" si="87"/>
        <v>2008</v>
      </c>
      <c r="F5262" s="3" t="s">
        <v>991</v>
      </c>
      <c r="G5262" s="6">
        <v>3520</v>
      </c>
      <c r="H5262" s="5">
        <v>10010</v>
      </c>
    </row>
    <row r="5263" spans="2:8" ht="17.5" customHeight="1" x14ac:dyDescent="0.4">
      <c r="B5263" s="3" t="s">
        <v>7</v>
      </c>
      <c r="C5263" s="3" t="s">
        <v>990</v>
      </c>
      <c r="D5263" s="4">
        <f>DATE(2008,2,25)</f>
        <v>39503</v>
      </c>
      <c r="E5263" s="5">
        <f t="shared" si="87"/>
        <v>2008</v>
      </c>
      <c r="F5263" s="3" t="s">
        <v>991</v>
      </c>
      <c r="G5263" s="6">
        <v>20</v>
      </c>
      <c r="H5263" s="5">
        <v>10036</v>
      </c>
    </row>
    <row r="5264" spans="2:8" ht="17.5" customHeight="1" x14ac:dyDescent="0.4">
      <c r="B5264" s="3" t="s">
        <v>7</v>
      </c>
      <c r="C5264" s="3" t="s">
        <v>990</v>
      </c>
      <c r="D5264" s="4">
        <f>DATE(2008,3,7)</f>
        <v>39514</v>
      </c>
      <c r="E5264" s="5">
        <f t="shared" si="87"/>
        <v>2008</v>
      </c>
      <c r="F5264" s="3" t="s">
        <v>991</v>
      </c>
      <c r="G5264" s="6">
        <v>49404</v>
      </c>
      <c r="H5264" s="5">
        <v>10119</v>
      </c>
    </row>
    <row r="5265" spans="2:8" ht="17.5" customHeight="1" x14ac:dyDescent="0.4">
      <c r="B5265" s="3" t="s">
        <v>7</v>
      </c>
      <c r="C5265" s="3" t="s">
        <v>990</v>
      </c>
      <c r="D5265" s="4">
        <f>DATE(2008,3,10)</f>
        <v>39517</v>
      </c>
      <c r="E5265" s="5">
        <f t="shared" si="87"/>
        <v>2008</v>
      </c>
      <c r="F5265" s="3" t="s">
        <v>991</v>
      </c>
      <c r="G5265" s="6">
        <v>323</v>
      </c>
      <c r="H5265" s="5">
        <v>10162</v>
      </c>
    </row>
    <row r="5266" spans="2:8" ht="17.5" customHeight="1" x14ac:dyDescent="0.4">
      <c r="B5266" s="3" t="s">
        <v>7</v>
      </c>
      <c r="C5266" s="3" t="s">
        <v>990</v>
      </c>
      <c r="D5266" s="4">
        <f>DATE(2008,3,11)</f>
        <v>39518</v>
      </c>
      <c r="E5266" s="5">
        <f t="shared" si="87"/>
        <v>2008</v>
      </c>
      <c r="F5266" s="3" t="s">
        <v>991</v>
      </c>
      <c r="G5266" s="6">
        <v>1030</v>
      </c>
      <c r="H5266" s="5">
        <v>10178</v>
      </c>
    </row>
    <row r="5267" spans="2:8" ht="17.5" customHeight="1" x14ac:dyDescent="0.4">
      <c r="B5267" s="3" t="s">
        <v>7</v>
      </c>
      <c r="C5267" s="3" t="s">
        <v>990</v>
      </c>
      <c r="D5267" s="4">
        <f>DATE(2008,3,26)</f>
        <v>39533</v>
      </c>
      <c r="E5267" s="5">
        <f t="shared" si="87"/>
        <v>2008</v>
      </c>
      <c r="F5267" s="3" t="s">
        <v>991</v>
      </c>
      <c r="G5267" s="6">
        <v>6955</v>
      </c>
      <c r="H5267" s="5">
        <v>10269</v>
      </c>
    </row>
    <row r="5268" spans="2:8" ht="17.5" customHeight="1" x14ac:dyDescent="0.4">
      <c r="B5268" s="3" t="s">
        <v>7</v>
      </c>
      <c r="C5268" s="3" t="s">
        <v>990</v>
      </c>
      <c r="D5268" s="4">
        <f>DATE(2008,3,26)</f>
        <v>39533</v>
      </c>
      <c r="E5268" s="5">
        <f t="shared" si="87"/>
        <v>2008</v>
      </c>
      <c r="F5268" s="3" t="s">
        <v>991</v>
      </c>
      <c r="G5268" s="6">
        <v>17136</v>
      </c>
      <c r="H5268" s="5">
        <v>10237</v>
      </c>
    </row>
    <row r="5269" spans="2:8" ht="17.5" customHeight="1" x14ac:dyDescent="0.4">
      <c r="B5269" s="3" t="s">
        <v>7</v>
      </c>
      <c r="C5269" s="3" t="s">
        <v>990</v>
      </c>
      <c r="D5269" s="4">
        <f>DATE(2008,4,2)</f>
        <v>39540</v>
      </c>
      <c r="E5269" s="5">
        <f t="shared" si="87"/>
        <v>2008</v>
      </c>
      <c r="F5269" s="3" t="s">
        <v>991</v>
      </c>
      <c r="G5269" s="6">
        <v>3675</v>
      </c>
      <c r="H5269" s="5">
        <v>10155</v>
      </c>
    </row>
    <row r="5270" spans="2:8" ht="17.5" customHeight="1" x14ac:dyDescent="0.4">
      <c r="B5270" s="3" t="s">
        <v>7</v>
      </c>
      <c r="C5270" s="3" t="s">
        <v>990</v>
      </c>
      <c r="D5270" s="4">
        <f>DATE(2008,4,2)</f>
        <v>39540</v>
      </c>
      <c r="E5270" s="5">
        <f t="shared" si="87"/>
        <v>2008</v>
      </c>
      <c r="F5270" s="3" t="s">
        <v>991</v>
      </c>
      <c r="G5270" s="6">
        <v>7670.06</v>
      </c>
      <c r="H5270" s="5">
        <v>10351</v>
      </c>
    </row>
    <row r="5271" spans="2:8" ht="17.5" customHeight="1" x14ac:dyDescent="0.4">
      <c r="B5271" s="3" t="s">
        <v>7</v>
      </c>
      <c r="C5271" s="3" t="s">
        <v>990</v>
      </c>
      <c r="D5271" s="4">
        <f>DATE(2008,4,10)</f>
        <v>39548</v>
      </c>
      <c r="E5271" s="5">
        <f t="shared" si="87"/>
        <v>2008</v>
      </c>
      <c r="F5271" s="3" t="s">
        <v>991</v>
      </c>
      <c r="G5271" s="6">
        <v>10944</v>
      </c>
      <c r="H5271" s="5">
        <v>10422</v>
      </c>
    </row>
    <row r="5272" spans="2:8" ht="17.5" customHeight="1" x14ac:dyDescent="0.4">
      <c r="B5272" s="3" t="s">
        <v>7</v>
      </c>
      <c r="C5272" s="3" t="s">
        <v>990</v>
      </c>
      <c r="D5272" s="4">
        <f>DATE(2008,4,22)</f>
        <v>39560</v>
      </c>
      <c r="E5272" s="5">
        <f t="shared" si="87"/>
        <v>2008</v>
      </c>
      <c r="F5272" s="3" t="s">
        <v>991</v>
      </c>
      <c r="G5272" s="6">
        <v>8620</v>
      </c>
      <c r="H5272" s="5">
        <v>10506</v>
      </c>
    </row>
    <row r="5273" spans="2:8" ht="17.5" customHeight="1" x14ac:dyDescent="0.4">
      <c r="B5273" s="3" t="s">
        <v>7</v>
      </c>
      <c r="C5273" s="3" t="s">
        <v>990</v>
      </c>
      <c r="D5273" s="4">
        <f>DATE(2008,4,24)</f>
        <v>39562</v>
      </c>
      <c r="E5273" s="5">
        <f t="shared" si="87"/>
        <v>2008</v>
      </c>
      <c r="F5273" s="3" t="s">
        <v>991</v>
      </c>
      <c r="G5273" s="6">
        <v>537</v>
      </c>
      <c r="H5273" s="5">
        <v>10552</v>
      </c>
    </row>
    <row r="5274" spans="2:8" ht="17.5" customHeight="1" x14ac:dyDescent="0.4">
      <c r="B5274" s="3" t="s">
        <v>7</v>
      </c>
      <c r="C5274" s="3" t="s">
        <v>990</v>
      </c>
      <c r="D5274" s="4">
        <f>DATE(2008,5,2)</f>
        <v>39570</v>
      </c>
      <c r="E5274" s="5">
        <f t="shared" si="87"/>
        <v>2008</v>
      </c>
      <c r="F5274" s="3" t="s">
        <v>991</v>
      </c>
      <c r="G5274" s="6">
        <v>571.65</v>
      </c>
      <c r="H5274" s="5">
        <v>10592</v>
      </c>
    </row>
    <row r="5275" spans="2:8" ht="17.5" customHeight="1" x14ac:dyDescent="0.4">
      <c r="B5275" s="3" t="s">
        <v>7</v>
      </c>
      <c r="C5275" s="3" t="s">
        <v>990</v>
      </c>
      <c r="D5275" s="4">
        <f>DATE(2008,5,8)</f>
        <v>39576</v>
      </c>
      <c r="E5275" s="5">
        <f t="shared" si="87"/>
        <v>2008</v>
      </c>
      <c r="F5275" s="3" t="s">
        <v>991</v>
      </c>
      <c r="G5275" s="6">
        <v>7697.84</v>
      </c>
      <c r="H5275" s="5">
        <v>10617</v>
      </c>
    </row>
    <row r="5276" spans="2:8" ht="17.5" customHeight="1" x14ac:dyDescent="0.4">
      <c r="B5276" s="3" t="s">
        <v>7</v>
      </c>
      <c r="C5276" s="3" t="s">
        <v>990</v>
      </c>
      <c r="D5276" s="4">
        <f>DATE(2008,5,9)</f>
        <v>39577</v>
      </c>
      <c r="E5276" s="5">
        <f t="shared" si="87"/>
        <v>2008</v>
      </c>
      <c r="F5276" s="3" t="s">
        <v>991</v>
      </c>
      <c r="G5276" s="6">
        <v>2000</v>
      </c>
      <c r="H5276" s="5">
        <v>10636</v>
      </c>
    </row>
    <row r="5277" spans="2:8" ht="17.5" customHeight="1" x14ac:dyDescent="0.4">
      <c r="B5277" s="3" t="s">
        <v>7</v>
      </c>
      <c r="C5277" s="3" t="s">
        <v>990</v>
      </c>
      <c r="D5277" s="4">
        <f>DATE(2008,5,13)</f>
        <v>39581</v>
      </c>
      <c r="E5277" s="5">
        <f t="shared" si="87"/>
        <v>2008</v>
      </c>
      <c r="F5277" s="3" t="s">
        <v>991</v>
      </c>
      <c r="G5277" s="6">
        <v>356.8</v>
      </c>
      <c r="H5277" s="5">
        <v>10652</v>
      </c>
    </row>
    <row r="5278" spans="2:8" ht="17.5" customHeight="1" x14ac:dyDescent="0.4">
      <c r="B5278" s="3" t="s">
        <v>7</v>
      </c>
      <c r="C5278" s="3" t="s">
        <v>990</v>
      </c>
      <c r="D5278" s="4">
        <f>DATE(2008,5,16)</f>
        <v>39584</v>
      </c>
      <c r="E5278" s="5">
        <f t="shared" si="87"/>
        <v>2008</v>
      </c>
      <c r="F5278" s="3" t="s">
        <v>991</v>
      </c>
      <c r="G5278" s="6">
        <v>13439.63</v>
      </c>
      <c r="H5278" s="5">
        <v>10666</v>
      </c>
    </row>
    <row r="5279" spans="2:8" ht="17.5" customHeight="1" x14ac:dyDescent="0.4">
      <c r="B5279" s="3" t="s">
        <v>7</v>
      </c>
      <c r="C5279" s="3" t="s">
        <v>990</v>
      </c>
      <c r="D5279" s="4">
        <f>DATE(2008,5,28)</f>
        <v>39596</v>
      </c>
      <c r="E5279" s="5">
        <f t="shared" si="87"/>
        <v>2008</v>
      </c>
      <c r="F5279" s="3" t="s">
        <v>991</v>
      </c>
      <c r="G5279" s="6">
        <v>646</v>
      </c>
      <c r="H5279" s="5">
        <v>10746</v>
      </c>
    </row>
    <row r="5280" spans="2:8" ht="17.5" customHeight="1" x14ac:dyDescent="0.4">
      <c r="B5280" s="3" t="s">
        <v>7</v>
      </c>
      <c r="C5280" s="3" t="s">
        <v>990</v>
      </c>
      <c r="D5280" s="4">
        <f>DATE(2008,5,30)</f>
        <v>39598</v>
      </c>
      <c r="E5280" s="5">
        <f t="shared" si="87"/>
        <v>2008</v>
      </c>
      <c r="F5280" s="3" t="s">
        <v>991</v>
      </c>
      <c r="G5280" s="6">
        <v>14091.8</v>
      </c>
      <c r="H5280" s="5">
        <v>10755</v>
      </c>
    </row>
    <row r="5281" spans="2:8" ht="17.5" customHeight="1" x14ac:dyDescent="0.4">
      <c r="B5281" s="3" t="s">
        <v>7</v>
      </c>
      <c r="C5281" s="3" t="s">
        <v>990</v>
      </c>
      <c r="D5281" s="4">
        <f>DATE(2008,6,4)</f>
        <v>39603</v>
      </c>
      <c r="E5281" s="5">
        <f t="shared" si="87"/>
        <v>2008</v>
      </c>
      <c r="F5281" s="3" t="s">
        <v>991</v>
      </c>
      <c r="G5281" s="6">
        <v>1241</v>
      </c>
      <c r="H5281" s="5">
        <v>10805</v>
      </c>
    </row>
    <row r="5282" spans="2:8" ht="17.5" customHeight="1" x14ac:dyDescent="0.4">
      <c r="B5282" s="3" t="s">
        <v>7</v>
      </c>
      <c r="C5282" s="3" t="s">
        <v>990</v>
      </c>
      <c r="D5282" s="4">
        <f>DATE(2008,6,5)</f>
        <v>39604</v>
      </c>
      <c r="E5282" s="5">
        <f t="shared" si="87"/>
        <v>2008</v>
      </c>
      <c r="F5282" s="3" t="s">
        <v>991</v>
      </c>
      <c r="G5282" s="6">
        <v>475</v>
      </c>
      <c r="H5282" s="5">
        <v>10807</v>
      </c>
    </row>
    <row r="5283" spans="2:8" ht="17.5" customHeight="1" x14ac:dyDescent="0.4">
      <c r="B5283" s="3" t="s">
        <v>7</v>
      </c>
      <c r="C5283" s="3" t="s">
        <v>990</v>
      </c>
      <c r="D5283" s="4">
        <f>DATE(2008,6,16)</f>
        <v>39615</v>
      </c>
      <c r="E5283" s="5">
        <f t="shared" si="87"/>
        <v>2008</v>
      </c>
      <c r="F5283" s="3" t="s">
        <v>991</v>
      </c>
      <c r="G5283" s="6">
        <v>640</v>
      </c>
      <c r="H5283" s="5">
        <v>10848</v>
      </c>
    </row>
    <row r="5284" spans="2:8" ht="17.5" customHeight="1" x14ac:dyDescent="0.4">
      <c r="B5284" s="3" t="s">
        <v>7</v>
      </c>
      <c r="C5284" s="3" t="s">
        <v>990</v>
      </c>
      <c r="D5284" s="4">
        <f>DATE(2008,6,24)</f>
        <v>39623</v>
      </c>
      <c r="E5284" s="5">
        <f t="shared" si="87"/>
        <v>2008</v>
      </c>
      <c r="F5284" s="3" t="s">
        <v>991</v>
      </c>
      <c r="G5284" s="6">
        <v>506.04</v>
      </c>
      <c r="H5284" s="5">
        <v>10880</v>
      </c>
    </row>
    <row r="5285" spans="2:8" ht="17.5" customHeight="1" x14ac:dyDescent="0.4">
      <c r="B5285" s="3" t="s">
        <v>7</v>
      </c>
      <c r="C5285" s="3" t="s">
        <v>990</v>
      </c>
      <c r="D5285" s="4">
        <f>DATE(2008,7,17)</f>
        <v>39646</v>
      </c>
      <c r="E5285" s="5">
        <f t="shared" si="87"/>
        <v>2008</v>
      </c>
      <c r="F5285" s="3" t="s">
        <v>991</v>
      </c>
      <c r="G5285" s="6">
        <v>10740</v>
      </c>
      <c r="H5285" s="5">
        <v>10957</v>
      </c>
    </row>
    <row r="5286" spans="2:8" ht="17.5" customHeight="1" x14ac:dyDescent="0.4">
      <c r="B5286" s="3" t="s">
        <v>7</v>
      </c>
      <c r="C5286" s="3" t="s">
        <v>990</v>
      </c>
      <c r="D5286" s="4">
        <f>DATE(2008,7,23)</f>
        <v>39652</v>
      </c>
      <c r="E5286" s="5">
        <f t="shared" si="87"/>
        <v>2008</v>
      </c>
      <c r="F5286" s="3" t="s">
        <v>991</v>
      </c>
      <c r="G5286" s="6">
        <v>1039.6300000000001</v>
      </c>
      <c r="H5286" s="5">
        <v>10981</v>
      </c>
    </row>
    <row r="5287" spans="2:8" ht="17.5" customHeight="1" x14ac:dyDescent="0.4">
      <c r="B5287" s="3" t="s">
        <v>7</v>
      </c>
      <c r="C5287" s="3" t="s">
        <v>990</v>
      </c>
      <c r="D5287" s="4">
        <f>DATE(2008,7,24)</f>
        <v>39653</v>
      </c>
      <c r="E5287" s="5">
        <f t="shared" si="87"/>
        <v>2008</v>
      </c>
      <c r="F5287" s="3" t="s">
        <v>991</v>
      </c>
      <c r="G5287" s="6">
        <v>822.4</v>
      </c>
      <c r="H5287" s="5">
        <v>10993</v>
      </c>
    </row>
    <row r="5288" spans="2:8" ht="17.5" customHeight="1" x14ac:dyDescent="0.4">
      <c r="B5288" s="3" t="s">
        <v>7</v>
      </c>
      <c r="C5288" s="3" t="s">
        <v>990</v>
      </c>
      <c r="D5288" s="4">
        <f>DATE(2008,7,30)</f>
        <v>39659</v>
      </c>
      <c r="E5288" s="5">
        <f t="shared" si="87"/>
        <v>2008</v>
      </c>
      <c r="F5288" s="3" t="s">
        <v>991</v>
      </c>
      <c r="G5288" s="6">
        <v>5049.26</v>
      </c>
      <c r="H5288" s="5">
        <v>11015</v>
      </c>
    </row>
    <row r="5289" spans="2:8" ht="17.5" customHeight="1" x14ac:dyDescent="0.4">
      <c r="B5289" s="3" t="s">
        <v>7</v>
      </c>
      <c r="C5289" s="3" t="s">
        <v>990</v>
      </c>
      <c r="D5289" s="4">
        <f>DATE(2008,7,31)</f>
        <v>39660</v>
      </c>
      <c r="E5289" s="5">
        <f t="shared" si="87"/>
        <v>2008</v>
      </c>
      <c r="F5289" s="3" t="s">
        <v>991</v>
      </c>
      <c r="G5289" s="6">
        <v>3978</v>
      </c>
      <c r="H5289" s="5">
        <v>11034</v>
      </c>
    </row>
    <row r="5290" spans="2:8" ht="17.5" customHeight="1" x14ac:dyDescent="0.4">
      <c r="B5290" s="3" t="s">
        <v>7</v>
      </c>
      <c r="C5290" s="3" t="s">
        <v>990</v>
      </c>
      <c r="D5290" s="4">
        <f>DATE(2008,8,25)</f>
        <v>39685</v>
      </c>
      <c r="E5290" s="5">
        <f t="shared" si="87"/>
        <v>2008</v>
      </c>
      <c r="F5290" s="3" t="s">
        <v>991</v>
      </c>
      <c r="G5290" s="6">
        <v>385.5</v>
      </c>
      <c r="H5290" s="5">
        <v>11166</v>
      </c>
    </row>
    <row r="5291" spans="2:8" ht="17.5" customHeight="1" x14ac:dyDescent="0.4">
      <c r="B5291" s="3" t="s">
        <v>7</v>
      </c>
      <c r="C5291" s="3" t="s">
        <v>990</v>
      </c>
      <c r="D5291" s="4">
        <f>DATE(2008,8,27)</f>
        <v>39687</v>
      </c>
      <c r="E5291" s="5">
        <f t="shared" si="87"/>
        <v>2008</v>
      </c>
      <c r="F5291" s="3" t="s">
        <v>991</v>
      </c>
      <c r="G5291" s="6">
        <v>12240</v>
      </c>
      <c r="H5291" s="5">
        <v>11187</v>
      </c>
    </row>
    <row r="5292" spans="2:8" ht="17.5" customHeight="1" x14ac:dyDescent="0.4">
      <c r="B5292" s="3" t="s">
        <v>7</v>
      </c>
      <c r="C5292" s="3" t="s">
        <v>990</v>
      </c>
      <c r="D5292" s="4">
        <f>DATE(2008,8,28)</f>
        <v>39688</v>
      </c>
      <c r="E5292" s="5">
        <f t="shared" si="87"/>
        <v>2008</v>
      </c>
      <c r="F5292" s="3" t="s">
        <v>991</v>
      </c>
      <c r="G5292" s="6">
        <v>12374.3</v>
      </c>
      <c r="H5292" s="5">
        <v>11171</v>
      </c>
    </row>
    <row r="5293" spans="2:8" ht="17.5" customHeight="1" x14ac:dyDescent="0.4">
      <c r="B5293" s="3" t="s">
        <v>7</v>
      </c>
      <c r="C5293" s="3" t="s">
        <v>990</v>
      </c>
      <c r="D5293" s="4">
        <f>DATE(2008,9,3)</f>
        <v>39694</v>
      </c>
      <c r="E5293" s="5">
        <f t="shared" si="87"/>
        <v>2008</v>
      </c>
      <c r="F5293" s="3" t="s">
        <v>991</v>
      </c>
      <c r="G5293" s="6">
        <v>12487.36</v>
      </c>
      <c r="H5293" s="5">
        <v>11206</v>
      </c>
    </row>
    <row r="5294" spans="2:8" ht="17.5" customHeight="1" x14ac:dyDescent="0.4">
      <c r="B5294" s="3" t="s">
        <v>7</v>
      </c>
      <c r="C5294" s="3" t="s">
        <v>990</v>
      </c>
      <c r="D5294" s="4">
        <f>DATE(2008,9,4)</f>
        <v>39695</v>
      </c>
      <c r="E5294" s="5">
        <f t="shared" si="87"/>
        <v>2008</v>
      </c>
      <c r="F5294" s="3" t="s">
        <v>991</v>
      </c>
      <c r="G5294" s="6">
        <v>3466.88</v>
      </c>
      <c r="H5294" s="5">
        <v>11204</v>
      </c>
    </row>
    <row r="5295" spans="2:8" ht="17.5" customHeight="1" x14ac:dyDescent="0.4">
      <c r="B5295" s="3" t="s">
        <v>7</v>
      </c>
      <c r="C5295" s="3" t="s">
        <v>990</v>
      </c>
      <c r="D5295" s="4">
        <f>DATE(2008,9,10)</f>
        <v>39701</v>
      </c>
      <c r="E5295" s="5">
        <f t="shared" si="87"/>
        <v>2008</v>
      </c>
      <c r="F5295" s="3" t="s">
        <v>991</v>
      </c>
      <c r="G5295" s="6">
        <v>10564</v>
      </c>
      <c r="H5295" s="5">
        <v>11194</v>
      </c>
    </row>
    <row r="5296" spans="2:8" ht="17.5" customHeight="1" x14ac:dyDescent="0.4">
      <c r="B5296" s="3" t="s">
        <v>7</v>
      </c>
      <c r="C5296" s="3" t="s">
        <v>990</v>
      </c>
      <c r="D5296" s="4">
        <f>DATE(2008,9,16)</f>
        <v>39707</v>
      </c>
      <c r="E5296" s="5">
        <f t="shared" si="87"/>
        <v>2008</v>
      </c>
      <c r="F5296" s="3" t="s">
        <v>991</v>
      </c>
      <c r="G5296" s="6">
        <v>616.79999999999995</v>
      </c>
      <c r="H5296" s="5">
        <v>11252</v>
      </c>
    </row>
    <row r="5297" spans="2:8" ht="17.5" customHeight="1" x14ac:dyDescent="0.4">
      <c r="B5297" s="3" t="s">
        <v>7</v>
      </c>
      <c r="C5297" s="3" t="s">
        <v>990</v>
      </c>
      <c r="D5297" s="4">
        <f>DATE(2008,9,22)</f>
        <v>39713</v>
      </c>
      <c r="E5297" s="5">
        <f t="shared" si="87"/>
        <v>2008</v>
      </c>
      <c r="F5297" s="3" t="s">
        <v>991</v>
      </c>
      <c r="G5297" s="6">
        <v>1440</v>
      </c>
      <c r="H5297" s="5">
        <v>11287</v>
      </c>
    </row>
    <row r="5298" spans="2:8" ht="17.5" customHeight="1" x14ac:dyDescent="0.4">
      <c r="B5298" s="3" t="s">
        <v>7</v>
      </c>
      <c r="C5298" s="3" t="s">
        <v>990</v>
      </c>
      <c r="D5298" s="4">
        <f>DATE(2008,10,6)</f>
        <v>39727</v>
      </c>
      <c r="E5298" s="5">
        <f t="shared" si="87"/>
        <v>2008</v>
      </c>
      <c r="F5298" s="3" t="s">
        <v>991</v>
      </c>
      <c r="G5298" s="6">
        <v>6444</v>
      </c>
      <c r="H5298" s="5">
        <v>11346</v>
      </c>
    </row>
    <row r="5299" spans="2:8" ht="17.5" customHeight="1" x14ac:dyDescent="0.4">
      <c r="B5299" s="3" t="s">
        <v>7</v>
      </c>
      <c r="C5299" s="3" t="s">
        <v>990</v>
      </c>
      <c r="D5299" s="4">
        <f>DATE(2008,10,13)</f>
        <v>39734</v>
      </c>
      <c r="E5299" s="5">
        <f t="shared" si="87"/>
        <v>2008</v>
      </c>
      <c r="F5299" s="3" t="s">
        <v>991</v>
      </c>
      <c r="G5299" s="6">
        <v>250</v>
      </c>
      <c r="H5299" s="5">
        <v>11407</v>
      </c>
    </row>
    <row r="5300" spans="2:8" ht="17.5" customHeight="1" x14ac:dyDescent="0.4">
      <c r="B5300" s="3" t="s">
        <v>7</v>
      </c>
      <c r="C5300" s="3" t="s">
        <v>990</v>
      </c>
      <c r="D5300" s="4">
        <f>DATE(2008,10,21)</f>
        <v>39742</v>
      </c>
      <c r="E5300" s="5">
        <f t="shared" si="87"/>
        <v>2008</v>
      </c>
      <c r="F5300" s="3" t="s">
        <v>991</v>
      </c>
      <c r="G5300" s="6">
        <v>432</v>
      </c>
      <c r="H5300" s="5">
        <v>11458</v>
      </c>
    </row>
    <row r="5301" spans="2:8" ht="17.5" customHeight="1" x14ac:dyDescent="0.4">
      <c r="B5301" s="3" t="s">
        <v>7</v>
      </c>
      <c r="C5301" s="3" t="s">
        <v>990</v>
      </c>
      <c r="D5301" s="4">
        <f>DATE(2008,11,10)</f>
        <v>39762</v>
      </c>
      <c r="E5301" s="5">
        <f t="shared" si="87"/>
        <v>2008</v>
      </c>
      <c r="F5301" s="3" t="s">
        <v>991</v>
      </c>
      <c r="G5301" s="6">
        <v>5000</v>
      </c>
      <c r="H5301" s="5">
        <v>11425</v>
      </c>
    </row>
    <row r="5302" spans="2:8" ht="17.5" customHeight="1" x14ac:dyDescent="0.4">
      <c r="B5302" s="3" t="s">
        <v>7</v>
      </c>
      <c r="C5302" s="3" t="s">
        <v>990</v>
      </c>
      <c r="D5302" s="4">
        <f>DATE(2008,11,13)</f>
        <v>39765</v>
      </c>
      <c r="E5302" s="5">
        <f t="shared" si="87"/>
        <v>2008</v>
      </c>
      <c r="F5302" s="3" t="s">
        <v>991</v>
      </c>
      <c r="G5302" s="6">
        <v>355</v>
      </c>
      <c r="H5302" s="5">
        <v>11583</v>
      </c>
    </row>
    <row r="5303" spans="2:8" ht="17.5" customHeight="1" x14ac:dyDescent="0.4">
      <c r="B5303" s="3" t="s">
        <v>7</v>
      </c>
      <c r="C5303" s="3" t="s">
        <v>990</v>
      </c>
      <c r="D5303" s="4">
        <f>DATE(2008,11,17)</f>
        <v>39769</v>
      </c>
      <c r="E5303" s="5">
        <f t="shared" si="87"/>
        <v>2008</v>
      </c>
      <c r="F5303" s="3" t="s">
        <v>991</v>
      </c>
      <c r="G5303" s="6">
        <v>1995</v>
      </c>
      <c r="H5303" s="5">
        <v>11537</v>
      </c>
    </row>
    <row r="5304" spans="2:8" ht="17.5" customHeight="1" x14ac:dyDescent="0.4">
      <c r="B5304" s="3" t="s">
        <v>7</v>
      </c>
      <c r="C5304" s="3" t="s">
        <v>990</v>
      </c>
      <c r="D5304" s="4">
        <f>DATE(2008,11,21)</f>
        <v>39773</v>
      </c>
      <c r="E5304" s="5">
        <f t="shared" si="87"/>
        <v>2008</v>
      </c>
      <c r="F5304" s="3" t="s">
        <v>991</v>
      </c>
      <c r="G5304" s="6">
        <v>33.24</v>
      </c>
      <c r="H5304" s="5">
        <v>11619</v>
      </c>
    </row>
    <row r="5305" spans="2:8" ht="17.5" customHeight="1" x14ac:dyDescent="0.4">
      <c r="B5305" s="3" t="s">
        <v>7</v>
      </c>
      <c r="C5305" s="3" t="s">
        <v>990</v>
      </c>
      <c r="D5305" s="4">
        <f>DATE(2008,11,21)</f>
        <v>39773</v>
      </c>
      <c r="E5305" s="5">
        <f t="shared" si="87"/>
        <v>2008</v>
      </c>
      <c r="F5305" s="3" t="s">
        <v>991</v>
      </c>
      <c r="G5305" s="6">
        <v>308.39999999999998</v>
      </c>
      <c r="H5305" s="5">
        <v>11620</v>
      </c>
    </row>
    <row r="5306" spans="2:8" ht="17.5" customHeight="1" x14ac:dyDescent="0.4">
      <c r="B5306" s="3" t="s">
        <v>7</v>
      </c>
      <c r="C5306" s="3" t="s">
        <v>990</v>
      </c>
      <c r="D5306" s="4">
        <f>DATE(2008,11,28)</f>
        <v>39780</v>
      </c>
      <c r="E5306" s="5">
        <f t="shared" si="87"/>
        <v>2008</v>
      </c>
      <c r="F5306" s="3" t="s">
        <v>991</v>
      </c>
      <c r="G5306" s="6">
        <v>3442.5</v>
      </c>
      <c r="H5306" s="5">
        <v>11637</v>
      </c>
    </row>
    <row r="5307" spans="2:8" ht="17.5" customHeight="1" x14ac:dyDescent="0.4">
      <c r="B5307" s="3" t="s">
        <v>7</v>
      </c>
      <c r="C5307" s="3" t="s">
        <v>990</v>
      </c>
      <c r="D5307" s="4">
        <f>DATE(2008,11,25)</f>
        <v>39777</v>
      </c>
      <c r="E5307" s="5">
        <f t="shared" si="87"/>
        <v>2008</v>
      </c>
      <c r="F5307" s="3" t="s">
        <v>991</v>
      </c>
      <c r="G5307" s="6">
        <v>3442.5</v>
      </c>
      <c r="H5307" s="5">
        <v>11624</v>
      </c>
    </row>
    <row r="5308" spans="2:8" ht="17.5" customHeight="1" x14ac:dyDescent="0.4">
      <c r="B5308" s="3" t="s">
        <v>7</v>
      </c>
      <c r="C5308" s="3" t="s">
        <v>990</v>
      </c>
      <c r="D5308" s="4">
        <f>DATE(2008,12,4)</f>
        <v>39786</v>
      </c>
      <c r="E5308" s="5">
        <f t="shared" si="87"/>
        <v>2008</v>
      </c>
      <c r="F5308" s="3" t="s">
        <v>991</v>
      </c>
      <c r="G5308" s="6">
        <v>6250</v>
      </c>
      <c r="H5308" s="5">
        <v>11641</v>
      </c>
    </row>
    <row r="5309" spans="2:8" ht="17.5" customHeight="1" x14ac:dyDescent="0.4">
      <c r="B5309" s="3" t="s">
        <v>7</v>
      </c>
      <c r="C5309" s="3" t="s">
        <v>990</v>
      </c>
      <c r="D5309" s="4">
        <f>DATE(2008,12,23)</f>
        <v>39805</v>
      </c>
      <c r="E5309" s="5">
        <f t="shared" si="87"/>
        <v>2008</v>
      </c>
      <c r="F5309" s="3" t="s">
        <v>991</v>
      </c>
      <c r="G5309" s="6">
        <v>909</v>
      </c>
      <c r="H5309" s="5">
        <v>11721</v>
      </c>
    </row>
    <row r="5310" spans="2:8" ht="17.5" customHeight="1" x14ac:dyDescent="0.4">
      <c r="B5310" s="3" t="s">
        <v>7</v>
      </c>
      <c r="C5310" s="3" t="s">
        <v>990</v>
      </c>
      <c r="D5310" s="4">
        <f>DATE(2009,1,9)</f>
        <v>39822</v>
      </c>
      <c r="E5310" s="5">
        <f t="shared" si="87"/>
        <v>2009</v>
      </c>
      <c r="F5310" s="3" t="s">
        <v>991</v>
      </c>
      <c r="G5310" s="6">
        <v>2000</v>
      </c>
      <c r="H5310" s="5">
        <v>11767</v>
      </c>
    </row>
    <row r="5311" spans="2:8" ht="17.5" customHeight="1" x14ac:dyDescent="0.4">
      <c r="B5311" s="3" t="s">
        <v>7</v>
      </c>
      <c r="C5311" s="3" t="s">
        <v>990</v>
      </c>
      <c r="D5311" s="4">
        <f>DATE(2009,1,21)</f>
        <v>39834</v>
      </c>
      <c r="E5311" s="5">
        <f t="shared" si="87"/>
        <v>2009</v>
      </c>
      <c r="F5311" s="3" t="s">
        <v>991</v>
      </c>
      <c r="G5311" s="6">
        <v>3442.5</v>
      </c>
      <c r="H5311" s="5">
        <v>11861</v>
      </c>
    </row>
    <row r="5312" spans="2:8" ht="17.5" customHeight="1" x14ac:dyDescent="0.4">
      <c r="B5312" s="3" t="s">
        <v>7</v>
      </c>
      <c r="C5312" s="3" t="s">
        <v>990</v>
      </c>
      <c r="D5312" s="4">
        <f>DATE(2009,1,23)</f>
        <v>39836</v>
      </c>
      <c r="E5312" s="5">
        <f t="shared" si="87"/>
        <v>2009</v>
      </c>
      <c r="F5312" s="3" t="s">
        <v>991</v>
      </c>
      <c r="G5312" s="6">
        <v>1515</v>
      </c>
      <c r="H5312" s="5">
        <v>11871</v>
      </c>
    </row>
    <row r="5313" spans="2:8" ht="17.5" customHeight="1" x14ac:dyDescent="0.4">
      <c r="B5313" s="3" t="s">
        <v>7</v>
      </c>
      <c r="C5313" s="3" t="s">
        <v>990</v>
      </c>
      <c r="D5313" s="4">
        <f>DATE(2009,2,12)</f>
        <v>39856</v>
      </c>
      <c r="E5313" s="5">
        <f t="shared" si="87"/>
        <v>2009</v>
      </c>
      <c r="F5313" s="3" t="s">
        <v>991</v>
      </c>
      <c r="G5313" s="6">
        <v>537</v>
      </c>
      <c r="H5313" s="5">
        <v>11995</v>
      </c>
    </row>
    <row r="5314" spans="2:8" ht="17.5" customHeight="1" x14ac:dyDescent="0.4">
      <c r="B5314" s="3" t="s">
        <v>7</v>
      </c>
      <c r="C5314" s="3" t="s">
        <v>990</v>
      </c>
      <c r="D5314" s="4">
        <f>DATE(2009,2,18)</f>
        <v>39862</v>
      </c>
      <c r="E5314" s="5">
        <f t="shared" si="87"/>
        <v>2009</v>
      </c>
      <c r="F5314" s="3" t="s">
        <v>991</v>
      </c>
      <c r="G5314" s="6">
        <v>29206</v>
      </c>
      <c r="H5314" s="5">
        <v>11642</v>
      </c>
    </row>
    <row r="5315" spans="2:8" ht="17.5" customHeight="1" x14ac:dyDescent="0.4">
      <c r="B5315" s="3" t="s">
        <v>7</v>
      </c>
      <c r="C5315" s="3" t="s">
        <v>990</v>
      </c>
      <c r="D5315" s="4">
        <f>DATE(2009,2,23)</f>
        <v>39867</v>
      </c>
      <c r="E5315" s="5">
        <f t="shared" ref="E5315:E5378" si="88">YEAR(D5315)</f>
        <v>2009</v>
      </c>
      <c r="F5315" s="3" t="s">
        <v>991</v>
      </c>
      <c r="G5315" s="6">
        <v>1286.4000000000001</v>
      </c>
      <c r="H5315" s="5">
        <v>12029</v>
      </c>
    </row>
    <row r="5316" spans="2:8" ht="17.5" customHeight="1" x14ac:dyDescent="0.4">
      <c r="B5316" s="3" t="s">
        <v>7</v>
      </c>
      <c r="C5316" s="3" t="s">
        <v>990</v>
      </c>
      <c r="D5316" s="4">
        <f>DATE(2009,2,23)</f>
        <v>39867</v>
      </c>
      <c r="E5316" s="5">
        <f t="shared" si="88"/>
        <v>2009</v>
      </c>
      <c r="F5316" s="3" t="s">
        <v>991</v>
      </c>
      <c r="G5316" s="6">
        <v>857.6</v>
      </c>
      <c r="H5316" s="5">
        <v>12007</v>
      </c>
    </row>
    <row r="5317" spans="2:8" ht="17.5" customHeight="1" x14ac:dyDescent="0.4">
      <c r="B5317" s="3" t="s">
        <v>7</v>
      </c>
      <c r="C5317" s="3" t="s">
        <v>990</v>
      </c>
      <c r="D5317" s="4">
        <f>DATE(2009,2,26)</f>
        <v>39870</v>
      </c>
      <c r="E5317" s="5">
        <f t="shared" si="88"/>
        <v>2009</v>
      </c>
      <c r="F5317" s="3" t="s">
        <v>991</v>
      </c>
      <c r="G5317" s="6">
        <v>13.96</v>
      </c>
      <c r="H5317" s="5">
        <v>12098</v>
      </c>
    </row>
    <row r="5318" spans="2:8" ht="17.5" customHeight="1" x14ac:dyDescent="0.4">
      <c r="B5318" s="3" t="s">
        <v>7</v>
      </c>
      <c r="C5318" s="3" t="s">
        <v>990</v>
      </c>
      <c r="D5318" s="4">
        <f>DATE(2009,3,3)</f>
        <v>39875</v>
      </c>
      <c r="E5318" s="5">
        <f t="shared" si="88"/>
        <v>2009</v>
      </c>
      <c r="F5318" s="3" t="s">
        <v>991</v>
      </c>
      <c r="G5318" s="6">
        <v>10525.8</v>
      </c>
      <c r="H5318" s="5">
        <v>12119</v>
      </c>
    </row>
    <row r="5319" spans="2:8" ht="17.5" customHeight="1" x14ac:dyDescent="0.4">
      <c r="B5319" s="3" t="s">
        <v>7</v>
      </c>
      <c r="C5319" s="3" t="s">
        <v>990</v>
      </c>
      <c r="D5319" s="4">
        <f>DATE(2009,3,4)</f>
        <v>39876</v>
      </c>
      <c r="E5319" s="5">
        <f t="shared" si="88"/>
        <v>2009</v>
      </c>
      <c r="F5319" s="3" t="s">
        <v>991</v>
      </c>
      <c r="G5319" s="6">
        <v>3520</v>
      </c>
      <c r="H5319" s="5">
        <v>12139</v>
      </c>
    </row>
    <row r="5320" spans="2:8" ht="17.5" customHeight="1" x14ac:dyDescent="0.4">
      <c r="B5320" s="3" t="s">
        <v>7</v>
      </c>
      <c r="C5320" s="3" t="s">
        <v>990</v>
      </c>
      <c r="D5320" s="4">
        <f>DATE(2009,3,11)</f>
        <v>39883</v>
      </c>
      <c r="E5320" s="5">
        <f t="shared" si="88"/>
        <v>2009</v>
      </c>
      <c r="F5320" s="3" t="s">
        <v>991</v>
      </c>
      <c r="G5320" s="6">
        <v>182.64</v>
      </c>
      <c r="H5320" s="5">
        <v>12149</v>
      </c>
    </row>
    <row r="5321" spans="2:8" ht="17.5" customHeight="1" x14ac:dyDescent="0.4">
      <c r="B5321" s="3" t="s">
        <v>7</v>
      </c>
      <c r="C5321" s="3" t="s">
        <v>990</v>
      </c>
      <c r="D5321" s="4">
        <f>DATE(2009,3,18)</f>
        <v>39890</v>
      </c>
      <c r="E5321" s="5">
        <f t="shared" si="88"/>
        <v>2009</v>
      </c>
      <c r="F5321" s="3" t="s">
        <v>991</v>
      </c>
      <c r="G5321" s="6">
        <v>960</v>
      </c>
      <c r="H5321" s="5">
        <v>12219</v>
      </c>
    </row>
    <row r="5322" spans="2:8" ht="17.5" customHeight="1" x14ac:dyDescent="0.4">
      <c r="B5322" s="3" t="s">
        <v>7</v>
      </c>
      <c r="C5322" s="3" t="s">
        <v>990</v>
      </c>
      <c r="D5322" s="4">
        <f>DATE(2009,3,19)</f>
        <v>39891</v>
      </c>
      <c r="E5322" s="5">
        <f t="shared" si="88"/>
        <v>2009</v>
      </c>
      <c r="F5322" s="3" t="s">
        <v>991</v>
      </c>
      <c r="G5322" s="6">
        <v>1818</v>
      </c>
      <c r="H5322" s="5">
        <v>12242</v>
      </c>
    </row>
    <row r="5323" spans="2:8" ht="17.5" customHeight="1" x14ac:dyDescent="0.4">
      <c r="B5323" s="3" t="s">
        <v>7</v>
      </c>
      <c r="C5323" s="3" t="s">
        <v>990</v>
      </c>
      <c r="D5323" s="4">
        <f>DATE(2009,3,23)</f>
        <v>39895</v>
      </c>
      <c r="E5323" s="5">
        <f t="shared" si="88"/>
        <v>2009</v>
      </c>
      <c r="F5323" s="3" t="s">
        <v>991</v>
      </c>
      <c r="G5323" s="6">
        <v>3000</v>
      </c>
      <c r="H5323" s="5">
        <v>12229</v>
      </c>
    </row>
    <row r="5324" spans="2:8" ht="17.5" customHeight="1" x14ac:dyDescent="0.4">
      <c r="B5324" s="3" t="s">
        <v>7</v>
      </c>
      <c r="C5324" s="3" t="s">
        <v>990</v>
      </c>
      <c r="D5324" s="4">
        <f>DATE(2009,4,23)</f>
        <v>39926</v>
      </c>
      <c r="E5324" s="5">
        <f t="shared" si="88"/>
        <v>2009</v>
      </c>
      <c r="F5324" s="3" t="s">
        <v>991</v>
      </c>
      <c r="G5324" s="6">
        <v>600</v>
      </c>
      <c r="H5324" s="5">
        <v>12445</v>
      </c>
    </row>
    <row r="5325" spans="2:8" ht="17.5" customHeight="1" x14ac:dyDescent="0.4">
      <c r="B5325" s="3" t="s">
        <v>7</v>
      </c>
      <c r="C5325" s="3" t="s">
        <v>990</v>
      </c>
      <c r="D5325" s="4">
        <f>DATE(2009,4,23)</f>
        <v>39926</v>
      </c>
      <c r="E5325" s="5">
        <f t="shared" si="88"/>
        <v>2009</v>
      </c>
      <c r="F5325" s="3" t="s">
        <v>991</v>
      </c>
      <c r="G5325" s="6">
        <v>10825.03</v>
      </c>
      <c r="H5325" s="5">
        <v>11644</v>
      </c>
    </row>
    <row r="5326" spans="2:8" ht="17.5" customHeight="1" x14ac:dyDescent="0.4">
      <c r="B5326" s="3" t="s">
        <v>7</v>
      </c>
      <c r="C5326" s="3" t="s">
        <v>990</v>
      </c>
      <c r="D5326" s="4">
        <f>DATE(2009,5,1)</f>
        <v>39934</v>
      </c>
      <c r="E5326" s="5">
        <f t="shared" si="88"/>
        <v>2009</v>
      </c>
      <c r="F5326" s="3" t="s">
        <v>991</v>
      </c>
      <c r="G5326" s="6">
        <v>27.92</v>
      </c>
      <c r="H5326" s="5">
        <v>12490</v>
      </c>
    </row>
    <row r="5327" spans="2:8" ht="17.5" customHeight="1" x14ac:dyDescent="0.4">
      <c r="B5327" s="3" t="s">
        <v>7</v>
      </c>
      <c r="C5327" s="3" t="s">
        <v>990</v>
      </c>
      <c r="D5327" s="4">
        <f>DATE(2009,5,1)</f>
        <v>39934</v>
      </c>
      <c r="E5327" s="5">
        <f t="shared" si="88"/>
        <v>2009</v>
      </c>
      <c r="F5327" s="3" t="s">
        <v>991</v>
      </c>
      <c r="G5327" s="6">
        <v>1875</v>
      </c>
      <c r="H5327" s="5">
        <v>12436</v>
      </c>
    </row>
    <row r="5328" spans="2:8" ht="17.5" customHeight="1" x14ac:dyDescent="0.4">
      <c r="B5328" s="3" t="s">
        <v>7</v>
      </c>
      <c r="C5328" s="3" t="s">
        <v>990</v>
      </c>
      <c r="D5328" s="4">
        <f>DATE(2009,5,6)</f>
        <v>39939</v>
      </c>
      <c r="E5328" s="5">
        <f t="shared" si="88"/>
        <v>2009</v>
      </c>
      <c r="F5328" s="3" t="s">
        <v>991</v>
      </c>
      <c r="G5328" s="6">
        <v>426</v>
      </c>
      <c r="H5328" s="5">
        <v>12489</v>
      </c>
    </row>
    <row r="5329" spans="2:8" ht="17.5" customHeight="1" x14ac:dyDescent="0.4">
      <c r="B5329" s="3" t="s">
        <v>7</v>
      </c>
      <c r="C5329" s="3" t="s">
        <v>990</v>
      </c>
      <c r="D5329" s="4">
        <f>DATE(2009,5,13)</f>
        <v>39946</v>
      </c>
      <c r="E5329" s="5">
        <f t="shared" si="88"/>
        <v>2009</v>
      </c>
      <c r="F5329" s="3" t="s">
        <v>991</v>
      </c>
      <c r="G5329" s="6">
        <v>5500</v>
      </c>
      <c r="H5329" s="5">
        <v>12554</v>
      </c>
    </row>
    <row r="5330" spans="2:8" ht="17.5" customHeight="1" x14ac:dyDescent="0.4">
      <c r="B5330" s="3" t="s">
        <v>7</v>
      </c>
      <c r="C5330" s="3" t="s">
        <v>990</v>
      </c>
      <c r="D5330" s="4">
        <f>DATE(2009,6,23)</f>
        <v>39987</v>
      </c>
      <c r="E5330" s="5">
        <f t="shared" si="88"/>
        <v>2009</v>
      </c>
      <c r="F5330" s="3" t="s">
        <v>991</v>
      </c>
      <c r="G5330" s="6">
        <v>5750</v>
      </c>
      <c r="H5330" s="5">
        <v>12728</v>
      </c>
    </row>
    <row r="5331" spans="2:8" ht="17.5" customHeight="1" x14ac:dyDescent="0.4">
      <c r="B5331" s="3" t="s">
        <v>7</v>
      </c>
      <c r="C5331" s="3" t="s">
        <v>990</v>
      </c>
      <c r="D5331" s="4">
        <f>DATE(2009,6,23)</f>
        <v>39987</v>
      </c>
      <c r="E5331" s="5">
        <f t="shared" si="88"/>
        <v>2009</v>
      </c>
      <c r="F5331" s="3" t="s">
        <v>991</v>
      </c>
      <c r="G5331" s="6">
        <v>346.8</v>
      </c>
      <c r="H5331" s="5">
        <v>12727</v>
      </c>
    </row>
    <row r="5332" spans="2:8" ht="17.5" customHeight="1" x14ac:dyDescent="0.4">
      <c r="B5332" s="3" t="s">
        <v>7</v>
      </c>
      <c r="C5332" s="3" t="s">
        <v>990</v>
      </c>
      <c r="D5332" s="4">
        <f>DATE(2009,7,2)</f>
        <v>39996</v>
      </c>
      <c r="E5332" s="5">
        <f t="shared" si="88"/>
        <v>2009</v>
      </c>
      <c r="F5332" s="3" t="s">
        <v>991</v>
      </c>
      <c r="G5332" s="6">
        <v>1576</v>
      </c>
      <c r="H5332" s="5">
        <v>12754</v>
      </c>
    </row>
    <row r="5333" spans="2:8" ht="17.5" customHeight="1" x14ac:dyDescent="0.4">
      <c r="B5333" s="3" t="s">
        <v>7</v>
      </c>
      <c r="C5333" s="3" t="s">
        <v>990</v>
      </c>
      <c r="D5333" s="4">
        <f>DATE(2009,7,29)</f>
        <v>40023</v>
      </c>
      <c r="E5333" s="5">
        <f t="shared" si="88"/>
        <v>2009</v>
      </c>
      <c r="F5333" s="3" t="s">
        <v>991</v>
      </c>
      <c r="G5333" s="6">
        <v>133.80000000000001</v>
      </c>
      <c r="H5333" s="5">
        <v>12847</v>
      </c>
    </row>
    <row r="5334" spans="2:8" ht="17.5" customHeight="1" x14ac:dyDescent="0.4">
      <c r="B5334" s="3" t="s">
        <v>7</v>
      </c>
      <c r="C5334" s="3" t="s">
        <v>990</v>
      </c>
      <c r="D5334" s="4">
        <f>DATE(2009,7,29)</f>
        <v>40023</v>
      </c>
      <c r="E5334" s="5">
        <f t="shared" si="88"/>
        <v>2009</v>
      </c>
      <c r="F5334" s="3" t="s">
        <v>991</v>
      </c>
      <c r="G5334" s="6">
        <v>1756.45</v>
      </c>
      <c r="H5334" s="5">
        <v>12839</v>
      </c>
    </row>
    <row r="5335" spans="2:8" ht="17.5" customHeight="1" x14ac:dyDescent="0.4">
      <c r="B5335" s="3" t="s">
        <v>7</v>
      </c>
      <c r="C5335" s="3" t="s">
        <v>990</v>
      </c>
      <c r="D5335" s="4">
        <f>DATE(2009,8,11)</f>
        <v>40036</v>
      </c>
      <c r="E5335" s="5">
        <f t="shared" si="88"/>
        <v>2009</v>
      </c>
      <c r="F5335" s="3" t="s">
        <v>991</v>
      </c>
      <c r="G5335" s="6">
        <v>825</v>
      </c>
      <c r="H5335" s="5">
        <v>12895</v>
      </c>
    </row>
    <row r="5336" spans="2:8" ht="17.5" customHeight="1" x14ac:dyDescent="0.4">
      <c r="B5336" s="3" t="s">
        <v>7</v>
      </c>
      <c r="C5336" s="3" t="s">
        <v>990</v>
      </c>
      <c r="D5336" s="4">
        <f>DATE(2009,8,12)</f>
        <v>40037</v>
      </c>
      <c r="E5336" s="5">
        <f t="shared" si="88"/>
        <v>2009</v>
      </c>
      <c r="F5336" s="3" t="s">
        <v>991</v>
      </c>
      <c r="G5336" s="6">
        <v>20551.5</v>
      </c>
      <c r="H5336" s="5">
        <v>12889</v>
      </c>
    </row>
    <row r="5337" spans="2:8" ht="17.5" customHeight="1" x14ac:dyDescent="0.4">
      <c r="B5337" s="3" t="s">
        <v>7</v>
      </c>
      <c r="C5337" s="3" t="s">
        <v>990</v>
      </c>
      <c r="D5337" s="4">
        <f>DATE(2009,8,14)</f>
        <v>40039</v>
      </c>
      <c r="E5337" s="5">
        <f t="shared" si="88"/>
        <v>2009</v>
      </c>
      <c r="F5337" s="3" t="s">
        <v>991</v>
      </c>
      <c r="G5337" s="6">
        <v>2375</v>
      </c>
      <c r="H5337" s="5">
        <v>12902</v>
      </c>
    </row>
    <row r="5338" spans="2:8" ht="17.5" customHeight="1" x14ac:dyDescent="0.4">
      <c r="B5338" s="3" t="s">
        <v>7</v>
      </c>
      <c r="C5338" s="3" t="s">
        <v>990</v>
      </c>
      <c r="D5338" s="4">
        <f>DATE(2009,8,14)</f>
        <v>40039</v>
      </c>
      <c r="E5338" s="5">
        <f t="shared" si="88"/>
        <v>2009</v>
      </c>
      <c r="F5338" s="3" t="s">
        <v>991</v>
      </c>
      <c r="G5338" s="6">
        <v>1181</v>
      </c>
      <c r="H5338" s="5">
        <v>12903</v>
      </c>
    </row>
    <row r="5339" spans="2:8" ht="17.5" customHeight="1" x14ac:dyDescent="0.4">
      <c r="B5339" s="3" t="s">
        <v>7</v>
      </c>
      <c r="C5339" s="3" t="s">
        <v>990</v>
      </c>
      <c r="D5339" s="4">
        <f>DATE(2009,9,8)</f>
        <v>40064</v>
      </c>
      <c r="E5339" s="5">
        <f t="shared" si="88"/>
        <v>2009</v>
      </c>
      <c r="F5339" s="3" t="s">
        <v>991</v>
      </c>
      <c r="G5339" s="6">
        <v>870</v>
      </c>
      <c r="H5339" s="5">
        <v>12985</v>
      </c>
    </row>
    <row r="5340" spans="2:8" ht="17.5" customHeight="1" x14ac:dyDescent="0.4">
      <c r="B5340" s="3" t="s">
        <v>7</v>
      </c>
      <c r="C5340" s="3" t="s">
        <v>990</v>
      </c>
      <c r="D5340" s="4">
        <f>DATE(2009,9,9)</f>
        <v>40065</v>
      </c>
      <c r="E5340" s="5">
        <f t="shared" si="88"/>
        <v>2009</v>
      </c>
      <c r="F5340" s="3" t="s">
        <v>991</v>
      </c>
      <c r="G5340" s="6">
        <v>488.75</v>
      </c>
      <c r="H5340" s="5">
        <v>13004</v>
      </c>
    </row>
    <row r="5341" spans="2:8" ht="17.5" customHeight="1" x14ac:dyDescent="0.4">
      <c r="B5341" s="3" t="s">
        <v>7</v>
      </c>
      <c r="C5341" s="3" t="s">
        <v>990</v>
      </c>
      <c r="D5341" s="4">
        <f>DATE(2009,9,16)</f>
        <v>40072</v>
      </c>
      <c r="E5341" s="5">
        <f t="shared" si="88"/>
        <v>2009</v>
      </c>
      <c r="F5341" s="3" t="s">
        <v>991</v>
      </c>
      <c r="G5341" s="6">
        <v>8917.92</v>
      </c>
      <c r="H5341" s="5">
        <v>13013</v>
      </c>
    </row>
    <row r="5342" spans="2:8" ht="17.5" customHeight="1" x14ac:dyDescent="0.4">
      <c r="B5342" s="3" t="s">
        <v>7</v>
      </c>
      <c r="C5342" s="3" t="s">
        <v>990</v>
      </c>
      <c r="D5342" s="4">
        <f>DATE(2009,9,25)</f>
        <v>40081</v>
      </c>
      <c r="E5342" s="5">
        <f t="shared" si="88"/>
        <v>2009</v>
      </c>
      <c r="F5342" s="3" t="s">
        <v>991</v>
      </c>
      <c r="G5342" s="6">
        <v>1759.5</v>
      </c>
      <c r="H5342" s="5">
        <v>13065</v>
      </c>
    </row>
    <row r="5343" spans="2:8" ht="17.5" customHeight="1" x14ac:dyDescent="0.4">
      <c r="B5343" s="3" t="s">
        <v>7</v>
      </c>
      <c r="C5343" s="3" t="s">
        <v>990</v>
      </c>
      <c r="D5343" s="4">
        <f>DATE(2009,10,5)</f>
        <v>40091</v>
      </c>
      <c r="E5343" s="5">
        <f t="shared" si="88"/>
        <v>2009</v>
      </c>
      <c r="F5343" s="3" t="s">
        <v>991</v>
      </c>
      <c r="G5343" s="6">
        <v>1650</v>
      </c>
      <c r="H5343" s="5">
        <v>13106</v>
      </c>
    </row>
    <row r="5344" spans="2:8" ht="17.5" customHeight="1" x14ac:dyDescent="0.4">
      <c r="B5344" s="3" t="s">
        <v>7</v>
      </c>
      <c r="C5344" s="3" t="s">
        <v>990</v>
      </c>
      <c r="D5344" s="4">
        <f>DATE(2009,10,5)</f>
        <v>40091</v>
      </c>
      <c r="E5344" s="5">
        <f t="shared" si="88"/>
        <v>2009</v>
      </c>
      <c r="F5344" s="3" t="s">
        <v>991</v>
      </c>
      <c r="G5344" s="6">
        <v>796.8</v>
      </c>
      <c r="H5344" s="5">
        <v>13089</v>
      </c>
    </row>
    <row r="5345" spans="2:8" ht="17.5" customHeight="1" x14ac:dyDescent="0.4">
      <c r="B5345" s="3" t="s">
        <v>7</v>
      </c>
      <c r="C5345" s="3" t="s">
        <v>990</v>
      </c>
      <c r="D5345" s="4">
        <f>DATE(2009,10,7)</f>
        <v>40093</v>
      </c>
      <c r="E5345" s="5">
        <f t="shared" si="88"/>
        <v>2009</v>
      </c>
      <c r="F5345" s="3" t="s">
        <v>991</v>
      </c>
      <c r="G5345" s="6">
        <v>11711</v>
      </c>
      <c r="H5345" s="5">
        <v>13099</v>
      </c>
    </row>
    <row r="5346" spans="2:8" ht="17.5" customHeight="1" x14ac:dyDescent="0.4">
      <c r="B5346" s="3" t="s">
        <v>7</v>
      </c>
      <c r="C5346" s="3" t="s">
        <v>990</v>
      </c>
      <c r="D5346" s="4">
        <f>DATE(2009,10,9)</f>
        <v>40095</v>
      </c>
      <c r="E5346" s="5">
        <f t="shared" si="88"/>
        <v>2009</v>
      </c>
      <c r="F5346" s="3" t="s">
        <v>991</v>
      </c>
      <c r="G5346" s="6">
        <v>1722.78</v>
      </c>
      <c r="H5346" s="5">
        <v>13116</v>
      </c>
    </row>
    <row r="5347" spans="2:8" ht="17.5" customHeight="1" x14ac:dyDescent="0.4">
      <c r="B5347" s="3" t="s">
        <v>7</v>
      </c>
      <c r="C5347" s="3" t="s">
        <v>990</v>
      </c>
      <c r="D5347" s="4">
        <f>DATE(2009,10,13)</f>
        <v>40099</v>
      </c>
      <c r="E5347" s="5">
        <f t="shared" si="88"/>
        <v>2009</v>
      </c>
      <c r="F5347" s="3" t="s">
        <v>991</v>
      </c>
      <c r="G5347" s="6">
        <v>9300</v>
      </c>
      <c r="H5347" s="5">
        <v>13141</v>
      </c>
    </row>
    <row r="5348" spans="2:8" ht="17.5" customHeight="1" x14ac:dyDescent="0.4">
      <c r="B5348" s="3" t="s">
        <v>7</v>
      </c>
      <c r="C5348" s="3" t="s">
        <v>990</v>
      </c>
      <c r="D5348" s="4">
        <f>DATE(2009,10,27)</f>
        <v>40113</v>
      </c>
      <c r="E5348" s="5">
        <f t="shared" si="88"/>
        <v>2009</v>
      </c>
      <c r="F5348" s="3" t="s">
        <v>991</v>
      </c>
      <c r="G5348" s="6">
        <v>616.79999999999995</v>
      </c>
      <c r="H5348" s="5">
        <v>13200</v>
      </c>
    </row>
    <row r="5349" spans="2:8" ht="17.5" customHeight="1" x14ac:dyDescent="0.4">
      <c r="B5349" s="3" t="s">
        <v>7</v>
      </c>
      <c r="C5349" s="3" t="s">
        <v>990</v>
      </c>
      <c r="D5349" s="4">
        <f>DATE(2009,10,30)</f>
        <v>40116</v>
      </c>
      <c r="E5349" s="5">
        <f t="shared" si="88"/>
        <v>2009</v>
      </c>
      <c r="F5349" s="3" t="s">
        <v>991</v>
      </c>
      <c r="G5349" s="6">
        <v>5000</v>
      </c>
      <c r="H5349" s="5">
        <v>13157</v>
      </c>
    </row>
    <row r="5350" spans="2:8" ht="17.5" customHeight="1" x14ac:dyDescent="0.4">
      <c r="B5350" s="3" t="s">
        <v>7</v>
      </c>
      <c r="C5350" s="3" t="s">
        <v>990</v>
      </c>
      <c r="D5350" s="4">
        <f>DATE(2009,11,6)</f>
        <v>40123</v>
      </c>
      <c r="E5350" s="5">
        <f t="shared" si="88"/>
        <v>2009</v>
      </c>
      <c r="F5350" s="3" t="s">
        <v>991</v>
      </c>
      <c r="G5350" s="6">
        <v>408</v>
      </c>
      <c r="H5350" s="5">
        <v>13245</v>
      </c>
    </row>
    <row r="5351" spans="2:8" ht="17.5" customHeight="1" x14ac:dyDescent="0.4">
      <c r="B5351" s="3" t="s">
        <v>7</v>
      </c>
      <c r="C5351" s="3" t="s">
        <v>990</v>
      </c>
      <c r="D5351" s="4">
        <f>DATE(2009,11,12)</f>
        <v>40129</v>
      </c>
      <c r="E5351" s="5">
        <f t="shared" si="88"/>
        <v>2009</v>
      </c>
      <c r="F5351" s="3" t="s">
        <v>991</v>
      </c>
      <c r="G5351" s="6">
        <v>231.5</v>
      </c>
      <c r="H5351" s="5">
        <v>13263</v>
      </c>
    </row>
    <row r="5352" spans="2:8" ht="17.5" customHeight="1" x14ac:dyDescent="0.4">
      <c r="B5352" s="3" t="s">
        <v>7</v>
      </c>
      <c r="C5352" s="3" t="s">
        <v>990</v>
      </c>
      <c r="D5352" s="4">
        <f>DATE(2009,11,12)</f>
        <v>40129</v>
      </c>
      <c r="E5352" s="5">
        <f t="shared" si="88"/>
        <v>2009</v>
      </c>
      <c r="F5352" s="3" t="s">
        <v>991</v>
      </c>
      <c r="G5352" s="6">
        <v>13907.15</v>
      </c>
      <c r="H5352" s="5">
        <v>13210</v>
      </c>
    </row>
    <row r="5353" spans="2:8" ht="17.5" customHeight="1" x14ac:dyDescent="0.4">
      <c r="B5353" s="3" t="s">
        <v>7</v>
      </c>
      <c r="C5353" s="3" t="s">
        <v>990</v>
      </c>
      <c r="D5353" s="4">
        <f>DATE(2009,11,20)</f>
        <v>40137</v>
      </c>
      <c r="E5353" s="5">
        <f t="shared" si="88"/>
        <v>2009</v>
      </c>
      <c r="F5353" s="3" t="s">
        <v>991</v>
      </c>
      <c r="G5353" s="6">
        <v>1280</v>
      </c>
      <c r="H5353" s="5">
        <v>13282</v>
      </c>
    </row>
    <row r="5354" spans="2:8" ht="17.5" customHeight="1" x14ac:dyDescent="0.4">
      <c r="B5354" s="3" t="s">
        <v>7</v>
      </c>
      <c r="C5354" s="3" t="s">
        <v>990</v>
      </c>
      <c r="D5354" s="4">
        <f>DATE(2009,11,23)</f>
        <v>40140</v>
      </c>
      <c r="E5354" s="5">
        <f t="shared" si="88"/>
        <v>2009</v>
      </c>
      <c r="F5354" s="3" t="s">
        <v>991</v>
      </c>
      <c r="G5354" s="6">
        <v>1518.7</v>
      </c>
      <c r="H5354" s="5">
        <v>13273</v>
      </c>
    </row>
    <row r="5355" spans="2:8" ht="17.5" customHeight="1" x14ac:dyDescent="0.4">
      <c r="B5355" s="3" t="s">
        <v>7</v>
      </c>
      <c r="C5355" s="3" t="s">
        <v>990</v>
      </c>
      <c r="D5355" s="4">
        <f>DATE(2009,11,23)</f>
        <v>40140</v>
      </c>
      <c r="E5355" s="5">
        <f t="shared" si="88"/>
        <v>2009</v>
      </c>
      <c r="F5355" s="3" t="s">
        <v>991</v>
      </c>
      <c r="G5355" s="6">
        <v>531.19000000000005</v>
      </c>
      <c r="H5355" s="5">
        <v>13276</v>
      </c>
    </row>
    <row r="5356" spans="2:8" ht="17.5" customHeight="1" x14ac:dyDescent="0.4">
      <c r="B5356" s="3" t="s">
        <v>7</v>
      </c>
      <c r="C5356" s="3" t="s">
        <v>990</v>
      </c>
      <c r="D5356" s="4">
        <f>DATE(2009,11,24)</f>
        <v>40141</v>
      </c>
      <c r="E5356" s="5">
        <f t="shared" si="88"/>
        <v>2009</v>
      </c>
      <c r="F5356" s="3" t="s">
        <v>991</v>
      </c>
      <c r="G5356" s="6">
        <v>6945</v>
      </c>
      <c r="H5356" s="5">
        <v>13260</v>
      </c>
    </row>
    <row r="5357" spans="2:8" ht="17.5" customHeight="1" x14ac:dyDescent="0.4">
      <c r="B5357" s="3" t="s">
        <v>7</v>
      </c>
      <c r="C5357" s="3" t="s">
        <v>990</v>
      </c>
      <c r="D5357" s="4">
        <f>DATE(2009,11,24)</f>
        <v>40141</v>
      </c>
      <c r="E5357" s="5">
        <f t="shared" si="88"/>
        <v>2009</v>
      </c>
      <c r="F5357" s="3" t="s">
        <v>991</v>
      </c>
      <c r="G5357" s="6">
        <v>24217.919999999998</v>
      </c>
      <c r="H5357" s="5">
        <v>13211</v>
      </c>
    </row>
    <row r="5358" spans="2:8" ht="17.5" customHeight="1" x14ac:dyDescent="0.4">
      <c r="B5358" s="3" t="s">
        <v>7</v>
      </c>
      <c r="C5358" s="3" t="s">
        <v>990</v>
      </c>
      <c r="D5358" s="4">
        <f>DATE(2009,11,25)</f>
        <v>40142</v>
      </c>
      <c r="E5358" s="5">
        <f t="shared" si="88"/>
        <v>2009</v>
      </c>
      <c r="F5358" s="3" t="s">
        <v>991</v>
      </c>
      <c r="G5358" s="6">
        <v>231.5</v>
      </c>
      <c r="H5358" s="5">
        <v>13305</v>
      </c>
    </row>
    <row r="5359" spans="2:8" ht="17.5" customHeight="1" x14ac:dyDescent="0.4">
      <c r="B5359" s="3" t="s">
        <v>7</v>
      </c>
      <c r="C5359" s="3" t="s">
        <v>990</v>
      </c>
      <c r="D5359" s="4">
        <f>DATE(2009,11,25)</f>
        <v>40142</v>
      </c>
      <c r="E5359" s="5">
        <f t="shared" si="88"/>
        <v>2009</v>
      </c>
      <c r="F5359" s="3" t="s">
        <v>991</v>
      </c>
      <c r="G5359" s="6">
        <v>612</v>
      </c>
      <c r="H5359" s="5">
        <v>13304</v>
      </c>
    </row>
    <row r="5360" spans="2:8" ht="17.5" customHeight="1" x14ac:dyDescent="0.4">
      <c r="B5360" s="3" t="s">
        <v>7</v>
      </c>
      <c r="C5360" s="3" t="s">
        <v>990</v>
      </c>
      <c r="D5360" s="4">
        <f>DATE(2009,12,7)</f>
        <v>40154</v>
      </c>
      <c r="E5360" s="5">
        <f t="shared" si="88"/>
        <v>2009</v>
      </c>
      <c r="F5360" s="3" t="s">
        <v>991</v>
      </c>
      <c r="G5360" s="6">
        <v>617.5</v>
      </c>
      <c r="H5360" s="5">
        <v>13334</v>
      </c>
    </row>
    <row r="5361" spans="2:8" ht="17.5" customHeight="1" x14ac:dyDescent="0.4">
      <c r="B5361" s="3" t="s">
        <v>7</v>
      </c>
      <c r="C5361" s="3" t="s">
        <v>990</v>
      </c>
      <c r="D5361" s="4">
        <f>DATE(2009,12,10)</f>
        <v>40157</v>
      </c>
      <c r="E5361" s="5">
        <f t="shared" si="88"/>
        <v>2009</v>
      </c>
      <c r="F5361" s="3" t="s">
        <v>991</v>
      </c>
      <c r="G5361" s="6">
        <v>3968</v>
      </c>
      <c r="H5361" s="5">
        <v>13350</v>
      </c>
    </row>
    <row r="5362" spans="2:8" ht="17.5" customHeight="1" x14ac:dyDescent="0.4">
      <c r="B5362" s="3" t="s">
        <v>7</v>
      </c>
      <c r="C5362" s="3" t="s">
        <v>990</v>
      </c>
      <c r="D5362" s="4">
        <f>DATE(2009,12,18)</f>
        <v>40165</v>
      </c>
      <c r="E5362" s="5">
        <f t="shared" si="88"/>
        <v>2009</v>
      </c>
      <c r="F5362" s="3" t="s">
        <v>991</v>
      </c>
      <c r="G5362" s="6">
        <v>1321</v>
      </c>
      <c r="H5362" s="5">
        <v>13368</v>
      </c>
    </row>
    <row r="5363" spans="2:8" ht="17.5" customHeight="1" x14ac:dyDescent="0.4">
      <c r="B5363" s="3" t="s">
        <v>7</v>
      </c>
      <c r="C5363" s="3" t="s">
        <v>990</v>
      </c>
      <c r="D5363" s="4">
        <f>DATE(2010,1,5)</f>
        <v>40183</v>
      </c>
      <c r="E5363" s="5">
        <f t="shared" si="88"/>
        <v>2010</v>
      </c>
      <c r="F5363" s="3" t="s">
        <v>991</v>
      </c>
      <c r="G5363" s="6">
        <v>7000</v>
      </c>
      <c r="H5363" s="5">
        <v>13306</v>
      </c>
    </row>
    <row r="5364" spans="2:8" ht="17.5" customHeight="1" x14ac:dyDescent="0.4">
      <c r="B5364" s="3" t="s">
        <v>7</v>
      </c>
      <c r="C5364" s="3" t="s">
        <v>990</v>
      </c>
      <c r="D5364" s="4">
        <f>DATE(2010,1,12)</f>
        <v>40190</v>
      </c>
      <c r="E5364" s="5">
        <f t="shared" si="88"/>
        <v>2010</v>
      </c>
      <c r="F5364" s="3" t="s">
        <v>991</v>
      </c>
      <c r="G5364" s="6">
        <v>110.16</v>
      </c>
      <c r="H5364" s="5">
        <v>13430</v>
      </c>
    </row>
    <row r="5365" spans="2:8" ht="17.5" customHeight="1" x14ac:dyDescent="0.4">
      <c r="B5365" s="3" t="s">
        <v>7</v>
      </c>
      <c r="C5365" s="3" t="s">
        <v>990</v>
      </c>
      <c r="D5365" s="4">
        <f>DATE(2010,1,13)</f>
        <v>40191</v>
      </c>
      <c r="E5365" s="5">
        <f t="shared" si="88"/>
        <v>2010</v>
      </c>
      <c r="F5365" s="3" t="s">
        <v>991</v>
      </c>
      <c r="G5365" s="6">
        <v>57.8</v>
      </c>
      <c r="H5365" s="5">
        <v>13437</v>
      </c>
    </row>
    <row r="5366" spans="2:8" ht="17.5" customHeight="1" x14ac:dyDescent="0.4">
      <c r="B5366" s="3" t="s">
        <v>7</v>
      </c>
      <c r="C5366" s="3" t="s">
        <v>990</v>
      </c>
      <c r="D5366" s="4">
        <f>DATE(2010,1,4)</f>
        <v>40182</v>
      </c>
      <c r="E5366" s="5">
        <f t="shared" si="88"/>
        <v>2010</v>
      </c>
      <c r="F5366" s="3" t="s">
        <v>991</v>
      </c>
      <c r="G5366" s="6">
        <v>2500</v>
      </c>
      <c r="H5366" s="5">
        <v>13388</v>
      </c>
    </row>
    <row r="5367" spans="2:8" ht="17.5" customHeight="1" x14ac:dyDescent="0.4">
      <c r="B5367" s="3" t="s">
        <v>7</v>
      </c>
      <c r="C5367" s="3" t="s">
        <v>990</v>
      </c>
      <c r="D5367" s="4">
        <f>DATE(2010,1,14)</f>
        <v>40192</v>
      </c>
      <c r="E5367" s="5">
        <f t="shared" si="88"/>
        <v>2010</v>
      </c>
      <c r="F5367" s="3" t="s">
        <v>991</v>
      </c>
      <c r="G5367" s="6">
        <v>11349.33</v>
      </c>
      <c r="H5367" s="5">
        <v>13374</v>
      </c>
    </row>
    <row r="5368" spans="2:8" ht="17.5" customHeight="1" x14ac:dyDescent="0.4">
      <c r="B5368" s="3" t="s">
        <v>7</v>
      </c>
      <c r="C5368" s="3" t="s">
        <v>990</v>
      </c>
      <c r="D5368" s="4">
        <f>DATE(2010,1,15)</f>
        <v>40193</v>
      </c>
      <c r="E5368" s="5">
        <f t="shared" si="88"/>
        <v>2010</v>
      </c>
      <c r="F5368" s="3" t="s">
        <v>991</v>
      </c>
      <c r="G5368" s="6">
        <v>9300</v>
      </c>
      <c r="H5368" s="5">
        <v>13446</v>
      </c>
    </row>
    <row r="5369" spans="2:8" ht="17.5" customHeight="1" x14ac:dyDescent="0.4">
      <c r="B5369" s="3" t="s">
        <v>7</v>
      </c>
      <c r="C5369" s="3" t="s">
        <v>990</v>
      </c>
      <c r="D5369" s="4">
        <f>DATE(2010,1,21)</f>
        <v>40199</v>
      </c>
      <c r="E5369" s="5">
        <f t="shared" si="88"/>
        <v>2010</v>
      </c>
      <c r="F5369" s="3" t="s">
        <v>991</v>
      </c>
      <c r="G5369" s="6">
        <v>193.8</v>
      </c>
      <c r="H5369" s="5">
        <v>13424</v>
      </c>
    </row>
    <row r="5370" spans="2:8" ht="17.5" customHeight="1" x14ac:dyDescent="0.4">
      <c r="B5370" s="3" t="s">
        <v>7</v>
      </c>
      <c r="C5370" s="3" t="s">
        <v>990</v>
      </c>
      <c r="D5370" s="4">
        <f>DATE(2010,1,25)</f>
        <v>40203</v>
      </c>
      <c r="E5370" s="5">
        <f t="shared" si="88"/>
        <v>2010</v>
      </c>
      <c r="F5370" s="3" t="s">
        <v>991</v>
      </c>
      <c r="G5370" s="6">
        <v>1664</v>
      </c>
      <c r="H5370" s="5">
        <v>13478</v>
      </c>
    </row>
    <row r="5371" spans="2:8" ht="17.5" customHeight="1" x14ac:dyDescent="0.4">
      <c r="B5371" s="3" t="s">
        <v>7</v>
      </c>
      <c r="C5371" s="3" t="s">
        <v>990</v>
      </c>
      <c r="D5371" s="4">
        <f>DATE(2010,2,5)</f>
        <v>40214</v>
      </c>
      <c r="E5371" s="5">
        <f t="shared" si="88"/>
        <v>2010</v>
      </c>
      <c r="F5371" s="3" t="s">
        <v>991</v>
      </c>
      <c r="G5371" s="6">
        <v>1244.1500000000001</v>
      </c>
      <c r="H5371" s="5">
        <v>13547</v>
      </c>
    </row>
    <row r="5372" spans="2:8" ht="17.5" customHeight="1" x14ac:dyDescent="0.4">
      <c r="B5372" s="3" t="s">
        <v>7</v>
      </c>
      <c r="C5372" s="3" t="s">
        <v>990</v>
      </c>
      <c r="D5372" s="4">
        <f>DATE(2010,2,15)</f>
        <v>40224</v>
      </c>
      <c r="E5372" s="5">
        <f t="shared" si="88"/>
        <v>2010</v>
      </c>
      <c r="F5372" s="3" t="s">
        <v>991</v>
      </c>
      <c r="G5372" s="6">
        <v>640</v>
      </c>
      <c r="H5372" s="5">
        <v>13609</v>
      </c>
    </row>
    <row r="5373" spans="2:8" ht="17.5" customHeight="1" x14ac:dyDescent="0.4">
      <c r="B5373" s="3" t="s">
        <v>7</v>
      </c>
      <c r="C5373" s="3" t="s">
        <v>990</v>
      </c>
      <c r="D5373" s="4">
        <f>DATE(2010,2,19)</f>
        <v>40228</v>
      </c>
      <c r="E5373" s="5">
        <f t="shared" si="88"/>
        <v>2010</v>
      </c>
      <c r="F5373" s="3" t="s">
        <v>991</v>
      </c>
      <c r="G5373" s="6">
        <v>48702</v>
      </c>
      <c r="H5373" s="5">
        <v>13607</v>
      </c>
    </row>
    <row r="5374" spans="2:8" ht="17.5" customHeight="1" x14ac:dyDescent="0.4">
      <c r="B5374" s="3" t="s">
        <v>7</v>
      </c>
      <c r="C5374" s="3" t="s">
        <v>990</v>
      </c>
      <c r="D5374" s="4">
        <f>DATE(2010,3,29)</f>
        <v>40266</v>
      </c>
      <c r="E5374" s="5">
        <f t="shared" si="88"/>
        <v>2010</v>
      </c>
      <c r="F5374" s="3" t="s">
        <v>991</v>
      </c>
      <c r="G5374" s="6">
        <v>369.66</v>
      </c>
      <c r="H5374" s="5">
        <v>13827</v>
      </c>
    </row>
    <row r="5375" spans="2:8" ht="17.5" customHeight="1" x14ac:dyDescent="0.4">
      <c r="B5375" s="3" t="s">
        <v>7</v>
      </c>
      <c r="C5375" s="3" t="s">
        <v>990</v>
      </c>
      <c r="D5375" s="4">
        <f>DATE(2010,3,29)</f>
        <v>40266</v>
      </c>
      <c r="E5375" s="5">
        <f t="shared" si="88"/>
        <v>2010</v>
      </c>
      <c r="F5375" s="3" t="s">
        <v>991</v>
      </c>
      <c r="G5375" s="6">
        <v>7294.9</v>
      </c>
      <c r="H5375" s="5">
        <v>13805</v>
      </c>
    </row>
    <row r="5376" spans="2:8" ht="17.5" customHeight="1" x14ac:dyDescent="0.4">
      <c r="B5376" s="3" t="s">
        <v>7</v>
      </c>
      <c r="C5376" s="3" t="s">
        <v>990</v>
      </c>
      <c r="D5376" s="4">
        <f>DATE(2010,4,9)</f>
        <v>40277</v>
      </c>
      <c r="E5376" s="5">
        <f t="shared" si="88"/>
        <v>2010</v>
      </c>
      <c r="F5376" s="3" t="s">
        <v>991</v>
      </c>
      <c r="G5376" s="6">
        <v>3970</v>
      </c>
      <c r="H5376" s="5">
        <v>13871</v>
      </c>
    </row>
    <row r="5377" spans="2:8" ht="17.5" customHeight="1" x14ac:dyDescent="0.4">
      <c r="B5377" s="3" t="s">
        <v>7</v>
      </c>
      <c r="C5377" s="3" t="s">
        <v>990</v>
      </c>
      <c r="D5377" s="4">
        <f>DATE(2010,4,15)</f>
        <v>40283</v>
      </c>
      <c r="E5377" s="5">
        <f t="shared" si="88"/>
        <v>2010</v>
      </c>
      <c r="F5377" s="3" t="s">
        <v>991</v>
      </c>
      <c r="G5377" s="6">
        <v>2835</v>
      </c>
      <c r="H5377" s="5">
        <v>13910</v>
      </c>
    </row>
    <row r="5378" spans="2:8" ht="17.5" customHeight="1" x14ac:dyDescent="0.4">
      <c r="B5378" s="3" t="s">
        <v>7</v>
      </c>
      <c r="C5378" s="3" t="s">
        <v>990</v>
      </c>
      <c r="D5378" s="4">
        <f>DATE(2010,4,19)</f>
        <v>40287</v>
      </c>
      <c r="E5378" s="5">
        <f t="shared" si="88"/>
        <v>2010</v>
      </c>
      <c r="F5378" s="3" t="s">
        <v>991</v>
      </c>
      <c r="G5378" s="6">
        <v>3780</v>
      </c>
      <c r="H5378" s="5">
        <v>13911</v>
      </c>
    </row>
    <row r="5379" spans="2:8" ht="17.5" customHeight="1" x14ac:dyDescent="0.4">
      <c r="B5379" s="3" t="s">
        <v>7</v>
      </c>
      <c r="C5379" s="3" t="s">
        <v>990</v>
      </c>
      <c r="D5379" s="4">
        <f>DATE(2010,4,21)</f>
        <v>40289</v>
      </c>
      <c r="E5379" s="5">
        <f t="shared" ref="E5379:E5442" si="89">YEAR(D5379)</f>
        <v>2010</v>
      </c>
      <c r="F5379" s="3" t="s">
        <v>991</v>
      </c>
      <c r="G5379" s="6">
        <v>1617</v>
      </c>
      <c r="H5379" s="5">
        <v>13925</v>
      </c>
    </row>
    <row r="5380" spans="2:8" ht="17.5" customHeight="1" x14ac:dyDescent="0.4">
      <c r="B5380" s="3" t="s">
        <v>7</v>
      </c>
      <c r="C5380" s="3" t="s">
        <v>990</v>
      </c>
      <c r="D5380" s="4">
        <f>DATE(2010,4,23)</f>
        <v>40291</v>
      </c>
      <c r="E5380" s="5">
        <f t="shared" si="89"/>
        <v>2010</v>
      </c>
      <c r="F5380" s="3" t="s">
        <v>991</v>
      </c>
      <c r="G5380" s="6">
        <v>700</v>
      </c>
      <c r="H5380" s="5">
        <v>13972</v>
      </c>
    </row>
    <row r="5381" spans="2:8" ht="17.5" customHeight="1" x14ac:dyDescent="0.4">
      <c r="B5381" s="3" t="s">
        <v>7</v>
      </c>
      <c r="C5381" s="3" t="s">
        <v>990</v>
      </c>
      <c r="D5381" s="4">
        <f>DATE(2010,5,6)</f>
        <v>40304</v>
      </c>
      <c r="E5381" s="5">
        <f t="shared" si="89"/>
        <v>2010</v>
      </c>
      <c r="F5381" s="3" t="s">
        <v>991</v>
      </c>
      <c r="G5381" s="6">
        <v>2685</v>
      </c>
      <c r="H5381" s="5">
        <v>14012</v>
      </c>
    </row>
    <row r="5382" spans="2:8" ht="17.5" customHeight="1" x14ac:dyDescent="0.4">
      <c r="B5382" s="3" t="s">
        <v>7</v>
      </c>
      <c r="C5382" s="3" t="s">
        <v>990</v>
      </c>
      <c r="D5382" s="4">
        <f>DATE(2010,5,6)</f>
        <v>40304</v>
      </c>
      <c r="E5382" s="5">
        <f t="shared" si="89"/>
        <v>2010</v>
      </c>
      <c r="F5382" s="3" t="s">
        <v>991</v>
      </c>
      <c r="G5382" s="6">
        <v>159.1</v>
      </c>
      <c r="H5382" s="5">
        <v>14018</v>
      </c>
    </row>
    <row r="5383" spans="2:8" ht="17.5" customHeight="1" x14ac:dyDescent="0.4">
      <c r="B5383" s="3" t="s">
        <v>7</v>
      </c>
      <c r="C5383" s="3" t="s">
        <v>990</v>
      </c>
      <c r="D5383" s="4">
        <f>DATE(2010,5,13)</f>
        <v>40311</v>
      </c>
      <c r="E5383" s="5">
        <f t="shared" si="89"/>
        <v>2010</v>
      </c>
      <c r="F5383" s="3" t="s">
        <v>991</v>
      </c>
      <c r="G5383" s="6">
        <v>5370</v>
      </c>
      <c r="H5383" s="5">
        <v>14009</v>
      </c>
    </row>
    <row r="5384" spans="2:8" ht="17.5" customHeight="1" x14ac:dyDescent="0.4">
      <c r="B5384" s="3" t="s">
        <v>7</v>
      </c>
      <c r="C5384" s="3" t="s">
        <v>990</v>
      </c>
      <c r="D5384" s="4">
        <f>DATE(2010,5,13)</f>
        <v>40311</v>
      </c>
      <c r="E5384" s="5">
        <f t="shared" si="89"/>
        <v>2010</v>
      </c>
      <c r="F5384" s="3" t="s">
        <v>991</v>
      </c>
      <c r="G5384" s="6">
        <v>2835</v>
      </c>
      <c r="H5384" s="5">
        <v>14010</v>
      </c>
    </row>
    <row r="5385" spans="2:8" ht="17.5" customHeight="1" x14ac:dyDescent="0.4">
      <c r="B5385" s="3" t="s">
        <v>7</v>
      </c>
      <c r="C5385" s="3" t="s">
        <v>990</v>
      </c>
      <c r="D5385" s="4">
        <f>DATE(2010,5,21)</f>
        <v>40319</v>
      </c>
      <c r="E5385" s="5">
        <f t="shared" si="89"/>
        <v>2010</v>
      </c>
      <c r="F5385" s="3" t="s">
        <v>991</v>
      </c>
      <c r="G5385" s="6">
        <v>30.6</v>
      </c>
      <c r="H5385" s="5">
        <v>14095</v>
      </c>
    </row>
    <row r="5386" spans="2:8" ht="17.5" customHeight="1" x14ac:dyDescent="0.4">
      <c r="B5386" s="3" t="s">
        <v>7</v>
      </c>
      <c r="C5386" s="3" t="s">
        <v>990</v>
      </c>
      <c r="D5386" s="4">
        <f>DATE(2010,5,21)</f>
        <v>40319</v>
      </c>
      <c r="E5386" s="5">
        <f t="shared" si="89"/>
        <v>2010</v>
      </c>
      <c r="F5386" s="3" t="s">
        <v>991</v>
      </c>
      <c r="G5386" s="6">
        <v>680</v>
      </c>
      <c r="H5386" s="5">
        <v>14059</v>
      </c>
    </row>
    <row r="5387" spans="2:8" ht="17.5" customHeight="1" x14ac:dyDescent="0.4">
      <c r="B5387" s="3" t="s">
        <v>7</v>
      </c>
      <c r="C5387" s="3" t="s">
        <v>990</v>
      </c>
      <c r="D5387" s="4">
        <f>DATE(2010,5,27)</f>
        <v>40325</v>
      </c>
      <c r="E5387" s="5">
        <f t="shared" si="89"/>
        <v>2010</v>
      </c>
      <c r="F5387" s="3" t="s">
        <v>991</v>
      </c>
      <c r="G5387" s="6">
        <v>150</v>
      </c>
      <c r="H5387" s="5">
        <v>14118</v>
      </c>
    </row>
    <row r="5388" spans="2:8" ht="17.5" customHeight="1" x14ac:dyDescent="0.4">
      <c r="B5388" s="3" t="s">
        <v>7</v>
      </c>
      <c r="C5388" s="3" t="s">
        <v>990</v>
      </c>
      <c r="D5388" s="4">
        <f>DATE(2010,6,8)</f>
        <v>40337</v>
      </c>
      <c r="E5388" s="5">
        <f t="shared" si="89"/>
        <v>2010</v>
      </c>
      <c r="F5388" s="3" t="s">
        <v>991</v>
      </c>
      <c r="G5388" s="6">
        <v>11485.5</v>
      </c>
      <c r="H5388" s="5">
        <v>14159</v>
      </c>
    </row>
    <row r="5389" spans="2:8" ht="17.5" customHeight="1" x14ac:dyDescent="0.4">
      <c r="B5389" s="3" t="s">
        <v>7</v>
      </c>
      <c r="C5389" s="3" t="s">
        <v>990</v>
      </c>
      <c r="D5389" s="4">
        <f>DATE(2010,6,10)</f>
        <v>40339</v>
      </c>
      <c r="E5389" s="5">
        <f t="shared" si="89"/>
        <v>2010</v>
      </c>
      <c r="F5389" s="3" t="s">
        <v>991</v>
      </c>
      <c r="G5389" s="6">
        <v>303</v>
      </c>
      <c r="H5389" s="5">
        <v>14175</v>
      </c>
    </row>
    <row r="5390" spans="2:8" ht="17.5" customHeight="1" x14ac:dyDescent="0.4">
      <c r="B5390" s="3" t="s">
        <v>7</v>
      </c>
      <c r="C5390" s="3" t="s">
        <v>990</v>
      </c>
      <c r="D5390" s="4">
        <f>DATE(2010,6,15)</f>
        <v>40344</v>
      </c>
      <c r="E5390" s="5">
        <f t="shared" si="89"/>
        <v>2010</v>
      </c>
      <c r="F5390" s="3" t="s">
        <v>991</v>
      </c>
      <c r="G5390" s="6">
        <v>1250</v>
      </c>
      <c r="H5390" s="5">
        <v>14184</v>
      </c>
    </row>
    <row r="5391" spans="2:8" ht="17.5" customHeight="1" x14ac:dyDescent="0.4">
      <c r="B5391" s="3" t="s">
        <v>7</v>
      </c>
      <c r="C5391" s="3" t="s">
        <v>990</v>
      </c>
      <c r="D5391" s="4">
        <f>DATE(2010,6,24)</f>
        <v>40353</v>
      </c>
      <c r="E5391" s="5">
        <f t="shared" si="89"/>
        <v>2010</v>
      </c>
      <c r="F5391" s="3" t="s">
        <v>991</v>
      </c>
      <c r="G5391" s="6">
        <v>1790</v>
      </c>
      <c r="H5391" s="5">
        <v>14209</v>
      </c>
    </row>
    <row r="5392" spans="2:8" ht="17.5" customHeight="1" x14ac:dyDescent="0.4">
      <c r="B5392" s="3" t="s">
        <v>7</v>
      </c>
      <c r="C5392" s="3" t="s">
        <v>990</v>
      </c>
      <c r="D5392" s="4">
        <f>DATE(2010,6,28)</f>
        <v>40357</v>
      </c>
      <c r="E5392" s="5">
        <f t="shared" si="89"/>
        <v>2010</v>
      </c>
      <c r="F5392" s="3" t="s">
        <v>991</v>
      </c>
      <c r="G5392" s="6">
        <v>1185</v>
      </c>
      <c r="H5392" s="5">
        <v>14222</v>
      </c>
    </row>
    <row r="5393" spans="2:8" ht="17.5" customHeight="1" x14ac:dyDescent="0.4">
      <c r="B5393" s="3" t="s">
        <v>7</v>
      </c>
      <c r="C5393" s="3" t="s">
        <v>990</v>
      </c>
      <c r="D5393" s="4">
        <f>DATE(2010,7,7)</f>
        <v>40366</v>
      </c>
      <c r="E5393" s="5">
        <f t="shared" si="89"/>
        <v>2010</v>
      </c>
      <c r="F5393" s="3" t="s">
        <v>991</v>
      </c>
      <c r="G5393" s="6">
        <v>1832</v>
      </c>
      <c r="H5393" s="5">
        <v>14240</v>
      </c>
    </row>
    <row r="5394" spans="2:8" ht="17.5" customHeight="1" x14ac:dyDescent="0.4">
      <c r="B5394" s="3" t="s">
        <v>7</v>
      </c>
      <c r="C5394" s="3" t="s">
        <v>990</v>
      </c>
      <c r="D5394" s="4">
        <f>DATE(2010,7,8)</f>
        <v>40367</v>
      </c>
      <c r="E5394" s="5">
        <f t="shared" si="89"/>
        <v>2010</v>
      </c>
      <c r="F5394" s="3" t="s">
        <v>991</v>
      </c>
      <c r="G5394" s="6">
        <v>520</v>
      </c>
      <c r="H5394" s="5">
        <v>14267</v>
      </c>
    </row>
    <row r="5395" spans="2:8" ht="17.5" customHeight="1" x14ac:dyDescent="0.4">
      <c r="B5395" s="3" t="s">
        <v>7</v>
      </c>
      <c r="C5395" s="3" t="s">
        <v>990</v>
      </c>
      <c r="D5395" s="4">
        <f>DATE(2010,7,8)</f>
        <v>40367</v>
      </c>
      <c r="E5395" s="5">
        <f t="shared" si="89"/>
        <v>2010</v>
      </c>
      <c r="F5395" s="3" t="s">
        <v>991</v>
      </c>
      <c r="G5395" s="6">
        <v>2685</v>
      </c>
      <c r="H5395" s="5">
        <v>14259</v>
      </c>
    </row>
    <row r="5396" spans="2:8" ht="17.5" customHeight="1" x14ac:dyDescent="0.4">
      <c r="B5396" s="3" t="s">
        <v>7</v>
      </c>
      <c r="C5396" s="3" t="s">
        <v>990</v>
      </c>
      <c r="D5396" s="4">
        <f>DATE(2010,7,8)</f>
        <v>40367</v>
      </c>
      <c r="E5396" s="5">
        <f t="shared" si="89"/>
        <v>2010</v>
      </c>
      <c r="F5396" s="3" t="s">
        <v>991</v>
      </c>
      <c r="G5396" s="6">
        <v>2033.5</v>
      </c>
      <c r="H5396" s="5">
        <v>14258</v>
      </c>
    </row>
    <row r="5397" spans="2:8" ht="17.5" customHeight="1" x14ac:dyDescent="0.4">
      <c r="B5397" s="3" t="s">
        <v>7</v>
      </c>
      <c r="C5397" s="3" t="s">
        <v>990</v>
      </c>
      <c r="D5397" s="4">
        <f>DATE(2010,7,22)</f>
        <v>40381</v>
      </c>
      <c r="E5397" s="5">
        <f t="shared" si="89"/>
        <v>2010</v>
      </c>
      <c r="F5397" s="3" t="s">
        <v>991</v>
      </c>
      <c r="G5397" s="6">
        <v>2129</v>
      </c>
      <c r="H5397" s="5">
        <v>14275</v>
      </c>
    </row>
    <row r="5398" spans="2:8" ht="17.5" customHeight="1" x14ac:dyDescent="0.4">
      <c r="B5398" s="3" t="s">
        <v>7</v>
      </c>
      <c r="C5398" s="3" t="s">
        <v>990</v>
      </c>
      <c r="D5398" s="4">
        <f>DATE(2010,8,6)</f>
        <v>40396</v>
      </c>
      <c r="E5398" s="5">
        <f t="shared" si="89"/>
        <v>2010</v>
      </c>
      <c r="F5398" s="3" t="s">
        <v>991</v>
      </c>
      <c r="G5398" s="6">
        <v>873.6</v>
      </c>
      <c r="H5398" s="5">
        <v>14362</v>
      </c>
    </row>
    <row r="5399" spans="2:8" ht="17.5" customHeight="1" x14ac:dyDescent="0.4">
      <c r="B5399" s="3" t="s">
        <v>7</v>
      </c>
      <c r="C5399" s="3" t="s">
        <v>990</v>
      </c>
      <c r="D5399" s="4">
        <f>DATE(2010,8,9)</f>
        <v>40399</v>
      </c>
      <c r="E5399" s="5">
        <f t="shared" si="89"/>
        <v>2010</v>
      </c>
      <c r="F5399" s="3" t="s">
        <v>991</v>
      </c>
      <c r="G5399" s="6">
        <v>8961.86</v>
      </c>
      <c r="H5399" s="5">
        <v>14352</v>
      </c>
    </row>
    <row r="5400" spans="2:8" ht="17.5" customHeight="1" x14ac:dyDescent="0.4">
      <c r="B5400" s="3" t="s">
        <v>7</v>
      </c>
      <c r="C5400" s="3" t="s">
        <v>990</v>
      </c>
      <c r="D5400" s="4">
        <f>DATE(2010,8,11)</f>
        <v>40401</v>
      </c>
      <c r="E5400" s="5">
        <f t="shared" si="89"/>
        <v>2010</v>
      </c>
      <c r="F5400" s="3" t="s">
        <v>991</v>
      </c>
      <c r="G5400" s="6">
        <v>24810</v>
      </c>
      <c r="H5400" s="5">
        <v>14353</v>
      </c>
    </row>
    <row r="5401" spans="2:8" ht="17.5" customHeight="1" x14ac:dyDescent="0.4">
      <c r="B5401" s="3" t="s">
        <v>7</v>
      </c>
      <c r="C5401" s="3" t="s">
        <v>990</v>
      </c>
      <c r="D5401" s="4">
        <f>DATE(2010,8,23)</f>
        <v>40413</v>
      </c>
      <c r="E5401" s="5">
        <f t="shared" si="89"/>
        <v>2010</v>
      </c>
      <c r="F5401" s="3" t="s">
        <v>991</v>
      </c>
      <c r="G5401" s="6">
        <v>680</v>
      </c>
      <c r="H5401" s="5">
        <v>14377</v>
      </c>
    </row>
    <row r="5402" spans="2:8" ht="17.5" customHeight="1" x14ac:dyDescent="0.4">
      <c r="B5402" s="3" t="s">
        <v>7</v>
      </c>
      <c r="C5402" s="3" t="s">
        <v>990</v>
      </c>
      <c r="D5402" s="4">
        <f>DATE(2010,8,23)</f>
        <v>40413</v>
      </c>
      <c r="E5402" s="5">
        <f t="shared" si="89"/>
        <v>2010</v>
      </c>
      <c r="F5402" s="3" t="s">
        <v>991</v>
      </c>
      <c r="G5402" s="6">
        <v>1360</v>
      </c>
      <c r="H5402" s="5">
        <v>14365</v>
      </c>
    </row>
    <row r="5403" spans="2:8" ht="17.5" customHeight="1" x14ac:dyDescent="0.4">
      <c r="B5403" s="3" t="s">
        <v>7</v>
      </c>
      <c r="C5403" s="3" t="s">
        <v>990</v>
      </c>
      <c r="D5403" s="4">
        <f>DATE(2010,8,27)</f>
        <v>40417</v>
      </c>
      <c r="E5403" s="5">
        <f t="shared" si="89"/>
        <v>2010</v>
      </c>
      <c r="F5403" s="3" t="s">
        <v>991</v>
      </c>
      <c r="G5403" s="6">
        <v>8061</v>
      </c>
      <c r="H5403" s="5">
        <v>14416</v>
      </c>
    </row>
    <row r="5404" spans="2:8" ht="17.5" customHeight="1" x14ac:dyDescent="0.4">
      <c r="B5404" s="3" t="s">
        <v>7</v>
      </c>
      <c r="C5404" s="3" t="s">
        <v>990</v>
      </c>
      <c r="D5404" s="4">
        <f>DATE(2010,8,27)</f>
        <v>40417</v>
      </c>
      <c r="E5404" s="5">
        <f t="shared" si="89"/>
        <v>2010</v>
      </c>
      <c r="F5404" s="3" t="s">
        <v>991</v>
      </c>
      <c r="G5404" s="6">
        <v>1183</v>
      </c>
      <c r="H5404" s="5">
        <v>14450</v>
      </c>
    </row>
    <row r="5405" spans="2:8" ht="17.5" customHeight="1" x14ac:dyDescent="0.4">
      <c r="B5405" s="3" t="s">
        <v>7</v>
      </c>
      <c r="C5405" s="3" t="s">
        <v>990</v>
      </c>
      <c r="D5405" s="4">
        <f>DATE(2010,8,30)</f>
        <v>40420</v>
      </c>
      <c r="E5405" s="5">
        <f t="shared" si="89"/>
        <v>2010</v>
      </c>
      <c r="F5405" s="3" t="s">
        <v>991</v>
      </c>
      <c r="G5405" s="6">
        <v>9850.7999999999993</v>
      </c>
      <c r="H5405" s="5">
        <v>14453</v>
      </c>
    </row>
    <row r="5406" spans="2:8" ht="17.5" customHeight="1" x14ac:dyDescent="0.4">
      <c r="B5406" s="3" t="s">
        <v>7</v>
      </c>
      <c r="C5406" s="3" t="s">
        <v>990</v>
      </c>
      <c r="D5406" s="4">
        <f>DATE(2010,9,15)</f>
        <v>40436</v>
      </c>
      <c r="E5406" s="5">
        <f t="shared" si="89"/>
        <v>2010</v>
      </c>
      <c r="F5406" s="3" t="s">
        <v>991</v>
      </c>
      <c r="G5406" s="6">
        <v>414.1</v>
      </c>
      <c r="H5406" s="5">
        <v>14517</v>
      </c>
    </row>
    <row r="5407" spans="2:8" ht="17.5" customHeight="1" x14ac:dyDescent="0.4">
      <c r="B5407" s="3" t="s">
        <v>7</v>
      </c>
      <c r="C5407" s="3" t="s">
        <v>990</v>
      </c>
      <c r="D5407" s="4">
        <f>DATE(2010,9,29)</f>
        <v>40450</v>
      </c>
      <c r="E5407" s="5">
        <f t="shared" si="89"/>
        <v>2010</v>
      </c>
      <c r="F5407" s="3" t="s">
        <v>991</v>
      </c>
      <c r="G5407" s="6">
        <v>793.6</v>
      </c>
      <c r="H5407" s="5">
        <v>14559</v>
      </c>
    </row>
    <row r="5408" spans="2:8" ht="17.5" customHeight="1" x14ac:dyDescent="0.4">
      <c r="B5408" s="3" t="s">
        <v>7</v>
      </c>
      <c r="C5408" s="3" t="s">
        <v>990</v>
      </c>
      <c r="D5408" s="4">
        <f>DATE(2010,10,7)</f>
        <v>40458</v>
      </c>
      <c r="E5408" s="5">
        <f t="shared" si="89"/>
        <v>2010</v>
      </c>
      <c r="F5408" s="3" t="s">
        <v>991</v>
      </c>
      <c r="G5408" s="6">
        <v>832</v>
      </c>
      <c r="H5408" s="5">
        <v>14606</v>
      </c>
    </row>
    <row r="5409" spans="2:8" ht="17.5" customHeight="1" x14ac:dyDescent="0.4">
      <c r="B5409" s="3" t="s">
        <v>7</v>
      </c>
      <c r="C5409" s="3" t="s">
        <v>990</v>
      </c>
      <c r="D5409" s="4">
        <f>DATE(2010,10,13)</f>
        <v>40464</v>
      </c>
      <c r="E5409" s="5">
        <f t="shared" si="89"/>
        <v>2010</v>
      </c>
      <c r="F5409" s="3" t="s">
        <v>991</v>
      </c>
      <c r="G5409" s="6">
        <v>488.75</v>
      </c>
      <c r="H5409" s="5">
        <v>14627</v>
      </c>
    </row>
    <row r="5410" spans="2:8" ht="17.5" customHeight="1" x14ac:dyDescent="0.4">
      <c r="B5410" s="3" t="s">
        <v>7</v>
      </c>
      <c r="C5410" s="3" t="s">
        <v>990</v>
      </c>
      <c r="D5410" s="4">
        <f>DATE(2010,10,18)</f>
        <v>40469</v>
      </c>
      <c r="E5410" s="5">
        <f t="shared" si="89"/>
        <v>2010</v>
      </c>
      <c r="F5410" s="3" t="s">
        <v>991</v>
      </c>
      <c r="G5410" s="6">
        <v>735</v>
      </c>
      <c r="H5410" s="5">
        <v>14638</v>
      </c>
    </row>
    <row r="5411" spans="2:8" ht="17.5" customHeight="1" x14ac:dyDescent="0.4">
      <c r="B5411" s="3" t="s">
        <v>7</v>
      </c>
      <c r="C5411" s="3" t="s">
        <v>990</v>
      </c>
      <c r="D5411" s="4">
        <f>DATE(2010,10,18)</f>
        <v>40469</v>
      </c>
      <c r="E5411" s="5">
        <f t="shared" si="89"/>
        <v>2010</v>
      </c>
      <c r="F5411" s="3" t="s">
        <v>991</v>
      </c>
      <c r="G5411" s="6">
        <v>1888.95</v>
      </c>
      <c r="H5411" s="5">
        <v>14624</v>
      </c>
    </row>
    <row r="5412" spans="2:8" ht="17.5" customHeight="1" x14ac:dyDescent="0.4">
      <c r="B5412" s="3" t="s">
        <v>7</v>
      </c>
      <c r="C5412" s="3" t="s">
        <v>990</v>
      </c>
      <c r="D5412" s="4">
        <f>DATE(2010,10,26)</f>
        <v>40477</v>
      </c>
      <c r="E5412" s="5">
        <f t="shared" si="89"/>
        <v>2010</v>
      </c>
      <c r="F5412" s="3" t="s">
        <v>991</v>
      </c>
      <c r="G5412" s="6">
        <v>293.3</v>
      </c>
      <c r="H5412" s="5">
        <v>14672</v>
      </c>
    </row>
    <row r="5413" spans="2:8" ht="17.5" customHeight="1" x14ac:dyDescent="0.4">
      <c r="B5413" s="3" t="s">
        <v>7</v>
      </c>
      <c r="C5413" s="3" t="s">
        <v>990</v>
      </c>
      <c r="D5413" s="4">
        <f>DATE(2010,11,2)</f>
        <v>40484</v>
      </c>
      <c r="E5413" s="5">
        <f t="shared" si="89"/>
        <v>2010</v>
      </c>
      <c r="F5413" s="3" t="s">
        <v>991</v>
      </c>
      <c r="G5413" s="6">
        <v>3175</v>
      </c>
      <c r="H5413" s="5">
        <v>14717</v>
      </c>
    </row>
    <row r="5414" spans="2:8" ht="17.5" customHeight="1" x14ac:dyDescent="0.4">
      <c r="B5414" s="3" t="s">
        <v>7</v>
      </c>
      <c r="C5414" s="3" t="s">
        <v>990</v>
      </c>
      <c r="D5414" s="4">
        <f>DATE(2010,11,15)</f>
        <v>40497</v>
      </c>
      <c r="E5414" s="5">
        <f t="shared" si="89"/>
        <v>2010</v>
      </c>
      <c r="F5414" s="3" t="s">
        <v>991</v>
      </c>
      <c r="G5414" s="6">
        <v>1535</v>
      </c>
      <c r="H5414" s="5">
        <v>14743</v>
      </c>
    </row>
    <row r="5415" spans="2:8" ht="17.5" customHeight="1" x14ac:dyDescent="0.4">
      <c r="B5415" s="3" t="s">
        <v>7</v>
      </c>
      <c r="C5415" s="3" t="s">
        <v>990</v>
      </c>
      <c r="D5415" s="4">
        <f>DATE(2010,11,24)</f>
        <v>40506</v>
      </c>
      <c r="E5415" s="5">
        <f t="shared" si="89"/>
        <v>2010</v>
      </c>
      <c r="F5415" s="3" t="s">
        <v>991</v>
      </c>
      <c r="G5415" s="6">
        <v>1925</v>
      </c>
      <c r="H5415" s="5">
        <v>14750</v>
      </c>
    </row>
    <row r="5416" spans="2:8" ht="17.5" customHeight="1" x14ac:dyDescent="0.4">
      <c r="B5416" s="3" t="s">
        <v>7</v>
      </c>
      <c r="C5416" s="3" t="s">
        <v>990</v>
      </c>
      <c r="D5416" s="4">
        <f>DATE(2010,12,13)</f>
        <v>40525</v>
      </c>
      <c r="E5416" s="5">
        <f t="shared" si="89"/>
        <v>2010</v>
      </c>
      <c r="F5416" s="3" t="s">
        <v>991</v>
      </c>
      <c r="G5416" s="6">
        <v>1347.5</v>
      </c>
      <c r="H5416" s="5">
        <v>14805</v>
      </c>
    </row>
    <row r="5417" spans="2:8" ht="17.5" customHeight="1" x14ac:dyDescent="0.4">
      <c r="B5417" s="3" t="s">
        <v>7</v>
      </c>
      <c r="C5417" s="3" t="s">
        <v>990</v>
      </c>
      <c r="D5417" s="4">
        <f>DATE(2010,12,15)</f>
        <v>40527</v>
      </c>
      <c r="E5417" s="5">
        <f t="shared" si="89"/>
        <v>2010</v>
      </c>
      <c r="F5417" s="3" t="s">
        <v>991</v>
      </c>
      <c r="G5417" s="6">
        <v>1856</v>
      </c>
      <c r="H5417" s="5">
        <v>14820</v>
      </c>
    </row>
    <row r="5418" spans="2:8" ht="17.5" customHeight="1" x14ac:dyDescent="0.4">
      <c r="B5418" s="3" t="s">
        <v>7</v>
      </c>
      <c r="C5418" s="3" t="s">
        <v>990</v>
      </c>
      <c r="D5418" s="4">
        <f>DATE(2011,1,13)</f>
        <v>40556</v>
      </c>
      <c r="E5418" s="5">
        <f t="shared" si="89"/>
        <v>2011</v>
      </c>
      <c r="F5418" s="3" t="s">
        <v>991</v>
      </c>
      <c r="G5418" s="6">
        <v>484</v>
      </c>
      <c r="H5418" s="5">
        <v>14892</v>
      </c>
    </row>
    <row r="5419" spans="2:8" ht="17.5" customHeight="1" x14ac:dyDescent="0.4">
      <c r="B5419" s="3" t="s">
        <v>7</v>
      </c>
      <c r="C5419" s="3" t="s">
        <v>990</v>
      </c>
      <c r="D5419" s="4">
        <f>DATE(2011,3,3)</f>
        <v>40605</v>
      </c>
      <c r="E5419" s="5">
        <f t="shared" si="89"/>
        <v>2011</v>
      </c>
      <c r="F5419" s="3" t="s">
        <v>991</v>
      </c>
      <c r="G5419" s="6">
        <v>12473.4</v>
      </c>
      <c r="H5419" s="5">
        <v>15167</v>
      </c>
    </row>
    <row r="5420" spans="2:8" ht="17.5" customHeight="1" x14ac:dyDescent="0.4">
      <c r="B5420" s="3" t="s">
        <v>7</v>
      </c>
      <c r="C5420" s="3" t="s">
        <v>990</v>
      </c>
      <c r="D5420" s="4">
        <f>DATE(2011,3,16)</f>
        <v>40618</v>
      </c>
      <c r="E5420" s="5">
        <f t="shared" si="89"/>
        <v>2011</v>
      </c>
      <c r="F5420" s="3" t="s">
        <v>991</v>
      </c>
      <c r="G5420" s="6">
        <v>8518</v>
      </c>
      <c r="H5420" s="5">
        <v>15188</v>
      </c>
    </row>
    <row r="5421" spans="2:8" ht="17.5" customHeight="1" x14ac:dyDescent="0.4">
      <c r="B5421" s="3" t="s">
        <v>7</v>
      </c>
      <c r="C5421" s="3" t="s">
        <v>990</v>
      </c>
      <c r="D5421" s="4">
        <f>DATE(2011,3,17)</f>
        <v>40619</v>
      </c>
      <c r="E5421" s="5">
        <f t="shared" si="89"/>
        <v>2011</v>
      </c>
      <c r="F5421" s="3" t="s">
        <v>991</v>
      </c>
      <c r="G5421" s="6">
        <v>1032.4000000000001</v>
      </c>
      <c r="H5421" s="5">
        <v>15194</v>
      </c>
    </row>
    <row r="5422" spans="2:8" ht="17.5" customHeight="1" x14ac:dyDescent="0.4">
      <c r="B5422" s="3" t="s">
        <v>7</v>
      </c>
      <c r="C5422" s="3" t="s">
        <v>990</v>
      </c>
      <c r="D5422" s="4">
        <f>DATE(2011,3,17)</f>
        <v>40619</v>
      </c>
      <c r="E5422" s="5">
        <f t="shared" si="89"/>
        <v>2011</v>
      </c>
      <c r="F5422" s="3" t="s">
        <v>991</v>
      </c>
      <c r="G5422" s="6">
        <v>3.49</v>
      </c>
      <c r="H5422" s="5">
        <v>15249</v>
      </c>
    </row>
    <row r="5423" spans="2:8" ht="17.5" customHeight="1" x14ac:dyDescent="0.4">
      <c r="B5423" s="3" t="s">
        <v>7</v>
      </c>
      <c r="C5423" s="3" t="s">
        <v>990</v>
      </c>
      <c r="D5423" s="4">
        <f>DATE(2011,3,23)</f>
        <v>40625</v>
      </c>
      <c r="E5423" s="5">
        <f t="shared" si="89"/>
        <v>2011</v>
      </c>
      <c r="F5423" s="3" t="s">
        <v>991</v>
      </c>
      <c r="G5423" s="6">
        <v>1728.4</v>
      </c>
      <c r="H5423" s="5">
        <v>15248</v>
      </c>
    </row>
    <row r="5424" spans="2:8" ht="17.5" customHeight="1" x14ac:dyDescent="0.4">
      <c r="B5424" s="3" t="s">
        <v>7</v>
      </c>
      <c r="C5424" s="3" t="s">
        <v>990</v>
      </c>
      <c r="D5424" s="4">
        <f>DATE(2011,3,28)</f>
        <v>40630</v>
      </c>
      <c r="E5424" s="5">
        <f t="shared" si="89"/>
        <v>2011</v>
      </c>
      <c r="F5424" s="3" t="s">
        <v>991</v>
      </c>
      <c r="G5424" s="6">
        <v>121</v>
      </c>
      <c r="H5424" s="5">
        <v>15306</v>
      </c>
    </row>
    <row r="5425" spans="2:8" ht="17.5" customHeight="1" x14ac:dyDescent="0.4">
      <c r="B5425" s="3" t="s">
        <v>7</v>
      </c>
      <c r="C5425" s="3" t="s">
        <v>990</v>
      </c>
      <c r="D5425" s="4">
        <f>DATE(2011,4,14)</f>
        <v>40647</v>
      </c>
      <c r="E5425" s="5">
        <f t="shared" si="89"/>
        <v>2011</v>
      </c>
      <c r="F5425" s="3" t="s">
        <v>991</v>
      </c>
      <c r="G5425" s="6">
        <v>197</v>
      </c>
      <c r="H5425" s="5">
        <v>15393</v>
      </c>
    </row>
    <row r="5426" spans="2:8" ht="17.5" customHeight="1" x14ac:dyDescent="0.4">
      <c r="B5426" s="3" t="s">
        <v>7</v>
      </c>
      <c r="C5426" s="3" t="s">
        <v>990</v>
      </c>
      <c r="D5426" s="4">
        <f>DATE(2011,4,15)</f>
        <v>40648</v>
      </c>
      <c r="E5426" s="5">
        <f t="shared" si="89"/>
        <v>2011</v>
      </c>
      <c r="F5426" s="3" t="s">
        <v>991</v>
      </c>
      <c r="G5426" s="6">
        <v>928</v>
      </c>
      <c r="H5426" s="5">
        <v>15281</v>
      </c>
    </row>
    <row r="5427" spans="2:8" ht="17.5" customHeight="1" x14ac:dyDescent="0.4">
      <c r="B5427" s="3" t="s">
        <v>7</v>
      </c>
      <c r="C5427" s="3" t="s">
        <v>990</v>
      </c>
      <c r="D5427" s="4">
        <f>DATE(2011,4,21)</f>
        <v>40654</v>
      </c>
      <c r="E5427" s="5">
        <f t="shared" si="89"/>
        <v>2011</v>
      </c>
      <c r="F5427" s="3" t="s">
        <v>991</v>
      </c>
      <c r="G5427" s="6">
        <v>500</v>
      </c>
      <c r="H5427" s="5">
        <v>15454</v>
      </c>
    </row>
    <row r="5428" spans="2:8" ht="17.5" customHeight="1" x14ac:dyDescent="0.4">
      <c r="B5428" s="3" t="s">
        <v>7</v>
      </c>
      <c r="C5428" s="3" t="s">
        <v>990</v>
      </c>
      <c r="D5428" s="4">
        <f>DATE(2011,4,21)</f>
        <v>40654</v>
      </c>
      <c r="E5428" s="5">
        <f t="shared" si="89"/>
        <v>2011</v>
      </c>
      <c r="F5428" s="3" t="s">
        <v>991</v>
      </c>
      <c r="G5428" s="6">
        <v>5505</v>
      </c>
      <c r="H5428" s="5">
        <v>15435</v>
      </c>
    </row>
    <row r="5429" spans="2:8" ht="17.5" customHeight="1" x14ac:dyDescent="0.4">
      <c r="B5429" s="3" t="s">
        <v>7</v>
      </c>
      <c r="C5429" s="3" t="s">
        <v>990</v>
      </c>
      <c r="D5429" s="4">
        <f>DATE(2011,5,5)</f>
        <v>40668</v>
      </c>
      <c r="E5429" s="5">
        <f t="shared" si="89"/>
        <v>2011</v>
      </c>
      <c r="F5429" s="3" t="s">
        <v>991</v>
      </c>
      <c r="G5429" s="6">
        <v>1592.5</v>
      </c>
      <c r="H5429" s="5">
        <v>15458</v>
      </c>
    </row>
    <row r="5430" spans="2:8" ht="17.5" customHeight="1" x14ac:dyDescent="0.4">
      <c r="B5430" s="3" t="s">
        <v>7</v>
      </c>
      <c r="C5430" s="3" t="s">
        <v>990</v>
      </c>
      <c r="D5430" s="4">
        <f>DATE(2011,5,12)</f>
        <v>40675</v>
      </c>
      <c r="E5430" s="5">
        <f t="shared" si="89"/>
        <v>2011</v>
      </c>
      <c r="F5430" s="3" t="s">
        <v>991</v>
      </c>
      <c r="G5430" s="6">
        <v>5146.5</v>
      </c>
      <c r="H5430" s="5">
        <v>15533</v>
      </c>
    </row>
    <row r="5431" spans="2:8" ht="17.5" customHeight="1" x14ac:dyDescent="0.4">
      <c r="B5431" s="3" t="s">
        <v>7</v>
      </c>
      <c r="C5431" s="3" t="s">
        <v>990</v>
      </c>
      <c r="D5431" s="4">
        <f>DATE(2011,5,17)</f>
        <v>40680</v>
      </c>
      <c r="E5431" s="5">
        <f t="shared" si="89"/>
        <v>2011</v>
      </c>
      <c r="F5431" s="3" t="s">
        <v>991</v>
      </c>
      <c r="G5431" s="6">
        <v>2472.5</v>
      </c>
      <c r="H5431" s="5">
        <v>15531</v>
      </c>
    </row>
    <row r="5432" spans="2:8" ht="17.5" customHeight="1" x14ac:dyDescent="0.4">
      <c r="B5432" s="3" t="s">
        <v>7</v>
      </c>
      <c r="C5432" s="3" t="s">
        <v>990</v>
      </c>
      <c r="D5432" s="4">
        <f>DATE(2011,5,17)</f>
        <v>40680</v>
      </c>
      <c r="E5432" s="5">
        <f t="shared" si="89"/>
        <v>2011</v>
      </c>
      <c r="F5432" s="3" t="s">
        <v>991</v>
      </c>
      <c r="G5432" s="6">
        <v>2320</v>
      </c>
      <c r="H5432" s="5">
        <v>15547</v>
      </c>
    </row>
    <row r="5433" spans="2:8" ht="17.5" customHeight="1" x14ac:dyDescent="0.4">
      <c r="B5433" s="3" t="s">
        <v>7</v>
      </c>
      <c r="C5433" s="3" t="s">
        <v>990</v>
      </c>
      <c r="D5433" s="4">
        <f>DATE(2011,5,27)</f>
        <v>40690</v>
      </c>
      <c r="E5433" s="5">
        <f t="shared" si="89"/>
        <v>2011</v>
      </c>
      <c r="F5433" s="3" t="s">
        <v>991</v>
      </c>
      <c r="G5433" s="6">
        <v>2090</v>
      </c>
      <c r="H5433" s="5">
        <v>15625</v>
      </c>
    </row>
    <row r="5434" spans="2:8" ht="17.5" customHeight="1" x14ac:dyDescent="0.4">
      <c r="B5434" s="3" t="s">
        <v>7</v>
      </c>
      <c r="C5434" s="3" t="s">
        <v>990</v>
      </c>
      <c r="D5434" s="4">
        <f>DATE(2011,6,1)</f>
        <v>40695</v>
      </c>
      <c r="E5434" s="5">
        <f t="shared" si="89"/>
        <v>2011</v>
      </c>
      <c r="F5434" s="3" t="s">
        <v>991</v>
      </c>
      <c r="G5434" s="6">
        <v>696</v>
      </c>
      <c r="H5434" s="5">
        <v>15631</v>
      </c>
    </row>
    <row r="5435" spans="2:8" ht="17.5" customHeight="1" x14ac:dyDescent="0.4">
      <c r="B5435" s="3" t="s">
        <v>7</v>
      </c>
      <c r="C5435" s="3" t="s">
        <v>990</v>
      </c>
      <c r="D5435" s="4">
        <f>DATE(2011,6,7)</f>
        <v>40701</v>
      </c>
      <c r="E5435" s="5">
        <f t="shared" si="89"/>
        <v>2011</v>
      </c>
      <c r="F5435" s="3" t="s">
        <v>991</v>
      </c>
      <c r="G5435" s="6">
        <v>51</v>
      </c>
      <c r="H5435" s="5">
        <v>15654</v>
      </c>
    </row>
    <row r="5436" spans="2:8" ht="17.5" customHeight="1" x14ac:dyDescent="0.4">
      <c r="B5436" s="3" t="s">
        <v>7</v>
      </c>
      <c r="C5436" s="3" t="s">
        <v>990</v>
      </c>
      <c r="D5436" s="4">
        <f>DATE(2011,6,9)</f>
        <v>40703</v>
      </c>
      <c r="E5436" s="5">
        <f t="shared" si="89"/>
        <v>2011</v>
      </c>
      <c r="F5436" s="3" t="s">
        <v>991</v>
      </c>
      <c r="G5436" s="6">
        <v>564.29999999999995</v>
      </c>
      <c r="H5436" s="5">
        <v>15668</v>
      </c>
    </row>
    <row r="5437" spans="2:8" ht="17.5" customHeight="1" x14ac:dyDescent="0.4">
      <c r="B5437" s="3" t="s">
        <v>7</v>
      </c>
      <c r="C5437" s="3" t="s">
        <v>990</v>
      </c>
      <c r="D5437" s="4">
        <f>DATE(2011,7,1)</f>
        <v>40725</v>
      </c>
      <c r="E5437" s="5">
        <f t="shared" si="89"/>
        <v>2011</v>
      </c>
      <c r="F5437" s="3" t="s">
        <v>991</v>
      </c>
      <c r="G5437" s="6">
        <v>432</v>
      </c>
      <c r="H5437" s="5">
        <v>15750</v>
      </c>
    </row>
    <row r="5438" spans="2:8" ht="17.5" customHeight="1" x14ac:dyDescent="0.4">
      <c r="B5438" s="3" t="s">
        <v>7</v>
      </c>
      <c r="C5438" s="3" t="s">
        <v>990</v>
      </c>
      <c r="D5438" s="4">
        <f>DATE(2011,7,20)</f>
        <v>40744</v>
      </c>
      <c r="E5438" s="5">
        <f t="shared" si="89"/>
        <v>2011</v>
      </c>
      <c r="F5438" s="3" t="s">
        <v>991</v>
      </c>
      <c r="G5438" s="6">
        <v>2158.8000000000002</v>
      </c>
      <c r="H5438" s="5">
        <v>15765</v>
      </c>
    </row>
    <row r="5439" spans="2:8" ht="17.5" customHeight="1" x14ac:dyDescent="0.4">
      <c r="B5439" s="3" t="s">
        <v>7</v>
      </c>
      <c r="C5439" s="3" t="s">
        <v>990</v>
      </c>
      <c r="D5439" s="4">
        <f>DATE(2011,7,21)</f>
        <v>40745</v>
      </c>
      <c r="E5439" s="5">
        <f t="shared" si="89"/>
        <v>2011</v>
      </c>
      <c r="F5439" s="3" t="s">
        <v>991</v>
      </c>
      <c r="G5439" s="6">
        <v>4934.3999999999996</v>
      </c>
      <c r="H5439" s="5">
        <v>15786</v>
      </c>
    </row>
    <row r="5440" spans="2:8" ht="17.5" customHeight="1" x14ac:dyDescent="0.4">
      <c r="B5440" s="3" t="s">
        <v>7</v>
      </c>
      <c r="C5440" s="3" t="s">
        <v>990</v>
      </c>
      <c r="D5440" s="4">
        <f>DATE(2011,7,25)</f>
        <v>40749</v>
      </c>
      <c r="E5440" s="5">
        <f t="shared" si="89"/>
        <v>2011</v>
      </c>
      <c r="F5440" s="3" t="s">
        <v>991</v>
      </c>
      <c r="G5440" s="6">
        <v>835.2</v>
      </c>
      <c r="H5440" s="5">
        <v>15798</v>
      </c>
    </row>
    <row r="5441" spans="2:8" ht="17.5" customHeight="1" x14ac:dyDescent="0.4">
      <c r="B5441" s="3" t="s">
        <v>7</v>
      </c>
      <c r="C5441" s="3" t="s">
        <v>990</v>
      </c>
      <c r="D5441" s="4">
        <f>DATE(2011,7,29)</f>
        <v>40753</v>
      </c>
      <c r="E5441" s="5">
        <f t="shared" si="89"/>
        <v>2011</v>
      </c>
      <c r="F5441" s="3" t="s">
        <v>991</v>
      </c>
      <c r="G5441" s="6">
        <v>6717.5</v>
      </c>
      <c r="H5441" s="5">
        <v>15766</v>
      </c>
    </row>
    <row r="5442" spans="2:8" ht="17.5" customHeight="1" x14ac:dyDescent="0.4">
      <c r="B5442" s="3" t="s">
        <v>7</v>
      </c>
      <c r="C5442" s="3" t="s">
        <v>990</v>
      </c>
      <c r="D5442" s="4">
        <f>DATE(2011,7,29)</f>
        <v>40753</v>
      </c>
      <c r="E5442" s="5">
        <f t="shared" si="89"/>
        <v>2011</v>
      </c>
      <c r="F5442" s="3" t="s">
        <v>991</v>
      </c>
      <c r="G5442" s="6">
        <v>437.6</v>
      </c>
      <c r="H5442" s="5">
        <v>15809</v>
      </c>
    </row>
    <row r="5443" spans="2:8" ht="17.5" customHeight="1" x14ac:dyDescent="0.4">
      <c r="B5443" s="3" t="s">
        <v>7</v>
      </c>
      <c r="C5443" s="3" t="s">
        <v>990</v>
      </c>
      <c r="D5443" s="4">
        <f>DATE(2011,8,9)</f>
        <v>40764</v>
      </c>
      <c r="E5443" s="5">
        <f t="shared" ref="E5443:E5506" si="90">YEAR(D5443)</f>
        <v>2011</v>
      </c>
      <c r="F5443" s="3" t="s">
        <v>991</v>
      </c>
      <c r="G5443" s="6">
        <v>2012</v>
      </c>
      <c r="H5443" s="5">
        <v>15839</v>
      </c>
    </row>
    <row r="5444" spans="2:8" ht="17.5" customHeight="1" x14ac:dyDescent="0.4">
      <c r="B5444" s="3" t="s">
        <v>7</v>
      </c>
      <c r="C5444" s="3" t="s">
        <v>990</v>
      </c>
      <c r="D5444" s="4">
        <f>DATE(2011,8,9)</f>
        <v>40764</v>
      </c>
      <c r="E5444" s="5">
        <f t="shared" si="90"/>
        <v>2011</v>
      </c>
      <c r="F5444" s="3" t="s">
        <v>991</v>
      </c>
      <c r="G5444" s="6">
        <v>183.6</v>
      </c>
      <c r="H5444" s="5">
        <v>15857</v>
      </c>
    </row>
    <row r="5445" spans="2:8" ht="17.5" customHeight="1" x14ac:dyDescent="0.4">
      <c r="B5445" s="3" t="s">
        <v>7</v>
      </c>
      <c r="C5445" s="3" t="s">
        <v>990</v>
      </c>
      <c r="D5445" s="4">
        <f>DATE(2011,8,9)</f>
        <v>40764</v>
      </c>
      <c r="E5445" s="5">
        <f t="shared" si="90"/>
        <v>2011</v>
      </c>
      <c r="F5445" s="3" t="s">
        <v>991</v>
      </c>
      <c r="G5445" s="6">
        <v>825.55</v>
      </c>
      <c r="H5445" s="5">
        <v>15858</v>
      </c>
    </row>
    <row r="5446" spans="2:8" ht="17.5" customHeight="1" x14ac:dyDescent="0.4">
      <c r="B5446" s="3" t="s">
        <v>7</v>
      </c>
      <c r="C5446" s="3" t="s">
        <v>990</v>
      </c>
      <c r="D5446" s="4">
        <f>DATE(2011,8,24)</f>
        <v>40779</v>
      </c>
      <c r="E5446" s="5">
        <f t="shared" si="90"/>
        <v>2011</v>
      </c>
      <c r="F5446" s="3" t="s">
        <v>991</v>
      </c>
      <c r="G5446" s="6">
        <v>630</v>
      </c>
      <c r="H5446" s="5">
        <v>15896</v>
      </c>
    </row>
    <row r="5447" spans="2:8" ht="17.5" customHeight="1" x14ac:dyDescent="0.4">
      <c r="B5447" s="3" t="s">
        <v>7</v>
      </c>
      <c r="C5447" s="3" t="s">
        <v>990</v>
      </c>
      <c r="D5447" s="4">
        <f>DATE(2011,8,25)</f>
        <v>40780</v>
      </c>
      <c r="E5447" s="5">
        <f t="shared" si="90"/>
        <v>2011</v>
      </c>
      <c r="F5447" s="3" t="s">
        <v>991</v>
      </c>
      <c r="G5447" s="6">
        <v>7340</v>
      </c>
      <c r="H5447" s="5">
        <v>15916</v>
      </c>
    </row>
    <row r="5448" spans="2:8" ht="17.5" customHeight="1" x14ac:dyDescent="0.4">
      <c r="B5448" s="3" t="s">
        <v>7</v>
      </c>
      <c r="C5448" s="3" t="s">
        <v>990</v>
      </c>
      <c r="D5448" s="4">
        <f>DATE(2011,9,13)</f>
        <v>40799</v>
      </c>
      <c r="E5448" s="5">
        <f t="shared" si="90"/>
        <v>2011</v>
      </c>
      <c r="F5448" s="3" t="s">
        <v>991</v>
      </c>
      <c r="G5448" s="6">
        <v>922.5</v>
      </c>
      <c r="H5448" s="5">
        <v>15975</v>
      </c>
    </row>
    <row r="5449" spans="2:8" ht="17.5" customHeight="1" x14ac:dyDescent="0.4">
      <c r="B5449" s="3" t="s">
        <v>7</v>
      </c>
      <c r="C5449" s="3" t="s">
        <v>990</v>
      </c>
      <c r="D5449" s="4">
        <f>DATE(2011,9,14)</f>
        <v>40800</v>
      </c>
      <c r="E5449" s="5">
        <f t="shared" si="90"/>
        <v>2011</v>
      </c>
      <c r="F5449" s="3" t="s">
        <v>991</v>
      </c>
      <c r="G5449" s="6">
        <v>514</v>
      </c>
      <c r="H5449" s="5">
        <v>15954</v>
      </c>
    </row>
    <row r="5450" spans="2:8" ht="17.5" customHeight="1" x14ac:dyDescent="0.4">
      <c r="B5450" s="3" t="s">
        <v>7</v>
      </c>
      <c r="C5450" s="3" t="s">
        <v>990</v>
      </c>
      <c r="D5450" s="4">
        <f>DATE(2011,9,15)</f>
        <v>40801</v>
      </c>
      <c r="E5450" s="5">
        <f t="shared" si="90"/>
        <v>2011</v>
      </c>
      <c r="F5450" s="3" t="s">
        <v>991</v>
      </c>
      <c r="G5450" s="6">
        <v>4654</v>
      </c>
      <c r="H5450" s="5">
        <v>15983</v>
      </c>
    </row>
    <row r="5451" spans="2:8" ht="17.5" customHeight="1" x14ac:dyDescent="0.4">
      <c r="B5451" s="3" t="s">
        <v>7</v>
      </c>
      <c r="C5451" s="3" t="s">
        <v>990</v>
      </c>
      <c r="D5451" s="4">
        <f>DATE(2011,9,15)</f>
        <v>40801</v>
      </c>
      <c r="E5451" s="5">
        <f t="shared" si="90"/>
        <v>2011</v>
      </c>
      <c r="F5451" s="3" t="s">
        <v>991</v>
      </c>
      <c r="G5451" s="6">
        <v>890</v>
      </c>
      <c r="H5451" s="5">
        <v>15984</v>
      </c>
    </row>
    <row r="5452" spans="2:8" ht="17.5" customHeight="1" x14ac:dyDescent="0.4">
      <c r="B5452" s="3" t="s">
        <v>7</v>
      </c>
      <c r="C5452" s="3" t="s">
        <v>990</v>
      </c>
      <c r="D5452" s="4">
        <f>DATE(2011,9,16)</f>
        <v>40802</v>
      </c>
      <c r="E5452" s="5">
        <f t="shared" si="90"/>
        <v>2011</v>
      </c>
      <c r="F5452" s="3" t="s">
        <v>991</v>
      </c>
      <c r="G5452" s="6">
        <v>1780</v>
      </c>
      <c r="H5452" s="5">
        <v>15982</v>
      </c>
    </row>
    <row r="5453" spans="2:8" ht="17.5" customHeight="1" x14ac:dyDescent="0.4">
      <c r="B5453" s="3" t="s">
        <v>7</v>
      </c>
      <c r="C5453" s="3" t="s">
        <v>990</v>
      </c>
      <c r="D5453" s="4">
        <f>DATE(2011,9,22)</f>
        <v>40808</v>
      </c>
      <c r="E5453" s="5">
        <f t="shared" si="90"/>
        <v>2011</v>
      </c>
      <c r="F5453" s="3" t="s">
        <v>991</v>
      </c>
      <c r="G5453" s="6">
        <v>285</v>
      </c>
      <c r="H5453" s="5">
        <v>16022</v>
      </c>
    </row>
    <row r="5454" spans="2:8" ht="17.5" customHeight="1" x14ac:dyDescent="0.4">
      <c r="B5454" s="3" t="s">
        <v>7</v>
      </c>
      <c r="C5454" s="3" t="s">
        <v>990</v>
      </c>
      <c r="D5454" s="4">
        <f>DATE(2011,9,26)</f>
        <v>40812</v>
      </c>
      <c r="E5454" s="5">
        <f t="shared" si="90"/>
        <v>2011</v>
      </c>
      <c r="F5454" s="3" t="s">
        <v>991</v>
      </c>
      <c r="G5454" s="6">
        <v>10404</v>
      </c>
      <c r="H5454" s="5">
        <v>16032</v>
      </c>
    </row>
    <row r="5455" spans="2:8" ht="17.5" customHeight="1" x14ac:dyDescent="0.4">
      <c r="B5455" s="3" t="s">
        <v>7</v>
      </c>
      <c r="C5455" s="3" t="s">
        <v>990</v>
      </c>
      <c r="D5455" s="4">
        <f>DATE(2011,10,13)</f>
        <v>40829</v>
      </c>
      <c r="E5455" s="5">
        <f t="shared" si="90"/>
        <v>2011</v>
      </c>
      <c r="F5455" s="3" t="s">
        <v>991</v>
      </c>
      <c r="G5455" s="6">
        <v>2893.75</v>
      </c>
      <c r="H5455" s="5">
        <v>16033</v>
      </c>
    </row>
    <row r="5456" spans="2:8" ht="17.5" customHeight="1" x14ac:dyDescent="0.4">
      <c r="B5456" s="3" t="s">
        <v>7</v>
      </c>
      <c r="C5456" s="3" t="s">
        <v>990</v>
      </c>
      <c r="D5456" s="4">
        <f>DATE(2011,10,14)</f>
        <v>40830</v>
      </c>
      <c r="E5456" s="5">
        <f t="shared" si="90"/>
        <v>2011</v>
      </c>
      <c r="F5456" s="3" t="s">
        <v>991</v>
      </c>
      <c r="G5456" s="6">
        <v>2252</v>
      </c>
      <c r="H5456" s="5">
        <v>16087</v>
      </c>
    </row>
    <row r="5457" spans="2:8" ht="17.5" customHeight="1" x14ac:dyDescent="0.4">
      <c r="B5457" s="3" t="s">
        <v>7</v>
      </c>
      <c r="C5457" s="3" t="s">
        <v>990</v>
      </c>
      <c r="D5457" s="4">
        <f>DATE(2011,10,26)</f>
        <v>40842</v>
      </c>
      <c r="E5457" s="5">
        <f t="shared" si="90"/>
        <v>2011</v>
      </c>
      <c r="F5457" s="3" t="s">
        <v>991</v>
      </c>
      <c r="G5457" s="6">
        <v>32.53</v>
      </c>
      <c r="H5457" s="5">
        <v>16119</v>
      </c>
    </row>
    <row r="5458" spans="2:8" ht="17.5" customHeight="1" x14ac:dyDescent="0.4">
      <c r="B5458" s="3" t="s">
        <v>7</v>
      </c>
      <c r="C5458" s="3" t="s">
        <v>990</v>
      </c>
      <c r="D5458" s="4">
        <f>DATE(2011,11,1)</f>
        <v>40848</v>
      </c>
      <c r="E5458" s="5">
        <f t="shared" si="90"/>
        <v>2011</v>
      </c>
      <c r="F5458" s="3" t="s">
        <v>991</v>
      </c>
      <c r="G5458" s="6">
        <v>633.84</v>
      </c>
      <c r="H5458" s="5">
        <v>16153</v>
      </c>
    </row>
    <row r="5459" spans="2:8" ht="17.5" customHeight="1" x14ac:dyDescent="0.4">
      <c r="B5459" s="3" t="s">
        <v>7</v>
      </c>
      <c r="C5459" s="3" t="s">
        <v>990</v>
      </c>
      <c r="D5459" s="4">
        <f>DATE(2011,11,8)</f>
        <v>40855</v>
      </c>
      <c r="E5459" s="5">
        <f t="shared" si="90"/>
        <v>2011</v>
      </c>
      <c r="F5459" s="3" t="s">
        <v>991</v>
      </c>
      <c r="G5459" s="6">
        <v>1281.28</v>
      </c>
      <c r="H5459" s="5">
        <v>16146</v>
      </c>
    </row>
    <row r="5460" spans="2:8" ht="17.5" customHeight="1" x14ac:dyDescent="0.4">
      <c r="B5460" s="3" t="s">
        <v>7</v>
      </c>
      <c r="C5460" s="3" t="s">
        <v>990</v>
      </c>
      <c r="D5460" s="4">
        <f>DATE(2011,11,9)</f>
        <v>40856</v>
      </c>
      <c r="E5460" s="5">
        <f t="shared" si="90"/>
        <v>2011</v>
      </c>
      <c r="F5460" s="3" t="s">
        <v>991</v>
      </c>
      <c r="G5460" s="6">
        <v>1836</v>
      </c>
      <c r="H5460" s="5">
        <v>16193</v>
      </c>
    </row>
    <row r="5461" spans="2:8" ht="17.5" customHeight="1" x14ac:dyDescent="0.4">
      <c r="B5461" s="3" t="s">
        <v>7</v>
      </c>
      <c r="C5461" s="3" t="s">
        <v>990</v>
      </c>
      <c r="D5461" s="4">
        <f>DATE(2011,11,15)</f>
        <v>40862</v>
      </c>
      <c r="E5461" s="5">
        <f t="shared" si="90"/>
        <v>2011</v>
      </c>
      <c r="F5461" s="3" t="s">
        <v>991</v>
      </c>
      <c r="G5461" s="6">
        <v>2784.75</v>
      </c>
      <c r="H5461" s="5">
        <v>16201</v>
      </c>
    </row>
    <row r="5462" spans="2:8" ht="17.5" customHeight="1" x14ac:dyDescent="0.4">
      <c r="B5462" s="3" t="s">
        <v>7</v>
      </c>
      <c r="C5462" s="3" t="s">
        <v>990</v>
      </c>
      <c r="D5462" s="4">
        <f>DATE(2011,11,17)</f>
        <v>40864</v>
      </c>
      <c r="E5462" s="5">
        <f t="shared" si="90"/>
        <v>2011</v>
      </c>
      <c r="F5462" s="3" t="s">
        <v>991</v>
      </c>
      <c r="G5462" s="6">
        <v>16818.509999999998</v>
      </c>
      <c r="H5462" s="5">
        <v>16180</v>
      </c>
    </row>
    <row r="5463" spans="2:8" ht="17.5" customHeight="1" x14ac:dyDescent="0.4">
      <c r="B5463" s="3" t="s">
        <v>7</v>
      </c>
      <c r="C5463" s="3" t="s">
        <v>990</v>
      </c>
      <c r="D5463" s="4">
        <f>DATE(2011,11,25)</f>
        <v>40872</v>
      </c>
      <c r="E5463" s="5">
        <f t="shared" si="90"/>
        <v>2011</v>
      </c>
      <c r="F5463" s="3" t="s">
        <v>991</v>
      </c>
      <c r="G5463" s="6">
        <v>360</v>
      </c>
      <c r="H5463" s="5">
        <v>16242</v>
      </c>
    </row>
    <row r="5464" spans="2:8" ht="17.5" customHeight="1" x14ac:dyDescent="0.4">
      <c r="B5464" s="3" t="s">
        <v>7</v>
      </c>
      <c r="C5464" s="3" t="s">
        <v>990</v>
      </c>
      <c r="D5464" s="4">
        <f>DATE(2011,12,6)</f>
        <v>40883</v>
      </c>
      <c r="E5464" s="5">
        <f t="shared" si="90"/>
        <v>2011</v>
      </c>
      <c r="F5464" s="3" t="s">
        <v>991</v>
      </c>
      <c r="G5464" s="6">
        <v>613</v>
      </c>
      <c r="H5464" s="5">
        <v>16260</v>
      </c>
    </row>
    <row r="5465" spans="2:8" ht="17.5" customHeight="1" x14ac:dyDescent="0.4">
      <c r="B5465" s="3" t="s">
        <v>7</v>
      </c>
      <c r="C5465" s="3" t="s">
        <v>990</v>
      </c>
      <c r="D5465" s="4">
        <f>DATE(2011,12,8)</f>
        <v>40885</v>
      </c>
      <c r="E5465" s="5">
        <f t="shared" si="90"/>
        <v>2011</v>
      </c>
      <c r="F5465" s="3" t="s">
        <v>991</v>
      </c>
      <c r="G5465" s="6">
        <v>18750</v>
      </c>
      <c r="H5465" s="5">
        <v>16243</v>
      </c>
    </row>
    <row r="5466" spans="2:8" ht="17.5" customHeight="1" x14ac:dyDescent="0.4">
      <c r="B5466" s="3" t="s">
        <v>7</v>
      </c>
      <c r="C5466" s="3" t="s">
        <v>990</v>
      </c>
      <c r="D5466" s="4">
        <f>DATE(2012,1,4)</f>
        <v>40912</v>
      </c>
      <c r="E5466" s="5">
        <f t="shared" si="90"/>
        <v>2012</v>
      </c>
      <c r="F5466" s="3" t="s">
        <v>991</v>
      </c>
      <c r="G5466" s="6">
        <v>1989.7</v>
      </c>
      <c r="H5466" s="5">
        <v>16312</v>
      </c>
    </row>
    <row r="5467" spans="2:8" ht="17.5" customHeight="1" x14ac:dyDescent="0.4">
      <c r="B5467" s="3" t="s">
        <v>7</v>
      </c>
      <c r="C5467" s="3" t="s">
        <v>990</v>
      </c>
      <c r="D5467" s="4">
        <f>DATE(2012,1,12)</f>
        <v>40920</v>
      </c>
      <c r="E5467" s="5">
        <f t="shared" si="90"/>
        <v>2012</v>
      </c>
      <c r="F5467" s="3" t="s">
        <v>991</v>
      </c>
      <c r="G5467" s="6">
        <v>3758.4</v>
      </c>
      <c r="H5467" s="5">
        <v>16313</v>
      </c>
    </row>
    <row r="5468" spans="2:8" ht="17.5" customHeight="1" x14ac:dyDescent="0.4">
      <c r="B5468" s="3" t="s">
        <v>7</v>
      </c>
      <c r="C5468" s="3" t="s">
        <v>990</v>
      </c>
      <c r="D5468" s="4">
        <f>DATE(2012,1,25)</f>
        <v>40933</v>
      </c>
      <c r="E5468" s="5">
        <f t="shared" si="90"/>
        <v>2012</v>
      </c>
      <c r="F5468" s="3" t="s">
        <v>991</v>
      </c>
      <c r="G5468" s="6">
        <v>7968</v>
      </c>
      <c r="H5468" s="5">
        <v>16455</v>
      </c>
    </row>
    <row r="5469" spans="2:8" ht="17.5" customHeight="1" x14ac:dyDescent="0.4">
      <c r="B5469" s="3" t="s">
        <v>7</v>
      </c>
      <c r="C5469" s="3" t="s">
        <v>990</v>
      </c>
      <c r="D5469" s="4">
        <f>DATE(2012,2,14)</f>
        <v>40953</v>
      </c>
      <c r="E5469" s="5">
        <f t="shared" si="90"/>
        <v>2012</v>
      </c>
      <c r="F5469" s="3" t="s">
        <v>991</v>
      </c>
      <c r="G5469" s="6">
        <v>5981.5</v>
      </c>
      <c r="H5469" s="5">
        <v>16493</v>
      </c>
    </row>
    <row r="5470" spans="2:8" ht="17.5" customHeight="1" x14ac:dyDescent="0.4">
      <c r="B5470" s="3" t="s">
        <v>7</v>
      </c>
      <c r="C5470" s="3" t="s">
        <v>990</v>
      </c>
      <c r="D5470" s="4">
        <f>DATE(2012,2,16)</f>
        <v>40955</v>
      </c>
      <c r="E5470" s="5">
        <f t="shared" si="90"/>
        <v>2012</v>
      </c>
      <c r="F5470" s="3" t="s">
        <v>991</v>
      </c>
      <c r="G5470" s="6">
        <v>7594</v>
      </c>
      <c r="H5470" s="5">
        <v>16537</v>
      </c>
    </row>
    <row r="5471" spans="2:8" ht="17.5" customHeight="1" x14ac:dyDescent="0.4">
      <c r="B5471" s="3" t="s">
        <v>7</v>
      </c>
      <c r="C5471" s="3" t="s">
        <v>990</v>
      </c>
      <c r="D5471" s="4">
        <f>DATE(2012,2,23)</f>
        <v>40962</v>
      </c>
      <c r="E5471" s="5">
        <f t="shared" si="90"/>
        <v>2012</v>
      </c>
      <c r="F5471" s="3" t="s">
        <v>991</v>
      </c>
      <c r="G5471" s="6">
        <v>8700</v>
      </c>
      <c r="H5471" s="5">
        <v>16397</v>
      </c>
    </row>
    <row r="5472" spans="2:8" ht="17.5" customHeight="1" x14ac:dyDescent="0.4">
      <c r="B5472" s="3" t="s">
        <v>7</v>
      </c>
      <c r="C5472" s="3" t="s">
        <v>990</v>
      </c>
      <c r="D5472" s="4">
        <f>DATE(2012,3,2)</f>
        <v>40970</v>
      </c>
      <c r="E5472" s="5">
        <f t="shared" si="90"/>
        <v>2012</v>
      </c>
      <c r="F5472" s="3" t="s">
        <v>991</v>
      </c>
      <c r="G5472" s="6">
        <v>228.2</v>
      </c>
      <c r="H5472" s="5">
        <v>16676</v>
      </c>
    </row>
    <row r="5473" spans="2:8" ht="17.5" customHeight="1" x14ac:dyDescent="0.4">
      <c r="B5473" s="3" t="s">
        <v>7</v>
      </c>
      <c r="C5473" s="3" t="s">
        <v>990</v>
      </c>
      <c r="D5473" s="4">
        <f>DATE(2012,3,7)</f>
        <v>40975</v>
      </c>
      <c r="E5473" s="5">
        <f t="shared" si="90"/>
        <v>2012</v>
      </c>
      <c r="F5473" s="3" t="s">
        <v>991</v>
      </c>
      <c r="G5473" s="6">
        <v>3500</v>
      </c>
      <c r="H5473" s="5">
        <v>16701</v>
      </c>
    </row>
    <row r="5474" spans="2:8" ht="17.5" customHeight="1" x14ac:dyDescent="0.4">
      <c r="B5474" s="3" t="s">
        <v>7</v>
      </c>
      <c r="C5474" s="3" t="s">
        <v>990</v>
      </c>
      <c r="D5474" s="4">
        <f>DATE(2012,3,8)</f>
        <v>40976</v>
      </c>
      <c r="E5474" s="5">
        <f t="shared" si="90"/>
        <v>2012</v>
      </c>
      <c r="F5474" s="3" t="s">
        <v>991</v>
      </c>
      <c r="G5474" s="6">
        <v>1028</v>
      </c>
      <c r="H5474" s="5">
        <v>16714</v>
      </c>
    </row>
    <row r="5475" spans="2:8" ht="17.5" customHeight="1" x14ac:dyDescent="0.4">
      <c r="B5475" s="3" t="s">
        <v>7</v>
      </c>
      <c r="C5475" s="3" t="s">
        <v>990</v>
      </c>
      <c r="D5475" s="4">
        <f>DATE(2012,3,9)</f>
        <v>40977</v>
      </c>
      <c r="E5475" s="5">
        <f t="shared" si="90"/>
        <v>2012</v>
      </c>
      <c r="F5475" s="3" t="s">
        <v>991</v>
      </c>
      <c r="G5475" s="6">
        <v>4070.4</v>
      </c>
      <c r="H5475" s="5">
        <v>16732</v>
      </c>
    </row>
    <row r="5476" spans="2:8" ht="17.5" customHeight="1" x14ac:dyDescent="0.4">
      <c r="B5476" s="3" t="s">
        <v>7</v>
      </c>
      <c r="C5476" s="3" t="s">
        <v>990</v>
      </c>
      <c r="D5476" s="4">
        <f>DATE(2012,3,12)</f>
        <v>40980</v>
      </c>
      <c r="E5476" s="5">
        <f t="shared" si="90"/>
        <v>2012</v>
      </c>
      <c r="F5476" s="3" t="s">
        <v>991</v>
      </c>
      <c r="G5476" s="6">
        <v>2565.1999999999998</v>
      </c>
      <c r="H5476" s="5">
        <v>16735</v>
      </c>
    </row>
    <row r="5477" spans="2:8" ht="17.5" customHeight="1" x14ac:dyDescent="0.4">
      <c r="B5477" s="3" t="s">
        <v>7</v>
      </c>
      <c r="C5477" s="3" t="s">
        <v>990</v>
      </c>
      <c r="D5477" s="4">
        <f>DATE(2012,3,29)</f>
        <v>40997</v>
      </c>
      <c r="E5477" s="5">
        <f t="shared" si="90"/>
        <v>2012</v>
      </c>
      <c r="F5477" s="3" t="s">
        <v>991</v>
      </c>
      <c r="G5477" s="6">
        <v>3224.8</v>
      </c>
      <c r="H5477" s="5">
        <v>16808</v>
      </c>
    </row>
    <row r="5478" spans="2:8" ht="17.5" customHeight="1" x14ac:dyDescent="0.4">
      <c r="B5478" s="3" t="s">
        <v>7</v>
      </c>
      <c r="C5478" s="3" t="s">
        <v>990</v>
      </c>
      <c r="D5478" s="4">
        <f>DATE(2012,3,29)</f>
        <v>40997</v>
      </c>
      <c r="E5478" s="5">
        <f t="shared" si="90"/>
        <v>2012</v>
      </c>
      <c r="F5478" s="3" t="s">
        <v>991</v>
      </c>
      <c r="G5478" s="6">
        <v>977.5</v>
      </c>
      <c r="H5478" s="5">
        <v>16839</v>
      </c>
    </row>
    <row r="5479" spans="2:8" ht="17.5" customHeight="1" x14ac:dyDescent="0.4">
      <c r="B5479" s="3" t="s">
        <v>7</v>
      </c>
      <c r="C5479" s="3" t="s">
        <v>990</v>
      </c>
      <c r="D5479" s="4">
        <f>DATE(2012,4,2)</f>
        <v>41001</v>
      </c>
      <c r="E5479" s="5">
        <f t="shared" si="90"/>
        <v>2012</v>
      </c>
      <c r="F5479" s="3" t="s">
        <v>991</v>
      </c>
      <c r="G5479" s="6">
        <v>3046.33</v>
      </c>
      <c r="H5479" s="5">
        <v>16886</v>
      </c>
    </row>
    <row r="5480" spans="2:8" ht="17.5" customHeight="1" x14ac:dyDescent="0.4">
      <c r="B5480" s="3" t="s">
        <v>7</v>
      </c>
      <c r="C5480" s="3" t="s">
        <v>990</v>
      </c>
      <c r="D5480" s="4">
        <f>DATE(2012,4,6)</f>
        <v>41005</v>
      </c>
      <c r="E5480" s="5">
        <f t="shared" si="90"/>
        <v>2012</v>
      </c>
      <c r="F5480" s="3" t="s">
        <v>991</v>
      </c>
      <c r="G5480" s="6">
        <v>4284.5</v>
      </c>
      <c r="H5480" s="5">
        <v>16894</v>
      </c>
    </row>
    <row r="5481" spans="2:8" ht="17.5" customHeight="1" x14ac:dyDescent="0.4">
      <c r="B5481" s="3" t="s">
        <v>7</v>
      </c>
      <c r="C5481" s="3" t="s">
        <v>990</v>
      </c>
      <c r="D5481" s="4">
        <f>DATE(2012,4,10)</f>
        <v>41009</v>
      </c>
      <c r="E5481" s="5">
        <f t="shared" si="90"/>
        <v>2012</v>
      </c>
      <c r="F5481" s="3" t="s">
        <v>991</v>
      </c>
      <c r="G5481" s="6">
        <v>1799</v>
      </c>
      <c r="H5481" s="5">
        <v>16850</v>
      </c>
    </row>
    <row r="5482" spans="2:8" ht="17.5" customHeight="1" x14ac:dyDescent="0.4">
      <c r="B5482" s="3" t="s">
        <v>7</v>
      </c>
      <c r="C5482" s="3" t="s">
        <v>990</v>
      </c>
      <c r="D5482" s="4">
        <f>DATE(2012,4,19)</f>
        <v>41018</v>
      </c>
      <c r="E5482" s="5">
        <f t="shared" si="90"/>
        <v>2012</v>
      </c>
      <c r="F5482" s="3" t="s">
        <v>991</v>
      </c>
      <c r="G5482" s="6">
        <v>675</v>
      </c>
      <c r="H5482" s="5">
        <v>16904</v>
      </c>
    </row>
    <row r="5483" spans="2:8" ht="17.5" customHeight="1" x14ac:dyDescent="0.4">
      <c r="B5483" s="3" t="s">
        <v>7</v>
      </c>
      <c r="C5483" s="3" t="s">
        <v>990</v>
      </c>
      <c r="D5483" s="4">
        <f>DATE(2012,4,20)</f>
        <v>41019</v>
      </c>
      <c r="E5483" s="5">
        <f t="shared" si="90"/>
        <v>2012</v>
      </c>
      <c r="F5483" s="3" t="s">
        <v>991</v>
      </c>
      <c r="G5483" s="6">
        <v>7340</v>
      </c>
      <c r="H5483" s="5">
        <v>16970</v>
      </c>
    </row>
    <row r="5484" spans="2:8" ht="17.5" customHeight="1" x14ac:dyDescent="0.4">
      <c r="B5484" s="3" t="s">
        <v>7</v>
      </c>
      <c r="C5484" s="3" t="s">
        <v>990</v>
      </c>
      <c r="D5484" s="4">
        <f>DATE(2012,4,30)</f>
        <v>41029</v>
      </c>
      <c r="E5484" s="5">
        <f t="shared" si="90"/>
        <v>2012</v>
      </c>
      <c r="F5484" s="3" t="s">
        <v>991</v>
      </c>
      <c r="G5484" s="6">
        <v>256</v>
      </c>
      <c r="H5484" s="5">
        <v>16999</v>
      </c>
    </row>
    <row r="5485" spans="2:8" ht="17.5" customHeight="1" x14ac:dyDescent="0.4">
      <c r="B5485" s="3" t="s">
        <v>7</v>
      </c>
      <c r="C5485" s="3" t="s">
        <v>990</v>
      </c>
      <c r="D5485" s="4">
        <f>DATE(2012,5,4)</f>
        <v>41033</v>
      </c>
      <c r="E5485" s="5">
        <f t="shared" si="90"/>
        <v>2012</v>
      </c>
      <c r="F5485" s="3" t="s">
        <v>991</v>
      </c>
      <c r="G5485" s="6">
        <v>4824</v>
      </c>
      <c r="H5485" s="5">
        <v>17073</v>
      </c>
    </row>
    <row r="5486" spans="2:8" ht="17.5" customHeight="1" x14ac:dyDescent="0.4">
      <c r="B5486" s="3" t="s">
        <v>7</v>
      </c>
      <c r="C5486" s="3" t="s">
        <v>990</v>
      </c>
      <c r="D5486" s="4">
        <f>DATE(2012,5,4)</f>
        <v>41033</v>
      </c>
      <c r="E5486" s="5">
        <f t="shared" si="90"/>
        <v>2012</v>
      </c>
      <c r="F5486" s="3" t="s">
        <v>991</v>
      </c>
      <c r="G5486" s="6">
        <v>3670</v>
      </c>
      <c r="H5486" s="5">
        <v>17069</v>
      </c>
    </row>
    <row r="5487" spans="2:8" ht="17.5" customHeight="1" x14ac:dyDescent="0.4">
      <c r="B5487" s="3" t="s">
        <v>7</v>
      </c>
      <c r="C5487" s="3" t="s">
        <v>990</v>
      </c>
      <c r="D5487" s="4">
        <f>DATE(2012,5,4)</f>
        <v>41033</v>
      </c>
      <c r="E5487" s="5">
        <f t="shared" si="90"/>
        <v>2012</v>
      </c>
      <c r="F5487" s="3" t="s">
        <v>991</v>
      </c>
      <c r="G5487" s="6">
        <v>1160</v>
      </c>
      <c r="H5487" s="5">
        <v>17068</v>
      </c>
    </row>
    <row r="5488" spans="2:8" ht="17.5" customHeight="1" x14ac:dyDescent="0.4">
      <c r="B5488" s="3" t="s">
        <v>7</v>
      </c>
      <c r="C5488" s="3" t="s">
        <v>990</v>
      </c>
      <c r="D5488" s="4">
        <f>DATE(2012,5,7)</f>
        <v>41036</v>
      </c>
      <c r="E5488" s="5">
        <f t="shared" si="90"/>
        <v>2012</v>
      </c>
      <c r="F5488" s="3" t="s">
        <v>991</v>
      </c>
      <c r="G5488" s="6">
        <v>16274.55</v>
      </c>
      <c r="H5488" s="5">
        <v>17034</v>
      </c>
    </row>
    <row r="5489" spans="2:8" ht="17.5" customHeight="1" x14ac:dyDescent="0.4">
      <c r="B5489" s="3" t="s">
        <v>7</v>
      </c>
      <c r="C5489" s="3" t="s">
        <v>990</v>
      </c>
      <c r="D5489" s="4">
        <f>DATE(2012,5,7)</f>
        <v>41036</v>
      </c>
      <c r="E5489" s="5">
        <f t="shared" si="90"/>
        <v>2012</v>
      </c>
      <c r="F5489" s="3" t="s">
        <v>991</v>
      </c>
      <c r="G5489" s="6">
        <v>2444</v>
      </c>
      <c r="H5489" s="5">
        <v>17078</v>
      </c>
    </row>
    <row r="5490" spans="2:8" ht="17.5" customHeight="1" x14ac:dyDescent="0.4">
      <c r="B5490" s="3" t="s">
        <v>7</v>
      </c>
      <c r="C5490" s="3" t="s">
        <v>990</v>
      </c>
      <c r="D5490" s="4">
        <f>DATE(2012,5,9)</f>
        <v>41038</v>
      </c>
      <c r="E5490" s="5">
        <f t="shared" si="90"/>
        <v>2012</v>
      </c>
      <c r="F5490" s="3" t="s">
        <v>991</v>
      </c>
      <c r="G5490" s="6">
        <v>960</v>
      </c>
      <c r="H5490" s="5">
        <v>17094</v>
      </c>
    </row>
    <row r="5491" spans="2:8" ht="17.5" customHeight="1" x14ac:dyDescent="0.4">
      <c r="B5491" s="3" t="s">
        <v>7</v>
      </c>
      <c r="C5491" s="3" t="s">
        <v>990</v>
      </c>
      <c r="D5491" s="4">
        <f>DATE(2012,5,16)</f>
        <v>41045</v>
      </c>
      <c r="E5491" s="5">
        <f t="shared" si="90"/>
        <v>2012</v>
      </c>
      <c r="F5491" s="3" t="s">
        <v>991</v>
      </c>
      <c r="G5491" s="6">
        <v>960</v>
      </c>
      <c r="H5491" s="5">
        <v>17155</v>
      </c>
    </row>
    <row r="5492" spans="2:8" ht="17.5" customHeight="1" x14ac:dyDescent="0.4">
      <c r="B5492" s="3" t="s">
        <v>7</v>
      </c>
      <c r="C5492" s="3" t="s">
        <v>990</v>
      </c>
      <c r="D5492" s="4">
        <f>DATE(2012,5,18)</f>
        <v>41047</v>
      </c>
      <c r="E5492" s="5">
        <f t="shared" si="90"/>
        <v>2012</v>
      </c>
      <c r="F5492" s="3" t="s">
        <v>991</v>
      </c>
      <c r="G5492" s="6">
        <v>900</v>
      </c>
      <c r="H5492" s="5">
        <v>17154</v>
      </c>
    </row>
    <row r="5493" spans="2:8" ht="17.5" customHeight="1" x14ac:dyDescent="0.4">
      <c r="B5493" s="3" t="s">
        <v>7</v>
      </c>
      <c r="C5493" s="3" t="s">
        <v>990</v>
      </c>
      <c r="D5493" s="4">
        <f>DATE(2012,5,22)</f>
        <v>41051</v>
      </c>
      <c r="E5493" s="5">
        <f t="shared" si="90"/>
        <v>2012</v>
      </c>
      <c r="F5493" s="3" t="s">
        <v>991</v>
      </c>
      <c r="G5493" s="6">
        <v>4953.3</v>
      </c>
      <c r="H5493" s="5">
        <v>17134</v>
      </c>
    </row>
    <row r="5494" spans="2:8" ht="17.5" customHeight="1" x14ac:dyDescent="0.4">
      <c r="B5494" s="3" t="s">
        <v>7</v>
      </c>
      <c r="C5494" s="3" t="s">
        <v>990</v>
      </c>
      <c r="D5494" s="4">
        <f>DATE(2012,5,29)</f>
        <v>41058</v>
      </c>
      <c r="E5494" s="5">
        <f t="shared" si="90"/>
        <v>2012</v>
      </c>
      <c r="F5494" s="3" t="s">
        <v>991</v>
      </c>
      <c r="G5494" s="6">
        <v>3855</v>
      </c>
      <c r="H5494" s="5">
        <v>17179</v>
      </c>
    </row>
    <row r="5495" spans="2:8" ht="17.5" customHeight="1" x14ac:dyDescent="0.4">
      <c r="B5495" s="3" t="s">
        <v>7</v>
      </c>
      <c r="C5495" s="3" t="s">
        <v>990</v>
      </c>
      <c r="D5495" s="4">
        <f>DATE(2012,5,29)</f>
        <v>41058</v>
      </c>
      <c r="E5495" s="5">
        <f t="shared" si="90"/>
        <v>2012</v>
      </c>
      <c r="F5495" s="3" t="s">
        <v>991</v>
      </c>
      <c r="G5495" s="6">
        <v>1875</v>
      </c>
      <c r="H5495" s="5">
        <v>17196</v>
      </c>
    </row>
    <row r="5496" spans="2:8" ht="17.5" customHeight="1" x14ac:dyDescent="0.4">
      <c r="B5496" s="3" t="s">
        <v>7</v>
      </c>
      <c r="C5496" s="3" t="s">
        <v>990</v>
      </c>
      <c r="D5496" s="4">
        <f>DATE(2012,5,31)</f>
        <v>41060</v>
      </c>
      <c r="E5496" s="5">
        <f t="shared" si="90"/>
        <v>2012</v>
      </c>
      <c r="F5496" s="3" t="s">
        <v>991</v>
      </c>
      <c r="G5496" s="6">
        <v>3135</v>
      </c>
      <c r="H5496" s="5">
        <v>17202</v>
      </c>
    </row>
    <row r="5497" spans="2:8" ht="17.5" customHeight="1" x14ac:dyDescent="0.4">
      <c r="B5497" s="3" t="s">
        <v>7</v>
      </c>
      <c r="C5497" s="3" t="s">
        <v>990</v>
      </c>
      <c r="D5497" s="4">
        <f>DATE(2012,6,11)</f>
        <v>41071</v>
      </c>
      <c r="E5497" s="5">
        <f t="shared" si="90"/>
        <v>2012</v>
      </c>
      <c r="F5497" s="3" t="s">
        <v>991</v>
      </c>
      <c r="G5497" s="6">
        <v>648</v>
      </c>
      <c r="H5497" s="5">
        <v>17237</v>
      </c>
    </row>
    <row r="5498" spans="2:8" ht="17.5" customHeight="1" x14ac:dyDescent="0.4">
      <c r="B5498" s="3" t="s">
        <v>7</v>
      </c>
      <c r="C5498" s="3" t="s">
        <v>990</v>
      </c>
      <c r="D5498" s="4">
        <f>DATE(2012,6,14)</f>
        <v>41074</v>
      </c>
      <c r="E5498" s="5">
        <f t="shared" si="90"/>
        <v>2012</v>
      </c>
      <c r="F5498" s="3" t="s">
        <v>991</v>
      </c>
      <c r="G5498" s="6">
        <v>1392.9</v>
      </c>
      <c r="H5498" s="5">
        <v>17242</v>
      </c>
    </row>
    <row r="5499" spans="2:8" ht="17.5" customHeight="1" x14ac:dyDescent="0.4">
      <c r="B5499" s="3" t="s">
        <v>7</v>
      </c>
      <c r="C5499" s="3" t="s">
        <v>990</v>
      </c>
      <c r="D5499" s="4">
        <f>DATE(2012,6,21)</f>
        <v>41081</v>
      </c>
      <c r="E5499" s="5">
        <f t="shared" si="90"/>
        <v>2012</v>
      </c>
      <c r="F5499" s="3" t="s">
        <v>991</v>
      </c>
      <c r="G5499" s="6">
        <v>2320</v>
      </c>
      <c r="H5499" s="5">
        <v>17275</v>
      </c>
    </row>
    <row r="5500" spans="2:8" ht="17.5" customHeight="1" x14ac:dyDescent="0.4">
      <c r="B5500" s="3" t="s">
        <v>7</v>
      </c>
      <c r="C5500" s="3" t="s">
        <v>990</v>
      </c>
      <c r="D5500" s="4">
        <f>DATE(2012,6,25)</f>
        <v>41085</v>
      </c>
      <c r="E5500" s="5">
        <f t="shared" si="90"/>
        <v>2012</v>
      </c>
      <c r="F5500" s="3" t="s">
        <v>991</v>
      </c>
      <c r="G5500" s="6">
        <v>112.8</v>
      </c>
      <c r="H5500" s="5">
        <v>17294</v>
      </c>
    </row>
    <row r="5501" spans="2:8" ht="17.5" customHeight="1" x14ac:dyDescent="0.4">
      <c r="B5501" s="3" t="s">
        <v>7</v>
      </c>
      <c r="C5501" s="3" t="s">
        <v>990</v>
      </c>
      <c r="D5501" s="4">
        <f>DATE(2012,6,26)</f>
        <v>41086</v>
      </c>
      <c r="E5501" s="5">
        <f t="shared" si="90"/>
        <v>2012</v>
      </c>
      <c r="F5501" s="3" t="s">
        <v>991</v>
      </c>
      <c r="G5501" s="6">
        <v>1800</v>
      </c>
      <c r="H5501" s="5">
        <v>17295</v>
      </c>
    </row>
    <row r="5502" spans="2:8" ht="17.5" customHeight="1" x14ac:dyDescent="0.4">
      <c r="B5502" s="3" t="s">
        <v>7</v>
      </c>
      <c r="C5502" s="3" t="s">
        <v>990</v>
      </c>
      <c r="D5502" s="4">
        <f>DATE(2012,7,10)</f>
        <v>41100</v>
      </c>
      <c r="E5502" s="5">
        <f t="shared" si="90"/>
        <v>2012</v>
      </c>
      <c r="F5502" s="3" t="s">
        <v>991</v>
      </c>
      <c r="G5502" s="6">
        <v>39.1</v>
      </c>
      <c r="H5502" s="5">
        <v>17317</v>
      </c>
    </row>
    <row r="5503" spans="2:8" ht="17.5" customHeight="1" x14ac:dyDescent="0.4">
      <c r="B5503" s="3" t="s">
        <v>7</v>
      </c>
      <c r="C5503" s="3" t="s">
        <v>990</v>
      </c>
      <c r="D5503" s="4">
        <f>DATE(2012,7,12)</f>
        <v>41102</v>
      </c>
      <c r="E5503" s="5">
        <f t="shared" si="90"/>
        <v>2012</v>
      </c>
      <c r="F5503" s="3" t="s">
        <v>991</v>
      </c>
      <c r="G5503" s="6">
        <v>435</v>
      </c>
      <c r="H5503" s="5">
        <v>17346</v>
      </c>
    </row>
    <row r="5504" spans="2:8" ht="17.5" customHeight="1" x14ac:dyDescent="0.4">
      <c r="B5504" s="3" t="s">
        <v>7</v>
      </c>
      <c r="C5504" s="3" t="s">
        <v>990</v>
      </c>
      <c r="D5504" s="4">
        <f>DATE(2012,7,13)</f>
        <v>41103</v>
      </c>
      <c r="E5504" s="5">
        <f t="shared" si="90"/>
        <v>2012</v>
      </c>
      <c r="F5504" s="3" t="s">
        <v>991</v>
      </c>
      <c r="G5504" s="6">
        <v>4468.45</v>
      </c>
      <c r="H5504" s="5">
        <v>17309</v>
      </c>
    </row>
    <row r="5505" spans="2:8" ht="17.5" customHeight="1" x14ac:dyDescent="0.4">
      <c r="B5505" s="3" t="s">
        <v>7</v>
      </c>
      <c r="C5505" s="3" t="s">
        <v>990</v>
      </c>
      <c r="D5505" s="4">
        <f>DATE(2012,7,16)</f>
        <v>41106</v>
      </c>
      <c r="E5505" s="5">
        <f t="shared" si="90"/>
        <v>2012</v>
      </c>
      <c r="F5505" s="3" t="s">
        <v>991</v>
      </c>
      <c r="G5505" s="6">
        <v>10544.1</v>
      </c>
      <c r="H5505" s="5">
        <v>17292</v>
      </c>
    </row>
    <row r="5506" spans="2:8" ht="17.5" customHeight="1" x14ac:dyDescent="0.4">
      <c r="B5506" s="3" t="s">
        <v>7</v>
      </c>
      <c r="C5506" s="3" t="s">
        <v>990</v>
      </c>
      <c r="D5506" s="4">
        <f>DATE(2012,7,17)</f>
        <v>41107</v>
      </c>
      <c r="E5506" s="5">
        <f t="shared" si="90"/>
        <v>2012</v>
      </c>
      <c r="F5506" s="3" t="s">
        <v>991</v>
      </c>
      <c r="G5506" s="6">
        <v>1050</v>
      </c>
      <c r="H5506" s="5">
        <v>17372</v>
      </c>
    </row>
    <row r="5507" spans="2:8" ht="17.5" customHeight="1" x14ac:dyDescent="0.4">
      <c r="B5507" s="3" t="s">
        <v>7</v>
      </c>
      <c r="C5507" s="3" t="s">
        <v>990</v>
      </c>
      <c r="D5507" s="4">
        <f>DATE(2012,7,19)</f>
        <v>41109</v>
      </c>
      <c r="E5507" s="5">
        <f t="shared" ref="E5507:E5570" si="91">YEAR(D5507)</f>
        <v>2012</v>
      </c>
      <c r="F5507" s="3" t="s">
        <v>991</v>
      </c>
      <c r="G5507" s="6">
        <v>399.81</v>
      </c>
      <c r="H5507" s="5">
        <v>17386</v>
      </c>
    </row>
    <row r="5508" spans="2:8" ht="17.5" customHeight="1" x14ac:dyDescent="0.4">
      <c r="B5508" s="3" t="s">
        <v>7</v>
      </c>
      <c r="C5508" s="3" t="s">
        <v>990</v>
      </c>
      <c r="D5508" s="4">
        <f>DATE(2012,7,19)</f>
        <v>41109</v>
      </c>
      <c r="E5508" s="5">
        <f t="shared" si="91"/>
        <v>2012</v>
      </c>
      <c r="F5508" s="3" t="s">
        <v>991</v>
      </c>
      <c r="G5508" s="6">
        <v>3476</v>
      </c>
      <c r="H5508" s="5">
        <v>17378</v>
      </c>
    </row>
    <row r="5509" spans="2:8" ht="17.5" customHeight="1" x14ac:dyDescent="0.4">
      <c r="B5509" s="3" t="s">
        <v>7</v>
      </c>
      <c r="C5509" s="3" t="s">
        <v>990</v>
      </c>
      <c r="D5509" s="4">
        <f>DATE(2012,7,20)</f>
        <v>41110</v>
      </c>
      <c r="E5509" s="5">
        <f t="shared" si="91"/>
        <v>2012</v>
      </c>
      <c r="F5509" s="3" t="s">
        <v>991</v>
      </c>
      <c r="G5509" s="6">
        <v>138.6</v>
      </c>
      <c r="H5509" s="5">
        <v>17384</v>
      </c>
    </row>
    <row r="5510" spans="2:8" ht="17.5" customHeight="1" x14ac:dyDescent="0.4">
      <c r="B5510" s="3" t="s">
        <v>7</v>
      </c>
      <c r="C5510" s="3" t="s">
        <v>990</v>
      </c>
      <c r="D5510" s="4">
        <f>DATE(2012,8,6)</f>
        <v>41127</v>
      </c>
      <c r="E5510" s="5">
        <f t="shared" si="91"/>
        <v>2012</v>
      </c>
      <c r="F5510" s="3" t="s">
        <v>991</v>
      </c>
      <c r="G5510" s="6">
        <v>5750</v>
      </c>
      <c r="H5510" s="5">
        <v>17437</v>
      </c>
    </row>
    <row r="5511" spans="2:8" ht="17.5" customHeight="1" x14ac:dyDescent="0.4">
      <c r="B5511" s="3" t="s">
        <v>7</v>
      </c>
      <c r="C5511" s="3" t="s">
        <v>990</v>
      </c>
      <c r="D5511" s="4">
        <f>DATE(2012,8,16)</f>
        <v>41137</v>
      </c>
      <c r="E5511" s="5">
        <f t="shared" si="91"/>
        <v>2012</v>
      </c>
      <c r="F5511" s="3" t="s">
        <v>991</v>
      </c>
      <c r="G5511" s="6">
        <v>78.2</v>
      </c>
      <c r="H5511" s="5">
        <v>17462</v>
      </c>
    </row>
    <row r="5512" spans="2:8" ht="17.5" customHeight="1" x14ac:dyDescent="0.4">
      <c r="B5512" s="3" t="s">
        <v>7</v>
      </c>
      <c r="C5512" s="3" t="s">
        <v>990</v>
      </c>
      <c r="D5512" s="4">
        <f>DATE(2012,8,17)</f>
        <v>41138</v>
      </c>
      <c r="E5512" s="5">
        <f t="shared" si="91"/>
        <v>2012</v>
      </c>
      <c r="F5512" s="3" t="s">
        <v>991</v>
      </c>
      <c r="G5512" s="6">
        <v>1425</v>
      </c>
      <c r="H5512" s="5">
        <v>17480</v>
      </c>
    </row>
    <row r="5513" spans="2:8" ht="17.5" customHeight="1" x14ac:dyDescent="0.4">
      <c r="B5513" s="3" t="s">
        <v>7</v>
      </c>
      <c r="C5513" s="3" t="s">
        <v>990</v>
      </c>
      <c r="D5513" s="4">
        <f>DATE(2012,8,27)</f>
        <v>41148</v>
      </c>
      <c r="E5513" s="5">
        <f t="shared" si="91"/>
        <v>2012</v>
      </c>
      <c r="F5513" s="3" t="s">
        <v>991</v>
      </c>
      <c r="G5513" s="6">
        <v>8726</v>
      </c>
      <c r="H5513" s="5">
        <v>17487</v>
      </c>
    </row>
    <row r="5514" spans="2:8" ht="17.5" customHeight="1" x14ac:dyDescent="0.4">
      <c r="B5514" s="3" t="s">
        <v>7</v>
      </c>
      <c r="C5514" s="3" t="s">
        <v>990</v>
      </c>
      <c r="D5514" s="4">
        <f>DATE(2012,9,5)</f>
        <v>41157</v>
      </c>
      <c r="E5514" s="5">
        <f t="shared" si="91"/>
        <v>2012</v>
      </c>
      <c r="F5514" s="3" t="s">
        <v>991</v>
      </c>
      <c r="G5514" s="6">
        <v>1385.1</v>
      </c>
      <c r="H5514" s="5">
        <v>17545</v>
      </c>
    </row>
    <row r="5515" spans="2:8" ht="17.5" customHeight="1" x14ac:dyDescent="0.4">
      <c r="B5515" s="3" t="s">
        <v>7</v>
      </c>
      <c r="C5515" s="3" t="s">
        <v>990</v>
      </c>
      <c r="D5515" s="4">
        <f>DATE(2012,9,17)</f>
        <v>41169</v>
      </c>
      <c r="E5515" s="5">
        <f t="shared" si="91"/>
        <v>2012</v>
      </c>
      <c r="F5515" s="3" t="s">
        <v>991</v>
      </c>
      <c r="G5515" s="6">
        <v>4235.8</v>
      </c>
      <c r="H5515" s="5">
        <v>17560</v>
      </c>
    </row>
    <row r="5516" spans="2:8" ht="17.5" customHeight="1" x14ac:dyDescent="0.4">
      <c r="B5516" s="3" t="s">
        <v>7</v>
      </c>
      <c r="C5516" s="3" t="s">
        <v>990</v>
      </c>
      <c r="D5516" s="4">
        <f>DATE(2012,9,19)</f>
        <v>41171</v>
      </c>
      <c r="E5516" s="5">
        <f t="shared" si="91"/>
        <v>2012</v>
      </c>
      <c r="F5516" s="3" t="s">
        <v>991</v>
      </c>
      <c r="G5516" s="6">
        <v>3194</v>
      </c>
      <c r="H5516" s="5">
        <v>17600</v>
      </c>
    </row>
    <row r="5517" spans="2:8" ht="17.5" customHeight="1" x14ac:dyDescent="0.4">
      <c r="B5517" s="3" t="s">
        <v>7</v>
      </c>
      <c r="C5517" s="3" t="s">
        <v>990</v>
      </c>
      <c r="D5517" s="4">
        <f>DATE(2012,9,27)</f>
        <v>41179</v>
      </c>
      <c r="E5517" s="5">
        <f t="shared" si="91"/>
        <v>2012</v>
      </c>
      <c r="F5517" s="3" t="s">
        <v>991</v>
      </c>
      <c r="G5517" s="6">
        <v>922.25</v>
      </c>
      <c r="H5517" s="5">
        <v>17565</v>
      </c>
    </row>
    <row r="5518" spans="2:8" ht="17.5" customHeight="1" x14ac:dyDescent="0.4">
      <c r="B5518" s="3" t="s">
        <v>7</v>
      </c>
      <c r="C5518" s="3" t="s">
        <v>990</v>
      </c>
      <c r="D5518" s="4">
        <f>DATE(2012,10,2)</f>
        <v>41184</v>
      </c>
      <c r="E5518" s="5">
        <f t="shared" si="91"/>
        <v>2012</v>
      </c>
      <c r="F5518" s="3" t="s">
        <v>991</v>
      </c>
      <c r="G5518" s="6">
        <v>4706.5</v>
      </c>
      <c r="H5518" s="5">
        <v>17648</v>
      </c>
    </row>
    <row r="5519" spans="2:8" ht="17.5" customHeight="1" x14ac:dyDescent="0.4">
      <c r="B5519" s="3" t="s">
        <v>7</v>
      </c>
      <c r="C5519" s="3" t="s">
        <v>990</v>
      </c>
      <c r="D5519" s="4">
        <f>DATE(2012,10,5)</f>
        <v>41187</v>
      </c>
      <c r="E5519" s="5">
        <f t="shared" si="91"/>
        <v>2012</v>
      </c>
      <c r="F5519" s="3" t="s">
        <v>991</v>
      </c>
      <c r="G5519" s="6">
        <v>12826</v>
      </c>
      <c r="H5519" s="5">
        <v>17629</v>
      </c>
    </row>
    <row r="5520" spans="2:8" ht="17.5" customHeight="1" x14ac:dyDescent="0.4">
      <c r="B5520" s="3" t="s">
        <v>7</v>
      </c>
      <c r="C5520" s="3" t="s">
        <v>990</v>
      </c>
      <c r="D5520" s="4">
        <f>DATE(2012,10,10)</f>
        <v>41192</v>
      </c>
      <c r="E5520" s="5">
        <f t="shared" si="91"/>
        <v>2012</v>
      </c>
      <c r="F5520" s="3" t="s">
        <v>991</v>
      </c>
      <c r="G5520" s="6">
        <v>375</v>
      </c>
      <c r="H5520" s="5">
        <v>17707</v>
      </c>
    </row>
    <row r="5521" spans="2:8" ht="17.5" customHeight="1" x14ac:dyDescent="0.4">
      <c r="B5521" s="3" t="s">
        <v>7</v>
      </c>
      <c r="C5521" s="3" t="s">
        <v>990</v>
      </c>
      <c r="D5521" s="4">
        <f>DATE(2012,10,11)</f>
        <v>41193</v>
      </c>
      <c r="E5521" s="5">
        <f t="shared" si="91"/>
        <v>2012</v>
      </c>
      <c r="F5521" s="3" t="s">
        <v>991</v>
      </c>
      <c r="G5521" s="6">
        <v>2295</v>
      </c>
      <c r="H5521" s="5">
        <v>17680</v>
      </c>
    </row>
    <row r="5522" spans="2:8" ht="17.5" customHeight="1" x14ac:dyDescent="0.4">
      <c r="B5522" s="3" t="s">
        <v>7</v>
      </c>
      <c r="C5522" s="3" t="s">
        <v>990</v>
      </c>
      <c r="D5522" s="4">
        <f>DATE(2012,10,16)</f>
        <v>41198</v>
      </c>
      <c r="E5522" s="5">
        <f t="shared" si="91"/>
        <v>2012</v>
      </c>
      <c r="F5522" s="3" t="s">
        <v>991</v>
      </c>
      <c r="G5522" s="6">
        <v>10008</v>
      </c>
      <c r="H5522" s="5">
        <v>17675</v>
      </c>
    </row>
    <row r="5523" spans="2:8" ht="17.5" customHeight="1" x14ac:dyDescent="0.4">
      <c r="B5523" s="3" t="s">
        <v>7</v>
      </c>
      <c r="C5523" s="3" t="s">
        <v>990</v>
      </c>
      <c r="D5523" s="4">
        <f>DATE(2012,10,18)</f>
        <v>41200</v>
      </c>
      <c r="E5523" s="5">
        <f t="shared" si="91"/>
        <v>2012</v>
      </c>
      <c r="F5523" s="3" t="s">
        <v>991</v>
      </c>
      <c r="G5523" s="6">
        <v>10641.65</v>
      </c>
      <c r="H5523" s="5">
        <v>17679</v>
      </c>
    </row>
    <row r="5524" spans="2:8" ht="17.5" customHeight="1" x14ac:dyDescent="0.4">
      <c r="B5524" s="3" t="s">
        <v>7</v>
      </c>
      <c r="C5524" s="3" t="s">
        <v>990</v>
      </c>
      <c r="D5524" s="4">
        <f>DATE(2012,10,19)</f>
        <v>41201</v>
      </c>
      <c r="E5524" s="5">
        <f t="shared" si="91"/>
        <v>2012</v>
      </c>
      <c r="F5524" s="3" t="s">
        <v>991</v>
      </c>
      <c r="G5524" s="6">
        <v>8865</v>
      </c>
      <c r="H5524" s="5">
        <v>17722</v>
      </c>
    </row>
    <row r="5525" spans="2:8" ht="17.5" customHeight="1" x14ac:dyDescent="0.4">
      <c r="B5525" s="3" t="s">
        <v>7</v>
      </c>
      <c r="C5525" s="3" t="s">
        <v>990</v>
      </c>
      <c r="D5525" s="4">
        <f>DATE(2012,10,23)</f>
        <v>41205</v>
      </c>
      <c r="E5525" s="5">
        <f t="shared" si="91"/>
        <v>2012</v>
      </c>
      <c r="F5525" s="3" t="s">
        <v>991</v>
      </c>
      <c r="G5525" s="6">
        <v>3550</v>
      </c>
      <c r="H5525" s="5">
        <v>17745</v>
      </c>
    </row>
    <row r="5526" spans="2:8" ht="17.5" customHeight="1" x14ac:dyDescent="0.4">
      <c r="B5526" s="3" t="s">
        <v>7</v>
      </c>
      <c r="C5526" s="3" t="s">
        <v>990</v>
      </c>
      <c r="D5526" s="4">
        <f>DATE(2012,10,24)</f>
        <v>41206</v>
      </c>
      <c r="E5526" s="5">
        <f t="shared" si="91"/>
        <v>2012</v>
      </c>
      <c r="F5526" s="3" t="s">
        <v>991</v>
      </c>
      <c r="G5526" s="6">
        <v>1800</v>
      </c>
      <c r="H5526" s="5">
        <v>17726</v>
      </c>
    </row>
    <row r="5527" spans="2:8" ht="17.5" customHeight="1" x14ac:dyDescent="0.4">
      <c r="B5527" s="3" t="s">
        <v>7</v>
      </c>
      <c r="C5527" s="3" t="s">
        <v>990</v>
      </c>
      <c r="D5527" s="4">
        <f>DATE(2012,10,24)</f>
        <v>41206</v>
      </c>
      <c r="E5527" s="5">
        <f t="shared" si="91"/>
        <v>2012</v>
      </c>
      <c r="F5527" s="3" t="s">
        <v>991</v>
      </c>
      <c r="G5527" s="6">
        <v>1672</v>
      </c>
      <c r="H5527" s="5">
        <v>17752</v>
      </c>
    </row>
    <row r="5528" spans="2:8" ht="17.5" customHeight="1" x14ac:dyDescent="0.4">
      <c r="B5528" s="3" t="s">
        <v>7</v>
      </c>
      <c r="C5528" s="3" t="s">
        <v>990</v>
      </c>
      <c r="D5528" s="4">
        <f>DATE(2012,10,25)</f>
        <v>41207</v>
      </c>
      <c r="E5528" s="5">
        <f t="shared" si="91"/>
        <v>2012</v>
      </c>
      <c r="F5528" s="3" t="s">
        <v>991</v>
      </c>
      <c r="G5528" s="6">
        <v>962.84</v>
      </c>
      <c r="H5528" s="5">
        <v>17747</v>
      </c>
    </row>
    <row r="5529" spans="2:8" ht="17.5" customHeight="1" x14ac:dyDescent="0.4">
      <c r="B5529" s="3" t="s">
        <v>7</v>
      </c>
      <c r="C5529" s="3" t="s">
        <v>990</v>
      </c>
      <c r="D5529" s="4">
        <f>DATE(2012,10,25)</f>
        <v>41207</v>
      </c>
      <c r="E5529" s="5">
        <f t="shared" si="91"/>
        <v>2012</v>
      </c>
      <c r="F5529" s="3" t="s">
        <v>991</v>
      </c>
      <c r="G5529" s="6">
        <v>1137</v>
      </c>
      <c r="H5529" s="5">
        <v>17755</v>
      </c>
    </row>
    <row r="5530" spans="2:8" ht="17.5" customHeight="1" x14ac:dyDescent="0.4">
      <c r="B5530" s="3" t="s">
        <v>7</v>
      </c>
      <c r="C5530" s="3" t="s">
        <v>990</v>
      </c>
      <c r="D5530" s="4">
        <f>DATE(2012,11,1)</f>
        <v>41214</v>
      </c>
      <c r="E5530" s="5">
        <f t="shared" si="91"/>
        <v>2012</v>
      </c>
      <c r="F5530" s="3" t="s">
        <v>991</v>
      </c>
      <c r="G5530" s="6">
        <v>96</v>
      </c>
      <c r="H5530" s="5">
        <v>17773</v>
      </c>
    </row>
    <row r="5531" spans="2:8" ht="17.5" customHeight="1" x14ac:dyDescent="0.4">
      <c r="B5531" s="3" t="s">
        <v>7</v>
      </c>
      <c r="C5531" s="3" t="s">
        <v>990</v>
      </c>
      <c r="D5531" s="4">
        <f>DATE(2012,11,12)</f>
        <v>41225</v>
      </c>
      <c r="E5531" s="5">
        <f t="shared" si="91"/>
        <v>2012</v>
      </c>
      <c r="F5531" s="3" t="s">
        <v>991</v>
      </c>
      <c r="G5531" s="6">
        <v>427.5</v>
      </c>
      <c r="H5531" s="5">
        <v>17785</v>
      </c>
    </row>
    <row r="5532" spans="2:8" ht="17.5" customHeight="1" x14ac:dyDescent="0.4">
      <c r="B5532" s="3" t="s">
        <v>7</v>
      </c>
      <c r="C5532" s="3" t="s">
        <v>990</v>
      </c>
      <c r="D5532" s="4">
        <f>DATE(2012,11,13)</f>
        <v>41226</v>
      </c>
      <c r="E5532" s="5">
        <f t="shared" si="91"/>
        <v>2012</v>
      </c>
      <c r="F5532" s="3" t="s">
        <v>991</v>
      </c>
      <c r="G5532" s="6">
        <v>547.6</v>
      </c>
      <c r="H5532" s="5">
        <v>17819</v>
      </c>
    </row>
    <row r="5533" spans="2:8" ht="17.5" customHeight="1" x14ac:dyDescent="0.4">
      <c r="B5533" s="3" t="s">
        <v>7</v>
      </c>
      <c r="C5533" s="3" t="s">
        <v>990</v>
      </c>
      <c r="D5533" s="4">
        <f>DATE(2012,11,21)</f>
        <v>41234</v>
      </c>
      <c r="E5533" s="5">
        <f t="shared" si="91"/>
        <v>2012</v>
      </c>
      <c r="F5533" s="3" t="s">
        <v>991</v>
      </c>
      <c r="G5533" s="6">
        <v>640</v>
      </c>
      <c r="H5533" s="5">
        <v>17847</v>
      </c>
    </row>
    <row r="5534" spans="2:8" ht="17.5" customHeight="1" x14ac:dyDescent="0.4">
      <c r="B5534" s="3" t="s">
        <v>7</v>
      </c>
      <c r="C5534" s="3" t="s">
        <v>990</v>
      </c>
      <c r="D5534" s="4">
        <f>DATE(2012,12,7)</f>
        <v>41250</v>
      </c>
      <c r="E5534" s="5">
        <f t="shared" si="91"/>
        <v>2012</v>
      </c>
      <c r="F5534" s="3" t="s">
        <v>991</v>
      </c>
      <c r="G5534" s="6">
        <v>4199</v>
      </c>
      <c r="H5534" s="5">
        <v>17872</v>
      </c>
    </row>
    <row r="5535" spans="2:8" ht="17.5" customHeight="1" x14ac:dyDescent="0.4">
      <c r="B5535" s="3" t="s">
        <v>7</v>
      </c>
      <c r="C5535" s="3" t="s">
        <v>990</v>
      </c>
      <c r="D5535" s="4">
        <f>DATE(2013,1,9)</f>
        <v>41283</v>
      </c>
      <c r="E5535" s="5">
        <f t="shared" si="91"/>
        <v>2013</v>
      </c>
      <c r="F5535" s="3" t="s">
        <v>991</v>
      </c>
      <c r="G5535" s="6">
        <v>129.6</v>
      </c>
      <c r="H5535" s="5">
        <v>17970</v>
      </c>
    </row>
    <row r="5536" spans="2:8" ht="17.5" customHeight="1" x14ac:dyDescent="0.4">
      <c r="B5536" s="3" t="s">
        <v>7</v>
      </c>
      <c r="C5536" s="3" t="s">
        <v>990</v>
      </c>
      <c r="D5536" s="4">
        <f>DATE(2013,1,10)</f>
        <v>41284</v>
      </c>
      <c r="E5536" s="5">
        <f t="shared" si="91"/>
        <v>2013</v>
      </c>
      <c r="F5536" s="3" t="s">
        <v>991</v>
      </c>
      <c r="G5536" s="6">
        <v>1280</v>
      </c>
      <c r="H5536" s="5">
        <v>17972</v>
      </c>
    </row>
    <row r="5537" spans="2:8" ht="17.5" customHeight="1" x14ac:dyDescent="0.4">
      <c r="B5537" s="3" t="s">
        <v>7</v>
      </c>
      <c r="C5537" s="3" t="s">
        <v>990</v>
      </c>
      <c r="D5537" s="4">
        <f>DATE(2013,1,10)</f>
        <v>41284</v>
      </c>
      <c r="E5537" s="5">
        <f t="shared" si="91"/>
        <v>2013</v>
      </c>
      <c r="F5537" s="3" t="s">
        <v>991</v>
      </c>
      <c r="G5537" s="6">
        <v>282</v>
      </c>
      <c r="H5537" s="5">
        <v>17961</v>
      </c>
    </row>
    <row r="5538" spans="2:8" ht="17.5" customHeight="1" x14ac:dyDescent="0.4">
      <c r="B5538" s="3" t="s">
        <v>7</v>
      </c>
      <c r="C5538" s="3" t="s">
        <v>990</v>
      </c>
      <c r="D5538" s="4">
        <f>DATE(2013,1,10)</f>
        <v>41284</v>
      </c>
      <c r="E5538" s="5">
        <f t="shared" si="91"/>
        <v>2013</v>
      </c>
      <c r="F5538" s="3" t="s">
        <v>991</v>
      </c>
      <c r="G5538" s="6">
        <v>7645.25</v>
      </c>
      <c r="H5538" s="5">
        <v>17952</v>
      </c>
    </row>
    <row r="5539" spans="2:8" ht="17.5" customHeight="1" x14ac:dyDescent="0.4">
      <c r="B5539" s="3" t="s">
        <v>7</v>
      </c>
      <c r="C5539" s="3" t="s">
        <v>990</v>
      </c>
      <c r="D5539" s="4">
        <f>DATE(2013,1,16)</f>
        <v>41290</v>
      </c>
      <c r="E5539" s="5">
        <f t="shared" si="91"/>
        <v>2013</v>
      </c>
      <c r="F5539" s="3" t="s">
        <v>991</v>
      </c>
      <c r="G5539" s="6">
        <v>750</v>
      </c>
      <c r="H5539" s="5">
        <v>18003</v>
      </c>
    </row>
    <row r="5540" spans="2:8" ht="17.5" customHeight="1" x14ac:dyDescent="0.4">
      <c r="B5540" s="3" t="s">
        <v>7</v>
      </c>
      <c r="C5540" s="3" t="s">
        <v>990</v>
      </c>
      <c r="D5540" s="4">
        <f>DATE(2013,1,16)</f>
        <v>41290</v>
      </c>
      <c r="E5540" s="5">
        <f t="shared" si="91"/>
        <v>2013</v>
      </c>
      <c r="F5540" s="3" t="s">
        <v>991</v>
      </c>
      <c r="G5540" s="6">
        <v>2688</v>
      </c>
      <c r="H5540" s="5">
        <v>17977</v>
      </c>
    </row>
    <row r="5541" spans="2:8" ht="17.5" customHeight="1" x14ac:dyDescent="0.4">
      <c r="B5541" s="3" t="s">
        <v>7</v>
      </c>
      <c r="C5541" s="3" t="s">
        <v>990</v>
      </c>
      <c r="D5541" s="4">
        <f>DATE(2013,1,23)</f>
        <v>41297</v>
      </c>
      <c r="E5541" s="5">
        <f t="shared" si="91"/>
        <v>2013</v>
      </c>
      <c r="F5541" s="3" t="s">
        <v>991</v>
      </c>
      <c r="G5541" s="6">
        <v>418</v>
      </c>
      <c r="H5541" s="5">
        <v>18024</v>
      </c>
    </row>
    <row r="5542" spans="2:8" ht="17.5" customHeight="1" x14ac:dyDescent="0.4">
      <c r="B5542" s="3" t="s">
        <v>7</v>
      </c>
      <c r="C5542" s="3" t="s">
        <v>990</v>
      </c>
      <c r="D5542" s="4">
        <f>DATE(2013,1,31)</f>
        <v>41305</v>
      </c>
      <c r="E5542" s="5">
        <f t="shared" si="91"/>
        <v>2013</v>
      </c>
      <c r="F5542" s="3" t="s">
        <v>991</v>
      </c>
      <c r="G5542" s="6">
        <v>178.4</v>
      </c>
      <c r="H5542" s="5">
        <v>18070</v>
      </c>
    </row>
    <row r="5543" spans="2:8" ht="17.5" customHeight="1" x14ac:dyDescent="0.4">
      <c r="B5543" s="3" t="s">
        <v>7</v>
      </c>
      <c r="C5543" s="3" t="s">
        <v>990</v>
      </c>
      <c r="D5543" s="4">
        <f>DATE(2013,2,8)</f>
        <v>41313</v>
      </c>
      <c r="E5543" s="5">
        <f t="shared" si="91"/>
        <v>2013</v>
      </c>
      <c r="F5543" s="3" t="s">
        <v>991</v>
      </c>
      <c r="G5543" s="6">
        <v>40.17</v>
      </c>
      <c r="H5543" s="5">
        <v>18103</v>
      </c>
    </row>
    <row r="5544" spans="2:8" ht="17.5" customHeight="1" x14ac:dyDescent="0.4">
      <c r="B5544" s="3" t="s">
        <v>7</v>
      </c>
      <c r="C5544" s="3" t="s">
        <v>990</v>
      </c>
      <c r="D5544" s="4">
        <f>DATE(2013,2,22)</f>
        <v>41327</v>
      </c>
      <c r="E5544" s="5">
        <f t="shared" si="91"/>
        <v>2013</v>
      </c>
      <c r="F5544" s="3" t="s">
        <v>991</v>
      </c>
      <c r="G5544" s="6">
        <v>3714.8</v>
      </c>
      <c r="H5544" s="5">
        <v>18190</v>
      </c>
    </row>
    <row r="5545" spans="2:8" ht="17.5" customHeight="1" x14ac:dyDescent="0.4">
      <c r="B5545" s="3" t="s">
        <v>7</v>
      </c>
      <c r="C5545" s="3" t="s">
        <v>990</v>
      </c>
      <c r="D5545" s="4">
        <f>DATE(2013,2,26)</f>
        <v>41331</v>
      </c>
      <c r="E5545" s="5">
        <f t="shared" si="91"/>
        <v>2013</v>
      </c>
      <c r="F5545" s="3" t="s">
        <v>991</v>
      </c>
      <c r="G5545" s="6">
        <v>133.5</v>
      </c>
      <c r="H5545" s="5">
        <v>18223</v>
      </c>
    </row>
    <row r="5546" spans="2:8" ht="17.5" customHeight="1" x14ac:dyDescent="0.4">
      <c r="B5546" s="3" t="s">
        <v>7</v>
      </c>
      <c r="C5546" s="3" t="s">
        <v>990</v>
      </c>
      <c r="D5546" s="4">
        <f>DATE(2013,2,27)</f>
        <v>41332</v>
      </c>
      <c r="E5546" s="5">
        <f t="shared" si="91"/>
        <v>2013</v>
      </c>
      <c r="F5546" s="3" t="s">
        <v>991</v>
      </c>
      <c r="G5546" s="6">
        <v>25939.45</v>
      </c>
      <c r="H5546" s="5">
        <v>18179</v>
      </c>
    </row>
    <row r="5547" spans="2:8" ht="17.5" customHeight="1" x14ac:dyDescent="0.4">
      <c r="B5547" s="3" t="s">
        <v>7</v>
      </c>
      <c r="C5547" s="3" t="s">
        <v>990</v>
      </c>
      <c r="D5547" s="4">
        <f>DATE(2013,3,4)</f>
        <v>41337</v>
      </c>
      <c r="E5547" s="5">
        <f t="shared" si="91"/>
        <v>2013</v>
      </c>
      <c r="F5547" s="3" t="s">
        <v>991</v>
      </c>
      <c r="G5547" s="6">
        <v>5800</v>
      </c>
      <c r="H5547" s="5">
        <v>18218</v>
      </c>
    </row>
    <row r="5548" spans="2:8" ht="17.5" customHeight="1" x14ac:dyDescent="0.4">
      <c r="B5548" s="3" t="s">
        <v>7</v>
      </c>
      <c r="C5548" s="3" t="s">
        <v>990</v>
      </c>
      <c r="D5548" s="4">
        <f>DATE(2013,3,21)</f>
        <v>41354</v>
      </c>
      <c r="E5548" s="5">
        <f t="shared" si="91"/>
        <v>2013</v>
      </c>
      <c r="F5548" s="3" t="s">
        <v>991</v>
      </c>
      <c r="G5548" s="6">
        <v>648.46</v>
      </c>
      <c r="H5548" s="5">
        <v>18319</v>
      </c>
    </row>
    <row r="5549" spans="2:8" ht="17.5" customHeight="1" x14ac:dyDescent="0.4">
      <c r="B5549" s="3" t="s">
        <v>7</v>
      </c>
      <c r="C5549" s="3" t="s">
        <v>990</v>
      </c>
      <c r="D5549" s="4">
        <f>DATE(2013,3,22)</f>
        <v>41355</v>
      </c>
      <c r="E5549" s="5">
        <f t="shared" si="91"/>
        <v>2013</v>
      </c>
      <c r="F5549" s="3" t="s">
        <v>991</v>
      </c>
      <c r="G5549" s="6">
        <v>1202.5</v>
      </c>
      <c r="H5549" s="5">
        <v>18350</v>
      </c>
    </row>
    <row r="5550" spans="2:8" ht="17.5" customHeight="1" x14ac:dyDescent="0.4">
      <c r="B5550" s="3" t="s">
        <v>7</v>
      </c>
      <c r="C5550" s="3" t="s">
        <v>990</v>
      </c>
      <c r="D5550" s="4">
        <f>DATE(2013,4,10)</f>
        <v>41374</v>
      </c>
      <c r="E5550" s="5">
        <f t="shared" si="91"/>
        <v>2013</v>
      </c>
      <c r="F5550" s="3" t="s">
        <v>991</v>
      </c>
      <c r="G5550" s="6">
        <v>3672</v>
      </c>
      <c r="H5550" s="5">
        <v>18442</v>
      </c>
    </row>
    <row r="5551" spans="2:8" ht="17.5" customHeight="1" x14ac:dyDescent="0.4">
      <c r="B5551" s="3" t="s">
        <v>7</v>
      </c>
      <c r="C5551" s="3" t="s">
        <v>990</v>
      </c>
      <c r="D5551" s="4">
        <f>DATE(2013,4,18)</f>
        <v>41382</v>
      </c>
      <c r="E5551" s="5">
        <f t="shared" si="91"/>
        <v>2013</v>
      </c>
      <c r="F5551" s="3" t="s">
        <v>991</v>
      </c>
      <c r="G5551" s="6">
        <v>508.4</v>
      </c>
      <c r="H5551" s="5">
        <v>18025</v>
      </c>
    </row>
    <row r="5552" spans="2:8" ht="17.5" customHeight="1" x14ac:dyDescent="0.4">
      <c r="B5552" s="3" t="s">
        <v>7</v>
      </c>
      <c r="C5552" s="3" t="s">
        <v>990</v>
      </c>
      <c r="D5552" s="4">
        <f>DATE(2013,4,18)</f>
        <v>41382</v>
      </c>
      <c r="E5552" s="5">
        <f t="shared" si="91"/>
        <v>2013</v>
      </c>
      <c r="F5552" s="3" t="s">
        <v>991</v>
      </c>
      <c r="G5552" s="6">
        <v>79.260000000000005</v>
      </c>
      <c r="H5552" s="5">
        <v>18458</v>
      </c>
    </row>
    <row r="5553" spans="2:8" ht="17.5" customHeight="1" x14ac:dyDescent="0.4">
      <c r="B5553" s="3" t="s">
        <v>7</v>
      </c>
      <c r="C5553" s="3" t="s">
        <v>990</v>
      </c>
      <c r="D5553" s="4">
        <f>DATE(2013,4,25)</f>
        <v>41389</v>
      </c>
      <c r="E5553" s="5">
        <f t="shared" si="91"/>
        <v>2013</v>
      </c>
      <c r="F5553" s="3" t="s">
        <v>991</v>
      </c>
      <c r="G5553" s="6">
        <v>4045.4</v>
      </c>
      <c r="H5553" s="5">
        <v>18506</v>
      </c>
    </row>
    <row r="5554" spans="2:8" ht="17.5" customHeight="1" x14ac:dyDescent="0.4">
      <c r="B5554" s="3" t="s">
        <v>7</v>
      </c>
      <c r="C5554" s="3" t="s">
        <v>990</v>
      </c>
      <c r="D5554" s="4">
        <f>DATE(2013,4,26)</f>
        <v>41390</v>
      </c>
      <c r="E5554" s="5">
        <f t="shared" si="91"/>
        <v>2013</v>
      </c>
      <c r="F5554" s="3" t="s">
        <v>991</v>
      </c>
      <c r="G5554" s="6">
        <v>345</v>
      </c>
      <c r="H5554" s="5">
        <v>18525</v>
      </c>
    </row>
    <row r="5555" spans="2:8" ht="17.5" customHeight="1" x14ac:dyDescent="0.4">
      <c r="B5555" s="3" t="s">
        <v>7</v>
      </c>
      <c r="C5555" s="3" t="s">
        <v>990</v>
      </c>
      <c r="D5555" s="4">
        <f>DATE(2013,4,26)</f>
        <v>41390</v>
      </c>
      <c r="E5555" s="5">
        <f t="shared" si="91"/>
        <v>2013</v>
      </c>
      <c r="F5555" s="3" t="s">
        <v>991</v>
      </c>
      <c r="G5555" s="6">
        <v>459.6</v>
      </c>
      <c r="H5555" s="5">
        <v>18495</v>
      </c>
    </row>
    <row r="5556" spans="2:8" ht="17.5" customHeight="1" x14ac:dyDescent="0.4">
      <c r="B5556" s="3" t="s">
        <v>7</v>
      </c>
      <c r="C5556" s="3" t="s">
        <v>990</v>
      </c>
      <c r="D5556" s="4">
        <f>DATE(2013,4,29)</f>
        <v>41393</v>
      </c>
      <c r="E5556" s="5">
        <f t="shared" si="91"/>
        <v>2013</v>
      </c>
      <c r="F5556" s="3" t="s">
        <v>991</v>
      </c>
      <c r="G5556" s="6">
        <v>2261.6</v>
      </c>
      <c r="H5556" s="5">
        <v>18481</v>
      </c>
    </row>
    <row r="5557" spans="2:8" ht="17.5" customHeight="1" x14ac:dyDescent="0.4">
      <c r="B5557" s="3" t="s">
        <v>7</v>
      </c>
      <c r="C5557" s="3" t="s">
        <v>990</v>
      </c>
      <c r="D5557" s="4">
        <f>DATE(2013,5,1)</f>
        <v>41395</v>
      </c>
      <c r="E5557" s="5">
        <f t="shared" si="91"/>
        <v>2013</v>
      </c>
      <c r="F5557" s="3" t="s">
        <v>991</v>
      </c>
      <c r="G5557" s="6">
        <v>3368.44</v>
      </c>
      <c r="H5557" s="5">
        <v>18526</v>
      </c>
    </row>
    <row r="5558" spans="2:8" ht="17.5" customHeight="1" x14ac:dyDescent="0.4">
      <c r="B5558" s="3" t="s">
        <v>7</v>
      </c>
      <c r="C5558" s="3" t="s">
        <v>990</v>
      </c>
      <c r="D5558" s="4">
        <f>DATE(2013,5,17)</f>
        <v>41411</v>
      </c>
      <c r="E5558" s="5">
        <f t="shared" si="91"/>
        <v>2013</v>
      </c>
      <c r="F5558" s="3" t="s">
        <v>991</v>
      </c>
      <c r="G5558" s="6">
        <v>3822.54</v>
      </c>
      <c r="H5558" s="5">
        <v>18584</v>
      </c>
    </row>
    <row r="5559" spans="2:8" ht="17.5" customHeight="1" x14ac:dyDescent="0.4">
      <c r="B5559" s="3" t="s">
        <v>7</v>
      </c>
      <c r="C5559" s="3" t="s">
        <v>990</v>
      </c>
      <c r="D5559" s="4">
        <f>DATE(2013,5,22)</f>
        <v>41416</v>
      </c>
      <c r="E5559" s="5">
        <f t="shared" si="91"/>
        <v>2013</v>
      </c>
      <c r="F5559" s="3" t="s">
        <v>991</v>
      </c>
      <c r="G5559" s="6">
        <v>445</v>
      </c>
      <c r="H5559" s="5">
        <v>18605</v>
      </c>
    </row>
    <row r="5560" spans="2:8" ht="17.5" customHeight="1" x14ac:dyDescent="0.4">
      <c r="B5560" s="3" t="s">
        <v>7</v>
      </c>
      <c r="C5560" s="3" t="s">
        <v>990</v>
      </c>
      <c r="D5560" s="4">
        <f>DATE(2013,5,28)</f>
        <v>41422</v>
      </c>
      <c r="E5560" s="5">
        <f t="shared" si="91"/>
        <v>2013</v>
      </c>
      <c r="F5560" s="3" t="s">
        <v>991</v>
      </c>
      <c r="G5560" s="6">
        <v>1156</v>
      </c>
      <c r="H5560" s="5">
        <v>18627</v>
      </c>
    </row>
    <row r="5561" spans="2:8" ht="17.5" customHeight="1" x14ac:dyDescent="0.4">
      <c r="B5561" s="3" t="s">
        <v>7</v>
      </c>
      <c r="C5561" s="3" t="s">
        <v>990</v>
      </c>
      <c r="D5561" s="4">
        <f>DATE(2013,5,30)</f>
        <v>41424</v>
      </c>
      <c r="E5561" s="5">
        <f t="shared" si="91"/>
        <v>2013</v>
      </c>
      <c r="F5561" s="3" t="s">
        <v>991</v>
      </c>
      <c r="G5561" s="6">
        <v>445</v>
      </c>
      <c r="H5561" s="5">
        <v>18635</v>
      </c>
    </row>
    <row r="5562" spans="2:8" ht="17.5" customHeight="1" x14ac:dyDescent="0.4">
      <c r="B5562" s="3" t="s">
        <v>7</v>
      </c>
      <c r="C5562" s="3" t="s">
        <v>990</v>
      </c>
      <c r="D5562" s="4">
        <f>DATE(2013,6,10)</f>
        <v>41435</v>
      </c>
      <c r="E5562" s="5">
        <f t="shared" si="91"/>
        <v>2013</v>
      </c>
      <c r="F5562" s="3" t="s">
        <v>991</v>
      </c>
      <c r="G5562" s="6">
        <v>22185</v>
      </c>
      <c r="H5562" s="5">
        <v>18555</v>
      </c>
    </row>
    <row r="5563" spans="2:8" ht="17.5" customHeight="1" x14ac:dyDescent="0.4">
      <c r="B5563" s="3" t="s">
        <v>7</v>
      </c>
      <c r="C5563" s="3" t="s">
        <v>990</v>
      </c>
      <c r="D5563" s="4">
        <f>DATE(2013,6,13)</f>
        <v>41438</v>
      </c>
      <c r="E5563" s="5">
        <f t="shared" si="91"/>
        <v>2013</v>
      </c>
      <c r="F5563" s="3" t="s">
        <v>991</v>
      </c>
      <c r="G5563" s="6">
        <v>1160</v>
      </c>
      <c r="H5563" s="5">
        <v>18675</v>
      </c>
    </row>
    <row r="5564" spans="2:8" ht="17.5" customHeight="1" x14ac:dyDescent="0.4">
      <c r="B5564" s="3" t="s">
        <v>7</v>
      </c>
      <c r="C5564" s="3" t="s">
        <v>990</v>
      </c>
      <c r="D5564" s="4">
        <f>DATE(2013,6,13)</f>
        <v>41438</v>
      </c>
      <c r="E5564" s="5">
        <f t="shared" si="91"/>
        <v>2013</v>
      </c>
      <c r="F5564" s="3" t="s">
        <v>991</v>
      </c>
      <c r="G5564" s="6">
        <v>306</v>
      </c>
      <c r="H5564" s="5">
        <v>18683</v>
      </c>
    </row>
    <row r="5565" spans="2:8" ht="17.5" customHeight="1" x14ac:dyDescent="0.4">
      <c r="B5565" s="3" t="s">
        <v>7</v>
      </c>
      <c r="C5565" s="3" t="s">
        <v>990</v>
      </c>
      <c r="D5565" s="4">
        <f>DATE(2013,6,27)</f>
        <v>41452</v>
      </c>
      <c r="E5565" s="5">
        <f t="shared" si="91"/>
        <v>2013</v>
      </c>
      <c r="F5565" s="3" t="s">
        <v>991</v>
      </c>
      <c r="G5565" s="6">
        <v>5052.54</v>
      </c>
      <c r="H5565" s="5">
        <v>18688</v>
      </c>
    </row>
    <row r="5566" spans="2:8" ht="17.5" customHeight="1" x14ac:dyDescent="0.4">
      <c r="B5566" s="3" t="s">
        <v>7</v>
      </c>
      <c r="C5566" s="3" t="s">
        <v>990</v>
      </c>
      <c r="D5566" s="4">
        <f>DATE(2013,6,27)</f>
        <v>41452</v>
      </c>
      <c r="E5566" s="5">
        <f t="shared" si="91"/>
        <v>2013</v>
      </c>
      <c r="F5566" s="3" t="s">
        <v>991</v>
      </c>
      <c r="G5566" s="6">
        <v>2261.6</v>
      </c>
      <c r="H5566" s="5">
        <v>18725</v>
      </c>
    </row>
    <row r="5567" spans="2:8" ht="17.5" customHeight="1" x14ac:dyDescent="0.4">
      <c r="B5567" s="3" t="s">
        <v>7</v>
      </c>
      <c r="C5567" s="3" t="s">
        <v>990</v>
      </c>
      <c r="D5567" s="4">
        <f>DATE(2013,7,3)</f>
        <v>41458</v>
      </c>
      <c r="E5567" s="5">
        <f t="shared" si="91"/>
        <v>2013</v>
      </c>
      <c r="F5567" s="3" t="s">
        <v>991</v>
      </c>
      <c r="G5567" s="6">
        <v>265.89999999999998</v>
      </c>
      <c r="H5567" s="5">
        <v>18733</v>
      </c>
    </row>
    <row r="5568" spans="2:8" ht="17.5" customHeight="1" x14ac:dyDescent="0.4">
      <c r="B5568" s="3" t="s">
        <v>7</v>
      </c>
      <c r="C5568" s="3" t="s">
        <v>990</v>
      </c>
      <c r="D5568" s="4">
        <f>DATE(2013,7,18)</f>
        <v>41473</v>
      </c>
      <c r="E5568" s="5">
        <f t="shared" si="91"/>
        <v>2013</v>
      </c>
      <c r="F5568" s="3" t="s">
        <v>991</v>
      </c>
      <c r="G5568" s="6">
        <v>399</v>
      </c>
      <c r="H5568" s="5">
        <v>18750</v>
      </c>
    </row>
    <row r="5569" spans="2:8" ht="17.5" customHeight="1" x14ac:dyDescent="0.4">
      <c r="B5569" s="3" t="s">
        <v>7</v>
      </c>
      <c r="C5569" s="3" t="s">
        <v>990</v>
      </c>
      <c r="D5569" s="4">
        <f>DATE(2013,7,19)</f>
        <v>41474</v>
      </c>
      <c r="E5569" s="5">
        <f t="shared" si="91"/>
        <v>2013</v>
      </c>
      <c r="F5569" s="3" t="s">
        <v>991</v>
      </c>
      <c r="G5569" s="6">
        <v>640.6</v>
      </c>
      <c r="H5569" s="5">
        <v>18779</v>
      </c>
    </row>
    <row r="5570" spans="2:8" ht="17.5" customHeight="1" x14ac:dyDescent="0.4">
      <c r="B5570" s="3" t="s">
        <v>7</v>
      </c>
      <c r="C5570" s="3" t="s">
        <v>990</v>
      </c>
      <c r="D5570" s="4">
        <f>DATE(2013,7,31)</f>
        <v>41486</v>
      </c>
      <c r="E5570" s="5">
        <f t="shared" si="91"/>
        <v>2013</v>
      </c>
      <c r="F5570" s="3" t="s">
        <v>991</v>
      </c>
      <c r="G5570" s="6">
        <v>3509</v>
      </c>
      <c r="H5570" s="5">
        <v>18812</v>
      </c>
    </row>
    <row r="5571" spans="2:8" ht="17.5" customHeight="1" x14ac:dyDescent="0.4">
      <c r="B5571" s="3" t="s">
        <v>7</v>
      </c>
      <c r="C5571" s="3" t="s">
        <v>990</v>
      </c>
      <c r="D5571" s="4">
        <f>DATE(2013,7,31)</f>
        <v>41486</v>
      </c>
      <c r="E5571" s="5">
        <f t="shared" ref="E5571:E5634" si="92">YEAR(D5571)</f>
        <v>2013</v>
      </c>
      <c r="F5571" s="3" t="s">
        <v>991</v>
      </c>
      <c r="G5571" s="6">
        <v>4009.2</v>
      </c>
      <c r="H5571" s="5">
        <v>18799</v>
      </c>
    </row>
    <row r="5572" spans="2:8" ht="17.5" customHeight="1" x14ac:dyDescent="0.4">
      <c r="B5572" s="3" t="s">
        <v>7</v>
      </c>
      <c r="C5572" s="3" t="s">
        <v>990</v>
      </c>
      <c r="D5572" s="4">
        <f>DATE(2013,8,1)</f>
        <v>41487</v>
      </c>
      <c r="E5572" s="5">
        <f t="shared" si="92"/>
        <v>2013</v>
      </c>
      <c r="F5572" s="3" t="s">
        <v>991</v>
      </c>
      <c r="G5572" s="6">
        <v>320</v>
      </c>
      <c r="H5572" s="5">
        <v>18823</v>
      </c>
    </row>
    <row r="5573" spans="2:8" ht="17.5" customHeight="1" x14ac:dyDescent="0.4">
      <c r="B5573" s="3" t="s">
        <v>7</v>
      </c>
      <c r="C5573" s="3" t="s">
        <v>990</v>
      </c>
      <c r="D5573" s="4">
        <f>DATE(2013,8,7)</f>
        <v>41493</v>
      </c>
      <c r="E5573" s="5">
        <f t="shared" si="92"/>
        <v>2013</v>
      </c>
      <c r="F5573" s="3" t="s">
        <v>991</v>
      </c>
      <c r="G5573" s="6">
        <v>6050</v>
      </c>
      <c r="H5573" s="5">
        <v>18837</v>
      </c>
    </row>
    <row r="5574" spans="2:8" ht="17.5" customHeight="1" x14ac:dyDescent="0.4">
      <c r="B5574" s="3" t="s">
        <v>7</v>
      </c>
      <c r="C5574" s="3" t="s">
        <v>990</v>
      </c>
      <c r="D5574" s="4">
        <f>DATE(2013,8,7)</f>
        <v>41493</v>
      </c>
      <c r="E5574" s="5">
        <f t="shared" si="92"/>
        <v>2013</v>
      </c>
      <c r="F5574" s="3" t="s">
        <v>991</v>
      </c>
      <c r="G5574" s="6">
        <v>17324.25</v>
      </c>
      <c r="H5574" s="5">
        <v>18804</v>
      </c>
    </row>
    <row r="5575" spans="2:8" ht="17.5" customHeight="1" x14ac:dyDescent="0.4">
      <c r="B5575" s="3" t="s">
        <v>7</v>
      </c>
      <c r="C5575" s="3" t="s">
        <v>990</v>
      </c>
      <c r="D5575" s="4">
        <f>DATE(2013,8,7)</f>
        <v>41493</v>
      </c>
      <c r="E5575" s="5">
        <f t="shared" si="92"/>
        <v>2013</v>
      </c>
      <c r="F5575" s="3" t="s">
        <v>991</v>
      </c>
      <c r="G5575" s="6">
        <v>183.6</v>
      </c>
      <c r="H5575" s="5">
        <v>18841</v>
      </c>
    </row>
    <row r="5576" spans="2:8" ht="17.5" customHeight="1" x14ac:dyDescent="0.4">
      <c r="B5576" s="3" t="s">
        <v>7</v>
      </c>
      <c r="C5576" s="3" t="s">
        <v>990</v>
      </c>
      <c r="D5576" s="4">
        <f>DATE(2013,8,13)</f>
        <v>41499</v>
      </c>
      <c r="E5576" s="5">
        <f t="shared" si="92"/>
        <v>2013</v>
      </c>
      <c r="F5576" s="3" t="s">
        <v>991</v>
      </c>
      <c r="G5576" s="6">
        <v>3238.2</v>
      </c>
      <c r="H5576" s="5">
        <v>18838</v>
      </c>
    </row>
    <row r="5577" spans="2:8" ht="17.5" customHeight="1" x14ac:dyDescent="0.4">
      <c r="B5577" s="3" t="s">
        <v>7</v>
      </c>
      <c r="C5577" s="3" t="s">
        <v>990</v>
      </c>
      <c r="D5577" s="4">
        <f>DATE(2013,8,15)</f>
        <v>41501</v>
      </c>
      <c r="E5577" s="5">
        <f t="shared" si="92"/>
        <v>2013</v>
      </c>
      <c r="F5577" s="3" t="s">
        <v>991</v>
      </c>
      <c r="G5577" s="6">
        <v>13944.2</v>
      </c>
      <c r="H5577" s="5">
        <v>18856</v>
      </c>
    </row>
    <row r="5578" spans="2:8" ht="17.5" customHeight="1" x14ac:dyDescent="0.4">
      <c r="B5578" s="3" t="s">
        <v>7</v>
      </c>
      <c r="C5578" s="3" t="s">
        <v>990</v>
      </c>
      <c r="D5578" s="4">
        <f>DATE(2013,8,15)</f>
        <v>41501</v>
      </c>
      <c r="E5578" s="5">
        <f t="shared" si="92"/>
        <v>2013</v>
      </c>
      <c r="F5578" s="3" t="s">
        <v>991</v>
      </c>
      <c r="G5578" s="6">
        <v>4180</v>
      </c>
      <c r="H5578" s="5">
        <v>18850</v>
      </c>
    </row>
    <row r="5579" spans="2:8" ht="17.5" customHeight="1" x14ac:dyDescent="0.4">
      <c r="B5579" s="3" t="s">
        <v>7</v>
      </c>
      <c r="C5579" s="3" t="s">
        <v>990</v>
      </c>
      <c r="D5579" s="4">
        <f>DATE(2013,8,15)</f>
        <v>41501</v>
      </c>
      <c r="E5579" s="5">
        <f t="shared" si="92"/>
        <v>2013</v>
      </c>
      <c r="F5579" s="3" t="s">
        <v>991</v>
      </c>
      <c r="G5579" s="6">
        <v>3520.5</v>
      </c>
      <c r="H5579" s="5">
        <v>18849</v>
      </c>
    </row>
    <row r="5580" spans="2:8" ht="17.5" customHeight="1" x14ac:dyDescent="0.4">
      <c r="B5580" s="3" t="s">
        <v>7</v>
      </c>
      <c r="C5580" s="3" t="s">
        <v>990</v>
      </c>
      <c r="D5580" s="4">
        <f>DATE(2013,8,16)</f>
        <v>41502</v>
      </c>
      <c r="E5580" s="5">
        <f t="shared" si="92"/>
        <v>2013</v>
      </c>
      <c r="F5580" s="3" t="s">
        <v>991</v>
      </c>
      <c r="G5580" s="6">
        <v>250</v>
      </c>
      <c r="H5580" s="5">
        <v>18893</v>
      </c>
    </row>
    <row r="5581" spans="2:8" ht="17.5" customHeight="1" x14ac:dyDescent="0.4">
      <c r="B5581" s="3" t="s">
        <v>7</v>
      </c>
      <c r="C5581" s="3" t="s">
        <v>990</v>
      </c>
      <c r="D5581" s="4">
        <f>DATE(2013,8,22)</f>
        <v>41508</v>
      </c>
      <c r="E5581" s="5">
        <f t="shared" si="92"/>
        <v>2013</v>
      </c>
      <c r="F5581" s="3" t="s">
        <v>991</v>
      </c>
      <c r="G5581" s="6">
        <v>3825</v>
      </c>
      <c r="H5581" s="5">
        <v>18905</v>
      </c>
    </row>
    <row r="5582" spans="2:8" ht="17.5" customHeight="1" x14ac:dyDescent="0.4">
      <c r="B5582" s="3" t="s">
        <v>7</v>
      </c>
      <c r="C5582" s="3" t="s">
        <v>990</v>
      </c>
      <c r="D5582" s="4">
        <f>DATE(2013,8,22)</f>
        <v>41508</v>
      </c>
      <c r="E5582" s="5">
        <f t="shared" si="92"/>
        <v>2013</v>
      </c>
      <c r="F5582" s="3" t="s">
        <v>991</v>
      </c>
      <c r="G5582" s="6">
        <v>2002.04</v>
      </c>
      <c r="H5582" s="5">
        <v>18886</v>
      </c>
    </row>
    <row r="5583" spans="2:8" ht="17.5" customHeight="1" x14ac:dyDescent="0.4">
      <c r="B5583" s="3" t="s">
        <v>7</v>
      </c>
      <c r="C5583" s="3" t="s">
        <v>990</v>
      </c>
      <c r="D5583" s="4">
        <f>DATE(2013,8,29)</f>
        <v>41515</v>
      </c>
      <c r="E5583" s="5">
        <f t="shared" si="92"/>
        <v>2013</v>
      </c>
      <c r="F5583" s="3" t="s">
        <v>991</v>
      </c>
      <c r="G5583" s="6">
        <v>21920.31</v>
      </c>
      <c r="H5583" s="5">
        <v>18906</v>
      </c>
    </row>
    <row r="5584" spans="2:8" ht="17.5" customHeight="1" x14ac:dyDescent="0.4">
      <c r="B5584" s="3" t="s">
        <v>7</v>
      </c>
      <c r="C5584" s="3" t="s">
        <v>990</v>
      </c>
      <c r="D5584" s="4">
        <f>DATE(2013,8,30)</f>
        <v>41516</v>
      </c>
      <c r="E5584" s="5">
        <f t="shared" si="92"/>
        <v>2013</v>
      </c>
      <c r="F5584" s="3" t="s">
        <v>991</v>
      </c>
      <c r="G5584" s="6">
        <v>323</v>
      </c>
      <c r="H5584" s="5">
        <v>18934</v>
      </c>
    </row>
    <row r="5585" spans="2:8" ht="17.5" customHeight="1" x14ac:dyDescent="0.4">
      <c r="B5585" s="3" t="s">
        <v>7</v>
      </c>
      <c r="C5585" s="3" t="s">
        <v>990</v>
      </c>
      <c r="D5585" s="4">
        <f>DATE(2013,9,10)</f>
        <v>41527</v>
      </c>
      <c r="E5585" s="5">
        <f t="shared" si="92"/>
        <v>2013</v>
      </c>
      <c r="F5585" s="3" t="s">
        <v>991</v>
      </c>
      <c r="G5585" s="6">
        <v>23172.85</v>
      </c>
      <c r="H5585" s="5">
        <v>18950</v>
      </c>
    </row>
    <row r="5586" spans="2:8" ht="17.5" customHeight="1" x14ac:dyDescent="0.4">
      <c r="B5586" s="3" t="s">
        <v>7</v>
      </c>
      <c r="C5586" s="3" t="s">
        <v>990</v>
      </c>
      <c r="D5586" s="4">
        <f>DATE(2013,9,11)</f>
        <v>41528</v>
      </c>
      <c r="E5586" s="5">
        <f t="shared" si="92"/>
        <v>2013</v>
      </c>
      <c r="F5586" s="3" t="s">
        <v>991</v>
      </c>
      <c r="G5586" s="6">
        <v>2320</v>
      </c>
      <c r="H5586" s="5">
        <v>18949</v>
      </c>
    </row>
    <row r="5587" spans="2:8" ht="17.5" customHeight="1" x14ac:dyDescent="0.4">
      <c r="B5587" s="3" t="s">
        <v>7</v>
      </c>
      <c r="C5587" s="3" t="s">
        <v>990</v>
      </c>
      <c r="D5587" s="4">
        <f>DATE(2013,9,12)</f>
        <v>41529</v>
      </c>
      <c r="E5587" s="5">
        <f t="shared" si="92"/>
        <v>2013</v>
      </c>
      <c r="F5587" s="3" t="s">
        <v>991</v>
      </c>
      <c r="G5587" s="6">
        <v>308.39999999999998</v>
      </c>
      <c r="H5587" s="5">
        <v>18964</v>
      </c>
    </row>
    <row r="5588" spans="2:8" ht="17.5" customHeight="1" x14ac:dyDescent="0.4">
      <c r="B5588" s="3" t="s">
        <v>7</v>
      </c>
      <c r="C5588" s="3" t="s">
        <v>990</v>
      </c>
      <c r="D5588" s="4">
        <f>DATE(2013,9,19)</f>
        <v>41536</v>
      </c>
      <c r="E5588" s="5">
        <f t="shared" si="92"/>
        <v>2013</v>
      </c>
      <c r="F5588" s="3" t="s">
        <v>991</v>
      </c>
      <c r="G5588" s="6">
        <v>25440.46</v>
      </c>
      <c r="H5588" s="5">
        <v>18907</v>
      </c>
    </row>
    <row r="5589" spans="2:8" ht="17.5" customHeight="1" x14ac:dyDescent="0.4">
      <c r="B5589" s="3" t="s">
        <v>7</v>
      </c>
      <c r="C5589" s="3" t="s">
        <v>990</v>
      </c>
      <c r="D5589" s="4">
        <f>DATE(2013,9,20)</f>
        <v>41537</v>
      </c>
      <c r="E5589" s="5">
        <f t="shared" si="92"/>
        <v>2013</v>
      </c>
      <c r="F5589" s="3" t="s">
        <v>991</v>
      </c>
      <c r="G5589" s="6">
        <v>2056.06</v>
      </c>
      <c r="H5589" s="5">
        <v>18991</v>
      </c>
    </row>
    <row r="5590" spans="2:8" ht="17.5" customHeight="1" x14ac:dyDescent="0.4">
      <c r="B5590" s="3" t="s">
        <v>7</v>
      </c>
      <c r="C5590" s="3" t="s">
        <v>990</v>
      </c>
      <c r="D5590" s="4">
        <f>DATE(2013,9,26)</f>
        <v>41543</v>
      </c>
      <c r="E5590" s="5">
        <f t="shared" si="92"/>
        <v>2013</v>
      </c>
      <c r="F5590" s="3" t="s">
        <v>991</v>
      </c>
      <c r="G5590" s="6">
        <v>1250</v>
      </c>
      <c r="H5590" s="5">
        <v>19021</v>
      </c>
    </row>
    <row r="5591" spans="2:8" ht="17.5" customHeight="1" x14ac:dyDescent="0.4">
      <c r="B5591" s="3" t="s">
        <v>7</v>
      </c>
      <c r="C5591" s="3" t="s">
        <v>990</v>
      </c>
      <c r="D5591" s="4">
        <f>DATE(2013,9,27)</f>
        <v>41544</v>
      </c>
      <c r="E5591" s="5">
        <f t="shared" si="92"/>
        <v>2013</v>
      </c>
      <c r="F5591" s="3" t="s">
        <v>991</v>
      </c>
      <c r="G5591" s="6">
        <v>4470</v>
      </c>
      <c r="H5591" s="5">
        <v>19020</v>
      </c>
    </row>
    <row r="5592" spans="2:8" ht="17.5" customHeight="1" x14ac:dyDescent="0.4">
      <c r="B5592" s="3" t="s">
        <v>7</v>
      </c>
      <c r="C5592" s="3" t="s">
        <v>990</v>
      </c>
      <c r="D5592" s="4">
        <f>DATE(2013,10,8)</f>
        <v>41555</v>
      </c>
      <c r="E5592" s="5">
        <f t="shared" si="92"/>
        <v>2013</v>
      </c>
      <c r="F5592" s="3" t="s">
        <v>991</v>
      </c>
      <c r="G5592" s="6">
        <v>1028</v>
      </c>
      <c r="H5592" s="5">
        <v>19032</v>
      </c>
    </row>
    <row r="5593" spans="2:8" ht="17.5" customHeight="1" x14ac:dyDescent="0.4">
      <c r="B5593" s="3" t="s">
        <v>7</v>
      </c>
      <c r="C5593" s="3" t="s">
        <v>990</v>
      </c>
      <c r="D5593" s="4">
        <f>DATE(2013,10,17)</f>
        <v>41564</v>
      </c>
      <c r="E5593" s="5">
        <f t="shared" si="92"/>
        <v>2013</v>
      </c>
      <c r="F5593" s="3" t="s">
        <v>991</v>
      </c>
      <c r="G5593" s="6">
        <v>445</v>
      </c>
      <c r="H5593" s="5">
        <v>19085</v>
      </c>
    </row>
    <row r="5594" spans="2:8" ht="17.5" customHeight="1" x14ac:dyDescent="0.4">
      <c r="B5594" s="3" t="s">
        <v>7</v>
      </c>
      <c r="C5594" s="3" t="s">
        <v>990</v>
      </c>
      <c r="D5594" s="4">
        <f>DATE(2013,10,18)</f>
        <v>41565</v>
      </c>
      <c r="E5594" s="5">
        <f t="shared" si="92"/>
        <v>2013</v>
      </c>
      <c r="F5594" s="3" t="s">
        <v>991</v>
      </c>
      <c r="G5594" s="6">
        <v>825</v>
      </c>
      <c r="H5594" s="5">
        <v>19113</v>
      </c>
    </row>
    <row r="5595" spans="2:8" ht="17.5" customHeight="1" x14ac:dyDescent="0.4">
      <c r="B5595" s="3" t="s">
        <v>7</v>
      </c>
      <c r="C5595" s="3" t="s">
        <v>990</v>
      </c>
      <c r="D5595" s="4">
        <f>DATE(2013,10,31)</f>
        <v>41578</v>
      </c>
      <c r="E5595" s="5">
        <f t="shared" si="92"/>
        <v>2013</v>
      </c>
      <c r="F5595" s="3" t="s">
        <v>991</v>
      </c>
      <c r="G5595" s="6">
        <v>756.5</v>
      </c>
      <c r="H5595" s="5">
        <v>19161</v>
      </c>
    </row>
    <row r="5596" spans="2:8" ht="17.5" customHeight="1" x14ac:dyDescent="0.4">
      <c r="B5596" s="3" t="s">
        <v>7</v>
      </c>
      <c r="C5596" s="3" t="s">
        <v>990</v>
      </c>
      <c r="D5596" s="4">
        <f>DATE(2013,11,7)</f>
        <v>41585</v>
      </c>
      <c r="E5596" s="5">
        <f t="shared" si="92"/>
        <v>2013</v>
      </c>
      <c r="F5596" s="3" t="s">
        <v>991</v>
      </c>
      <c r="G5596" s="6">
        <v>5445</v>
      </c>
      <c r="H5596" s="5">
        <v>19182</v>
      </c>
    </row>
    <row r="5597" spans="2:8" ht="17.5" customHeight="1" x14ac:dyDescent="0.4">
      <c r="B5597" s="3" t="s">
        <v>7</v>
      </c>
      <c r="C5597" s="3" t="s">
        <v>990</v>
      </c>
      <c r="D5597" s="4">
        <f>DATE(2013,11,7)</f>
        <v>41585</v>
      </c>
      <c r="E5597" s="5">
        <f t="shared" si="92"/>
        <v>2013</v>
      </c>
      <c r="F5597" s="3" t="s">
        <v>991</v>
      </c>
      <c r="G5597" s="6">
        <v>1088.8599999999999</v>
      </c>
      <c r="H5597" s="5">
        <v>19140</v>
      </c>
    </row>
    <row r="5598" spans="2:8" ht="17.5" customHeight="1" x14ac:dyDescent="0.4">
      <c r="B5598" s="3" t="s">
        <v>7</v>
      </c>
      <c r="C5598" s="3" t="s">
        <v>990</v>
      </c>
      <c r="D5598" s="4">
        <f>DATE(2013,11,15)</f>
        <v>41593</v>
      </c>
      <c r="E5598" s="5">
        <f t="shared" si="92"/>
        <v>2013</v>
      </c>
      <c r="F5598" s="3" t="s">
        <v>991</v>
      </c>
      <c r="G5598" s="6">
        <v>578.5</v>
      </c>
      <c r="H5598" s="5">
        <v>19226</v>
      </c>
    </row>
    <row r="5599" spans="2:8" ht="17.5" customHeight="1" x14ac:dyDescent="0.4">
      <c r="B5599" s="3" t="s">
        <v>7</v>
      </c>
      <c r="C5599" s="3" t="s">
        <v>990</v>
      </c>
      <c r="D5599" s="4">
        <f>DATE(2013,11,18)</f>
        <v>41596</v>
      </c>
      <c r="E5599" s="5">
        <f t="shared" si="92"/>
        <v>2013</v>
      </c>
      <c r="F5599" s="3" t="s">
        <v>991</v>
      </c>
      <c r="G5599" s="6">
        <v>8082.54</v>
      </c>
      <c r="H5599" s="5">
        <v>19212</v>
      </c>
    </row>
    <row r="5600" spans="2:8" ht="17.5" customHeight="1" x14ac:dyDescent="0.4">
      <c r="B5600" s="3" t="s">
        <v>7</v>
      </c>
      <c r="C5600" s="3" t="s">
        <v>990</v>
      </c>
      <c r="D5600" s="4">
        <f>DATE(2013,12,17)</f>
        <v>41625</v>
      </c>
      <c r="E5600" s="5">
        <f t="shared" si="92"/>
        <v>2013</v>
      </c>
      <c r="F5600" s="3" t="s">
        <v>991</v>
      </c>
      <c r="G5600" s="6">
        <v>4500</v>
      </c>
      <c r="H5600" s="5">
        <v>19306</v>
      </c>
    </row>
    <row r="5601" spans="2:8" ht="17.5" customHeight="1" x14ac:dyDescent="0.4">
      <c r="B5601" s="3" t="s">
        <v>7</v>
      </c>
      <c r="C5601" s="3" t="s">
        <v>990</v>
      </c>
      <c r="D5601" s="4">
        <f>DATE(2014,1,13)</f>
        <v>41652</v>
      </c>
      <c r="E5601" s="5">
        <f t="shared" si="92"/>
        <v>2014</v>
      </c>
      <c r="F5601" s="3" t="s">
        <v>991</v>
      </c>
      <c r="G5601" s="6">
        <v>890</v>
      </c>
      <c r="H5601" s="5">
        <v>19340</v>
      </c>
    </row>
    <row r="5602" spans="2:8" ht="17.5" customHeight="1" x14ac:dyDescent="0.4">
      <c r="B5602" s="3" t="s">
        <v>7</v>
      </c>
      <c r="C5602" s="3" t="s">
        <v>990</v>
      </c>
      <c r="D5602" s="4">
        <f>DATE(2014,1,16)</f>
        <v>41655</v>
      </c>
      <c r="E5602" s="5">
        <f t="shared" si="92"/>
        <v>2014</v>
      </c>
      <c r="F5602" s="3" t="s">
        <v>991</v>
      </c>
      <c r="G5602" s="6">
        <v>488.75</v>
      </c>
      <c r="H5602" s="5">
        <v>19363</v>
      </c>
    </row>
    <row r="5603" spans="2:8" ht="17.5" customHeight="1" x14ac:dyDescent="0.4">
      <c r="B5603" s="3" t="s">
        <v>7</v>
      </c>
      <c r="C5603" s="3" t="s">
        <v>990</v>
      </c>
      <c r="D5603" s="4">
        <f>DATE(2014,1,16)</f>
        <v>41655</v>
      </c>
      <c r="E5603" s="5">
        <f t="shared" si="92"/>
        <v>2014</v>
      </c>
      <c r="F5603" s="3" t="s">
        <v>991</v>
      </c>
      <c r="G5603" s="6">
        <v>4391.8</v>
      </c>
      <c r="H5603" s="5">
        <v>19338</v>
      </c>
    </row>
    <row r="5604" spans="2:8" ht="17.5" customHeight="1" x14ac:dyDescent="0.4">
      <c r="B5604" s="3" t="s">
        <v>7</v>
      </c>
      <c r="C5604" s="3" t="s">
        <v>990</v>
      </c>
      <c r="D5604" s="4">
        <f>DATE(2014,1,29)</f>
        <v>41668</v>
      </c>
      <c r="E5604" s="5">
        <f t="shared" si="92"/>
        <v>2014</v>
      </c>
      <c r="F5604" s="3" t="s">
        <v>991</v>
      </c>
      <c r="G5604" s="6">
        <v>644.4</v>
      </c>
      <c r="H5604" s="5">
        <v>19423</v>
      </c>
    </row>
    <row r="5605" spans="2:8" ht="17.5" customHeight="1" x14ac:dyDescent="0.4">
      <c r="B5605" s="3" t="s">
        <v>7</v>
      </c>
      <c r="C5605" s="3" t="s">
        <v>990</v>
      </c>
      <c r="D5605" s="4">
        <f>DATE(2014,2,17)</f>
        <v>41687</v>
      </c>
      <c r="E5605" s="5">
        <f t="shared" si="92"/>
        <v>2014</v>
      </c>
      <c r="F5605" s="3" t="s">
        <v>991</v>
      </c>
      <c r="G5605" s="6">
        <v>427.5</v>
      </c>
      <c r="H5605" s="5">
        <v>19509</v>
      </c>
    </row>
    <row r="5606" spans="2:8" ht="17.5" customHeight="1" x14ac:dyDescent="0.4">
      <c r="B5606" s="3" t="s">
        <v>7</v>
      </c>
      <c r="C5606" s="3" t="s">
        <v>990</v>
      </c>
      <c r="D5606" s="4">
        <f>DATE(2014,2,27)</f>
        <v>41697</v>
      </c>
      <c r="E5606" s="5">
        <f t="shared" si="92"/>
        <v>2014</v>
      </c>
      <c r="F5606" s="3" t="s">
        <v>991</v>
      </c>
      <c r="G5606" s="6">
        <v>516.23</v>
      </c>
      <c r="H5606" s="5">
        <v>19583</v>
      </c>
    </row>
    <row r="5607" spans="2:8" ht="17.5" customHeight="1" x14ac:dyDescent="0.4">
      <c r="B5607" s="3" t="s">
        <v>7</v>
      </c>
      <c r="C5607" s="3" t="s">
        <v>990</v>
      </c>
      <c r="D5607" s="4">
        <f>DATE(2014,3,4)</f>
        <v>41702</v>
      </c>
      <c r="E5607" s="5">
        <f t="shared" si="92"/>
        <v>2014</v>
      </c>
      <c r="F5607" s="3" t="s">
        <v>991</v>
      </c>
      <c r="G5607" s="6">
        <v>1000</v>
      </c>
      <c r="H5607" s="5">
        <v>19627</v>
      </c>
    </row>
    <row r="5608" spans="2:8" ht="17.5" customHeight="1" x14ac:dyDescent="0.4">
      <c r="B5608" s="3" t="s">
        <v>7</v>
      </c>
      <c r="C5608" s="3" t="s">
        <v>990</v>
      </c>
      <c r="D5608" s="4">
        <f>DATE(2014,3,7)</f>
        <v>41705</v>
      </c>
      <c r="E5608" s="5">
        <f t="shared" si="92"/>
        <v>2014</v>
      </c>
      <c r="F5608" s="3" t="s">
        <v>991</v>
      </c>
      <c r="G5608" s="6">
        <v>4180</v>
      </c>
      <c r="H5608" s="5">
        <v>19639</v>
      </c>
    </row>
    <row r="5609" spans="2:8" ht="17.5" customHeight="1" x14ac:dyDescent="0.4">
      <c r="B5609" s="3" t="s">
        <v>7</v>
      </c>
      <c r="C5609" s="3" t="s">
        <v>990</v>
      </c>
      <c r="D5609" s="4">
        <f>DATE(2014,3,13)</f>
        <v>41711</v>
      </c>
      <c r="E5609" s="5">
        <f t="shared" si="92"/>
        <v>2014</v>
      </c>
      <c r="F5609" s="3" t="s">
        <v>991</v>
      </c>
      <c r="G5609" s="6">
        <v>1210</v>
      </c>
      <c r="H5609" s="5">
        <v>19651</v>
      </c>
    </row>
    <row r="5610" spans="2:8" ht="17.5" customHeight="1" x14ac:dyDescent="0.4">
      <c r="B5610" s="3" t="s">
        <v>7</v>
      </c>
      <c r="C5610" s="3" t="s">
        <v>990</v>
      </c>
      <c r="D5610" s="4">
        <f>DATE(2014,3,13)</f>
        <v>41711</v>
      </c>
      <c r="E5610" s="5">
        <f t="shared" si="92"/>
        <v>2014</v>
      </c>
      <c r="F5610" s="3" t="s">
        <v>991</v>
      </c>
      <c r="G5610" s="6">
        <v>2090</v>
      </c>
      <c r="H5610" s="5">
        <v>19670</v>
      </c>
    </row>
    <row r="5611" spans="2:8" ht="17.5" customHeight="1" x14ac:dyDescent="0.4">
      <c r="B5611" s="3" t="s">
        <v>7</v>
      </c>
      <c r="C5611" s="3" t="s">
        <v>990</v>
      </c>
      <c r="D5611" s="4">
        <f>DATE(2014,3,20)</f>
        <v>41718</v>
      </c>
      <c r="E5611" s="5">
        <f t="shared" si="92"/>
        <v>2014</v>
      </c>
      <c r="F5611" s="3" t="s">
        <v>991</v>
      </c>
      <c r="G5611" s="6">
        <v>786.5</v>
      </c>
      <c r="H5611" s="5">
        <v>19724</v>
      </c>
    </row>
    <row r="5612" spans="2:8" ht="17.5" customHeight="1" x14ac:dyDescent="0.4">
      <c r="B5612" s="3" t="s">
        <v>7</v>
      </c>
      <c r="C5612" s="3" t="s">
        <v>990</v>
      </c>
      <c r="D5612" s="4">
        <f>DATE(2014,4,8)</f>
        <v>41737</v>
      </c>
      <c r="E5612" s="5">
        <f t="shared" si="92"/>
        <v>2014</v>
      </c>
      <c r="F5612" s="3" t="s">
        <v>991</v>
      </c>
      <c r="G5612" s="6">
        <v>1250</v>
      </c>
      <c r="H5612" s="5">
        <v>19825</v>
      </c>
    </row>
    <row r="5613" spans="2:8" ht="17.5" customHeight="1" x14ac:dyDescent="0.4">
      <c r="B5613" s="3" t="s">
        <v>7</v>
      </c>
      <c r="C5613" s="3" t="s">
        <v>990</v>
      </c>
      <c r="D5613" s="4">
        <f>DATE(2014,4,11)</f>
        <v>41740</v>
      </c>
      <c r="E5613" s="5">
        <f t="shared" si="92"/>
        <v>2014</v>
      </c>
      <c r="F5613" s="3" t="s">
        <v>991</v>
      </c>
      <c r="G5613" s="6">
        <v>3750</v>
      </c>
      <c r="H5613" s="5">
        <v>19812</v>
      </c>
    </row>
    <row r="5614" spans="2:8" ht="17.5" customHeight="1" x14ac:dyDescent="0.4">
      <c r="B5614" s="3" t="s">
        <v>7</v>
      </c>
      <c r="C5614" s="3" t="s">
        <v>990</v>
      </c>
      <c r="D5614" s="4">
        <f>DATE(2014,4,11)</f>
        <v>41740</v>
      </c>
      <c r="E5614" s="5">
        <f t="shared" si="92"/>
        <v>2014</v>
      </c>
      <c r="F5614" s="3" t="s">
        <v>991</v>
      </c>
      <c r="G5614" s="6">
        <v>2752</v>
      </c>
      <c r="H5614" s="5">
        <v>19826</v>
      </c>
    </row>
    <row r="5615" spans="2:8" ht="17.5" customHeight="1" x14ac:dyDescent="0.4">
      <c r="B5615" s="3" t="s">
        <v>7</v>
      </c>
      <c r="C5615" s="3" t="s">
        <v>990</v>
      </c>
      <c r="D5615" s="4">
        <f>DATE(2014,4,11)</f>
        <v>41740</v>
      </c>
      <c r="E5615" s="5">
        <f t="shared" si="92"/>
        <v>2014</v>
      </c>
      <c r="F5615" s="3" t="s">
        <v>991</v>
      </c>
      <c r="G5615" s="6">
        <v>8634.2999999999993</v>
      </c>
      <c r="H5615" s="5">
        <v>19811</v>
      </c>
    </row>
    <row r="5616" spans="2:8" ht="17.5" customHeight="1" x14ac:dyDescent="0.4">
      <c r="B5616" s="3" t="s">
        <v>7</v>
      </c>
      <c r="C5616" s="3" t="s">
        <v>990</v>
      </c>
      <c r="D5616" s="4">
        <f>DATE(2014,4,16)</f>
        <v>41745</v>
      </c>
      <c r="E5616" s="5">
        <f t="shared" si="92"/>
        <v>2014</v>
      </c>
      <c r="F5616" s="3" t="s">
        <v>991</v>
      </c>
      <c r="G5616" s="6">
        <v>1045</v>
      </c>
      <c r="H5616" s="5">
        <v>19853</v>
      </c>
    </row>
    <row r="5617" spans="2:8" ht="17.5" customHeight="1" x14ac:dyDescent="0.4">
      <c r="B5617" s="3" t="s">
        <v>7</v>
      </c>
      <c r="C5617" s="3" t="s">
        <v>990</v>
      </c>
      <c r="D5617" s="4">
        <f>DATE(2014,4,28)</f>
        <v>41757</v>
      </c>
      <c r="E5617" s="5">
        <f t="shared" si="92"/>
        <v>2014</v>
      </c>
      <c r="F5617" s="3" t="s">
        <v>991</v>
      </c>
      <c r="G5617" s="6">
        <v>3630</v>
      </c>
      <c r="H5617" s="5">
        <v>19857</v>
      </c>
    </row>
    <row r="5618" spans="2:8" ht="17.5" customHeight="1" x14ac:dyDescent="0.4">
      <c r="B5618" s="3" t="s">
        <v>7</v>
      </c>
      <c r="C5618" s="3" t="s">
        <v>990</v>
      </c>
      <c r="D5618" s="4">
        <f>DATE(2014,5,5)</f>
        <v>41764</v>
      </c>
      <c r="E5618" s="5">
        <f t="shared" si="92"/>
        <v>2014</v>
      </c>
      <c r="F5618" s="3" t="s">
        <v>991</v>
      </c>
      <c r="G5618" s="6">
        <v>5523.3</v>
      </c>
      <c r="H5618" s="5">
        <v>19933</v>
      </c>
    </row>
    <row r="5619" spans="2:8" ht="17.5" customHeight="1" x14ac:dyDescent="0.4">
      <c r="B5619" s="3" t="s">
        <v>7</v>
      </c>
      <c r="C5619" s="3" t="s">
        <v>990</v>
      </c>
      <c r="D5619" s="4">
        <f>DATE(2014,5,8)</f>
        <v>41767</v>
      </c>
      <c r="E5619" s="5">
        <f t="shared" si="92"/>
        <v>2014</v>
      </c>
      <c r="F5619" s="3" t="s">
        <v>991</v>
      </c>
      <c r="G5619" s="6">
        <v>202.14</v>
      </c>
      <c r="H5619" s="5">
        <v>19953</v>
      </c>
    </row>
    <row r="5620" spans="2:8" ht="17.5" customHeight="1" x14ac:dyDescent="0.4">
      <c r="B5620" s="3" t="s">
        <v>7</v>
      </c>
      <c r="C5620" s="3" t="s">
        <v>990</v>
      </c>
      <c r="D5620" s="4">
        <f>DATE(2014,5,8)</f>
        <v>41767</v>
      </c>
      <c r="E5620" s="5">
        <f t="shared" si="92"/>
        <v>2014</v>
      </c>
      <c r="F5620" s="3" t="s">
        <v>991</v>
      </c>
      <c r="G5620" s="6">
        <v>4610.8</v>
      </c>
      <c r="H5620" s="5">
        <v>19934</v>
      </c>
    </row>
    <row r="5621" spans="2:8" ht="17.5" customHeight="1" x14ac:dyDescent="0.4">
      <c r="B5621" s="3" t="s">
        <v>7</v>
      </c>
      <c r="C5621" s="3" t="s">
        <v>990</v>
      </c>
      <c r="D5621" s="4">
        <f>DATE(2014,5,12)</f>
        <v>41771</v>
      </c>
      <c r="E5621" s="5">
        <f t="shared" si="92"/>
        <v>2014</v>
      </c>
      <c r="F5621" s="3" t="s">
        <v>991</v>
      </c>
      <c r="G5621" s="6">
        <v>8088.75</v>
      </c>
      <c r="H5621" s="5">
        <v>19927</v>
      </c>
    </row>
    <row r="5622" spans="2:8" ht="17.5" customHeight="1" x14ac:dyDescent="0.4">
      <c r="B5622" s="3" t="s">
        <v>7</v>
      </c>
      <c r="C5622" s="3" t="s">
        <v>990</v>
      </c>
      <c r="D5622" s="4">
        <f>DATE(2014,5,13)</f>
        <v>41772</v>
      </c>
      <c r="E5622" s="5">
        <f t="shared" si="92"/>
        <v>2014</v>
      </c>
      <c r="F5622" s="3" t="s">
        <v>991</v>
      </c>
      <c r="G5622" s="6">
        <v>3759</v>
      </c>
      <c r="H5622" s="5">
        <v>19954</v>
      </c>
    </row>
    <row r="5623" spans="2:8" ht="17.5" customHeight="1" x14ac:dyDescent="0.4">
      <c r="B5623" s="3" t="s">
        <v>7</v>
      </c>
      <c r="C5623" s="3" t="s">
        <v>990</v>
      </c>
      <c r="D5623" s="4">
        <f>DATE(2014,6,9)</f>
        <v>41799</v>
      </c>
      <c r="E5623" s="5">
        <f t="shared" si="92"/>
        <v>2014</v>
      </c>
      <c r="F5623" s="3" t="s">
        <v>991</v>
      </c>
      <c r="G5623" s="6">
        <v>1734.8</v>
      </c>
      <c r="H5623" s="5">
        <v>19994</v>
      </c>
    </row>
    <row r="5624" spans="2:8" ht="17.5" customHeight="1" x14ac:dyDescent="0.4">
      <c r="B5624" s="3" t="s">
        <v>7</v>
      </c>
      <c r="C5624" s="3" t="s">
        <v>990</v>
      </c>
      <c r="D5624" s="4">
        <f>DATE(2014,6,11)</f>
        <v>41801</v>
      </c>
      <c r="E5624" s="5">
        <f t="shared" si="92"/>
        <v>2014</v>
      </c>
      <c r="F5624" s="3" t="s">
        <v>991</v>
      </c>
      <c r="G5624" s="6">
        <v>445</v>
      </c>
      <c r="H5624" s="5">
        <v>20056</v>
      </c>
    </row>
    <row r="5625" spans="2:8" ht="17.5" customHeight="1" x14ac:dyDescent="0.4">
      <c r="B5625" s="3" t="s">
        <v>7</v>
      </c>
      <c r="C5625" s="3" t="s">
        <v>990</v>
      </c>
      <c r="D5625" s="4">
        <f>DATE(2014,6,20)</f>
        <v>41810</v>
      </c>
      <c r="E5625" s="5">
        <f t="shared" si="92"/>
        <v>2014</v>
      </c>
      <c r="F5625" s="3" t="s">
        <v>991</v>
      </c>
      <c r="G5625" s="6">
        <v>12954</v>
      </c>
      <c r="H5625" s="5">
        <v>20064</v>
      </c>
    </row>
    <row r="5626" spans="2:8" ht="17.5" customHeight="1" x14ac:dyDescent="0.4">
      <c r="B5626" s="3" t="s">
        <v>7</v>
      </c>
      <c r="C5626" s="3" t="s">
        <v>990</v>
      </c>
      <c r="D5626" s="4">
        <f>DATE(2014,6,24)</f>
        <v>41814</v>
      </c>
      <c r="E5626" s="5">
        <f t="shared" si="92"/>
        <v>2014</v>
      </c>
      <c r="F5626" s="3" t="s">
        <v>991</v>
      </c>
      <c r="G5626" s="6">
        <v>487.9</v>
      </c>
      <c r="H5626" s="5">
        <v>20102</v>
      </c>
    </row>
    <row r="5627" spans="2:8" ht="17.5" customHeight="1" x14ac:dyDescent="0.4">
      <c r="B5627" s="3" t="s">
        <v>7</v>
      </c>
      <c r="C5627" s="3" t="s">
        <v>990</v>
      </c>
      <c r="D5627" s="4">
        <f>DATE(2014,7,2)</f>
        <v>41822</v>
      </c>
      <c r="E5627" s="5">
        <f t="shared" si="92"/>
        <v>2014</v>
      </c>
      <c r="F5627" s="3" t="s">
        <v>991</v>
      </c>
      <c r="G5627" s="6">
        <v>2320</v>
      </c>
      <c r="H5627" s="5">
        <v>20127</v>
      </c>
    </row>
    <row r="5628" spans="2:8" ht="17.5" customHeight="1" x14ac:dyDescent="0.4">
      <c r="B5628" s="3" t="s">
        <v>7</v>
      </c>
      <c r="C5628" s="3" t="s">
        <v>990</v>
      </c>
      <c r="D5628" s="4">
        <f>DATE(2014,7,17)</f>
        <v>41837</v>
      </c>
      <c r="E5628" s="5">
        <f t="shared" si="92"/>
        <v>2014</v>
      </c>
      <c r="F5628" s="3" t="s">
        <v>991</v>
      </c>
      <c r="G5628" s="6">
        <v>257</v>
      </c>
      <c r="H5628" s="5">
        <v>20180</v>
      </c>
    </row>
    <row r="5629" spans="2:8" ht="17.5" customHeight="1" x14ac:dyDescent="0.4">
      <c r="B5629" s="3" t="s">
        <v>7</v>
      </c>
      <c r="C5629" s="3" t="s">
        <v>990</v>
      </c>
      <c r="D5629" s="4">
        <f>DATE(2014,7,17)</f>
        <v>41837</v>
      </c>
      <c r="E5629" s="5">
        <f t="shared" si="92"/>
        <v>2014</v>
      </c>
      <c r="F5629" s="3" t="s">
        <v>991</v>
      </c>
      <c r="G5629" s="6">
        <v>97.75</v>
      </c>
      <c r="H5629" s="5">
        <v>20170</v>
      </c>
    </row>
    <row r="5630" spans="2:8" ht="17.5" customHeight="1" x14ac:dyDescent="0.4">
      <c r="B5630" s="3" t="s">
        <v>7</v>
      </c>
      <c r="C5630" s="3" t="s">
        <v>990</v>
      </c>
      <c r="D5630" s="4">
        <f>DATE(2014,7,22)</f>
        <v>41842</v>
      </c>
      <c r="E5630" s="5">
        <f t="shared" si="92"/>
        <v>2014</v>
      </c>
      <c r="F5630" s="3" t="s">
        <v>991</v>
      </c>
      <c r="G5630" s="6">
        <v>29211</v>
      </c>
      <c r="H5630" s="5">
        <v>20150</v>
      </c>
    </row>
    <row r="5631" spans="2:8" ht="17.5" customHeight="1" x14ac:dyDescent="0.4">
      <c r="B5631" s="3" t="s">
        <v>7</v>
      </c>
      <c r="C5631" s="3" t="s">
        <v>990</v>
      </c>
      <c r="D5631" s="4">
        <f>DATE(2014,7,23)</f>
        <v>41843</v>
      </c>
      <c r="E5631" s="5">
        <f t="shared" si="92"/>
        <v>2014</v>
      </c>
      <c r="F5631" s="3" t="s">
        <v>991</v>
      </c>
      <c r="G5631" s="6">
        <v>1807.8</v>
      </c>
      <c r="H5631" s="5">
        <v>20199</v>
      </c>
    </row>
    <row r="5632" spans="2:8" ht="17.5" customHeight="1" x14ac:dyDescent="0.4">
      <c r="B5632" s="3" t="s">
        <v>7</v>
      </c>
      <c r="C5632" s="3" t="s">
        <v>990</v>
      </c>
      <c r="D5632" s="4">
        <f>DATE(2014,7,29)</f>
        <v>41849</v>
      </c>
      <c r="E5632" s="5">
        <f t="shared" si="92"/>
        <v>2014</v>
      </c>
      <c r="F5632" s="3" t="s">
        <v>991</v>
      </c>
      <c r="G5632" s="6">
        <v>1432</v>
      </c>
      <c r="H5632" s="5">
        <v>20221</v>
      </c>
    </row>
    <row r="5633" spans="2:8" ht="17.5" customHeight="1" x14ac:dyDescent="0.4">
      <c r="B5633" s="3" t="s">
        <v>7</v>
      </c>
      <c r="C5633" s="3" t="s">
        <v>990</v>
      </c>
      <c r="D5633" s="4">
        <f>DATE(2014,7,29)</f>
        <v>41849</v>
      </c>
      <c r="E5633" s="5">
        <f t="shared" si="92"/>
        <v>2014</v>
      </c>
      <c r="F5633" s="3" t="s">
        <v>991</v>
      </c>
      <c r="G5633" s="6">
        <v>2792.25</v>
      </c>
      <c r="H5633" s="5">
        <v>20220</v>
      </c>
    </row>
    <row r="5634" spans="2:8" ht="17.5" customHeight="1" x14ac:dyDescent="0.4">
      <c r="B5634" s="3" t="s">
        <v>7</v>
      </c>
      <c r="C5634" s="3" t="s">
        <v>990</v>
      </c>
      <c r="D5634" s="4">
        <f>DATE(2014,7,30)</f>
        <v>41850</v>
      </c>
      <c r="E5634" s="5">
        <f t="shared" si="92"/>
        <v>2014</v>
      </c>
      <c r="F5634" s="3" t="s">
        <v>991</v>
      </c>
      <c r="G5634" s="6">
        <v>1659.2</v>
      </c>
      <c r="H5634" s="5">
        <v>20241</v>
      </c>
    </row>
    <row r="5635" spans="2:8" ht="17.5" customHeight="1" x14ac:dyDescent="0.4">
      <c r="B5635" s="3" t="s">
        <v>7</v>
      </c>
      <c r="C5635" s="3" t="s">
        <v>990</v>
      </c>
      <c r="D5635" s="4">
        <f>DATE(2014,7,30)</f>
        <v>41850</v>
      </c>
      <c r="E5635" s="5">
        <f t="shared" ref="E5635:E5698" si="93">YEAR(D5635)</f>
        <v>2014</v>
      </c>
      <c r="F5635" s="3" t="s">
        <v>991</v>
      </c>
      <c r="G5635" s="6">
        <v>138.6</v>
      </c>
      <c r="H5635" s="5">
        <v>20240</v>
      </c>
    </row>
    <row r="5636" spans="2:8" ht="17.5" customHeight="1" x14ac:dyDescent="0.4">
      <c r="B5636" s="3" t="s">
        <v>7</v>
      </c>
      <c r="C5636" s="3" t="s">
        <v>990</v>
      </c>
      <c r="D5636" s="4">
        <f>DATE(2014,8,5)</f>
        <v>41856</v>
      </c>
      <c r="E5636" s="5">
        <f t="shared" si="93"/>
        <v>2014</v>
      </c>
      <c r="F5636" s="3" t="s">
        <v>991</v>
      </c>
      <c r="G5636" s="6">
        <v>366.2</v>
      </c>
      <c r="H5636" s="5">
        <v>20255</v>
      </c>
    </row>
    <row r="5637" spans="2:8" ht="17.5" customHeight="1" x14ac:dyDescent="0.4">
      <c r="B5637" s="3" t="s">
        <v>7</v>
      </c>
      <c r="C5637" s="3" t="s">
        <v>990</v>
      </c>
      <c r="D5637" s="4">
        <f>DATE(2014,8,7)</f>
        <v>41858</v>
      </c>
      <c r="E5637" s="5">
        <f t="shared" si="93"/>
        <v>2014</v>
      </c>
      <c r="F5637" s="3" t="s">
        <v>991</v>
      </c>
      <c r="G5637" s="6">
        <v>99.6</v>
      </c>
      <c r="H5637" s="5">
        <v>20277</v>
      </c>
    </row>
    <row r="5638" spans="2:8" ht="17.5" customHeight="1" x14ac:dyDescent="0.4">
      <c r="B5638" s="3" t="s">
        <v>7</v>
      </c>
      <c r="C5638" s="3" t="s">
        <v>990</v>
      </c>
      <c r="D5638" s="4">
        <f>DATE(2014,8,21)</f>
        <v>41872</v>
      </c>
      <c r="E5638" s="5">
        <f t="shared" si="93"/>
        <v>2014</v>
      </c>
      <c r="F5638" s="3" t="s">
        <v>991</v>
      </c>
      <c r="G5638" s="6">
        <v>422.82</v>
      </c>
      <c r="H5638" s="5">
        <v>20298</v>
      </c>
    </row>
    <row r="5639" spans="2:8" ht="17.5" customHeight="1" x14ac:dyDescent="0.4">
      <c r="B5639" s="3" t="s">
        <v>7</v>
      </c>
      <c r="C5639" s="3" t="s">
        <v>990</v>
      </c>
      <c r="D5639" s="4">
        <f>DATE(2014,8,25)</f>
        <v>41876</v>
      </c>
      <c r="E5639" s="5">
        <f t="shared" si="93"/>
        <v>2014</v>
      </c>
      <c r="F5639" s="3" t="s">
        <v>991</v>
      </c>
      <c r="G5639" s="6">
        <v>75</v>
      </c>
      <c r="H5639" s="5">
        <v>20315</v>
      </c>
    </row>
    <row r="5640" spans="2:8" ht="17.5" customHeight="1" x14ac:dyDescent="0.4">
      <c r="B5640" s="3" t="s">
        <v>7</v>
      </c>
      <c r="C5640" s="3" t="s">
        <v>990</v>
      </c>
      <c r="D5640" s="4">
        <f>DATE(2014,8,27)</f>
        <v>41878</v>
      </c>
      <c r="E5640" s="5">
        <f t="shared" si="93"/>
        <v>2014</v>
      </c>
      <c r="F5640" s="3" t="s">
        <v>991</v>
      </c>
      <c r="G5640" s="6">
        <v>3440</v>
      </c>
      <c r="H5640" s="5">
        <v>20341</v>
      </c>
    </row>
    <row r="5641" spans="2:8" ht="17.5" customHeight="1" x14ac:dyDescent="0.4">
      <c r="B5641" s="3" t="s">
        <v>7</v>
      </c>
      <c r="C5641" s="3" t="s">
        <v>990</v>
      </c>
      <c r="D5641" s="4">
        <f>DATE(2014,8,29)</f>
        <v>41880</v>
      </c>
      <c r="E5641" s="5">
        <f t="shared" si="93"/>
        <v>2014</v>
      </c>
      <c r="F5641" s="3" t="s">
        <v>991</v>
      </c>
      <c r="G5641" s="6">
        <v>629</v>
      </c>
      <c r="H5641" s="5">
        <v>20347</v>
      </c>
    </row>
    <row r="5642" spans="2:8" ht="17.5" customHeight="1" x14ac:dyDescent="0.4">
      <c r="B5642" s="3" t="s">
        <v>7</v>
      </c>
      <c r="C5642" s="3" t="s">
        <v>990</v>
      </c>
      <c r="D5642" s="4">
        <f>DATE(2014,9,5)</f>
        <v>41887</v>
      </c>
      <c r="E5642" s="5">
        <f t="shared" si="93"/>
        <v>2014</v>
      </c>
      <c r="F5642" s="3" t="s">
        <v>991</v>
      </c>
      <c r="G5642" s="6">
        <v>786.5</v>
      </c>
      <c r="H5642" s="5">
        <v>20378</v>
      </c>
    </row>
    <row r="5643" spans="2:8" ht="17.5" customHeight="1" x14ac:dyDescent="0.4">
      <c r="B5643" s="3" t="s">
        <v>7</v>
      </c>
      <c r="C5643" s="3" t="s">
        <v>990</v>
      </c>
      <c r="D5643" s="4">
        <f>DATE(2014,9,12)</f>
        <v>41894</v>
      </c>
      <c r="E5643" s="5">
        <f t="shared" si="93"/>
        <v>2014</v>
      </c>
      <c r="F5643" s="3" t="s">
        <v>991</v>
      </c>
      <c r="G5643" s="6">
        <v>18026</v>
      </c>
      <c r="H5643" s="5">
        <v>20383</v>
      </c>
    </row>
    <row r="5644" spans="2:8" ht="17.5" customHeight="1" x14ac:dyDescent="0.4">
      <c r="B5644" s="3" t="s">
        <v>7</v>
      </c>
      <c r="C5644" s="3" t="s">
        <v>990</v>
      </c>
      <c r="D5644" s="4">
        <f>DATE(2014,9,16)</f>
        <v>41898</v>
      </c>
      <c r="E5644" s="5">
        <f t="shared" si="93"/>
        <v>2014</v>
      </c>
      <c r="F5644" s="3" t="s">
        <v>991</v>
      </c>
      <c r="G5644" s="6">
        <v>4148</v>
      </c>
      <c r="H5644" s="5">
        <v>20406</v>
      </c>
    </row>
    <row r="5645" spans="2:8" ht="17.5" customHeight="1" x14ac:dyDescent="0.4">
      <c r="B5645" s="3" t="s">
        <v>7</v>
      </c>
      <c r="C5645" s="3" t="s">
        <v>990</v>
      </c>
      <c r="D5645" s="4">
        <f>DATE(2014,9,25)</f>
        <v>41907</v>
      </c>
      <c r="E5645" s="5">
        <f t="shared" si="93"/>
        <v>2014</v>
      </c>
      <c r="F5645" s="3" t="s">
        <v>991</v>
      </c>
      <c r="G5645" s="6">
        <v>1897.72</v>
      </c>
      <c r="H5645" s="5">
        <v>20443</v>
      </c>
    </row>
    <row r="5646" spans="2:8" ht="17.5" customHeight="1" x14ac:dyDescent="0.4">
      <c r="B5646" s="3" t="s">
        <v>7</v>
      </c>
      <c r="C5646" s="3" t="s">
        <v>990</v>
      </c>
      <c r="D5646" s="4">
        <f>DATE(2014,9,25)</f>
        <v>41907</v>
      </c>
      <c r="E5646" s="5">
        <f t="shared" si="93"/>
        <v>2014</v>
      </c>
      <c r="F5646" s="3" t="s">
        <v>991</v>
      </c>
      <c r="G5646" s="6">
        <v>183.6</v>
      </c>
      <c r="H5646" s="5">
        <v>20444</v>
      </c>
    </row>
    <row r="5647" spans="2:8" ht="17.5" customHeight="1" x14ac:dyDescent="0.4">
      <c r="B5647" s="3" t="s">
        <v>7</v>
      </c>
      <c r="C5647" s="3" t="s">
        <v>990</v>
      </c>
      <c r="D5647" s="4">
        <f>DATE(2014,9,26)</f>
        <v>41908</v>
      </c>
      <c r="E5647" s="5">
        <f t="shared" si="93"/>
        <v>2014</v>
      </c>
      <c r="F5647" s="3" t="s">
        <v>991</v>
      </c>
      <c r="G5647" s="6">
        <v>3396</v>
      </c>
      <c r="H5647" s="5">
        <v>20430</v>
      </c>
    </row>
    <row r="5648" spans="2:8" ht="17.5" customHeight="1" x14ac:dyDescent="0.4">
      <c r="B5648" s="3" t="s">
        <v>7</v>
      </c>
      <c r="C5648" s="3" t="s">
        <v>990</v>
      </c>
      <c r="D5648" s="4">
        <f>DATE(2014,10,16)</f>
        <v>41928</v>
      </c>
      <c r="E5648" s="5">
        <f t="shared" si="93"/>
        <v>2014</v>
      </c>
      <c r="F5648" s="3" t="s">
        <v>991</v>
      </c>
      <c r="G5648" s="6">
        <v>25466.5</v>
      </c>
      <c r="H5648" s="5">
        <v>20481</v>
      </c>
    </row>
    <row r="5649" spans="2:8" ht="17.5" customHeight="1" x14ac:dyDescent="0.4">
      <c r="B5649" s="3" t="s">
        <v>7</v>
      </c>
      <c r="C5649" s="3" t="s">
        <v>990</v>
      </c>
      <c r="D5649" s="4">
        <f>DATE(2014,10,24)</f>
        <v>41936</v>
      </c>
      <c r="E5649" s="5">
        <f t="shared" si="93"/>
        <v>2014</v>
      </c>
      <c r="F5649" s="3" t="s">
        <v>991</v>
      </c>
      <c r="G5649" s="6">
        <v>1254</v>
      </c>
      <c r="H5649" s="5">
        <v>20539</v>
      </c>
    </row>
    <row r="5650" spans="2:8" ht="17.5" customHeight="1" x14ac:dyDescent="0.4">
      <c r="B5650" s="3" t="s">
        <v>7</v>
      </c>
      <c r="C5650" s="3" t="s">
        <v>990</v>
      </c>
      <c r="D5650" s="4">
        <f>DATE(2014,11,10)</f>
        <v>41953</v>
      </c>
      <c r="E5650" s="5">
        <f t="shared" si="93"/>
        <v>2014</v>
      </c>
      <c r="F5650" s="3" t="s">
        <v>991</v>
      </c>
      <c r="G5650" s="6">
        <v>1969</v>
      </c>
      <c r="H5650" s="5">
        <v>20601</v>
      </c>
    </row>
    <row r="5651" spans="2:8" ht="17.5" customHeight="1" x14ac:dyDescent="0.4">
      <c r="B5651" s="3" t="s">
        <v>7</v>
      </c>
      <c r="C5651" s="3" t="s">
        <v>990</v>
      </c>
      <c r="D5651" s="4">
        <f>DATE(2014,11,10)</f>
        <v>41953</v>
      </c>
      <c r="E5651" s="5">
        <f t="shared" si="93"/>
        <v>2014</v>
      </c>
      <c r="F5651" s="3" t="s">
        <v>991</v>
      </c>
      <c r="G5651" s="6">
        <v>918</v>
      </c>
      <c r="H5651" s="5">
        <v>20629</v>
      </c>
    </row>
    <row r="5652" spans="2:8" ht="17.5" customHeight="1" x14ac:dyDescent="0.4">
      <c r="B5652" s="3" t="s">
        <v>7</v>
      </c>
      <c r="C5652" s="3" t="s">
        <v>990</v>
      </c>
      <c r="D5652" s="4">
        <f>DATE(2014,11,10)</f>
        <v>41953</v>
      </c>
      <c r="E5652" s="5">
        <f t="shared" si="93"/>
        <v>2014</v>
      </c>
      <c r="F5652" s="3" t="s">
        <v>991</v>
      </c>
      <c r="G5652" s="6">
        <v>2508</v>
      </c>
      <c r="H5652" s="5">
        <v>20588</v>
      </c>
    </row>
    <row r="5653" spans="2:8" ht="17.5" customHeight="1" x14ac:dyDescent="0.4">
      <c r="B5653" s="3" t="s">
        <v>7</v>
      </c>
      <c r="C5653" s="3" t="s">
        <v>990</v>
      </c>
      <c r="D5653" s="4">
        <f>DATE(2014,11,25)</f>
        <v>41968</v>
      </c>
      <c r="E5653" s="5">
        <f t="shared" si="93"/>
        <v>2014</v>
      </c>
      <c r="F5653" s="3" t="s">
        <v>991</v>
      </c>
      <c r="G5653" s="6">
        <v>481</v>
      </c>
      <c r="H5653" s="5">
        <v>20679</v>
      </c>
    </row>
    <row r="5654" spans="2:8" ht="17.5" customHeight="1" x14ac:dyDescent="0.4">
      <c r="B5654" s="3" t="s">
        <v>7</v>
      </c>
      <c r="C5654" s="3" t="s">
        <v>990</v>
      </c>
      <c r="D5654" s="4">
        <f>DATE(2014,12,5)</f>
        <v>41978</v>
      </c>
      <c r="E5654" s="5">
        <f t="shared" si="93"/>
        <v>2014</v>
      </c>
      <c r="F5654" s="3" t="s">
        <v>991</v>
      </c>
      <c r="G5654" s="6">
        <v>2052.75</v>
      </c>
      <c r="H5654" s="5">
        <v>20687</v>
      </c>
    </row>
    <row r="5655" spans="2:8" ht="17.5" customHeight="1" x14ac:dyDescent="0.4">
      <c r="B5655" s="3" t="s">
        <v>7</v>
      </c>
      <c r="C5655" s="3" t="s">
        <v>990</v>
      </c>
      <c r="D5655" s="4">
        <f>DATE(2014,12,16)</f>
        <v>41989</v>
      </c>
      <c r="E5655" s="5">
        <f t="shared" si="93"/>
        <v>2014</v>
      </c>
      <c r="F5655" s="3" t="s">
        <v>991</v>
      </c>
      <c r="G5655" s="6">
        <v>1039.55</v>
      </c>
      <c r="H5655" s="5">
        <v>20730</v>
      </c>
    </row>
    <row r="5656" spans="2:8" ht="17.5" customHeight="1" x14ac:dyDescent="0.4">
      <c r="B5656" s="3" t="s">
        <v>7</v>
      </c>
      <c r="C5656" s="3" t="s">
        <v>990</v>
      </c>
      <c r="D5656" s="4">
        <f>DATE(2014,12,18)</f>
        <v>41991</v>
      </c>
      <c r="E5656" s="5">
        <f t="shared" si="93"/>
        <v>2014</v>
      </c>
      <c r="F5656" s="3" t="s">
        <v>991</v>
      </c>
      <c r="G5656" s="6">
        <v>605</v>
      </c>
      <c r="H5656" s="5">
        <v>20747</v>
      </c>
    </row>
    <row r="5657" spans="2:8" ht="17.5" customHeight="1" x14ac:dyDescent="0.4">
      <c r="B5657" s="3" t="s">
        <v>7</v>
      </c>
      <c r="C5657" s="3" t="s">
        <v>990</v>
      </c>
      <c r="D5657" s="4">
        <f>DATE(2014,12,19)</f>
        <v>41992</v>
      </c>
      <c r="E5657" s="5">
        <f t="shared" si="93"/>
        <v>2014</v>
      </c>
      <c r="F5657" s="3" t="s">
        <v>991</v>
      </c>
      <c r="G5657" s="6">
        <v>129.19999999999999</v>
      </c>
      <c r="H5657" s="5">
        <v>20743</v>
      </c>
    </row>
    <row r="5658" spans="2:8" ht="17.5" customHeight="1" x14ac:dyDescent="0.4">
      <c r="B5658" s="3" t="s">
        <v>16</v>
      </c>
      <c r="C5658" s="3" t="s">
        <v>990</v>
      </c>
      <c r="D5658" s="4">
        <f>DATE(2007,6,5)</f>
        <v>39238</v>
      </c>
      <c r="E5658" s="5">
        <f t="shared" si="93"/>
        <v>2007</v>
      </c>
      <c r="F5658" s="3" t="s">
        <v>991</v>
      </c>
      <c r="G5658" s="6">
        <v>1200</v>
      </c>
      <c r="H5658" s="5">
        <v>8837</v>
      </c>
    </row>
    <row r="5659" spans="2:8" ht="17.5" customHeight="1" x14ac:dyDescent="0.4">
      <c r="B5659" s="3" t="s">
        <v>16</v>
      </c>
      <c r="C5659" s="3" t="s">
        <v>990</v>
      </c>
      <c r="D5659" s="4">
        <f>DATE(2008,2,25)</f>
        <v>39503</v>
      </c>
      <c r="E5659" s="5">
        <f t="shared" si="93"/>
        <v>2008</v>
      </c>
      <c r="F5659" s="3" t="s">
        <v>991</v>
      </c>
      <c r="G5659" s="6">
        <v>20</v>
      </c>
      <c r="H5659" s="5">
        <v>10118</v>
      </c>
    </row>
    <row r="5660" spans="2:8" ht="17.5" customHeight="1" x14ac:dyDescent="0.4">
      <c r="B5660" s="3" t="s">
        <v>16</v>
      </c>
      <c r="C5660" s="3" t="s">
        <v>990</v>
      </c>
      <c r="D5660" s="4">
        <f>DATE(2008,4,1)</f>
        <v>39539</v>
      </c>
      <c r="E5660" s="5">
        <f t="shared" si="93"/>
        <v>2008</v>
      </c>
      <c r="F5660" s="3" t="s">
        <v>991</v>
      </c>
      <c r="G5660" s="6">
        <v>1854.07</v>
      </c>
      <c r="H5660" s="5">
        <v>10567</v>
      </c>
    </row>
    <row r="5661" spans="2:8" ht="17.5" customHeight="1" x14ac:dyDescent="0.4">
      <c r="B5661" s="3" t="s">
        <v>7</v>
      </c>
      <c r="C5661" s="3" t="s">
        <v>990</v>
      </c>
      <c r="D5661" s="4">
        <f>DATE(2012,8,31)</f>
        <v>41152</v>
      </c>
      <c r="E5661" s="5">
        <f t="shared" si="93"/>
        <v>2012</v>
      </c>
      <c r="F5661" s="3" t="s">
        <v>992</v>
      </c>
      <c r="G5661" s="6">
        <v>365.18</v>
      </c>
      <c r="H5661" s="5">
        <v>5199</v>
      </c>
    </row>
    <row r="5662" spans="2:8" ht="17.5" customHeight="1" x14ac:dyDescent="0.4">
      <c r="B5662" t="s">
        <v>7</v>
      </c>
      <c r="C5662" t="s">
        <v>993</v>
      </c>
      <c r="D5662" s="7">
        <f>DATE(2019,5,20)</f>
        <v>43605</v>
      </c>
      <c r="E5662" s="8">
        <f t="shared" si="93"/>
        <v>2019</v>
      </c>
      <c r="F5662" t="s">
        <v>994</v>
      </c>
      <c r="G5662" s="9">
        <v>1228.1500000000001</v>
      </c>
      <c r="H5662" s="8">
        <v>29013</v>
      </c>
    </row>
    <row r="5663" spans="2:8" ht="17.5" customHeight="1" x14ac:dyDescent="0.4">
      <c r="B5663" t="s">
        <v>7</v>
      </c>
      <c r="C5663" t="s">
        <v>993</v>
      </c>
      <c r="D5663" s="7">
        <f>DATE(2017,6,19)</f>
        <v>42905</v>
      </c>
      <c r="E5663" s="8">
        <f t="shared" si="93"/>
        <v>2017</v>
      </c>
      <c r="F5663" t="s">
        <v>994</v>
      </c>
      <c r="G5663" s="9">
        <v>5080.82</v>
      </c>
      <c r="H5663" s="8">
        <v>24941</v>
      </c>
    </row>
    <row r="5664" spans="2:8" ht="17.5" customHeight="1" x14ac:dyDescent="0.4">
      <c r="B5664" t="s">
        <v>7</v>
      </c>
      <c r="C5664" t="s">
        <v>993</v>
      </c>
      <c r="D5664" s="7">
        <f>DATE(2016,3,25)</f>
        <v>42454</v>
      </c>
      <c r="E5664" s="8">
        <f t="shared" si="93"/>
        <v>2016</v>
      </c>
      <c r="F5664" t="s">
        <v>994</v>
      </c>
      <c r="G5664" s="9">
        <v>19899</v>
      </c>
      <c r="H5664" s="8">
        <v>22027</v>
      </c>
    </row>
    <row r="5665" spans="2:8" ht="17.5" customHeight="1" x14ac:dyDescent="0.4">
      <c r="B5665" t="s">
        <v>7</v>
      </c>
      <c r="C5665" t="s">
        <v>993</v>
      </c>
      <c r="D5665" s="7">
        <f>DATE(2017,3,1)</f>
        <v>42795</v>
      </c>
      <c r="E5665" s="8">
        <f t="shared" si="93"/>
        <v>2017</v>
      </c>
      <c r="F5665" t="s">
        <v>994</v>
      </c>
      <c r="G5665" s="9">
        <v>13841.81</v>
      </c>
      <c r="H5665" s="8">
        <v>24005</v>
      </c>
    </row>
    <row r="5666" spans="2:8" ht="17.5" customHeight="1" x14ac:dyDescent="0.4">
      <c r="B5666" t="s">
        <v>7</v>
      </c>
      <c r="C5666" t="s">
        <v>993</v>
      </c>
      <c r="D5666" s="7">
        <f>DATE(2017,3,10)</f>
        <v>42804</v>
      </c>
      <c r="E5666" s="8">
        <f t="shared" si="93"/>
        <v>2017</v>
      </c>
      <c r="F5666" t="s">
        <v>994</v>
      </c>
      <c r="G5666" s="9">
        <v>7646.35</v>
      </c>
      <c r="H5666" s="8">
        <v>24448</v>
      </c>
    </row>
    <row r="5667" spans="2:8" ht="17.5" customHeight="1" x14ac:dyDescent="0.4">
      <c r="B5667" t="s">
        <v>7</v>
      </c>
      <c r="C5667" t="s">
        <v>993</v>
      </c>
      <c r="D5667" s="7">
        <f>DATE(2015,1,28)</f>
        <v>42032</v>
      </c>
      <c r="E5667" s="8">
        <f t="shared" si="93"/>
        <v>2015</v>
      </c>
      <c r="F5667" t="s">
        <v>994</v>
      </c>
      <c r="G5667" s="9">
        <v>352.38</v>
      </c>
      <c r="H5667" s="8">
        <v>191</v>
      </c>
    </row>
    <row r="5668" spans="2:8" ht="17.5" customHeight="1" x14ac:dyDescent="0.4">
      <c r="B5668" t="s">
        <v>7</v>
      </c>
      <c r="C5668" t="s">
        <v>993</v>
      </c>
      <c r="D5668" s="7">
        <f>DATE(2015,2,12)</f>
        <v>42047</v>
      </c>
      <c r="E5668" s="8">
        <f t="shared" si="93"/>
        <v>2015</v>
      </c>
      <c r="F5668" t="s">
        <v>994</v>
      </c>
      <c r="G5668" s="9">
        <v>70.099999999999994</v>
      </c>
      <c r="H5668" s="8">
        <v>427</v>
      </c>
    </row>
    <row r="5669" spans="2:8" ht="17.5" customHeight="1" x14ac:dyDescent="0.4">
      <c r="B5669" t="s">
        <v>7</v>
      </c>
      <c r="C5669" t="s">
        <v>993</v>
      </c>
      <c r="D5669" s="7">
        <f>DATE(2015,5,14)</f>
        <v>42138</v>
      </c>
      <c r="E5669" s="8">
        <f t="shared" si="93"/>
        <v>2015</v>
      </c>
      <c r="F5669" t="s">
        <v>994</v>
      </c>
      <c r="G5669" s="9">
        <v>334.9</v>
      </c>
      <c r="H5669" s="8">
        <v>20619</v>
      </c>
    </row>
    <row r="5670" spans="2:8" ht="17.5" customHeight="1" x14ac:dyDescent="0.4">
      <c r="B5670" t="s">
        <v>7</v>
      </c>
      <c r="C5670" t="s">
        <v>993</v>
      </c>
      <c r="D5670" s="7">
        <f>DATE(2015,6,12)</f>
        <v>42167</v>
      </c>
      <c r="E5670" s="8">
        <f t="shared" si="93"/>
        <v>2015</v>
      </c>
      <c r="F5670" t="s">
        <v>994</v>
      </c>
      <c r="G5670" s="9">
        <v>250.45</v>
      </c>
      <c r="H5670" s="8">
        <v>20798</v>
      </c>
    </row>
    <row r="5671" spans="2:8" ht="17.5" customHeight="1" x14ac:dyDescent="0.4">
      <c r="B5671" t="s">
        <v>7</v>
      </c>
      <c r="C5671" t="s">
        <v>993</v>
      </c>
      <c r="D5671" s="7">
        <f>DATE(2015,7,21)</f>
        <v>42206</v>
      </c>
      <c r="E5671" s="8">
        <f t="shared" si="93"/>
        <v>2015</v>
      </c>
      <c r="F5671" t="s">
        <v>994</v>
      </c>
      <c r="G5671" s="9">
        <v>1435.82</v>
      </c>
      <c r="H5671" s="8">
        <v>20985</v>
      </c>
    </row>
    <row r="5672" spans="2:8" ht="17.5" customHeight="1" x14ac:dyDescent="0.4">
      <c r="B5672" t="s">
        <v>7</v>
      </c>
      <c r="C5672" t="s">
        <v>993</v>
      </c>
      <c r="D5672" s="7">
        <f>DATE(2015,8,13)</f>
        <v>42229</v>
      </c>
      <c r="E5672" s="8">
        <f t="shared" si="93"/>
        <v>2015</v>
      </c>
      <c r="F5672" t="s">
        <v>994</v>
      </c>
      <c r="G5672" s="9">
        <v>1628.6</v>
      </c>
      <c r="H5672" s="8">
        <v>21078</v>
      </c>
    </row>
    <row r="5673" spans="2:8" ht="17.5" customHeight="1" x14ac:dyDescent="0.4">
      <c r="B5673" t="s">
        <v>7</v>
      </c>
      <c r="C5673" t="s">
        <v>993</v>
      </c>
      <c r="D5673" s="7">
        <f>DATE(2015,9,21)</f>
        <v>42268</v>
      </c>
      <c r="E5673" s="8">
        <f t="shared" si="93"/>
        <v>2015</v>
      </c>
      <c r="F5673" t="s">
        <v>994</v>
      </c>
      <c r="G5673" s="9">
        <v>1201.9000000000001</v>
      </c>
      <c r="H5673" s="8">
        <v>21274</v>
      </c>
    </row>
    <row r="5674" spans="2:8" ht="17.5" customHeight="1" x14ac:dyDescent="0.4">
      <c r="B5674" t="s">
        <v>7</v>
      </c>
      <c r="C5674" t="s">
        <v>993</v>
      </c>
      <c r="D5674" s="7">
        <f>DATE(2015,12,16)</f>
        <v>42354</v>
      </c>
      <c r="E5674" s="8">
        <f t="shared" si="93"/>
        <v>2015</v>
      </c>
      <c r="F5674" t="s">
        <v>994</v>
      </c>
      <c r="G5674" s="9">
        <v>291.14999999999998</v>
      </c>
      <c r="H5674" s="8">
        <v>21857</v>
      </c>
    </row>
    <row r="5675" spans="2:8" ht="17.5" customHeight="1" x14ac:dyDescent="0.4">
      <c r="B5675" t="s">
        <v>7</v>
      </c>
      <c r="C5675" t="s">
        <v>993</v>
      </c>
      <c r="D5675" s="7">
        <f>DATE(2016,1,12)</f>
        <v>42381</v>
      </c>
      <c r="E5675" s="8">
        <f t="shared" si="93"/>
        <v>2016</v>
      </c>
      <c r="F5675" t="s">
        <v>994</v>
      </c>
      <c r="G5675" s="9">
        <v>582.29999999999995</v>
      </c>
      <c r="H5675" s="8">
        <v>21963</v>
      </c>
    </row>
    <row r="5676" spans="2:8" ht="17.5" customHeight="1" x14ac:dyDescent="0.4">
      <c r="B5676" t="s">
        <v>7</v>
      </c>
      <c r="C5676" t="s">
        <v>993</v>
      </c>
      <c r="D5676" s="7">
        <f>DATE(2016,1,15)</f>
        <v>42384</v>
      </c>
      <c r="E5676" s="8">
        <f t="shared" si="93"/>
        <v>2016</v>
      </c>
      <c r="F5676" t="s">
        <v>994</v>
      </c>
      <c r="G5676" s="9">
        <v>507.93</v>
      </c>
      <c r="H5676" s="8">
        <v>22002</v>
      </c>
    </row>
    <row r="5677" spans="2:8" ht="17.5" customHeight="1" x14ac:dyDescent="0.4">
      <c r="B5677" t="s">
        <v>7</v>
      </c>
      <c r="C5677" t="s">
        <v>993</v>
      </c>
      <c r="D5677" s="7">
        <f>DATE(2016,3,16)</f>
        <v>42445</v>
      </c>
      <c r="E5677" s="8">
        <f t="shared" si="93"/>
        <v>2016</v>
      </c>
      <c r="F5677" t="s">
        <v>994</v>
      </c>
      <c r="G5677" s="9">
        <v>2227.6</v>
      </c>
      <c r="H5677" s="8">
        <v>22445</v>
      </c>
    </row>
    <row r="5678" spans="2:8" ht="17.5" customHeight="1" x14ac:dyDescent="0.4">
      <c r="B5678" t="s">
        <v>7</v>
      </c>
      <c r="C5678" t="s">
        <v>993</v>
      </c>
      <c r="D5678" s="7">
        <f>DATE(2016,3,17)</f>
        <v>42446</v>
      </c>
      <c r="E5678" s="8">
        <f t="shared" si="93"/>
        <v>2016</v>
      </c>
      <c r="F5678" t="s">
        <v>994</v>
      </c>
      <c r="G5678" s="9">
        <v>437.78</v>
      </c>
      <c r="H5678" s="8">
        <v>22467</v>
      </c>
    </row>
    <row r="5679" spans="2:8" ht="17.5" customHeight="1" x14ac:dyDescent="0.4">
      <c r="B5679" t="s">
        <v>7</v>
      </c>
      <c r="C5679" t="s">
        <v>993</v>
      </c>
      <c r="D5679" s="7">
        <f>DATE(2016,4,14)</f>
        <v>42474</v>
      </c>
      <c r="E5679" s="8">
        <f t="shared" si="93"/>
        <v>2016</v>
      </c>
      <c r="F5679" t="s">
        <v>994</v>
      </c>
      <c r="G5679" s="9">
        <v>3051.8</v>
      </c>
      <c r="H5679" s="8">
        <v>22660</v>
      </c>
    </row>
    <row r="5680" spans="2:8" ht="17.5" customHeight="1" x14ac:dyDescent="0.4">
      <c r="B5680" t="s">
        <v>7</v>
      </c>
      <c r="C5680" t="s">
        <v>993</v>
      </c>
      <c r="D5680" s="7">
        <f>DATE(2016,5,6)</f>
        <v>42496</v>
      </c>
      <c r="E5680" s="8">
        <f t="shared" si="93"/>
        <v>2016</v>
      </c>
      <c r="F5680" t="s">
        <v>994</v>
      </c>
      <c r="G5680" s="9">
        <v>5781.74</v>
      </c>
      <c r="H5680" s="8">
        <v>22607</v>
      </c>
    </row>
    <row r="5681" spans="2:8" ht="17.5" customHeight="1" x14ac:dyDescent="0.4">
      <c r="B5681" t="s">
        <v>7</v>
      </c>
      <c r="C5681" t="s">
        <v>993</v>
      </c>
      <c r="D5681" s="7">
        <f>DATE(2016,8,12)</f>
        <v>42594</v>
      </c>
      <c r="E5681" s="8">
        <f t="shared" si="93"/>
        <v>2016</v>
      </c>
      <c r="F5681" t="s">
        <v>994</v>
      </c>
      <c r="G5681" s="9">
        <v>6780.9</v>
      </c>
      <c r="H5681" s="8">
        <v>23245</v>
      </c>
    </row>
    <row r="5682" spans="2:8" ht="17.5" customHeight="1" x14ac:dyDescent="0.4">
      <c r="B5682" t="s">
        <v>7</v>
      </c>
      <c r="C5682" t="s">
        <v>993</v>
      </c>
      <c r="D5682" s="7">
        <f>DATE(2016,9,8)</f>
        <v>42621</v>
      </c>
      <c r="E5682" s="8">
        <f t="shared" si="93"/>
        <v>2016</v>
      </c>
      <c r="F5682" t="s">
        <v>994</v>
      </c>
      <c r="G5682" s="9">
        <v>7457.2</v>
      </c>
      <c r="H5682" s="8">
        <v>23419</v>
      </c>
    </row>
    <row r="5683" spans="2:8" ht="17.5" customHeight="1" x14ac:dyDescent="0.4">
      <c r="B5683" t="s">
        <v>7</v>
      </c>
      <c r="C5683" t="s">
        <v>993</v>
      </c>
      <c r="D5683" s="7">
        <f>DATE(2016,10,12)</f>
        <v>42655</v>
      </c>
      <c r="E5683" s="8">
        <f t="shared" si="93"/>
        <v>2016</v>
      </c>
      <c r="F5683" t="s">
        <v>994</v>
      </c>
      <c r="G5683" s="9">
        <v>2052.54</v>
      </c>
      <c r="H5683" s="8">
        <v>23464</v>
      </c>
    </row>
    <row r="5684" spans="2:8" ht="17.5" customHeight="1" x14ac:dyDescent="0.4">
      <c r="B5684" t="s">
        <v>7</v>
      </c>
      <c r="C5684" t="s">
        <v>993</v>
      </c>
      <c r="D5684" s="7">
        <f>DATE(2016,10,19)</f>
        <v>42662</v>
      </c>
      <c r="E5684" s="8">
        <f t="shared" si="93"/>
        <v>2016</v>
      </c>
      <c r="F5684" t="s">
        <v>994</v>
      </c>
      <c r="G5684" s="9">
        <v>54587.49</v>
      </c>
      <c r="H5684" s="8">
        <v>23585</v>
      </c>
    </row>
    <row r="5685" spans="2:8" ht="17.5" customHeight="1" x14ac:dyDescent="0.4">
      <c r="B5685" t="s">
        <v>7</v>
      </c>
      <c r="C5685" t="s">
        <v>993</v>
      </c>
      <c r="D5685" s="7">
        <f>DATE(2016,12,8)</f>
        <v>42712</v>
      </c>
      <c r="E5685" s="8">
        <f t="shared" si="93"/>
        <v>2016</v>
      </c>
      <c r="F5685" t="s">
        <v>994</v>
      </c>
      <c r="G5685" s="9">
        <v>1095.6199999999999</v>
      </c>
      <c r="H5685" s="8">
        <v>23954</v>
      </c>
    </row>
    <row r="5686" spans="2:8" ht="17.5" customHeight="1" x14ac:dyDescent="0.4">
      <c r="B5686" t="s">
        <v>7</v>
      </c>
      <c r="C5686" t="s">
        <v>993</v>
      </c>
      <c r="D5686" s="7">
        <f>DATE(2016,12,14)</f>
        <v>42718</v>
      </c>
      <c r="E5686" s="8">
        <f t="shared" si="93"/>
        <v>2016</v>
      </c>
      <c r="F5686" t="s">
        <v>994</v>
      </c>
      <c r="G5686" s="9">
        <v>8650</v>
      </c>
      <c r="H5686" s="8">
        <v>24004</v>
      </c>
    </row>
    <row r="5687" spans="2:8" ht="17.5" customHeight="1" x14ac:dyDescent="0.4">
      <c r="B5687" t="s">
        <v>7</v>
      </c>
      <c r="C5687" t="s">
        <v>993</v>
      </c>
      <c r="D5687" s="7">
        <f>DATE(2017,1,12)</f>
        <v>42747</v>
      </c>
      <c r="E5687" s="8">
        <f t="shared" si="93"/>
        <v>2017</v>
      </c>
      <c r="F5687" t="s">
        <v>994</v>
      </c>
      <c r="G5687" s="9">
        <v>334.9</v>
      </c>
      <c r="H5687" s="8">
        <v>24099</v>
      </c>
    </row>
    <row r="5688" spans="2:8" ht="17.5" customHeight="1" x14ac:dyDescent="0.4">
      <c r="B5688" t="s">
        <v>7</v>
      </c>
      <c r="C5688" t="s">
        <v>993</v>
      </c>
      <c r="D5688" s="7">
        <f>DATE(2017,1,16)</f>
        <v>42751</v>
      </c>
      <c r="E5688" s="8">
        <f t="shared" si="93"/>
        <v>2017</v>
      </c>
      <c r="F5688" t="s">
        <v>994</v>
      </c>
      <c r="G5688" s="9">
        <v>20778.400000000001</v>
      </c>
      <c r="H5688" s="8">
        <v>24112</v>
      </c>
    </row>
    <row r="5689" spans="2:8" ht="17.5" customHeight="1" x14ac:dyDescent="0.4">
      <c r="B5689" t="s">
        <v>7</v>
      </c>
      <c r="C5689" t="s">
        <v>993</v>
      </c>
      <c r="D5689" s="7">
        <f>DATE(2017,1,24)</f>
        <v>42759</v>
      </c>
      <c r="E5689" s="8">
        <f t="shared" si="93"/>
        <v>2017</v>
      </c>
      <c r="F5689" t="s">
        <v>994</v>
      </c>
      <c r="G5689" s="9">
        <v>16304.01</v>
      </c>
      <c r="H5689" s="8">
        <v>24147</v>
      </c>
    </row>
    <row r="5690" spans="2:8" ht="17.5" customHeight="1" x14ac:dyDescent="0.4">
      <c r="B5690" t="s">
        <v>7</v>
      </c>
      <c r="C5690" t="s">
        <v>993</v>
      </c>
      <c r="D5690" s="7">
        <f>DATE(2017,2,9)</f>
        <v>42775</v>
      </c>
      <c r="E5690" s="8">
        <f t="shared" si="93"/>
        <v>2017</v>
      </c>
      <c r="F5690" t="s">
        <v>994</v>
      </c>
      <c r="G5690" s="9">
        <v>200.94</v>
      </c>
      <c r="H5690" s="8">
        <v>24260</v>
      </c>
    </row>
    <row r="5691" spans="2:8" ht="17.5" customHeight="1" x14ac:dyDescent="0.4">
      <c r="B5691" t="s">
        <v>7</v>
      </c>
      <c r="C5691" t="s">
        <v>993</v>
      </c>
      <c r="D5691" s="7">
        <f>DATE(2017,2,21)</f>
        <v>42787</v>
      </c>
      <c r="E5691" s="8">
        <f t="shared" si="93"/>
        <v>2017</v>
      </c>
      <c r="F5691" t="s">
        <v>994</v>
      </c>
      <c r="G5691" s="9">
        <v>22216.99</v>
      </c>
      <c r="H5691" s="8">
        <v>24312</v>
      </c>
    </row>
    <row r="5692" spans="2:8" ht="17.5" customHeight="1" x14ac:dyDescent="0.4">
      <c r="B5692" t="s">
        <v>7</v>
      </c>
      <c r="C5692" t="s">
        <v>993</v>
      </c>
      <c r="D5692" s="7">
        <f>DATE(2017,3,8)</f>
        <v>42802</v>
      </c>
      <c r="E5692" s="8">
        <f t="shared" si="93"/>
        <v>2017</v>
      </c>
      <c r="F5692" t="s">
        <v>994</v>
      </c>
      <c r="G5692" s="9">
        <v>3670.35</v>
      </c>
      <c r="H5692" s="8">
        <v>24394</v>
      </c>
    </row>
    <row r="5693" spans="2:8" ht="17.5" customHeight="1" x14ac:dyDescent="0.4">
      <c r="B5693" t="s">
        <v>7</v>
      </c>
      <c r="C5693" t="s">
        <v>993</v>
      </c>
      <c r="D5693" s="7">
        <f>DATE(2017,4,11)</f>
        <v>42836</v>
      </c>
      <c r="E5693" s="8">
        <f t="shared" si="93"/>
        <v>2017</v>
      </c>
      <c r="F5693" t="s">
        <v>994</v>
      </c>
      <c r="G5693" s="9">
        <v>9015.18</v>
      </c>
      <c r="H5693" s="8">
        <v>24720</v>
      </c>
    </row>
    <row r="5694" spans="2:8" ht="17.5" customHeight="1" x14ac:dyDescent="0.4">
      <c r="B5694" t="s">
        <v>7</v>
      </c>
      <c r="C5694" t="s">
        <v>993</v>
      </c>
      <c r="D5694" s="7">
        <f>DATE(2017,4,12)</f>
        <v>42837</v>
      </c>
      <c r="E5694" s="8">
        <f t="shared" si="93"/>
        <v>2017</v>
      </c>
      <c r="F5694" t="s">
        <v>994</v>
      </c>
      <c r="G5694" s="9">
        <v>114.99</v>
      </c>
      <c r="H5694" s="8">
        <v>24752</v>
      </c>
    </row>
    <row r="5695" spans="2:8" ht="17.5" customHeight="1" x14ac:dyDescent="0.4">
      <c r="B5695" t="s">
        <v>7</v>
      </c>
      <c r="C5695" t="s">
        <v>993</v>
      </c>
      <c r="D5695" s="7">
        <f>DATE(2017,5,30)</f>
        <v>42885</v>
      </c>
      <c r="E5695" s="8">
        <f t="shared" si="93"/>
        <v>2017</v>
      </c>
      <c r="F5695" t="s">
        <v>994</v>
      </c>
      <c r="G5695" s="9">
        <v>8144.5</v>
      </c>
      <c r="H5695" s="8">
        <v>25031</v>
      </c>
    </row>
    <row r="5696" spans="2:8" ht="17.5" customHeight="1" x14ac:dyDescent="0.4">
      <c r="B5696" t="s">
        <v>7</v>
      </c>
      <c r="C5696" t="s">
        <v>993</v>
      </c>
      <c r="D5696" s="7">
        <f>DATE(2017,6,20)</f>
        <v>42906</v>
      </c>
      <c r="E5696" s="8">
        <f t="shared" si="93"/>
        <v>2017</v>
      </c>
      <c r="F5696" t="s">
        <v>994</v>
      </c>
      <c r="G5696" s="9">
        <v>1125</v>
      </c>
      <c r="H5696" s="8">
        <v>25131</v>
      </c>
    </row>
    <row r="5697" spans="2:8" ht="17.5" customHeight="1" x14ac:dyDescent="0.4">
      <c r="B5697" t="s">
        <v>7</v>
      </c>
      <c r="C5697" t="s">
        <v>993</v>
      </c>
      <c r="D5697" s="7">
        <f>DATE(2017,6,23)</f>
        <v>42909</v>
      </c>
      <c r="E5697" s="8">
        <f t="shared" si="93"/>
        <v>2017</v>
      </c>
      <c r="F5697" t="s">
        <v>994</v>
      </c>
      <c r="G5697" s="9">
        <v>7956</v>
      </c>
      <c r="H5697" s="8">
        <v>25164</v>
      </c>
    </row>
    <row r="5698" spans="2:8" ht="17.5" customHeight="1" x14ac:dyDescent="0.4">
      <c r="B5698" t="s">
        <v>7</v>
      </c>
      <c r="C5698" t="s">
        <v>993</v>
      </c>
      <c r="D5698" s="7">
        <f>DATE(2017,7,12)</f>
        <v>42928</v>
      </c>
      <c r="E5698" s="8">
        <f t="shared" si="93"/>
        <v>2017</v>
      </c>
      <c r="F5698" t="s">
        <v>994</v>
      </c>
      <c r="G5698" s="9">
        <v>750</v>
      </c>
      <c r="H5698" s="8">
        <v>25242</v>
      </c>
    </row>
    <row r="5699" spans="2:8" ht="17.5" customHeight="1" x14ac:dyDescent="0.4">
      <c r="B5699" t="s">
        <v>7</v>
      </c>
      <c r="C5699" t="s">
        <v>993</v>
      </c>
      <c r="D5699" s="7">
        <f>DATE(2017,8,2)</f>
        <v>42949</v>
      </c>
      <c r="E5699" s="8">
        <f t="shared" ref="E5699:E5762" si="94">YEAR(D5699)</f>
        <v>2017</v>
      </c>
      <c r="F5699" t="s">
        <v>994</v>
      </c>
      <c r="G5699" s="9">
        <v>417</v>
      </c>
      <c r="H5699" s="8">
        <v>25342</v>
      </c>
    </row>
    <row r="5700" spans="2:8" ht="17.5" customHeight="1" x14ac:dyDescent="0.4">
      <c r="B5700" t="s">
        <v>7</v>
      </c>
      <c r="C5700" t="s">
        <v>993</v>
      </c>
      <c r="D5700" s="7">
        <f>DATE(2017,9,8)</f>
        <v>42986</v>
      </c>
      <c r="E5700" s="8">
        <f t="shared" si="94"/>
        <v>2017</v>
      </c>
      <c r="F5700" t="s">
        <v>994</v>
      </c>
      <c r="G5700" s="9">
        <v>921.25</v>
      </c>
      <c r="H5700" s="8">
        <v>25524</v>
      </c>
    </row>
    <row r="5701" spans="2:8" ht="17.5" customHeight="1" x14ac:dyDescent="0.4">
      <c r="B5701" t="s">
        <v>7</v>
      </c>
      <c r="C5701" t="s">
        <v>993</v>
      </c>
      <c r="D5701" s="7">
        <f>DATE(2017,9,14)</f>
        <v>42992</v>
      </c>
      <c r="E5701" s="8">
        <f t="shared" si="94"/>
        <v>2017</v>
      </c>
      <c r="F5701" t="s">
        <v>994</v>
      </c>
      <c r="G5701" s="9">
        <v>153</v>
      </c>
      <c r="H5701" s="8">
        <v>25582</v>
      </c>
    </row>
    <row r="5702" spans="2:8" ht="17.5" customHeight="1" x14ac:dyDescent="0.4">
      <c r="B5702" t="s">
        <v>7</v>
      </c>
      <c r="C5702" t="s">
        <v>993</v>
      </c>
      <c r="D5702" s="7">
        <f>DATE(2017,10,3)</f>
        <v>43011</v>
      </c>
      <c r="E5702" s="8">
        <f t="shared" si="94"/>
        <v>2017</v>
      </c>
      <c r="F5702" t="s">
        <v>994</v>
      </c>
      <c r="G5702" s="9">
        <v>520.08000000000004</v>
      </c>
      <c r="H5702" s="8">
        <v>25640</v>
      </c>
    </row>
    <row r="5703" spans="2:8" ht="17.5" customHeight="1" x14ac:dyDescent="0.4">
      <c r="B5703" t="s">
        <v>7</v>
      </c>
      <c r="C5703" t="s">
        <v>993</v>
      </c>
      <c r="D5703" s="7">
        <f>DATE(2017,11,27)</f>
        <v>43066</v>
      </c>
      <c r="E5703" s="8">
        <f t="shared" si="94"/>
        <v>2017</v>
      </c>
      <c r="F5703" t="s">
        <v>994</v>
      </c>
      <c r="G5703" s="9">
        <v>669.9</v>
      </c>
      <c r="H5703" s="8">
        <v>25929</v>
      </c>
    </row>
    <row r="5704" spans="2:8" ht="17.5" customHeight="1" x14ac:dyDescent="0.4">
      <c r="B5704" t="s">
        <v>7</v>
      </c>
      <c r="C5704" t="s">
        <v>993</v>
      </c>
      <c r="D5704" s="7">
        <f>DATE(2018,1,12)</f>
        <v>43112</v>
      </c>
      <c r="E5704" s="8">
        <f t="shared" si="94"/>
        <v>2018</v>
      </c>
      <c r="F5704" t="s">
        <v>994</v>
      </c>
      <c r="G5704" s="9">
        <v>1955</v>
      </c>
      <c r="H5704" s="8">
        <v>26088</v>
      </c>
    </row>
    <row r="5705" spans="2:8" ht="17.5" customHeight="1" x14ac:dyDescent="0.4">
      <c r="B5705" t="s">
        <v>7</v>
      </c>
      <c r="C5705" t="s">
        <v>993</v>
      </c>
      <c r="D5705" s="7">
        <f>DATE(2018,1,15)</f>
        <v>43115</v>
      </c>
      <c r="E5705" s="8">
        <f t="shared" si="94"/>
        <v>2018</v>
      </c>
      <c r="F5705" t="s">
        <v>994</v>
      </c>
      <c r="G5705" s="9">
        <v>708.3</v>
      </c>
      <c r="H5705" s="8">
        <v>26138</v>
      </c>
    </row>
    <row r="5706" spans="2:8" ht="17.5" customHeight="1" x14ac:dyDescent="0.4">
      <c r="B5706" t="s">
        <v>7</v>
      </c>
      <c r="C5706" t="s">
        <v>993</v>
      </c>
      <c r="D5706" s="7">
        <f>DATE(2018,1,30)</f>
        <v>43130</v>
      </c>
      <c r="E5706" s="8">
        <f t="shared" si="94"/>
        <v>2018</v>
      </c>
      <c r="F5706" t="s">
        <v>994</v>
      </c>
      <c r="G5706" s="9">
        <v>582</v>
      </c>
      <c r="H5706" s="8">
        <v>26358</v>
      </c>
    </row>
    <row r="5707" spans="2:8" ht="17.5" customHeight="1" x14ac:dyDescent="0.4">
      <c r="B5707" t="s">
        <v>7</v>
      </c>
      <c r="C5707" t="s">
        <v>993</v>
      </c>
      <c r="D5707" s="7">
        <f>DATE(2018,2,2)</f>
        <v>43133</v>
      </c>
      <c r="E5707" s="8">
        <f t="shared" si="94"/>
        <v>2018</v>
      </c>
      <c r="F5707" t="s">
        <v>994</v>
      </c>
      <c r="G5707" s="9">
        <v>1300</v>
      </c>
      <c r="H5707" s="8">
        <v>26380</v>
      </c>
    </row>
    <row r="5708" spans="2:8" ht="17.5" customHeight="1" x14ac:dyDescent="0.4">
      <c r="B5708" t="s">
        <v>7</v>
      </c>
      <c r="C5708" t="s">
        <v>993</v>
      </c>
      <c r="D5708" s="7">
        <f>DATE(2018,4,17)</f>
        <v>43207</v>
      </c>
      <c r="E5708" s="8">
        <f t="shared" si="94"/>
        <v>2018</v>
      </c>
      <c r="F5708" t="s">
        <v>994</v>
      </c>
      <c r="G5708" s="9">
        <v>94.2</v>
      </c>
      <c r="H5708" s="8">
        <v>26887</v>
      </c>
    </row>
    <row r="5709" spans="2:8" ht="17.5" customHeight="1" x14ac:dyDescent="0.4">
      <c r="B5709" t="s">
        <v>7</v>
      </c>
      <c r="C5709" t="s">
        <v>993</v>
      </c>
      <c r="D5709" s="7">
        <f>DATE(2018,4,25)</f>
        <v>43215</v>
      </c>
      <c r="E5709" s="8">
        <f t="shared" si="94"/>
        <v>2018</v>
      </c>
      <c r="F5709" t="s">
        <v>994</v>
      </c>
      <c r="G5709" s="9">
        <v>225</v>
      </c>
      <c r="H5709" s="8">
        <v>26958</v>
      </c>
    </row>
    <row r="5710" spans="2:8" ht="17.5" customHeight="1" x14ac:dyDescent="0.4">
      <c r="B5710" t="s">
        <v>7</v>
      </c>
      <c r="C5710" t="s">
        <v>993</v>
      </c>
      <c r="D5710" s="7">
        <f>DATE(2018,5,7)</f>
        <v>43227</v>
      </c>
      <c r="E5710" s="8">
        <f t="shared" si="94"/>
        <v>2018</v>
      </c>
      <c r="F5710" t="s">
        <v>994</v>
      </c>
      <c r="G5710" s="9">
        <v>8144.5</v>
      </c>
      <c r="H5710" s="8">
        <v>27014</v>
      </c>
    </row>
    <row r="5711" spans="2:8" ht="17.5" customHeight="1" x14ac:dyDescent="0.4">
      <c r="B5711" t="s">
        <v>7</v>
      </c>
      <c r="C5711" t="s">
        <v>993</v>
      </c>
      <c r="D5711" s="7">
        <f>DATE(2018,5,22)</f>
        <v>43242</v>
      </c>
      <c r="E5711" s="8">
        <f t="shared" si="94"/>
        <v>2018</v>
      </c>
      <c r="F5711" t="s">
        <v>994</v>
      </c>
      <c r="G5711" s="9">
        <v>208.5</v>
      </c>
      <c r="H5711" s="8">
        <v>27113</v>
      </c>
    </row>
    <row r="5712" spans="2:8" ht="17.5" customHeight="1" x14ac:dyDescent="0.4">
      <c r="B5712" t="s">
        <v>7</v>
      </c>
      <c r="C5712" t="s">
        <v>993</v>
      </c>
      <c r="D5712" s="7">
        <f>DATE(2018,6,12)</f>
        <v>43263</v>
      </c>
      <c r="E5712" s="8">
        <f t="shared" si="94"/>
        <v>2018</v>
      </c>
      <c r="F5712" t="s">
        <v>994</v>
      </c>
      <c r="G5712" s="9">
        <v>93</v>
      </c>
      <c r="H5712" s="8">
        <v>27195</v>
      </c>
    </row>
    <row r="5713" spans="2:8" ht="17.5" customHeight="1" x14ac:dyDescent="0.4">
      <c r="B5713" t="s">
        <v>7</v>
      </c>
      <c r="C5713" t="s">
        <v>993</v>
      </c>
      <c r="D5713" s="7">
        <f>DATE(2018,11,13)</f>
        <v>43417</v>
      </c>
      <c r="E5713" s="8">
        <f t="shared" si="94"/>
        <v>2018</v>
      </c>
      <c r="F5713" t="s">
        <v>994</v>
      </c>
      <c r="G5713" s="9">
        <v>8144.5</v>
      </c>
      <c r="H5713" s="8">
        <v>27971</v>
      </c>
    </row>
    <row r="5714" spans="2:8" ht="17.5" customHeight="1" x14ac:dyDescent="0.4">
      <c r="B5714" t="s">
        <v>7</v>
      </c>
      <c r="C5714" t="s">
        <v>993</v>
      </c>
      <c r="D5714" s="7">
        <f>DATE(2018,12,7)</f>
        <v>43441</v>
      </c>
      <c r="E5714" s="8">
        <f t="shared" si="94"/>
        <v>2018</v>
      </c>
      <c r="F5714" t="s">
        <v>994</v>
      </c>
      <c r="G5714" s="9">
        <v>187.95</v>
      </c>
      <c r="H5714" s="8">
        <v>28097</v>
      </c>
    </row>
    <row r="5715" spans="2:8" ht="17.5" customHeight="1" x14ac:dyDescent="0.4">
      <c r="B5715" t="s">
        <v>7</v>
      </c>
      <c r="C5715" t="s">
        <v>993</v>
      </c>
      <c r="D5715" s="7">
        <f>DATE(2019,3,1)</f>
        <v>43525</v>
      </c>
      <c r="E5715" s="8">
        <f t="shared" si="94"/>
        <v>2019</v>
      </c>
      <c r="F5715" t="s">
        <v>994</v>
      </c>
      <c r="G5715" s="9">
        <v>57.08</v>
      </c>
      <c r="H5715" s="8">
        <v>28529</v>
      </c>
    </row>
    <row r="5716" spans="2:8" ht="17.5" customHeight="1" x14ac:dyDescent="0.4">
      <c r="B5716" t="s">
        <v>7</v>
      </c>
      <c r="C5716" t="s">
        <v>993</v>
      </c>
      <c r="D5716" s="7">
        <f>DATE(2019,3,11)</f>
        <v>43535</v>
      </c>
      <c r="E5716" s="8">
        <f t="shared" si="94"/>
        <v>2019</v>
      </c>
      <c r="F5716" t="s">
        <v>994</v>
      </c>
      <c r="G5716" s="9">
        <v>993.6</v>
      </c>
      <c r="H5716" s="8">
        <v>28596</v>
      </c>
    </row>
    <row r="5717" spans="2:8" ht="17.5" customHeight="1" x14ac:dyDescent="0.4">
      <c r="B5717" t="s">
        <v>7</v>
      </c>
      <c r="C5717" t="s">
        <v>993</v>
      </c>
      <c r="D5717" s="7">
        <f>DATE(2019,3,15)</f>
        <v>43539</v>
      </c>
      <c r="E5717" s="8">
        <f t="shared" si="94"/>
        <v>2019</v>
      </c>
      <c r="F5717" t="s">
        <v>994</v>
      </c>
      <c r="G5717" s="9">
        <v>34.08</v>
      </c>
      <c r="H5717" s="8">
        <v>28640</v>
      </c>
    </row>
    <row r="5718" spans="2:8" ht="17.5" customHeight="1" x14ac:dyDescent="0.4">
      <c r="B5718" t="s">
        <v>7</v>
      </c>
      <c r="C5718" t="s">
        <v>993</v>
      </c>
      <c r="D5718" s="7">
        <f>DATE(2019,3,15)</f>
        <v>43539</v>
      </c>
      <c r="E5718" s="8">
        <f t="shared" si="94"/>
        <v>2019</v>
      </c>
      <c r="F5718" t="s">
        <v>994</v>
      </c>
      <c r="G5718" s="9">
        <v>1989</v>
      </c>
      <c r="H5718" s="8">
        <v>28639</v>
      </c>
    </row>
    <row r="5719" spans="2:8" ht="17.5" customHeight="1" x14ac:dyDescent="0.4">
      <c r="B5719" t="s">
        <v>7</v>
      </c>
      <c r="C5719" t="s">
        <v>993</v>
      </c>
      <c r="D5719" s="7">
        <f>DATE(2019,3,15)</f>
        <v>43539</v>
      </c>
      <c r="E5719" s="8">
        <f t="shared" si="94"/>
        <v>2019</v>
      </c>
      <c r="F5719" t="s">
        <v>994</v>
      </c>
      <c r="G5719" s="9">
        <v>1086.3</v>
      </c>
      <c r="H5719" s="8">
        <v>28646</v>
      </c>
    </row>
    <row r="5720" spans="2:8" ht="17.5" customHeight="1" x14ac:dyDescent="0.4">
      <c r="B5720" t="s">
        <v>7</v>
      </c>
      <c r="C5720" t="s">
        <v>993</v>
      </c>
      <c r="D5720" s="7">
        <f>DATE(2019,3,18)</f>
        <v>43542</v>
      </c>
      <c r="E5720" s="8">
        <f t="shared" si="94"/>
        <v>2019</v>
      </c>
      <c r="F5720" t="s">
        <v>994</v>
      </c>
      <c r="G5720" s="9">
        <v>318.92</v>
      </c>
      <c r="H5720" s="8">
        <v>28657</v>
      </c>
    </row>
    <row r="5721" spans="2:8" ht="17.5" customHeight="1" x14ac:dyDescent="0.4">
      <c r="B5721" t="s">
        <v>7</v>
      </c>
      <c r="C5721" t="s">
        <v>993</v>
      </c>
      <c r="D5721" s="7">
        <f>DATE(2019,3,20)</f>
        <v>43544</v>
      </c>
      <c r="E5721" s="8">
        <f t="shared" si="94"/>
        <v>2019</v>
      </c>
      <c r="F5721" t="s">
        <v>994</v>
      </c>
      <c r="G5721" s="9">
        <v>613.20000000000005</v>
      </c>
      <c r="H5721" s="8">
        <v>28673</v>
      </c>
    </row>
    <row r="5722" spans="2:8" ht="17.5" customHeight="1" x14ac:dyDescent="0.4">
      <c r="B5722" t="s">
        <v>7</v>
      </c>
      <c r="C5722" t="s">
        <v>993</v>
      </c>
      <c r="D5722" s="7">
        <f>DATE(2019,3,21)</f>
        <v>43545</v>
      </c>
      <c r="E5722" s="8">
        <f t="shared" si="94"/>
        <v>2019</v>
      </c>
      <c r="F5722" t="s">
        <v>994</v>
      </c>
      <c r="G5722" s="9">
        <v>3233</v>
      </c>
      <c r="H5722" s="8">
        <v>28642</v>
      </c>
    </row>
    <row r="5723" spans="2:8" ht="17.5" customHeight="1" x14ac:dyDescent="0.4">
      <c r="B5723" t="s">
        <v>7</v>
      </c>
      <c r="C5723" t="s">
        <v>993</v>
      </c>
      <c r="D5723" s="7">
        <f>DATE(2019,3,22)</f>
        <v>43546</v>
      </c>
      <c r="E5723" s="8">
        <f t="shared" si="94"/>
        <v>2019</v>
      </c>
      <c r="F5723" t="s">
        <v>994</v>
      </c>
      <c r="G5723" s="9">
        <v>459</v>
      </c>
      <c r="H5723" s="8">
        <v>28689</v>
      </c>
    </row>
    <row r="5724" spans="2:8" ht="17.5" customHeight="1" x14ac:dyDescent="0.4">
      <c r="B5724" t="s">
        <v>7</v>
      </c>
      <c r="C5724" t="s">
        <v>993</v>
      </c>
      <c r="D5724" s="7">
        <f>DATE(2019,3,26)</f>
        <v>43550</v>
      </c>
      <c r="E5724" s="8">
        <f t="shared" si="94"/>
        <v>2019</v>
      </c>
      <c r="F5724" t="s">
        <v>994</v>
      </c>
      <c r="G5724" s="9">
        <v>6127.95</v>
      </c>
      <c r="H5724" s="8">
        <v>28620</v>
      </c>
    </row>
    <row r="5725" spans="2:8" ht="17.5" customHeight="1" x14ac:dyDescent="0.4">
      <c r="B5725" t="s">
        <v>7</v>
      </c>
      <c r="C5725" t="s">
        <v>993</v>
      </c>
      <c r="D5725" s="7">
        <f>DATE(2019,3,29)</f>
        <v>43553</v>
      </c>
      <c r="E5725" s="8">
        <f t="shared" si="94"/>
        <v>2019</v>
      </c>
      <c r="F5725" t="s">
        <v>994</v>
      </c>
      <c r="G5725" s="9">
        <v>907.5</v>
      </c>
      <c r="H5725" s="8">
        <v>28729</v>
      </c>
    </row>
    <row r="5726" spans="2:8" ht="17.5" customHeight="1" x14ac:dyDescent="0.4">
      <c r="B5726" t="s">
        <v>7</v>
      </c>
      <c r="C5726" t="s">
        <v>993</v>
      </c>
      <c r="D5726" s="7">
        <f>DATE(2019,4,1)</f>
        <v>43556</v>
      </c>
      <c r="E5726" s="8">
        <f t="shared" si="94"/>
        <v>2019</v>
      </c>
      <c r="F5726" t="s">
        <v>994</v>
      </c>
      <c r="G5726" s="9">
        <v>250</v>
      </c>
      <c r="H5726" s="8">
        <v>28694</v>
      </c>
    </row>
    <row r="5727" spans="2:8" ht="17.5" customHeight="1" x14ac:dyDescent="0.4">
      <c r="B5727" t="s">
        <v>7</v>
      </c>
      <c r="C5727" t="s">
        <v>993</v>
      </c>
      <c r="D5727" s="7">
        <f>DATE(2019,4,23)</f>
        <v>43578</v>
      </c>
      <c r="E5727" s="8">
        <f t="shared" si="94"/>
        <v>2019</v>
      </c>
      <c r="F5727" t="s">
        <v>994</v>
      </c>
      <c r="G5727" s="9">
        <v>646</v>
      </c>
      <c r="H5727" s="8">
        <v>28887</v>
      </c>
    </row>
    <row r="5728" spans="2:8" ht="17.5" customHeight="1" x14ac:dyDescent="0.4">
      <c r="B5728" t="s">
        <v>7</v>
      </c>
      <c r="C5728" t="s">
        <v>993</v>
      </c>
      <c r="D5728" s="7">
        <f>DATE(2019,4,26)</f>
        <v>43581</v>
      </c>
      <c r="E5728" s="8">
        <f t="shared" si="94"/>
        <v>2019</v>
      </c>
      <c r="F5728" t="s">
        <v>994</v>
      </c>
      <c r="G5728" s="9">
        <v>1024.8</v>
      </c>
      <c r="H5728" s="8">
        <v>28910</v>
      </c>
    </row>
    <row r="5729" spans="2:8" ht="17.5" customHeight="1" x14ac:dyDescent="0.4">
      <c r="B5729" t="s">
        <v>7</v>
      </c>
      <c r="C5729" t="s">
        <v>993</v>
      </c>
      <c r="D5729" s="7">
        <f>DATE(2019,4,30)</f>
        <v>43585</v>
      </c>
      <c r="E5729" s="8">
        <f t="shared" si="94"/>
        <v>2019</v>
      </c>
      <c r="F5729" t="s">
        <v>994</v>
      </c>
      <c r="G5729" s="9">
        <v>290.39999999999998</v>
      </c>
      <c r="H5729" s="8">
        <v>28936</v>
      </c>
    </row>
    <row r="5730" spans="2:8" ht="17.5" customHeight="1" x14ac:dyDescent="0.4">
      <c r="B5730" t="s">
        <v>7</v>
      </c>
      <c r="C5730" t="s">
        <v>993</v>
      </c>
      <c r="D5730" s="7">
        <f>DATE(2017,2,27)</f>
        <v>42793</v>
      </c>
      <c r="E5730" s="8">
        <f t="shared" si="94"/>
        <v>2017</v>
      </c>
      <c r="F5730" t="s">
        <v>994</v>
      </c>
      <c r="G5730" s="9">
        <v>52356.71</v>
      </c>
      <c r="H5730" s="8">
        <v>23994</v>
      </c>
    </row>
    <row r="5731" spans="2:8" ht="17.5" customHeight="1" x14ac:dyDescent="0.4">
      <c r="B5731" t="s">
        <v>7</v>
      </c>
      <c r="C5731" t="s">
        <v>993</v>
      </c>
      <c r="D5731" s="7">
        <f>DATE(2017,8,1)</f>
        <v>42948</v>
      </c>
      <c r="E5731" s="8">
        <f t="shared" si="94"/>
        <v>2017</v>
      </c>
      <c r="F5731" t="s">
        <v>994</v>
      </c>
      <c r="G5731" s="9">
        <v>158.57</v>
      </c>
      <c r="H5731" s="8">
        <v>25343</v>
      </c>
    </row>
    <row r="5732" spans="2:8" ht="17.5" customHeight="1" x14ac:dyDescent="0.4">
      <c r="B5732" t="s">
        <v>7</v>
      </c>
      <c r="C5732" t="s">
        <v>993</v>
      </c>
      <c r="D5732" s="7">
        <f>DATE(2017,8,2)</f>
        <v>42949</v>
      </c>
      <c r="E5732" s="8">
        <f t="shared" si="94"/>
        <v>2017</v>
      </c>
      <c r="F5732" t="s">
        <v>994</v>
      </c>
      <c r="G5732" s="9">
        <v>50</v>
      </c>
      <c r="H5732" s="8">
        <v>25353</v>
      </c>
    </row>
    <row r="5733" spans="2:8" ht="17.5" customHeight="1" x14ac:dyDescent="0.4">
      <c r="B5733" t="s">
        <v>7</v>
      </c>
      <c r="C5733" t="s">
        <v>993</v>
      </c>
      <c r="D5733" s="7">
        <f>DATE(2016,2,18)</f>
        <v>42418</v>
      </c>
      <c r="E5733" s="8">
        <f t="shared" si="94"/>
        <v>2016</v>
      </c>
      <c r="F5733" t="s">
        <v>994</v>
      </c>
      <c r="G5733" s="9">
        <v>3764.62</v>
      </c>
      <c r="H5733" s="8">
        <v>22060</v>
      </c>
    </row>
    <row r="5734" spans="2:8" ht="17.5" customHeight="1" x14ac:dyDescent="0.4">
      <c r="B5734" t="s">
        <v>7</v>
      </c>
      <c r="C5734" t="s">
        <v>993</v>
      </c>
      <c r="D5734" s="7">
        <f>DATE(2015,1,28)</f>
        <v>42032</v>
      </c>
      <c r="E5734" s="8">
        <f t="shared" si="94"/>
        <v>2015</v>
      </c>
      <c r="F5734" t="s">
        <v>994</v>
      </c>
      <c r="G5734" s="9">
        <v>2879.8</v>
      </c>
      <c r="H5734" s="8">
        <v>195</v>
      </c>
    </row>
    <row r="5735" spans="2:8" ht="17.5" customHeight="1" x14ac:dyDescent="0.4">
      <c r="B5735" t="s">
        <v>7</v>
      </c>
      <c r="C5735" t="s">
        <v>993</v>
      </c>
      <c r="D5735" s="7">
        <f>DATE(2015,2,5)</f>
        <v>42040</v>
      </c>
      <c r="E5735" s="8">
        <f t="shared" si="94"/>
        <v>2015</v>
      </c>
      <c r="F5735" t="s">
        <v>994</v>
      </c>
      <c r="G5735" s="9">
        <v>10556.99</v>
      </c>
      <c r="H5735" s="8">
        <v>305</v>
      </c>
    </row>
    <row r="5736" spans="2:8" ht="17.5" customHeight="1" x14ac:dyDescent="0.4">
      <c r="B5736" t="s">
        <v>7</v>
      </c>
      <c r="C5736" t="s">
        <v>993</v>
      </c>
      <c r="D5736" s="7">
        <f>DATE(2015,2,17)</f>
        <v>42052</v>
      </c>
      <c r="E5736" s="8">
        <f t="shared" si="94"/>
        <v>2015</v>
      </c>
      <c r="F5736" t="s">
        <v>994</v>
      </c>
      <c r="G5736" s="9">
        <v>323</v>
      </c>
      <c r="H5736" s="8">
        <v>5006</v>
      </c>
    </row>
    <row r="5737" spans="2:8" ht="17.5" customHeight="1" x14ac:dyDescent="0.4">
      <c r="B5737" t="s">
        <v>7</v>
      </c>
      <c r="C5737" t="s">
        <v>993</v>
      </c>
      <c r="D5737" s="7">
        <f>DATE(2015,2,23)</f>
        <v>42058</v>
      </c>
      <c r="E5737" s="8">
        <f t="shared" si="94"/>
        <v>2015</v>
      </c>
      <c r="F5737" t="s">
        <v>994</v>
      </c>
      <c r="G5737" s="9">
        <v>3120.36</v>
      </c>
      <c r="H5737" s="8">
        <v>432</v>
      </c>
    </row>
    <row r="5738" spans="2:8" ht="17.5" customHeight="1" x14ac:dyDescent="0.4">
      <c r="B5738" t="s">
        <v>7</v>
      </c>
      <c r="C5738" t="s">
        <v>993</v>
      </c>
      <c r="D5738" s="7">
        <f>DATE(2015,3,3)</f>
        <v>42066</v>
      </c>
      <c r="E5738" s="8">
        <f t="shared" si="94"/>
        <v>2015</v>
      </c>
      <c r="F5738" t="s">
        <v>994</v>
      </c>
      <c r="G5738" s="9">
        <v>15236.66</v>
      </c>
      <c r="H5738" s="8">
        <v>304</v>
      </c>
    </row>
    <row r="5739" spans="2:8" ht="17.5" customHeight="1" x14ac:dyDescent="0.4">
      <c r="B5739" t="s">
        <v>7</v>
      </c>
      <c r="C5739" t="s">
        <v>993</v>
      </c>
      <c r="D5739" s="7">
        <f>DATE(2015,3,5)</f>
        <v>42068</v>
      </c>
      <c r="E5739" s="8">
        <f t="shared" si="94"/>
        <v>2015</v>
      </c>
      <c r="F5739" t="s">
        <v>994</v>
      </c>
      <c r="G5739" s="9">
        <v>1530</v>
      </c>
      <c r="H5739" s="8">
        <v>20096</v>
      </c>
    </row>
    <row r="5740" spans="2:8" ht="17.5" customHeight="1" x14ac:dyDescent="0.4">
      <c r="B5740" t="s">
        <v>7</v>
      </c>
      <c r="C5740" t="s">
        <v>993</v>
      </c>
      <c r="D5740" s="7">
        <f>DATE(2015,3,16)</f>
        <v>42079</v>
      </c>
      <c r="E5740" s="8">
        <f t="shared" si="94"/>
        <v>2015</v>
      </c>
      <c r="F5740" t="s">
        <v>994</v>
      </c>
      <c r="G5740" s="9">
        <v>1805.4</v>
      </c>
      <c r="H5740" s="8">
        <v>20176</v>
      </c>
    </row>
    <row r="5741" spans="2:8" ht="17.5" customHeight="1" x14ac:dyDescent="0.4">
      <c r="B5741" t="s">
        <v>7</v>
      </c>
      <c r="C5741" t="s">
        <v>993</v>
      </c>
      <c r="D5741" s="7">
        <f>DATE(2015,3,16)</f>
        <v>42079</v>
      </c>
      <c r="E5741" s="8">
        <f t="shared" si="94"/>
        <v>2015</v>
      </c>
      <c r="F5741" t="s">
        <v>994</v>
      </c>
      <c r="G5741" s="9">
        <v>326.7</v>
      </c>
      <c r="H5741" s="8">
        <v>20175</v>
      </c>
    </row>
    <row r="5742" spans="2:8" ht="17.5" customHeight="1" x14ac:dyDescent="0.4">
      <c r="B5742" t="s">
        <v>7</v>
      </c>
      <c r="C5742" t="s">
        <v>993</v>
      </c>
      <c r="D5742" s="7">
        <f>DATE(2015,3,17)</f>
        <v>42080</v>
      </c>
      <c r="E5742" s="8">
        <f t="shared" si="94"/>
        <v>2015</v>
      </c>
      <c r="F5742" t="s">
        <v>994</v>
      </c>
      <c r="G5742" s="9">
        <v>161.5</v>
      </c>
      <c r="H5742" s="8">
        <v>20217</v>
      </c>
    </row>
    <row r="5743" spans="2:8" ht="17.5" customHeight="1" x14ac:dyDescent="0.4">
      <c r="B5743" t="s">
        <v>7</v>
      </c>
      <c r="C5743" t="s">
        <v>993</v>
      </c>
      <c r="D5743" s="7">
        <f>DATE(2015,3,24)</f>
        <v>42087</v>
      </c>
      <c r="E5743" s="8">
        <f t="shared" si="94"/>
        <v>2015</v>
      </c>
      <c r="F5743" t="s">
        <v>994</v>
      </c>
      <c r="G5743" s="9">
        <v>3375.5</v>
      </c>
      <c r="H5743" s="8">
        <v>20219</v>
      </c>
    </row>
    <row r="5744" spans="2:8" ht="17.5" customHeight="1" x14ac:dyDescent="0.4">
      <c r="B5744" t="s">
        <v>7</v>
      </c>
      <c r="C5744" t="s">
        <v>993</v>
      </c>
      <c r="D5744" s="7">
        <f>DATE(2015,3,30)</f>
        <v>42093</v>
      </c>
      <c r="E5744" s="8">
        <f t="shared" si="94"/>
        <v>2015</v>
      </c>
      <c r="F5744" t="s">
        <v>994</v>
      </c>
      <c r="G5744" s="9">
        <v>948.6</v>
      </c>
      <c r="H5744" s="8">
        <v>20310</v>
      </c>
    </row>
    <row r="5745" spans="2:8" ht="17.5" customHeight="1" x14ac:dyDescent="0.4">
      <c r="B5745" t="s">
        <v>7</v>
      </c>
      <c r="C5745" t="s">
        <v>993</v>
      </c>
      <c r="D5745" s="7">
        <f>DATE(2015,3,31)</f>
        <v>42094</v>
      </c>
      <c r="E5745" s="8">
        <f t="shared" si="94"/>
        <v>2015</v>
      </c>
      <c r="F5745" t="s">
        <v>994</v>
      </c>
      <c r="G5745" s="9">
        <v>7956</v>
      </c>
      <c r="H5745" s="8">
        <v>20311</v>
      </c>
    </row>
    <row r="5746" spans="2:8" ht="17.5" customHeight="1" x14ac:dyDescent="0.4">
      <c r="B5746" t="s">
        <v>7</v>
      </c>
      <c r="C5746" t="s">
        <v>993</v>
      </c>
      <c r="D5746" s="7">
        <f>DATE(2015,5,4)</f>
        <v>42128</v>
      </c>
      <c r="E5746" s="8">
        <f t="shared" si="94"/>
        <v>2015</v>
      </c>
      <c r="F5746" t="s">
        <v>994</v>
      </c>
      <c r="G5746" s="9">
        <v>612</v>
      </c>
      <c r="H5746" s="8">
        <v>20515</v>
      </c>
    </row>
    <row r="5747" spans="2:8" ht="17.5" customHeight="1" x14ac:dyDescent="0.4">
      <c r="B5747" t="s">
        <v>7</v>
      </c>
      <c r="C5747" t="s">
        <v>993</v>
      </c>
      <c r="D5747" s="7">
        <f>DATE(2015,5,4)</f>
        <v>42128</v>
      </c>
      <c r="E5747" s="8">
        <f t="shared" si="94"/>
        <v>2015</v>
      </c>
      <c r="F5747" t="s">
        <v>994</v>
      </c>
      <c r="G5747" s="9">
        <v>39.4</v>
      </c>
      <c r="H5747" s="8">
        <v>20538</v>
      </c>
    </row>
    <row r="5748" spans="2:8" ht="17.5" customHeight="1" x14ac:dyDescent="0.4">
      <c r="B5748" t="s">
        <v>7</v>
      </c>
      <c r="C5748" t="s">
        <v>993</v>
      </c>
      <c r="D5748" s="7">
        <f>DATE(2015,5,5)</f>
        <v>42129</v>
      </c>
      <c r="E5748" s="8">
        <f t="shared" si="94"/>
        <v>2015</v>
      </c>
      <c r="F5748" t="s">
        <v>994</v>
      </c>
      <c r="G5748" s="9">
        <v>3018.34</v>
      </c>
      <c r="H5748" s="8">
        <v>20565</v>
      </c>
    </row>
    <row r="5749" spans="2:8" ht="17.5" customHeight="1" x14ac:dyDescent="0.4">
      <c r="B5749" t="s">
        <v>7</v>
      </c>
      <c r="C5749" t="s">
        <v>993</v>
      </c>
      <c r="D5749" s="7">
        <f>DATE(2015,5,6)</f>
        <v>42130</v>
      </c>
      <c r="E5749" s="8">
        <f t="shared" si="94"/>
        <v>2015</v>
      </c>
      <c r="F5749" t="s">
        <v>994</v>
      </c>
      <c r="G5749" s="9">
        <v>1377</v>
      </c>
      <c r="H5749" s="8">
        <v>20552</v>
      </c>
    </row>
    <row r="5750" spans="2:8" ht="17.5" customHeight="1" x14ac:dyDescent="0.4">
      <c r="B5750" t="s">
        <v>7</v>
      </c>
      <c r="C5750" t="s">
        <v>993</v>
      </c>
      <c r="D5750" s="7">
        <f>DATE(2015,5,6)</f>
        <v>42130</v>
      </c>
      <c r="E5750" s="8">
        <f t="shared" si="94"/>
        <v>2015</v>
      </c>
      <c r="F5750" t="s">
        <v>994</v>
      </c>
      <c r="G5750" s="9">
        <v>5985</v>
      </c>
      <c r="H5750" s="8">
        <v>20551</v>
      </c>
    </row>
    <row r="5751" spans="2:8" ht="17.5" customHeight="1" x14ac:dyDescent="0.4">
      <c r="B5751" t="s">
        <v>7</v>
      </c>
      <c r="C5751" t="s">
        <v>993</v>
      </c>
      <c r="D5751" s="7">
        <f>DATE(2015,5,7)</f>
        <v>42131</v>
      </c>
      <c r="E5751" s="8">
        <f t="shared" si="94"/>
        <v>2015</v>
      </c>
      <c r="F5751" t="s">
        <v>994</v>
      </c>
      <c r="G5751" s="9">
        <v>8568</v>
      </c>
      <c r="H5751" s="8">
        <v>20564</v>
      </c>
    </row>
    <row r="5752" spans="2:8" ht="17.5" customHeight="1" x14ac:dyDescent="0.4">
      <c r="B5752" t="s">
        <v>7</v>
      </c>
      <c r="C5752" t="s">
        <v>993</v>
      </c>
      <c r="D5752" s="7">
        <f>DATE(2015,5,13)</f>
        <v>42137</v>
      </c>
      <c r="E5752" s="8">
        <f t="shared" si="94"/>
        <v>2015</v>
      </c>
      <c r="F5752" t="s">
        <v>994</v>
      </c>
      <c r="G5752" s="9">
        <v>612</v>
      </c>
      <c r="H5752" s="8">
        <v>20627</v>
      </c>
    </row>
    <row r="5753" spans="2:8" ht="17.5" customHeight="1" x14ac:dyDescent="0.4">
      <c r="B5753" t="s">
        <v>7</v>
      </c>
      <c r="C5753" t="s">
        <v>993</v>
      </c>
      <c r="D5753" s="7">
        <f>DATE(2015,5,20)</f>
        <v>42144</v>
      </c>
      <c r="E5753" s="8">
        <f t="shared" si="94"/>
        <v>2015</v>
      </c>
      <c r="F5753" t="s">
        <v>994</v>
      </c>
      <c r="G5753" s="9">
        <v>1530</v>
      </c>
      <c r="H5753" s="8">
        <v>20656</v>
      </c>
    </row>
    <row r="5754" spans="2:8" ht="17.5" customHeight="1" x14ac:dyDescent="0.4">
      <c r="B5754" t="s">
        <v>7</v>
      </c>
      <c r="C5754" t="s">
        <v>993</v>
      </c>
      <c r="D5754" s="7">
        <f>DATE(2015,5,20)</f>
        <v>42144</v>
      </c>
      <c r="E5754" s="8">
        <f t="shared" si="94"/>
        <v>2015</v>
      </c>
      <c r="F5754" t="s">
        <v>994</v>
      </c>
      <c r="G5754" s="9">
        <v>107.1</v>
      </c>
      <c r="H5754" s="8">
        <v>20655</v>
      </c>
    </row>
    <row r="5755" spans="2:8" ht="17.5" customHeight="1" x14ac:dyDescent="0.4">
      <c r="B5755" t="s">
        <v>7</v>
      </c>
      <c r="C5755" t="s">
        <v>993</v>
      </c>
      <c r="D5755" s="7">
        <f>DATE(2015,5,20)</f>
        <v>42144</v>
      </c>
      <c r="E5755" s="8">
        <f t="shared" si="94"/>
        <v>2015</v>
      </c>
      <c r="F5755" t="s">
        <v>994</v>
      </c>
      <c r="G5755" s="9">
        <v>956</v>
      </c>
      <c r="H5755" s="8">
        <v>20657</v>
      </c>
    </row>
    <row r="5756" spans="2:8" ht="17.5" customHeight="1" x14ac:dyDescent="0.4">
      <c r="B5756" t="s">
        <v>7</v>
      </c>
      <c r="C5756" t="s">
        <v>993</v>
      </c>
      <c r="D5756" s="7">
        <f>DATE(2015,5,22)</f>
        <v>42146</v>
      </c>
      <c r="E5756" s="8">
        <f t="shared" si="94"/>
        <v>2015</v>
      </c>
      <c r="F5756" t="s">
        <v>994</v>
      </c>
      <c r="G5756" s="9">
        <v>226.74</v>
      </c>
      <c r="H5756" s="8">
        <v>20669</v>
      </c>
    </row>
    <row r="5757" spans="2:8" ht="17.5" customHeight="1" x14ac:dyDescent="0.4">
      <c r="B5757" t="s">
        <v>7</v>
      </c>
      <c r="C5757" t="s">
        <v>993</v>
      </c>
      <c r="D5757" s="7">
        <f>DATE(2015,6,3)</f>
        <v>42158</v>
      </c>
      <c r="E5757" s="8">
        <f t="shared" si="94"/>
        <v>2015</v>
      </c>
      <c r="F5757" t="s">
        <v>994</v>
      </c>
      <c r="G5757" s="9">
        <v>1619.25</v>
      </c>
      <c r="H5757" s="8">
        <v>20742</v>
      </c>
    </row>
    <row r="5758" spans="2:8" ht="17.5" customHeight="1" x14ac:dyDescent="0.4">
      <c r="B5758" t="s">
        <v>7</v>
      </c>
      <c r="C5758" t="s">
        <v>993</v>
      </c>
      <c r="D5758" s="7">
        <f>DATE(2015,6,4)</f>
        <v>42159</v>
      </c>
      <c r="E5758" s="8">
        <f t="shared" si="94"/>
        <v>2015</v>
      </c>
      <c r="F5758" t="s">
        <v>994</v>
      </c>
      <c r="G5758" s="9">
        <v>2018.05</v>
      </c>
      <c r="H5758" s="8">
        <v>20613</v>
      </c>
    </row>
    <row r="5759" spans="2:8" ht="17.5" customHeight="1" x14ac:dyDescent="0.4">
      <c r="B5759" t="s">
        <v>7</v>
      </c>
      <c r="C5759" t="s">
        <v>993</v>
      </c>
      <c r="D5759" s="7">
        <f>DATE(2015,6,8)</f>
        <v>42163</v>
      </c>
      <c r="E5759" s="8">
        <f t="shared" si="94"/>
        <v>2015</v>
      </c>
      <c r="F5759" t="s">
        <v>994</v>
      </c>
      <c r="G5759" s="9">
        <v>6444</v>
      </c>
      <c r="H5759" s="8">
        <v>20710</v>
      </c>
    </row>
    <row r="5760" spans="2:8" ht="17.5" customHeight="1" x14ac:dyDescent="0.4">
      <c r="B5760" t="s">
        <v>7</v>
      </c>
      <c r="C5760" t="s">
        <v>993</v>
      </c>
      <c r="D5760" s="7">
        <f>DATE(2015,6,8)</f>
        <v>42163</v>
      </c>
      <c r="E5760" s="8">
        <f t="shared" si="94"/>
        <v>2015</v>
      </c>
      <c r="F5760" t="s">
        <v>994</v>
      </c>
      <c r="G5760" s="9">
        <v>2346</v>
      </c>
      <c r="H5760" s="8">
        <v>20730</v>
      </c>
    </row>
    <row r="5761" spans="2:8" ht="17.5" customHeight="1" x14ac:dyDescent="0.4">
      <c r="B5761" t="s">
        <v>7</v>
      </c>
      <c r="C5761" t="s">
        <v>993</v>
      </c>
      <c r="D5761" s="7">
        <f>DATE(2015,6,9)</f>
        <v>42164</v>
      </c>
      <c r="E5761" s="8">
        <f t="shared" si="94"/>
        <v>2015</v>
      </c>
      <c r="F5761" t="s">
        <v>994</v>
      </c>
      <c r="G5761" s="9">
        <v>3457.05</v>
      </c>
      <c r="H5761" s="8">
        <v>20765</v>
      </c>
    </row>
    <row r="5762" spans="2:8" ht="17.5" customHeight="1" x14ac:dyDescent="0.4">
      <c r="B5762" t="s">
        <v>7</v>
      </c>
      <c r="C5762" t="s">
        <v>993</v>
      </c>
      <c r="D5762" s="7">
        <f>DATE(2015,6,10)</f>
        <v>42165</v>
      </c>
      <c r="E5762" s="8">
        <f t="shared" si="94"/>
        <v>2015</v>
      </c>
      <c r="F5762" t="s">
        <v>994</v>
      </c>
      <c r="G5762" s="9">
        <v>2085</v>
      </c>
      <c r="H5762" s="8">
        <v>20746</v>
      </c>
    </row>
    <row r="5763" spans="2:8" ht="17.5" customHeight="1" x14ac:dyDescent="0.4">
      <c r="B5763" t="s">
        <v>7</v>
      </c>
      <c r="C5763" t="s">
        <v>993</v>
      </c>
      <c r="D5763" s="7">
        <f>DATE(2015,6,16)</f>
        <v>42171</v>
      </c>
      <c r="E5763" s="8">
        <f t="shared" ref="E5763:E5826" si="95">YEAR(D5763)</f>
        <v>2015</v>
      </c>
      <c r="F5763" t="s">
        <v>994</v>
      </c>
      <c r="G5763" s="9">
        <v>330</v>
      </c>
      <c r="H5763" s="8">
        <v>20818</v>
      </c>
    </row>
    <row r="5764" spans="2:8" ht="17.5" customHeight="1" x14ac:dyDescent="0.4">
      <c r="B5764" t="s">
        <v>7</v>
      </c>
      <c r="C5764" t="s">
        <v>993</v>
      </c>
      <c r="D5764" s="7">
        <f>DATE(2015,6,17)</f>
        <v>42172</v>
      </c>
      <c r="E5764" s="8">
        <f t="shared" si="95"/>
        <v>2015</v>
      </c>
      <c r="F5764" t="s">
        <v>994</v>
      </c>
      <c r="G5764" s="9">
        <v>4840</v>
      </c>
      <c r="H5764" s="8">
        <v>20824</v>
      </c>
    </row>
    <row r="5765" spans="2:8" ht="17.5" customHeight="1" x14ac:dyDescent="0.4">
      <c r="B5765" t="s">
        <v>7</v>
      </c>
      <c r="C5765" t="s">
        <v>993</v>
      </c>
      <c r="D5765" s="7">
        <f>DATE(2015,6,22)</f>
        <v>42177</v>
      </c>
      <c r="E5765" s="8">
        <f t="shared" si="95"/>
        <v>2015</v>
      </c>
      <c r="F5765" t="s">
        <v>994</v>
      </c>
      <c r="G5765" s="9">
        <v>1485.8</v>
      </c>
      <c r="H5765" s="8">
        <v>20825</v>
      </c>
    </row>
    <row r="5766" spans="2:8" ht="17.5" customHeight="1" x14ac:dyDescent="0.4">
      <c r="B5766" t="s">
        <v>7</v>
      </c>
      <c r="C5766" t="s">
        <v>993</v>
      </c>
      <c r="D5766" s="7">
        <f>DATE(2015,6,23)</f>
        <v>42178</v>
      </c>
      <c r="E5766" s="8">
        <f t="shared" si="95"/>
        <v>2015</v>
      </c>
      <c r="F5766" t="s">
        <v>994</v>
      </c>
      <c r="G5766" s="9">
        <v>85.28</v>
      </c>
      <c r="H5766" s="8">
        <v>20839</v>
      </c>
    </row>
    <row r="5767" spans="2:8" ht="17.5" customHeight="1" x14ac:dyDescent="0.4">
      <c r="B5767" t="s">
        <v>7</v>
      </c>
      <c r="C5767" t="s">
        <v>993</v>
      </c>
      <c r="D5767" s="7">
        <f>DATE(2015,6,24)</f>
        <v>42179</v>
      </c>
      <c r="E5767" s="8">
        <f t="shared" si="95"/>
        <v>2015</v>
      </c>
      <c r="F5767" t="s">
        <v>994</v>
      </c>
      <c r="G5767" s="9">
        <v>1335.99</v>
      </c>
      <c r="H5767" s="8">
        <v>20840</v>
      </c>
    </row>
    <row r="5768" spans="2:8" ht="17.5" customHeight="1" x14ac:dyDescent="0.4">
      <c r="B5768" t="s">
        <v>7</v>
      </c>
      <c r="C5768" t="s">
        <v>993</v>
      </c>
      <c r="D5768" s="7">
        <f>DATE(2015,7,1)</f>
        <v>42186</v>
      </c>
      <c r="E5768" s="8">
        <f t="shared" si="95"/>
        <v>2015</v>
      </c>
      <c r="F5768" t="s">
        <v>994</v>
      </c>
      <c r="G5768" s="9">
        <v>205.6</v>
      </c>
      <c r="H5768" s="8">
        <v>20874</v>
      </c>
    </row>
    <row r="5769" spans="2:8" ht="17.5" customHeight="1" x14ac:dyDescent="0.4">
      <c r="B5769" t="s">
        <v>7</v>
      </c>
      <c r="C5769" t="s">
        <v>993</v>
      </c>
      <c r="D5769" s="7">
        <f>DATE(2015,7,2)</f>
        <v>42187</v>
      </c>
      <c r="E5769" s="8">
        <f t="shared" si="95"/>
        <v>2015</v>
      </c>
      <c r="F5769" t="s">
        <v>994</v>
      </c>
      <c r="G5769" s="9">
        <v>560.70000000000005</v>
      </c>
      <c r="H5769" s="8">
        <v>20802</v>
      </c>
    </row>
    <row r="5770" spans="2:8" ht="17.5" customHeight="1" x14ac:dyDescent="0.4">
      <c r="B5770" t="s">
        <v>7</v>
      </c>
      <c r="C5770" t="s">
        <v>993</v>
      </c>
      <c r="D5770" s="7">
        <f>DATE(2015,7,2)</f>
        <v>42187</v>
      </c>
      <c r="E5770" s="8">
        <f t="shared" si="95"/>
        <v>2015</v>
      </c>
      <c r="F5770" t="s">
        <v>994</v>
      </c>
      <c r="G5770" s="9">
        <v>122</v>
      </c>
      <c r="H5770" s="8">
        <v>20888</v>
      </c>
    </row>
    <row r="5771" spans="2:8" ht="17.5" customHeight="1" x14ac:dyDescent="0.4">
      <c r="B5771" t="s">
        <v>7</v>
      </c>
      <c r="C5771" t="s">
        <v>993</v>
      </c>
      <c r="D5771" s="7">
        <f>DATE(2015,7,2)</f>
        <v>42187</v>
      </c>
      <c r="E5771" s="8">
        <f t="shared" si="95"/>
        <v>2015</v>
      </c>
      <c r="F5771" t="s">
        <v>994</v>
      </c>
      <c r="G5771" s="9">
        <v>972</v>
      </c>
      <c r="H5771" s="8">
        <v>20889</v>
      </c>
    </row>
    <row r="5772" spans="2:8" ht="17.5" customHeight="1" x14ac:dyDescent="0.4">
      <c r="B5772" t="s">
        <v>7</v>
      </c>
      <c r="C5772" t="s">
        <v>993</v>
      </c>
      <c r="D5772" s="7">
        <f>DATE(2015,7,8)</f>
        <v>42193</v>
      </c>
      <c r="E5772" s="8">
        <f t="shared" si="95"/>
        <v>2015</v>
      </c>
      <c r="F5772" t="s">
        <v>994</v>
      </c>
      <c r="G5772" s="9">
        <v>58.7</v>
      </c>
      <c r="H5772" s="8">
        <v>20909</v>
      </c>
    </row>
    <row r="5773" spans="2:8" ht="17.5" customHeight="1" x14ac:dyDescent="0.4">
      <c r="B5773" t="s">
        <v>7</v>
      </c>
      <c r="C5773" t="s">
        <v>993</v>
      </c>
      <c r="D5773" s="7">
        <f>DATE(2015,7,9)</f>
        <v>42194</v>
      </c>
      <c r="E5773" s="8">
        <f t="shared" si="95"/>
        <v>2015</v>
      </c>
      <c r="F5773" t="s">
        <v>994</v>
      </c>
      <c r="G5773" s="9">
        <v>985</v>
      </c>
      <c r="H5773" s="8">
        <v>20926</v>
      </c>
    </row>
    <row r="5774" spans="2:8" ht="17.5" customHeight="1" x14ac:dyDescent="0.4">
      <c r="B5774" t="s">
        <v>7</v>
      </c>
      <c r="C5774" t="s">
        <v>993</v>
      </c>
      <c r="D5774" s="7">
        <f>DATE(2015,7,9)</f>
        <v>42194</v>
      </c>
      <c r="E5774" s="8">
        <f t="shared" si="95"/>
        <v>2015</v>
      </c>
      <c r="F5774" t="s">
        <v>994</v>
      </c>
      <c r="G5774" s="9">
        <v>335</v>
      </c>
      <c r="H5774" s="8">
        <v>20922</v>
      </c>
    </row>
    <row r="5775" spans="2:8" ht="17.5" customHeight="1" x14ac:dyDescent="0.4">
      <c r="B5775" t="s">
        <v>7</v>
      </c>
      <c r="C5775" t="s">
        <v>993</v>
      </c>
      <c r="D5775" s="7">
        <f>DATE(2015,7,9)</f>
        <v>42194</v>
      </c>
      <c r="E5775" s="8">
        <f t="shared" si="95"/>
        <v>2015</v>
      </c>
      <c r="F5775" t="s">
        <v>994</v>
      </c>
      <c r="G5775" s="9">
        <v>4896</v>
      </c>
      <c r="H5775" s="8">
        <v>20928</v>
      </c>
    </row>
    <row r="5776" spans="2:8" ht="17.5" customHeight="1" x14ac:dyDescent="0.4">
      <c r="B5776" t="s">
        <v>7</v>
      </c>
      <c r="C5776" t="s">
        <v>993</v>
      </c>
      <c r="D5776" s="7">
        <f>DATE(2015,7,10)</f>
        <v>42195</v>
      </c>
      <c r="E5776" s="8">
        <f t="shared" si="95"/>
        <v>2015</v>
      </c>
      <c r="F5776" t="s">
        <v>994</v>
      </c>
      <c r="G5776" s="9">
        <v>17328.52</v>
      </c>
      <c r="H5776" s="8">
        <v>20903</v>
      </c>
    </row>
    <row r="5777" spans="2:8" ht="17.5" customHeight="1" x14ac:dyDescent="0.4">
      <c r="B5777" t="s">
        <v>7</v>
      </c>
      <c r="C5777" t="s">
        <v>993</v>
      </c>
      <c r="D5777" s="7">
        <f>DATE(2015,7,14)</f>
        <v>42199</v>
      </c>
      <c r="E5777" s="8">
        <f t="shared" si="95"/>
        <v>2015</v>
      </c>
      <c r="F5777" t="s">
        <v>994</v>
      </c>
      <c r="G5777" s="9">
        <v>1340</v>
      </c>
      <c r="H5777" s="8">
        <v>20929</v>
      </c>
    </row>
    <row r="5778" spans="2:8" ht="17.5" customHeight="1" x14ac:dyDescent="0.4">
      <c r="B5778" t="s">
        <v>7</v>
      </c>
      <c r="C5778" t="s">
        <v>993</v>
      </c>
      <c r="D5778" s="7">
        <f>DATE(2015,7,15)</f>
        <v>42200</v>
      </c>
      <c r="E5778" s="8">
        <f t="shared" si="95"/>
        <v>2015</v>
      </c>
      <c r="F5778" t="s">
        <v>994</v>
      </c>
      <c r="G5778" s="9">
        <v>222.5</v>
      </c>
      <c r="H5778" s="8">
        <v>20963</v>
      </c>
    </row>
    <row r="5779" spans="2:8" ht="17.5" customHeight="1" x14ac:dyDescent="0.4">
      <c r="B5779" t="s">
        <v>7</v>
      </c>
      <c r="C5779" t="s">
        <v>993</v>
      </c>
      <c r="D5779" s="7">
        <f>DATE(2015,7,20)</f>
        <v>42205</v>
      </c>
      <c r="E5779" s="8">
        <f t="shared" si="95"/>
        <v>2015</v>
      </c>
      <c r="F5779" t="s">
        <v>994</v>
      </c>
      <c r="G5779" s="9">
        <v>1162.3</v>
      </c>
      <c r="H5779" s="8">
        <v>20978</v>
      </c>
    </row>
    <row r="5780" spans="2:8" ht="17.5" customHeight="1" x14ac:dyDescent="0.4">
      <c r="B5780" t="s">
        <v>7</v>
      </c>
      <c r="C5780" t="s">
        <v>993</v>
      </c>
      <c r="D5780" s="7">
        <f>DATE(2015,7,23)</f>
        <v>42208</v>
      </c>
      <c r="E5780" s="8">
        <f t="shared" si="95"/>
        <v>2015</v>
      </c>
      <c r="F5780" t="s">
        <v>994</v>
      </c>
      <c r="G5780" s="9">
        <v>2226.4</v>
      </c>
      <c r="H5780" s="8">
        <v>308</v>
      </c>
    </row>
    <row r="5781" spans="2:8" ht="17.5" customHeight="1" x14ac:dyDescent="0.4">
      <c r="B5781" t="s">
        <v>7</v>
      </c>
      <c r="C5781" t="s">
        <v>993</v>
      </c>
      <c r="D5781" s="7">
        <f>DATE(2015,8,6)</f>
        <v>42222</v>
      </c>
      <c r="E5781" s="8">
        <f t="shared" si="95"/>
        <v>2015</v>
      </c>
      <c r="F5781" t="s">
        <v>994</v>
      </c>
      <c r="G5781" s="9">
        <v>2570</v>
      </c>
      <c r="H5781" s="8">
        <v>21061</v>
      </c>
    </row>
    <row r="5782" spans="2:8" ht="17.5" customHeight="1" x14ac:dyDescent="0.4">
      <c r="B5782" t="s">
        <v>7</v>
      </c>
      <c r="C5782" t="s">
        <v>993</v>
      </c>
      <c r="D5782" s="7">
        <f>DATE(2015,8,21)</f>
        <v>42237</v>
      </c>
      <c r="E5782" s="8">
        <f t="shared" si="95"/>
        <v>2015</v>
      </c>
      <c r="F5782" t="s">
        <v>994</v>
      </c>
      <c r="G5782" s="9">
        <v>739.2</v>
      </c>
      <c r="H5782" s="8">
        <v>21099</v>
      </c>
    </row>
    <row r="5783" spans="2:8" ht="17.5" customHeight="1" x14ac:dyDescent="0.4">
      <c r="B5783" t="s">
        <v>7</v>
      </c>
      <c r="C5783" t="s">
        <v>993</v>
      </c>
      <c r="D5783" s="7">
        <f>DATE(2015,8,28)</f>
        <v>42244</v>
      </c>
      <c r="E5783" s="8">
        <f t="shared" si="95"/>
        <v>2015</v>
      </c>
      <c r="F5783" t="s">
        <v>994</v>
      </c>
      <c r="G5783" s="9">
        <v>1995</v>
      </c>
      <c r="H5783" s="8">
        <v>21160</v>
      </c>
    </row>
    <row r="5784" spans="2:8" ht="17.5" customHeight="1" x14ac:dyDescent="0.4">
      <c r="B5784" t="s">
        <v>7</v>
      </c>
      <c r="C5784" t="s">
        <v>993</v>
      </c>
      <c r="D5784" s="7">
        <f>DATE(2015,9,1)</f>
        <v>42248</v>
      </c>
      <c r="E5784" s="8">
        <f t="shared" si="95"/>
        <v>2015</v>
      </c>
      <c r="F5784" t="s">
        <v>994</v>
      </c>
      <c r="G5784" s="9">
        <v>1805.4</v>
      </c>
      <c r="H5784" s="8">
        <v>21176</v>
      </c>
    </row>
    <row r="5785" spans="2:8" ht="17.5" customHeight="1" x14ac:dyDescent="0.4">
      <c r="B5785" t="s">
        <v>7</v>
      </c>
      <c r="C5785" t="s">
        <v>993</v>
      </c>
      <c r="D5785" s="7">
        <f>DATE(2015,9,3)</f>
        <v>42250</v>
      </c>
      <c r="E5785" s="8">
        <f t="shared" si="95"/>
        <v>2015</v>
      </c>
      <c r="F5785" t="s">
        <v>994</v>
      </c>
      <c r="G5785" s="9">
        <v>1139</v>
      </c>
      <c r="H5785" s="8">
        <v>21177</v>
      </c>
    </row>
    <row r="5786" spans="2:8" ht="17.5" customHeight="1" x14ac:dyDescent="0.4">
      <c r="B5786" t="s">
        <v>7</v>
      </c>
      <c r="C5786" t="s">
        <v>993</v>
      </c>
      <c r="D5786" s="7">
        <f>DATE(2015,9,4)</f>
        <v>42251</v>
      </c>
      <c r="E5786" s="8">
        <f t="shared" si="95"/>
        <v>2015</v>
      </c>
      <c r="F5786" t="s">
        <v>994</v>
      </c>
      <c r="G5786" s="9">
        <v>692.01</v>
      </c>
      <c r="H5786" s="8">
        <v>21166</v>
      </c>
    </row>
    <row r="5787" spans="2:8" ht="17.5" customHeight="1" x14ac:dyDescent="0.4">
      <c r="B5787" t="s">
        <v>7</v>
      </c>
      <c r="C5787" t="s">
        <v>993</v>
      </c>
      <c r="D5787" s="7">
        <f>DATE(2015,9,8)</f>
        <v>42255</v>
      </c>
      <c r="E5787" s="8">
        <f t="shared" si="95"/>
        <v>2015</v>
      </c>
      <c r="F5787" t="s">
        <v>994</v>
      </c>
      <c r="G5787" s="9">
        <v>524.5</v>
      </c>
      <c r="H5787" s="8">
        <v>21205</v>
      </c>
    </row>
    <row r="5788" spans="2:8" ht="17.5" customHeight="1" x14ac:dyDescent="0.4">
      <c r="B5788" t="s">
        <v>7</v>
      </c>
      <c r="C5788" t="s">
        <v>993</v>
      </c>
      <c r="D5788" s="7">
        <f>DATE(2015,9,8)</f>
        <v>42255</v>
      </c>
      <c r="E5788" s="8">
        <f t="shared" si="95"/>
        <v>2015</v>
      </c>
      <c r="F5788" t="s">
        <v>994</v>
      </c>
      <c r="G5788" s="9">
        <v>1596</v>
      </c>
      <c r="H5788" s="8">
        <v>21208</v>
      </c>
    </row>
    <row r="5789" spans="2:8" ht="17.5" customHeight="1" x14ac:dyDescent="0.4">
      <c r="B5789" t="s">
        <v>7</v>
      </c>
      <c r="C5789" t="s">
        <v>993</v>
      </c>
      <c r="D5789" s="7">
        <f>DATE(2015,9,9)</f>
        <v>42256</v>
      </c>
      <c r="E5789" s="8">
        <f t="shared" si="95"/>
        <v>2015</v>
      </c>
      <c r="F5789" t="s">
        <v>994</v>
      </c>
      <c r="G5789" s="9">
        <v>3388</v>
      </c>
      <c r="H5789" s="8">
        <v>21178</v>
      </c>
    </row>
    <row r="5790" spans="2:8" ht="17.5" customHeight="1" x14ac:dyDescent="0.4">
      <c r="B5790" t="s">
        <v>7</v>
      </c>
      <c r="C5790" t="s">
        <v>993</v>
      </c>
      <c r="D5790" s="7">
        <f>DATE(2015,9,10)</f>
        <v>42257</v>
      </c>
      <c r="E5790" s="8">
        <f t="shared" si="95"/>
        <v>2015</v>
      </c>
      <c r="F5790" t="s">
        <v>994</v>
      </c>
      <c r="G5790" s="9">
        <v>199.5</v>
      </c>
      <c r="H5790" s="8">
        <v>21226</v>
      </c>
    </row>
    <row r="5791" spans="2:8" ht="17.5" customHeight="1" x14ac:dyDescent="0.4">
      <c r="B5791" t="s">
        <v>7</v>
      </c>
      <c r="C5791" t="s">
        <v>993</v>
      </c>
      <c r="D5791" s="7">
        <f>DATE(2015,9,11)</f>
        <v>42258</v>
      </c>
      <c r="E5791" s="8">
        <f t="shared" si="95"/>
        <v>2015</v>
      </c>
      <c r="F5791" t="s">
        <v>994</v>
      </c>
      <c r="G5791" s="9">
        <v>7344</v>
      </c>
      <c r="H5791" s="8">
        <v>21179</v>
      </c>
    </row>
    <row r="5792" spans="2:8" ht="17.5" customHeight="1" x14ac:dyDescent="0.4">
      <c r="B5792" t="s">
        <v>7</v>
      </c>
      <c r="C5792" t="s">
        <v>993</v>
      </c>
      <c r="D5792" s="7">
        <f>DATE(2015,9,30)</f>
        <v>42277</v>
      </c>
      <c r="E5792" s="8">
        <f t="shared" si="95"/>
        <v>2015</v>
      </c>
      <c r="F5792" t="s">
        <v>994</v>
      </c>
      <c r="G5792" s="9">
        <v>1197</v>
      </c>
      <c r="H5792" s="8">
        <v>21355</v>
      </c>
    </row>
    <row r="5793" spans="2:8" ht="17.5" customHeight="1" x14ac:dyDescent="0.4">
      <c r="B5793" t="s">
        <v>7</v>
      </c>
      <c r="C5793" t="s">
        <v>993</v>
      </c>
      <c r="D5793" s="7">
        <f>DATE(2015,10,2)</f>
        <v>42279</v>
      </c>
      <c r="E5793" s="8">
        <f t="shared" si="95"/>
        <v>2015</v>
      </c>
      <c r="F5793" t="s">
        <v>994</v>
      </c>
      <c r="G5793" s="9">
        <v>13807</v>
      </c>
      <c r="H5793" s="8">
        <v>21360</v>
      </c>
    </row>
    <row r="5794" spans="2:8" ht="17.5" customHeight="1" x14ac:dyDescent="0.4">
      <c r="B5794" t="s">
        <v>7</v>
      </c>
      <c r="C5794" t="s">
        <v>993</v>
      </c>
      <c r="D5794" s="7">
        <f>DATE(2015,10,12)</f>
        <v>42289</v>
      </c>
      <c r="E5794" s="8">
        <f t="shared" si="95"/>
        <v>2015</v>
      </c>
      <c r="F5794" t="s">
        <v>994</v>
      </c>
      <c r="G5794" s="9">
        <v>3016.77</v>
      </c>
      <c r="H5794" s="8">
        <v>21396</v>
      </c>
    </row>
    <row r="5795" spans="2:8" ht="17.5" customHeight="1" x14ac:dyDescent="0.4">
      <c r="B5795" t="s">
        <v>7</v>
      </c>
      <c r="C5795" t="s">
        <v>993</v>
      </c>
      <c r="D5795" s="7">
        <f>DATE(2015,10,12)</f>
        <v>42289</v>
      </c>
      <c r="E5795" s="8">
        <f t="shared" si="95"/>
        <v>2015</v>
      </c>
      <c r="F5795" t="s">
        <v>994</v>
      </c>
      <c r="G5795" s="9">
        <v>7650</v>
      </c>
      <c r="H5795" s="8">
        <v>21399</v>
      </c>
    </row>
    <row r="5796" spans="2:8" ht="17.5" customHeight="1" x14ac:dyDescent="0.4">
      <c r="B5796" t="s">
        <v>7</v>
      </c>
      <c r="C5796" t="s">
        <v>993</v>
      </c>
      <c r="D5796" s="7">
        <f>DATE(2015,10,21)</f>
        <v>42298</v>
      </c>
      <c r="E5796" s="8">
        <f t="shared" si="95"/>
        <v>2015</v>
      </c>
      <c r="F5796" t="s">
        <v>994</v>
      </c>
      <c r="G5796" s="9">
        <v>185.6</v>
      </c>
      <c r="H5796" s="8">
        <v>21453</v>
      </c>
    </row>
    <row r="5797" spans="2:8" ht="17.5" customHeight="1" x14ac:dyDescent="0.4">
      <c r="B5797" t="s">
        <v>7</v>
      </c>
      <c r="C5797" t="s">
        <v>993</v>
      </c>
      <c r="D5797" s="7">
        <f>DATE(2015,10,22)</f>
        <v>42299</v>
      </c>
      <c r="E5797" s="8">
        <f t="shared" si="95"/>
        <v>2015</v>
      </c>
      <c r="F5797" t="s">
        <v>994</v>
      </c>
      <c r="G5797" s="9">
        <v>363.05</v>
      </c>
      <c r="H5797" s="8">
        <v>21392</v>
      </c>
    </row>
    <row r="5798" spans="2:8" ht="17.5" customHeight="1" x14ac:dyDescent="0.4">
      <c r="B5798" t="s">
        <v>7</v>
      </c>
      <c r="C5798" t="s">
        <v>993</v>
      </c>
      <c r="D5798" s="7">
        <f>DATE(2015,10,29)</f>
        <v>42306</v>
      </c>
      <c r="E5798" s="8">
        <f t="shared" si="95"/>
        <v>2015</v>
      </c>
      <c r="F5798" t="s">
        <v>994</v>
      </c>
      <c r="G5798" s="9">
        <v>1992</v>
      </c>
      <c r="H5798" s="8">
        <v>21503</v>
      </c>
    </row>
    <row r="5799" spans="2:8" ht="17.5" customHeight="1" x14ac:dyDescent="0.4">
      <c r="B5799" t="s">
        <v>7</v>
      </c>
      <c r="C5799" t="s">
        <v>993</v>
      </c>
      <c r="D5799" s="7">
        <f>DATE(2015,11,4)</f>
        <v>42312</v>
      </c>
      <c r="E5799" s="8">
        <f t="shared" si="95"/>
        <v>2015</v>
      </c>
      <c r="F5799" t="s">
        <v>994</v>
      </c>
      <c r="G5799" s="9">
        <v>2500</v>
      </c>
      <c r="H5799" s="8">
        <v>21557</v>
      </c>
    </row>
    <row r="5800" spans="2:8" ht="17.5" customHeight="1" x14ac:dyDescent="0.4">
      <c r="B5800" t="s">
        <v>7</v>
      </c>
      <c r="C5800" t="s">
        <v>993</v>
      </c>
      <c r="D5800" s="7">
        <f>DATE(2015,11,6)</f>
        <v>42314</v>
      </c>
      <c r="E5800" s="8">
        <f t="shared" si="95"/>
        <v>2015</v>
      </c>
      <c r="F5800" t="s">
        <v>994</v>
      </c>
      <c r="G5800" s="9">
        <v>1995</v>
      </c>
      <c r="H5800" s="8">
        <v>21589</v>
      </c>
    </row>
    <row r="5801" spans="2:8" ht="17.5" customHeight="1" x14ac:dyDescent="0.4">
      <c r="B5801" t="s">
        <v>7</v>
      </c>
      <c r="C5801" t="s">
        <v>993</v>
      </c>
      <c r="D5801" s="7">
        <f>DATE(2015,11,19)</f>
        <v>42327</v>
      </c>
      <c r="E5801" s="8">
        <f t="shared" si="95"/>
        <v>2015</v>
      </c>
      <c r="F5801" t="s">
        <v>994</v>
      </c>
      <c r="G5801" s="9">
        <v>850.25</v>
      </c>
      <c r="H5801" s="8">
        <v>21631</v>
      </c>
    </row>
    <row r="5802" spans="2:8" ht="17.5" customHeight="1" x14ac:dyDescent="0.4">
      <c r="B5802" t="s">
        <v>7</v>
      </c>
      <c r="C5802" t="s">
        <v>993</v>
      </c>
      <c r="D5802" s="7">
        <f>DATE(2015,11,23)</f>
        <v>42331</v>
      </c>
      <c r="E5802" s="8">
        <f t="shared" si="95"/>
        <v>2015</v>
      </c>
      <c r="F5802" t="s">
        <v>994</v>
      </c>
      <c r="G5802" s="9">
        <v>11157.34</v>
      </c>
      <c r="H5802" s="8">
        <v>21429</v>
      </c>
    </row>
    <row r="5803" spans="2:8" ht="17.5" customHeight="1" x14ac:dyDescent="0.4">
      <c r="B5803" t="s">
        <v>7</v>
      </c>
      <c r="C5803" t="s">
        <v>993</v>
      </c>
      <c r="D5803" s="7">
        <f>DATE(2015,12,3)</f>
        <v>42341</v>
      </c>
      <c r="E5803" s="8">
        <f t="shared" si="95"/>
        <v>2015</v>
      </c>
      <c r="F5803" t="s">
        <v>994</v>
      </c>
      <c r="G5803" s="9">
        <v>38188.800000000003</v>
      </c>
      <c r="H5803" s="8">
        <v>21715</v>
      </c>
    </row>
    <row r="5804" spans="2:8" ht="17.5" customHeight="1" x14ac:dyDescent="0.4">
      <c r="B5804" t="s">
        <v>7</v>
      </c>
      <c r="C5804" t="s">
        <v>993</v>
      </c>
      <c r="D5804" s="7">
        <f>DATE(2015,12,8)</f>
        <v>42346</v>
      </c>
      <c r="E5804" s="8">
        <f t="shared" si="95"/>
        <v>2015</v>
      </c>
      <c r="F5804" t="s">
        <v>994</v>
      </c>
      <c r="G5804" s="9">
        <v>11845.95</v>
      </c>
      <c r="H5804" s="8">
        <v>21632</v>
      </c>
    </row>
    <row r="5805" spans="2:8" ht="17.5" customHeight="1" x14ac:dyDescent="0.4">
      <c r="B5805" t="s">
        <v>7</v>
      </c>
      <c r="C5805" t="s">
        <v>993</v>
      </c>
      <c r="D5805" s="7">
        <f>DATE(2015,12,10)</f>
        <v>42348</v>
      </c>
      <c r="E5805" s="8">
        <f t="shared" si="95"/>
        <v>2015</v>
      </c>
      <c r="F5805" t="s">
        <v>994</v>
      </c>
      <c r="G5805" s="9">
        <v>306</v>
      </c>
      <c r="H5805" s="8">
        <v>21792</v>
      </c>
    </row>
    <row r="5806" spans="2:8" ht="17.5" customHeight="1" x14ac:dyDescent="0.4">
      <c r="B5806" t="s">
        <v>7</v>
      </c>
      <c r="C5806" t="s">
        <v>993</v>
      </c>
      <c r="D5806" s="7">
        <f>DATE(2015,12,10)</f>
        <v>42348</v>
      </c>
      <c r="E5806" s="8">
        <f t="shared" si="95"/>
        <v>2015</v>
      </c>
      <c r="F5806" t="s">
        <v>994</v>
      </c>
      <c r="G5806" s="9">
        <v>360</v>
      </c>
      <c r="H5806" s="8">
        <v>21790</v>
      </c>
    </row>
    <row r="5807" spans="2:8" ht="17.5" customHeight="1" x14ac:dyDescent="0.4">
      <c r="B5807" t="s">
        <v>7</v>
      </c>
      <c r="C5807" t="s">
        <v>993</v>
      </c>
      <c r="D5807" s="7">
        <f>DATE(2015,12,15)</f>
        <v>42353</v>
      </c>
      <c r="E5807" s="8">
        <f t="shared" si="95"/>
        <v>2015</v>
      </c>
      <c r="F5807" t="s">
        <v>994</v>
      </c>
      <c r="G5807" s="9">
        <v>12189</v>
      </c>
      <c r="H5807" s="8">
        <v>21802</v>
      </c>
    </row>
    <row r="5808" spans="2:8" ht="17.5" customHeight="1" x14ac:dyDescent="0.4">
      <c r="B5808" t="s">
        <v>7</v>
      </c>
      <c r="C5808" t="s">
        <v>993</v>
      </c>
      <c r="D5808" s="7">
        <f>DATE(2015,12,16)</f>
        <v>42354</v>
      </c>
      <c r="E5808" s="8">
        <f t="shared" si="95"/>
        <v>2015</v>
      </c>
      <c r="F5808" t="s">
        <v>994</v>
      </c>
      <c r="G5808" s="9">
        <v>625.5</v>
      </c>
      <c r="H5808" s="8">
        <v>21844</v>
      </c>
    </row>
    <row r="5809" spans="2:8" ht="17.5" customHeight="1" x14ac:dyDescent="0.4">
      <c r="B5809" t="s">
        <v>7</v>
      </c>
      <c r="C5809" t="s">
        <v>993</v>
      </c>
      <c r="D5809" s="7">
        <f>DATE(2016,1,11)</f>
        <v>42380</v>
      </c>
      <c r="E5809" s="8">
        <f t="shared" si="95"/>
        <v>2016</v>
      </c>
      <c r="F5809" t="s">
        <v>994</v>
      </c>
      <c r="G5809" s="9">
        <v>303</v>
      </c>
      <c r="H5809" s="8">
        <v>21936</v>
      </c>
    </row>
    <row r="5810" spans="2:8" ht="17.5" customHeight="1" x14ac:dyDescent="0.4">
      <c r="B5810" t="s">
        <v>7</v>
      </c>
      <c r="C5810" t="s">
        <v>993</v>
      </c>
      <c r="D5810" s="7">
        <f>DATE(2016,1,15)</f>
        <v>42384</v>
      </c>
      <c r="E5810" s="8">
        <f t="shared" si="95"/>
        <v>2016</v>
      </c>
      <c r="F5810" t="s">
        <v>994</v>
      </c>
      <c r="G5810" s="9">
        <v>306</v>
      </c>
      <c r="H5810" s="8">
        <v>21994</v>
      </c>
    </row>
    <row r="5811" spans="2:8" ht="17.5" customHeight="1" x14ac:dyDescent="0.4">
      <c r="B5811" t="s">
        <v>7</v>
      </c>
      <c r="C5811" t="s">
        <v>993</v>
      </c>
      <c r="D5811" s="7">
        <f>DATE(2016,1,22)</f>
        <v>42391</v>
      </c>
      <c r="E5811" s="8">
        <f t="shared" si="95"/>
        <v>2016</v>
      </c>
      <c r="F5811" t="s">
        <v>994</v>
      </c>
      <c r="G5811" s="9">
        <v>10875</v>
      </c>
      <c r="H5811" s="8">
        <v>21958</v>
      </c>
    </row>
    <row r="5812" spans="2:8" ht="17.5" customHeight="1" x14ac:dyDescent="0.4">
      <c r="B5812" t="s">
        <v>7</v>
      </c>
      <c r="C5812" t="s">
        <v>993</v>
      </c>
      <c r="D5812" s="7">
        <f>DATE(2016,1,28)</f>
        <v>42397</v>
      </c>
      <c r="E5812" s="8">
        <f t="shared" si="95"/>
        <v>2016</v>
      </c>
      <c r="F5812" t="s">
        <v>994</v>
      </c>
      <c r="G5812" s="9">
        <v>915.2</v>
      </c>
      <c r="H5812" s="8">
        <v>22013</v>
      </c>
    </row>
    <row r="5813" spans="2:8" ht="17.5" customHeight="1" x14ac:dyDescent="0.4">
      <c r="B5813" t="s">
        <v>7</v>
      </c>
      <c r="C5813" t="s">
        <v>993</v>
      </c>
      <c r="D5813" s="7">
        <f>DATE(2016,2,3)</f>
        <v>42403</v>
      </c>
      <c r="E5813" s="8">
        <f t="shared" si="95"/>
        <v>2016</v>
      </c>
      <c r="F5813" t="s">
        <v>994</v>
      </c>
      <c r="G5813" s="9">
        <v>505</v>
      </c>
      <c r="H5813" s="8">
        <v>22101</v>
      </c>
    </row>
    <row r="5814" spans="2:8" ht="17.5" customHeight="1" x14ac:dyDescent="0.4">
      <c r="B5814" t="s">
        <v>7</v>
      </c>
      <c r="C5814" t="s">
        <v>993</v>
      </c>
      <c r="D5814" s="7">
        <f>DATE(2016,2,9)</f>
        <v>42409</v>
      </c>
      <c r="E5814" s="8">
        <f t="shared" si="95"/>
        <v>2016</v>
      </c>
      <c r="F5814" t="s">
        <v>994</v>
      </c>
      <c r="G5814" s="9">
        <v>1500</v>
      </c>
      <c r="H5814" s="8">
        <v>22140</v>
      </c>
    </row>
    <row r="5815" spans="2:8" ht="17.5" customHeight="1" x14ac:dyDescent="0.4">
      <c r="B5815" t="s">
        <v>7</v>
      </c>
      <c r="C5815" t="s">
        <v>993</v>
      </c>
      <c r="D5815" s="7">
        <f>DATE(2016,2,9)</f>
        <v>42409</v>
      </c>
      <c r="E5815" s="8">
        <f t="shared" si="95"/>
        <v>2016</v>
      </c>
      <c r="F5815" t="s">
        <v>994</v>
      </c>
      <c r="G5815" s="9">
        <v>4397.3900000000003</v>
      </c>
      <c r="H5815" s="8">
        <v>22121</v>
      </c>
    </row>
    <row r="5816" spans="2:8" ht="17.5" customHeight="1" x14ac:dyDescent="0.4">
      <c r="B5816" t="s">
        <v>7</v>
      </c>
      <c r="C5816" t="s">
        <v>993</v>
      </c>
      <c r="D5816" s="7">
        <f>DATE(2016,2,11)</f>
        <v>42411</v>
      </c>
      <c r="E5816" s="8">
        <f t="shared" si="95"/>
        <v>2016</v>
      </c>
      <c r="F5816" t="s">
        <v>994</v>
      </c>
      <c r="G5816" s="9">
        <v>488.75</v>
      </c>
      <c r="H5816" s="8">
        <v>22196</v>
      </c>
    </row>
    <row r="5817" spans="2:8" ht="17.5" customHeight="1" x14ac:dyDescent="0.4">
      <c r="B5817" t="s">
        <v>7</v>
      </c>
      <c r="C5817" t="s">
        <v>993</v>
      </c>
      <c r="D5817" s="7">
        <f>DATE(2016,2,11)</f>
        <v>42411</v>
      </c>
      <c r="E5817" s="8">
        <f t="shared" si="95"/>
        <v>2016</v>
      </c>
      <c r="F5817" t="s">
        <v>994</v>
      </c>
      <c r="G5817" s="9">
        <v>35</v>
      </c>
      <c r="H5817" s="8">
        <v>22176</v>
      </c>
    </row>
    <row r="5818" spans="2:8" ht="17.5" customHeight="1" x14ac:dyDescent="0.4">
      <c r="B5818" t="s">
        <v>7</v>
      </c>
      <c r="C5818" t="s">
        <v>993</v>
      </c>
      <c r="D5818" s="7">
        <f>DATE(2016,2,16)</f>
        <v>42416</v>
      </c>
      <c r="E5818" s="8">
        <f t="shared" si="95"/>
        <v>2016</v>
      </c>
      <c r="F5818" t="s">
        <v>994</v>
      </c>
      <c r="G5818" s="9">
        <v>8090</v>
      </c>
      <c r="H5818" s="8">
        <v>22153</v>
      </c>
    </row>
    <row r="5819" spans="2:8" ht="17.5" customHeight="1" x14ac:dyDescent="0.4">
      <c r="B5819" t="s">
        <v>7</v>
      </c>
      <c r="C5819" t="s">
        <v>993</v>
      </c>
      <c r="D5819" s="7">
        <f>DATE(2016,2,25)</f>
        <v>42425</v>
      </c>
      <c r="E5819" s="8">
        <f t="shared" si="95"/>
        <v>2016</v>
      </c>
      <c r="F5819" t="s">
        <v>994</v>
      </c>
      <c r="G5819" s="9">
        <v>528</v>
      </c>
      <c r="H5819" s="8">
        <v>22278</v>
      </c>
    </row>
    <row r="5820" spans="2:8" ht="17.5" customHeight="1" x14ac:dyDescent="0.4">
      <c r="B5820" t="s">
        <v>7</v>
      </c>
      <c r="C5820" t="s">
        <v>993</v>
      </c>
      <c r="D5820" s="7">
        <f>DATE(2016,3,7)</f>
        <v>42436</v>
      </c>
      <c r="E5820" s="8">
        <f t="shared" si="95"/>
        <v>2016</v>
      </c>
      <c r="F5820" t="s">
        <v>994</v>
      </c>
      <c r="G5820" s="9">
        <v>1938</v>
      </c>
      <c r="H5820" s="8">
        <v>22315</v>
      </c>
    </row>
    <row r="5821" spans="2:8" ht="17.5" customHeight="1" x14ac:dyDescent="0.4">
      <c r="B5821" t="s">
        <v>7</v>
      </c>
      <c r="C5821" t="s">
        <v>993</v>
      </c>
      <c r="D5821" s="7">
        <f>DATE(2016,3,11)</f>
        <v>42440</v>
      </c>
      <c r="E5821" s="8">
        <f t="shared" si="95"/>
        <v>2016</v>
      </c>
      <c r="F5821" t="s">
        <v>994</v>
      </c>
      <c r="G5821" s="9">
        <v>579</v>
      </c>
      <c r="H5821" s="8">
        <v>22392</v>
      </c>
    </row>
    <row r="5822" spans="2:8" ht="17.5" customHeight="1" x14ac:dyDescent="0.4">
      <c r="B5822" t="s">
        <v>7</v>
      </c>
      <c r="C5822" t="s">
        <v>993</v>
      </c>
      <c r="D5822" s="7">
        <f>DATE(2016,3,15)</f>
        <v>42444</v>
      </c>
      <c r="E5822" s="8">
        <f t="shared" si="95"/>
        <v>2016</v>
      </c>
      <c r="F5822" t="s">
        <v>994</v>
      </c>
      <c r="G5822" s="9">
        <v>14975</v>
      </c>
      <c r="H5822" s="8">
        <v>22441</v>
      </c>
    </row>
    <row r="5823" spans="2:8" ht="17.5" customHeight="1" x14ac:dyDescent="0.4">
      <c r="B5823" t="s">
        <v>7</v>
      </c>
      <c r="C5823" t="s">
        <v>993</v>
      </c>
      <c r="D5823" s="7">
        <f>DATE(2016,3,16)</f>
        <v>42445</v>
      </c>
      <c r="E5823" s="8">
        <f t="shared" si="95"/>
        <v>2016</v>
      </c>
      <c r="F5823" t="s">
        <v>994</v>
      </c>
      <c r="G5823" s="9">
        <v>612</v>
      </c>
      <c r="H5823" s="8">
        <v>22432</v>
      </c>
    </row>
    <row r="5824" spans="2:8" ht="17.5" customHeight="1" x14ac:dyDescent="0.4">
      <c r="B5824" t="s">
        <v>7</v>
      </c>
      <c r="C5824" t="s">
        <v>993</v>
      </c>
      <c r="D5824" s="7">
        <f>DATE(2016,3,17)</f>
        <v>42446</v>
      </c>
      <c r="E5824" s="8">
        <f t="shared" si="95"/>
        <v>2016</v>
      </c>
      <c r="F5824" t="s">
        <v>994</v>
      </c>
      <c r="G5824" s="9">
        <v>360.4</v>
      </c>
      <c r="H5824" s="8">
        <v>22465</v>
      </c>
    </row>
    <row r="5825" spans="2:8" ht="17.5" customHeight="1" x14ac:dyDescent="0.4">
      <c r="B5825" t="s">
        <v>7</v>
      </c>
      <c r="C5825" t="s">
        <v>993</v>
      </c>
      <c r="D5825" s="7">
        <f>DATE(2016,4,4)</f>
        <v>42464</v>
      </c>
      <c r="E5825" s="8">
        <f t="shared" si="95"/>
        <v>2016</v>
      </c>
      <c r="F5825" t="s">
        <v>994</v>
      </c>
      <c r="G5825" s="9">
        <v>6120</v>
      </c>
      <c r="H5825" s="8">
        <v>22581</v>
      </c>
    </row>
    <row r="5826" spans="2:8" ht="17.5" customHeight="1" x14ac:dyDescent="0.4">
      <c r="B5826" t="s">
        <v>7</v>
      </c>
      <c r="C5826" t="s">
        <v>993</v>
      </c>
      <c r="D5826" s="7">
        <f>DATE(2016,4,7)</f>
        <v>42467</v>
      </c>
      <c r="E5826" s="8">
        <f t="shared" si="95"/>
        <v>2016</v>
      </c>
      <c r="F5826" t="s">
        <v>994</v>
      </c>
      <c r="G5826" s="9">
        <v>464</v>
      </c>
      <c r="H5826" s="8">
        <v>22608</v>
      </c>
    </row>
    <row r="5827" spans="2:8" ht="17.5" customHeight="1" x14ac:dyDescent="0.4">
      <c r="B5827" t="s">
        <v>7</v>
      </c>
      <c r="C5827" t="s">
        <v>993</v>
      </c>
      <c r="D5827" s="7">
        <f>DATE(2016,4,13)</f>
        <v>42473</v>
      </c>
      <c r="E5827" s="8">
        <f t="shared" ref="E5827:E5890" si="96">YEAR(D5827)</f>
        <v>2016</v>
      </c>
      <c r="F5827" t="s">
        <v>994</v>
      </c>
      <c r="G5827" s="9">
        <v>4210.22</v>
      </c>
      <c r="H5827" s="8">
        <v>22593</v>
      </c>
    </row>
    <row r="5828" spans="2:8" ht="17.5" customHeight="1" x14ac:dyDescent="0.4">
      <c r="B5828" t="s">
        <v>7</v>
      </c>
      <c r="C5828" t="s">
        <v>993</v>
      </c>
      <c r="D5828" s="7">
        <f>DATE(2016,4,13)</f>
        <v>42473</v>
      </c>
      <c r="E5828" s="8">
        <f t="shared" si="96"/>
        <v>2016</v>
      </c>
      <c r="F5828" t="s">
        <v>994</v>
      </c>
      <c r="G5828" s="9">
        <v>900</v>
      </c>
      <c r="H5828" s="8">
        <v>22655</v>
      </c>
    </row>
    <row r="5829" spans="2:8" ht="17.5" customHeight="1" x14ac:dyDescent="0.4">
      <c r="B5829" t="s">
        <v>7</v>
      </c>
      <c r="C5829" t="s">
        <v>993</v>
      </c>
      <c r="D5829" s="7">
        <f>DATE(2016,4,13)</f>
        <v>42473</v>
      </c>
      <c r="E5829" s="8">
        <f t="shared" si="96"/>
        <v>2016</v>
      </c>
      <c r="F5829" t="s">
        <v>994</v>
      </c>
      <c r="G5829" s="9">
        <v>43183</v>
      </c>
      <c r="H5829" s="8">
        <v>22575</v>
      </c>
    </row>
    <row r="5830" spans="2:8" ht="17.5" customHeight="1" x14ac:dyDescent="0.4">
      <c r="B5830" t="s">
        <v>7</v>
      </c>
      <c r="C5830" t="s">
        <v>993</v>
      </c>
      <c r="D5830" s="7">
        <f>DATE(2016,4,14)</f>
        <v>42474</v>
      </c>
      <c r="E5830" s="8">
        <f t="shared" si="96"/>
        <v>2016</v>
      </c>
      <c r="F5830" t="s">
        <v>994</v>
      </c>
      <c r="G5830" s="9">
        <v>107.2</v>
      </c>
      <c r="H5830" s="8">
        <v>22664</v>
      </c>
    </row>
    <row r="5831" spans="2:8" ht="17.5" customHeight="1" x14ac:dyDescent="0.4">
      <c r="B5831" t="s">
        <v>7</v>
      </c>
      <c r="C5831" t="s">
        <v>993</v>
      </c>
      <c r="D5831" s="7">
        <f>DATE(2016,4,19)</f>
        <v>42479</v>
      </c>
      <c r="E5831" s="8">
        <f t="shared" si="96"/>
        <v>2016</v>
      </c>
      <c r="F5831" t="s">
        <v>994</v>
      </c>
      <c r="G5831" s="9">
        <v>89</v>
      </c>
      <c r="H5831" s="8">
        <v>22678</v>
      </c>
    </row>
    <row r="5832" spans="2:8" ht="17.5" customHeight="1" x14ac:dyDescent="0.4">
      <c r="B5832" t="s">
        <v>7</v>
      </c>
      <c r="C5832" t="s">
        <v>993</v>
      </c>
      <c r="D5832" s="7">
        <f>DATE(2016,4,20)</f>
        <v>42480</v>
      </c>
      <c r="E5832" s="8">
        <f t="shared" si="96"/>
        <v>2016</v>
      </c>
      <c r="F5832" t="s">
        <v>994</v>
      </c>
      <c r="G5832" s="9">
        <v>5271.8</v>
      </c>
      <c r="H5832" s="8">
        <v>22696</v>
      </c>
    </row>
    <row r="5833" spans="2:8" ht="17.5" customHeight="1" x14ac:dyDescent="0.4">
      <c r="B5833" t="s">
        <v>7</v>
      </c>
      <c r="C5833" t="s">
        <v>993</v>
      </c>
      <c r="D5833" s="7">
        <f>DATE(2016,4,20)</f>
        <v>42480</v>
      </c>
      <c r="E5833" s="8">
        <f t="shared" si="96"/>
        <v>2016</v>
      </c>
      <c r="F5833" t="s">
        <v>994</v>
      </c>
      <c r="G5833" s="9">
        <v>7330.5</v>
      </c>
      <c r="H5833" s="8">
        <v>22689</v>
      </c>
    </row>
    <row r="5834" spans="2:8" ht="17.5" customHeight="1" x14ac:dyDescent="0.4">
      <c r="B5834" t="s">
        <v>7</v>
      </c>
      <c r="C5834" t="s">
        <v>993</v>
      </c>
      <c r="D5834" s="7">
        <f>DATE(2016,4,21)</f>
        <v>42481</v>
      </c>
      <c r="E5834" s="8">
        <f t="shared" si="96"/>
        <v>2016</v>
      </c>
      <c r="F5834" t="s">
        <v>994</v>
      </c>
      <c r="G5834" s="9">
        <v>9193.5</v>
      </c>
      <c r="H5834" s="8">
        <v>22709</v>
      </c>
    </row>
    <row r="5835" spans="2:8" ht="17.5" customHeight="1" x14ac:dyDescent="0.4">
      <c r="B5835" t="s">
        <v>7</v>
      </c>
      <c r="C5835" t="s">
        <v>993</v>
      </c>
      <c r="D5835" s="7">
        <f>DATE(2016,4,21)</f>
        <v>42481</v>
      </c>
      <c r="E5835" s="8">
        <f t="shared" si="96"/>
        <v>2016</v>
      </c>
      <c r="F5835" t="s">
        <v>994</v>
      </c>
      <c r="G5835" s="9">
        <v>8250</v>
      </c>
      <c r="H5835" s="8">
        <v>22577</v>
      </c>
    </row>
    <row r="5836" spans="2:8" ht="17.5" customHeight="1" x14ac:dyDescent="0.4">
      <c r="B5836" t="s">
        <v>7</v>
      </c>
      <c r="C5836" t="s">
        <v>993</v>
      </c>
      <c r="D5836" s="7">
        <f>DATE(2016,4,22)</f>
        <v>42482</v>
      </c>
      <c r="E5836" s="8">
        <f t="shared" si="96"/>
        <v>2016</v>
      </c>
      <c r="F5836" t="s">
        <v>994</v>
      </c>
      <c r="G5836" s="9">
        <v>7350</v>
      </c>
      <c r="H5836" s="8">
        <v>22726</v>
      </c>
    </row>
    <row r="5837" spans="2:8" ht="17.5" customHeight="1" x14ac:dyDescent="0.4">
      <c r="B5837" t="s">
        <v>7</v>
      </c>
      <c r="C5837" t="s">
        <v>993</v>
      </c>
      <c r="D5837" s="7">
        <f>DATE(2016,4,25)</f>
        <v>42485</v>
      </c>
      <c r="E5837" s="8">
        <f t="shared" si="96"/>
        <v>2016</v>
      </c>
      <c r="F5837" t="s">
        <v>994</v>
      </c>
      <c r="G5837" s="9">
        <v>5759.1</v>
      </c>
      <c r="H5837" s="8">
        <v>22737</v>
      </c>
    </row>
    <row r="5838" spans="2:8" ht="17.5" customHeight="1" x14ac:dyDescent="0.4">
      <c r="B5838" t="s">
        <v>7</v>
      </c>
      <c r="C5838" t="s">
        <v>993</v>
      </c>
      <c r="D5838" s="7">
        <f>DATE(2016,4,26)</f>
        <v>42486</v>
      </c>
      <c r="E5838" s="8">
        <f t="shared" si="96"/>
        <v>2016</v>
      </c>
      <c r="F5838" t="s">
        <v>994</v>
      </c>
      <c r="G5838" s="9">
        <v>4730.3999999999996</v>
      </c>
      <c r="H5838" s="8">
        <v>22741</v>
      </c>
    </row>
    <row r="5839" spans="2:8" ht="17.5" customHeight="1" x14ac:dyDescent="0.4">
      <c r="B5839" t="s">
        <v>7</v>
      </c>
      <c r="C5839" t="s">
        <v>993</v>
      </c>
      <c r="D5839" s="7">
        <f>DATE(2016,4,27)</f>
        <v>42487</v>
      </c>
      <c r="E5839" s="8">
        <f t="shared" si="96"/>
        <v>2016</v>
      </c>
      <c r="F5839" t="s">
        <v>994</v>
      </c>
      <c r="G5839" s="9">
        <v>3553</v>
      </c>
      <c r="H5839" s="8">
        <v>22702</v>
      </c>
    </row>
    <row r="5840" spans="2:8" ht="17.5" customHeight="1" x14ac:dyDescent="0.4">
      <c r="B5840" t="s">
        <v>7</v>
      </c>
      <c r="C5840" t="s">
        <v>993</v>
      </c>
      <c r="D5840" s="7">
        <f>DATE(2016,5,4)</f>
        <v>42494</v>
      </c>
      <c r="E5840" s="8">
        <f t="shared" si="96"/>
        <v>2016</v>
      </c>
      <c r="F5840" t="s">
        <v>994</v>
      </c>
      <c r="G5840" s="9">
        <v>17536.5</v>
      </c>
      <c r="H5840" s="8">
        <v>22800</v>
      </c>
    </row>
    <row r="5841" spans="2:8" ht="17.5" customHeight="1" x14ac:dyDescent="0.4">
      <c r="B5841" t="s">
        <v>7</v>
      </c>
      <c r="C5841" t="s">
        <v>993</v>
      </c>
      <c r="D5841" s="7">
        <f>DATE(2016,5,4)</f>
        <v>42494</v>
      </c>
      <c r="E5841" s="8">
        <f t="shared" si="96"/>
        <v>2016</v>
      </c>
      <c r="F5841" t="s">
        <v>994</v>
      </c>
      <c r="G5841" s="9">
        <v>734.4</v>
      </c>
      <c r="H5841" s="8">
        <v>22806</v>
      </c>
    </row>
    <row r="5842" spans="2:8" ht="17.5" customHeight="1" x14ac:dyDescent="0.4">
      <c r="B5842" t="s">
        <v>7</v>
      </c>
      <c r="C5842" t="s">
        <v>993</v>
      </c>
      <c r="D5842" s="7">
        <f>DATE(2016,5,4)</f>
        <v>42494</v>
      </c>
      <c r="E5842" s="8">
        <f t="shared" si="96"/>
        <v>2016</v>
      </c>
      <c r="F5842" t="s">
        <v>994</v>
      </c>
      <c r="G5842" s="9">
        <v>369.69</v>
      </c>
      <c r="H5842" s="8">
        <v>22797</v>
      </c>
    </row>
    <row r="5843" spans="2:8" ht="17.5" customHeight="1" x14ac:dyDescent="0.4">
      <c r="B5843" t="s">
        <v>7</v>
      </c>
      <c r="C5843" t="s">
        <v>993</v>
      </c>
      <c r="D5843" s="7">
        <f>DATE(2016,5,5)</f>
        <v>42495</v>
      </c>
      <c r="E5843" s="8">
        <f t="shared" si="96"/>
        <v>2016</v>
      </c>
      <c r="F5843" t="s">
        <v>994</v>
      </c>
      <c r="G5843" s="9">
        <v>4112.3</v>
      </c>
      <c r="H5843" s="8">
        <v>22769</v>
      </c>
    </row>
    <row r="5844" spans="2:8" ht="17.5" customHeight="1" x14ac:dyDescent="0.4">
      <c r="B5844" t="s">
        <v>7</v>
      </c>
      <c r="C5844" t="s">
        <v>993</v>
      </c>
      <c r="D5844" s="7">
        <f>DATE(2016,5,11)</f>
        <v>42501</v>
      </c>
      <c r="E5844" s="8">
        <f t="shared" si="96"/>
        <v>2016</v>
      </c>
      <c r="F5844" t="s">
        <v>994</v>
      </c>
      <c r="G5844" s="9">
        <v>1544.45</v>
      </c>
      <c r="H5844" s="8">
        <v>22783</v>
      </c>
    </row>
    <row r="5845" spans="2:8" ht="17.5" customHeight="1" x14ac:dyDescent="0.4">
      <c r="B5845" t="s">
        <v>7</v>
      </c>
      <c r="C5845" t="s">
        <v>993</v>
      </c>
      <c r="D5845" s="7">
        <f>DATE(2016,5,12)</f>
        <v>42502</v>
      </c>
      <c r="E5845" s="8">
        <f t="shared" si="96"/>
        <v>2016</v>
      </c>
      <c r="F5845" t="s">
        <v>994</v>
      </c>
      <c r="G5845" s="9">
        <v>13638.08</v>
      </c>
      <c r="H5845" s="8">
        <v>22836</v>
      </c>
    </row>
    <row r="5846" spans="2:8" ht="17.5" customHeight="1" x14ac:dyDescent="0.4">
      <c r="B5846" t="s">
        <v>7</v>
      </c>
      <c r="C5846" t="s">
        <v>993</v>
      </c>
      <c r="D5846" s="7">
        <f>DATE(2016,5,18)</f>
        <v>42508</v>
      </c>
      <c r="E5846" s="8">
        <f t="shared" si="96"/>
        <v>2016</v>
      </c>
      <c r="F5846" t="s">
        <v>994</v>
      </c>
      <c r="G5846" s="9">
        <v>7726.5</v>
      </c>
      <c r="H5846" s="8">
        <v>22875</v>
      </c>
    </row>
    <row r="5847" spans="2:8" ht="17.5" customHeight="1" x14ac:dyDescent="0.4">
      <c r="B5847" t="s">
        <v>7</v>
      </c>
      <c r="C5847" t="s">
        <v>993</v>
      </c>
      <c r="D5847" s="7">
        <f>DATE(2016,5,19)</f>
        <v>42509</v>
      </c>
      <c r="E5847" s="8">
        <f t="shared" si="96"/>
        <v>2016</v>
      </c>
      <c r="F5847" t="s">
        <v>994</v>
      </c>
      <c r="G5847" s="9">
        <v>1805.4</v>
      </c>
      <c r="H5847" s="8">
        <v>22879</v>
      </c>
    </row>
    <row r="5848" spans="2:8" ht="17.5" customHeight="1" x14ac:dyDescent="0.4">
      <c r="B5848" t="s">
        <v>7</v>
      </c>
      <c r="C5848" t="s">
        <v>993</v>
      </c>
      <c r="D5848" s="7">
        <f>DATE(2016,5,19)</f>
        <v>42509</v>
      </c>
      <c r="E5848" s="8">
        <f t="shared" si="96"/>
        <v>2016</v>
      </c>
      <c r="F5848" t="s">
        <v>994</v>
      </c>
      <c r="G5848" s="9">
        <v>1530</v>
      </c>
      <c r="H5848" s="8">
        <v>22881</v>
      </c>
    </row>
    <row r="5849" spans="2:8" ht="17.5" customHeight="1" x14ac:dyDescent="0.4">
      <c r="B5849" t="s">
        <v>7</v>
      </c>
      <c r="C5849" t="s">
        <v>993</v>
      </c>
      <c r="D5849" s="7">
        <f>DATE(2016,5,19)</f>
        <v>42509</v>
      </c>
      <c r="E5849" s="8">
        <f t="shared" si="96"/>
        <v>2016</v>
      </c>
      <c r="F5849" t="s">
        <v>994</v>
      </c>
      <c r="G5849" s="9">
        <v>1875</v>
      </c>
      <c r="H5849" s="8">
        <v>22889</v>
      </c>
    </row>
    <row r="5850" spans="2:8" ht="17.5" customHeight="1" x14ac:dyDescent="0.4">
      <c r="B5850" t="s">
        <v>7</v>
      </c>
      <c r="C5850" t="s">
        <v>993</v>
      </c>
      <c r="D5850" s="7">
        <f>DATE(2016,5,24)</f>
        <v>42514</v>
      </c>
      <c r="E5850" s="8">
        <f t="shared" si="96"/>
        <v>2016</v>
      </c>
      <c r="F5850" t="s">
        <v>994</v>
      </c>
      <c r="G5850" s="9">
        <v>1815</v>
      </c>
      <c r="H5850" s="8">
        <v>22905</v>
      </c>
    </row>
    <row r="5851" spans="2:8" ht="17.5" customHeight="1" x14ac:dyDescent="0.4">
      <c r="B5851" t="s">
        <v>7</v>
      </c>
      <c r="C5851" t="s">
        <v>993</v>
      </c>
      <c r="D5851" s="7">
        <f>DATE(2016,5,25)</f>
        <v>42515</v>
      </c>
      <c r="E5851" s="8">
        <f t="shared" si="96"/>
        <v>2016</v>
      </c>
      <c r="F5851" t="s">
        <v>994</v>
      </c>
      <c r="G5851" s="9">
        <v>956.25</v>
      </c>
      <c r="H5851" s="8">
        <v>22896</v>
      </c>
    </row>
    <row r="5852" spans="2:8" ht="17.5" customHeight="1" x14ac:dyDescent="0.4">
      <c r="B5852" t="s">
        <v>7</v>
      </c>
      <c r="C5852" t="s">
        <v>993</v>
      </c>
      <c r="D5852" s="7">
        <f>DATE(2016,5,26)</f>
        <v>42516</v>
      </c>
      <c r="E5852" s="8">
        <f t="shared" si="96"/>
        <v>2016</v>
      </c>
      <c r="F5852" t="s">
        <v>994</v>
      </c>
      <c r="G5852" s="9">
        <v>5814</v>
      </c>
      <c r="H5852" s="8">
        <v>22876</v>
      </c>
    </row>
    <row r="5853" spans="2:8" ht="17.5" customHeight="1" x14ac:dyDescent="0.4">
      <c r="B5853" t="s">
        <v>7</v>
      </c>
      <c r="C5853" t="s">
        <v>993</v>
      </c>
      <c r="D5853" s="7">
        <f>DATE(2016,5,27)</f>
        <v>42517</v>
      </c>
      <c r="E5853" s="8">
        <f t="shared" si="96"/>
        <v>2016</v>
      </c>
      <c r="F5853" t="s">
        <v>994</v>
      </c>
      <c r="G5853" s="9">
        <v>771</v>
      </c>
      <c r="H5853" s="8">
        <v>22932</v>
      </c>
    </row>
    <row r="5854" spans="2:8" ht="17.5" customHeight="1" x14ac:dyDescent="0.4">
      <c r="B5854" t="s">
        <v>7</v>
      </c>
      <c r="C5854" t="s">
        <v>993</v>
      </c>
      <c r="D5854" s="7">
        <f>DATE(2016,5,31)</f>
        <v>42521</v>
      </c>
      <c r="E5854" s="8">
        <f t="shared" si="96"/>
        <v>2016</v>
      </c>
      <c r="F5854" t="s">
        <v>994</v>
      </c>
      <c r="G5854" s="9">
        <v>2324</v>
      </c>
      <c r="H5854" s="8">
        <v>22884</v>
      </c>
    </row>
    <row r="5855" spans="2:8" ht="17.5" customHeight="1" x14ac:dyDescent="0.4">
      <c r="B5855" t="s">
        <v>7</v>
      </c>
      <c r="C5855" t="s">
        <v>993</v>
      </c>
      <c r="D5855" s="7">
        <f>DATE(2016,6,2)</f>
        <v>42523</v>
      </c>
      <c r="E5855" s="8">
        <f t="shared" si="96"/>
        <v>2016</v>
      </c>
      <c r="F5855" t="s">
        <v>994</v>
      </c>
      <c r="G5855" s="9">
        <v>10403.5</v>
      </c>
      <c r="H5855" s="8">
        <v>22878</v>
      </c>
    </row>
    <row r="5856" spans="2:8" ht="17.5" customHeight="1" x14ac:dyDescent="0.4">
      <c r="B5856" t="s">
        <v>7</v>
      </c>
      <c r="C5856" t="s">
        <v>993</v>
      </c>
      <c r="D5856" s="7">
        <f>DATE(2016,6,3)</f>
        <v>42524</v>
      </c>
      <c r="E5856" s="8">
        <f t="shared" si="96"/>
        <v>2016</v>
      </c>
      <c r="F5856" t="s">
        <v>994</v>
      </c>
      <c r="G5856" s="9">
        <v>222.5</v>
      </c>
      <c r="H5856" s="8">
        <v>22966</v>
      </c>
    </row>
    <row r="5857" spans="2:8" ht="17.5" customHeight="1" x14ac:dyDescent="0.4">
      <c r="B5857" t="s">
        <v>7</v>
      </c>
      <c r="C5857" t="s">
        <v>993</v>
      </c>
      <c r="D5857" s="7">
        <f>DATE(2016,6,3)</f>
        <v>42524</v>
      </c>
      <c r="E5857" s="8">
        <f t="shared" si="96"/>
        <v>2016</v>
      </c>
      <c r="F5857" t="s">
        <v>994</v>
      </c>
      <c r="G5857" s="9">
        <v>375.63</v>
      </c>
      <c r="H5857" s="8">
        <v>22967</v>
      </c>
    </row>
    <row r="5858" spans="2:8" ht="17.5" customHeight="1" x14ac:dyDescent="0.4">
      <c r="B5858" t="s">
        <v>7</v>
      </c>
      <c r="C5858" t="s">
        <v>993</v>
      </c>
      <c r="D5858" s="7">
        <f>DATE(2016,6,7)</f>
        <v>42528</v>
      </c>
      <c r="E5858" s="8">
        <f t="shared" si="96"/>
        <v>2016</v>
      </c>
      <c r="F5858" t="s">
        <v>994</v>
      </c>
      <c r="G5858" s="9">
        <v>3072.75</v>
      </c>
      <c r="H5858" s="8">
        <v>22974</v>
      </c>
    </row>
    <row r="5859" spans="2:8" ht="17.5" customHeight="1" x14ac:dyDescent="0.4">
      <c r="B5859" t="s">
        <v>7</v>
      </c>
      <c r="C5859" t="s">
        <v>993</v>
      </c>
      <c r="D5859" s="7">
        <f>DATE(2016,6,8)</f>
        <v>42529</v>
      </c>
      <c r="E5859" s="8">
        <f t="shared" si="96"/>
        <v>2016</v>
      </c>
      <c r="F5859" t="s">
        <v>994</v>
      </c>
      <c r="G5859" s="9">
        <v>875.5</v>
      </c>
      <c r="H5859" s="8">
        <v>22993</v>
      </c>
    </row>
    <row r="5860" spans="2:8" ht="17.5" customHeight="1" x14ac:dyDescent="0.4">
      <c r="B5860" t="s">
        <v>7</v>
      </c>
      <c r="C5860" t="s">
        <v>993</v>
      </c>
      <c r="D5860" s="7">
        <f>DATE(2016,6,9)</f>
        <v>42530</v>
      </c>
      <c r="E5860" s="8">
        <f t="shared" si="96"/>
        <v>2016</v>
      </c>
      <c r="F5860" t="s">
        <v>994</v>
      </c>
      <c r="G5860" s="9">
        <v>3388</v>
      </c>
      <c r="H5860" s="8">
        <v>22880</v>
      </c>
    </row>
    <row r="5861" spans="2:8" ht="17.5" customHeight="1" x14ac:dyDescent="0.4">
      <c r="B5861" t="s">
        <v>7</v>
      </c>
      <c r="C5861" t="s">
        <v>993</v>
      </c>
      <c r="D5861" s="7">
        <f>DATE(2016,6,14)</f>
        <v>42535</v>
      </c>
      <c r="E5861" s="8">
        <f t="shared" si="96"/>
        <v>2016</v>
      </c>
      <c r="F5861" t="s">
        <v>994</v>
      </c>
      <c r="G5861" s="9">
        <v>612</v>
      </c>
      <c r="H5861" s="8">
        <v>23010</v>
      </c>
    </row>
    <row r="5862" spans="2:8" ht="17.5" customHeight="1" x14ac:dyDescent="0.4">
      <c r="B5862" t="s">
        <v>7</v>
      </c>
      <c r="C5862" t="s">
        <v>993</v>
      </c>
      <c r="D5862" s="7">
        <f>DATE(2016,6,24)</f>
        <v>42545</v>
      </c>
      <c r="E5862" s="8">
        <f t="shared" si="96"/>
        <v>2016</v>
      </c>
      <c r="F5862" t="s">
        <v>994</v>
      </c>
      <c r="G5862" s="9">
        <v>165.75</v>
      </c>
      <c r="H5862" s="8">
        <v>23041</v>
      </c>
    </row>
    <row r="5863" spans="2:8" ht="17.5" customHeight="1" x14ac:dyDescent="0.4">
      <c r="B5863" t="s">
        <v>7</v>
      </c>
      <c r="C5863" t="s">
        <v>993</v>
      </c>
      <c r="D5863" s="7">
        <f>DATE(2016,6,24)</f>
        <v>42545</v>
      </c>
      <c r="E5863" s="8">
        <f t="shared" si="96"/>
        <v>2016</v>
      </c>
      <c r="F5863" t="s">
        <v>994</v>
      </c>
      <c r="G5863" s="9">
        <v>625.5</v>
      </c>
      <c r="H5863" s="8">
        <v>23037</v>
      </c>
    </row>
    <row r="5864" spans="2:8" ht="17.5" customHeight="1" x14ac:dyDescent="0.4">
      <c r="B5864" t="s">
        <v>7</v>
      </c>
      <c r="C5864" t="s">
        <v>993</v>
      </c>
      <c r="D5864" s="7">
        <f>DATE(2016,6,24)</f>
        <v>42545</v>
      </c>
      <c r="E5864" s="8">
        <f t="shared" si="96"/>
        <v>2016</v>
      </c>
      <c r="F5864" t="s">
        <v>994</v>
      </c>
      <c r="G5864" s="9">
        <v>503.5</v>
      </c>
      <c r="H5864" s="8">
        <v>23035</v>
      </c>
    </row>
    <row r="5865" spans="2:8" ht="17.5" customHeight="1" x14ac:dyDescent="0.4">
      <c r="B5865" t="s">
        <v>7</v>
      </c>
      <c r="C5865" t="s">
        <v>993</v>
      </c>
      <c r="D5865" s="7">
        <f>DATE(2016,6,28)</f>
        <v>42549</v>
      </c>
      <c r="E5865" s="8">
        <f t="shared" si="96"/>
        <v>2016</v>
      </c>
      <c r="F5865" t="s">
        <v>994</v>
      </c>
      <c r="G5865" s="9">
        <v>12163.5</v>
      </c>
      <c r="H5865" s="8">
        <v>23071</v>
      </c>
    </row>
    <row r="5866" spans="2:8" ht="17.5" customHeight="1" x14ac:dyDescent="0.4">
      <c r="B5866" t="s">
        <v>7</v>
      </c>
      <c r="C5866" t="s">
        <v>993</v>
      </c>
      <c r="D5866" s="7">
        <f>DATE(2016,7,6)</f>
        <v>42557</v>
      </c>
      <c r="E5866" s="8">
        <f t="shared" si="96"/>
        <v>2016</v>
      </c>
      <c r="F5866" t="s">
        <v>994</v>
      </c>
      <c r="G5866" s="9">
        <v>636</v>
      </c>
      <c r="H5866" s="8">
        <v>23108</v>
      </c>
    </row>
    <row r="5867" spans="2:8" ht="17.5" customHeight="1" x14ac:dyDescent="0.4">
      <c r="B5867" t="s">
        <v>7</v>
      </c>
      <c r="C5867" t="s">
        <v>993</v>
      </c>
      <c r="D5867" s="7">
        <f>DATE(2016,7,7)</f>
        <v>42558</v>
      </c>
      <c r="E5867" s="8">
        <f t="shared" si="96"/>
        <v>2016</v>
      </c>
      <c r="F5867" t="s">
        <v>994</v>
      </c>
      <c r="G5867" s="9">
        <v>193.62</v>
      </c>
      <c r="H5867" s="8">
        <v>23072</v>
      </c>
    </row>
    <row r="5868" spans="2:8" ht="17.5" customHeight="1" x14ac:dyDescent="0.4">
      <c r="B5868" t="s">
        <v>7</v>
      </c>
      <c r="C5868" t="s">
        <v>993</v>
      </c>
      <c r="D5868" s="7">
        <f>DATE(2016,7,11)</f>
        <v>42562</v>
      </c>
      <c r="E5868" s="8">
        <f t="shared" si="96"/>
        <v>2016</v>
      </c>
      <c r="F5868" t="s">
        <v>994</v>
      </c>
      <c r="G5868" s="9">
        <v>3890.5</v>
      </c>
      <c r="H5868" s="8">
        <v>23076</v>
      </c>
    </row>
    <row r="5869" spans="2:8" ht="17.5" customHeight="1" x14ac:dyDescent="0.4">
      <c r="B5869" t="s">
        <v>7</v>
      </c>
      <c r="C5869" t="s">
        <v>993</v>
      </c>
      <c r="D5869" s="7">
        <f>DATE(2016,7,22)</f>
        <v>42573</v>
      </c>
      <c r="E5869" s="8">
        <f t="shared" si="96"/>
        <v>2016</v>
      </c>
      <c r="F5869" t="s">
        <v>994</v>
      </c>
      <c r="G5869" s="9">
        <v>6352.5</v>
      </c>
      <c r="H5869" s="8">
        <v>23172</v>
      </c>
    </row>
    <row r="5870" spans="2:8" ht="17.5" customHeight="1" x14ac:dyDescent="0.4">
      <c r="B5870" t="s">
        <v>7</v>
      </c>
      <c r="C5870" t="s">
        <v>993</v>
      </c>
      <c r="D5870" s="7">
        <f>DATE(2016,7,27)</f>
        <v>42578</v>
      </c>
      <c r="E5870" s="8">
        <f t="shared" si="96"/>
        <v>2016</v>
      </c>
      <c r="F5870" t="s">
        <v>994</v>
      </c>
      <c r="G5870" s="9">
        <v>22178.880000000001</v>
      </c>
      <c r="H5870" s="8">
        <v>23198</v>
      </c>
    </row>
    <row r="5871" spans="2:8" ht="17.5" customHeight="1" x14ac:dyDescent="0.4">
      <c r="B5871" t="s">
        <v>7</v>
      </c>
      <c r="C5871" t="s">
        <v>993</v>
      </c>
      <c r="D5871" s="7">
        <f>DATE(2016,8,12)</f>
        <v>42594</v>
      </c>
      <c r="E5871" s="8">
        <f t="shared" si="96"/>
        <v>2016</v>
      </c>
      <c r="F5871" t="s">
        <v>994</v>
      </c>
      <c r="G5871" s="9">
        <v>285</v>
      </c>
      <c r="H5871" s="8">
        <v>23266</v>
      </c>
    </row>
    <row r="5872" spans="2:8" ht="17.5" customHeight="1" x14ac:dyDescent="0.4">
      <c r="B5872" t="s">
        <v>7</v>
      </c>
      <c r="C5872" t="s">
        <v>993</v>
      </c>
      <c r="D5872" s="7">
        <f>DATE(2016,8,18)</f>
        <v>42600</v>
      </c>
      <c r="E5872" s="8">
        <f t="shared" si="96"/>
        <v>2016</v>
      </c>
      <c r="F5872" t="s">
        <v>994</v>
      </c>
      <c r="G5872" s="9">
        <v>1805.4</v>
      </c>
      <c r="H5872" s="8">
        <v>23304</v>
      </c>
    </row>
    <row r="5873" spans="2:8" ht="17.5" customHeight="1" x14ac:dyDescent="0.4">
      <c r="B5873" t="s">
        <v>7</v>
      </c>
      <c r="C5873" t="s">
        <v>993</v>
      </c>
      <c r="D5873" s="7">
        <f>DATE(2016,8,18)</f>
        <v>42600</v>
      </c>
      <c r="E5873" s="8">
        <f t="shared" si="96"/>
        <v>2016</v>
      </c>
      <c r="F5873" t="s">
        <v>994</v>
      </c>
      <c r="G5873" s="9">
        <v>1388.8</v>
      </c>
      <c r="H5873" s="8">
        <v>23284</v>
      </c>
    </row>
    <row r="5874" spans="2:8" ht="17.5" customHeight="1" x14ac:dyDescent="0.4">
      <c r="B5874" t="s">
        <v>7</v>
      </c>
      <c r="C5874" t="s">
        <v>993</v>
      </c>
      <c r="D5874" s="7">
        <f>DATE(2016,8,18)</f>
        <v>42600</v>
      </c>
      <c r="E5874" s="8">
        <f t="shared" si="96"/>
        <v>2016</v>
      </c>
      <c r="F5874" t="s">
        <v>994</v>
      </c>
      <c r="G5874" s="9">
        <v>642.5</v>
      </c>
      <c r="H5874" s="8">
        <v>23299</v>
      </c>
    </row>
    <row r="5875" spans="2:8" ht="17.5" customHeight="1" x14ac:dyDescent="0.4">
      <c r="B5875" t="s">
        <v>7</v>
      </c>
      <c r="C5875" t="s">
        <v>993</v>
      </c>
      <c r="D5875" s="7">
        <f>DATE(2016,8,19)</f>
        <v>42601</v>
      </c>
      <c r="E5875" s="8">
        <f t="shared" si="96"/>
        <v>2016</v>
      </c>
      <c r="F5875" t="s">
        <v>994</v>
      </c>
      <c r="G5875" s="9">
        <v>16446.900000000001</v>
      </c>
      <c r="H5875" s="8">
        <v>23110</v>
      </c>
    </row>
    <row r="5876" spans="2:8" ht="17.5" customHeight="1" x14ac:dyDescent="0.4">
      <c r="B5876" t="s">
        <v>7</v>
      </c>
      <c r="C5876" t="s">
        <v>993</v>
      </c>
      <c r="D5876" s="7">
        <f>DATE(2016,8,19)</f>
        <v>42601</v>
      </c>
      <c r="E5876" s="8">
        <f t="shared" si="96"/>
        <v>2016</v>
      </c>
      <c r="F5876" t="s">
        <v>994</v>
      </c>
      <c r="G5876" s="9">
        <v>11950.85</v>
      </c>
      <c r="H5876" s="8">
        <v>23118</v>
      </c>
    </row>
    <row r="5877" spans="2:8" ht="17.5" customHeight="1" x14ac:dyDescent="0.4">
      <c r="B5877" t="s">
        <v>7</v>
      </c>
      <c r="C5877" t="s">
        <v>993</v>
      </c>
      <c r="D5877" s="7">
        <f>DATE(2016,8,22)</f>
        <v>42604</v>
      </c>
      <c r="E5877" s="8">
        <f t="shared" si="96"/>
        <v>2016</v>
      </c>
      <c r="F5877" t="s">
        <v>994</v>
      </c>
      <c r="G5877" s="9">
        <v>5814</v>
      </c>
      <c r="H5877" s="8">
        <v>23300</v>
      </c>
    </row>
    <row r="5878" spans="2:8" ht="17.5" customHeight="1" x14ac:dyDescent="0.4">
      <c r="B5878" t="s">
        <v>7</v>
      </c>
      <c r="C5878" t="s">
        <v>993</v>
      </c>
      <c r="D5878" s="7">
        <f>DATE(2016,8,23)</f>
        <v>42605</v>
      </c>
      <c r="E5878" s="8">
        <f t="shared" si="96"/>
        <v>2016</v>
      </c>
      <c r="F5878" t="s">
        <v>994</v>
      </c>
      <c r="G5878" s="9">
        <v>709.75</v>
      </c>
      <c r="H5878" s="8">
        <v>23306</v>
      </c>
    </row>
    <row r="5879" spans="2:8" ht="17.5" customHeight="1" x14ac:dyDescent="0.4">
      <c r="B5879" t="s">
        <v>7</v>
      </c>
      <c r="C5879" t="s">
        <v>993</v>
      </c>
      <c r="D5879" s="7">
        <f>DATE(2016,8,23)</f>
        <v>42605</v>
      </c>
      <c r="E5879" s="8">
        <f t="shared" si="96"/>
        <v>2016</v>
      </c>
      <c r="F5879" t="s">
        <v>994</v>
      </c>
      <c r="G5879" s="9">
        <v>4896</v>
      </c>
      <c r="H5879" s="8">
        <v>23330</v>
      </c>
    </row>
    <row r="5880" spans="2:8" ht="17.5" customHeight="1" x14ac:dyDescent="0.4">
      <c r="B5880" t="s">
        <v>7</v>
      </c>
      <c r="C5880" t="s">
        <v>993</v>
      </c>
      <c r="D5880" s="7">
        <f>DATE(2016,8,23)</f>
        <v>42605</v>
      </c>
      <c r="E5880" s="8">
        <f t="shared" si="96"/>
        <v>2016</v>
      </c>
      <c r="F5880" t="s">
        <v>994</v>
      </c>
      <c r="G5880" s="9">
        <v>1292</v>
      </c>
      <c r="H5880" s="8">
        <v>23326</v>
      </c>
    </row>
    <row r="5881" spans="2:8" ht="17.5" customHeight="1" x14ac:dyDescent="0.4">
      <c r="B5881" t="s">
        <v>7</v>
      </c>
      <c r="C5881" t="s">
        <v>993</v>
      </c>
      <c r="D5881" s="7">
        <f>DATE(2016,8,25)</f>
        <v>42607</v>
      </c>
      <c r="E5881" s="8">
        <f t="shared" si="96"/>
        <v>2016</v>
      </c>
      <c r="F5881" t="s">
        <v>994</v>
      </c>
      <c r="G5881" s="9">
        <v>116.6</v>
      </c>
      <c r="H5881" s="8">
        <v>23313</v>
      </c>
    </row>
    <row r="5882" spans="2:8" ht="17.5" customHeight="1" x14ac:dyDescent="0.4">
      <c r="B5882" t="s">
        <v>7</v>
      </c>
      <c r="C5882" t="s">
        <v>993</v>
      </c>
      <c r="D5882" s="7">
        <f>DATE(2016,8,25)</f>
        <v>42607</v>
      </c>
      <c r="E5882" s="8">
        <f t="shared" si="96"/>
        <v>2016</v>
      </c>
      <c r="F5882" t="s">
        <v>994</v>
      </c>
      <c r="G5882" s="9">
        <v>2226.4</v>
      </c>
      <c r="H5882" s="8">
        <v>23331</v>
      </c>
    </row>
    <row r="5883" spans="2:8" ht="17.5" customHeight="1" x14ac:dyDescent="0.4">
      <c r="B5883" t="s">
        <v>7</v>
      </c>
      <c r="C5883" t="s">
        <v>993</v>
      </c>
      <c r="D5883" s="7">
        <f>DATE(2016,9,7)</f>
        <v>42620</v>
      </c>
      <c r="E5883" s="8">
        <f t="shared" si="96"/>
        <v>2016</v>
      </c>
      <c r="F5883" t="s">
        <v>994</v>
      </c>
      <c r="G5883" s="9">
        <v>40.17</v>
      </c>
      <c r="H5883" s="8">
        <v>23424</v>
      </c>
    </row>
    <row r="5884" spans="2:8" ht="17.5" customHeight="1" x14ac:dyDescent="0.4">
      <c r="B5884" t="s">
        <v>7</v>
      </c>
      <c r="C5884" t="s">
        <v>993</v>
      </c>
      <c r="D5884" s="7">
        <f>DATE(2016,9,8)</f>
        <v>42621</v>
      </c>
      <c r="E5884" s="8">
        <f t="shared" si="96"/>
        <v>2016</v>
      </c>
      <c r="F5884" t="s">
        <v>994</v>
      </c>
      <c r="G5884" s="9">
        <v>1149.5</v>
      </c>
      <c r="H5884" s="8">
        <v>23435</v>
      </c>
    </row>
    <row r="5885" spans="2:8" ht="17.5" customHeight="1" x14ac:dyDescent="0.4">
      <c r="B5885" t="s">
        <v>7</v>
      </c>
      <c r="C5885" t="s">
        <v>993</v>
      </c>
      <c r="D5885" s="7">
        <f>DATE(2016,9,12)</f>
        <v>42625</v>
      </c>
      <c r="E5885" s="8">
        <f t="shared" si="96"/>
        <v>2016</v>
      </c>
      <c r="F5885" t="s">
        <v>994</v>
      </c>
      <c r="G5885" s="9">
        <v>398.4</v>
      </c>
      <c r="H5885" s="8">
        <v>23441</v>
      </c>
    </row>
    <row r="5886" spans="2:8" ht="17.5" customHeight="1" x14ac:dyDescent="0.4">
      <c r="B5886" t="s">
        <v>7</v>
      </c>
      <c r="C5886" t="s">
        <v>993</v>
      </c>
      <c r="D5886" s="7">
        <f>DATE(2016,9,12)</f>
        <v>42625</v>
      </c>
      <c r="E5886" s="8">
        <f t="shared" si="96"/>
        <v>2016</v>
      </c>
      <c r="F5886" t="s">
        <v>994</v>
      </c>
      <c r="G5886" s="9">
        <v>8721</v>
      </c>
      <c r="H5886" s="8">
        <v>23446</v>
      </c>
    </row>
    <row r="5887" spans="2:8" ht="17.5" customHeight="1" x14ac:dyDescent="0.4">
      <c r="B5887" t="s">
        <v>7</v>
      </c>
      <c r="C5887" t="s">
        <v>993</v>
      </c>
      <c r="D5887" s="7">
        <f>DATE(2016,9,13)</f>
        <v>42626</v>
      </c>
      <c r="E5887" s="8">
        <f t="shared" si="96"/>
        <v>2016</v>
      </c>
      <c r="F5887" t="s">
        <v>994</v>
      </c>
      <c r="G5887" s="9">
        <v>997.5</v>
      </c>
      <c r="H5887" s="8">
        <v>23460</v>
      </c>
    </row>
    <row r="5888" spans="2:8" ht="17.5" customHeight="1" x14ac:dyDescent="0.4">
      <c r="B5888" t="s">
        <v>7</v>
      </c>
      <c r="C5888" t="s">
        <v>993</v>
      </c>
      <c r="D5888" s="7">
        <f>DATE(2016,9,20)</f>
        <v>42633</v>
      </c>
      <c r="E5888" s="8">
        <f t="shared" si="96"/>
        <v>2016</v>
      </c>
      <c r="F5888" t="s">
        <v>994</v>
      </c>
      <c r="G5888" s="9">
        <v>3388</v>
      </c>
      <c r="H5888" s="8">
        <v>23474</v>
      </c>
    </row>
    <row r="5889" spans="2:8" ht="17.5" customHeight="1" x14ac:dyDescent="0.4">
      <c r="B5889" t="s">
        <v>7</v>
      </c>
      <c r="C5889" t="s">
        <v>993</v>
      </c>
      <c r="D5889" s="7">
        <f>DATE(2016,9,21)</f>
        <v>42634</v>
      </c>
      <c r="E5889" s="8">
        <f t="shared" si="96"/>
        <v>2016</v>
      </c>
      <c r="F5889" t="s">
        <v>994</v>
      </c>
      <c r="G5889" s="9">
        <v>497.25</v>
      </c>
      <c r="H5889" s="8">
        <v>23510</v>
      </c>
    </row>
    <row r="5890" spans="2:8" ht="17.5" customHeight="1" x14ac:dyDescent="0.4">
      <c r="B5890" t="s">
        <v>7</v>
      </c>
      <c r="C5890" t="s">
        <v>993</v>
      </c>
      <c r="D5890" s="7">
        <f>DATE(2016,9,26)</f>
        <v>42639</v>
      </c>
      <c r="E5890" s="8">
        <f t="shared" si="96"/>
        <v>2016</v>
      </c>
      <c r="F5890" t="s">
        <v>994</v>
      </c>
      <c r="G5890" s="9">
        <v>1955</v>
      </c>
      <c r="H5890" s="8">
        <v>23529</v>
      </c>
    </row>
    <row r="5891" spans="2:8" ht="17.5" customHeight="1" x14ac:dyDescent="0.4">
      <c r="B5891" t="s">
        <v>7</v>
      </c>
      <c r="C5891" t="s">
        <v>993</v>
      </c>
      <c r="D5891" s="7">
        <f>DATE(2016,9,26)</f>
        <v>42639</v>
      </c>
      <c r="E5891" s="8">
        <f t="shared" ref="E5891:E5954" si="97">YEAR(D5891)</f>
        <v>2016</v>
      </c>
      <c r="F5891" t="s">
        <v>994</v>
      </c>
      <c r="G5891" s="9">
        <v>1995</v>
      </c>
      <c r="H5891" s="8">
        <v>23539</v>
      </c>
    </row>
    <row r="5892" spans="2:8" ht="17.5" customHeight="1" x14ac:dyDescent="0.4">
      <c r="B5892" t="s">
        <v>7</v>
      </c>
      <c r="C5892" t="s">
        <v>993</v>
      </c>
      <c r="D5892" s="7">
        <f>DATE(2016,9,27)</f>
        <v>42640</v>
      </c>
      <c r="E5892" s="8">
        <f t="shared" si="97"/>
        <v>2016</v>
      </c>
      <c r="F5892" t="s">
        <v>994</v>
      </c>
      <c r="G5892" s="9">
        <v>1633.9</v>
      </c>
      <c r="H5892" s="8">
        <v>23546</v>
      </c>
    </row>
    <row r="5893" spans="2:8" ht="17.5" customHeight="1" x14ac:dyDescent="0.4">
      <c r="B5893" t="s">
        <v>7</v>
      </c>
      <c r="C5893" t="s">
        <v>993</v>
      </c>
      <c r="D5893" s="7">
        <f>DATE(2016,9,28)</f>
        <v>42641</v>
      </c>
      <c r="E5893" s="8">
        <f t="shared" si="97"/>
        <v>2016</v>
      </c>
      <c r="F5893" t="s">
        <v>994</v>
      </c>
      <c r="G5893" s="9">
        <v>153</v>
      </c>
      <c r="H5893" s="8">
        <v>23549</v>
      </c>
    </row>
    <row r="5894" spans="2:8" ht="17.5" customHeight="1" x14ac:dyDescent="0.4">
      <c r="B5894" t="s">
        <v>7</v>
      </c>
      <c r="C5894" t="s">
        <v>993</v>
      </c>
      <c r="D5894" s="7">
        <f>DATE(2016,10,20)</f>
        <v>42663</v>
      </c>
      <c r="E5894" s="8">
        <f t="shared" si="97"/>
        <v>2016</v>
      </c>
      <c r="F5894" t="s">
        <v>994</v>
      </c>
      <c r="G5894" s="9">
        <v>2292.4</v>
      </c>
      <c r="H5894" s="8">
        <v>23694</v>
      </c>
    </row>
    <row r="5895" spans="2:8" ht="17.5" customHeight="1" x14ac:dyDescent="0.4">
      <c r="B5895" t="s">
        <v>7</v>
      </c>
      <c r="C5895" t="s">
        <v>993</v>
      </c>
      <c r="D5895" s="7">
        <f>DATE(2016,10,26)</f>
        <v>42669</v>
      </c>
      <c r="E5895" s="8">
        <f t="shared" si="97"/>
        <v>2016</v>
      </c>
      <c r="F5895" t="s">
        <v>994</v>
      </c>
      <c r="G5895" s="9">
        <v>200.2</v>
      </c>
      <c r="H5895" s="8">
        <v>23721</v>
      </c>
    </row>
    <row r="5896" spans="2:8" ht="17.5" customHeight="1" x14ac:dyDescent="0.4">
      <c r="B5896" t="s">
        <v>7</v>
      </c>
      <c r="C5896" t="s">
        <v>993</v>
      </c>
      <c r="D5896" s="7">
        <f>DATE(2016,11,10)</f>
        <v>42684</v>
      </c>
      <c r="E5896" s="8">
        <f t="shared" si="97"/>
        <v>2016</v>
      </c>
      <c r="F5896" t="s">
        <v>994</v>
      </c>
      <c r="G5896" s="9">
        <v>578.20000000000005</v>
      </c>
      <c r="H5896" s="8">
        <v>23807</v>
      </c>
    </row>
    <row r="5897" spans="2:8" ht="17.5" customHeight="1" x14ac:dyDescent="0.4">
      <c r="B5897" t="s">
        <v>7</v>
      </c>
      <c r="C5897" t="s">
        <v>993</v>
      </c>
      <c r="D5897" s="7">
        <f>DATE(2016,11,16)</f>
        <v>42690</v>
      </c>
      <c r="E5897" s="8">
        <f t="shared" si="97"/>
        <v>2016</v>
      </c>
      <c r="F5897" t="s">
        <v>994</v>
      </c>
      <c r="G5897" s="9">
        <v>3990</v>
      </c>
      <c r="H5897" s="8">
        <v>23849</v>
      </c>
    </row>
    <row r="5898" spans="2:8" ht="17.5" customHeight="1" x14ac:dyDescent="0.4">
      <c r="B5898" t="s">
        <v>7</v>
      </c>
      <c r="C5898" t="s">
        <v>993</v>
      </c>
      <c r="D5898" s="7">
        <f>DATE(2016,11,30)</f>
        <v>42704</v>
      </c>
      <c r="E5898" s="8">
        <f t="shared" si="97"/>
        <v>2016</v>
      </c>
      <c r="F5898" t="s">
        <v>994</v>
      </c>
      <c r="G5898" s="9">
        <v>160.80000000000001</v>
      </c>
      <c r="H5898" s="8">
        <v>23897</v>
      </c>
    </row>
    <row r="5899" spans="2:8" ht="17.5" customHeight="1" x14ac:dyDescent="0.4">
      <c r="B5899" t="s">
        <v>7</v>
      </c>
      <c r="C5899" t="s">
        <v>993</v>
      </c>
      <c r="D5899" s="7">
        <f>DATE(2016,12,7)</f>
        <v>42711</v>
      </c>
      <c r="E5899" s="8">
        <f t="shared" si="97"/>
        <v>2016</v>
      </c>
      <c r="F5899" t="s">
        <v>994</v>
      </c>
      <c r="G5899" s="9">
        <v>249.3</v>
      </c>
      <c r="H5899" s="8">
        <v>23946</v>
      </c>
    </row>
    <row r="5900" spans="2:8" ht="17.5" customHeight="1" x14ac:dyDescent="0.4">
      <c r="B5900" t="s">
        <v>7</v>
      </c>
      <c r="C5900" t="s">
        <v>993</v>
      </c>
      <c r="D5900" s="7">
        <f>DATE(2016,12,13)</f>
        <v>42717</v>
      </c>
      <c r="E5900" s="8">
        <f t="shared" si="97"/>
        <v>2016</v>
      </c>
      <c r="F5900" t="s">
        <v>994</v>
      </c>
      <c r="G5900" s="9">
        <v>32</v>
      </c>
      <c r="H5900" s="8">
        <v>23972</v>
      </c>
    </row>
    <row r="5901" spans="2:8" ht="17.5" customHeight="1" x14ac:dyDescent="0.4">
      <c r="B5901" t="s">
        <v>7</v>
      </c>
      <c r="C5901" t="s">
        <v>993</v>
      </c>
      <c r="D5901" s="7">
        <f>DATE(2016,12,14)</f>
        <v>42718</v>
      </c>
      <c r="E5901" s="8">
        <f t="shared" si="97"/>
        <v>2016</v>
      </c>
      <c r="F5901" t="s">
        <v>994</v>
      </c>
      <c r="G5901" s="9">
        <v>317.33</v>
      </c>
      <c r="H5901" s="8">
        <v>23958</v>
      </c>
    </row>
    <row r="5902" spans="2:8" ht="17.5" customHeight="1" x14ac:dyDescent="0.4">
      <c r="B5902" t="s">
        <v>7</v>
      </c>
      <c r="C5902" t="s">
        <v>993</v>
      </c>
      <c r="D5902" s="7">
        <f>DATE(2016,12,16)</f>
        <v>42720</v>
      </c>
      <c r="E5902" s="8">
        <f t="shared" si="97"/>
        <v>2016</v>
      </c>
      <c r="F5902" t="s">
        <v>994</v>
      </c>
      <c r="G5902" s="9">
        <v>417</v>
      </c>
      <c r="H5902" s="8">
        <v>24009</v>
      </c>
    </row>
    <row r="5903" spans="2:8" ht="17.5" customHeight="1" x14ac:dyDescent="0.4">
      <c r="B5903" t="s">
        <v>7</v>
      </c>
      <c r="C5903" t="s">
        <v>993</v>
      </c>
      <c r="D5903" s="7">
        <f>DATE(2016,12,20)</f>
        <v>42724</v>
      </c>
      <c r="E5903" s="8">
        <f t="shared" si="97"/>
        <v>2016</v>
      </c>
      <c r="F5903" t="s">
        <v>994</v>
      </c>
      <c r="G5903" s="9">
        <v>1966.25</v>
      </c>
      <c r="H5903" s="8">
        <v>24038</v>
      </c>
    </row>
    <row r="5904" spans="2:8" ht="17.5" customHeight="1" x14ac:dyDescent="0.4">
      <c r="B5904" t="s">
        <v>7</v>
      </c>
      <c r="C5904" t="s">
        <v>993</v>
      </c>
      <c r="D5904" s="7">
        <f>DATE(2017,1,16)</f>
        <v>42751</v>
      </c>
      <c r="E5904" s="8">
        <f t="shared" si="97"/>
        <v>2017</v>
      </c>
      <c r="F5904" t="s">
        <v>994</v>
      </c>
      <c r="G5904" s="9">
        <v>202</v>
      </c>
      <c r="H5904" s="8">
        <v>24144</v>
      </c>
    </row>
    <row r="5905" spans="2:8" ht="17.5" customHeight="1" x14ac:dyDescent="0.4">
      <c r="B5905" t="s">
        <v>7</v>
      </c>
      <c r="C5905" t="s">
        <v>993</v>
      </c>
      <c r="D5905" s="7">
        <f>DATE(2017,1,16)</f>
        <v>42751</v>
      </c>
      <c r="E5905" s="8">
        <f t="shared" si="97"/>
        <v>2017</v>
      </c>
      <c r="F5905" t="s">
        <v>994</v>
      </c>
      <c r="G5905" s="9">
        <v>5170.8</v>
      </c>
      <c r="H5905" s="8">
        <v>24075</v>
      </c>
    </row>
    <row r="5906" spans="2:8" ht="17.5" customHeight="1" x14ac:dyDescent="0.4">
      <c r="B5906" t="s">
        <v>7</v>
      </c>
      <c r="C5906" t="s">
        <v>993</v>
      </c>
      <c r="D5906" s="7">
        <f>DATE(2017,1,24)</f>
        <v>42759</v>
      </c>
      <c r="E5906" s="8">
        <f t="shared" si="97"/>
        <v>2017</v>
      </c>
      <c r="F5906" t="s">
        <v>994</v>
      </c>
      <c r="G5906" s="9">
        <v>4881.8</v>
      </c>
      <c r="H5906" s="8">
        <v>24091</v>
      </c>
    </row>
    <row r="5907" spans="2:8" ht="17.5" customHeight="1" x14ac:dyDescent="0.4">
      <c r="B5907" t="s">
        <v>7</v>
      </c>
      <c r="C5907" t="s">
        <v>993</v>
      </c>
      <c r="D5907" s="7">
        <f>DATE(2017,2,13)</f>
        <v>42779</v>
      </c>
      <c r="E5907" s="8">
        <f t="shared" si="97"/>
        <v>2017</v>
      </c>
      <c r="F5907" t="s">
        <v>994</v>
      </c>
      <c r="G5907" s="9">
        <v>8144.5</v>
      </c>
      <c r="H5907" s="8">
        <v>24252</v>
      </c>
    </row>
    <row r="5908" spans="2:8" ht="17.5" customHeight="1" x14ac:dyDescent="0.4">
      <c r="B5908" t="s">
        <v>7</v>
      </c>
      <c r="C5908" t="s">
        <v>993</v>
      </c>
      <c r="D5908" s="7">
        <f>DATE(2017,2,13)</f>
        <v>42779</v>
      </c>
      <c r="E5908" s="8">
        <f t="shared" si="97"/>
        <v>2017</v>
      </c>
      <c r="F5908" t="s">
        <v>994</v>
      </c>
      <c r="G5908" s="9">
        <v>181.5</v>
      </c>
      <c r="H5908" s="8">
        <v>24265</v>
      </c>
    </row>
    <row r="5909" spans="2:8" ht="17.5" customHeight="1" x14ac:dyDescent="0.4">
      <c r="B5909" t="s">
        <v>7</v>
      </c>
      <c r="C5909" t="s">
        <v>993</v>
      </c>
      <c r="D5909" s="7">
        <f>DATE(2017,2,13)</f>
        <v>42779</v>
      </c>
      <c r="E5909" s="8">
        <f t="shared" si="97"/>
        <v>2017</v>
      </c>
      <c r="F5909" t="s">
        <v>994</v>
      </c>
      <c r="G5909" s="9">
        <v>13977.5</v>
      </c>
      <c r="H5909" s="8">
        <v>24266</v>
      </c>
    </row>
    <row r="5910" spans="2:8" ht="17.5" customHeight="1" x14ac:dyDescent="0.4">
      <c r="B5910" t="s">
        <v>7</v>
      </c>
      <c r="C5910" t="s">
        <v>993</v>
      </c>
      <c r="D5910" s="7">
        <f>DATE(2017,2,13)</f>
        <v>42779</v>
      </c>
      <c r="E5910" s="8">
        <f t="shared" si="97"/>
        <v>2017</v>
      </c>
      <c r="F5910" t="s">
        <v>994</v>
      </c>
      <c r="G5910" s="9">
        <v>2506</v>
      </c>
      <c r="H5910" s="8">
        <v>24291</v>
      </c>
    </row>
    <row r="5911" spans="2:8" ht="17.5" customHeight="1" x14ac:dyDescent="0.4">
      <c r="B5911" t="s">
        <v>7</v>
      </c>
      <c r="C5911" t="s">
        <v>993</v>
      </c>
      <c r="D5911" s="7">
        <f>DATE(2017,2,16)</f>
        <v>42782</v>
      </c>
      <c r="E5911" s="8">
        <f t="shared" si="97"/>
        <v>2017</v>
      </c>
      <c r="F5911" t="s">
        <v>994</v>
      </c>
      <c r="G5911" s="9">
        <v>14733.9</v>
      </c>
      <c r="H5911" s="8">
        <v>24188</v>
      </c>
    </row>
    <row r="5912" spans="2:8" ht="17.5" customHeight="1" x14ac:dyDescent="0.4">
      <c r="B5912" t="s">
        <v>7</v>
      </c>
      <c r="C5912" t="s">
        <v>993</v>
      </c>
      <c r="D5912" s="7">
        <f>DATE(2017,2,22)</f>
        <v>42788</v>
      </c>
      <c r="E5912" s="8">
        <f t="shared" si="97"/>
        <v>2017</v>
      </c>
      <c r="F5912" t="s">
        <v>994</v>
      </c>
      <c r="G5912" s="9">
        <v>7443.9</v>
      </c>
      <c r="H5912" s="8">
        <v>24327</v>
      </c>
    </row>
    <row r="5913" spans="2:8" ht="17.5" customHeight="1" x14ac:dyDescent="0.4">
      <c r="B5913" t="s">
        <v>7</v>
      </c>
      <c r="C5913" t="s">
        <v>993</v>
      </c>
      <c r="D5913" s="7">
        <f>DATE(2017,2,27)</f>
        <v>42793</v>
      </c>
      <c r="E5913" s="8">
        <f t="shared" si="97"/>
        <v>2017</v>
      </c>
      <c r="F5913" t="s">
        <v>994</v>
      </c>
      <c r="G5913" s="9">
        <v>2187</v>
      </c>
      <c r="H5913" s="8">
        <v>24362</v>
      </c>
    </row>
    <row r="5914" spans="2:8" ht="17.5" customHeight="1" x14ac:dyDescent="0.4">
      <c r="B5914" t="s">
        <v>7</v>
      </c>
      <c r="C5914" t="s">
        <v>993</v>
      </c>
      <c r="D5914" s="7">
        <f>DATE(2017,2,28)</f>
        <v>42794</v>
      </c>
      <c r="E5914" s="8">
        <f t="shared" si="97"/>
        <v>2017</v>
      </c>
      <c r="F5914" t="s">
        <v>994</v>
      </c>
      <c r="G5914" s="9">
        <v>2792.4</v>
      </c>
      <c r="H5914" s="8">
        <v>24397</v>
      </c>
    </row>
    <row r="5915" spans="2:8" ht="17.5" customHeight="1" x14ac:dyDescent="0.4">
      <c r="B5915" t="s">
        <v>7</v>
      </c>
      <c r="C5915" t="s">
        <v>993</v>
      </c>
      <c r="D5915" s="7">
        <f>DATE(2017,3,6)</f>
        <v>42800</v>
      </c>
      <c r="E5915" s="8">
        <f t="shared" si="97"/>
        <v>2017</v>
      </c>
      <c r="F5915" t="s">
        <v>994</v>
      </c>
      <c r="G5915" s="9">
        <v>1525</v>
      </c>
      <c r="H5915" s="8">
        <v>24453</v>
      </c>
    </row>
    <row r="5916" spans="2:8" ht="17.5" customHeight="1" x14ac:dyDescent="0.4">
      <c r="B5916" t="s">
        <v>7</v>
      </c>
      <c r="C5916" t="s">
        <v>993</v>
      </c>
      <c r="D5916" s="7">
        <f>DATE(2017,3,8)</f>
        <v>42802</v>
      </c>
      <c r="E5916" s="8">
        <f t="shared" si="97"/>
        <v>2017</v>
      </c>
      <c r="F5916" t="s">
        <v>994</v>
      </c>
      <c r="G5916" s="9">
        <v>11527.16</v>
      </c>
      <c r="H5916" s="8">
        <v>24169</v>
      </c>
    </row>
    <row r="5917" spans="2:8" ht="17.5" customHeight="1" x14ac:dyDescent="0.4">
      <c r="B5917" t="s">
        <v>7</v>
      </c>
      <c r="C5917" t="s">
        <v>993</v>
      </c>
      <c r="D5917" s="7">
        <f>DATE(2017,3,9)</f>
        <v>42803</v>
      </c>
      <c r="E5917" s="8">
        <f t="shared" si="97"/>
        <v>2017</v>
      </c>
      <c r="F5917" t="s">
        <v>994</v>
      </c>
      <c r="G5917" s="9">
        <v>4590</v>
      </c>
      <c r="H5917" s="8">
        <v>24483</v>
      </c>
    </row>
    <row r="5918" spans="2:8" ht="17.5" customHeight="1" x14ac:dyDescent="0.4">
      <c r="B5918" t="s">
        <v>7</v>
      </c>
      <c r="C5918" t="s">
        <v>993</v>
      </c>
      <c r="D5918" s="7">
        <f>DATE(2017,3,13)</f>
        <v>42807</v>
      </c>
      <c r="E5918" s="8">
        <f t="shared" si="97"/>
        <v>2017</v>
      </c>
      <c r="F5918" t="s">
        <v>994</v>
      </c>
      <c r="G5918" s="9">
        <v>150</v>
      </c>
      <c r="H5918" s="8">
        <v>24532</v>
      </c>
    </row>
    <row r="5919" spans="2:8" ht="17.5" customHeight="1" x14ac:dyDescent="0.4">
      <c r="B5919" t="s">
        <v>7</v>
      </c>
      <c r="C5919" t="s">
        <v>993</v>
      </c>
      <c r="D5919" s="7">
        <f>DATE(2017,3,17)</f>
        <v>42811</v>
      </c>
      <c r="E5919" s="8">
        <f t="shared" si="97"/>
        <v>2017</v>
      </c>
      <c r="F5919" t="s">
        <v>994</v>
      </c>
      <c r="G5919" s="9">
        <v>3182.4</v>
      </c>
      <c r="H5919" s="8">
        <v>24559</v>
      </c>
    </row>
    <row r="5920" spans="2:8" ht="17.5" customHeight="1" x14ac:dyDescent="0.4">
      <c r="B5920" t="s">
        <v>7</v>
      </c>
      <c r="C5920" t="s">
        <v>993</v>
      </c>
      <c r="D5920" s="7">
        <f>DATE(2017,3,17)</f>
        <v>42811</v>
      </c>
      <c r="E5920" s="8">
        <f t="shared" si="97"/>
        <v>2017</v>
      </c>
      <c r="F5920" t="s">
        <v>994</v>
      </c>
      <c r="G5920" s="9">
        <v>1981.72</v>
      </c>
      <c r="H5920" s="8">
        <v>24536</v>
      </c>
    </row>
    <row r="5921" spans="2:8" ht="17.5" customHeight="1" x14ac:dyDescent="0.4">
      <c r="B5921" t="s">
        <v>7</v>
      </c>
      <c r="C5921" t="s">
        <v>993</v>
      </c>
      <c r="D5921" s="7">
        <f>DATE(2017,3,21)</f>
        <v>42815</v>
      </c>
      <c r="E5921" s="8">
        <f t="shared" si="97"/>
        <v>2017</v>
      </c>
      <c r="F5921" t="s">
        <v>994</v>
      </c>
      <c r="G5921" s="9">
        <v>22916</v>
      </c>
      <c r="H5921" s="8">
        <v>24549</v>
      </c>
    </row>
    <row r="5922" spans="2:8" ht="17.5" customHeight="1" x14ac:dyDescent="0.4">
      <c r="B5922" t="s">
        <v>7</v>
      </c>
      <c r="C5922" t="s">
        <v>993</v>
      </c>
      <c r="D5922" s="7">
        <f>DATE(2017,3,22)</f>
        <v>42816</v>
      </c>
      <c r="E5922" s="8">
        <f t="shared" si="97"/>
        <v>2017</v>
      </c>
      <c r="F5922" t="s">
        <v>994</v>
      </c>
      <c r="G5922" s="9">
        <v>417</v>
      </c>
      <c r="H5922" s="8">
        <v>24583</v>
      </c>
    </row>
    <row r="5923" spans="2:8" ht="17.5" customHeight="1" x14ac:dyDescent="0.4">
      <c r="B5923" t="s">
        <v>7</v>
      </c>
      <c r="C5923" t="s">
        <v>993</v>
      </c>
      <c r="D5923" s="7">
        <f>DATE(2017,3,22)</f>
        <v>42816</v>
      </c>
      <c r="E5923" s="8">
        <f t="shared" si="97"/>
        <v>2017</v>
      </c>
      <c r="F5923" t="s">
        <v>994</v>
      </c>
      <c r="G5923" s="9">
        <v>3000</v>
      </c>
      <c r="H5923" s="8">
        <v>24576</v>
      </c>
    </row>
    <row r="5924" spans="2:8" ht="17.5" customHeight="1" x14ac:dyDescent="0.4">
      <c r="B5924" t="s">
        <v>7</v>
      </c>
      <c r="C5924" t="s">
        <v>993</v>
      </c>
      <c r="D5924" s="7">
        <f>DATE(2017,3,24)</f>
        <v>42818</v>
      </c>
      <c r="E5924" s="8">
        <f t="shared" si="97"/>
        <v>2017</v>
      </c>
      <c r="F5924" t="s">
        <v>994</v>
      </c>
      <c r="G5924" s="9">
        <v>2420</v>
      </c>
      <c r="H5924" s="8">
        <v>24618</v>
      </c>
    </row>
    <row r="5925" spans="2:8" ht="17.5" customHeight="1" x14ac:dyDescent="0.4">
      <c r="B5925" t="s">
        <v>7</v>
      </c>
      <c r="C5925" t="s">
        <v>993</v>
      </c>
      <c r="D5925" s="7">
        <f>DATE(2017,3,28)</f>
        <v>42822</v>
      </c>
      <c r="E5925" s="8">
        <f t="shared" si="97"/>
        <v>2017</v>
      </c>
      <c r="F5925" t="s">
        <v>994</v>
      </c>
      <c r="G5925" s="9">
        <v>388.62</v>
      </c>
      <c r="H5925" s="8">
        <v>24649</v>
      </c>
    </row>
    <row r="5926" spans="2:8" ht="17.5" customHeight="1" x14ac:dyDescent="0.4">
      <c r="B5926" t="s">
        <v>7</v>
      </c>
      <c r="C5926" t="s">
        <v>993</v>
      </c>
      <c r="D5926" s="7">
        <f>DATE(2017,3,29)</f>
        <v>42823</v>
      </c>
      <c r="E5926" s="8">
        <f t="shared" si="97"/>
        <v>2017</v>
      </c>
      <c r="F5926" t="s">
        <v>994</v>
      </c>
      <c r="G5926" s="9">
        <v>3672</v>
      </c>
      <c r="H5926" s="8">
        <v>24663</v>
      </c>
    </row>
    <row r="5927" spans="2:8" ht="17.5" customHeight="1" x14ac:dyDescent="0.4">
      <c r="B5927" t="s">
        <v>7</v>
      </c>
      <c r="C5927" t="s">
        <v>993</v>
      </c>
      <c r="D5927" s="7">
        <f>DATE(2017,4,7)</f>
        <v>42832</v>
      </c>
      <c r="E5927" s="8">
        <f t="shared" si="97"/>
        <v>2017</v>
      </c>
      <c r="F5927" t="s">
        <v>994</v>
      </c>
      <c r="G5927" s="9">
        <v>1530</v>
      </c>
      <c r="H5927" s="8">
        <v>24719</v>
      </c>
    </row>
    <row r="5928" spans="2:8" ht="17.5" customHeight="1" x14ac:dyDescent="0.4">
      <c r="B5928" t="s">
        <v>7</v>
      </c>
      <c r="C5928" t="s">
        <v>993</v>
      </c>
      <c r="D5928" s="7">
        <f>DATE(2017,4,12)</f>
        <v>42837</v>
      </c>
      <c r="E5928" s="8">
        <f t="shared" si="97"/>
        <v>2017</v>
      </c>
      <c r="F5928" t="s">
        <v>994</v>
      </c>
      <c r="G5928" s="9">
        <v>4590</v>
      </c>
      <c r="H5928" s="8">
        <v>24711</v>
      </c>
    </row>
    <row r="5929" spans="2:8" ht="17.5" customHeight="1" x14ac:dyDescent="0.4">
      <c r="B5929" t="s">
        <v>7</v>
      </c>
      <c r="C5929" t="s">
        <v>993</v>
      </c>
      <c r="D5929" s="7">
        <f>DATE(2017,4,12)</f>
        <v>42837</v>
      </c>
      <c r="E5929" s="8">
        <f t="shared" si="97"/>
        <v>2017</v>
      </c>
      <c r="F5929" t="s">
        <v>994</v>
      </c>
      <c r="G5929" s="9">
        <v>1315.8</v>
      </c>
      <c r="H5929" s="8">
        <v>24766</v>
      </c>
    </row>
    <row r="5930" spans="2:8" ht="17.5" customHeight="1" x14ac:dyDescent="0.4">
      <c r="B5930" t="s">
        <v>7</v>
      </c>
      <c r="C5930" t="s">
        <v>993</v>
      </c>
      <c r="D5930" s="7">
        <f>DATE(2017,4,12)</f>
        <v>42837</v>
      </c>
      <c r="E5930" s="8">
        <f t="shared" si="97"/>
        <v>2017</v>
      </c>
      <c r="F5930" t="s">
        <v>994</v>
      </c>
      <c r="G5930" s="9">
        <v>1530</v>
      </c>
      <c r="H5930" s="8">
        <v>24765</v>
      </c>
    </row>
    <row r="5931" spans="2:8" ht="17.5" customHeight="1" x14ac:dyDescent="0.4">
      <c r="B5931" t="s">
        <v>7</v>
      </c>
      <c r="C5931" t="s">
        <v>993</v>
      </c>
      <c r="D5931" s="7">
        <f>DATE(2017,4,13)</f>
        <v>42838</v>
      </c>
      <c r="E5931" s="8">
        <f t="shared" si="97"/>
        <v>2017</v>
      </c>
      <c r="F5931" t="s">
        <v>994</v>
      </c>
      <c r="G5931" s="9">
        <v>74650</v>
      </c>
      <c r="H5931" s="8">
        <v>24651</v>
      </c>
    </row>
    <row r="5932" spans="2:8" ht="17.5" customHeight="1" x14ac:dyDescent="0.4">
      <c r="B5932" t="s">
        <v>7</v>
      </c>
      <c r="C5932" t="s">
        <v>993</v>
      </c>
      <c r="D5932" s="7">
        <f>DATE(2017,4,17)</f>
        <v>42842</v>
      </c>
      <c r="E5932" s="8">
        <f t="shared" si="97"/>
        <v>2017</v>
      </c>
      <c r="F5932" t="s">
        <v>994</v>
      </c>
      <c r="G5932" s="9">
        <v>667.2</v>
      </c>
      <c r="H5932" s="8">
        <v>24731</v>
      </c>
    </row>
    <row r="5933" spans="2:8" ht="17.5" customHeight="1" x14ac:dyDescent="0.4">
      <c r="B5933" t="s">
        <v>7</v>
      </c>
      <c r="C5933" t="s">
        <v>993</v>
      </c>
      <c r="D5933" s="7">
        <f>DATE(2017,4,19)</f>
        <v>42844</v>
      </c>
      <c r="E5933" s="8">
        <f t="shared" si="97"/>
        <v>2017</v>
      </c>
      <c r="F5933" t="s">
        <v>994</v>
      </c>
      <c r="G5933" s="9">
        <v>2754</v>
      </c>
      <c r="H5933" s="8">
        <v>24804</v>
      </c>
    </row>
    <row r="5934" spans="2:8" ht="17.5" customHeight="1" x14ac:dyDescent="0.4">
      <c r="B5934" t="s">
        <v>7</v>
      </c>
      <c r="C5934" t="s">
        <v>993</v>
      </c>
      <c r="D5934" s="7">
        <f>DATE(2017,4,19)</f>
        <v>42844</v>
      </c>
      <c r="E5934" s="8">
        <f t="shared" si="97"/>
        <v>2017</v>
      </c>
      <c r="F5934" t="s">
        <v>994</v>
      </c>
      <c r="G5934" s="9">
        <v>3366</v>
      </c>
      <c r="H5934" s="8">
        <v>24797</v>
      </c>
    </row>
    <row r="5935" spans="2:8" ht="17.5" customHeight="1" x14ac:dyDescent="0.4">
      <c r="B5935" t="s">
        <v>7</v>
      </c>
      <c r="C5935" t="s">
        <v>993</v>
      </c>
      <c r="D5935" s="7">
        <f>DATE(2017,4,21)</f>
        <v>42846</v>
      </c>
      <c r="E5935" s="8">
        <f t="shared" si="97"/>
        <v>2017</v>
      </c>
      <c r="F5935" t="s">
        <v>994</v>
      </c>
      <c r="G5935" s="9">
        <v>2299</v>
      </c>
      <c r="H5935" s="8">
        <v>24717</v>
      </c>
    </row>
    <row r="5936" spans="2:8" ht="17.5" customHeight="1" x14ac:dyDescent="0.4">
      <c r="B5936" t="s">
        <v>7</v>
      </c>
      <c r="C5936" t="s">
        <v>993</v>
      </c>
      <c r="D5936" s="7">
        <f>DATE(2017,4,25)</f>
        <v>42850</v>
      </c>
      <c r="E5936" s="8">
        <f t="shared" si="97"/>
        <v>2017</v>
      </c>
      <c r="F5936" t="s">
        <v>994</v>
      </c>
      <c r="G5936" s="9">
        <v>4131</v>
      </c>
      <c r="H5936" s="8">
        <v>24730</v>
      </c>
    </row>
    <row r="5937" spans="2:8" ht="17.5" customHeight="1" x14ac:dyDescent="0.4">
      <c r="B5937" t="s">
        <v>7</v>
      </c>
      <c r="C5937" t="s">
        <v>993</v>
      </c>
      <c r="D5937" s="7">
        <f>DATE(2017,4,25)</f>
        <v>42850</v>
      </c>
      <c r="E5937" s="8">
        <f t="shared" si="97"/>
        <v>2017</v>
      </c>
      <c r="F5937" t="s">
        <v>994</v>
      </c>
      <c r="G5937" s="9">
        <v>250</v>
      </c>
      <c r="H5937" s="8">
        <v>24827</v>
      </c>
    </row>
    <row r="5938" spans="2:8" ht="17.5" customHeight="1" x14ac:dyDescent="0.4">
      <c r="B5938" t="s">
        <v>7</v>
      </c>
      <c r="C5938" t="s">
        <v>993</v>
      </c>
      <c r="D5938" s="7">
        <f>DATE(2017,4,25)</f>
        <v>42850</v>
      </c>
      <c r="E5938" s="8">
        <f t="shared" si="97"/>
        <v>2017</v>
      </c>
      <c r="F5938" t="s">
        <v>994</v>
      </c>
      <c r="G5938" s="9">
        <v>805</v>
      </c>
      <c r="H5938" s="8">
        <v>24826</v>
      </c>
    </row>
    <row r="5939" spans="2:8" ht="17.5" customHeight="1" x14ac:dyDescent="0.4">
      <c r="B5939" t="s">
        <v>7</v>
      </c>
      <c r="C5939" t="s">
        <v>993</v>
      </c>
      <c r="D5939" s="7">
        <f>DATE(2017,4,26)</f>
        <v>42851</v>
      </c>
      <c r="E5939" s="8">
        <f t="shared" si="97"/>
        <v>2017</v>
      </c>
      <c r="F5939" t="s">
        <v>994</v>
      </c>
      <c r="G5939" s="9">
        <v>788</v>
      </c>
      <c r="H5939" s="8">
        <v>24835</v>
      </c>
    </row>
    <row r="5940" spans="2:8" ht="17.5" customHeight="1" x14ac:dyDescent="0.4">
      <c r="B5940" t="s">
        <v>7</v>
      </c>
      <c r="C5940" t="s">
        <v>993</v>
      </c>
      <c r="D5940" s="7">
        <f>DATE(2017,4,28)</f>
        <v>42853</v>
      </c>
      <c r="E5940" s="8">
        <f t="shared" si="97"/>
        <v>2017</v>
      </c>
      <c r="F5940" t="s">
        <v>994</v>
      </c>
      <c r="G5940" s="9">
        <v>1805.4</v>
      </c>
      <c r="H5940" s="8">
        <v>24853</v>
      </c>
    </row>
    <row r="5941" spans="2:8" ht="17.5" customHeight="1" x14ac:dyDescent="0.4">
      <c r="B5941" t="s">
        <v>7</v>
      </c>
      <c r="C5941" t="s">
        <v>993</v>
      </c>
      <c r="D5941" s="7">
        <f>DATE(2017,5,1)</f>
        <v>42856</v>
      </c>
      <c r="E5941" s="8">
        <f t="shared" si="97"/>
        <v>2017</v>
      </c>
      <c r="F5941" t="s">
        <v>994</v>
      </c>
      <c r="G5941" s="9">
        <v>612</v>
      </c>
      <c r="H5941" s="8">
        <v>24854</v>
      </c>
    </row>
    <row r="5942" spans="2:8" ht="17.5" customHeight="1" x14ac:dyDescent="0.4">
      <c r="B5942" t="s">
        <v>7</v>
      </c>
      <c r="C5942" t="s">
        <v>993</v>
      </c>
      <c r="D5942" s="7">
        <f>DATE(2017,5,2)</f>
        <v>42857</v>
      </c>
      <c r="E5942" s="8">
        <f t="shared" si="97"/>
        <v>2017</v>
      </c>
      <c r="F5942" t="s">
        <v>994</v>
      </c>
      <c r="G5942" s="9">
        <v>244.8</v>
      </c>
      <c r="H5942" s="8">
        <v>24870</v>
      </c>
    </row>
    <row r="5943" spans="2:8" ht="17.5" customHeight="1" x14ac:dyDescent="0.4">
      <c r="B5943" t="s">
        <v>7</v>
      </c>
      <c r="C5943" t="s">
        <v>993</v>
      </c>
      <c r="D5943" s="7">
        <f>DATE(2017,5,3)</f>
        <v>42858</v>
      </c>
      <c r="E5943" s="8">
        <f t="shared" si="97"/>
        <v>2017</v>
      </c>
      <c r="F5943" t="s">
        <v>994</v>
      </c>
      <c r="G5943" s="9">
        <v>1359.15</v>
      </c>
      <c r="H5943" s="8">
        <v>24829</v>
      </c>
    </row>
    <row r="5944" spans="2:8" ht="17.5" customHeight="1" x14ac:dyDescent="0.4">
      <c r="B5944" t="s">
        <v>7</v>
      </c>
      <c r="C5944" t="s">
        <v>993</v>
      </c>
      <c r="D5944" s="7">
        <f>DATE(2017,5,5)</f>
        <v>42860</v>
      </c>
      <c r="E5944" s="8">
        <f t="shared" si="97"/>
        <v>2017</v>
      </c>
      <c r="F5944" t="s">
        <v>994</v>
      </c>
      <c r="G5944" s="9">
        <v>177.9</v>
      </c>
      <c r="H5944" s="8">
        <v>24887</v>
      </c>
    </row>
    <row r="5945" spans="2:8" ht="17.5" customHeight="1" x14ac:dyDescent="0.4">
      <c r="B5945" t="s">
        <v>7</v>
      </c>
      <c r="C5945" t="s">
        <v>993</v>
      </c>
      <c r="D5945" s="7">
        <f>DATE(2017,5,5)</f>
        <v>42860</v>
      </c>
      <c r="E5945" s="8">
        <f t="shared" si="97"/>
        <v>2017</v>
      </c>
      <c r="F5945" t="s">
        <v>994</v>
      </c>
      <c r="G5945" s="9">
        <v>3179.85</v>
      </c>
      <c r="H5945" s="8">
        <v>24895</v>
      </c>
    </row>
    <row r="5946" spans="2:8" ht="17.5" customHeight="1" x14ac:dyDescent="0.4">
      <c r="B5946" t="s">
        <v>7</v>
      </c>
      <c r="C5946" t="s">
        <v>993</v>
      </c>
      <c r="D5946" s="7">
        <f>DATE(2017,5,11)</f>
        <v>42866</v>
      </c>
      <c r="E5946" s="8">
        <f t="shared" si="97"/>
        <v>2017</v>
      </c>
      <c r="F5946" t="s">
        <v>994</v>
      </c>
      <c r="G5946" s="9">
        <v>3519</v>
      </c>
      <c r="H5946" s="8">
        <v>24900</v>
      </c>
    </row>
    <row r="5947" spans="2:8" ht="17.5" customHeight="1" x14ac:dyDescent="0.4">
      <c r="B5947" t="s">
        <v>7</v>
      </c>
      <c r="C5947" t="s">
        <v>993</v>
      </c>
      <c r="D5947" s="7">
        <f>DATE(2017,5,12)</f>
        <v>42867</v>
      </c>
      <c r="E5947" s="8">
        <f t="shared" si="97"/>
        <v>2017</v>
      </c>
      <c r="F5947" t="s">
        <v>994</v>
      </c>
      <c r="G5947" s="9">
        <v>5524.8</v>
      </c>
      <c r="H5947" s="8">
        <v>24901</v>
      </c>
    </row>
    <row r="5948" spans="2:8" ht="17.5" customHeight="1" x14ac:dyDescent="0.4">
      <c r="B5948" t="s">
        <v>7</v>
      </c>
      <c r="C5948" t="s">
        <v>993</v>
      </c>
      <c r="D5948" s="7">
        <f>DATE(2017,5,15)</f>
        <v>42870</v>
      </c>
      <c r="E5948" s="8">
        <f t="shared" si="97"/>
        <v>2017</v>
      </c>
      <c r="F5948" t="s">
        <v>994</v>
      </c>
      <c r="G5948" s="9">
        <v>2796</v>
      </c>
      <c r="H5948" s="8">
        <v>24927</v>
      </c>
    </row>
    <row r="5949" spans="2:8" ht="17.5" customHeight="1" x14ac:dyDescent="0.4">
      <c r="B5949" t="s">
        <v>7</v>
      </c>
      <c r="C5949" t="s">
        <v>993</v>
      </c>
      <c r="D5949" s="7">
        <f>DATE(2017,5,15)</f>
        <v>42870</v>
      </c>
      <c r="E5949" s="8">
        <f t="shared" si="97"/>
        <v>2017</v>
      </c>
      <c r="F5949" t="s">
        <v>994</v>
      </c>
      <c r="G5949" s="9">
        <v>5568</v>
      </c>
      <c r="H5949" s="8">
        <v>24915</v>
      </c>
    </row>
    <row r="5950" spans="2:8" ht="17.5" customHeight="1" x14ac:dyDescent="0.4">
      <c r="B5950" t="s">
        <v>7</v>
      </c>
      <c r="C5950" t="s">
        <v>993</v>
      </c>
      <c r="D5950" s="7">
        <f>DATE(2017,5,16)</f>
        <v>42871</v>
      </c>
      <c r="E5950" s="8">
        <f t="shared" si="97"/>
        <v>2017</v>
      </c>
      <c r="F5950" t="s">
        <v>994</v>
      </c>
      <c r="G5950" s="9">
        <v>21.6</v>
      </c>
      <c r="H5950" s="8">
        <v>24957</v>
      </c>
    </row>
    <row r="5951" spans="2:8" ht="17.5" customHeight="1" x14ac:dyDescent="0.4">
      <c r="B5951" t="s">
        <v>7</v>
      </c>
      <c r="C5951" t="s">
        <v>993</v>
      </c>
      <c r="D5951" s="7">
        <f>DATE(2017,5,17)</f>
        <v>42872</v>
      </c>
      <c r="E5951" s="8">
        <f t="shared" si="97"/>
        <v>2017</v>
      </c>
      <c r="F5951" t="s">
        <v>994</v>
      </c>
      <c r="G5951" s="9">
        <v>286.88</v>
      </c>
      <c r="H5951" s="8">
        <v>24830</v>
      </c>
    </row>
    <row r="5952" spans="2:8" ht="17.5" customHeight="1" x14ac:dyDescent="0.4">
      <c r="B5952" t="s">
        <v>7</v>
      </c>
      <c r="C5952" t="s">
        <v>993</v>
      </c>
      <c r="D5952" s="7">
        <f>DATE(2017,5,17)</f>
        <v>42872</v>
      </c>
      <c r="E5952" s="8">
        <f t="shared" si="97"/>
        <v>2017</v>
      </c>
      <c r="F5952" t="s">
        <v>994</v>
      </c>
      <c r="G5952" s="9">
        <v>3062.78</v>
      </c>
      <c r="H5952" s="8">
        <v>24875</v>
      </c>
    </row>
    <row r="5953" spans="2:8" ht="17.5" customHeight="1" x14ac:dyDescent="0.4">
      <c r="B5953" t="s">
        <v>7</v>
      </c>
      <c r="C5953" t="s">
        <v>993</v>
      </c>
      <c r="D5953" s="7">
        <f>DATE(2017,5,22)</f>
        <v>42877</v>
      </c>
      <c r="E5953" s="8">
        <f t="shared" si="97"/>
        <v>2017</v>
      </c>
      <c r="F5953" t="s">
        <v>994</v>
      </c>
      <c r="G5953" s="9">
        <v>3616.75</v>
      </c>
      <c r="H5953" s="8">
        <v>24992</v>
      </c>
    </row>
    <row r="5954" spans="2:8" ht="17.5" customHeight="1" x14ac:dyDescent="0.4">
      <c r="B5954" t="s">
        <v>7</v>
      </c>
      <c r="C5954" t="s">
        <v>993</v>
      </c>
      <c r="D5954" s="7">
        <f>DATE(2017,5,23)</f>
        <v>42878</v>
      </c>
      <c r="E5954" s="8">
        <f t="shared" si="97"/>
        <v>2017</v>
      </c>
      <c r="F5954" t="s">
        <v>994</v>
      </c>
      <c r="G5954" s="9">
        <v>1664.64</v>
      </c>
      <c r="H5954" s="8">
        <v>24993</v>
      </c>
    </row>
    <row r="5955" spans="2:8" ht="17.5" customHeight="1" x14ac:dyDescent="0.4">
      <c r="B5955" t="s">
        <v>7</v>
      </c>
      <c r="C5955" t="s">
        <v>993</v>
      </c>
      <c r="D5955" s="7">
        <f>DATE(2017,5,24)</f>
        <v>42879</v>
      </c>
      <c r="E5955" s="8">
        <f t="shared" ref="E5955:E6018" si="98">YEAR(D5955)</f>
        <v>2017</v>
      </c>
      <c r="F5955" t="s">
        <v>994</v>
      </c>
      <c r="G5955" s="9">
        <v>920</v>
      </c>
      <c r="H5955" s="8">
        <v>24988</v>
      </c>
    </row>
    <row r="5956" spans="2:8" ht="17.5" customHeight="1" x14ac:dyDescent="0.4">
      <c r="B5956" t="s">
        <v>7</v>
      </c>
      <c r="C5956" t="s">
        <v>993</v>
      </c>
      <c r="D5956" s="7">
        <f>DATE(2017,5,30)</f>
        <v>42885</v>
      </c>
      <c r="E5956" s="8">
        <f t="shared" si="98"/>
        <v>2017</v>
      </c>
      <c r="F5956" t="s">
        <v>994</v>
      </c>
      <c r="G5956" s="9">
        <v>3388</v>
      </c>
      <c r="H5956" s="8">
        <v>25028</v>
      </c>
    </row>
    <row r="5957" spans="2:8" ht="17.5" customHeight="1" x14ac:dyDescent="0.4">
      <c r="B5957" t="s">
        <v>7</v>
      </c>
      <c r="C5957" t="s">
        <v>993</v>
      </c>
      <c r="D5957" s="7">
        <f>DATE(2017,5,30)</f>
        <v>42885</v>
      </c>
      <c r="E5957" s="8">
        <f t="shared" si="98"/>
        <v>2017</v>
      </c>
      <c r="F5957" t="s">
        <v>994</v>
      </c>
      <c r="G5957" s="9">
        <v>7726.5</v>
      </c>
      <c r="H5957" s="8">
        <v>25037</v>
      </c>
    </row>
    <row r="5958" spans="2:8" ht="17.5" customHeight="1" x14ac:dyDescent="0.4">
      <c r="B5958" t="s">
        <v>7</v>
      </c>
      <c r="C5958" t="s">
        <v>993</v>
      </c>
      <c r="D5958" s="7">
        <f>DATE(2017,6,1)</f>
        <v>42887</v>
      </c>
      <c r="E5958" s="8">
        <f t="shared" si="98"/>
        <v>2017</v>
      </c>
      <c r="F5958" t="s">
        <v>994</v>
      </c>
      <c r="G5958" s="9">
        <v>701.88</v>
      </c>
      <c r="H5958" s="8">
        <v>25030</v>
      </c>
    </row>
    <row r="5959" spans="2:8" ht="17.5" customHeight="1" x14ac:dyDescent="0.4">
      <c r="B5959" t="s">
        <v>7</v>
      </c>
      <c r="C5959" t="s">
        <v>993</v>
      </c>
      <c r="D5959" s="7">
        <f>DATE(2017,6,2)</f>
        <v>42888</v>
      </c>
      <c r="E5959" s="8">
        <f t="shared" si="98"/>
        <v>2017</v>
      </c>
      <c r="F5959" t="s">
        <v>994</v>
      </c>
      <c r="G5959" s="9">
        <v>1012.5</v>
      </c>
      <c r="H5959" s="8">
        <v>25054</v>
      </c>
    </row>
    <row r="5960" spans="2:8" ht="17.5" customHeight="1" x14ac:dyDescent="0.4">
      <c r="B5960" t="s">
        <v>7</v>
      </c>
      <c r="C5960" t="s">
        <v>993</v>
      </c>
      <c r="D5960" s="7">
        <f>DATE(2017,6,13)</f>
        <v>42899</v>
      </c>
      <c r="E5960" s="8">
        <f t="shared" si="98"/>
        <v>2017</v>
      </c>
      <c r="F5960" t="s">
        <v>994</v>
      </c>
      <c r="G5960" s="9">
        <v>805</v>
      </c>
      <c r="H5960" s="8">
        <v>25103</v>
      </c>
    </row>
    <row r="5961" spans="2:8" ht="17.5" customHeight="1" x14ac:dyDescent="0.4">
      <c r="B5961" t="s">
        <v>7</v>
      </c>
      <c r="C5961" t="s">
        <v>993</v>
      </c>
      <c r="D5961" s="7">
        <f>DATE(2017,6,14)</f>
        <v>42900</v>
      </c>
      <c r="E5961" s="8">
        <f t="shared" si="98"/>
        <v>2017</v>
      </c>
      <c r="F5961" t="s">
        <v>994</v>
      </c>
      <c r="G5961" s="9">
        <v>1805.4</v>
      </c>
      <c r="H5961" s="8">
        <v>25108</v>
      </c>
    </row>
    <row r="5962" spans="2:8" ht="17.5" customHeight="1" x14ac:dyDescent="0.4">
      <c r="B5962" t="s">
        <v>7</v>
      </c>
      <c r="C5962" t="s">
        <v>993</v>
      </c>
      <c r="D5962" s="7">
        <f>DATE(2017,6,15)</f>
        <v>42901</v>
      </c>
      <c r="E5962" s="8">
        <f t="shared" si="98"/>
        <v>2017</v>
      </c>
      <c r="F5962" t="s">
        <v>994</v>
      </c>
      <c r="G5962" s="9">
        <v>895</v>
      </c>
      <c r="H5962" s="8">
        <v>25083</v>
      </c>
    </row>
    <row r="5963" spans="2:8" ht="17.5" customHeight="1" x14ac:dyDescent="0.4">
      <c r="B5963" t="s">
        <v>7</v>
      </c>
      <c r="C5963" t="s">
        <v>993</v>
      </c>
      <c r="D5963" s="7">
        <f>DATE(2017,6,27)</f>
        <v>42913</v>
      </c>
      <c r="E5963" s="8">
        <f t="shared" si="98"/>
        <v>2017</v>
      </c>
      <c r="F5963" t="s">
        <v>994</v>
      </c>
      <c r="G5963" s="9">
        <v>391</v>
      </c>
      <c r="H5963" s="8">
        <v>25184</v>
      </c>
    </row>
    <row r="5964" spans="2:8" ht="17.5" customHeight="1" x14ac:dyDescent="0.4">
      <c r="B5964" t="s">
        <v>7</v>
      </c>
      <c r="C5964" t="s">
        <v>993</v>
      </c>
      <c r="D5964" s="7">
        <f>DATE(2017,7,3)</f>
        <v>42919</v>
      </c>
      <c r="E5964" s="8">
        <f t="shared" si="98"/>
        <v>2017</v>
      </c>
      <c r="F5964" t="s">
        <v>994</v>
      </c>
      <c r="G5964" s="9">
        <v>249.3</v>
      </c>
      <c r="H5964" s="8">
        <v>25207</v>
      </c>
    </row>
    <row r="5965" spans="2:8" ht="17.5" customHeight="1" x14ac:dyDescent="0.4">
      <c r="B5965" t="s">
        <v>7</v>
      </c>
      <c r="C5965" t="s">
        <v>993</v>
      </c>
      <c r="D5965" s="7">
        <f>DATE(2017,7,11)</f>
        <v>42927</v>
      </c>
      <c r="E5965" s="8">
        <f t="shared" si="98"/>
        <v>2017</v>
      </c>
      <c r="F5965" t="s">
        <v>994</v>
      </c>
      <c r="G5965" s="9">
        <v>38188.800000000003</v>
      </c>
      <c r="H5965" s="8">
        <v>25208</v>
      </c>
    </row>
    <row r="5966" spans="2:8" ht="17.5" customHeight="1" x14ac:dyDescent="0.4">
      <c r="B5966" t="s">
        <v>7</v>
      </c>
      <c r="C5966" t="s">
        <v>993</v>
      </c>
      <c r="D5966" s="7">
        <f>DATE(2017,7,13)</f>
        <v>42929</v>
      </c>
      <c r="E5966" s="8">
        <f t="shared" si="98"/>
        <v>2017</v>
      </c>
      <c r="F5966" t="s">
        <v>994</v>
      </c>
      <c r="G5966" s="9">
        <v>398.5</v>
      </c>
      <c r="H5966" s="8">
        <v>25176</v>
      </c>
    </row>
    <row r="5967" spans="2:8" ht="17.5" customHeight="1" x14ac:dyDescent="0.4">
      <c r="B5967" t="s">
        <v>7</v>
      </c>
      <c r="C5967" t="s">
        <v>993</v>
      </c>
      <c r="D5967" s="7">
        <f>DATE(2017,7,18)</f>
        <v>42934</v>
      </c>
      <c r="E5967" s="8">
        <f t="shared" si="98"/>
        <v>2017</v>
      </c>
      <c r="F5967" t="s">
        <v>994</v>
      </c>
      <c r="G5967" s="9">
        <v>7122.4</v>
      </c>
      <c r="H5967" s="8">
        <v>25241</v>
      </c>
    </row>
    <row r="5968" spans="2:8" ht="17.5" customHeight="1" x14ac:dyDescent="0.4">
      <c r="B5968" t="s">
        <v>7</v>
      </c>
      <c r="C5968" t="s">
        <v>993</v>
      </c>
      <c r="D5968" s="7">
        <f>DATE(2017,7,18)</f>
        <v>42934</v>
      </c>
      <c r="E5968" s="8">
        <f t="shared" si="98"/>
        <v>2017</v>
      </c>
      <c r="F5968" t="s">
        <v>994</v>
      </c>
      <c r="G5968" s="9">
        <v>2879.8</v>
      </c>
      <c r="H5968" s="8">
        <v>25263</v>
      </c>
    </row>
    <row r="5969" spans="2:8" ht="17.5" customHeight="1" x14ac:dyDescent="0.4">
      <c r="B5969" t="s">
        <v>7</v>
      </c>
      <c r="C5969" t="s">
        <v>993</v>
      </c>
      <c r="D5969" s="7">
        <f>DATE(2017,7,19)</f>
        <v>42935</v>
      </c>
      <c r="E5969" s="8">
        <f t="shared" si="98"/>
        <v>2017</v>
      </c>
      <c r="F5969" t="s">
        <v>994</v>
      </c>
      <c r="G5969" s="9">
        <v>1782</v>
      </c>
      <c r="H5969" s="8">
        <v>25243</v>
      </c>
    </row>
    <row r="5970" spans="2:8" ht="17.5" customHeight="1" x14ac:dyDescent="0.4">
      <c r="B5970" t="s">
        <v>7</v>
      </c>
      <c r="C5970" t="s">
        <v>993</v>
      </c>
      <c r="D5970" s="7">
        <f>DATE(2017,7,24)</f>
        <v>42940</v>
      </c>
      <c r="E5970" s="8">
        <f t="shared" si="98"/>
        <v>2017</v>
      </c>
      <c r="F5970" t="s">
        <v>994</v>
      </c>
      <c r="G5970" s="9">
        <v>786.5</v>
      </c>
      <c r="H5970" s="8">
        <v>25305</v>
      </c>
    </row>
    <row r="5971" spans="2:8" ht="17.5" customHeight="1" x14ac:dyDescent="0.4">
      <c r="B5971" t="s">
        <v>7</v>
      </c>
      <c r="C5971" t="s">
        <v>993</v>
      </c>
      <c r="D5971" s="7">
        <f>DATE(2017,7,25)</f>
        <v>42941</v>
      </c>
      <c r="E5971" s="8">
        <f t="shared" si="98"/>
        <v>2017</v>
      </c>
      <c r="F5971" t="s">
        <v>994</v>
      </c>
      <c r="G5971" s="9">
        <v>1782</v>
      </c>
      <c r="H5971" s="8">
        <v>25294</v>
      </c>
    </row>
    <row r="5972" spans="2:8" ht="17.5" customHeight="1" x14ac:dyDescent="0.4">
      <c r="B5972" t="s">
        <v>7</v>
      </c>
      <c r="C5972" t="s">
        <v>993</v>
      </c>
      <c r="D5972" s="7">
        <f>DATE(2017,8,7)</f>
        <v>42954</v>
      </c>
      <c r="E5972" s="8">
        <f t="shared" si="98"/>
        <v>2017</v>
      </c>
      <c r="F5972" t="s">
        <v>994</v>
      </c>
      <c r="G5972" s="9">
        <v>709.92</v>
      </c>
      <c r="H5972" s="8">
        <v>25369</v>
      </c>
    </row>
    <row r="5973" spans="2:8" ht="17.5" customHeight="1" x14ac:dyDescent="0.4">
      <c r="B5973" t="s">
        <v>7</v>
      </c>
      <c r="C5973" t="s">
        <v>993</v>
      </c>
      <c r="D5973" s="7">
        <f>DATE(2017,8,15)</f>
        <v>42962</v>
      </c>
      <c r="E5973" s="8">
        <f t="shared" si="98"/>
        <v>2017</v>
      </c>
      <c r="F5973" t="s">
        <v>994</v>
      </c>
      <c r="G5973" s="9">
        <v>1485.94</v>
      </c>
      <c r="H5973" s="8">
        <v>25420</v>
      </c>
    </row>
    <row r="5974" spans="2:8" ht="17.5" customHeight="1" x14ac:dyDescent="0.4">
      <c r="B5974" t="s">
        <v>7</v>
      </c>
      <c r="C5974" t="s">
        <v>993</v>
      </c>
      <c r="D5974" s="7">
        <f>DATE(2017,9,5)</f>
        <v>42983</v>
      </c>
      <c r="E5974" s="8">
        <f t="shared" si="98"/>
        <v>2017</v>
      </c>
      <c r="F5974" t="s">
        <v>994</v>
      </c>
      <c r="G5974" s="9">
        <v>1596</v>
      </c>
      <c r="H5974" s="8">
        <v>25512</v>
      </c>
    </row>
    <row r="5975" spans="2:8" ht="17.5" customHeight="1" x14ac:dyDescent="0.4">
      <c r="B5975" t="s">
        <v>7</v>
      </c>
      <c r="C5975" t="s">
        <v>993</v>
      </c>
      <c r="D5975" s="7">
        <f>DATE(2017,9,5)</f>
        <v>42983</v>
      </c>
      <c r="E5975" s="8">
        <f t="shared" si="98"/>
        <v>2017</v>
      </c>
      <c r="F5975" t="s">
        <v>994</v>
      </c>
      <c r="G5975" s="9">
        <v>72.3</v>
      </c>
      <c r="H5975" s="8">
        <v>25519</v>
      </c>
    </row>
    <row r="5976" spans="2:8" ht="17.5" customHeight="1" x14ac:dyDescent="0.4">
      <c r="B5976" t="s">
        <v>7</v>
      </c>
      <c r="C5976" t="s">
        <v>993</v>
      </c>
      <c r="D5976" s="7">
        <f>DATE(2017,9,6)</f>
        <v>42984</v>
      </c>
      <c r="E5976" s="8">
        <f t="shared" si="98"/>
        <v>2017</v>
      </c>
      <c r="F5976" t="s">
        <v>994</v>
      </c>
      <c r="G5976" s="9">
        <v>6136.45</v>
      </c>
      <c r="H5976" s="8">
        <v>25482</v>
      </c>
    </row>
    <row r="5977" spans="2:8" ht="17.5" customHeight="1" x14ac:dyDescent="0.4">
      <c r="B5977" t="s">
        <v>7</v>
      </c>
      <c r="C5977" t="s">
        <v>993</v>
      </c>
      <c r="D5977" s="7">
        <f>DATE(2017,9,7)</f>
        <v>42985</v>
      </c>
      <c r="E5977" s="8">
        <f t="shared" si="98"/>
        <v>2017</v>
      </c>
      <c r="F5977" t="s">
        <v>994</v>
      </c>
      <c r="G5977" s="9">
        <v>63.2</v>
      </c>
      <c r="H5977" s="8">
        <v>25522</v>
      </c>
    </row>
    <row r="5978" spans="2:8" ht="17.5" customHeight="1" x14ac:dyDescent="0.4">
      <c r="B5978" t="s">
        <v>7</v>
      </c>
      <c r="C5978" t="s">
        <v>993</v>
      </c>
      <c r="D5978" s="7">
        <f>DATE(2017,9,12)</f>
        <v>42990</v>
      </c>
      <c r="E5978" s="8">
        <f t="shared" si="98"/>
        <v>2017</v>
      </c>
      <c r="F5978" t="s">
        <v>994</v>
      </c>
      <c r="G5978" s="9">
        <v>4000</v>
      </c>
      <c r="H5978" s="8">
        <v>25547</v>
      </c>
    </row>
    <row r="5979" spans="2:8" ht="17.5" customHeight="1" x14ac:dyDescent="0.4">
      <c r="B5979" t="s">
        <v>7</v>
      </c>
      <c r="C5979" t="s">
        <v>993</v>
      </c>
      <c r="D5979" s="7">
        <f>DATE(2017,9,12)</f>
        <v>42990</v>
      </c>
      <c r="E5979" s="8">
        <f t="shared" si="98"/>
        <v>2017</v>
      </c>
      <c r="F5979" t="s">
        <v>994</v>
      </c>
      <c r="G5979" s="9">
        <v>3388</v>
      </c>
      <c r="H5979" s="8">
        <v>25516</v>
      </c>
    </row>
    <row r="5980" spans="2:8" ht="17.5" customHeight="1" x14ac:dyDescent="0.4">
      <c r="B5980" t="s">
        <v>7</v>
      </c>
      <c r="C5980" t="s">
        <v>993</v>
      </c>
      <c r="D5980" s="7">
        <f>DATE(2017,9,15)</f>
        <v>42993</v>
      </c>
      <c r="E5980" s="8">
        <f t="shared" si="98"/>
        <v>2017</v>
      </c>
      <c r="F5980" t="s">
        <v>994</v>
      </c>
      <c r="G5980" s="9">
        <v>5350</v>
      </c>
      <c r="H5980" s="8">
        <v>25484</v>
      </c>
    </row>
    <row r="5981" spans="2:8" ht="17.5" customHeight="1" x14ac:dyDescent="0.4">
      <c r="B5981" t="s">
        <v>7</v>
      </c>
      <c r="C5981" t="s">
        <v>993</v>
      </c>
      <c r="D5981" s="7">
        <f>DATE(2017,9,18)</f>
        <v>42996</v>
      </c>
      <c r="E5981" s="8">
        <f t="shared" si="98"/>
        <v>2017</v>
      </c>
      <c r="F5981" t="s">
        <v>994</v>
      </c>
      <c r="G5981" s="9">
        <v>1770.85</v>
      </c>
      <c r="H5981" s="8">
        <v>25602</v>
      </c>
    </row>
    <row r="5982" spans="2:8" ht="17.5" customHeight="1" x14ac:dyDescent="0.4">
      <c r="B5982" t="s">
        <v>7</v>
      </c>
      <c r="C5982" t="s">
        <v>993</v>
      </c>
      <c r="D5982" s="7">
        <f>DATE(2017,10,3)</f>
        <v>43011</v>
      </c>
      <c r="E5982" s="8">
        <f t="shared" si="98"/>
        <v>2017</v>
      </c>
      <c r="F5982" t="s">
        <v>994</v>
      </c>
      <c r="G5982" s="9">
        <v>165</v>
      </c>
      <c r="H5982" s="8">
        <v>25679</v>
      </c>
    </row>
    <row r="5983" spans="2:8" ht="17.5" customHeight="1" x14ac:dyDescent="0.4">
      <c r="B5983" t="s">
        <v>7</v>
      </c>
      <c r="C5983" t="s">
        <v>993</v>
      </c>
      <c r="D5983" s="7">
        <f>DATE(2017,10,6)</f>
        <v>43014</v>
      </c>
      <c r="E5983" s="8">
        <f t="shared" si="98"/>
        <v>2017</v>
      </c>
      <c r="F5983" t="s">
        <v>994</v>
      </c>
      <c r="G5983" s="9">
        <v>9950</v>
      </c>
      <c r="H5983" s="8">
        <v>25606</v>
      </c>
    </row>
    <row r="5984" spans="2:8" ht="17.5" customHeight="1" x14ac:dyDescent="0.4">
      <c r="B5984" t="s">
        <v>7</v>
      </c>
      <c r="C5984" t="s">
        <v>993</v>
      </c>
      <c r="D5984" s="7">
        <f>DATE(2017,10,9)</f>
        <v>43017</v>
      </c>
      <c r="E5984" s="8">
        <f t="shared" si="98"/>
        <v>2017</v>
      </c>
      <c r="F5984" t="s">
        <v>994</v>
      </c>
      <c r="G5984" s="9">
        <v>6352.5</v>
      </c>
      <c r="H5984" s="8">
        <v>25675</v>
      </c>
    </row>
    <row r="5985" spans="2:8" ht="17.5" customHeight="1" x14ac:dyDescent="0.4">
      <c r="B5985" t="s">
        <v>7</v>
      </c>
      <c r="C5985" t="s">
        <v>993</v>
      </c>
      <c r="D5985" s="7">
        <f>DATE(2017,10,13)</f>
        <v>43021</v>
      </c>
      <c r="E5985" s="8">
        <f t="shared" si="98"/>
        <v>2017</v>
      </c>
      <c r="F5985" t="s">
        <v>994</v>
      </c>
      <c r="G5985" s="9">
        <v>688.5</v>
      </c>
      <c r="H5985" s="8">
        <v>25730</v>
      </c>
    </row>
    <row r="5986" spans="2:8" ht="17.5" customHeight="1" x14ac:dyDescent="0.4">
      <c r="B5986" t="s">
        <v>7</v>
      </c>
      <c r="C5986" t="s">
        <v>993</v>
      </c>
      <c r="D5986" s="7">
        <f>DATE(2017,10,24)</f>
        <v>43032</v>
      </c>
      <c r="E5986" s="8">
        <f t="shared" si="98"/>
        <v>2017</v>
      </c>
      <c r="F5986" t="s">
        <v>994</v>
      </c>
      <c r="G5986" s="9">
        <v>10403.5</v>
      </c>
      <c r="H5986" s="8">
        <v>25739</v>
      </c>
    </row>
    <row r="5987" spans="2:8" ht="17.5" customHeight="1" x14ac:dyDescent="0.4">
      <c r="B5987" t="s">
        <v>7</v>
      </c>
      <c r="C5987" t="s">
        <v>993</v>
      </c>
      <c r="D5987" s="7">
        <f>DATE(2017,11,3)</f>
        <v>43042</v>
      </c>
      <c r="E5987" s="8">
        <f t="shared" si="98"/>
        <v>2017</v>
      </c>
      <c r="F5987" t="s">
        <v>994</v>
      </c>
      <c r="G5987" s="9">
        <v>272</v>
      </c>
      <c r="H5987" s="8">
        <v>25846</v>
      </c>
    </row>
    <row r="5988" spans="2:8" ht="17.5" customHeight="1" x14ac:dyDescent="0.4">
      <c r="B5988" t="s">
        <v>7</v>
      </c>
      <c r="C5988" t="s">
        <v>993</v>
      </c>
      <c r="D5988" s="7">
        <f>DATE(2017,11,8)</f>
        <v>43047</v>
      </c>
      <c r="E5988" s="8">
        <f t="shared" si="98"/>
        <v>2017</v>
      </c>
      <c r="F5988" t="s">
        <v>994</v>
      </c>
      <c r="G5988" s="9">
        <v>190</v>
      </c>
      <c r="H5988" s="8">
        <v>25882</v>
      </c>
    </row>
    <row r="5989" spans="2:8" ht="17.5" customHeight="1" x14ac:dyDescent="0.4">
      <c r="B5989" t="s">
        <v>7</v>
      </c>
      <c r="C5989" t="s">
        <v>993</v>
      </c>
      <c r="D5989" s="7">
        <f>DATE(2017,11,20)</f>
        <v>43059</v>
      </c>
      <c r="E5989" s="8">
        <f t="shared" si="98"/>
        <v>2017</v>
      </c>
      <c r="F5989" t="s">
        <v>994</v>
      </c>
      <c r="G5989" s="9">
        <v>4338.34</v>
      </c>
      <c r="H5989" s="8">
        <v>25861</v>
      </c>
    </row>
    <row r="5990" spans="2:8" ht="17.5" customHeight="1" x14ac:dyDescent="0.4">
      <c r="B5990" t="s">
        <v>7</v>
      </c>
      <c r="C5990" t="s">
        <v>993</v>
      </c>
      <c r="D5990" s="7">
        <f>DATE(2017,11,20)</f>
        <v>43059</v>
      </c>
      <c r="E5990" s="8">
        <f t="shared" si="98"/>
        <v>2017</v>
      </c>
      <c r="F5990" t="s">
        <v>994</v>
      </c>
      <c r="G5990" s="9">
        <v>1356.08</v>
      </c>
      <c r="H5990" s="8">
        <v>25937</v>
      </c>
    </row>
    <row r="5991" spans="2:8" ht="17.5" customHeight="1" x14ac:dyDescent="0.4">
      <c r="B5991" t="s">
        <v>7</v>
      </c>
      <c r="C5991" t="s">
        <v>993</v>
      </c>
      <c r="D5991" s="7">
        <f>DATE(2017,11,27)</f>
        <v>43066</v>
      </c>
      <c r="E5991" s="8">
        <f t="shared" si="98"/>
        <v>2017</v>
      </c>
      <c r="F5991" t="s">
        <v>994</v>
      </c>
      <c r="G5991" s="9">
        <v>479.4</v>
      </c>
      <c r="H5991" s="8">
        <v>25939</v>
      </c>
    </row>
    <row r="5992" spans="2:8" ht="17.5" customHeight="1" x14ac:dyDescent="0.4">
      <c r="B5992" t="s">
        <v>7</v>
      </c>
      <c r="C5992" t="s">
        <v>993</v>
      </c>
      <c r="D5992" s="7">
        <f>DATE(2017,12,8)</f>
        <v>43077</v>
      </c>
      <c r="E5992" s="8">
        <f t="shared" si="98"/>
        <v>2017</v>
      </c>
      <c r="F5992" t="s">
        <v>994</v>
      </c>
      <c r="G5992" s="9">
        <v>290.7</v>
      </c>
      <c r="H5992" s="8">
        <v>26020</v>
      </c>
    </row>
    <row r="5993" spans="2:8" ht="17.5" customHeight="1" x14ac:dyDescent="0.4">
      <c r="B5993" t="s">
        <v>7</v>
      </c>
      <c r="C5993" t="s">
        <v>993</v>
      </c>
      <c r="D5993" s="7">
        <f>DATE(2017,12,11)</f>
        <v>43080</v>
      </c>
      <c r="E5993" s="8">
        <f t="shared" si="98"/>
        <v>2017</v>
      </c>
      <c r="F5993" t="s">
        <v>994</v>
      </c>
      <c r="G5993" s="9">
        <v>60.56</v>
      </c>
      <c r="H5993" s="8">
        <v>25963</v>
      </c>
    </row>
    <row r="5994" spans="2:8" ht="17.5" customHeight="1" x14ac:dyDescent="0.4">
      <c r="B5994" t="s">
        <v>7</v>
      </c>
      <c r="C5994" t="s">
        <v>993</v>
      </c>
      <c r="D5994" s="7">
        <f>DATE(2017,12,14)</f>
        <v>43083</v>
      </c>
      <c r="E5994" s="8">
        <f t="shared" si="98"/>
        <v>2017</v>
      </c>
      <c r="F5994" t="s">
        <v>994</v>
      </c>
      <c r="G5994" s="9">
        <v>2754</v>
      </c>
      <c r="H5994" s="8">
        <v>26041</v>
      </c>
    </row>
    <row r="5995" spans="2:8" ht="17.5" customHeight="1" x14ac:dyDescent="0.4">
      <c r="B5995" t="s">
        <v>7</v>
      </c>
      <c r="C5995" t="s">
        <v>993</v>
      </c>
      <c r="D5995" s="7">
        <f>DATE(2017,12,15)</f>
        <v>43084</v>
      </c>
      <c r="E5995" s="8">
        <f t="shared" si="98"/>
        <v>2017</v>
      </c>
      <c r="F5995" t="s">
        <v>994</v>
      </c>
      <c r="G5995" s="9">
        <v>3436.8</v>
      </c>
      <c r="H5995" s="8">
        <v>26046</v>
      </c>
    </row>
    <row r="5996" spans="2:8" ht="17.5" customHeight="1" x14ac:dyDescent="0.4">
      <c r="B5996" t="s">
        <v>7</v>
      </c>
      <c r="C5996" t="s">
        <v>993</v>
      </c>
      <c r="D5996" s="7">
        <f>DATE(2017,12,18)</f>
        <v>43087</v>
      </c>
      <c r="E5996" s="8">
        <f t="shared" si="98"/>
        <v>2017</v>
      </c>
      <c r="F5996" t="s">
        <v>994</v>
      </c>
      <c r="G5996" s="9">
        <v>977.5</v>
      </c>
      <c r="H5996" s="8">
        <v>26002</v>
      </c>
    </row>
    <row r="5997" spans="2:8" ht="17.5" customHeight="1" x14ac:dyDescent="0.4">
      <c r="B5997" t="s">
        <v>7</v>
      </c>
      <c r="C5997" t="s">
        <v>993</v>
      </c>
      <c r="D5997" s="7">
        <f>DATE(2017,12,20)</f>
        <v>43089</v>
      </c>
      <c r="E5997" s="8">
        <f t="shared" si="98"/>
        <v>2017</v>
      </c>
      <c r="F5997" t="s">
        <v>994</v>
      </c>
      <c r="G5997" s="9">
        <v>4152.8</v>
      </c>
      <c r="H5997" s="8">
        <v>26060</v>
      </c>
    </row>
    <row r="5998" spans="2:8" ht="17.5" customHeight="1" x14ac:dyDescent="0.4">
      <c r="B5998" t="s">
        <v>7</v>
      </c>
      <c r="C5998" t="s">
        <v>993</v>
      </c>
      <c r="D5998" s="7">
        <f>DATE(2018,1,12)</f>
        <v>43112</v>
      </c>
      <c r="E5998" s="8">
        <f t="shared" si="98"/>
        <v>2018</v>
      </c>
      <c r="F5998" t="s">
        <v>994</v>
      </c>
      <c r="G5998" s="9">
        <v>1326</v>
      </c>
      <c r="H5998" s="8">
        <v>26133</v>
      </c>
    </row>
    <row r="5999" spans="2:8" ht="17.5" customHeight="1" x14ac:dyDescent="0.4">
      <c r="B5999" t="s">
        <v>7</v>
      </c>
      <c r="C5999" t="s">
        <v>993</v>
      </c>
      <c r="D5999" s="7">
        <f>DATE(2018,1,12)</f>
        <v>43112</v>
      </c>
      <c r="E5999" s="8">
        <f t="shared" si="98"/>
        <v>2018</v>
      </c>
      <c r="F5999" t="s">
        <v>994</v>
      </c>
      <c r="G5999" s="9">
        <v>23208.3</v>
      </c>
      <c r="H5999" s="8">
        <v>26214</v>
      </c>
    </row>
    <row r="6000" spans="2:8" ht="17.5" customHeight="1" x14ac:dyDescent="0.4">
      <c r="B6000" t="s">
        <v>7</v>
      </c>
      <c r="C6000" t="s">
        <v>993</v>
      </c>
      <c r="D6000" s="7">
        <f>DATE(2018,1,15)</f>
        <v>43115</v>
      </c>
      <c r="E6000" s="8">
        <f t="shared" si="98"/>
        <v>2018</v>
      </c>
      <c r="F6000" t="s">
        <v>994</v>
      </c>
      <c r="G6000" s="9">
        <v>1995</v>
      </c>
      <c r="H6000" s="8">
        <v>26145</v>
      </c>
    </row>
    <row r="6001" spans="2:8" ht="17.5" customHeight="1" x14ac:dyDescent="0.4">
      <c r="B6001" t="s">
        <v>7</v>
      </c>
      <c r="C6001" t="s">
        <v>993</v>
      </c>
      <c r="D6001" s="7">
        <f>DATE(2018,1,15)</f>
        <v>43115</v>
      </c>
      <c r="E6001" s="8">
        <f t="shared" si="98"/>
        <v>2018</v>
      </c>
      <c r="F6001" t="s">
        <v>994</v>
      </c>
      <c r="G6001" s="9">
        <v>2423.5500000000002</v>
      </c>
      <c r="H6001" s="8">
        <v>26249</v>
      </c>
    </row>
    <row r="6002" spans="2:8" ht="17.5" customHeight="1" x14ac:dyDescent="0.4">
      <c r="B6002" t="s">
        <v>7</v>
      </c>
      <c r="C6002" t="s">
        <v>993</v>
      </c>
      <c r="D6002" s="7">
        <f>DATE(2018,1,23)</f>
        <v>43123</v>
      </c>
      <c r="E6002" s="8">
        <f t="shared" si="98"/>
        <v>2018</v>
      </c>
      <c r="F6002" t="s">
        <v>994</v>
      </c>
      <c r="G6002" s="9">
        <v>3060</v>
      </c>
      <c r="H6002" s="8">
        <v>26303</v>
      </c>
    </row>
    <row r="6003" spans="2:8" ht="17.5" customHeight="1" x14ac:dyDescent="0.4">
      <c r="B6003" t="s">
        <v>7</v>
      </c>
      <c r="C6003" t="s">
        <v>993</v>
      </c>
      <c r="D6003" s="7">
        <f>DATE(2018,1,24)</f>
        <v>43124</v>
      </c>
      <c r="E6003" s="8">
        <f t="shared" si="98"/>
        <v>2018</v>
      </c>
      <c r="F6003" t="s">
        <v>994</v>
      </c>
      <c r="G6003" s="9">
        <v>716</v>
      </c>
      <c r="H6003" s="8">
        <v>26329</v>
      </c>
    </row>
    <row r="6004" spans="2:8" ht="17.5" customHeight="1" x14ac:dyDescent="0.4">
      <c r="B6004" t="s">
        <v>7</v>
      </c>
      <c r="C6004" t="s">
        <v>993</v>
      </c>
      <c r="D6004" s="7">
        <f>DATE(2018,1,29)</f>
        <v>43129</v>
      </c>
      <c r="E6004" s="8">
        <f t="shared" si="98"/>
        <v>2018</v>
      </c>
      <c r="F6004" t="s">
        <v>994</v>
      </c>
      <c r="G6004" s="9">
        <v>1530</v>
      </c>
      <c r="H6004" s="8">
        <v>26316</v>
      </c>
    </row>
    <row r="6005" spans="2:8" ht="17.5" customHeight="1" x14ac:dyDescent="0.4">
      <c r="B6005" t="s">
        <v>7</v>
      </c>
      <c r="C6005" t="s">
        <v>993</v>
      </c>
      <c r="D6005" s="7">
        <f>DATE(2018,1,31)</f>
        <v>43131</v>
      </c>
      <c r="E6005" s="8">
        <f t="shared" si="98"/>
        <v>2018</v>
      </c>
      <c r="F6005" t="s">
        <v>994</v>
      </c>
      <c r="G6005" s="9">
        <v>16830</v>
      </c>
      <c r="H6005" s="8">
        <v>26362</v>
      </c>
    </row>
    <row r="6006" spans="2:8" ht="17.5" customHeight="1" x14ac:dyDescent="0.4">
      <c r="B6006" t="s">
        <v>7</v>
      </c>
      <c r="C6006" t="s">
        <v>993</v>
      </c>
      <c r="D6006" s="7">
        <f>DATE(2018,2,6)</f>
        <v>43137</v>
      </c>
      <c r="E6006" s="8">
        <f t="shared" si="98"/>
        <v>2018</v>
      </c>
      <c r="F6006" t="s">
        <v>994</v>
      </c>
      <c r="G6006" s="9">
        <v>10500</v>
      </c>
      <c r="H6006" s="8">
        <v>26317</v>
      </c>
    </row>
    <row r="6007" spans="2:8" ht="17.5" customHeight="1" x14ac:dyDescent="0.4">
      <c r="B6007" t="s">
        <v>7</v>
      </c>
      <c r="C6007" t="s">
        <v>993</v>
      </c>
      <c r="D6007" s="7">
        <f>DATE(2018,2,20)</f>
        <v>43151</v>
      </c>
      <c r="E6007" s="8">
        <f t="shared" si="98"/>
        <v>2018</v>
      </c>
      <c r="F6007" t="s">
        <v>994</v>
      </c>
      <c r="G6007" s="9">
        <v>198.9</v>
      </c>
      <c r="H6007" s="8">
        <v>26504</v>
      </c>
    </row>
    <row r="6008" spans="2:8" ht="17.5" customHeight="1" x14ac:dyDescent="0.4">
      <c r="B6008" t="s">
        <v>7</v>
      </c>
      <c r="C6008" t="s">
        <v>993</v>
      </c>
      <c r="D6008" s="7">
        <f>DATE(2018,2,26)</f>
        <v>43157</v>
      </c>
      <c r="E6008" s="8">
        <f t="shared" si="98"/>
        <v>2018</v>
      </c>
      <c r="F6008" t="s">
        <v>994</v>
      </c>
      <c r="G6008" s="9">
        <v>399</v>
      </c>
      <c r="H6008" s="8">
        <v>26540</v>
      </c>
    </row>
    <row r="6009" spans="2:8" ht="17.5" customHeight="1" x14ac:dyDescent="0.4">
      <c r="B6009" t="s">
        <v>7</v>
      </c>
      <c r="C6009" t="s">
        <v>993</v>
      </c>
      <c r="D6009" s="7">
        <f>DATE(2018,3,13)</f>
        <v>43172</v>
      </c>
      <c r="E6009" s="8">
        <f t="shared" si="98"/>
        <v>2018</v>
      </c>
      <c r="F6009" t="s">
        <v>994</v>
      </c>
      <c r="G6009" s="9">
        <v>5508</v>
      </c>
      <c r="H6009" s="8">
        <v>26643</v>
      </c>
    </row>
    <row r="6010" spans="2:8" ht="17.5" customHeight="1" x14ac:dyDescent="0.4">
      <c r="B6010" t="s">
        <v>7</v>
      </c>
      <c r="C6010" t="s">
        <v>993</v>
      </c>
      <c r="D6010" s="7">
        <f>DATE(2018,3,13)</f>
        <v>43172</v>
      </c>
      <c r="E6010" s="8">
        <f t="shared" si="98"/>
        <v>2018</v>
      </c>
      <c r="F6010" t="s">
        <v>994</v>
      </c>
      <c r="G6010" s="9">
        <v>16830</v>
      </c>
      <c r="H6010" s="8">
        <v>26641</v>
      </c>
    </row>
    <row r="6011" spans="2:8" ht="17.5" customHeight="1" x14ac:dyDescent="0.4">
      <c r="B6011" t="s">
        <v>7</v>
      </c>
      <c r="C6011" t="s">
        <v>993</v>
      </c>
      <c r="D6011" s="7">
        <f>DATE(2018,3,13)</f>
        <v>43172</v>
      </c>
      <c r="E6011" s="8">
        <f t="shared" si="98"/>
        <v>2018</v>
      </c>
      <c r="F6011" t="s">
        <v>994</v>
      </c>
      <c r="G6011" s="9">
        <v>3361.75</v>
      </c>
      <c r="H6011" s="8">
        <v>26653</v>
      </c>
    </row>
    <row r="6012" spans="2:8" ht="17.5" customHeight="1" x14ac:dyDescent="0.4">
      <c r="B6012" t="s">
        <v>7</v>
      </c>
      <c r="C6012" t="s">
        <v>993</v>
      </c>
      <c r="D6012" s="7">
        <f>DATE(2018,3,21)</f>
        <v>43180</v>
      </c>
      <c r="E6012" s="8">
        <f t="shared" si="98"/>
        <v>2018</v>
      </c>
      <c r="F6012" t="s">
        <v>994</v>
      </c>
      <c r="G6012" s="9">
        <v>907.5</v>
      </c>
      <c r="H6012" s="8">
        <v>26699</v>
      </c>
    </row>
    <row r="6013" spans="2:8" ht="17.5" customHeight="1" x14ac:dyDescent="0.4">
      <c r="B6013" t="s">
        <v>7</v>
      </c>
      <c r="C6013" t="s">
        <v>993</v>
      </c>
      <c r="D6013" s="7">
        <f>DATE(2018,3,22)</f>
        <v>43181</v>
      </c>
      <c r="E6013" s="8">
        <f t="shared" si="98"/>
        <v>2018</v>
      </c>
      <c r="F6013" t="s">
        <v>994</v>
      </c>
      <c r="G6013" s="9">
        <v>107.4</v>
      </c>
      <c r="H6013" s="8">
        <v>26724</v>
      </c>
    </row>
    <row r="6014" spans="2:8" ht="17.5" customHeight="1" x14ac:dyDescent="0.4">
      <c r="B6014" t="s">
        <v>7</v>
      </c>
      <c r="C6014" t="s">
        <v>993</v>
      </c>
      <c r="D6014" s="7">
        <f>DATE(2018,3,23)</f>
        <v>43182</v>
      </c>
      <c r="E6014" s="8">
        <f t="shared" si="98"/>
        <v>2018</v>
      </c>
      <c r="F6014" t="s">
        <v>994</v>
      </c>
      <c r="G6014" s="9">
        <v>2322.35</v>
      </c>
      <c r="H6014" s="8">
        <v>26733</v>
      </c>
    </row>
    <row r="6015" spans="2:8" ht="17.5" customHeight="1" x14ac:dyDescent="0.4">
      <c r="B6015" t="s">
        <v>7</v>
      </c>
      <c r="C6015" t="s">
        <v>993</v>
      </c>
      <c r="D6015" s="7">
        <f>DATE(2018,3,28)</f>
        <v>43187</v>
      </c>
      <c r="E6015" s="8">
        <f t="shared" si="98"/>
        <v>2018</v>
      </c>
      <c r="F6015" t="s">
        <v>994</v>
      </c>
      <c r="G6015" s="9">
        <v>157.5</v>
      </c>
      <c r="H6015" s="8">
        <v>26763</v>
      </c>
    </row>
    <row r="6016" spans="2:8" ht="17.5" customHeight="1" x14ac:dyDescent="0.4">
      <c r="B6016" t="s">
        <v>7</v>
      </c>
      <c r="C6016" t="s">
        <v>993</v>
      </c>
      <c r="D6016" s="7">
        <f>DATE(2018,4,11)</f>
        <v>43201</v>
      </c>
      <c r="E6016" s="8">
        <f t="shared" si="98"/>
        <v>2018</v>
      </c>
      <c r="F6016" t="s">
        <v>994</v>
      </c>
      <c r="G6016" s="9">
        <v>1989</v>
      </c>
      <c r="H6016" s="8">
        <v>26856</v>
      </c>
    </row>
    <row r="6017" spans="2:8" ht="17.5" customHeight="1" x14ac:dyDescent="0.4">
      <c r="B6017" t="s">
        <v>7</v>
      </c>
      <c r="C6017" t="s">
        <v>993</v>
      </c>
      <c r="D6017" s="7">
        <f>DATE(2018,4,18)</f>
        <v>43208</v>
      </c>
      <c r="E6017" s="8">
        <f t="shared" si="98"/>
        <v>2018</v>
      </c>
      <c r="F6017" t="s">
        <v>994</v>
      </c>
      <c r="G6017" s="9">
        <v>1805.4</v>
      </c>
      <c r="H6017" s="8">
        <v>26902</v>
      </c>
    </row>
    <row r="6018" spans="2:8" ht="17.5" customHeight="1" x14ac:dyDescent="0.4">
      <c r="B6018" t="s">
        <v>7</v>
      </c>
      <c r="C6018" t="s">
        <v>993</v>
      </c>
      <c r="D6018" s="7">
        <f>DATE(2018,4,18)</f>
        <v>43208</v>
      </c>
      <c r="E6018" s="8">
        <f t="shared" si="98"/>
        <v>2018</v>
      </c>
      <c r="F6018" t="s">
        <v>994</v>
      </c>
      <c r="G6018" s="9">
        <v>3049.5</v>
      </c>
      <c r="H6018" s="8">
        <v>26901</v>
      </c>
    </row>
    <row r="6019" spans="2:8" ht="17.5" customHeight="1" x14ac:dyDescent="0.4">
      <c r="B6019" t="s">
        <v>7</v>
      </c>
      <c r="C6019" t="s">
        <v>993</v>
      </c>
      <c r="D6019" s="7">
        <f>DATE(2018,4,19)</f>
        <v>43209</v>
      </c>
      <c r="E6019" s="8">
        <f t="shared" ref="E6019:E6082" si="99">YEAR(D6019)</f>
        <v>2018</v>
      </c>
      <c r="F6019" t="s">
        <v>994</v>
      </c>
      <c r="G6019" s="9">
        <v>264</v>
      </c>
      <c r="H6019" s="8">
        <v>26872</v>
      </c>
    </row>
    <row r="6020" spans="2:8" ht="17.5" customHeight="1" x14ac:dyDescent="0.4">
      <c r="B6020" t="s">
        <v>7</v>
      </c>
      <c r="C6020" t="s">
        <v>993</v>
      </c>
      <c r="D6020" s="7">
        <f>DATE(2018,4,26)</f>
        <v>43216</v>
      </c>
      <c r="E6020" s="8">
        <f t="shared" si="99"/>
        <v>2018</v>
      </c>
      <c r="F6020" t="s">
        <v>994</v>
      </c>
      <c r="G6020" s="9">
        <v>5670.32</v>
      </c>
      <c r="H6020" s="8">
        <v>26939</v>
      </c>
    </row>
    <row r="6021" spans="2:8" ht="17.5" customHeight="1" x14ac:dyDescent="0.4">
      <c r="B6021" t="s">
        <v>7</v>
      </c>
      <c r="C6021" t="s">
        <v>993</v>
      </c>
      <c r="D6021" s="7">
        <f>DATE(2018,4,30)</f>
        <v>43220</v>
      </c>
      <c r="E6021" s="8">
        <f t="shared" si="99"/>
        <v>2018</v>
      </c>
      <c r="F6021" t="s">
        <v>994</v>
      </c>
      <c r="G6021" s="9">
        <v>3987.98</v>
      </c>
      <c r="H6021" s="8">
        <v>26966</v>
      </c>
    </row>
    <row r="6022" spans="2:8" ht="17.5" customHeight="1" x14ac:dyDescent="0.4">
      <c r="B6022" t="s">
        <v>7</v>
      </c>
      <c r="C6022" t="s">
        <v>993</v>
      </c>
      <c r="D6022" s="7">
        <f>DATE(2018,5,4)</f>
        <v>43224</v>
      </c>
      <c r="E6022" s="8">
        <f t="shared" si="99"/>
        <v>2018</v>
      </c>
      <c r="F6022" t="s">
        <v>994</v>
      </c>
      <c r="G6022" s="9">
        <v>13299.45</v>
      </c>
      <c r="H6022" s="8">
        <v>26745</v>
      </c>
    </row>
    <row r="6023" spans="2:8" ht="17.5" customHeight="1" x14ac:dyDescent="0.4">
      <c r="B6023" t="s">
        <v>7</v>
      </c>
      <c r="C6023" t="s">
        <v>993</v>
      </c>
      <c r="D6023" s="7">
        <f>DATE(2018,5,8)</f>
        <v>43228</v>
      </c>
      <c r="E6023" s="8">
        <f t="shared" si="99"/>
        <v>2018</v>
      </c>
      <c r="F6023" t="s">
        <v>994</v>
      </c>
      <c r="G6023" s="9">
        <v>229.5</v>
      </c>
      <c r="H6023" s="8">
        <v>27028</v>
      </c>
    </row>
    <row r="6024" spans="2:8" ht="17.5" customHeight="1" x14ac:dyDescent="0.4">
      <c r="B6024" t="s">
        <v>7</v>
      </c>
      <c r="C6024" t="s">
        <v>993</v>
      </c>
      <c r="D6024" s="7">
        <f>DATE(2018,5,9)</f>
        <v>43229</v>
      </c>
      <c r="E6024" s="8">
        <f t="shared" si="99"/>
        <v>2018</v>
      </c>
      <c r="F6024" t="s">
        <v>994</v>
      </c>
      <c r="G6024" s="9">
        <v>1805.4</v>
      </c>
      <c r="H6024" s="8">
        <v>27033</v>
      </c>
    </row>
    <row r="6025" spans="2:8" ht="17.5" customHeight="1" x14ac:dyDescent="0.4">
      <c r="B6025" t="s">
        <v>7</v>
      </c>
      <c r="C6025" t="s">
        <v>993</v>
      </c>
      <c r="D6025" s="7">
        <f>DATE(2018,5,10)</f>
        <v>43230</v>
      </c>
      <c r="E6025" s="8">
        <f t="shared" si="99"/>
        <v>2018</v>
      </c>
      <c r="F6025" t="s">
        <v>994</v>
      </c>
      <c r="G6025" s="9">
        <v>3388</v>
      </c>
      <c r="H6025" s="8">
        <v>27004</v>
      </c>
    </row>
    <row r="6026" spans="2:8" ht="17.5" customHeight="1" x14ac:dyDescent="0.4">
      <c r="B6026" t="s">
        <v>7</v>
      </c>
      <c r="C6026" t="s">
        <v>993</v>
      </c>
      <c r="D6026" s="7">
        <f>DATE(2018,5,11)</f>
        <v>43231</v>
      </c>
      <c r="E6026" s="8">
        <f t="shared" si="99"/>
        <v>2018</v>
      </c>
      <c r="F6026" t="s">
        <v>994</v>
      </c>
      <c r="G6026" s="9">
        <v>612</v>
      </c>
      <c r="H6026" s="8">
        <v>27005</v>
      </c>
    </row>
    <row r="6027" spans="2:8" ht="17.5" customHeight="1" x14ac:dyDescent="0.4">
      <c r="B6027" t="s">
        <v>7</v>
      </c>
      <c r="C6027" t="s">
        <v>993</v>
      </c>
      <c r="D6027" s="7">
        <f>DATE(2018,5,14)</f>
        <v>43234</v>
      </c>
      <c r="E6027" s="8">
        <f t="shared" si="99"/>
        <v>2018</v>
      </c>
      <c r="F6027" t="s">
        <v>994</v>
      </c>
      <c r="G6027" s="9">
        <v>17901</v>
      </c>
      <c r="H6027" s="8">
        <v>27057</v>
      </c>
    </row>
    <row r="6028" spans="2:8" ht="17.5" customHeight="1" x14ac:dyDescent="0.4">
      <c r="B6028" t="s">
        <v>7</v>
      </c>
      <c r="C6028" t="s">
        <v>993</v>
      </c>
      <c r="D6028" s="7">
        <f>DATE(2018,5,16)</f>
        <v>43236</v>
      </c>
      <c r="E6028" s="8">
        <f t="shared" si="99"/>
        <v>2018</v>
      </c>
      <c r="F6028" t="s">
        <v>994</v>
      </c>
      <c r="G6028" s="9">
        <v>1464.1</v>
      </c>
      <c r="H6028" s="8">
        <v>27032</v>
      </c>
    </row>
    <row r="6029" spans="2:8" ht="17.5" customHeight="1" x14ac:dyDescent="0.4">
      <c r="B6029" t="s">
        <v>7</v>
      </c>
      <c r="C6029" t="s">
        <v>993</v>
      </c>
      <c r="D6029" s="7">
        <f>DATE(2018,5,17)</f>
        <v>43237</v>
      </c>
      <c r="E6029" s="8">
        <f t="shared" si="99"/>
        <v>2018</v>
      </c>
      <c r="F6029" t="s">
        <v>994</v>
      </c>
      <c r="G6029" s="9">
        <v>10939.5</v>
      </c>
      <c r="H6029" s="8">
        <v>27030</v>
      </c>
    </row>
    <row r="6030" spans="2:8" ht="17.5" customHeight="1" x14ac:dyDescent="0.4">
      <c r="B6030" t="s">
        <v>7</v>
      </c>
      <c r="C6030" t="s">
        <v>993</v>
      </c>
      <c r="D6030" s="7">
        <f>DATE(2018,5,17)</f>
        <v>43237</v>
      </c>
      <c r="E6030" s="8">
        <f t="shared" si="99"/>
        <v>2018</v>
      </c>
      <c r="F6030" t="s">
        <v>994</v>
      </c>
      <c r="G6030" s="9">
        <v>925.47</v>
      </c>
      <c r="H6030" s="8">
        <v>26965</v>
      </c>
    </row>
    <row r="6031" spans="2:8" ht="17.5" customHeight="1" x14ac:dyDescent="0.4">
      <c r="B6031" t="s">
        <v>7</v>
      </c>
      <c r="C6031" t="s">
        <v>993</v>
      </c>
      <c r="D6031" s="7">
        <f>DATE(2018,5,30)</f>
        <v>43250</v>
      </c>
      <c r="E6031" s="8">
        <f t="shared" si="99"/>
        <v>2018</v>
      </c>
      <c r="F6031" t="s">
        <v>994</v>
      </c>
      <c r="G6031" s="9">
        <v>258.39999999999998</v>
      </c>
      <c r="H6031" s="8">
        <v>27128</v>
      </c>
    </row>
    <row r="6032" spans="2:8" ht="17.5" customHeight="1" x14ac:dyDescent="0.4">
      <c r="B6032" t="s">
        <v>7</v>
      </c>
      <c r="C6032" t="s">
        <v>993</v>
      </c>
      <c r="D6032" s="7">
        <f>DATE(2018,5,30)</f>
        <v>43250</v>
      </c>
      <c r="E6032" s="8">
        <f t="shared" si="99"/>
        <v>2018</v>
      </c>
      <c r="F6032" t="s">
        <v>994</v>
      </c>
      <c r="G6032" s="9">
        <v>508.83</v>
      </c>
      <c r="H6032" s="8">
        <v>27131</v>
      </c>
    </row>
    <row r="6033" spans="2:8" ht="17.5" customHeight="1" x14ac:dyDescent="0.4">
      <c r="B6033" t="s">
        <v>7</v>
      </c>
      <c r="C6033" t="s">
        <v>993</v>
      </c>
      <c r="D6033" s="7">
        <f>DATE(2018,5,30)</f>
        <v>43250</v>
      </c>
      <c r="E6033" s="8">
        <f t="shared" si="99"/>
        <v>2018</v>
      </c>
      <c r="F6033" t="s">
        <v>994</v>
      </c>
      <c r="G6033" s="9">
        <v>12352.25</v>
      </c>
      <c r="H6033" s="8">
        <v>27115</v>
      </c>
    </row>
    <row r="6034" spans="2:8" ht="17.5" customHeight="1" x14ac:dyDescent="0.4">
      <c r="B6034" t="s">
        <v>7</v>
      </c>
      <c r="C6034" t="s">
        <v>993</v>
      </c>
      <c r="D6034" s="7">
        <f>DATE(2018,6,5)</f>
        <v>43256</v>
      </c>
      <c r="E6034" s="8">
        <f t="shared" si="99"/>
        <v>2018</v>
      </c>
      <c r="F6034" t="s">
        <v>994</v>
      </c>
      <c r="G6034" s="9">
        <v>895</v>
      </c>
      <c r="H6034" s="8">
        <v>27178</v>
      </c>
    </row>
    <row r="6035" spans="2:8" ht="17.5" customHeight="1" x14ac:dyDescent="0.4">
      <c r="B6035" t="s">
        <v>7</v>
      </c>
      <c r="C6035" t="s">
        <v>993</v>
      </c>
      <c r="D6035" s="7">
        <f>DATE(2018,6,12)</f>
        <v>43263</v>
      </c>
      <c r="E6035" s="8">
        <f t="shared" si="99"/>
        <v>2018</v>
      </c>
      <c r="F6035" t="s">
        <v>994</v>
      </c>
      <c r="G6035" s="9">
        <v>19278</v>
      </c>
      <c r="H6035" s="8">
        <v>27203</v>
      </c>
    </row>
    <row r="6036" spans="2:8" ht="17.5" customHeight="1" x14ac:dyDescent="0.4">
      <c r="B6036" t="s">
        <v>7</v>
      </c>
      <c r="C6036" t="s">
        <v>993</v>
      </c>
      <c r="D6036" s="7">
        <f>DATE(2018,6,14)</f>
        <v>43265</v>
      </c>
      <c r="E6036" s="8">
        <f t="shared" si="99"/>
        <v>2018</v>
      </c>
      <c r="F6036" t="s">
        <v>994</v>
      </c>
      <c r="G6036" s="9">
        <v>1071</v>
      </c>
      <c r="H6036" s="8">
        <v>27220</v>
      </c>
    </row>
    <row r="6037" spans="2:8" ht="17.5" customHeight="1" x14ac:dyDescent="0.4">
      <c r="B6037" t="s">
        <v>7</v>
      </c>
      <c r="C6037" t="s">
        <v>993</v>
      </c>
      <c r="D6037" s="7">
        <f>DATE(2018,6,18)</f>
        <v>43269</v>
      </c>
      <c r="E6037" s="8">
        <f t="shared" si="99"/>
        <v>2018</v>
      </c>
      <c r="F6037" t="s">
        <v>994</v>
      </c>
      <c r="G6037" s="9">
        <v>19900</v>
      </c>
      <c r="H6037" s="8">
        <v>27180</v>
      </c>
    </row>
    <row r="6038" spans="2:8" ht="17.5" customHeight="1" x14ac:dyDescent="0.4">
      <c r="B6038" t="s">
        <v>7</v>
      </c>
      <c r="C6038" t="s">
        <v>993</v>
      </c>
      <c r="D6038" s="7">
        <f>DATE(2018,6,26)</f>
        <v>43277</v>
      </c>
      <c r="E6038" s="8">
        <f t="shared" si="99"/>
        <v>2018</v>
      </c>
      <c r="F6038" t="s">
        <v>994</v>
      </c>
      <c r="G6038" s="9">
        <v>1452.92</v>
      </c>
      <c r="H6038" s="8">
        <v>27239</v>
      </c>
    </row>
    <row r="6039" spans="2:8" ht="17.5" customHeight="1" x14ac:dyDescent="0.4">
      <c r="B6039" t="s">
        <v>7</v>
      </c>
      <c r="C6039" t="s">
        <v>993</v>
      </c>
      <c r="D6039" s="7">
        <f>DATE(2018,6,26)</f>
        <v>43277</v>
      </c>
      <c r="E6039" s="8">
        <f t="shared" si="99"/>
        <v>2018</v>
      </c>
      <c r="F6039" t="s">
        <v>994</v>
      </c>
      <c r="G6039" s="9">
        <v>5053</v>
      </c>
      <c r="H6039" s="8">
        <v>27245</v>
      </c>
    </row>
    <row r="6040" spans="2:8" ht="17.5" customHeight="1" x14ac:dyDescent="0.4">
      <c r="B6040" t="s">
        <v>7</v>
      </c>
      <c r="C6040" t="s">
        <v>993</v>
      </c>
      <c r="D6040" s="7">
        <f>DATE(2018,7,2)</f>
        <v>43283</v>
      </c>
      <c r="E6040" s="8">
        <f t="shared" si="99"/>
        <v>2018</v>
      </c>
      <c r="F6040" t="s">
        <v>994</v>
      </c>
      <c r="G6040" s="9">
        <v>6360</v>
      </c>
      <c r="H6040" s="8">
        <v>27303</v>
      </c>
    </row>
    <row r="6041" spans="2:8" ht="17.5" customHeight="1" x14ac:dyDescent="0.4">
      <c r="B6041" t="s">
        <v>7</v>
      </c>
      <c r="C6041" t="s">
        <v>993</v>
      </c>
      <c r="D6041" s="7">
        <f>DATE(2018,7,3)</f>
        <v>43284</v>
      </c>
      <c r="E6041" s="8">
        <f t="shared" si="99"/>
        <v>2018</v>
      </c>
      <c r="F6041" t="s">
        <v>994</v>
      </c>
      <c r="G6041" s="9">
        <v>765</v>
      </c>
      <c r="H6041" s="8">
        <v>27328</v>
      </c>
    </row>
    <row r="6042" spans="2:8" ht="17.5" customHeight="1" x14ac:dyDescent="0.4">
      <c r="B6042" t="s">
        <v>7</v>
      </c>
      <c r="C6042" t="s">
        <v>993</v>
      </c>
      <c r="D6042" s="7">
        <f>DATE(2018,7,5)</f>
        <v>43286</v>
      </c>
      <c r="E6042" s="8">
        <f t="shared" si="99"/>
        <v>2018</v>
      </c>
      <c r="F6042" t="s">
        <v>994</v>
      </c>
      <c r="G6042" s="9">
        <v>360</v>
      </c>
      <c r="H6042" s="8">
        <v>27320</v>
      </c>
    </row>
    <row r="6043" spans="2:8" ht="17.5" customHeight="1" x14ac:dyDescent="0.4">
      <c r="B6043" t="s">
        <v>7</v>
      </c>
      <c r="C6043" t="s">
        <v>993</v>
      </c>
      <c r="D6043" s="7">
        <f>DATE(2018,7,5)</f>
        <v>43286</v>
      </c>
      <c r="E6043" s="8">
        <f t="shared" si="99"/>
        <v>2018</v>
      </c>
      <c r="F6043" t="s">
        <v>994</v>
      </c>
      <c r="G6043" s="9">
        <v>335</v>
      </c>
      <c r="H6043" s="8">
        <v>27291</v>
      </c>
    </row>
    <row r="6044" spans="2:8" ht="17.5" customHeight="1" x14ac:dyDescent="0.4">
      <c r="B6044" t="s">
        <v>7</v>
      </c>
      <c r="C6044" t="s">
        <v>993</v>
      </c>
      <c r="D6044" s="7">
        <f>DATE(2018,7,11)</f>
        <v>43292</v>
      </c>
      <c r="E6044" s="8">
        <f t="shared" si="99"/>
        <v>2018</v>
      </c>
      <c r="F6044" t="s">
        <v>994</v>
      </c>
      <c r="G6044" s="9">
        <v>38188.800000000003</v>
      </c>
      <c r="H6044" s="8">
        <v>27323</v>
      </c>
    </row>
    <row r="6045" spans="2:8" ht="17.5" customHeight="1" x14ac:dyDescent="0.4">
      <c r="B6045" t="s">
        <v>7</v>
      </c>
      <c r="C6045" t="s">
        <v>993</v>
      </c>
      <c r="D6045" s="7">
        <f>DATE(2018,7,11)</f>
        <v>43292</v>
      </c>
      <c r="E6045" s="8">
        <f t="shared" si="99"/>
        <v>2018</v>
      </c>
      <c r="F6045" t="s">
        <v>994</v>
      </c>
      <c r="G6045" s="9">
        <v>7140.2</v>
      </c>
      <c r="H6045" s="8">
        <v>27353</v>
      </c>
    </row>
    <row r="6046" spans="2:8" ht="17.5" customHeight="1" x14ac:dyDescent="0.4">
      <c r="B6046" t="s">
        <v>7</v>
      </c>
      <c r="C6046" t="s">
        <v>993</v>
      </c>
      <c r="D6046" s="7">
        <f>DATE(2018,7,11)</f>
        <v>43292</v>
      </c>
      <c r="E6046" s="8">
        <f t="shared" si="99"/>
        <v>2018</v>
      </c>
      <c r="F6046" t="s">
        <v>994</v>
      </c>
      <c r="G6046" s="9">
        <v>634.4</v>
      </c>
      <c r="H6046" s="8">
        <v>27355</v>
      </c>
    </row>
    <row r="6047" spans="2:8" ht="17.5" customHeight="1" x14ac:dyDescent="0.4">
      <c r="B6047" t="s">
        <v>7</v>
      </c>
      <c r="C6047" t="s">
        <v>993</v>
      </c>
      <c r="D6047" s="7">
        <f>DATE(2018,7,13)</f>
        <v>43294</v>
      </c>
      <c r="E6047" s="8">
        <f t="shared" si="99"/>
        <v>2018</v>
      </c>
      <c r="F6047" t="s">
        <v>994</v>
      </c>
      <c r="G6047" s="9">
        <v>439.61</v>
      </c>
      <c r="H6047" s="8">
        <v>27329</v>
      </c>
    </row>
    <row r="6048" spans="2:8" ht="17.5" customHeight="1" x14ac:dyDescent="0.4">
      <c r="B6048" t="s">
        <v>7</v>
      </c>
      <c r="C6048" t="s">
        <v>993</v>
      </c>
      <c r="D6048" s="7">
        <f>DATE(2018,7,24)</f>
        <v>43305</v>
      </c>
      <c r="E6048" s="8">
        <f t="shared" si="99"/>
        <v>2018</v>
      </c>
      <c r="F6048" t="s">
        <v>994</v>
      </c>
      <c r="G6048" s="9">
        <v>1836</v>
      </c>
      <c r="H6048" s="8">
        <v>27387</v>
      </c>
    </row>
    <row r="6049" spans="2:8" ht="17.5" customHeight="1" x14ac:dyDescent="0.4">
      <c r="B6049" t="s">
        <v>7</v>
      </c>
      <c r="C6049" t="s">
        <v>993</v>
      </c>
      <c r="D6049" s="7">
        <f>DATE(2018,7,27)</f>
        <v>43308</v>
      </c>
      <c r="E6049" s="8">
        <f t="shared" si="99"/>
        <v>2018</v>
      </c>
      <c r="F6049" t="s">
        <v>994</v>
      </c>
      <c r="G6049" s="9">
        <v>451</v>
      </c>
      <c r="H6049" s="8">
        <v>27414</v>
      </c>
    </row>
    <row r="6050" spans="2:8" ht="17.5" customHeight="1" x14ac:dyDescent="0.4">
      <c r="B6050" t="s">
        <v>7</v>
      </c>
      <c r="C6050" t="s">
        <v>993</v>
      </c>
      <c r="D6050" s="7">
        <f>DATE(2018,8,6)</f>
        <v>43318</v>
      </c>
      <c r="E6050" s="8">
        <f t="shared" si="99"/>
        <v>2018</v>
      </c>
      <c r="F6050" t="s">
        <v>994</v>
      </c>
      <c r="G6050" s="9">
        <v>598.9</v>
      </c>
      <c r="H6050" s="8">
        <v>27452</v>
      </c>
    </row>
    <row r="6051" spans="2:8" ht="17.5" customHeight="1" x14ac:dyDescent="0.4">
      <c r="B6051" t="s">
        <v>7</v>
      </c>
      <c r="C6051" t="s">
        <v>993</v>
      </c>
      <c r="D6051" s="7">
        <f>DATE(2018,8,8)</f>
        <v>43320</v>
      </c>
      <c r="E6051" s="8">
        <f t="shared" si="99"/>
        <v>2018</v>
      </c>
      <c r="F6051" t="s">
        <v>994</v>
      </c>
      <c r="G6051" s="9">
        <v>1971.06</v>
      </c>
      <c r="H6051" s="8">
        <v>27469</v>
      </c>
    </row>
    <row r="6052" spans="2:8" ht="17.5" customHeight="1" x14ac:dyDescent="0.4">
      <c r="B6052" t="s">
        <v>7</v>
      </c>
      <c r="C6052" t="s">
        <v>993</v>
      </c>
      <c r="D6052" s="7">
        <f>DATE(2018,8,13)</f>
        <v>43325</v>
      </c>
      <c r="E6052" s="8">
        <f t="shared" si="99"/>
        <v>2018</v>
      </c>
      <c r="F6052" t="s">
        <v>994</v>
      </c>
      <c r="G6052" s="9">
        <v>6771.1</v>
      </c>
      <c r="H6052" s="8">
        <v>27485</v>
      </c>
    </row>
    <row r="6053" spans="2:8" ht="17.5" customHeight="1" x14ac:dyDescent="0.4">
      <c r="B6053" t="s">
        <v>7</v>
      </c>
      <c r="C6053" t="s">
        <v>993</v>
      </c>
      <c r="D6053" s="7">
        <f>DATE(2018,8,13)</f>
        <v>43325</v>
      </c>
      <c r="E6053" s="8">
        <f t="shared" si="99"/>
        <v>2018</v>
      </c>
      <c r="F6053" t="s">
        <v>994</v>
      </c>
      <c r="G6053" s="9">
        <v>6352.5</v>
      </c>
      <c r="H6053" s="8">
        <v>27463</v>
      </c>
    </row>
    <row r="6054" spans="2:8" ht="17.5" customHeight="1" x14ac:dyDescent="0.4">
      <c r="B6054" t="s">
        <v>7</v>
      </c>
      <c r="C6054" t="s">
        <v>993</v>
      </c>
      <c r="D6054" s="7">
        <f>DATE(2018,8,23)</f>
        <v>43335</v>
      </c>
      <c r="E6054" s="8">
        <f t="shared" si="99"/>
        <v>2018</v>
      </c>
      <c r="F6054" t="s">
        <v>994</v>
      </c>
      <c r="G6054" s="9">
        <v>5363.05</v>
      </c>
      <c r="H6054" s="8">
        <v>27550</v>
      </c>
    </row>
    <row r="6055" spans="2:8" ht="17.5" customHeight="1" x14ac:dyDescent="0.4">
      <c r="B6055" t="s">
        <v>7</v>
      </c>
      <c r="C6055" t="s">
        <v>993</v>
      </c>
      <c r="D6055" s="7">
        <f>DATE(2018,8,24)</f>
        <v>43336</v>
      </c>
      <c r="E6055" s="8">
        <f t="shared" si="99"/>
        <v>2018</v>
      </c>
      <c r="F6055" t="s">
        <v>994</v>
      </c>
      <c r="G6055" s="9">
        <v>488.75</v>
      </c>
      <c r="H6055" s="8">
        <v>27558</v>
      </c>
    </row>
    <row r="6056" spans="2:8" ht="17.5" customHeight="1" x14ac:dyDescent="0.4">
      <c r="B6056" t="s">
        <v>7</v>
      </c>
      <c r="C6056" t="s">
        <v>993</v>
      </c>
      <c r="D6056" s="7">
        <f>DATE(2018,8,27)</f>
        <v>43339</v>
      </c>
      <c r="E6056" s="8">
        <f t="shared" si="99"/>
        <v>2018</v>
      </c>
      <c r="F6056" t="s">
        <v>994</v>
      </c>
      <c r="G6056" s="9">
        <v>334.5</v>
      </c>
      <c r="H6056" s="8">
        <v>27564</v>
      </c>
    </row>
    <row r="6057" spans="2:8" ht="17.5" customHeight="1" x14ac:dyDescent="0.4">
      <c r="B6057" t="s">
        <v>7</v>
      </c>
      <c r="C6057" t="s">
        <v>993</v>
      </c>
      <c r="D6057" s="7">
        <f>DATE(2018,8,29)</f>
        <v>43341</v>
      </c>
      <c r="E6057" s="8">
        <f t="shared" si="99"/>
        <v>2018</v>
      </c>
      <c r="F6057" t="s">
        <v>994</v>
      </c>
      <c r="G6057" s="9">
        <v>860</v>
      </c>
      <c r="H6057" s="8">
        <v>27569</v>
      </c>
    </row>
    <row r="6058" spans="2:8" ht="17.5" customHeight="1" x14ac:dyDescent="0.4">
      <c r="B6058" t="s">
        <v>7</v>
      </c>
      <c r="C6058" t="s">
        <v>993</v>
      </c>
      <c r="D6058" s="7">
        <f>DATE(2018,8,29)</f>
        <v>43341</v>
      </c>
      <c r="E6058" s="8">
        <f t="shared" si="99"/>
        <v>2018</v>
      </c>
      <c r="F6058" t="s">
        <v>994</v>
      </c>
      <c r="G6058" s="9">
        <v>10500</v>
      </c>
      <c r="H6058" s="8">
        <v>27570</v>
      </c>
    </row>
    <row r="6059" spans="2:8" ht="17.5" customHeight="1" x14ac:dyDescent="0.4">
      <c r="B6059" t="s">
        <v>7</v>
      </c>
      <c r="C6059" t="s">
        <v>993</v>
      </c>
      <c r="D6059" s="7">
        <f>DATE(2018,9,7)</f>
        <v>43350</v>
      </c>
      <c r="E6059" s="8">
        <f t="shared" si="99"/>
        <v>2018</v>
      </c>
      <c r="F6059" t="s">
        <v>994</v>
      </c>
      <c r="G6059" s="9">
        <v>90.06</v>
      </c>
      <c r="H6059" s="8">
        <v>27605</v>
      </c>
    </row>
    <row r="6060" spans="2:8" ht="17.5" customHeight="1" x14ac:dyDescent="0.4">
      <c r="B6060" t="s">
        <v>7</v>
      </c>
      <c r="C6060" t="s">
        <v>993</v>
      </c>
      <c r="D6060" s="7">
        <f>DATE(2018,9,7)</f>
        <v>43350</v>
      </c>
      <c r="E6060" s="8">
        <f t="shared" si="99"/>
        <v>2018</v>
      </c>
      <c r="F6060" t="s">
        <v>994</v>
      </c>
      <c r="G6060" s="9">
        <v>244.8</v>
      </c>
      <c r="H6060" s="8">
        <v>27604</v>
      </c>
    </row>
    <row r="6061" spans="2:8" ht="17.5" customHeight="1" x14ac:dyDescent="0.4">
      <c r="B6061" t="s">
        <v>7</v>
      </c>
      <c r="C6061" t="s">
        <v>993</v>
      </c>
      <c r="D6061" s="7">
        <f>DATE(2018,9,11)</f>
        <v>43354</v>
      </c>
      <c r="E6061" s="8">
        <f t="shared" si="99"/>
        <v>2018</v>
      </c>
      <c r="F6061" t="s">
        <v>994</v>
      </c>
      <c r="G6061" s="9">
        <v>3448.5</v>
      </c>
      <c r="H6061" s="8">
        <v>27626</v>
      </c>
    </row>
    <row r="6062" spans="2:8" ht="17.5" customHeight="1" x14ac:dyDescent="0.4">
      <c r="B6062" t="s">
        <v>7</v>
      </c>
      <c r="C6062" t="s">
        <v>993</v>
      </c>
      <c r="D6062" s="7">
        <f>DATE(2018,9,13)</f>
        <v>43356</v>
      </c>
      <c r="E6062" s="8">
        <f t="shared" si="99"/>
        <v>2018</v>
      </c>
      <c r="F6062" t="s">
        <v>994</v>
      </c>
      <c r="G6062" s="9">
        <v>61.2</v>
      </c>
      <c r="H6062" s="8">
        <v>27642</v>
      </c>
    </row>
    <row r="6063" spans="2:8" ht="17.5" customHeight="1" x14ac:dyDescent="0.4">
      <c r="B6063" t="s">
        <v>7</v>
      </c>
      <c r="C6063" t="s">
        <v>993</v>
      </c>
      <c r="D6063" s="7">
        <f>DATE(2018,9,20)</f>
        <v>43363</v>
      </c>
      <c r="E6063" s="8">
        <f t="shared" si="99"/>
        <v>2018</v>
      </c>
      <c r="F6063" t="s">
        <v>994</v>
      </c>
      <c r="G6063" s="9">
        <v>10403.5</v>
      </c>
      <c r="H6063" s="8">
        <v>27650</v>
      </c>
    </row>
    <row r="6064" spans="2:8" ht="17.5" customHeight="1" x14ac:dyDescent="0.4">
      <c r="B6064" t="s">
        <v>7</v>
      </c>
      <c r="C6064" t="s">
        <v>993</v>
      </c>
      <c r="D6064" s="7">
        <f>DATE(2018,9,28)</f>
        <v>43371</v>
      </c>
      <c r="E6064" s="8">
        <f t="shared" si="99"/>
        <v>2018</v>
      </c>
      <c r="F6064" t="s">
        <v>994</v>
      </c>
      <c r="G6064" s="9">
        <v>3288.97</v>
      </c>
      <c r="H6064" s="8">
        <v>27695</v>
      </c>
    </row>
    <row r="6065" spans="2:8" ht="17.5" customHeight="1" x14ac:dyDescent="0.4">
      <c r="B6065" t="s">
        <v>7</v>
      </c>
      <c r="C6065" t="s">
        <v>993</v>
      </c>
      <c r="D6065" s="7">
        <f>DATE(2018,10,8)</f>
        <v>43381</v>
      </c>
      <c r="E6065" s="8">
        <f t="shared" si="99"/>
        <v>2018</v>
      </c>
      <c r="F6065" t="s">
        <v>994</v>
      </c>
      <c r="G6065" s="9">
        <v>6266.1</v>
      </c>
      <c r="H6065" s="8">
        <v>27775</v>
      </c>
    </row>
    <row r="6066" spans="2:8" ht="17.5" customHeight="1" x14ac:dyDescent="0.4">
      <c r="B6066" t="s">
        <v>7</v>
      </c>
      <c r="C6066" t="s">
        <v>993</v>
      </c>
      <c r="D6066" s="7">
        <f>DATE(2018,10,9)</f>
        <v>43382</v>
      </c>
      <c r="E6066" s="8">
        <f t="shared" si="99"/>
        <v>2018</v>
      </c>
      <c r="F6066" t="s">
        <v>994</v>
      </c>
      <c r="G6066" s="9">
        <v>2179.4</v>
      </c>
      <c r="H6066" s="8">
        <v>27789</v>
      </c>
    </row>
    <row r="6067" spans="2:8" ht="17.5" customHeight="1" x14ac:dyDescent="0.4">
      <c r="B6067" t="s">
        <v>7</v>
      </c>
      <c r="C6067" t="s">
        <v>993</v>
      </c>
      <c r="D6067" s="7">
        <f>DATE(2018,10,11)</f>
        <v>43384</v>
      </c>
      <c r="E6067" s="8">
        <f t="shared" si="99"/>
        <v>2018</v>
      </c>
      <c r="F6067" t="s">
        <v>994</v>
      </c>
      <c r="G6067" s="9">
        <v>1292</v>
      </c>
      <c r="H6067" s="8">
        <v>27801</v>
      </c>
    </row>
    <row r="6068" spans="2:8" ht="17.5" customHeight="1" x14ac:dyDescent="0.4">
      <c r="B6068" t="s">
        <v>7</v>
      </c>
      <c r="C6068" t="s">
        <v>993</v>
      </c>
      <c r="D6068" s="7">
        <f>DATE(2018,10,16)</f>
        <v>43389</v>
      </c>
      <c r="E6068" s="8">
        <f t="shared" si="99"/>
        <v>2018</v>
      </c>
      <c r="F6068" t="s">
        <v>994</v>
      </c>
      <c r="G6068" s="9">
        <v>198.75</v>
      </c>
      <c r="H6068" s="8">
        <v>27824</v>
      </c>
    </row>
    <row r="6069" spans="2:8" ht="17.5" customHeight="1" x14ac:dyDescent="0.4">
      <c r="B6069" t="s">
        <v>7</v>
      </c>
      <c r="C6069" t="s">
        <v>993</v>
      </c>
      <c r="D6069" s="7">
        <f>DATE(2018,10,17)</f>
        <v>43390</v>
      </c>
      <c r="E6069" s="8">
        <f t="shared" si="99"/>
        <v>2018</v>
      </c>
      <c r="F6069" t="s">
        <v>994</v>
      </c>
      <c r="G6069" s="9">
        <v>2694.5</v>
      </c>
      <c r="H6069" s="8">
        <v>27826</v>
      </c>
    </row>
    <row r="6070" spans="2:8" ht="17.5" customHeight="1" x14ac:dyDescent="0.4">
      <c r="B6070" t="s">
        <v>7</v>
      </c>
      <c r="C6070" t="s">
        <v>993</v>
      </c>
      <c r="D6070" s="7">
        <f>DATE(2018,10,18)</f>
        <v>43391</v>
      </c>
      <c r="E6070" s="8">
        <f t="shared" si="99"/>
        <v>2018</v>
      </c>
      <c r="F6070" t="s">
        <v>994</v>
      </c>
      <c r="G6070" s="9">
        <v>1208.93</v>
      </c>
      <c r="H6070" s="8">
        <v>27825</v>
      </c>
    </row>
    <row r="6071" spans="2:8" ht="17.5" customHeight="1" x14ac:dyDescent="0.4">
      <c r="B6071" t="s">
        <v>7</v>
      </c>
      <c r="C6071" t="s">
        <v>993</v>
      </c>
      <c r="D6071" s="7">
        <f>DATE(2018,10,22)</f>
        <v>43395</v>
      </c>
      <c r="E6071" s="8">
        <f t="shared" si="99"/>
        <v>2018</v>
      </c>
      <c r="F6071" t="s">
        <v>994</v>
      </c>
      <c r="G6071" s="9">
        <v>6.4</v>
      </c>
      <c r="H6071" s="8">
        <v>27862</v>
      </c>
    </row>
    <row r="6072" spans="2:8" ht="17.5" customHeight="1" x14ac:dyDescent="0.4">
      <c r="B6072" t="s">
        <v>7</v>
      </c>
      <c r="C6072" t="s">
        <v>993</v>
      </c>
      <c r="D6072" s="7">
        <f>DATE(2018,10,29)</f>
        <v>43402</v>
      </c>
      <c r="E6072" s="8">
        <f t="shared" si="99"/>
        <v>2018</v>
      </c>
      <c r="F6072" t="s">
        <v>994</v>
      </c>
      <c r="G6072" s="9">
        <v>333.6</v>
      </c>
      <c r="H6072" s="8">
        <v>27894</v>
      </c>
    </row>
    <row r="6073" spans="2:8" ht="17.5" customHeight="1" x14ac:dyDescent="0.4">
      <c r="B6073" t="s">
        <v>7</v>
      </c>
      <c r="C6073" t="s">
        <v>993</v>
      </c>
      <c r="D6073" s="7">
        <f>DATE(2018,12,5)</f>
        <v>43439</v>
      </c>
      <c r="E6073" s="8">
        <f t="shared" si="99"/>
        <v>2018</v>
      </c>
      <c r="F6073" t="s">
        <v>994</v>
      </c>
      <c r="G6073" s="9">
        <v>41.7</v>
      </c>
      <c r="H6073" s="8">
        <v>28079</v>
      </c>
    </row>
    <row r="6074" spans="2:8" ht="17.5" customHeight="1" x14ac:dyDescent="0.4">
      <c r="B6074" t="s">
        <v>7</v>
      </c>
      <c r="C6074" t="s">
        <v>993</v>
      </c>
      <c r="D6074" s="7">
        <f>DATE(2018,12,11)</f>
        <v>43445</v>
      </c>
      <c r="E6074" s="8">
        <f t="shared" si="99"/>
        <v>2018</v>
      </c>
      <c r="F6074" t="s">
        <v>994</v>
      </c>
      <c r="G6074" s="9">
        <v>3990</v>
      </c>
      <c r="H6074" s="8">
        <v>28080</v>
      </c>
    </row>
    <row r="6075" spans="2:8" ht="17.5" customHeight="1" x14ac:dyDescent="0.4">
      <c r="B6075" t="s">
        <v>7</v>
      </c>
      <c r="C6075" t="s">
        <v>993</v>
      </c>
      <c r="D6075" s="7">
        <f>DATE(2018,12,13)</f>
        <v>43447</v>
      </c>
      <c r="E6075" s="8">
        <f t="shared" si="99"/>
        <v>2018</v>
      </c>
      <c r="F6075" t="s">
        <v>994</v>
      </c>
      <c r="G6075" s="9">
        <v>4207.42</v>
      </c>
      <c r="H6075" s="8">
        <v>28113</v>
      </c>
    </row>
    <row r="6076" spans="2:8" ht="17.5" customHeight="1" x14ac:dyDescent="0.4">
      <c r="B6076" t="s">
        <v>7</v>
      </c>
      <c r="C6076" t="s">
        <v>993</v>
      </c>
      <c r="D6076" s="7">
        <f>DATE(2018,12,28)</f>
        <v>43462</v>
      </c>
      <c r="E6076" s="8">
        <f t="shared" si="99"/>
        <v>2018</v>
      </c>
      <c r="F6076" t="s">
        <v>994</v>
      </c>
      <c r="G6076" s="9">
        <v>8640.25</v>
      </c>
      <c r="H6076" s="8">
        <v>28149</v>
      </c>
    </row>
    <row r="6077" spans="2:8" ht="17.5" customHeight="1" x14ac:dyDescent="0.4">
      <c r="B6077" t="s">
        <v>7</v>
      </c>
      <c r="C6077" t="s">
        <v>993</v>
      </c>
      <c r="D6077" s="7">
        <f>DATE(2019,1,11)</f>
        <v>43476</v>
      </c>
      <c r="E6077" s="8">
        <f t="shared" si="99"/>
        <v>2019</v>
      </c>
      <c r="F6077" t="s">
        <v>994</v>
      </c>
      <c r="G6077" s="9">
        <v>3638</v>
      </c>
      <c r="H6077" s="8">
        <v>28223</v>
      </c>
    </row>
    <row r="6078" spans="2:8" ht="17.5" customHeight="1" x14ac:dyDescent="0.4">
      <c r="B6078" t="s">
        <v>7</v>
      </c>
      <c r="C6078" t="s">
        <v>993</v>
      </c>
      <c r="D6078" s="7">
        <f>DATE(2019,1,30)</f>
        <v>43495</v>
      </c>
      <c r="E6078" s="8">
        <f t="shared" si="99"/>
        <v>2019</v>
      </c>
      <c r="F6078" t="s">
        <v>994</v>
      </c>
      <c r="G6078" s="9">
        <v>10890</v>
      </c>
      <c r="H6078" s="8">
        <v>28343</v>
      </c>
    </row>
    <row r="6079" spans="2:8" ht="17.5" customHeight="1" x14ac:dyDescent="0.4">
      <c r="B6079" t="s">
        <v>7</v>
      </c>
      <c r="C6079" t="s">
        <v>993</v>
      </c>
      <c r="D6079" s="7">
        <f>DATE(2019,2,18)</f>
        <v>43514</v>
      </c>
      <c r="E6079" s="8">
        <f t="shared" si="99"/>
        <v>2019</v>
      </c>
      <c r="F6079" t="s">
        <v>994</v>
      </c>
      <c r="G6079" s="9">
        <v>5445</v>
      </c>
      <c r="H6079" s="8">
        <v>28416</v>
      </c>
    </row>
    <row r="6080" spans="2:8" ht="17.5" customHeight="1" x14ac:dyDescent="0.4">
      <c r="B6080" t="s">
        <v>7</v>
      </c>
      <c r="C6080" t="s">
        <v>993</v>
      </c>
      <c r="D6080" s="7">
        <f>DATE(2019,3,6)</f>
        <v>43530</v>
      </c>
      <c r="E6080" s="8">
        <f t="shared" si="99"/>
        <v>2019</v>
      </c>
      <c r="F6080" t="s">
        <v>994</v>
      </c>
      <c r="G6080" s="9">
        <v>1202.75</v>
      </c>
      <c r="H6080" s="8">
        <v>28545</v>
      </c>
    </row>
    <row r="6081" spans="2:8" ht="17.5" customHeight="1" x14ac:dyDescent="0.4">
      <c r="B6081" t="s">
        <v>7</v>
      </c>
      <c r="C6081" t="s">
        <v>993</v>
      </c>
      <c r="D6081" s="7">
        <f>DATE(2019,3,12)</f>
        <v>43536</v>
      </c>
      <c r="E6081" s="8">
        <f t="shared" si="99"/>
        <v>2019</v>
      </c>
      <c r="F6081" t="s">
        <v>994</v>
      </c>
      <c r="G6081" s="9">
        <v>367.2</v>
      </c>
      <c r="H6081" s="8">
        <v>28608</v>
      </c>
    </row>
    <row r="6082" spans="2:8" ht="17.5" customHeight="1" x14ac:dyDescent="0.4">
      <c r="B6082" t="s">
        <v>7</v>
      </c>
      <c r="C6082" t="s">
        <v>993</v>
      </c>
      <c r="D6082" s="7">
        <f>DATE(2019,3,12)</f>
        <v>43536</v>
      </c>
      <c r="E6082" s="8">
        <f t="shared" si="99"/>
        <v>2019</v>
      </c>
      <c r="F6082" t="s">
        <v>994</v>
      </c>
      <c r="G6082" s="9">
        <v>22950</v>
      </c>
      <c r="H6082" s="8">
        <v>28606</v>
      </c>
    </row>
    <row r="6083" spans="2:8" ht="17.5" customHeight="1" x14ac:dyDescent="0.4">
      <c r="B6083" t="s">
        <v>7</v>
      </c>
      <c r="C6083" t="s">
        <v>993</v>
      </c>
      <c r="D6083" s="7">
        <f>DATE(2019,3,13)</f>
        <v>43537</v>
      </c>
      <c r="E6083" s="8">
        <f t="shared" ref="E6083:E6146" si="100">YEAR(D6083)</f>
        <v>2019</v>
      </c>
      <c r="F6083" t="s">
        <v>994</v>
      </c>
      <c r="G6083" s="9">
        <v>191.82</v>
      </c>
      <c r="H6083" s="8">
        <v>28605</v>
      </c>
    </row>
    <row r="6084" spans="2:8" ht="17.5" customHeight="1" x14ac:dyDescent="0.4">
      <c r="B6084" t="s">
        <v>7</v>
      </c>
      <c r="C6084" t="s">
        <v>993</v>
      </c>
      <c r="D6084" s="7">
        <f>DATE(2019,3,14)</f>
        <v>43538</v>
      </c>
      <c r="E6084" s="8">
        <f t="shared" si="100"/>
        <v>2019</v>
      </c>
      <c r="F6084" t="s">
        <v>994</v>
      </c>
      <c r="G6084" s="9">
        <v>6579</v>
      </c>
      <c r="H6084" s="8">
        <v>28633</v>
      </c>
    </row>
    <row r="6085" spans="2:8" ht="17.5" customHeight="1" x14ac:dyDescent="0.4">
      <c r="B6085" t="s">
        <v>7</v>
      </c>
      <c r="C6085" t="s">
        <v>993</v>
      </c>
      <c r="D6085" s="7">
        <f>DATE(2019,3,18)</f>
        <v>43542</v>
      </c>
      <c r="E6085" s="8">
        <f t="shared" si="100"/>
        <v>2019</v>
      </c>
      <c r="F6085" t="s">
        <v>994</v>
      </c>
      <c r="G6085" s="9">
        <v>3263.7</v>
      </c>
      <c r="H6085" s="8">
        <v>28610</v>
      </c>
    </row>
    <row r="6086" spans="2:8" ht="17.5" customHeight="1" x14ac:dyDescent="0.4">
      <c r="B6086" t="s">
        <v>7</v>
      </c>
      <c r="C6086" t="s">
        <v>993</v>
      </c>
      <c r="D6086" s="7">
        <f>DATE(2019,3,20)</f>
        <v>43544</v>
      </c>
      <c r="E6086" s="8">
        <f t="shared" si="100"/>
        <v>2019</v>
      </c>
      <c r="F6086" t="s">
        <v>994</v>
      </c>
      <c r="G6086" s="9">
        <v>14688</v>
      </c>
      <c r="H6086" s="8">
        <v>28655</v>
      </c>
    </row>
    <row r="6087" spans="2:8" ht="17.5" customHeight="1" x14ac:dyDescent="0.4">
      <c r="B6087" t="s">
        <v>7</v>
      </c>
      <c r="C6087" t="s">
        <v>993</v>
      </c>
      <c r="D6087" s="7">
        <f>DATE(2019,3,20)</f>
        <v>43544</v>
      </c>
      <c r="E6087" s="8">
        <f t="shared" si="100"/>
        <v>2019</v>
      </c>
      <c r="F6087" t="s">
        <v>994</v>
      </c>
      <c r="G6087" s="9">
        <v>2984.52</v>
      </c>
      <c r="H6087" s="8">
        <v>28654</v>
      </c>
    </row>
    <row r="6088" spans="2:8" ht="17.5" customHeight="1" x14ac:dyDescent="0.4">
      <c r="B6088" t="s">
        <v>7</v>
      </c>
      <c r="C6088" t="s">
        <v>993</v>
      </c>
      <c r="D6088" s="7">
        <f>DATE(2019,3,25)</f>
        <v>43549</v>
      </c>
      <c r="E6088" s="8">
        <f t="shared" si="100"/>
        <v>2019</v>
      </c>
      <c r="F6088" t="s">
        <v>994</v>
      </c>
      <c r="G6088" s="9">
        <v>2509.1999999999998</v>
      </c>
      <c r="H6088" s="8">
        <v>28691</v>
      </c>
    </row>
    <row r="6089" spans="2:8" ht="17.5" customHeight="1" x14ac:dyDescent="0.4">
      <c r="B6089" t="s">
        <v>7</v>
      </c>
      <c r="C6089" t="s">
        <v>993</v>
      </c>
      <c r="D6089" s="7">
        <f>DATE(2019,3,27)</f>
        <v>43551</v>
      </c>
      <c r="E6089" s="8">
        <f t="shared" si="100"/>
        <v>2019</v>
      </c>
      <c r="F6089" t="s">
        <v>994</v>
      </c>
      <c r="G6089" s="9">
        <v>8800</v>
      </c>
      <c r="H6089" s="8">
        <v>28656</v>
      </c>
    </row>
    <row r="6090" spans="2:8" ht="17.5" customHeight="1" x14ac:dyDescent="0.4">
      <c r="B6090" t="s">
        <v>7</v>
      </c>
      <c r="C6090" t="s">
        <v>993</v>
      </c>
      <c r="D6090" s="7">
        <f>DATE(2019,3,27)</f>
        <v>43551</v>
      </c>
      <c r="E6090" s="8">
        <f t="shared" si="100"/>
        <v>2019</v>
      </c>
      <c r="F6090" t="s">
        <v>994</v>
      </c>
      <c r="G6090" s="9">
        <v>887.4</v>
      </c>
      <c r="H6090" s="8">
        <v>28692</v>
      </c>
    </row>
    <row r="6091" spans="2:8" ht="17.5" customHeight="1" x14ac:dyDescent="0.4">
      <c r="B6091" t="s">
        <v>7</v>
      </c>
      <c r="C6091" t="s">
        <v>993</v>
      </c>
      <c r="D6091" s="7">
        <f>DATE(2019,4,2)</f>
        <v>43557</v>
      </c>
      <c r="E6091" s="8">
        <f t="shared" si="100"/>
        <v>2019</v>
      </c>
      <c r="F6091" t="s">
        <v>994</v>
      </c>
      <c r="G6091" s="9">
        <v>16.68</v>
      </c>
      <c r="H6091" s="8">
        <v>28755</v>
      </c>
    </row>
    <row r="6092" spans="2:8" ht="17.5" customHeight="1" x14ac:dyDescent="0.4">
      <c r="B6092" t="s">
        <v>7</v>
      </c>
      <c r="C6092" t="s">
        <v>993</v>
      </c>
      <c r="D6092" s="7">
        <f>DATE(2019,4,8)</f>
        <v>43563</v>
      </c>
      <c r="E6092" s="8">
        <f t="shared" si="100"/>
        <v>2019</v>
      </c>
      <c r="F6092" t="s">
        <v>994</v>
      </c>
      <c r="G6092" s="9">
        <v>4126.32</v>
      </c>
      <c r="H6092" s="8">
        <v>28787</v>
      </c>
    </row>
    <row r="6093" spans="2:8" ht="17.5" customHeight="1" x14ac:dyDescent="0.4">
      <c r="B6093" t="s">
        <v>7</v>
      </c>
      <c r="C6093" t="s">
        <v>993</v>
      </c>
      <c r="D6093" s="7">
        <f>DATE(2019,4,9)</f>
        <v>43564</v>
      </c>
      <c r="E6093" s="8">
        <f t="shared" si="100"/>
        <v>2019</v>
      </c>
      <c r="F6093" t="s">
        <v>994</v>
      </c>
      <c r="G6093" s="9">
        <v>890</v>
      </c>
      <c r="H6093" s="8">
        <v>28777</v>
      </c>
    </row>
    <row r="6094" spans="2:8" ht="17.5" customHeight="1" x14ac:dyDescent="0.4">
      <c r="B6094" t="s">
        <v>7</v>
      </c>
      <c r="C6094" t="s">
        <v>993</v>
      </c>
      <c r="D6094" s="7">
        <f>DATE(2019,4,16)</f>
        <v>43571</v>
      </c>
      <c r="E6094" s="8">
        <f t="shared" si="100"/>
        <v>2019</v>
      </c>
      <c r="F6094" t="s">
        <v>994</v>
      </c>
      <c r="G6094" s="9">
        <v>1470.15</v>
      </c>
      <c r="H6094" s="8">
        <v>28802</v>
      </c>
    </row>
    <row r="6095" spans="2:8" ht="17.5" customHeight="1" x14ac:dyDescent="0.4">
      <c r="B6095" t="s">
        <v>7</v>
      </c>
      <c r="C6095" t="s">
        <v>993</v>
      </c>
      <c r="D6095" s="7">
        <f>DATE(2019,4,24)</f>
        <v>43579</v>
      </c>
      <c r="E6095" s="8">
        <f t="shared" si="100"/>
        <v>2019</v>
      </c>
      <c r="F6095" t="s">
        <v>994</v>
      </c>
      <c r="G6095" s="9">
        <v>3450</v>
      </c>
      <c r="H6095" s="8">
        <v>28888</v>
      </c>
    </row>
    <row r="6096" spans="2:8" ht="17.5" customHeight="1" x14ac:dyDescent="0.4">
      <c r="B6096" t="s">
        <v>7</v>
      </c>
      <c r="C6096" t="s">
        <v>993</v>
      </c>
      <c r="D6096" s="7">
        <f>DATE(2019,4,29)</f>
        <v>43584</v>
      </c>
      <c r="E6096" s="8">
        <f t="shared" si="100"/>
        <v>2019</v>
      </c>
      <c r="F6096" t="s">
        <v>994</v>
      </c>
      <c r="G6096" s="9">
        <v>3417.95</v>
      </c>
      <c r="H6096" s="8">
        <v>28889</v>
      </c>
    </row>
    <row r="6097" spans="2:8" ht="17.5" customHeight="1" x14ac:dyDescent="0.4">
      <c r="B6097" t="s">
        <v>7</v>
      </c>
      <c r="C6097" t="s">
        <v>993</v>
      </c>
      <c r="D6097" s="7">
        <f>DATE(2019,4,30)</f>
        <v>43585</v>
      </c>
      <c r="E6097" s="8">
        <f t="shared" si="100"/>
        <v>2019</v>
      </c>
      <c r="F6097" t="s">
        <v>994</v>
      </c>
      <c r="G6097" s="9">
        <v>4762.6000000000004</v>
      </c>
      <c r="H6097" s="8">
        <v>28938</v>
      </c>
    </row>
    <row r="6098" spans="2:8" ht="17.5" customHeight="1" x14ac:dyDescent="0.4">
      <c r="B6098" t="s">
        <v>7</v>
      </c>
      <c r="C6098" t="s">
        <v>993</v>
      </c>
      <c r="D6098" s="7">
        <f>DATE(2019,5,6)</f>
        <v>43591</v>
      </c>
      <c r="E6098" s="8">
        <f t="shared" si="100"/>
        <v>2019</v>
      </c>
      <c r="F6098" t="s">
        <v>994</v>
      </c>
      <c r="G6098" s="9">
        <v>30195.1</v>
      </c>
      <c r="H6098" s="8">
        <v>28833</v>
      </c>
    </row>
    <row r="6099" spans="2:8" ht="17.5" customHeight="1" x14ac:dyDescent="0.4">
      <c r="B6099" t="s">
        <v>7</v>
      </c>
      <c r="C6099" t="s">
        <v>993</v>
      </c>
      <c r="D6099" s="7">
        <f>DATE(2019,5,6)</f>
        <v>43591</v>
      </c>
      <c r="E6099" s="8">
        <f t="shared" si="100"/>
        <v>2019</v>
      </c>
      <c r="F6099" t="s">
        <v>994</v>
      </c>
      <c r="G6099" s="9">
        <v>612</v>
      </c>
      <c r="H6099" s="8">
        <v>28963</v>
      </c>
    </row>
    <row r="6100" spans="2:8" ht="17.5" customHeight="1" x14ac:dyDescent="0.4">
      <c r="B6100" t="s">
        <v>7</v>
      </c>
      <c r="C6100" t="s">
        <v>993</v>
      </c>
      <c r="D6100" s="7">
        <f>DATE(2019,5,9)</f>
        <v>43594</v>
      </c>
      <c r="E6100" s="8">
        <f t="shared" si="100"/>
        <v>2019</v>
      </c>
      <c r="F6100" t="s">
        <v>994</v>
      </c>
      <c r="G6100" s="9">
        <v>3448.5</v>
      </c>
      <c r="H6100" s="8">
        <v>28964</v>
      </c>
    </row>
    <row r="6101" spans="2:8" ht="17.5" customHeight="1" x14ac:dyDescent="0.4">
      <c r="B6101" t="s">
        <v>7</v>
      </c>
      <c r="C6101" t="s">
        <v>993</v>
      </c>
      <c r="D6101" s="7">
        <f>DATE(2019,5,10)</f>
        <v>43595</v>
      </c>
      <c r="E6101" s="8">
        <f t="shared" si="100"/>
        <v>2019</v>
      </c>
      <c r="F6101" t="s">
        <v>994</v>
      </c>
      <c r="G6101" s="9">
        <v>306</v>
      </c>
      <c r="H6101" s="8">
        <v>28979</v>
      </c>
    </row>
    <row r="6102" spans="2:8" ht="17.5" customHeight="1" x14ac:dyDescent="0.4">
      <c r="B6102" t="s">
        <v>7</v>
      </c>
      <c r="C6102" t="s">
        <v>993</v>
      </c>
      <c r="D6102" s="7">
        <f>DATE(2015,3,12)</f>
        <v>42075</v>
      </c>
      <c r="E6102" s="8">
        <f t="shared" si="100"/>
        <v>2015</v>
      </c>
      <c r="F6102" t="s">
        <v>994</v>
      </c>
      <c r="G6102" s="9">
        <v>8401.69</v>
      </c>
      <c r="H6102" s="8">
        <v>20068</v>
      </c>
    </row>
    <row r="6103" spans="2:8" ht="17.5" customHeight="1" x14ac:dyDescent="0.4">
      <c r="B6103" t="s">
        <v>7</v>
      </c>
      <c r="C6103" t="s">
        <v>993</v>
      </c>
      <c r="D6103" s="7">
        <f>DATE(2015,5,6)</f>
        <v>42130</v>
      </c>
      <c r="E6103" s="8">
        <f t="shared" si="100"/>
        <v>2015</v>
      </c>
      <c r="F6103" t="s">
        <v>994</v>
      </c>
      <c r="G6103" s="9">
        <v>596.29999999999995</v>
      </c>
      <c r="H6103" s="8">
        <v>20548</v>
      </c>
    </row>
    <row r="6104" spans="2:8" ht="17.5" customHeight="1" x14ac:dyDescent="0.4">
      <c r="B6104" t="s">
        <v>7</v>
      </c>
      <c r="C6104" t="s">
        <v>993</v>
      </c>
      <c r="D6104" s="7">
        <f>DATE(2015,10,6)</f>
        <v>42283</v>
      </c>
      <c r="E6104" s="8">
        <f t="shared" si="100"/>
        <v>2015</v>
      </c>
      <c r="F6104" t="s">
        <v>994</v>
      </c>
      <c r="G6104" s="9">
        <v>310.5</v>
      </c>
      <c r="H6104" s="8">
        <v>21364</v>
      </c>
    </row>
    <row r="6105" spans="2:8" ht="17.5" customHeight="1" x14ac:dyDescent="0.4">
      <c r="B6105" t="s">
        <v>7</v>
      </c>
      <c r="C6105" t="s">
        <v>993</v>
      </c>
      <c r="D6105" s="7">
        <f>DATE(2015,10,20)</f>
        <v>42297</v>
      </c>
      <c r="E6105" s="8">
        <f t="shared" si="100"/>
        <v>2015</v>
      </c>
      <c r="F6105" t="s">
        <v>994</v>
      </c>
      <c r="G6105" s="9">
        <v>960.15</v>
      </c>
      <c r="H6105" s="8">
        <v>21378</v>
      </c>
    </row>
    <row r="6106" spans="2:8" ht="17.5" customHeight="1" x14ac:dyDescent="0.4">
      <c r="B6106" t="s">
        <v>7</v>
      </c>
      <c r="C6106" t="s">
        <v>993</v>
      </c>
      <c r="D6106" s="7">
        <f>DATE(2015,12,29)</f>
        <v>42367</v>
      </c>
      <c r="E6106" s="8">
        <f t="shared" si="100"/>
        <v>2015</v>
      </c>
      <c r="F6106" t="s">
        <v>994</v>
      </c>
      <c r="G6106" s="9">
        <v>943.4</v>
      </c>
      <c r="H6106" s="8">
        <v>21894</v>
      </c>
    </row>
    <row r="6107" spans="2:8" ht="17.5" customHeight="1" x14ac:dyDescent="0.4">
      <c r="B6107" t="s">
        <v>7</v>
      </c>
      <c r="C6107" t="s">
        <v>993</v>
      </c>
      <c r="D6107" s="7">
        <f>DATE(2016,3,24)</f>
        <v>42453</v>
      </c>
      <c r="E6107" s="8">
        <f t="shared" si="100"/>
        <v>2016</v>
      </c>
      <c r="F6107" t="s">
        <v>994</v>
      </c>
      <c r="G6107" s="9">
        <v>15825.43</v>
      </c>
      <c r="H6107" s="8">
        <v>22427</v>
      </c>
    </row>
    <row r="6108" spans="2:8" ht="17.5" customHeight="1" x14ac:dyDescent="0.4">
      <c r="B6108" t="s">
        <v>7</v>
      </c>
      <c r="C6108" t="s">
        <v>993</v>
      </c>
      <c r="D6108" s="7">
        <f>DATE(2016,11,16)</f>
        <v>42690</v>
      </c>
      <c r="E6108" s="8">
        <f t="shared" si="100"/>
        <v>2016</v>
      </c>
      <c r="F6108" t="s">
        <v>994</v>
      </c>
      <c r="G6108" s="9">
        <v>7000</v>
      </c>
      <c r="H6108" s="8">
        <v>23620</v>
      </c>
    </row>
    <row r="6109" spans="2:8" ht="17.5" customHeight="1" x14ac:dyDescent="0.4">
      <c r="B6109" t="s">
        <v>7</v>
      </c>
      <c r="C6109" t="s">
        <v>993</v>
      </c>
      <c r="D6109" s="7">
        <f>DATE(2017,1,13)</f>
        <v>42748</v>
      </c>
      <c r="E6109" s="8">
        <f t="shared" si="100"/>
        <v>2017</v>
      </c>
      <c r="F6109" t="s">
        <v>994</v>
      </c>
      <c r="G6109" s="9">
        <v>315</v>
      </c>
      <c r="H6109" s="8">
        <v>23984</v>
      </c>
    </row>
    <row r="6110" spans="2:8" ht="17.5" customHeight="1" x14ac:dyDescent="0.4">
      <c r="B6110" t="s">
        <v>7</v>
      </c>
      <c r="C6110" t="s">
        <v>993</v>
      </c>
      <c r="D6110" s="7">
        <f>DATE(2017,8,23)</f>
        <v>42970</v>
      </c>
      <c r="E6110" s="8">
        <f t="shared" si="100"/>
        <v>2017</v>
      </c>
      <c r="F6110" t="s">
        <v>994</v>
      </c>
      <c r="G6110" s="9">
        <v>100</v>
      </c>
      <c r="H6110" s="8">
        <v>25397</v>
      </c>
    </row>
    <row r="6111" spans="2:8" ht="17.5" customHeight="1" x14ac:dyDescent="0.4">
      <c r="B6111" t="s">
        <v>7</v>
      </c>
      <c r="C6111" t="s">
        <v>993</v>
      </c>
      <c r="D6111" s="7">
        <f>DATE(2017,11,13)</f>
        <v>43052</v>
      </c>
      <c r="E6111" s="8">
        <f t="shared" si="100"/>
        <v>2017</v>
      </c>
      <c r="F6111" t="s">
        <v>994</v>
      </c>
      <c r="G6111" s="9">
        <v>5100</v>
      </c>
      <c r="H6111" s="8">
        <v>25692</v>
      </c>
    </row>
    <row r="6112" spans="2:8" ht="17.5" customHeight="1" x14ac:dyDescent="0.4">
      <c r="B6112" t="s">
        <v>7</v>
      </c>
      <c r="C6112" t="s">
        <v>993</v>
      </c>
      <c r="D6112" s="7">
        <f>DATE(2018,1,24)</f>
        <v>43124</v>
      </c>
      <c r="E6112" s="8">
        <f t="shared" si="100"/>
        <v>2018</v>
      </c>
      <c r="F6112" t="s">
        <v>994</v>
      </c>
      <c r="G6112" s="9">
        <v>283.5</v>
      </c>
      <c r="H6112" s="8">
        <v>26255</v>
      </c>
    </row>
    <row r="6113" spans="2:8" ht="17.5" customHeight="1" x14ac:dyDescent="0.4">
      <c r="B6113" t="s">
        <v>7</v>
      </c>
      <c r="C6113" t="s">
        <v>993</v>
      </c>
      <c r="D6113" s="7">
        <f>DATE(2016,11,21)</f>
        <v>42695</v>
      </c>
      <c r="E6113" s="8">
        <f t="shared" si="100"/>
        <v>2016</v>
      </c>
      <c r="F6113" t="s">
        <v>994</v>
      </c>
      <c r="G6113" s="9">
        <v>11765</v>
      </c>
      <c r="H6113" s="8">
        <v>23662</v>
      </c>
    </row>
    <row r="6114" spans="2:8" ht="17.5" customHeight="1" x14ac:dyDescent="0.4">
      <c r="B6114" t="s">
        <v>7</v>
      </c>
      <c r="C6114" t="s">
        <v>993</v>
      </c>
      <c r="D6114" s="7">
        <f>DATE(2016,12,23)</f>
        <v>42727</v>
      </c>
      <c r="E6114" s="8">
        <f t="shared" si="100"/>
        <v>2016</v>
      </c>
      <c r="F6114" t="s">
        <v>994</v>
      </c>
      <c r="G6114" s="9">
        <v>8253.52</v>
      </c>
      <c r="H6114" s="8">
        <v>24047</v>
      </c>
    </row>
    <row r="6115" spans="2:8" ht="17.5" customHeight="1" x14ac:dyDescent="0.4">
      <c r="B6115" t="s">
        <v>7</v>
      </c>
      <c r="C6115" t="s">
        <v>993</v>
      </c>
      <c r="D6115" s="7">
        <f>DATE(2017,7,20)</f>
        <v>42936</v>
      </c>
      <c r="E6115" s="8">
        <f t="shared" si="100"/>
        <v>2017</v>
      </c>
      <c r="F6115" t="s">
        <v>994</v>
      </c>
      <c r="G6115" s="9">
        <v>20200.46</v>
      </c>
      <c r="H6115" s="8">
        <v>25235</v>
      </c>
    </row>
    <row r="6116" spans="2:8" ht="17.5" customHeight="1" x14ac:dyDescent="0.4">
      <c r="B6116" t="s">
        <v>7</v>
      </c>
      <c r="C6116" t="s">
        <v>993</v>
      </c>
      <c r="D6116" s="7">
        <f>DATE(2018,6,21)</f>
        <v>43272</v>
      </c>
      <c r="E6116" s="8">
        <f t="shared" si="100"/>
        <v>2018</v>
      </c>
      <c r="F6116" t="s">
        <v>994</v>
      </c>
      <c r="G6116" s="9">
        <v>21951.759999999998</v>
      </c>
      <c r="H6116" s="8">
        <v>27196</v>
      </c>
    </row>
    <row r="6117" spans="2:8" ht="17.5" customHeight="1" x14ac:dyDescent="0.4">
      <c r="B6117" t="s">
        <v>7</v>
      </c>
      <c r="C6117" t="s">
        <v>993</v>
      </c>
      <c r="D6117" s="7">
        <f>DATE(2016,3,15)</f>
        <v>42444</v>
      </c>
      <c r="E6117" s="8">
        <f t="shared" si="100"/>
        <v>2016</v>
      </c>
      <c r="F6117" t="s">
        <v>994</v>
      </c>
      <c r="G6117" s="9">
        <v>15954.72</v>
      </c>
      <c r="H6117" s="8">
        <v>22108</v>
      </c>
    </row>
    <row r="6118" spans="2:8" ht="17.5" customHeight="1" x14ac:dyDescent="0.4">
      <c r="B6118" t="s">
        <v>16</v>
      </c>
      <c r="C6118" t="s">
        <v>993</v>
      </c>
      <c r="D6118" s="7">
        <f>DATE(2007,4,10)</f>
        <v>39182</v>
      </c>
      <c r="E6118" s="8">
        <f t="shared" si="100"/>
        <v>2007</v>
      </c>
      <c r="F6118" t="s">
        <v>994</v>
      </c>
      <c r="G6118" s="9">
        <v>16304.01</v>
      </c>
      <c r="H6118" s="8">
        <v>24699</v>
      </c>
    </row>
    <row r="6119" spans="2:8" ht="17.5" customHeight="1" x14ac:dyDescent="0.4">
      <c r="B6119" t="s">
        <v>16</v>
      </c>
      <c r="C6119" t="s">
        <v>993</v>
      </c>
      <c r="D6119" s="7">
        <f>DATE(2017,9,26)</f>
        <v>43004</v>
      </c>
      <c r="E6119" s="8">
        <f t="shared" si="100"/>
        <v>2017</v>
      </c>
      <c r="F6119" t="s">
        <v>994</v>
      </c>
      <c r="G6119" s="9">
        <v>921.25</v>
      </c>
      <c r="H6119" s="8">
        <v>25638</v>
      </c>
    </row>
    <row r="6120" spans="2:8" ht="17.5" customHeight="1" x14ac:dyDescent="0.4">
      <c r="B6120" t="s">
        <v>16</v>
      </c>
      <c r="C6120" t="s">
        <v>993</v>
      </c>
      <c r="D6120" s="7">
        <f>DATE(2018,3,26)</f>
        <v>43185</v>
      </c>
      <c r="E6120" s="8">
        <f t="shared" si="100"/>
        <v>2018</v>
      </c>
      <c r="F6120" t="s">
        <v>994</v>
      </c>
      <c r="G6120" s="9">
        <v>582</v>
      </c>
      <c r="H6120" s="8">
        <v>26692</v>
      </c>
    </row>
    <row r="6121" spans="2:8" ht="17.5" customHeight="1" x14ac:dyDescent="0.4">
      <c r="B6121" t="s">
        <v>16</v>
      </c>
      <c r="C6121" t="s">
        <v>993</v>
      </c>
      <c r="D6121" s="7">
        <f>DATE(2018,3,26)</f>
        <v>43185</v>
      </c>
      <c r="E6121" s="8">
        <f t="shared" si="100"/>
        <v>2018</v>
      </c>
      <c r="F6121" t="s">
        <v>994</v>
      </c>
      <c r="G6121" s="9">
        <v>716</v>
      </c>
      <c r="H6121" s="8">
        <v>26693</v>
      </c>
    </row>
    <row r="6122" spans="2:8" ht="17.5" customHeight="1" x14ac:dyDescent="0.4">
      <c r="B6122" t="s">
        <v>16</v>
      </c>
      <c r="C6122" t="s">
        <v>993</v>
      </c>
      <c r="D6122" s="7">
        <f>DATE(2017,11,13)</f>
        <v>43052</v>
      </c>
      <c r="E6122" s="8">
        <f t="shared" si="100"/>
        <v>2017</v>
      </c>
      <c r="F6122" t="s">
        <v>994</v>
      </c>
      <c r="G6122" s="9">
        <v>1500</v>
      </c>
      <c r="H6122" s="8">
        <v>25908</v>
      </c>
    </row>
    <row r="6123" spans="2:8" ht="17.5" customHeight="1" x14ac:dyDescent="0.4">
      <c r="B6123" t="s">
        <v>16</v>
      </c>
      <c r="C6123" t="s">
        <v>993</v>
      </c>
      <c r="D6123" s="7">
        <f>DATE(2015,6,8)</f>
        <v>42163</v>
      </c>
      <c r="E6123" s="8">
        <f t="shared" si="100"/>
        <v>2015</v>
      </c>
      <c r="F6123" t="s">
        <v>994</v>
      </c>
      <c r="G6123" s="9">
        <v>612</v>
      </c>
      <c r="H6123" s="8">
        <v>20775</v>
      </c>
    </row>
    <row r="6124" spans="2:8" ht="17.5" customHeight="1" x14ac:dyDescent="0.4">
      <c r="B6124" t="s">
        <v>16</v>
      </c>
      <c r="C6124" t="s">
        <v>993</v>
      </c>
      <c r="D6124" s="7">
        <f>DATE(2015,10,29)</f>
        <v>42306</v>
      </c>
      <c r="E6124" s="8">
        <f t="shared" si="100"/>
        <v>2015</v>
      </c>
      <c r="F6124" t="s">
        <v>994</v>
      </c>
      <c r="G6124" s="9">
        <v>1016.4</v>
      </c>
      <c r="H6124" s="8">
        <v>21477</v>
      </c>
    </row>
    <row r="6125" spans="2:8" ht="17.5" customHeight="1" x14ac:dyDescent="0.4">
      <c r="B6125" t="s">
        <v>16</v>
      </c>
      <c r="C6125" t="s">
        <v>993</v>
      </c>
      <c r="D6125" s="7">
        <f>DATE(2015,10,28)</f>
        <v>42305</v>
      </c>
      <c r="E6125" s="8">
        <f t="shared" si="100"/>
        <v>2015</v>
      </c>
      <c r="F6125" t="s">
        <v>994</v>
      </c>
      <c r="G6125" s="9">
        <v>1942.95</v>
      </c>
      <c r="H6125" s="8">
        <v>21513</v>
      </c>
    </row>
    <row r="6126" spans="2:8" ht="17.5" customHeight="1" x14ac:dyDescent="0.4">
      <c r="B6126" t="s">
        <v>16</v>
      </c>
      <c r="C6126" t="s">
        <v>993</v>
      </c>
      <c r="D6126" s="7">
        <f>DATE(2016,3,23)</f>
        <v>42452</v>
      </c>
      <c r="E6126" s="8">
        <f t="shared" si="100"/>
        <v>2016</v>
      </c>
      <c r="F6126" t="s">
        <v>994</v>
      </c>
      <c r="G6126" s="9">
        <v>8090</v>
      </c>
      <c r="H6126" s="8">
        <v>22510</v>
      </c>
    </row>
    <row r="6127" spans="2:8" ht="17.5" customHeight="1" x14ac:dyDescent="0.4">
      <c r="B6127" t="s">
        <v>16</v>
      </c>
      <c r="C6127" t="s">
        <v>993</v>
      </c>
      <c r="D6127" s="7">
        <f>DATE(2017,4,4)</f>
        <v>42829</v>
      </c>
      <c r="E6127" s="8">
        <f t="shared" si="100"/>
        <v>2017</v>
      </c>
      <c r="F6127" t="s">
        <v>994</v>
      </c>
      <c r="G6127" s="9">
        <v>3000</v>
      </c>
      <c r="H6127" s="8">
        <v>24698</v>
      </c>
    </row>
    <row r="6128" spans="2:8" ht="17.5" customHeight="1" x14ac:dyDescent="0.4">
      <c r="B6128" t="s">
        <v>16</v>
      </c>
      <c r="C6128" t="s">
        <v>993</v>
      </c>
      <c r="D6128" s="7">
        <f>DATE(2017,11,1)</f>
        <v>43040</v>
      </c>
      <c r="E6128" s="8">
        <f t="shared" si="100"/>
        <v>2017</v>
      </c>
      <c r="F6128" t="s">
        <v>994</v>
      </c>
      <c r="G6128" s="9">
        <v>26316</v>
      </c>
      <c r="H6128" s="8">
        <v>25831</v>
      </c>
    </row>
    <row r="6129" spans="2:8" ht="17.5" customHeight="1" x14ac:dyDescent="0.4">
      <c r="B6129" t="s">
        <v>16</v>
      </c>
      <c r="C6129" t="s">
        <v>993</v>
      </c>
      <c r="D6129" s="7">
        <f>DATE(2018,11,14)</f>
        <v>43418</v>
      </c>
      <c r="E6129" s="8">
        <f t="shared" si="100"/>
        <v>2018</v>
      </c>
      <c r="F6129" t="s">
        <v>994</v>
      </c>
      <c r="G6129" s="9">
        <v>6360</v>
      </c>
      <c r="H6129" s="8">
        <v>27962</v>
      </c>
    </row>
    <row r="6130" spans="2:8" ht="17.5" customHeight="1" x14ac:dyDescent="0.4">
      <c r="B6130" t="s">
        <v>16</v>
      </c>
      <c r="C6130" t="s">
        <v>993</v>
      </c>
      <c r="D6130" s="7">
        <f>DATE(2018,11,14)</f>
        <v>43418</v>
      </c>
      <c r="E6130" s="8">
        <f t="shared" si="100"/>
        <v>2018</v>
      </c>
      <c r="F6130" t="s">
        <v>994</v>
      </c>
      <c r="G6130" s="9">
        <v>888.9</v>
      </c>
      <c r="H6130" s="8">
        <v>27988</v>
      </c>
    </row>
    <row r="6131" spans="2:8" ht="17.5" customHeight="1" x14ac:dyDescent="0.4">
      <c r="B6131" t="s">
        <v>7</v>
      </c>
      <c r="C6131" t="s">
        <v>993</v>
      </c>
      <c r="D6131" s="7">
        <f>DATE(2005,7,15)</f>
        <v>38548</v>
      </c>
      <c r="E6131" s="8">
        <f t="shared" si="100"/>
        <v>2005</v>
      </c>
      <c r="F6131" t="s">
        <v>994</v>
      </c>
      <c r="G6131" s="9">
        <v>2182.08</v>
      </c>
      <c r="H6131" s="8">
        <v>3435</v>
      </c>
    </row>
    <row r="6132" spans="2:8" ht="17.5" customHeight="1" x14ac:dyDescent="0.4">
      <c r="B6132" t="s">
        <v>7</v>
      </c>
      <c r="C6132" t="s">
        <v>993</v>
      </c>
      <c r="D6132" s="7">
        <f>DATE(2006,6,30)</f>
        <v>38898</v>
      </c>
      <c r="E6132" s="8">
        <f t="shared" si="100"/>
        <v>2006</v>
      </c>
      <c r="F6132" t="s">
        <v>994</v>
      </c>
      <c r="G6132" s="9">
        <v>20284</v>
      </c>
      <c r="H6132" s="8">
        <v>4752</v>
      </c>
    </row>
    <row r="6133" spans="2:8" ht="17.5" customHeight="1" x14ac:dyDescent="0.4">
      <c r="B6133" t="s">
        <v>7</v>
      </c>
      <c r="C6133" t="s">
        <v>993</v>
      </c>
      <c r="D6133" s="7">
        <f>DATE(2006,10,31)</f>
        <v>39021</v>
      </c>
      <c r="E6133" s="8">
        <f t="shared" si="100"/>
        <v>2006</v>
      </c>
      <c r="F6133" t="s">
        <v>994</v>
      </c>
      <c r="G6133" s="9">
        <v>14225</v>
      </c>
      <c r="H6133" s="8">
        <v>5128</v>
      </c>
    </row>
    <row r="6134" spans="2:8" ht="17.5" customHeight="1" x14ac:dyDescent="0.4">
      <c r="B6134" t="s">
        <v>7</v>
      </c>
      <c r="C6134" t="s">
        <v>993</v>
      </c>
      <c r="D6134" s="7">
        <f>DATE(2008,10,31)</f>
        <v>39752</v>
      </c>
      <c r="E6134" s="8">
        <f t="shared" si="100"/>
        <v>2008</v>
      </c>
      <c r="F6134" t="s">
        <v>994</v>
      </c>
      <c r="G6134" s="9">
        <v>64.8</v>
      </c>
      <c r="H6134" s="8">
        <v>7968</v>
      </c>
    </row>
    <row r="6135" spans="2:8" ht="17.5" customHeight="1" x14ac:dyDescent="0.4">
      <c r="B6135" t="s">
        <v>7</v>
      </c>
      <c r="C6135" t="s">
        <v>993</v>
      </c>
      <c r="D6135" s="7">
        <f>DATE(2009,3,24)</f>
        <v>39896</v>
      </c>
      <c r="E6135" s="8">
        <f t="shared" si="100"/>
        <v>2009</v>
      </c>
      <c r="F6135" t="s">
        <v>994</v>
      </c>
      <c r="G6135" s="9">
        <v>2181</v>
      </c>
      <c r="H6135" s="8">
        <v>8511</v>
      </c>
    </row>
    <row r="6136" spans="2:8" ht="17.5" customHeight="1" x14ac:dyDescent="0.4">
      <c r="B6136" t="s">
        <v>7</v>
      </c>
      <c r="C6136" t="s">
        <v>993</v>
      </c>
      <c r="D6136" s="7">
        <f>DATE(2010,4,19)</f>
        <v>40287</v>
      </c>
      <c r="E6136" s="8">
        <f t="shared" si="100"/>
        <v>2010</v>
      </c>
      <c r="F6136" t="s">
        <v>994</v>
      </c>
      <c r="G6136" s="9">
        <v>697.2</v>
      </c>
      <c r="H6136" s="8">
        <v>9780</v>
      </c>
    </row>
    <row r="6137" spans="2:8" ht="17.5" customHeight="1" x14ac:dyDescent="0.4">
      <c r="B6137" t="s">
        <v>7</v>
      </c>
      <c r="C6137" t="s">
        <v>993</v>
      </c>
      <c r="D6137" s="7">
        <f>DATE(2010,4,21)</f>
        <v>40289</v>
      </c>
      <c r="E6137" s="8">
        <f t="shared" si="100"/>
        <v>2010</v>
      </c>
      <c r="F6137" t="s">
        <v>994</v>
      </c>
      <c r="G6137" s="9">
        <v>5380.31</v>
      </c>
      <c r="H6137" s="8">
        <v>9757</v>
      </c>
    </row>
    <row r="6138" spans="2:8" ht="17.5" customHeight="1" x14ac:dyDescent="0.4">
      <c r="B6138" t="s">
        <v>7</v>
      </c>
      <c r="C6138" t="s">
        <v>993</v>
      </c>
      <c r="D6138" s="7">
        <f>DATE(2010,11,8)</f>
        <v>40490</v>
      </c>
      <c r="E6138" s="8">
        <f t="shared" si="100"/>
        <v>2010</v>
      </c>
      <c r="F6138" t="s">
        <v>994</v>
      </c>
      <c r="G6138" s="9">
        <v>10724</v>
      </c>
      <c r="H6138" s="8">
        <v>10250</v>
      </c>
    </row>
    <row r="6139" spans="2:8" ht="17.5" customHeight="1" x14ac:dyDescent="0.4">
      <c r="B6139" t="s">
        <v>7</v>
      </c>
      <c r="C6139" t="s">
        <v>993</v>
      </c>
      <c r="D6139" s="7">
        <f>DATE(2010,12,21)</f>
        <v>40533</v>
      </c>
      <c r="E6139" s="8">
        <f t="shared" si="100"/>
        <v>2010</v>
      </c>
      <c r="F6139" t="s">
        <v>994</v>
      </c>
      <c r="G6139" s="9">
        <v>1870</v>
      </c>
      <c r="H6139" s="8">
        <v>10017</v>
      </c>
    </row>
    <row r="6140" spans="2:8" ht="17.5" customHeight="1" x14ac:dyDescent="0.4">
      <c r="B6140" t="s">
        <v>7</v>
      </c>
      <c r="C6140" t="s">
        <v>993</v>
      </c>
      <c r="D6140" s="7">
        <f>DATE(2011,5,10)</f>
        <v>40673</v>
      </c>
      <c r="E6140" s="8">
        <f t="shared" si="100"/>
        <v>2011</v>
      </c>
      <c r="F6140" t="s">
        <v>994</v>
      </c>
      <c r="G6140" s="9">
        <v>882</v>
      </c>
      <c r="H6140" s="8">
        <v>10694</v>
      </c>
    </row>
    <row r="6141" spans="2:8" ht="17.5" customHeight="1" x14ac:dyDescent="0.4">
      <c r="B6141" t="s">
        <v>7</v>
      </c>
      <c r="C6141" t="s">
        <v>993</v>
      </c>
      <c r="D6141" s="7">
        <f>DATE(2010,6,2)</f>
        <v>40331</v>
      </c>
      <c r="E6141" s="8">
        <f t="shared" si="100"/>
        <v>2010</v>
      </c>
      <c r="F6141" t="s">
        <v>994</v>
      </c>
      <c r="G6141" s="9">
        <v>5382</v>
      </c>
      <c r="H6141" s="8">
        <v>9798</v>
      </c>
    </row>
    <row r="6142" spans="2:8" ht="17.5" customHeight="1" x14ac:dyDescent="0.4">
      <c r="B6142" t="s">
        <v>7</v>
      </c>
      <c r="C6142" t="s">
        <v>993</v>
      </c>
      <c r="D6142" s="7">
        <f>DATE(2005,12,18)</f>
        <v>38704</v>
      </c>
      <c r="E6142" s="8">
        <f t="shared" si="100"/>
        <v>2005</v>
      </c>
      <c r="F6142" t="s">
        <v>994</v>
      </c>
      <c r="G6142" s="9">
        <v>11321.07</v>
      </c>
      <c r="H6142" s="8">
        <v>3849</v>
      </c>
    </row>
    <row r="6143" spans="2:8" ht="17.5" customHeight="1" x14ac:dyDescent="0.4">
      <c r="B6143" t="s">
        <v>7</v>
      </c>
      <c r="C6143" t="s">
        <v>993</v>
      </c>
      <c r="D6143" s="7">
        <f>DATE(2006,7,31)</f>
        <v>38929</v>
      </c>
      <c r="E6143" s="8">
        <f t="shared" si="100"/>
        <v>2006</v>
      </c>
      <c r="F6143" t="s">
        <v>994</v>
      </c>
      <c r="G6143" s="9">
        <v>46965.95</v>
      </c>
      <c r="H6143" s="8">
        <v>4794</v>
      </c>
    </row>
    <row r="6144" spans="2:8" ht="17.5" customHeight="1" x14ac:dyDescent="0.4">
      <c r="B6144" t="s">
        <v>7</v>
      </c>
      <c r="C6144" t="s">
        <v>993</v>
      </c>
      <c r="D6144" s="7">
        <f>DATE(2006,8,31)</f>
        <v>38960</v>
      </c>
      <c r="E6144" s="8">
        <f t="shared" si="100"/>
        <v>2006</v>
      </c>
      <c r="F6144" t="s">
        <v>994</v>
      </c>
      <c r="G6144" s="9">
        <v>22755.67</v>
      </c>
      <c r="H6144" s="8">
        <v>4940</v>
      </c>
    </row>
    <row r="6145" spans="2:8" ht="17.5" customHeight="1" x14ac:dyDescent="0.4">
      <c r="B6145" t="s">
        <v>7</v>
      </c>
      <c r="C6145" t="s">
        <v>993</v>
      </c>
      <c r="D6145" s="7">
        <f>DATE(2006,9,17)</f>
        <v>38977</v>
      </c>
      <c r="E6145" s="8">
        <f t="shared" si="100"/>
        <v>2006</v>
      </c>
      <c r="F6145" t="s">
        <v>994</v>
      </c>
      <c r="G6145" s="9">
        <v>18568.23</v>
      </c>
      <c r="H6145" s="8">
        <v>5003</v>
      </c>
    </row>
    <row r="6146" spans="2:8" ht="17.5" customHeight="1" x14ac:dyDescent="0.4">
      <c r="B6146" t="s">
        <v>7</v>
      </c>
      <c r="C6146" t="s">
        <v>993</v>
      </c>
      <c r="D6146" s="7">
        <f>DATE(2007,8,16)</f>
        <v>39310</v>
      </c>
      <c r="E6146" s="8">
        <f t="shared" si="100"/>
        <v>2007</v>
      </c>
      <c r="F6146" t="s">
        <v>994</v>
      </c>
      <c r="G6146" s="9">
        <v>1625.4</v>
      </c>
      <c r="H6146" s="8">
        <v>6287</v>
      </c>
    </row>
    <row r="6147" spans="2:8" ht="17.5" customHeight="1" x14ac:dyDescent="0.4">
      <c r="B6147" t="s">
        <v>7</v>
      </c>
      <c r="C6147" t="s">
        <v>993</v>
      </c>
      <c r="D6147" s="7">
        <f>DATE(2007,8,1)</f>
        <v>39295</v>
      </c>
      <c r="E6147" s="8">
        <f t="shared" ref="E6147:E6210" si="101">YEAR(D6147)</f>
        <v>2007</v>
      </c>
      <c r="F6147" t="s">
        <v>994</v>
      </c>
      <c r="G6147" s="9">
        <v>5849.96</v>
      </c>
      <c r="H6147" s="8">
        <v>6193</v>
      </c>
    </row>
    <row r="6148" spans="2:8" ht="17.5" customHeight="1" x14ac:dyDescent="0.4">
      <c r="B6148" t="s">
        <v>7</v>
      </c>
      <c r="C6148" t="s">
        <v>993</v>
      </c>
      <c r="D6148" s="7">
        <f>DATE(2007,9,15)</f>
        <v>39340</v>
      </c>
      <c r="E6148" s="8">
        <f t="shared" si="101"/>
        <v>2007</v>
      </c>
      <c r="F6148" t="s">
        <v>994</v>
      </c>
      <c r="G6148" s="9">
        <v>2174.1999999999998</v>
      </c>
      <c r="H6148" s="8">
        <v>6359</v>
      </c>
    </row>
    <row r="6149" spans="2:8" ht="17.5" customHeight="1" x14ac:dyDescent="0.4">
      <c r="B6149" t="s">
        <v>7</v>
      </c>
      <c r="C6149" t="s">
        <v>993</v>
      </c>
      <c r="D6149" s="7">
        <f>DATE(2007,9,22)</f>
        <v>39347</v>
      </c>
      <c r="E6149" s="8">
        <f t="shared" si="101"/>
        <v>2007</v>
      </c>
      <c r="F6149" t="s">
        <v>994</v>
      </c>
      <c r="G6149" s="9">
        <v>2392.35</v>
      </c>
      <c r="H6149" s="8">
        <v>6360</v>
      </c>
    </row>
    <row r="6150" spans="2:8" ht="17.5" customHeight="1" x14ac:dyDescent="0.4">
      <c r="B6150" t="s">
        <v>7</v>
      </c>
      <c r="C6150" t="s">
        <v>993</v>
      </c>
      <c r="D6150" s="7">
        <f>DATE(2007,10,12)</f>
        <v>39367</v>
      </c>
      <c r="E6150" s="8">
        <f t="shared" si="101"/>
        <v>2007</v>
      </c>
      <c r="F6150" t="s">
        <v>994</v>
      </c>
      <c r="G6150" s="9">
        <v>16776.75</v>
      </c>
      <c r="H6150" s="8">
        <v>6446</v>
      </c>
    </row>
    <row r="6151" spans="2:8" ht="17.5" customHeight="1" x14ac:dyDescent="0.4">
      <c r="B6151" t="s">
        <v>7</v>
      </c>
      <c r="C6151" t="s">
        <v>993</v>
      </c>
      <c r="D6151" s="7">
        <f>DATE(2008,8,9)</f>
        <v>39669</v>
      </c>
      <c r="E6151" s="8">
        <f t="shared" si="101"/>
        <v>2008</v>
      </c>
      <c r="F6151" t="s">
        <v>994</v>
      </c>
      <c r="G6151" s="9">
        <v>18482.28</v>
      </c>
      <c r="H6151" s="8">
        <v>7582</v>
      </c>
    </row>
    <row r="6152" spans="2:8" ht="17.5" customHeight="1" x14ac:dyDescent="0.4">
      <c r="B6152" t="s">
        <v>7</v>
      </c>
      <c r="C6152" t="s">
        <v>993</v>
      </c>
      <c r="D6152" s="7">
        <f>DATE(2008,12,23)</f>
        <v>39805</v>
      </c>
      <c r="E6152" s="8">
        <f t="shared" si="101"/>
        <v>2008</v>
      </c>
      <c r="F6152" t="s">
        <v>994</v>
      </c>
      <c r="G6152" s="9">
        <v>9860.23</v>
      </c>
      <c r="H6152" s="8">
        <v>8080</v>
      </c>
    </row>
    <row r="6153" spans="2:8" ht="17.5" customHeight="1" x14ac:dyDescent="0.4">
      <c r="B6153" t="s">
        <v>7</v>
      </c>
      <c r="C6153" t="s">
        <v>993</v>
      </c>
      <c r="D6153" s="7">
        <f>DATE(2009,3,9)</f>
        <v>39881</v>
      </c>
      <c r="E6153" s="8">
        <f t="shared" si="101"/>
        <v>2009</v>
      </c>
      <c r="F6153" t="s">
        <v>994</v>
      </c>
      <c r="G6153" s="9">
        <v>10002.709999999999</v>
      </c>
      <c r="H6153" s="8">
        <v>8373</v>
      </c>
    </row>
    <row r="6154" spans="2:8" ht="17.5" customHeight="1" x14ac:dyDescent="0.4">
      <c r="B6154" t="s">
        <v>7</v>
      </c>
      <c r="C6154" t="s">
        <v>993</v>
      </c>
      <c r="D6154" s="7">
        <f>DATE(2009,4,21)</f>
        <v>39924</v>
      </c>
      <c r="E6154" s="8">
        <f t="shared" si="101"/>
        <v>2009</v>
      </c>
      <c r="F6154" t="s">
        <v>994</v>
      </c>
      <c r="G6154" s="9">
        <v>4907.1499999999996</v>
      </c>
      <c r="H6154" s="8">
        <v>8576</v>
      </c>
    </row>
    <row r="6155" spans="2:8" ht="17.5" customHeight="1" x14ac:dyDescent="0.4">
      <c r="B6155" t="s">
        <v>7</v>
      </c>
      <c r="C6155" t="s">
        <v>993</v>
      </c>
      <c r="D6155" s="7">
        <f>DATE(2009,6,30)</f>
        <v>39994</v>
      </c>
      <c r="E6155" s="8">
        <f t="shared" si="101"/>
        <v>2009</v>
      </c>
      <c r="F6155" t="s">
        <v>994</v>
      </c>
      <c r="G6155" s="9">
        <v>8667.4599999999991</v>
      </c>
      <c r="H6155" s="8">
        <v>8815</v>
      </c>
    </row>
    <row r="6156" spans="2:8" ht="17.5" customHeight="1" x14ac:dyDescent="0.4">
      <c r="B6156" t="s">
        <v>7</v>
      </c>
      <c r="C6156" t="s">
        <v>993</v>
      </c>
      <c r="D6156" s="7">
        <f>DATE(2009,7,10)</f>
        <v>40004</v>
      </c>
      <c r="E6156" s="8">
        <f t="shared" si="101"/>
        <v>2009</v>
      </c>
      <c r="F6156" t="s">
        <v>994</v>
      </c>
      <c r="G6156" s="9">
        <v>7313.51</v>
      </c>
      <c r="H6156" s="8">
        <v>8853</v>
      </c>
    </row>
    <row r="6157" spans="2:8" ht="17.5" customHeight="1" x14ac:dyDescent="0.4">
      <c r="B6157" t="s">
        <v>7</v>
      </c>
      <c r="C6157" t="s">
        <v>993</v>
      </c>
      <c r="D6157" s="7">
        <f>DATE(2009,9,1)</f>
        <v>40057</v>
      </c>
      <c r="E6157" s="8">
        <f t="shared" si="101"/>
        <v>2009</v>
      </c>
      <c r="F6157" t="s">
        <v>994</v>
      </c>
      <c r="G6157" s="9">
        <v>6337.65</v>
      </c>
      <c r="H6157" s="8">
        <v>8980</v>
      </c>
    </row>
    <row r="6158" spans="2:8" ht="17.5" customHeight="1" x14ac:dyDescent="0.4">
      <c r="B6158" t="s">
        <v>7</v>
      </c>
      <c r="C6158" t="s">
        <v>993</v>
      </c>
      <c r="D6158" s="7">
        <f>DATE(2009,10,30)</f>
        <v>40116</v>
      </c>
      <c r="E6158" s="8">
        <f t="shared" si="101"/>
        <v>2009</v>
      </c>
      <c r="F6158" t="s">
        <v>994</v>
      </c>
      <c r="G6158" s="9">
        <v>11708.09</v>
      </c>
      <c r="H6158" s="8">
        <v>9156</v>
      </c>
    </row>
    <row r="6159" spans="2:8" ht="17.5" customHeight="1" x14ac:dyDescent="0.4">
      <c r="B6159" t="s">
        <v>7</v>
      </c>
      <c r="C6159" t="s">
        <v>993</v>
      </c>
      <c r="D6159" s="7">
        <f>DATE(2009,11,5)</f>
        <v>40122</v>
      </c>
      <c r="E6159" s="8">
        <f t="shared" si="101"/>
        <v>2009</v>
      </c>
      <c r="F6159" t="s">
        <v>994</v>
      </c>
      <c r="G6159" s="9">
        <v>3070.94</v>
      </c>
      <c r="H6159" s="8">
        <v>9172</v>
      </c>
    </row>
    <row r="6160" spans="2:8" ht="17.5" customHeight="1" x14ac:dyDescent="0.4">
      <c r="B6160" t="s">
        <v>7</v>
      </c>
      <c r="C6160" t="s">
        <v>993</v>
      </c>
      <c r="D6160" s="7">
        <f>DATE(2009,12,9)</f>
        <v>40156</v>
      </c>
      <c r="E6160" s="8">
        <f t="shared" si="101"/>
        <v>2009</v>
      </c>
      <c r="F6160" t="s">
        <v>994</v>
      </c>
      <c r="G6160" s="9">
        <v>3012.08</v>
      </c>
      <c r="H6160" s="8">
        <v>9240</v>
      </c>
    </row>
    <row r="6161" spans="2:8" ht="17.5" customHeight="1" x14ac:dyDescent="0.4">
      <c r="B6161" t="s">
        <v>7</v>
      </c>
      <c r="C6161" t="s">
        <v>993</v>
      </c>
      <c r="D6161" s="7">
        <f>DATE(2010,4,15)</f>
        <v>40283</v>
      </c>
      <c r="E6161" s="8">
        <f t="shared" si="101"/>
        <v>2010</v>
      </c>
      <c r="F6161" t="s">
        <v>994</v>
      </c>
      <c r="G6161" s="9">
        <v>5523.12</v>
      </c>
      <c r="H6161" s="8">
        <v>9598</v>
      </c>
    </row>
    <row r="6162" spans="2:8" ht="17.5" customHeight="1" x14ac:dyDescent="0.4">
      <c r="B6162" t="s">
        <v>7</v>
      </c>
      <c r="C6162" t="s">
        <v>993</v>
      </c>
      <c r="D6162" s="7">
        <f>DATE(2010,4,15)</f>
        <v>40283</v>
      </c>
      <c r="E6162" s="8">
        <f t="shared" si="101"/>
        <v>2010</v>
      </c>
      <c r="F6162" t="s">
        <v>994</v>
      </c>
      <c r="G6162" s="9">
        <v>4799.68</v>
      </c>
      <c r="H6162" s="8">
        <v>9648</v>
      </c>
    </row>
    <row r="6163" spans="2:8" ht="17.5" customHeight="1" x14ac:dyDescent="0.4">
      <c r="B6163" t="s">
        <v>7</v>
      </c>
      <c r="C6163" t="s">
        <v>993</v>
      </c>
      <c r="D6163" s="7">
        <f>DATE(2010,5,29)</f>
        <v>40327</v>
      </c>
      <c r="E6163" s="8">
        <f t="shared" si="101"/>
        <v>2010</v>
      </c>
      <c r="F6163" t="s">
        <v>994</v>
      </c>
      <c r="G6163" s="9">
        <v>3984.95</v>
      </c>
      <c r="H6163" s="8">
        <v>9899</v>
      </c>
    </row>
    <row r="6164" spans="2:8" ht="17.5" customHeight="1" x14ac:dyDescent="0.4">
      <c r="B6164" t="s">
        <v>7</v>
      </c>
      <c r="C6164" t="s">
        <v>993</v>
      </c>
      <c r="D6164" s="7">
        <f>DATE(2010,7,23)</f>
        <v>40382</v>
      </c>
      <c r="E6164" s="8">
        <f t="shared" si="101"/>
        <v>2010</v>
      </c>
      <c r="F6164" t="s">
        <v>994</v>
      </c>
      <c r="G6164" s="9">
        <v>5098</v>
      </c>
      <c r="H6164" s="8">
        <v>9977</v>
      </c>
    </row>
    <row r="6165" spans="2:8" ht="17.5" customHeight="1" x14ac:dyDescent="0.4">
      <c r="B6165" t="s">
        <v>7</v>
      </c>
      <c r="C6165" t="s">
        <v>993</v>
      </c>
      <c r="D6165" s="7">
        <f>DATE(2014,9,11)</f>
        <v>41893</v>
      </c>
      <c r="E6165" s="8">
        <f t="shared" si="101"/>
        <v>2014</v>
      </c>
      <c r="F6165" t="s">
        <v>994</v>
      </c>
      <c r="G6165" s="9">
        <v>866.25</v>
      </c>
      <c r="H6165" s="8">
        <v>13313</v>
      </c>
    </row>
    <row r="6166" spans="2:8" ht="17.5" customHeight="1" x14ac:dyDescent="0.4">
      <c r="B6166" t="s">
        <v>7</v>
      </c>
      <c r="C6166" t="s">
        <v>993</v>
      </c>
      <c r="D6166" s="7">
        <f>DATE(2014,11,26)</f>
        <v>41969</v>
      </c>
      <c r="E6166" s="8">
        <f t="shared" si="101"/>
        <v>2014</v>
      </c>
      <c r="F6166" t="s">
        <v>994</v>
      </c>
      <c r="G6166" s="9">
        <v>1829.7</v>
      </c>
      <c r="H6166" s="8">
        <v>13635</v>
      </c>
    </row>
    <row r="6167" spans="2:8" ht="17.5" customHeight="1" x14ac:dyDescent="0.4">
      <c r="B6167" t="s">
        <v>7</v>
      </c>
      <c r="C6167" t="s">
        <v>993</v>
      </c>
      <c r="D6167" s="7">
        <f>DATE(2010,5,4)</f>
        <v>40302</v>
      </c>
      <c r="E6167" s="8">
        <f t="shared" si="101"/>
        <v>2010</v>
      </c>
      <c r="F6167" t="s">
        <v>994</v>
      </c>
      <c r="G6167" s="9">
        <v>31259.86</v>
      </c>
      <c r="H6167" s="8">
        <v>9758</v>
      </c>
    </row>
    <row r="6168" spans="2:8" ht="17.5" customHeight="1" x14ac:dyDescent="0.4">
      <c r="B6168" t="s">
        <v>7</v>
      </c>
      <c r="C6168" t="s">
        <v>993</v>
      </c>
      <c r="D6168" s="7">
        <f>DATE(2010,9,9)</f>
        <v>40430</v>
      </c>
      <c r="E6168" s="8">
        <f t="shared" si="101"/>
        <v>2010</v>
      </c>
      <c r="F6168" t="s">
        <v>994</v>
      </c>
      <c r="G6168" s="9">
        <v>16835.88</v>
      </c>
      <c r="H6168" s="8">
        <v>10079</v>
      </c>
    </row>
    <row r="6169" spans="2:8" ht="17.5" customHeight="1" x14ac:dyDescent="0.4">
      <c r="B6169" t="s">
        <v>7</v>
      </c>
      <c r="C6169" t="s">
        <v>993</v>
      </c>
      <c r="D6169" s="7">
        <f>DATE(2011,3,25)</f>
        <v>40627</v>
      </c>
      <c r="E6169" s="8">
        <f t="shared" si="101"/>
        <v>2011</v>
      </c>
      <c r="F6169" t="s">
        <v>994</v>
      </c>
      <c r="G6169" s="9">
        <v>7162.11</v>
      </c>
      <c r="H6169" s="8">
        <v>10576</v>
      </c>
    </row>
    <row r="6170" spans="2:8" ht="17.5" customHeight="1" x14ac:dyDescent="0.4">
      <c r="B6170" t="s">
        <v>16</v>
      </c>
      <c r="C6170" t="s">
        <v>993</v>
      </c>
      <c r="D6170" s="7">
        <f>DATE(2006,6,30)</f>
        <v>38898</v>
      </c>
      <c r="E6170" s="8">
        <f t="shared" si="101"/>
        <v>2006</v>
      </c>
      <c r="F6170" t="s">
        <v>994</v>
      </c>
      <c r="G6170" s="9">
        <v>20284</v>
      </c>
      <c r="H6170" s="8">
        <v>4771</v>
      </c>
    </row>
    <row r="6171" spans="2:8" ht="17.5" customHeight="1" x14ac:dyDescent="0.4">
      <c r="B6171" t="s">
        <v>16</v>
      </c>
      <c r="C6171" t="s">
        <v>993</v>
      </c>
      <c r="D6171" s="7">
        <f>DATE(2010,8,31)</f>
        <v>40421</v>
      </c>
      <c r="E6171" s="8">
        <f t="shared" si="101"/>
        <v>2010</v>
      </c>
      <c r="F6171" t="s">
        <v>994</v>
      </c>
      <c r="G6171" s="9">
        <v>7274.62</v>
      </c>
      <c r="H6171" s="8">
        <v>10109</v>
      </c>
    </row>
    <row r="6172" spans="2:8" ht="17.5" customHeight="1" x14ac:dyDescent="0.4">
      <c r="B6172" t="s">
        <v>16</v>
      </c>
      <c r="C6172" t="s">
        <v>993</v>
      </c>
      <c r="D6172" s="7">
        <f>DATE(2007,6,28)</f>
        <v>39261</v>
      </c>
      <c r="E6172" s="8">
        <f t="shared" si="101"/>
        <v>2007</v>
      </c>
      <c r="F6172" t="s">
        <v>994</v>
      </c>
      <c r="G6172" s="9">
        <v>8475</v>
      </c>
      <c r="H6172" s="8">
        <v>6147</v>
      </c>
    </row>
    <row r="6173" spans="2:8" ht="17.5" customHeight="1" x14ac:dyDescent="0.4">
      <c r="B6173" s="3" t="s">
        <v>7</v>
      </c>
      <c r="C6173" s="3" t="s">
        <v>993</v>
      </c>
      <c r="D6173" s="4">
        <f>DATE(2005,7,21)</f>
        <v>38554</v>
      </c>
      <c r="E6173" s="5">
        <f t="shared" si="101"/>
        <v>2005</v>
      </c>
      <c r="F6173" s="3" t="s">
        <v>994</v>
      </c>
      <c r="G6173" s="6">
        <v>5089.8</v>
      </c>
      <c r="H6173" s="5">
        <v>1192</v>
      </c>
    </row>
    <row r="6174" spans="2:8" ht="17.5" customHeight="1" x14ac:dyDescent="0.4">
      <c r="B6174" s="3" t="s">
        <v>7</v>
      </c>
      <c r="C6174" s="3" t="s">
        <v>993</v>
      </c>
      <c r="D6174" s="4">
        <f>DATE(2007,7,9)</f>
        <v>39272</v>
      </c>
      <c r="E6174" s="5">
        <f t="shared" si="101"/>
        <v>2007</v>
      </c>
      <c r="F6174" s="3" t="s">
        <v>994</v>
      </c>
      <c r="G6174" s="6">
        <v>523.5</v>
      </c>
      <c r="H6174" s="5">
        <v>2331</v>
      </c>
    </row>
    <row r="6175" spans="2:8" ht="17.5" customHeight="1" x14ac:dyDescent="0.4">
      <c r="B6175" s="3" t="s">
        <v>7</v>
      </c>
      <c r="C6175" s="3" t="s">
        <v>993</v>
      </c>
      <c r="D6175" s="4">
        <f>DATE(2007,12,7)</f>
        <v>39423</v>
      </c>
      <c r="E6175" s="5">
        <f t="shared" si="101"/>
        <v>2007</v>
      </c>
      <c r="F6175" s="3" t="s">
        <v>994</v>
      </c>
      <c r="G6175" s="6">
        <v>709.79</v>
      </c>
      <c r="H6175" s="5">
        <v>2542</v>
      </c>
    </row>
    <row r="6176" spans="2:8" ht="17.5" customHeight="1" x14ac:dyDescent="0.4">
      <c r="B6176" s="3" t="s">
        <v>7</v>
      </c>
      <c r="C6176" s="3" t="s">
        <v>993</v>
      </c>
      <c r="D6176" s="4">
        <f>DATE(2008,12,9)</f>
        <v>39791</v>
      </c>
      <c r="E6176" s="5">
        <f t="shared" si="101"/>
        <v>2008</v>
      </c>
      <c r="F6176" s="3" t="s">
        <v>994</v>
      </c>
      <c r="G6176" s="6">
        <v>511.8</v>
      </c>
      <c r="H6176" s="5">
        <v>3175</v>
      </c>
    </row>
    <row r="6177" spans="2:8" ht="17.5" customHeight="1" x14ac:dyDescent="0.4">
      <c r="B6177" s="3" t="s">
        <v>7</v>
      </c>
      <c r="C6177" s="3" t="s">
        <v>993</v>
      </c>
      <c r="D6177" s="4">
        <f>DATE(2010,1,6)</f>
        <v>40184</v>
      </c>
      <c r="E6177" s="5">
        <f t="shared" si="101"/>
        <v>2010</v>
      </c>
      <c r="F6177" s="3" t="s">
        <v>994</v>
      </c>
      <c r="G6177" s="6">
        <v>2007.51</v>
      </c>
      <c r="H6177" s="5">
        <v>3734</v>
      </c>
    </row>
    <row r="6178" spans="2:8" ht="17.5" customHeight="1" x14ac:dyDescent="0.4">
      <c r="B6178" s="3" t="s">
        <v>7</v>
      </c>
      <c r="C6178" s="3" t="s">
        <v>993</v>
      </c>
      <c r="D6178" s="4">
        <f>DATE(2010,1,25)</f>
        <v>40203</v>
      </c>
      <c r="E6178" s="5">
        <f t="shared" si="101"/>
        <v>2010</v>
      </c>
      <c r="F6178" s="3" t="s">
        <v>994</v>
      </c>
      <c r="G6178" s="6">
        <v>537.99</v>
      </c>
      <c r="H6178" s="5">
        <v>3742</v>
      </c>
    </row>
    <row r="6179" spans="2:8" ht="17.5" customHeight="1" x14ac:dyDescent="0.4">
      <c r="B6179" s="3" t="s">
        <v>7</v>
      </c>
      <c r="C6179" s="3" t="s">
        <v>993</v>
      </c>
      <c r="D6179" s="4">
        <f>DATE(2010,2,4)</f>
        <v>40213</v>
      </c>
      <c r="E6179" s="5">
        <f t="shared" si="101"/>
        <v>2010</v>
      </c>
      <c r="F6179" s="3" t="s">
        <v>994</v>
      </c>
      <c r="G6179" s="6">
        <v>2142.79</v>
      </c>
      <c r="H6179" s="5">
        <v>3778</v>
      </c>
    </row>
    <row r="6180" spans="2:8" ht="17.5" customHeight="1" x14ac:dyDescent="0.4">
      <c r="B6180" s="3" t="s">
        <v>7</v>
      </c>
      <c r="C6180" s="3" t="s">
        <v>993</v>
      </c>
      <c r="D6180" s="4">
        <f>DATE(2010,3,8)</f>
        <v>40245</v>
      </c>
      <c r="E6180" s="5">
        <f t="shared" si="101"/>
        <v>2010</v>
      </c>
      <c r="F6180" s="3" t="s">
        <v>994</v>
      </c>
      <c r="G6180" s="6">
        <v>1400.05</v>
      </c>
      <c r="H6180" s="5">
        <v>3834</v>
      </c>
    </row>
    <row r="6181" spans="2:8" ht="17.5" customHeight="1" x14ac:dyDescent="0.4">
      <c r="B6181" s="3" t="s">
        <v>7</v>
      </c>
      <c r="C6181" s="3" t="s">
        <v>993</v>
      </c>
      <c r="D6181" s="4">
        <f>DATE(2010,3,19)</f>
        <v>40256</v>
      </c>
      <c r="E6181" s="5">
        <f t="shared" si="101"/>
        <v>2010</v>
      </c>
      <c r="F6181" s="3" t="s">
        <v>994</v>
      </c>
      <c r="G6181" s="6">
        <v>3985.3</v>
      </c>
      <c r="H6181" s="5">
        <v>3834</v>
      </c>
    </row>
    <row r="6182" spans="2:8" ht="17.5" customHeight="1" x14ac:dyDescent="0.4">
      <c r="B6182" s="3" t="s">
        <v>7</v>
      </c>
      <c r="C6182" s="3" t="s">
        <v>993</v>
      </c>
      <c r="D6182" s="4">
        <f>DATE(2010,3,25)</f>
        <v>40262</v>
      </c>
      <c r="E6182" s="5">
        <f t="shared" si="101"/>
        <v>2010</v>
      </c>
      <c r="F6182" s="3" t="s">
        <v>994</v>
      </c>
      <c r="G6182" s="6">
        <v>1600.94</v>
      </c>
      <c r="H6182" s="5">
        <v>3882</v>
      </c>
    </row>
    <row r="6183" spans="2:8" ht="17.5" customHeight="1" x14ac:dyDescent="0.4">
      <c r="B6183" s="3" t="s">
        <v>7</v>
      </c>
      <c r="C6183" s="3" t="s">
        <v>993</v>
      </c>
      <c r="D6183" s="4">
        <f>DATE(2010,4,23)</f>
        <v>40291</v>
      </c>
      <c r="E6183" s="5">
        <f t="shared" si="101"/>
        <v>2010</v>
      </c>
      <c r="F6183" s="3" t="s">
        <v>994</v>
      </c>
      <c r="G6183" s="6">
        <v>630.4</v>
      </c>
      <c r="H6183" s="5">
        <v>3883</v>
      </c>
    </row>
    <row r="6184" spans="2:8" ht="17.5" customHeight="1" x14ac:dyDescent="0.4">
      <c r="B6184" s="3" t="s">
        <v>7</v>
      </c>
      <c r="C6184" s="3" t="s">
        <v>993</v>
      </c>
      <c r="D6184" s="4">
        <f>DATE(2010,3,11)</f>
        <v>40248</v>
      </c>
      <c r="E6184" s="5">
        <f t="shared" si="101"/>
        <v>2010</v>
      </c>
      <c r="F6184" s="3" t="s">
        <v>994</v>
      </c>
      <c r="G6184" s="6">
        <v>461</v>
      </c>
      <c r="H6184" s="5">
        <v>3860</v>
      </c>
    </row>
    <row r="6185" spans="2:8" ht="17.5" customHeight="1" x14ac:dyDescent="0.4">
      <c r="B6185" s="3" t="s">
        <v>7</v>
      </c>
      <c r="C6185" s="3" t="s">
        <v>993</v>
      </c>
      <c r="D6185" s="4">
        <f>DATE(2010,5,6)</f>
        <v>40304</v>
      </c>
      <c r="E6185" s="5">
        <f t="shared" si="101"/>
        <v>2010</v>
      </c>
      <c r="F6185" s="3" t="s">
        <v>994</v>
      </c>
      <c r="G6185" s="6">
        <v>331.18</v>
      </c>
      <c r="H6185" s="5">
        <v>3922</v>
      </c>
    </row>
    <row r="6186" spans="2:8" ht="17.5" customHeight="1" x14ac:dyDescent="0.4">
      <c r="B6186" s="3" t="s">
        <v>7</v>
      </c>
      <c r="C6186" s="3" t="s">
        <v>993</v>
      </c>
      <c r="D6186" s="4">
        <f>DATE(2010,8,26)</f>
        <v>40416</v>
      </c>
      <c r="E6186" s="5">
        <f t="shared" si="101"/>
        <v>2010</v>
      </c>
      <c r="F6186" s="3" t="s">
        <v>994</v>
      </c>
      <c r="G6186" s="6">
        <v>834.5</v>
      </c>
      <c r="H6186" s="5">
        <v>4069</v>
      </c>
    </row>
    <row r="6187" spans="2:8" ht="17.5" customHeight="1" x14ac:dyDescent="0.4">
      <c r="B6187" s="3" t="s">
        <v>7</v>
      </c>
      <c r="C6187" s="3" t="s">
        <v>993</v>
      </c>
      <c r="D6187" s="4">
        <f>DATE(2010,9,28)</f>
        <v>40449</v>
      </c>
      <c r="E6187" s="5">
        <f t="shared" si="101"/>
        <v>2010</v>
      </c>
      <c r="F6187" s="3" t="s">
        <v>994</v>
      </c>
      <c r="G6187" s="6">
        <v>7486.8</v>
      </c>
      <c r="H6187" s="5">
        <v>4055</v>
      </c>
    </row>
    <row r="6188" spans="2:8" ht="17.5" customHeight="1" x14ac:dyDescent="0.4">
      <c r="B6188" s="3" t="s">
        <v>7</v>
      </c>
      <c r="C6188" s="3" t="s">
        <v>993</v>
      </c>
      <c r="D6188" s="4">
        <f>DATE(2010,9,30)</f>
        <v>40451</v>
      </c>
      <c r="E6188" s="5">
        <f t="shared" si="101"/>
        <v>2010</v>
      </c>
      <c r="F6188" s="3" t="s">
        <v>994</v>
      </c>
      <c r="G6188" s="6">
        <v>1951.88</v>
      </c>
      <c r="H6188" s="5">
        <v>4155</v>
      </c>
    </row>
    <row r="6189" spans="2:8" ht="17.5" customHeight="1" x14ac:dyDescent="0.4">
      <c r="B6189" s="3" t="s">
        <v>7</v>
      </c>
      <c r="C6189" s="3" t="s">
        <v>993</v>
      </c>
      <c r="D6189" s="4">
        <f>DATE(2010,10,8)</f>
        <v>40459</v>
      </c>
      <c r="E6189" s="5">
        <f t="shared" si="101"/>
        <v>2010</v>
      </c>
      <c r="F6189" s="3" t="s">
        <v>994</v>
      </c>
      <c r="G6189" s="6">
        <v>401.88</v>
      </c>
      <c r="H6189" s="5">
        <v>4167</v>
      </c>
    </row>
    <row r="6190" spans="2:8" ht="17.5" customHeight="1" x14ac:dyDescent="0.4">
      <c r="B6190" s="3" t="s">
        <v>7</v>
      </c>
      <c r="C6190" s="3" t="s">
        <v>993</v>
      </c>
      <c r="D6190" s="4">
        <f>DATE(2010,10,18)</f>
        <v>40469</v>
      </c>
      <c r="E6190" s="5">
        <f t="shared" si="101"/>
        <v>2010</v>
      </c>
      <c r="F6190" s="3" t="s">
        <v>994</v>
      </c>
      <c r="G6190" s="6">
        <v>1780.65</v>
      </c>
      <c r="H6190" s="5">
        <v>4186</v>
      </c>
    </row>
    <row r="6191" spans="2:8" ht="17.5" customHeight="1" x14ac:dyDescent="0.4">
      <c r="B6191" s="3" t="s">
        <v>7</v>
      </c>
      <c r="C6191" s="3" t="s">
        <v>993</v>
      </c>
      <c r="D6191" s="4">
        <f>DATE(2010,9,26)</f>
        <v>40447</v>
      </c>
      <c r="E6191" s="5">
        <f t="shared" si="101"/>
        <v>2010</v>
      </c>
      <c r="F6191" s="3" t="s">
        <v>994</v>
      </c>
      <c r="G6191" s="6">
        <v>1200</v>
      </c>
      <c r="H6191" s="5">
        <v>4190</v>
      </c>
    </row>
    <row r="6192" spans="2:8" ht="17.5" customHeight="1" x14ac:dyDescent="0.4">
      <c r="B6192" s="3" t="s">
        <v>7</v>
      </c>
      <c r="C6192" s="3" t="s">
        <v>993</v>
      </c>
      <c r="D6192" s="4">
        <f>DATE(2010,11,3)</f>
        <v>40485</v>
      </c>
      <c r="E6192" s="5">
        <f t="shared" si="101"/>
        <v>2010</v>
      </c>
      <c r="F6192" s="3" t="s">
        <v>994</v>
      </c>
      <c r="G6192" s="6">
        <v>816.97</v>
      </c>
      <c r="H6192" s="5">
        <v>4195</v>
      </c>
    </row>
    <row r="6193" spans="2:8" ht="17.5" customHeight="1" x14ac:dyDescent="0.4">
      <c r="B6193" s="3" t="s">
        <v>7</v>
      </c>
      <c r="C6193" s="3" t="s">
        <v>993</v>
      </c>
      <c r="D6193" s="4">
        <f>DATE(2010,11,10)</f>
        <v>40492</v>
      </c>
      <c r="E6193" s="5">
        <f t="shared" si="101"/>
        <v>2010</v>
      </c>
      <c r="F6193" s="3" t="s">
        <v>994</v>
      </c>
      <c r="G6193" s="6">
        <v>340</v>
      </c>
      <c r="H6193" s="5">
        <v>4209</v>
      </c>
    </row>
    <row r="6194" spans="2:8" ht="17.5" customHeight="1" x14ac:dyDescent="0.4">
      <c r="B6194" s="3" t="s">
        <v>7</v>
      </c>
      <c r="C6194" s="3" t="s">
        <v>993</v>
      </c>
      <c r="D6194" s="4">
        <f>DATE(2010,11,29)</f>
        <v>40511</v>
      </c>
      <c r="E6194" s="5">
        <f t="shared" si="101"/>
        <v>2010</v>
      </c>
      <c r="F6194" s="3" t="s">
        <v>994</v>
      </c>
      <c r="G6194" s="6">
        <v>120.12</v>
      </c>
      <c r="H6194" s="5">
        <v>4234</v>
      </c>
    </row>
    <row r="6195" spans="2:8" ht="17.5" customHeight="1" x14ac:dyDescent="0.4">
      <c r="B6195" s="3" t="s">
        <v>7</v>
      </c>
      <c r="C6195" s="3" t="s">
        <v>993</v>
      </c>
      <c r="D6195" s="4">
        <f>DATE(2010,12,10)</f>
        <v>40522</v>
      </c>
      <c r="E6195" s="5">
        <f t="shared" si="101"/>
        <v>2010</v>
      </c>
      <c r="F6195" s="3" t="s">
        <v>994</v>
      </c>
      <c r="G6195" s="6">
        <v>113.76</v>
      </c>
      <c r="H6195" s="5">
        <v>4238</v>
      </c>
    </row>
    <row r="6196" spans="2:8" ht="17.5" customHeight="1" x14ac:dyDescent="0.4">
      <c r="B6196" s="3" t="s">
        <v>7</v>
      </c>
      <c r="C6196" s="3" t="s">
        <v>993</v>
      </c>
      <c r="D6196" s="4">
        <f>DATE(2010,12,1)</f>
        <v>40513</v>
      </c>
      <c r="E6196" s="5">
        <f t="shared" si="101"/>
        <v>2010</v>
      </c>
      <c r="F6196" s="3" t="s">
        <v>994</v>
      </c>
      <c r="G6196" s="6">
        <v>402.72</v>
      </c>
      <c r="H6196" s="5">
        <v>4239</v>
      </c>
    </row>
    <row r="6197" spans="2:8" ht="17.5" customHeight="1" x14ac:dyDescent="0.4">
      <c r="B6197" s="3" t="s">
        <v>7</v>
      </c>
      <c r="C6197" s="3" t="s">
        <v>993</v>
      </c>
      <c r="D6197" s="4">
        <f>DATE(2010,12,10)</f>
        <v>40522</v>
      </c>
      <c r="E6197" s="5">
        <f t="shared" si="101"/>
        <v>2010</v>
      </c>
      <c r="F6197" s="3" t="s">
        <v>994</v>
      </c>
      <c r="G6197" s="6">
        <v>1048.1400000000001</v>
      </c>
      <c r="H6197" s="5">
        <v>4238</v>
      </c>
    </row>
    <row r="6198" spans="2:8" ht="17.5" customHeight="1" x14ac:dyDescent="0.4">
      <c r="B6198" s="3" t="s">
        <v>7</v>
      </c>
      <c r="C6198" s="3" t="s">
        <v>993</v>
      </c>
      <c r="D6198" s="4">
        <f>DATE(2010,12,10)</f>
        <v>40522</v>
      </c>
      <c r="E6198" s="5">
        <f t="shared" si="101"/>
        <v>2010</v>
      </c>
      <c r="F6198" s="3" t="s">
        <v>994</v>
      </c>
      <c r="G6198" s="6">
        <v>698.76</v>
      </c>
      <c r="H6198" s="5">
        <v>4238</v>
      </c>
    </row>
    <row r="6199" spans="2:8" ht="17.5" customHeight="1" x14ac:dyDescent="0.4">
      <c r="B6199" s="3" t="s">
        <v>7</v>
      </c>
      <c r="C6199" s="3" t="s">
        <v>993</v>
      </c>
      <c r="D6199" s="4">
        <f>DATE(2010,12,6)</f>
        <v>40518</v>
      </c>
      <c r="E6199" s="5">
        <f t="shared" si="101"/>
        <v>2010</v>
      </c>
      <c r="F6199" s="3" t="s">
        <v>994</v>
      </c>
      <c r="G6199" s="6">
        <v>1368.56</v>
      </c>
      <c r="H6199" s="5">
        <v>4214</v>
      </c>
    </row>
    <row r="6200" spans="2:8" ht="17.5" customHeight="1" x14ac:dyDescent="0.4">
      <c r="B6200" s="3" t="s">
        <v>7</v>
      </c>
      <c r="C6200" s="3" t="s">
        <v>993</v>
      </c>
      <c r="D6200" s="4">
        <f>DATE(2010,12,22)</f>
        <v>40534</v>
      </c>
      <c r="E6200" s="5">
        <f t="shared" si="101"/>
        <v>2010</v>
      </c>
      <c r="F6200" s="3" t="s">
        <v>994</v>
      </c>
      <c r="G6200" s="6">
        <v>680</v>
      </c>
      <c r="H6200" s="5">
        <v>4231</v>
      </c>
    </row>
    <row r="6201" spans="2:8" ht="17.5" customHeight="1" x14ac:dyDescent="0.4">
      <c r="B6201" s="3" t="s">
        <v>7</v>
      </c>
      <c r="C6201" s="3" t="s">
        <v>993</v>
      </c>
      <c r="D6201" s="4">
        <f>DATE(2011,1,4)</f>
        <v>40547</v>
      </c>
      <c r="E6201" s="5">
        <f t="shared" si="101"/>
        <v>2011</v>
      </c>
      <c r="F6201" s="3" t="s">
        <v>994</v>
      </c>
      <c r="G6201" s="6">
        <v>4957.2</v>
      </c>
      <c r="H6201" s="5">
        <v>4230</v>
      </c>
    </row>
    <row r="6202" spans="2:8" ht="17.5" customHeight="1" x14ac:dyDescent="0.4">
      <c r="B6202" s="3" t="s">
        <v>7</v>
      </c>
      <c r="C6202" s="3" t="s">
        <v>993</v>
      </c>
      <c r="D6202" s="4">
        <f>DATE(2011,1,25)</f>
        <v>40568</v>
      </c>
      <c r="E6202" s="5">
        <f t="shared" si="101"/>
        <v>2011</v>
      </c>
      <c r="F6202" s="3" t="s">
        <v>994</v>
      </c>
      <c r="G6202" s="6">
        <v>5332.34</v>
      </c>
      <c r="H6202" s="5">
        <v>4268</v>
      </c>
    </row>
    <row r="6203" spans="2:8" ht="17.5" customHeight="1" x14ac:dyDescent="0.4">
      <c r="B6203" s="3" t="s">
        <v>7</v>
      </c>
      <c r="C6203" s="3" t="s">
        <v>993</v>
      </c>
      <c r="D6203" s="4">
        <f>DATE(2011,1,19)</f>
        <v>40562</v>
      </c>
      <c r="E6203" s="5">
        <f t="shared" si="101"/>
        <v>2011</v>
      </c>
      <c r="F6203" s="3" t="s">
        <v>994</v>
      </c>
      <c r="G6203" s="6">
        <v>1746.9</v>
      </c>
      <c r="H6203" s="5">
        <v>4290</v>
      </c>
    </row>
    <row r="6204" spans="2:8" ht="17.5" customHeight="1" x14ac:dyDescent="0.4">
      <c r="B6204" s="3" t="s">
        <v>7</v>
      </c>
      <c r="C6204" s="3" t="s">
        <v>993</v>
      </c>
      <c r="D6204" s="4">
        <f>DATE(2011,2,23)</f>
        <v>40597</v>
      </c>
      <c r="E6204" s="5">
        <f t="shared" si="101"/>
        <v>2011</v>
      </c>
      <c r="F6204" s="3" t="s">
        <v>994</v>
      </c>
      <c r="G6204" s="6">
        <v>582.29999999999995</v>
      </c>
      <c r="H6204" s="5">
        <v>4328</v>
      </c>
    </row>
    <row r="6205" spans="2:8" ht="17.5" customHeight="1" x14ac:dyDescent="0.4">
      <c r="B6205" s="3" t="s">
        <v>7</v>
      </c>
      <c r="C6205" s="3" t="s">
        <v>993</v>
      </c>
      <c r="D6205" s="4">
        <f>DATE(2011,7,21)</f>
        <v>40745</v>
      </c>
      <c r="E6205" s="5">
        <f t="shared" si="101"/>
        <v>2011</v>
      </c>
      <c r="F6205" s="3" t="s">
        <v>994</v>
      </c>
      <c r="G6205" s="6">
        <v>4862.3100000000004</v>
      </c>
      <c r="H6205" s="5">
        <v>4542</v>
      </c>
    </row>
    <row r="6206" spans="2:8" ht="17.5" customHeight="1" x14ac:dyDescent="0.4">
      <c r="B6206" s="3" t="s">
        <v>7</v>
      </c>
      <c r="C6206" s="3" t="s">
        <v>993</v>
      </c>
      <c r="D6206" s="4">
        <f>DATE(2011,7,28)</f>
        <v>40752</v>
      </c>
      <c r="E6206" s="5">
        <f t="shared" si="101"/>
        <v>2011</v>
      </c>
      <c r="F6206" s="3" t="s">
        <v>994</v>
      </c>
      <c r="G6206" s="6">
        <v>1715.69</v>
      </c>
      <c r="H6206" s="5">
        <v>4543</v>
      </c>
    </row>
    <row r="6207" spans="2:8" ht="17.5" customHeight="1" x14ac:dyDescent="0.4">
      <c r="B6207" s="3" t="s">
        <v>7</v>
      </c>
      <c r="C6207" s="3" t="s">
        <v>993</v>
      </c>
      <c r="D6207" s="4">
        <f>DATE(2011,8,10)</f>
        <v>40765</v>
      </c>
      <c r="E6207" s="5">
        <f t="shared" si="101"/>
        <v>2011</v>
      </c>
      <c r="F6207" s="3" t="s">
        <v>994</v>
      </c>
      <c r="G6207" s="6">
        <v>5318.35</v>
      </c>
      <c r="H6207" s="5">
        <v>4541</v>
      </c>
    </row>
    <row r="6208" spans="2:8" ht="17.5" customHeight="1" x14ac:dyDescent="0.4">
      <c r="B6208" s="3" t="s">
        <v>7</v>
      </c>
      <c r="C6208" s="3" t="s">
        <v>993</v>
      </c>
      <c r="D6208" s="4">
        <f>DATE(2011,8,15)</f>
        <v>40770</v>
      </c>
      <c r="E6208" s="5">
        <f t="shared" si="101"/>
        <v>2011</v>
      </c>
      <c r="F6208" s="3" t="s">
        <v>994</v>
      </c>
      <c r="G6208" s="6">
        <v>2895.3</v>
      </c>
      <c r="H6208" s="5">
        <v>4583</v>
      </c>
    </row>
    <row r="6209" spans="2:8" ht="17.5" customHeight="1" x14ac:dyDescent="0.4">
      <c r="B6209" s="3" t="s">
        <v>7</v>
      </c>
      <c r="C6209" s="3" t="s">
        <v>993</v>
      </c>
      <c r="D6209" s="4">
        <f>DATE(2011,11,4)</f>
        <v>40851</v>
      </c>
      <c r="E6209" s="5">
        <f t="shared" si="101"/>
        <v>2011</v>
      </c>
      <c r="F6209" s="3" t="s">
        <v>994</v>
      </c>
      <c r="G6209" s="6">
        <v>43.72</v>
      </c>
      <c r="H6209" s="5">
        <v>4634</v>
      </c>
    </row>
    <row r="6210" spans="2:8" ht="17.5" customHeight="1" x14ac:dyDescent="0.4">
      <c r="B6210" s="3" t="s">
        <v>7</v>
      </c>
      <c r="C6210" s="3" t="s">
        <v>993</v>
      </c>
      <c r="D6210" s="4">
        <f>DATE(2011,10,19)</f>
        <v>40835</v>
      </c>
      <c r="E6210" s="5">
        <f t="shared" si="101"/>
        <v>2011</v>
      </c>
      <c r="F6210" s="3" t="s">
        <v>994</v>
      </c>
      <c r="G6210" s="6">
        <v>1199</v>
      </c>
      <c r="H6210" s="5">
        <v>4550</v>
      </c>
    </row>
    <row r="6211" spans="2:8" ht="17.5" customHeight="1" x14ac:dyDescent="0.4">
      <c r="B6211" s="3" t="s">
        <v>7</v>
      </c>
      <c r="C6211" s="3" t="s">
        <v>993</v>
      </c>
      <c r="D6211" s="4">
        <f>DATE(2011,11,4)</f>
        <v>40851</v>
      </c>
      <c r="E6211" s="5">
        <f t="shared" ref="E6211:E6274" si="102">YEAR(D6211)</f>
        <v>2011</v>
      </c>
      <c r="F6211" s="3" t="s">
        <v>994</v>
      </c>
      <c r="G6211" s="6">
        <v>2356.81</v>
      </c>
      <c r="H6211" s="5">
        <v>4604</v>
      </c>
    </row>
    <row r="6212" spans="2:8" ht="17.5" customHeight="1" x14ac:dyDescent="0.4">
      <c r="B6212" s="3" t="s">
        <v>7</v>
      </c>
      <c r="C6212" s="3" t="s">
        <v>993</v>
      </c>
      <c r="D6212" s="4">
        <f>DATE(2011,11,4)</f>
        <v>40851</v>
      </c>
      <c r="E6212" s="5">
        <f t="shared" si="102"/>
        <v>2011</v>
      </c>
      <c r="F6212" s="3" t="s">
        <v>994</v>
      </c>
      <c r="G6212" s="6">
        <v>334.73</v>
      </c>
      <c r="H6212" s="5">
        <v>4638</v>
      </c>
    </row>
    <row r="6213" spans="2:8" ht="17.5" customHeight="1" x14ac:dyDescent="0.4">
      <c r="B6213" s="3" t="s">
        <v>7</v>
      </c>
      <c r="C6213" s="3" t="s">
        <v>993</v>
      </c>
      <c r="D6213" s="4">
        <f>DATE(2011,11,7)</f>
        <v>40854</v>
      </c>
      <c r="E6213" s="5">
        <f t="shared" si="102"/>
        <v>2011</v>
      </c>
      <c r="F6213" s="3" t="s">
        <v>994</v>
      </c>
      <c r="G6213" s="6">
        <v>1581.06</v>
      </c>
      <c r="H6213" s="5">
        <v>4710</v>
      </c>
    </row>
    <row r="6214" spans="2:8" ht="17.5" customHeight="1" x14ac:dyDescent="0.4">
      <c r="B6214" s="3" t="s">
        <v>7</v>
      </c>
      <c r="C6214" s="3" t="s">
        <v>993</v>
      </c>
      <c r="D6214" s="4">
        <f>DATE(2011,11,8)</f>
        <v>40855</v>
      </c>
      <c r="E6214" s="5">
        <f t="shared" si="102"/>
        <v>2011</v>
      </c>
      <c r="F6214" s="3" t="s">
        <v>994</v>
      </c>
      <c r="G6214" s="6">
        <v>163.29</v>
      </c>
      <c r="H6214" s="5">
        <v>4717</v>
      </c>
    </row>
    <row r="6215" spans="2:8" ht="17.5" customHeight="1" x14ac:dyDescent="0.4">
      <c r="B6215" s="3" t="s">
        <v>7</v>
      </c>
      <c r="C6215" s="3" t="s">
        <v>993</v>
      </c>
      <c r="D6215" s="4">
        <f>DATE(2011,11,16)</f>
        <v>40863</v>
      </c>
      <c r="E6215" s="5">
        <f t="shared" si="102"/>
        <v>2011</v>
      </c>
      <c r="F6215" s="3" t="s">
        <v>994</v>
      </c>
      <c r="G6215" s="6">
        <v>49.32</v>
      </c>
      <c r="H6215" s="5">
        <v>4730</v>
      </c>
    </row>
    <row r="6216" spans="2:8" ht="17.5" customHeight="1" x14ac:dyDescent="0.4">
      <c r="B6216" s="3" t="s">
        <v>7</v>
      </c>
      <c r="C6216" s="3" t="s">
        <v>993</v>
      </c>
      <c r="D6216" s="4">
        <f>DATE(2012,2,13)</f>
        <v>40952</v>
      </c>
      <c r="E6216" s="5">
        <f t="shared" si="102"/>
        <v>2012</v>
      </c>
      <c r="F6216" s="3" t="s">
        <v>994</v>
      </c>
      <c r="G6216" s="6">
        <v>157.08000000000001</v>
      </c>
      <c r="H6216" s="5">
        <v>4845</v>
      </c>
    </row>
    <row r="6217" spans="2:8" ht="17.5" customHeight="1" x14ac:dyDescent="0.4">
      <c r="B6217" s="3" t="s">
        <v>7</v>
      </c>
      <c r="C6217" s="3" t="s">
        <v>993</v>
      </c>
      <c r="D6217" s="4">
        <f>DATE(2012,2,24)</f>
        <v>40963</v>
      </c>
      <c r="E6217" s="5">
        <f t="shared" si="102"/>
        <v>2012</v>
      </c>
      <c r="F6217" s="3" t="s">
        <v>994</v>
      </c>
      <c r="G6217" s="6">
        <v>1156</v>
      </c>
      <c r="H6217" s="5">
        <v>4868</v>
      </c>
    </row>
    <row r="6218" spans="2:8" ht="17.5" customHeight="1" x14ac:dyDescent="0.4">
      <c r="B6218" s="3" t="s">
        <v>7</v>
      </c>
      <c r="C6218" s="3" t="s">
        <v>993</v>
      </c>
      <c r="D6218" s="4">
        <f>DATE(2012,3,1)</f>
        <v>40969</v>
      </c>
      <c r="E6218" s="5">
        <f t="shared" si="102"/>
        <v>2012</v>
      </c>
      <c r="F6218" s="3" t="s">
        <v>994</v>
      </c>
      <c r="G6218" s="6">
        <v>364.16</v>
      </c>
      <c r="H6218" s="5">
        <v>4899</v>
      </c>
    </row>
    <row r="6219" spans="2:8" ht="17.5" customHeight="1" x14ac:dyDescent="0.4">
      <c r="B6219" s="3" t="s">
        <v>7</v>
      </c>
      <c r="C6219" s="3" t="s">
        <v>993</v>
      </c>
      <c r="D6219" s="4">
        <f>DATE(2012,3,9)</f>
        <v>40977</v>
      </c>
      <c r="E6219" s="5">
        <f t="shared" si="102"/>
        <v>2012</v>
      </c>
      <c r="F6219" s="3" t="s">
        <v>994</v>
      </c>
      <c r="G6219" s="6">
        <v>97.28</v>
      </c>
      <c r="H6219" s="5">
        <v>4935</v>
      </c>
    </row>
    <row r="6220" spans="2:8" ht="17.5" customHeight="1" x14ac:dyDescent="0.4">
      <c r="B6220" s="3" t="s">
        <v>7</v>
      </c>
      <c r="C6220" s="3" t="s">
        <v>993</v>
      </c>
      <c r="D6220" s="4">
        <f>DATE(2012,3,23)</f>
        <v>40991</v>
      </c>
      <c r="E6220" s="5">
        <f t="shared" si="102"/>
        <v>2012</v>
      </c>
      <c r="F6220" s="3" t="s">
        <v>994</v>
      </c>
      <c r="G6220" s="6">
        <v>1156</v>
      </c>
      <c r="H6220" s="5">
        <v>4903</v>
      </c>
    </row>
    <row r="6221" spans="2:8" ht="17.5" customHeight="1" x14ac:dyDescent="0.4">
      <c r="B6221" s="3" t="s">
        <v>7</v>
      </c>
      <c r="C6221" s="3" t="s">
        <v>993</v>
      </c>
      <c r="D6221" s="4">
        <f>DATE(2012,3,23)</f>
        <v>40991</v>
      </c>
      <c r="E6221" s="5">
        <f t="shared" si="102"/>
        <v>2012</v>
      </c>
      <c r="F6221" s="3" t="s">
        <v>994</v>
      </c>
      <c r="G6221" s="6">
        <v>1156</v>
      </c>
      <c r="H6221" s="5">
        <v>4904</v>
      </c>
    </row>
    <row r="6222" spans="2:8" ht="17.5" customHeight="1" x14ac:dyDescent="0.4">
      <c r="B6222" s="3" t="s">
        <v>7</v>
      </c>
      <c r="C6222" s="3" t="s">
        <v>993</v>
      </c>
      <c r="D6222" s="4">
        <f>DATE(2012,4,27)</f>
        <v>41026</v>
      </c>
      <c r="E6222" s="5">
        <f t="shared" si="102"/>
        <v>2012</v>
      </c>
      <c r="F6222" s="3" t="s">
        <v>994</v>
      </c>
      <c r="G6222" s="6">
        <v>311.92</v>
      </c>
      <c r="H6222" s="5">
        <v>5013</v>
      </c>
    </row>
    <row r="6223" spans="2:8" ht="17.5" customHeight="1" x14ac:dyDescent="0.4">
      <c r="B6223" s="3" t="s">
        <v>7</v>
      </c>
      <c r="C6223" s="3" t="s">
        <v>993</v>
      </c>
      <c r="D6223" s="4">
        <f>DATE(2012,5,30)</f>
        <v>41059</v>
      </c>
      <c r="E6223" s="5">
        <f t="shared" si="102"/>
        <v>2012</v>
      </c>
      <c r="F6223" s="3" t="s">
        <v>994</v>
      </c>
      <c r="G6223" s="6">
        <v>4622.25</v>
      </c>
      <c r="H6223" s="5">
        <v>5085</v>
      </c>
    </row>
    <row r="6224" spans="2:8" ht="17.5" customHeight="1" x14ac:dyDescent="0.4">
      <c r="B6224" s="3" t="s">
        <v>7</v>
      </c>
      <c r="C6224" s="3" t="s">
        <v>993</v>
      </c>
      <c r="D6224" s="4">
        <f>DATE(2012,6,5)</f>
        <v>41065</v>
      </c>
      <c r="E6224" s="5">
        <f t="shared" si="102"/>
        <v>2012</v>
      </c>
      <c r="F6224" s="3" t="s">
        <v>994</v>
      </c>
      <c r="G6224" s="6">
        <v>58.23</v>
      </c>
      <c r="H6224" s="5">
        <v>5116</v>
      </c>
    </row>
    <row r="6225" spans="2:8" ht="17.5" customHeight="1" x14ac:dyDescent="0.4">
      <c r="B6225" s="3" t="s">
        <v>7</v>
      </c>
      <c r="C6225" s="3" t="s">
        <v>993</v>
      </c>
      <c r="D6225" s="4">
        <f>DATE(2012,6,28)</f>
        <v>41088</v>
      </c>
      <c r="E6225" s="5">
        <f t="shared" si="102"/>
        <v>2012</v>
      </c>
      <c r="F6225" s="3" t="s">
        <v>994</v>
      </c>
      <c r="G6225" s="6">
        <v>15.8</v>
      </c>
      <c r="H6225" s="5">
        <v>5142</v>
      </c>
    </row>
    <row r="6226" spans="2:8" ht="17.5" customHeight="1" x14ac:dyDescent="0.4">
      <c r="B6226" s="3" t="s">
        <v>7</v>
      </c>
      <c r="C6226" s="3" t="s">
        <v>993</v>
      </c>
      <c r="D6226" s="4">
        <f>DATE(2012,10,30)</f>
        <v>41212</v>
      </c>
      <c r="E6226" s="5">
        <f t="shared" si="102"/>
        <v>2012</v>
      </c>
      <c r="F6226" s="3" t="s">
        <v>994</v>
      </c>
      <c r="G6226" s="6">
        <v>771.27</v>
      </c>
      <c r="H6226" s="5">
        <v>5280</v>
      </c>
    </row>
    <row r="6227" spans="2:8" ht="17.5" customHeight="1" x14ac:dyDescent="0.4">
      <c r="B6227" s="3" t="s">
        <v>7</v>
      </c>
      <c r="C6227" s="3" t="s">
        <v>993</v>
      </c>
      <c r="D6227" s="4">
        <f>DATE(2012,12,4)</f>
        <v>41247</v>
      </c>
      <c r="E6227" s="5">
        <f t="shared" si="102"/>
        <v>2012</v>
      </c>
      <c r="F6227" s="3" t="s">
        <v>994</v>
      </c>
      <c r="G6227" s="6">
        <v>17452.95</v>
      </c>
      <c r="H6227" s="5">
        <v>4976</v>
      </c>
    </row>
    <row r="6228" spans="2:8" ht="17.5" customHeight="1" x14ac:dyDescent="0.4">
      <c r="B6228" s="3" t="s">
        <v>7</v>
      </c>
      <c r="C6228" s="3" t="s">
        <v>993</v>
      </c>
      <c r="D6228" s="4">
        <f>DATE(2012,12,11)</f>
        <v>41254</v>
      </c>
      <c r="E6228" s="5">
        <f t="shared" si="102"/>
        <v>2012</v>
      </c>
      <c r="F6228" s="3" t="s">
        <v>994</v>
      </c>
      <c r="G6228" s="6">
        <v>232.92</v>
      </c>
      <c r="H6228" s="5">
        <v>5347</v>
      </c>
    </row>
    <row r="6229" spans="2:8" ht="17.5" customHeight="1" x14ac:dyDescent="0.4">
      <c r="B6229" s="3" t="s">
        <v>7</v>
      </c>
      <c r="C6229" s="3" t="s">
        <v>993</v>
      </c>
      <c r="D6229" s="4">
        <f>DATE(2013,2,4)</f>
        <v>41309</v>
      </c>
      <c r="E6229" s="5">
        <f t="shared" si="102"/>
        <v>2013</v>
      </c>
      <c r="F6229" s="3" t="s">
        <v>994</v>
      </c>
      <c r="G6229" s="6">
        <v>49.32</v>
      </c>
      <c r="H6229" s="5">
        <v>5428</v>
      </c>
    </row>
    <row r="6230" spans="2:8" ht="17.5" customHeight="1" x14ac:dyDescent="0.4">
      <c r="B6230" s="3" t="s">
        <v>7</v>
      </c>
      <c r="C6230" s="3" t="s">
        <v>993</v>
      </c>
      <c r="D6230" s="4">
        <f>DATE(2013,2,27)</f>
        <v>41332</v>
      </c>
      <c r="E6230" s="5">
        <f t="shared" si="102"/>
        <v>2013</v>
      </c>
      <c r="F6230" s="3" t="s">
        <v>994</v>
      </c>
      <c r="G6230" s="6">
        <v>326.58</v>
      </c>
      <c r="H6230" s="5">
        <v>5455</v>
      </c>
    </row>
    <row r="6231" spans="2:8" ht="17.5" customHeight="1" x14ac:dyDescent="0.4">
      <c r="B6231" s="3" t="s">
        <v>7</v>
      </c>
      <c r="C6231" s="3" t="s">
        <v>993</v>
      </c>
      <c r="D6231" s="4">
        <f>DATE(2013,5,29)</f>
        <v>41423</v>
      </c>
      <c r="E6231" s="5">
        <f t="shared" si="102"/>
        <v>2013</v>
      </c>
      <c r="F6231" s="3" t="s">
        <v>994</v>
      </c>
      <c r="G6231" s="6">
        <v>287.24</v>
      </c>
      <c r="H6231" s="5">
        <v>5600</v>
      </c>
    </row>
    <row r="6232" spans="2:8" ht="17.5" customHeight="1" x14ac:dyDescent="0.4">
      <c r="B6232" s="3" t="s">
        <v>7</v>
      </c>
      <c r="C6232" s="3" t="s">
        <v>993</v>
      </c>
      <c r="D6232" s="4">
        <f>DATE(2013,7,11)</f>
        <v>41466</v>
      </c>
      <c r="E6232" s="5">
        <f t="shared" si="102"/>
        <v>2013</v>
      </c>
      <c r="F6232" s="3" t="s">
        <v>994</v>
      </c>
      <c r="G6232" s="6">
        <v>669.8</v>
      </c>
      <c r="H6232" s="5">
        <v>5704</v>
      </c>
    </row>
    <row r="6233" spans="2:8" ht="17.5" customHeight="1" x14ac:dyDescent="0.4">
      <c r="B6233" s="3" t="s">
        <v>7</v>
      </c>
      <c r="C6233" s="3" t="s">
        <v>993</v>
      </c>
      <c r="D6233" s="4">
        <f>DATE(2013,9,11)</f>
        <v>41528</v>
      </c>
      <c r="E6233" s="5">
        <f t="shared" si="102"/>
        <v>2013</v>
      </c>
      <c r="F6233" s="3" t="s">
        <v>994</v>
      </c>
      <c r="G6233" s="6">
        <v>1061.72</v>
      </c>
      <c r="H6233" s="5">
        <v>5802</v>
      </c>
    </row>
    <row r="6234" spans="2:8" ht="17.5" customHeight="1" x14ac:dyDescent="0.4">
      <c r="B6234" s="3" t="s">
        <v>7</v>
      </c>
      <c r="C6234" s="3" t="s">
        <v>993</v>
      </c>
      <c r="D6234" s="4">
        <f>DATE(2013,9,26)</f>
        <v>41543</v>
      </c>
      <c r="E6234" s="5">
        <f t="shared" si="102"/>
        <v>2013</v>
      </c>
      <c r="F6234" s="3" t="s">
        <v>994</v>
      </c>
      <c r="G6234" s="6">
        <v>116.46</v>
      </c>
      <c r="H6234" s="5">
        <v>5823</v>
      </c>
    </row>
    <row r="6235" spans="2:8" ht="17.5" customHeight="1" x14ac:dyDescent="0.4">
      <c r="B6235" s="3" t="s">
        <v>7</v>
      </c>
      <c r="C6235" s="3" t="s">
        <v>993</v>
      </c>
      <c r="D6235" s="4">
        <f>DATE(2013,10,29)</f>
        <v>41576</v>
      </c>
      <c r="E6235" s="5">
        <f t="shared" si="102"/>
        <v>2013</v>
      </c>
      <c r="F6235" s="3" t="s">
        <v>994</v>
      </c>
      <c r="G6235" s="6">
        <v>116.46</v>
      </c>
      <c r="H6235" s="5">
        <v>5868</v>
      </c>
    </row>
    <row r="6236" spans="2:8" ht="17.5" customHeight="1" x14ac:dyDescent="0.4">
      <c r="B6236" s="3" t="s">
        <v>7</v>
      </c>
      <c r="C6236" s="3" t="s">
        <v>993</v>
      </c>
      <c r="D6236" s="4">
        <f>DATE(2014,1,13)</f>
        <v>41652</v>
      </c>
      <c r="E6236" s="5">
        <f t="shared" si="102"/>
        <v>2014</v>
      </c>
      <c r="F6236" s="3" t="s">
        <v>994</v>
      </c>
      <c r="G6236" s="6">
        <v>334.9</v>
      </c>
      <c r="H6236" s="5">
        <v>5970</v>
      </c>
    </row>
    <row r="6237" spans="2:8" ht="17.5" customHeight="1" x14ac:dyDescent="0.4">
      <c r="B6237" s="3" t="s">
        <v>7</v>
      </c>
      <c r="C6237" s="3" t="s">
        <v>993</v>
      </c>
      <c r="D6237" s="4">
        <f>DATE(2014,4,2)</f>
        <v>41731</v>
      </c>
      <c r="E6237" s="5">
        <f t="shared" si="102"/>
        <v>2014</v>
      </c>
      <c r="F6237" s="3" t="s">
        <v>994</v>
      </c>
      <c r="G6237" s="6">
        <v>200.94</v>
      </c>
      <c r="H6237" s="5">
        <v>6142</v>
      </c>
    </row>
    <row r="6238" spans="2:8" ht="17.5" customHeight="1" x14ac:dyDescent="0.4">
      <c r="B6238" s="3" t="s">
        <v>7</v>
      </c>
      <c r="C6238" s="3" t="s">
        <v>993</v>
      </c>
      <c r="D6238" s="4">
        <f>DATE(2014,4,11)</f>
        <v>41740</v>
      </c>
      <c r="E6238" s="5">
        <f t="shared" si="102"/>
        <v>2014</v>
      </c>
      <c r="F6238" s="3" t="s">
        <v>994</v>
      </c>
      <c r="G6238" s="6">
        <v>199.7</v>
      </c>
      <c r="H6238" s="5">
        <v>6151</v>
      </c>
    </row>
    <row r="6239" spans="2:8" ht="17.5" customHeight="1" x14ac:dyDescent="0.4">
      <c r="B6239" s="3" t="s">
        <v>7</v>
      </c>
      <c r="C6239" s="3" t="s">
        <v>993</v>
      </c>
      <c r="D6239" s="4">
        <f>DATE(2014,5,23)</f>
        <v>41782</v>
      </c>
      <c r="E6239" s="5">
        <f t="shared" si="102"/>
        <v>2014</v>
      </c>
      <c r="F6239" s="3" t="s">
        <v>994</v>
      </c>
      <c r="G6239" s="6">
        <v>348.72</v>
      </c>
      <c r="H6239" s="5">
        <v>6226</v>
      </c>
    </row>
    <row r="6240" spans="2:8" ht="17.5" customHeight="1" x14ac:dyDescent="0.4">
      <c r="B6240" s="3" t="s">
        <v>7</v>
      </c>
      <c r="C6240" s="3" t="s">
        <v>993</v>
      </c>
      <c r="D6240" s="4">
        <f>DATE(2014,7,2)</f>
        <v>41822</v>
      </c>
      <c r="E6240" s="5">
        <f t="shared" si="102"/>
        <v>2014</v>
      </c>
      <c r="F6240" s="3" t="s">
        <v>994</v>
      </c>
      <c r="G6240" s="6">
        <v>370.15</v>
      </c>
      <c r="H6240" s="5">
        <v>6267</v>
      </c>
    </row>
    <row r="6241" spans="2:8" ht="17.5" customHeight="1" x14ac:dyDescent="0.4">
      <c r="B6241" s="3" t="s">
        <v>7</v>
      </c>
      <c r="C6241" s="3" t="s">
        <v>993</v>
      </c>
      <c r="D6241" s="4">
        <f>DATE(2014,7,7)</f>
        <v>41827</v>
      </c>
      <c r="E6241" s="5">
        <f t="shared" si="102"/>
        <v>2014</v>
      </c>
      <c r="F6241" s="3" t="s">
        <v>994</v>
      </c>
      <c r="G6241" s="6">
        <v>116.46</v>
      </c>
      <c r="H6241" s="5">
        <v>6264</v>
      </c>
    </row>
    <row r="6242" spans="2:8" ht="17.5" customHeight="1" x14ac:dyDescent="0.4">
      <c r="B6242" s="3" t="s">
        <v>7</v>
      </c>
      <c r="C6242" s="3" t="s">
        <v>993</v>
      </c>
      <c r="D6242" s="4">
        <f>DATE(2014,7,16)</f>
        <v>41836</v>
      </c>
      <c r="E6242" s="5">
        <f t="shared" si="102"/>
        <v>2014</v>
      </c>
      <c r="F6242" s="3" t="s">
        <v>994</v>
      </c>
      <c r="G6242" s="6">
        <v>2062</v>
      </c>
      <c r="H6242" s="5">
        <v>6286</v>
      </c>
    </row>
    <row r="6243" spans="2:8" ht="17.5" customHeight="1" x14ac:dyDescent="0.4">
      <c r="B6243" s="3" t="s">
        <v>7</v>
      </c>
      <c r="C6243" s="3" t="s">
        <v>993</v>
      </c>
      <c r="D6243" s="4">
        <f>DATE(2014,8,4)</f>
        <v>41855</v>
      </c>
      <c r="E6243" s="5">
        <f t="shared" si="102"/>
        <v>2014</v>
      </c>
      <c r="F6243" s="3" t="s">
        <v>994</v>
      </c>
      <c r="G6243" s="6">
        <v>243.96</v>
      </c>
      <c r="H6243" s="5">
        <v>6312</v>
      </c>
    </row>
    <row r="6244" spans="2:8" ht="17.5" customHeight="1" x14ac:dyDescent="0.4">
      <c r="B6244" s="3" t="s">
        <v>7</v>
      </c>
      <c r="C6244" s="3" t="s">
        <v>993</v>
      </c>
      <c r="D6244" s="4">
        <f>DATE(2014,8,18)</f>
        <v>41869</v>
      </c>
      <c r="E6244" s="5">
        <f t="shared" si="102"/>
        <v>2014</v>
      </c>
      <c r="F6244" s="3" t="s">
        <v>994</v>
      </c>
      <c r="G6244" s="6">
        <v>4828.1499999999996</v>
      </c>
      <c r="H6244" s="5">
        <v>6333</v>
      </c>
    </row>
    <row r="6245" spans="2:8" ht="17.5" customHeight="1" x14ac:dyDescent="0.4">
      <c r="B6245" s="3" t="s">
        <v>7</v>
      </c>
      <c r="C6245" s="3" t="s">
        <v>993</v>
      </c>
      <c r="D6245" s="4">
        <f>DATE(2014,8,18)</f>
        <v>41869</v>
      </c>
      <c r="E6245" s="5">
        <f t="shared" si="102"/>
        <v>2014</v>
      </c>
      <c r="F6245" s="3" t="s">
        <v>994</v>
      </c>
      <c r="G6245" s="6">
        <v>105.63</v>
      </c>
      <c r="H6245" s="5">
        <v>6343</v>
      </c>
    </row>
    <row r="6246" spans="2:8" ht="17.5" customHeight="1" x14ac:dyDescent="0.4">
      <c r="B6246" s="3" t="s">
        <v>7</v>
      </c>
      <c r="C6246" s="3" t="s">
        <v>993</v>
      </c>
      <c r="D6246" s="4">
        <f>DATE(2014,9,2)</f>
        <v>41884</v>
      </c>
      <c r="E6246" s="5">
        <f t="shared" si="102"/>
        <v>2014</v>
      </c>
      <c r="F6246" s="3" t="s">
        <v>994</v>
      </c>
      <c r="G6246" s="6">
        <v>116.46</v>
      </c>
      <c r="H6246" s="5">
        <v>6365</v>
      </c>
    </row>
    <row r="6247" spans="2:8" ht="17.5" customHeight="1" x14ac:dyDescent="0.4">
      <c r="B6247" s="3" t="s">
        <v>7</v>
      </c>
      <c r="C6247" s="3" t="s">
        <v>993</v>
      </c>
      <c r="D6247" s="4">
        <f>DATE(2014,9,3)</f>
        <v>41885</v>
      </c>
      <c r="E6247" s="5">
        <f t="shared" si="102"/>
        <v>2014</v>
      </c>
      <c r="F6247" s="3" t="s">
        <v>994</v>
      </c>
      <c r="G6247" s="6">
        <v>307.94</v>
      </c>
      <c r="H6247" s="5">
        <v>6396</v>
      </c>
    </row>
    <row r="6248" spans="2:8" ht="17.5" customHeight="1" x14ac:dyDescent="0.4">
      <c r="B6248" s="3" t="s">
        <v>7</v>
      </c>
      <c r="C6248" s="3" t="s">
        <v>993</v>
      </c>
      <c r="D6248" s="4">
        <f>DATE(2014,9,18)</f>
        <v>41900</v>
      </c>
      <c r="E6248" s="5">
        <f t="shared" si="102"/>
        <v>2014</v>
      </c>
      <c r="F6248" s="3" t="s">
        <v>994</v>
      </c>
      <c r="G6248" s="6">
        <v>1275.49</v>
      </c>
      <c r="H6248" s="5">
        <v>6424</v>
      </c>
    </row>
    <row r="6249" spans="2:8" ht="17.5" customHeight="1" x14ac:dyDescent="0.4">
      <c r="B6249" s="3" t="s">
        <v>7</v>
      </c>
      <c r="C6249" s="3" t="s">
        <v>993</v>
      </c>
      <c r="D6249" s="4">
        <f>DATE(2014,12,2)</f>
        <v>41975</v>
      </c>
      <c r="E6249" s="5">
        <f t="shared" si="102"/>
        <v>2014</v>
      </c>
      <c r="F6249" s="3" t="s">
        <v>994</v>
      </c>
      <c r="G6249" s="6">
        <v>2454.1</v>
      </c>
      <c r="H6249" s="5">
        <v>6495</v>
      </c>
    </row>
    <row r="6250" spans="2:8" ht="17.5" customHeight="1" x14ac:dyDescent="0.4">
      <c r="B6250" s="3" t="s">
        <v>7</v>
      </c>
      <c r="C6250" s="3" t="s">
        <v>993</v>
      </c>
      <c r="D6250" s="4">
        <f>DATE(2012,8,9)</f>
        <v>41130</v>
      </c>
      <c r="E6250" s="5">
        <f t="shared" si="102"/>
        <v>2012</v>
      </c>
      <c r="F6250" s="3" t="s">
        <v>994</v>
      </c>
      <c r="G6250" s="6">
        <v>19352.82</v>
      </c>
      <c r="H6250" s="5">
        <v>5163</v>
      </c>
    </row>
    <row r="6251" spans="2:8" ht="17.5" customHeight="1" x14ac:dyDescent="0.4">
      <c r="B6251" s="3" t="s">
        <v>7</v>
      </c>
      <c r="C6251" s="3" t="s">
        <v>993</v>
      </c>
      <c r="D6251" s="4">
        <f>DATE(2012,11,28)</f>
        <v>41241</v>
      </c>
      <c r="E6251" s="5">
        <f t="shared" si="102"/>
        <v>2012</v>
      </c>
      <c r="F6251" s="3" t="s">
        <v>994</v>
      </c>
      <c r="G6251" s="6">
        <v>2384.19</v>
      </c>
      <c r="H6251" s="5">
        <v>5330</v>
      </c>
    </row>
    <row r="6252" spans="2:8" ht="17.5" customHeight="1" x14ac:dyDescent="0.4">
      <c r="B6252" s="3" t="s">
        <v>7</v>
      </c>
      <c r="C6252" s="3" t="s">
        <v>993</v>
      </c>
      <c r="D6252" s="4">
        <f>DATE(2014,4,10)</f>
        <v>41739</v>
      </c>
      <c r="E6252" s="5">
        <f t="shared" si="102"/>
        <v>2014</v>
      </c>
      <c r="F6252" s="3" t="s">
        <v>994</v>
      </c>
      <c r="G6252" s="6">
        <v>14325.46</v>
      </c>
      <c r="H6252" s="5">
        <v>6128</v>
      </c>
    </row>
    <row r="6253" spans="2:8" ht="17.5" customHeight="1" x14ac:dyDescent="0.4">
      <c r="B6253" s="3" t="s">
        <v>16</v>
      </c>
      <c r="C6253" s="3" t="s">
        <v>993</v>
      </c>
      <c r="D6253" s="4">
        <f>DATE(2011,7,21)</f>
        <v>40745</v>
      </c>
      <c r="E6253" s="5">
        <f t="shared" si="102"/>
        <v>2011</v>
      </c>
      <c r="F6253" s="3" t="s">
        <v>994</v>
      </c>
      <c r="G6253" s="6">
        <v>3289.5</v>
      </c>
      <c r="H6253" s="5">
        <v>4607</v>
      </c>
    </row>
    <row r="6254" spans="2:8" ht="17.5" customHeight="1" x14ac:dyDescent="0.4">
      <c r="B6254" s="3" t="s">
        <v>16</v>
      </c>
      <c r="C6254" s="3" t="s">
        <v>993</v>
      </c>
      <c r="D6254" s="4">
        <f>DATE(2011,7,28)</f>
        <v>40752</v>
      </c>
      <c r="E6254" s="5">
        <f t="shared" si="102"/>
        <v>2011</v>
      </c>
      <c r="F6254" s="3" t="s">
        <v>994</v>
      </c>
      <c r="G6254" s="6">
        <v>2510.5500000000002</v>
      </c>
      <c r="H6254" s="5">
        <v>4608</v>
      </c>
    </row>
    <row r="6255" spans="2:8" ht="17.5" customHeight="1" x14ac:dyDescent="0.4">
      <c r="B6255" s="3" t="s">
        <v>16</v>
      </c>
      <c r="C6255" s="3" t="s">
        <v>993</v>
      </c>
      <c r="D6255" s="4">
        <f>DATE(2011,10,1)</f>
        <v>40817</v>
      </c>
      <c r="E6255" s="5">
        <f t="shared" si="102"/>
        <v>2011</v>
      </c>
      <c r="F6255" s="3" t="s">
        <v>994</v>
      </c>
      <c r="G6255" s="6">
        <v>2807.8</v>
      </c>
      <c r="H6255" s="5">
        <v>4709</v>
      </c>
    </row>
    <row r="6256" spans="2:8" ht="17.5" customHeight="1" x14ac:dyDescent="0.4">
      <c r="B6256" s="3" t="s">
        <v>16</v>
      </c>
      <c r="C6256" s="3" t="s">
        <v>993</v>
      </c>
      <c r="D6256" s="4">
        <f>DATE(2013,8,8)</f>
        <v>41494</v>
      </c>
      <c r="E6256" s="5">
        <f t="shared" si="102"/>
        <v>2013</v>
      </c>
      <c r="F6256" s="3" t="s">
        <v>994</v>
      </c>
      <c r="G6256" s="6">
        <v>535.84</v>
      </c>
      <c r="H6256" s="5">
        <v>5764</v>
      </c>
    </row>
    <row r="6257" spans="2:8" ht="17.5" customHeight="1" x14ac:dyDescent="0.4">
      <c r="B6257" s="3" t="s">
        <v>7</v>
      </c>
      <c r="C6257" s="3" t="s">
        <v>993</v>
      </c>
      <c r="D6257" s="4">
        <f>DATE(2005,7,21)</f>
        <v>38554</v>
      </c>
      <c r="E6257" s="5">
        <f t="shared" si="102"/>
        <v>2005</v>
      </c>
      <c r="F6257" s="3" t="s">
        <v>994</v>
      </c>
      <c r="G6257" s="6">
        <v>1987</v>
      </c>
      <c r="H6257" s="5">
        <v>5118</v>
      </c>
    </row>
    <row r="6258" spans="2:8" ht="17.5" customHeight="1" x14ac:dyDescent="0.4">
      <c r="B6258" s="3" t="s">
        <v>7</v>
      </c>
      <c r="C6258" s="3" t="s">
        <v>993</v>
      </c>
      <c r="D6258" s="4">
        <f>DATE(2005,7,21)</f>
        <v>38554</v>
      </c>
      <c r="E6258" s="5">
        <f t="shared" si="102"/>
        <v>2005</v>
      </c>
      <c r="F6258" s="3" t="s">
        <v>994</v>
      </c>
      <c r="G6258" s="6">
        <v>76312.5</v>
      </c>
      <c r="H6258" s="5">
        <v>5121</v>
      </c>
    </row>
    <row r="6259" spans="2:8" ht="17.5" customHeight="1" x14ac:dyDescent="0.4">
      <c r="B6259" s="3" t="s">
        <v>7</v>
      </c>
      <c r="C6259" s="3" t="s">
        <v>993</v>
      </c>
      <c r="D6259" s="4">
        <f>DATE(2005,7,21)</f>
        <v>38554</v>
      </c>
      <c r="E6259" s="5">
        <f t="shared" si="102"/>
        <v>2005</v>
      </c>
      <c r="F6259" s="3" t="s">
        <v>994</v>
      </c>
      <c r="G6259" s="6">
        <v>5815.45</v>
      </c>
      <c r="H6259" s="5">
        <v>5056</v>
      </c>
    </row>
    <row r="6260" spans="2:8" ht="17.5" customHeight="1" x14ac:dyDescent="0.4">
      <c r="B6260" s="3" t="s">
        <v>7</v>
      </c>
      <c r="C6260" s="3" t="s">
        <v>993</v>
      </c>
      <c r="D6260" s="4">
        <f>DATE(2005,9,1)</f>
        <v>38596</v>
      </c>
      <c r="E6260" s="5">
        <f t="shared" si="102"/>
        <v>2005</v>
      </c>
      <c r="F6260" s="3" t="s">
        <v>994</v>
      </c>
      <c r="G6260" s="6">
        <v>3239.9</v>
      </c>
      <c r="H6260" s="5">
        <v>5203</v>
      </c>
    </row>
    <row r="6261" spans="2:8" ht="17.5" customHeight="1" x14ac:dyDescent="0.4">
      <c r="B6261" s="3" t="s">
        <v>7</v>
      </c>
      <c r="C6261" s="3" t="s">
        <v>993</v>
      </c>
      <c r="D6261" s="4">
        <f>DATE(2005,11,11)</f>
        <v>38667</v>
      </c>
      <c r="E6261" s="5">
        <f t="shared" si="102"/>
        <v>2005</v>
      </c>
      <c r="F6261" s="3" t="s">
        <v>994</v>
      </c>
      <c r="G6261" s="6">
        <v>9290.81</v>
      </c>
      <c r="H6261" s="5">
        <v>5557</v>
      </c>
    </row>
    <row r="6262" spans="2:8" ht="17.5" customHeight="1" x14ac:dyDescent="0.4">
      <c r="B6262" s="3" t="s">
        <v>7</v>
      </c>
      <c r="C6262" s="3" t="s">
        <v>993</v>
      </c>
      <c r="D6262" s="4">
        <f>DATE(2005,11,14)</f>
        <v>38670</v>
      </c>
      <c r="E6262" s="5">
        <f t="shared" si="102"/>
        <v>2005</v>
      </c>
      <c r="F6262" s="3" t="s">
        <v>994</v>
      </c>
      <c r="G6262" s="6">
        <v>4559.25</v>
      </c>
      <c r="H6262" s="5">
        <v>5570</v>
      </c>
    </row>
    <row r="6263" spans="2:8" ht="17.5" customHeight="1" x14ac:dyDescent="0.4">
      <c r="B6263" s="3" t="s">
        <v>7</v>
      </c>
      <c r="C6263" s="3" t="s">
        <v>993</v>
      </c>
      <c r="D6263" s="4">
        <f>DATE(2005,11,22)</f>
        <v>38678</v>
      </c>
      <c r="E6263" s="5">
        <f t="shared" si="102"/>
        <v>2005</v>
      </c>
      <c r="F6263" s="3" t="s">
        <v>994</v>
      </c>
      <c r="G6263" s="6">
        <v>1432.4</v>
      </c>
      <c r="H6263" s="5">
        <v>5607</v>
      </c>
    </row>
    <row r="6264" spans="2:8" ht="17.5" customHeight="1" x14ac:dyDescent="0.4">
      <c r="B6264" s="3" t="s">
        <v>7</v>
      </c>
      <c r="C6264" s="3" t="s">
        <v>993</v>
      </c>
      <c r="D6264" s="4">
        <f>DATE(2006,2,1)</f>
        <v>38749</v>
      </c>
      <c r="E6264" s="5">
        <f t="shared" si="102"/>
        <v>2006</v>
      </c>
      <c r="F6264" s="3" t="s">
        <v>994</v>
      </c>
      <c r="G6264" s="6">
        <v>502.41</v>
      </c>
      <c r="H6264" s="5">
        <v>5947</v>
      </c>
    </row>
    <row r="6265" spans="2:8" ht="17.5" customHeight="1" x14ac:dyDescent="0.4">
      <c r="B6265" s="3" t="s">
        <v>7</v>
      </c>
      <c r="C6265" s="3" t="s">
        <v>993</v>
      </c>
      <c r="D6265" s="4">
        <f>DATE(2006,2,16)</f>
        <v>38764</v>
      </c>
      <c r="E6265" s="5">
        <f t="shared" si="102"/>
        <v>2006</v>
      </c>
      <c r="F6265" s="3" t="s">
        <v>994</v>
      </c>
      <c r="G6265" s="6">
        <v>10482.07</v>
      </c>
      <c r="H6265" s="5">
        <v>6069</v>
      </c>
    </row>
    <row r="6266" spans="2:8" ht="17.5" customHeight="1" x14ac:dyDescent="0.4">
      <c r="B6266" s="3" t="s">
        <v>7</v>
      </c>
      <c r="C6266" s="3" t="s">
        <v>993</v>
      </c>
      <c r="D6266" s="4">
        <f>DATE(2006,3,7)</f>
        <v>38783</v>
      </c>
      <c r="E6266" s="5">
        <f t="shared" si="102"/>
        <v>2006</v>
      </c>
      <c r="F6266" s="3" t="s">
        <v>994</v>
      </c>
      <c r="G6266" s="6">
        <v>6460</v>
      </c>
      <c r="H6266" s="5">
        <v>6213</v>
      </c>
    </row>
    <row r="6267" spans="2:8" ht="17.5" customHeight="1" x14ac:dyDescent="0.4">
      <c r="B6267" s="3" t="s">
        <v>7</v>
      </c>
      <c r="C6267" s="3" t="s">
        <v>993</v>
      </c>
      <c r="D6267" s="4">
        <f>DATE(2006,3,13)</f>
        <v>38789</v>
      </c>
      <c r="E6267" s="5">
        <f t="shared" si="102"/>
        <v>2006</v>
      </c>
      <c r="F6267" s="3" t="s">
        <v>994</v>
      </c>
      <c r="G6267" s="6">
        <v>2225</v>
      </c>
      <c r="H6267" s="5">
        <v>6214</v>
      </c>
    </row>
    <row r="6268" spans="2:8" ht="17.5" customHeight="1" x14ac:dyDescent="0.4">
      <c r="B6268" s="3" t="s">
        <v>7</v>
      </c>
      <c r="C6268" s="3" t="s">
        <v>993</v>
      </c>
      <c r="D6268" s="4">
        <f>DATE(2006,3,21)</f>
        <v>38797</v>
      </c>
      <c r="E6268" s="5">
        <f t="shared" si="102"/>
        <v>2006</v>
      </c>
      <c r="F6268" s="3" t="s">
        <v>994</v>
      </c>
      <c r="G6268" s="6">
        <v>346.04</v>
      </c>
      <c r="H6268" s="5">
        <v>6323</v>
      </c>
    </row>
    <row r="6269" spans="2:8" ht="17.5" customHeight="1" x14ac:dyDescent="0.4">
      <c r="B6269" s="3" t="s">
        <v>7</v>
      </c>
      <c r="C6269" s="3" t="s">
        <v>993</v>
      </c>
      <c r="D6269" s="4">
        <f>DATE(2006,3,24)</f>
        <v>38800</v>
      </c>
      <c r="E6269" s="5">
        <f t="shared" si="102"/>
        <v>2006</v>
      </c>
      <c r="F6269" s="3" t="s">
        <v>994</v>
      </c>
      <c r="G6269" s="6">
        <v>34200</v>
      </c>
      <c r="H6269" s="5">
        <v>6212</v>
      </c>
    </row>
    <row r="6270" spans="2:8" ht="17.5" customHeight="1" x14ac:dyDescent="0.4">
      <c r="B6270" s="3" t="s">
        <v>7</v>
      </c>
      <c r="C6270" s="3" t="s">
        <v>993</v>
      </c>
      <c r="D6270" s="4">
        <f>DATE(2006,3,21)</f>
        <v>38797</v>
      </c>
      <c r="E6270" s="5">
        <f t="shared" si="102"/>
        <v>2006</v>
      </c>
      <c r="F6270" s="3" t="s">
        <v>994</v>
      </c>
      <c r="G6270" s="6">
        <v>110.71</v>
      </c>
      <c r="H6270" s="5">
        <v>6464</v>
      </c>
    </row>
    <row r="6271" spans="2:8" ht="17.5" customHeight="1" x14ac:dyDescent="0.4">
      <c r="B6271" s="3" t="s">
        <v>7</v>
      </c>
      <c r="C6271" s="3" t="s">
        <v>993</v>
      </c>
      <c r="D6271" s="4">
        <f>DATE(2006,4,7)</f>
        <v>38814</v>
      </c>
      <c r="E6271" s="5">
        <f t="shared" si="102"/>
        <v>2006</v>
      </c>
      <c r="F6271" s="3" t="s">
        <v>994</v>
      </c>
      <c r="G6271" s="6">
        <v>11951</v>
      </c>
      <c r="H6271" s="5">
        <v>6468</v>
      </c>
    </row>
    <row r="6272" spans="2:8" ht="17.5" customHeight="1" x14ac:dyDescent="0.4">
      <c r="B6272" s="3" t="s">
        <v>7</v>
      </c>
      <c r="C6272" s="3" t="s">
        <v>993</v>
      </c>
      <c r="D6272" s="4">
        <f>DATE(2006,4,7)</f>
        <v>38814</v>
      </c>
      <c r="E6272" s="5">
        <f t="shared" si="102"/>
        <v>2006</v>
      </c>
      <c r="F6272" s="3" t="s">
        <v>994</v>
      </c>
      <c r="G6272" s="6">
        <v>12209.48</v>
      </c>
      <c r="H6272" s="5">
        <v>6483</v>
      </c>
    </row>
    <row r="6273" spans="2:8" ht="17.5" customHeight="1" x14ac:dyDescent="0.4">
      <c r="B6273" s="3" t="s">
        <v>7</v>
      </c>
      <c r="C6273" s="3" t="s">
        <v>993</v>
      </c>
      <c r="D6273" s="4">
        <f>DATE(2006,4,11)</f>
        <v>38818</v>
      </c>
      <c r="E6273" s="5">
        <f t="shared" si="102"/>
        <v>2006</v>
      </c>
      <c r="F6273" s="3" t="s">
        <v>994</v>
      </c>
      <c r="G6273" s="6">
        <v>13284.26</v>
      </c>
      <c r="H6273" s="5">
        <v>6461</v>
      </c>
    </row>
    <row r="6274" spans="2:8" ht="17.5" customHeight="1" x14ac:dyDescent="0.4">
      <c r="B6274" s="3" t="s">
        <v>7</v>
      </c>
      <c r="C6274" s="3" t="s">
        <v>993</v>
      </c>
      <c r="D6274" s="4">
        <f>DATE(2006,4,12)</f>
        <v>38819</v>
      </c>
      <c r="E6274" s="5">
        <f t="shared" si="102"/>
        <v>2006</v>
      </c>
      <c r="F6274" s="3" t="s">
        <v>994</v>
      </c>
      <c r="G6274" s="6">
        <v>21630.68</v>
      </c>
      <c r="H6274" s="5">
        <v>6480</v>
      </c>
    </row>
    <row r="6275" spans="2:8" ht="17.5" customHeight="1" x14ac:dyDescent="0.4">
      <c r="B6275" s="3" t="s">
        <v>7</v>
      </c>
      <c r="C6275" s="3" t="s">
        <v>993</v>
      </c>
      <c r="D6275" s="4">
        <f>DATE(2006,5,3)</f>
        <v>38840</v>
      </c>
      <c r="E6275" s="5">
        <f t="shared" ref="E6275:E6338" si="103">YEAR(D6275)</f>
        <v>2006</v>
      </c>
      <c r="F6275" s="3" t="s">
        <v>994</v>
      </c>
      <c r="G6275" s="6">
        <v>417.84</v>
      </c>
      <c r="H6275" s="5">
        <v>6626</v>
      </c>
    </row>
    <row r="6276" spans="2:8" ht="17.5" customHeight="1" x14ac:dyDescent="0.4">
      <c r="B6276" s="3" t="s">
        <v>7</v>
      </c>
      <c r="C6276" s="3" t="s">
        <v>993</v>
      </c>
      <c r="D6276" s="4">
        <f>DATE(2006,5,3)</f>
        <v>38840</v>
      </c>
      <c r="E6276" s="5">
        <f t="shared" si="103"/>
        <v>2006</v>
      </c>
      <c r="F6276" s="3" t="s">
        <v>994</v>
      </c>
      <c r="G6276" s="6">
        <v>21755.21</v>
      </c>
      <c r="H6276" s="5">
        <v>6555</v>
      </c>
    </row>
    <row r="6277" spans="2:8" ht="17.5" customHeight="1" x14ac:dyDescent="0.4">
      <c r="B6277" s="3" t="s">
        <v>7</v>
      </c>
      <c r="C6277" s="3" t="s">
        <v>993</v>
      </c>
      <c r="D6277" s="4">
        <f>DATE(2006,3,13)</f>
        <v>38789</v>
      </c>
      <c r="E6277" s="5">
        <f t="shared" si="103"/>
        <v>2006</v>
      </c>
      <c r="F6277" s="3" t="s">
        <v>994</v>
      </c>
      <c r="G6277" s="6">
        <v>827.45</v>
      </c>
      <c r="H6277" s="5">
        <v>6742</v>
      </c>
    </row>
    <row r="6278" spans="2:8" ht="17.5" customHeight="1" x14ac:dyDescent="0.4">
      <c r="B6278" s="3" t="s">
        <v>7</v>
      </c>
      <c r="C6278" s="3" t="s">
        <v>993</v>
      </c>
      <c r="D6278" s="4">
        <f>DATE(2006,6,28)</f>
        <v>38896</v>
      </c>
      <c r="E6278" s="5">
        <f t="shared" si="103"/>
        <v>2006</v>
      </c>
      <c r="F6278" s="3" t="s">
        <v>994</v>
      </c>
      <c r="G6278" s="6">
        <v>27558.32</v>
      </c>
      <c r="H6278" s="5">
        <v>6892</v>
      </c>
    </row>
    <row r="6279" spans="2:8" ht="17.5" customHeight="1" x14ac:dyDescent="0.4">
      <c r="B6279" s="3" t="s">
        <v>7</v>
      </c>
      <c r="C6279" s="3" t="s">
        <v>993</v>
      </c>
      <c r="D6279" s="4">
        <f>DATE(2006,7,21)</f>
        <v>38919</v>
      </c>
      <c r="E6279" s="5">
        <f t="shared" si="103"/>
        <v>2006</v>
      </c>
      <c r="F6279" s="3" t="s">
        <v>994</v>
      </c>
      <c r="G6279" s="6">
        <v>4110.7299999999996</v>
      </c>
      <c r="H6279" s="5">
        <v>6943</v>
      </c>
    </row>
    <row r="6280" spans="2:8" ht="17.5" customHeight="1" x14ac:dyDescent="0.4">
      <c r="B6280" s="3" t="s">
        <v>7</v>
      </c>
      <c r="C6280" s="3" t="s">
        <v>993</v>
      </c>
      <c r="D6280" s="4">
        <f>DATE(2006,7,28)</f>
        <v>38926</v>
      </c>
      <c r="E6280" s="5">
        <f t="shared" si="103"/>
        <v>2006</v>
      </c>
      <c r="F6280" s="3" t="s">
        <v>994</v>
      </c>
      <c r="G6280" s="6">
        <v>17967.05</v>
      </c>
      <c r="H6280" s="5">
        <v>6993</v>
      </c>
    </row>
    <row r="6281" spans="2:8" ht="17.5" customHeight="1" x14ac:dyDescent="0.4">
      <c r="B6281" s="3" t="s">
        <v>7</v>
      </c>
      <c r="C6281" s="3" t="s">
        <v>993</v>
      </c>
      <c r="D6281" s="4">
        <f>DATE(2006,8,2)</f>
        <v>38931</v>
      </c>
      <c r="E6281" s="5">
        <f t="shared" si="103"/>
        <v>2006</v>
      </c>
      <c r="F6281" s="3" t="s">
        <v>994</v>
      </c>
      <c r="G6281" s="6">
        <v>1024.4000000000001</v>
      </c>
      <c r="H6281" s="5">
        <v>7022</v>
      </c>
    </row>
    <row r="6282" spans="2:8" ht="17.5" customHeight="1" x14ac:dyDescent="0.4">
      <c r="B6282" s="3" t="s">
        <v>7</v>
      </c>
      <c r="C6282" s="3" t="s">
        <v>993</v>
      </c>
      <c r="D6282" s="4">
        <f>DATE(2006,8,4)</f>
        <v>38933</v>
      </c>
      <c r="E6282" s="5">
        <f t="shared" si="103"/>
        <v>2006</v>
      </c>
      <c r="F6282" s="3" t="s">
        <v>994</v>
      </c>
      <c r="G6282" s="6">
        <v>31880.95</v>
      </c>
      <c r="H6282" s="5">
        <v>7028</v>
      </c>
    </row>
    <row r="6283" spans="2:8" ht="17.5" customHeight="1" x14ac:dyDescent="0.4">
      <c r="B6283" s="3" t="s">
        <v>7</v>
      </c>
      <c r="C6283" s="3" t="s">
        <v>993</v>
      </c>
      <c r="D6283" s="4">
        <f>DATE(2006,8,11)</f>
        <v>38940</v>
      </c>
      <c r="E6283" s="5">
        <f t="shared" si="103"/>
        <v>2006</v>
      </c>
      <c r="F6283" s="3" t="s">
        <v>994</v>
      </c>
      <c r="G6283" s="6">
        <v>3710.13</v>
      </c>
      <c r="H6283" s="5">
        <v>7045</v>
      </c>
    </row>
    <row r="6284" spans="2:8" ht="17.5" customHeight="1" x14ac:dyDescent="0.4">
      <c r="B6284" s="3" t="s">
        <v>7</v>
      </c>
      <c r="C6284" s="3" t="s">
        <v>993</v>
      </c>
      <c r="D6284" s="4">
        <f>DATE(2006,8,31)</f>
        <v>38960</v>
      </c>
      <c r="E6284" s="5">
        <f t="shared" si="103"/>
        <v>2006</v>
      </c>
      <c r="F6284" s="3" t="s">
        <v>994</v>
      </c>
      <c r="G6284" s="6">
        <v>2397.59</v>
      </c>
      <c r="H6284" s="5">
        <v>7173</v>
      </c>
    </row>
    <row r="6285" spans="2:8" ht="17.5" customHeight="1" x14ac:dyDescent="0.4">
      <c r="B6285" s="3" t="s">
        <v>7</v>
      </c>
      <c r="C6285" s="3" t="s">
        <v>993</v>
      </c>
      <c r="D6285" s="4">
        <f>DATE(2006,9,11)</f>
        <v>38971</v>
      </c>
      <c r="E6285" s="5">
        <f t="shared" si="103"/>
        <v>2006</v>
      </c>
      <c r="F6285" s="3" t="s">
        <v>994</v>
      </c>
      <c r="G6285" s="6">
        <v>6499.97</v>
      </c>
      <c r="H6285" s="5">
        <v>7209</v>
      </c>
    </row>
    <row r="6286" spans="2:8" ht="17.5" customHeight="1" x14ac:dyDescent="0.4">
      <c r="B6286" s="3" t="s">
        <v>7</v>
      </c>
      <c r="C6286" s="3" t="s">
        <v>993</v>
      </c>
      <c r="D6286" s="4">
        <f>DATE(2006,10,6)</f>
        <v>38996</v>
      </c>
      <c r="E6286" s="5">
        <f t="shared" si="103"/>
        <v>2006</v>
      </c>
      <c r="F6286" s="3" t="s">
        <v>994</v>
      </c>
      <c r="G6286" s="6">
        <v>18770.099999999999</v>
      </c>
      <c r="H6286" s="5">
        <v>7336</v>
      </c>
    </row>
    <row r="6287" spans="2:8" ht="17.5" customHeight="1" x14ac:dyDescent="0.4">
      <c r="B6287" s="3" t="s">
        <v>7</v>
      </c>
      <c r="C6287" s="3" t="s">
        <v>993</v>
      </c>
      <c r="D6287" s="4">
        <f>DATE(2006,11,8)</f>
        <v>39029</v>
      </c>
      <c r="E6287" s="5">
        <f t="shared" si="103"/>
        <v>2006</v>
      </c>
      <c r="F6287" s="3" t="s">
        <v>994</v>
      </c>
      <c r="G6287" s="6">
        <v>999.49</v>
      </c>
      <c r="H6287" s="5">
        <v>7494</v>
      </c>
    </row>
    <row r="6288" spans="2:8" ht="17.5" customHeight="1" x14ac:dyDescent="0.4">
      <c r="B6288" s="3" t="s">
        <v>7</v>
      </c>
      <c r="C6288" s="3" t="s">
        <v>993</v>
      </c>
      <c r="D6288" s="4">
        <f>DATE(2007,1,29)</f>
        <v>39111</v>
      </c>
      <c r="E6288" s="5">
        <f t="shared" si="103"/>
        <v>2007</v>
      </c>
      <c r="F6288" s="3" t="s">
        <v>994</v>
      </c>
      <c r="G6288" s="6">
        <v>1575.21</v>
      </c>
      <c r="H6288" s="5">
        <v>7830</v>
      </c>
    </row>
    <row r="6289" spans="2:8" ht="17.5" customHeight="1" x14ac:dyDescent="0.4">
      <c r="B6289" s="3" t="s">
        <v>7</v>
      </c>
      <c r="C6289" s="3" t="s">
        <v>993</v>
      </c>
      <c r="D6289" s="4">
        <f>DATE(2007,2,5)</f>
        <v>39118</v>
      </c>
      <c r="E6289" s="5">
        <f t="shared" si="103"/>
        <v>2007</v>
      </c>
      <c r="F6289" s="3" t="s">
        <v>994</v>
      </c>
      <c r="G6289" s="6">
        <v>5186.8999999999996</v>
      </c>
      <c r="H6289" s="5">
        <v>7884</v>
      </c>
    </row>
    <row r="6290" spans="2:8" ht="17.5" customHeight="1" x14ac:dyDescent="0.4">
      <c r="B6290" s="3" t="s">
        <v>7</v>
      </c>
      <c r="C6290" s="3" t="s">
        <v>993</v>
      </c>
      <c r="D6290" s="4">
        <f>DATE(2007,2,14)</f>
        <v>39127</v>
      </c>
      <c r="E6290" s="5">
        <f t="shared" si="103"/>
        <v>2007</v>
      </c>
      <c r="F6290" s="3" t="s">
        <v>994</v>
      </c>
      <c r="G6290" s="6">
        <v>35975.97</v>
      </c>
      <c r="H6290" s="5">
        <v>7952</v>
      </c>
    </row>
    <row r="6291" spans="2:8" ht="17.5" customHeight="1" x14ac:dyDescent="0.4">
      <c r="B6291" s="3" t="s">
        <v>7</v>
      </c>
      <c r="C6291" s="3" t="s">
        <v>993</v>
      </c>
      <c r="D6291" s="4">
        <f>DATE(2007,2,16)</f>
        <v>39129</v>
      </c>
      <c r="E6291" s="5">
        <f t="shared" si="103"/>
        <v>2007</v>
      </c>
      <c r="F6291" s="3" t="s">
        <v>994</v>
      </c>
      <c r="G6291" s="6">
        <v>12387.82</v>
      </c>
      <c r="H6291" s="5">
        <v>7963</v>
      </c>
    </row>
    <row r="6292" spans="2:8" ht="17.5" customHeight="1" x14ac:dyDescent="0.4">
      <c r="B6292" s="3" t="s">
        <v>7</v>
      </c>
      <c r="C6292" s="3" t="s">
        <v>993</v>
      </c>
      <c r="D6292" s="4">
        <f>DATE(2007,2,28)</f>
        <v>39141</v>
      </c>
      <c r="E6292" s="5">
        <f t="shared" si="103"/>
        <v>2007</v>
      </c>
      <c r="F6292" s="3" t="s">
        <v>994</v>
      </c>
      <c r="G6292" s="6">
        <v>5744.53</v>
      </c>
      <c r="H6292" s="5">
        <v>8017</v>
      </c>
    </row>
    <row r="6293" spans="2:8" ht="17.5" customHeight="1" x14ac:dyDescent="0.4">
      <c r="B6293" s="3" t="s">
        <v>7</v>
      </c>
      <c r="C6293" s="3" t="s">
        <v>993</v>
      </c>
      <c r="D6293" s="4">
        <f>DATE(2007,3,21)</f>
        <v>39162</v>
      </c>
      <c r="E6293" s="5">
        <f t="shared" si="103"/>
        <v>2007</v>
      </c>
      <c r="F6293" s="3" t="s">
        <v>994</v>
      </c>
      <c r="G6293" s="6">
        <v>13688.65</v>
      </c>
      <c r="H6293" s="5">
        <v>8176</v>
      </c>
    </row>
    <row r="6294" spans="2:8" ht="17.5" customHeight="1" x14ac:dyDescent="0.4">
      <c r="B6294" s="3" t="s">
        <v>7</v>
      </c>
      <c r="C6294" s="3" t="s">
        <v>993</v>
      </c>
      <c r="D6294" s="4">
        <f>DATE(2007,3,28)</f>
        <v>39169</v>
      </c>
      <c r="E6294" s="5">
        <f t="shared" si="103"/>
        <v>2007</v>
      </c>
      <c r="F6294" s="3" t="s">
        <v>994</v>
      </c>
      <c r="G6294" s="6">
        <v>13139.79</v>
      </c>
      <c r="H6294" s="5">
        <v>8250</v>
      </c>
    </row>
    <row r="6295" spans="2:8" ht="17.5" customHeight="1" x14ac:dyDescent="0.4">
      <c r="B6295" s="3" t="s">
        <v>7</v>
      </c>
      <c r="C6295" s="3" t="s">
        <v>993</v>
      </c>
      <c r="D6295" s="4">
        <f>DATE(2007,4,17)</f>
        <v>39189</v>
      </c>
      <c r="E6295" s="5">
        <f t="shared" si="103"/>
        <v>2007</v>
      </c>
      <c r="F6295" s="3" t="s">
        <v>994</v>
      </c>
      <c r="G6295" s="6">
        <v>3900.76</v>
      </c>
      <c r="H6295" s="5">
        <v>8402</v>
      </c>
    </row>
    <row r="6296" spans="2:8" ht="17.5" customHeight="1" x14ac:dyDescent="0.4">
      <c r="B6296" s="3" t="s">
        <v>7</v>
      </c>
      <c r="C6296" s="3" t="s">
        <v>993</v>
      </c>
      <c r="D6296" s="4">
        <f>DATE(2007,5,1)</f>
        <v>39203</v>
      </c>
      <c r="E6296" s="5">
        <f t="shared" si="103"/>
        <v>2007</v>
      </c>
      <c r="F6296" s="3" t="s">
        <v>994</v>
      </c>
      <c r="G6296" s="6">
        <v>917.47</v>
      </c>
      <c r="H6296" s="5">
        <v>8488</v>
      </c>
    </row>
    <row r="6297" spans="2:8" ht="17.5" customHeight="1" x14ac:dyDescent="0.4">
      <c r="B6297" s="3" t="s">
        <v>7</v>
      </c>
      <c r="C6297" s="3" t="s">
        <v>993</v>
      </c>
      <c r="D6297" s="4">
        <f>DATE(2007,6,1)</f>
        <v>39234</v>
      </c>
      <c r="E6297" s="5">
        <f t="shared" si="103"/>
        <v>2007</v>
      </c>
      <c r="F6297" s="3" t="s">
        <v>994</v>
      </c>
      <c r="G6297" s="6">
        <v>6669.59</v>
      </c>
      <c r="H6297" s="5">
        <v>8687</v>
      </c>
    </row>
    <row r="6298" spans="2:8" ht="17.5" customHeight="1" x14ac:dyDescent="0.4">
      <c r="B6298" s="3" t="s">
        <v>7</v>
      </c>
      <c r="C6298" s="3" t="s">
        <v>993</v>
      </c>
      <c r="D6298" s="4">
        <f>DATE(2007,6,29)</f>
        <v>39262</v>
      </c>
      <c r="E6298" s="5">
        <f t="shared" si="103"/>
        <v>2007</v>
      </c>
      <c r="F6298" s="3" t="s">
        <v>994</v>
      </c>
      <c r="G6298" s="6">
        <v>13088.97</v>
      </c>
      <c r="H6298" s="5">
        <v>8853</v>
      </c>
    </row>
    <row r="6299" spans="2:8" ht="17.5" customHeight="1" x14ac:dyDescent="0.4">
      <c r="B6299" s="3" t="s">
        <v>7</v>
      </c>
      <c r="C6299" s="3" t="s">
        <v>993</v>
      </c>
      <c r="D6299" s="4">
        <f>DATE(2007,7,16)</f>
        <v>39279</v>
      </c>
      <c r="E6299" s="5">
        <f t="shared" si="103"/>
        <v>2007</v>
      </c>
      <c r="F6299" s="3" t="s">
        <v>994</v>
      </c>
      <c r="G6299" s="6">
        <v>12587.93</v>
      </c>
      <c r="H6299" s="5">
        <v>8889</v>
      </c>
    </row>
    <row r="6300" spans="2:8" ht="17.5" customHeight="1" x14ac:dyDescent="0.4">
      <c r="B6300" s="3" t="s">
        <v>7</v>
      </c>
      <c r="C6300" s="3" t="s">
        <v>993</v>
      </c>
      <c r="D6300" s="4">
        <f>DATE(2007,7,13)</f>
        <v>39276</v>
      </c>
      <c r="E6300" s="5">
        <f t="shared" si="103"/>
        <v>2007</v>
      </c>
      <c r="F6300" s="3" t="s">
        <v>994</v>
      </c>
      <c r="G6300" s="6">
        <v>1693.22</v>
      </c>
      <c r="H6300" s="5">
        <v>8924</v>
      </c>
    </row>
    <row r="6301" spans="2:8" ht="17.5" customHeight="1" x14ac:dyDescent="0.4">
      <c r="B6301" s="3" t="s">
        <v>7</v>
      </c>
      <c r="C6301" s="3" t="s">
        <v>993</v>
      </c>
      <c r="D6301" s="4">
        <f>DATE(2007,8,30)</f>
        <v>39324</v>
      </c>
      <c r="E6301" s="5">
        <f t="shared" si="103"/>
        <v>2007</v>
      </c>
      <c r="F6301" s="3" t="s">
        <v>994</v>
      </c>
      <c r="G6301" s="6">
        <v>7486.98</v>
      </c>
      <c r="H6301" s="5">
        <v>9082</v>
      </c>
    </row>
    <row r="6302" spans="2:8" ht="17.5" customHeight="1" x14ac:dyDescent="0.4">
      <c r="B6302" s="3" t="s">
        <v>7</v>
      </c>
      <c r="C6302" s="3" t="s">
        <v>993</v>
      </c>
      <c r="D6302" s="4">
        <f>DATE(2007,9,5)</f>
        <v>39330</v>
      </c>
      <c r="E6302" s="5">
        <f t="shared" si="103"/>
        <v>2007</v>
      </c>
      <c r="F6302" s="3" t="s">
        <v>994</v>
      </c>
      <c r="G6302" s="6">
        <v>3956.36</v>
      </c>
      <c r="H6302" s="5">
        <v>9127</v>
      </c>
    </row>
    <row r="6303" spans="2:8" ht="17.5" customHeight="1" x14ac:dyDescent="0.4">
      <c r="B6303" s="3" t="s">
        <v>7</v>
      </c>
      <c r="C6303" s="3" t="s">
        <v>993</v>
      </c>
      <c r="D6303" s="4">
        <f>DATE(2007,9,18)</f>
        <v>39343</v>
      </c>
      <c r="E6303" s="5">
        <f t="shared" si="103"/>
        <v>2007</v>
      </c>
      <c r="F6303" s="3" t="s">
        <v>994</v>
      </c>
      <c r="G6303" s="6">
        <v>7140.61</v>
      </c>
      <c r="H6303" s="5">
        <v>9176</v>
      </c>
    </row>
    <row r="6304" spans="2:8" ht="17.5" customHeight="1" x14ac:dyDescent="0.4">
      <c r="B6304" s="3" t="s">
        <v>7</v>
      </c>
      <c r="C6304" s="3" t="s">
        <v>993</v>
      </c>
      <c r="D6304" s="4">
        <f>DATE(2007,9,18)</f>
        <v>39343</v>
      </c>
      <c r="E6304" s="5">
        <f t="shared" si="103"/>
        <v>2007</v>
      </c>
      <c r="F6304" s="3" t="s">
        <v>994</v>
      </c>
      <c r="G6304" s="6">
        <v>1026.4000000000001</v>
      </c>
      <c r="H6304" s="5">
        <v>9189</v>
      </c>
    </row>
    <row r="6305" spans="2:8" ht="17.5" customHeight="1" x14ac:dyDescent="0.4">
      <c r="B6305" s="3" t="s">
        <v>7</v>
      </c>
      <c r="C6305" s="3" t="s">
        <v>993</v>
      </c>
      <c r="D6305" s="4">
        <f>DATE(2007,9,21)</f>
        <v>39346</v>
      </c>
      <c r="E6305" s="5">
        <f t="shared" si="103"/>
        <v>2007</v>
      </c>
      <c r="F6305" s="3" t="s">
        <v>994</v>
      </c>
      <c r="G6305" s="6">
        <v>8477.2000000000007</v>
      </c>
      <c r="H6305" s="5">
        <v>9204</v>
      </c>
    </row>
    <row r="6306" spans="2:8" ht="17.5" customHeight="1" x14ac:dyDescent="0.4">
      <c r="B6306" s="3" t="s">
        <v>7</v>
      </c>
      <c r="C6306" s="3" t="s">
        <v>993</v>
      </c>
      <c r="D6306" s="4">
        <f>DATE(2007,9,21)</f>
        <v>39346</v>
      </c>
      <c r="E6306" s="5">
        <f t="shared" si="103"/>
        <v>2007</v>
      </c>
      <c r="F6306" s="3" t="s">
        <v>994</v>
      </c>
      <c r="G6306" s="6">
        <v>1619.55</v>
      </c>
      <c r="H6306" s="5">
        <v>9213</v>
      </c>
    </row>
    <row r="6307" spans="2:8" ht="17.5" customHeight="1" x14ac:dyDescent="0.4">
      <c r="B6307" s="3" t="s">
        <v>7</v>
      </c>
      <c r="C6307" s="3" t="s">
        <v>993</v>
      </c>
      <c r="D6307" s="4">
        <f>DATE(2007,9,5)</f>
        <v>39330</v>
      </c>
      <c r="E6307" s="5">
        <f t="shared" si="103"/>
        <v>2007</v>
      </c>
      <c r="F6307" s="3" t="s">
        <v>994</v>
      </c>
      <c r="G6307" s="6">
        <v>951.96</v>
      </c>
      <c r="H6307" s="5">
        <v>9228</v>
      </c>
    </row>
    <row r="6308" spans="2:8" ht="17.5" customHeight="1" x14ac:dyDescent="0.4">
      <c r="B6308" s="3" t="s">
        <v>7</v>
      </c>
      <c r="C6308" s="3" t="s">
        <v>993</v>
      </c>
      <c r="D6308" s="4">
        <f>DATE(2007,9,22)</f>
        <v>39347</v>
      </c>
      <c r="E6308" s="5">
        <f t="shared" si="103"/>
        <v>2007</v>
      </c>
      <c r="F6308" s="3" t="s">
        <v>994</v>
      </c>
      <c r="G6308" s="6">
        <v>451.47</v>
      </c>
      <c r="H6308" s="5">
        <v>9326</v>
      </c>
    </row>
    <row r="6309" spans="2:8" ht="17.5" customHeight="1" x14ac:dyDescent="0.4">
      <c r="B6309" s="3" t="s">
        <v>7</v>
      </c>
      <c r="C6309" s="3" t="s">
        <v>993</v>
      </c>
      <c r="D6309" s="4">
        <f>DATE(2007,10,15)</f>
        <v>39370</v>
      </c>
      <c r="E6309" s="5">
        <f t="shared" si="103"/>
        <v>2007</v>
      </c>
      <c r="F6309" s="3" t="s">
        <v>994</v>
      </c>
      <c r="G6309" s="6">
        <v>624.4</v>
      </c>
      <c r="H6309" s="5">
        <v>9331</v>
      </c>
    </row>
    <row r="6310" spans="2:8" ht="17.5" customHeight="1" x14ac:dyDescent="0.4">
      <c r="B6310" s="3" t="s">
        <v>7</v>
      </c>
      <c r="C6310" s="3" t="s">
        <v>993</v>
      </c>
      <c r="D6310" s="4">
        <f>DATE(2007,10,25)</f>
        <v>39380</v>
      </c>
      <c r="E6310" s="5">
        <f t="shared" si="103"/>
        <v>2007</v>
      </c>
      <c r="F6310" s="3" t="s">
        <v>994</v>
      </c>
      <c r="G6310" s="6">
        <v>2820.72</v>
      </c>
      <c r="H6310" s="5">
        <v>9390</v>
      </c>
    </row>
    <row r="6311" spans="2:8" ht="17.5" customHeight="1" x14ac:dyDescent="0.4">
      <c r="B6311" s="3" t="s">
        <v>7</v>
      </c>
      <c r="C6311" s="3" t="s">
        <v>993</v>
      </c>
      <c r="D6311" s="4">
        <f>DATE(2007,10,26)</f>
        <v>39381</v>
      </c>
      <c r="E6311" s="5">
        <f t="shared" si="103"/>
        <v>2007</v>
      </c>
      <c r="F6311" s="3" t="s">
        <v>994</v>
      </c>
      <c r="G6311" s="6">
        <v>11283.98</v>
      </c>
      <c r="H6311" s="5">
        <v>9353</v>
      </c>
    </row>
    <row r="6312" spans="2:8" ht="17.5" customHeight="1" x14ac:dyDescent="0.4">
      <c r="B6312" s="3" t="s">
        <v>7</v>
      </c>
      <c r="C6312" s="3" t="s">
        <v>993</v>
      </c>
      <c r="D6312" s="4">
        <f>DATE(2007,10,30)</f>
        <v>39385</v>
      </c>
      <c r="E6312" s="5">
        <f t="shared" si="103"/>
        <v>2007</v>
      </c>
      <c r="F6312" s="3" t="s">
        <v>994</v>
      </c>
      <c r="G6312" s="6">
        <v>198.9</v>
      </c>
      <c r="H6312" s="5">
        <v>9405</v>
      </c>
    </row>
    <row r="6313" spans="2:8" ht="17.5" customHeight="1" x14ac:dyDescent="0.4">
      <c r="B6313" s="3" t="s">
        <v>7</v>
      </c>
      <c r="C6313" s="3" t="s">
        <v>993</v>
      </c>
      <c r="D6313" s="4">
        <f>DATE(2007,11,20)</f>
        <v>39406</v>
      </c>
      <c r="E6313" s="5">
        <f t="shared" si="103"/>
        <v>2007</v>
      </c>
      <c r="F6313" s="3" t="s">
        <v>994</v>
      </c>
      <c r="G6313" s="6">
        <v>6449.77</v>
      </c>
      <c r="H6313" s="5">
        <v>9506</v>
      </c>
    </row>
    <row r="6314" spans="2:8" ht="17.5" customHeight="1" x14ac:dyDescent="0.4">
      <c r="B6314" s="3" t="s">
        <v>7</v>
      </c>
      <c r="C6314" s="3" t="s">
        <v>993</v>
      </c>
      <c r="D6314" s="4">
        <f>DATE(2007,12,7)</f>
        <v>39423</v>
      </c>
      <c r="E6314" s="5">
        <f t="shared" si="103"/>
        <v>2007</v>
      </c>
      <c r="F6314" s="3" t="s">
        <v>994</v>
      </c>
      <c r="G6314" s="6">
        <v>12994.82</v>
      </c>
      <c r="H6314" s="5">
        <v>9574</v>
      </c>
    </row>
    <row r="6315" spans="2:8" ht="17.5" customHeight="1" x14ac:dyDescent="0.4">
      <c r="B6315" s="3" t="s">
        <v>7</v>
      </c>
      <c r="C6315" s="3" t="s">
        <v>993</v>
      </c>
      <c r="D6315" s="4">
        <f>DATE(2007,12,14)</f>
        <v>39430</v>
      </c>
      <c r="E6315" s="5">
        <f t="shared" si="103"/>
        <v>2007</v>
      </c>
      <c r="F6315" s="3" t="s">
        <v>994</v>
      </c>
      <c r="G6315" s="6">
        <v>4245.68</v>
      </c>
      <c r="H6315" s="5">
        <v>9601</v>
      </c>
    </row>
    <row r="6316" spans="2:8" ht="17.5" customHeight="1" x14ac:dyDescent="0.4">
      <c r="B6316" s="3" t="s">
        <v>7</v>
      </c>
      <c r="C6316" s="3" t="s">
        <v>993</v>
      </c>
      <c r="D6316" s="4">
        <f>DATE(2007,12,19)</f>
        <v>39435</v>
      </c>
      <c r="E6316" s="5">
        <f t="shared" si="103"/>
        <v>2007</v>
      </c>
      <c r="F6316" s="3" t="s">
        <v>994</v>
      </c>
      <c r="G6316" s="6">
        <v>12444.49</v>
      </c>
      <c r="H6316" s="5">
        <v>9600</v>
      </c>
    </row>
    <row r="6317" spans="2:8" ht="17.5" customHeight="1" x14ac:dyDescent="0.4">
      <c r="B6317" s="3" t="s">
        <v>7</v>
      </c>
      <c r="C6317" s="3" t="s">
        <v>993</v>
      </c>
      <c r="D6317" s="4">
        <f>DATE(2008,1,10)</f>
        <v>39457</v>
      </c>
      <c r="E6317" s="5">
        <f t="shared" si="103"/>
        <v>2008</v>
      </c>
      <c r="F6317" s="3" t="s">
        <v>994</v>
      </c>
      <c r="G6317" s="6">
        <v>1510.09</v>
      </c>
      <c r="H6317" s="5">
        <v>9706</v>
      </c>
    </row>
    <row r="6318" spans="2:8" ht="17.5" customHeight="1" x14ac:dyDescent="0.4">
      <c r="B6318" s="3" t="s">
        <v>7</v>
      </c>
      <c r="C6318" s="3" t="s">
        <v>993</v>
      </c>
      <c r="D6318" s="4">
        <f>DATE(2008,1,1)</f>
        <v>39448</v>
      </c>
      <c r="E6318" s="5">
        <f t="shared" si="103"/>
        <v>2008</v>
      </c>
      <c r="F6318" s="3" t="s">
        <v>994</v>
      </c>
      <c r="G6318" s="6">
        <v>2941.71</v>
      </c>
      <c r="H6318" s="5">
        <v>9853</v>
      </c>
    </row>
    <row r="6319" spans="2:8" ht="17.5" customHeight="1" x14ac:dyDescent="0.4">
      <c r="B6319" s="3" t="s">
        <v>7</v>
      </c>
      <c r="C6319" s="3" t="s">
        <v>993</v>
      </c>
      <c r="D6319" s="4">
        <f>DATE(2008,2,29)</f>
        <v>39507</v>
      </c>
      <c r="E6319" s="5">
        <f t="shared" si="103"/>
        <v>2008</v>
      </c>
      <c r="F6319" s="3" t="s">
        <v>994</v>
      </c>
      <c r="G6319" s="6">
        <v>4110.2</v>
      </c>
      <c r="H6319" s="5">
        <v>10087</v>
      </c>
    </row>
    <row r="6320" spans="2:8" ht="17.5" customHeight="1" x14ac:dyDescent="0.4">
      <c r="B6320" s="3" t="s">
        <v>7</v>
      </c>
      <c r="C6320" s="3" t="s">
        <v>993</v>
      </c>
      <c r="D6320" s="4">
        <f>DATE(2008,2,29)</f>
        <v>39507</v>
      </c>
      <c r="E6320" s="5">
        <f t="shared" si="103"/>
        <v>2008</v>
      </c>
      <c r="F6320" s="3" t="s">
        <v>994</v>
      </c>
      <c r="G6320" s="6">
        <v>5420</v>
      </c>
      <c r="H6320" s="5">
        <v>10098</v>
      </c>
    </row>
    <row r="6321" spans="2:8" ht="17.5" customHeight="1" x14ac:dyDescent="0.4">
      <c r="B6321" s="3" t="s">
        <v>7</v>
      </c>
      <c r="C6321" s="3" t="s">
        <v>993</v>
      </c>
      <c r="D6321" s="4">
        <f>DATE(2008,3,4)</f>
        <v>39511</v>
      </c>
      <c r="E6321" s="5">
        <f t="shared" si="103"/>
        <v>2008</v>
      </c>
      <c r="F6321" s="3" t="s">
        <v>994</v>
      </c>
      <c r="G6321" s="6">
        <v>4442.49</v>
      </c>
      <c r="H6321" s="5">
        <v>10122</v>
      </c>
    </row>
    <row r="6322" spans="2:8" ht="17.5" customHeight="1" x14ac:dyDescent="0.4">
      <c r="B6322" s="3" t="s">
        <v>7</v>
      </c>
      <c r="C6322" s="3" t="s">
        <v>993</v>
      </c>
      <c r="D6322" s="4">
        <f>DATE(2008,3,18)</f>
        <v>39525</v>
      </c>
      <c r="E6322" s="5">
        <f t="shared" si="103"/>
        <v>2008</v>
      </c>
      <c r="F6322" s="3" t="s">
        <v>994</v>
      </c>
      <c r="G6322" s="6">
        <v>14312.98</v>
      </c>
      <c r="H6322" s="5">
        <v>10239</v>
      </c>
    </row>
    <row r="6323" spans="2:8" ht="17.5" customHeight="1" x14ac:dyDescent="0.4">
      <c r="B6323" s="3" t="s">
        <v>7</v>
      </c>
      <c r="C6323" s="3" t="s">
        <v>993</v>
      </c>
      <c r="D6323" s="4">
        <f>DATE(2008,3,19)</f>
        <v>39526</v>
      </c>
      <c r="E6323" s="5">
        <f t="shared" si="103"/>
        <v>2008</v>
      </c>
      <c r="F6323" s="3" t="s">
        <v>994</v>
      </c>
      <c r="G6323" s="6">
        <v>6431.87</v>
      </c>
      <c r="H6323" s="5">
        <v>10240</v>
      </c>
    </row>
    <row r="6324" spans="2:8" ht="17.5" customHeight="1" x14ac:dyDescent="0.4">
      <c r="B6324" s="3" t="s">
        <v>7</v>
      </c>
      <c r="C6324" s="3" t="s">
        <v>993</v>
      </c>
      <c r="D6324" s="4">
        <f>DATE(2008,3,4)</f>
        <v>39511</v>
      </c>
      <c r="E6324" s="5">
        <f t="shared" si="103"/>
        <v>2008</v>
      </c>
      <c r="F6324" s="3" t="s">
        <v>994</v>
      </c>
      <c r="G6324" s="6">
        <v>1999.93</v>
      </c>
      <c r="H6324" s="5">
        <v>10296</v>
      </c>
    </row>
    <row r="6325" spans="2:8" ht="17.5" customHeight="1" x14ac:dyDescent="0.4">
      <c r="B6325" s="3" t="s">
        <v>7</v>
      </c>
      <c r="C6325" s="3" t="s">
        <v>993</v>
      </c>
      <c r="D6325" s="4">
        <f>DATE(2008,4,4)</f>
        <v>39542</v>
      </c>
      <c r="E6325" s="5">
        <f t="shared" si="103"/>
        <v>2008</v>
      </c>
      <c r="F6325" s="3" t="s">
        <v>994</v>
      </c>
      <c r="G6325" s="6">
        <v>16642.07</v>
      </c>
      <c r="H6325" s="5">
        <v>10380</v>
      </c>
    </row>
    <row r="6326" spans="2:8" ht="17.5" customHeight="1" x14ac:dyDescent="0.4">
      <c r="B6326" s="3" t="s">
        <v>7</v>
      </c>
      <c r="C6326" s="3" t="s">
        <v>993</v>
      </c>
      <c r="D6326" s="4">
        <f>DATE(2008,4,9)</f>
        <v>39547</v>
      </c>
      <c r="E6326" s="5">
        <f t="shared" si="103"/>
        <v>2008</v>
      </c>
      <c r="F6326" s="3" t="s">
        <v>994</v>
      </c>
      <c r="G6326" s="6">
        <v>4118.3999999999996</v>
      </c>
      <c r="H6326" s="5">
        <v>10420</v>
      </c>
    </row>
    <row r="6327" spans="2:8" ht="17.5" customHeight="1" x14ac:dyDescent="0.4">
      <c r="B6327" s="3" t="s">
        <v>7</v>
      </c>
      <c r="C6327" s="3" t="s">
        <v>993</v>
      </c>
      <c r="D6327" s="4">
        <f>DATE(2008,4,9)</f>
        <v>39547</v>
      </c>
      <c r="E6327" s="5">
        <f t="shared" si="103"/>
        <v>2008</v>
      </c>
      <c r="F6327" s="3" t="s">
        <v>994</v>
      </c>
      <c r="G6327" s="6">
        <v>4569.8999999999996</v>
      </c>
      <c r="H6327" s="5">
        <v>10352</v>
      </c>
    </row>
    <row r="6328" spans="2:8" ht="17.5" customHeight="1" x14ac:dyDescent="0.4">
      <c r="B6328" s="3" t="s">
        <v>7</v>
      </c>
      <c r="C6328" s="3" t="s">
        <v>993</v>
      </c>
      <c r="D6328" s="4">
        <f>DATE(2008,4,24)</f>
        <v>39562</v>
      </c>
      <c r="E6328" s="5">
        <f t="shared" si="103"/>
        <v>2008</v>
      </c>
      <c r="F6328" s="3" t="s">
        <v>994</v>
      </c>
      <c r="G6328" s="6">
        <v>8099.75</v>
      </c>
      <c r="H6328" s="5">
        <v>10540</v>
      </c>
    </row>
    <row r="6329" spans="2:8" ht="17.5" customHeight="1" x14ac:dyDescent="0.4">
      <c r="B6329" s="3" t="s">
        <v>7</v>
      </c>
      <c r="C6329" s="3" t="s">
        <v>993</v>
      </c>
      <c r="D6329" s="4">
        <f>DATE(2008,5,1)</f>
        <v>39569</v>
      </c>
      <c r="E6329" s="5">
        <f t="shared" si="103"/>
        <v>2008</v>
      </c>
      <c r="F6329" s="3" t="s">
        <v>994</v>
      </c>
      <c r="G6329" s="6">
        <v>1745</v>
      </c>
      <c r="H6329" s="5">
        <v>10593</v>
      </c>
    </row>
    <row r="6330" spans="2:8" ht="17.5" customHeight="1" x14ac:dyDescent="0.4">
      <c r="B6330" s="3" t="s">
        <v>7</v>
      </c>
      <c r="C6330" s="3" t="s">
        <v>993</v>
      </c>
      <c r="D6330" s="4">
        <f>DATE(2008,5,7)</f>
        <v>39575</v>
      </c>
      <c r="E6330" s="5">
        <f t="shared" si="103"/>
        <v>2008</v>
      </c>
      <c r="F6330" s="3" t="s">
        <v>994</v>
      </c>
      <c r="G6330" s="6">
        <v>5066.75</v>
      </c>
      <c r="H6330" s="5">
        <v>10635</v>
      </c>
    </row>
    <row r="6331" spans="2:8" ht="17.5" customHeight="1" x14ac:dyDescent="0.4">
      <c r="B6331" s="3" t="s">
        <v>7</v>
      </c>
      <c r="C6331" s="3" t="s">
        <v>993</v>
      </c>
      <c r="D6331" s="4">
        <f>DATE(2008,5,16)</f>
        <v>39584</v>
      </c>
      <c r="E6331" s="5">
        <f t="shared" si="103"/>
        <v>2008</v>
      </c>
      <c r="F6331" s="3" t="s">
        <v>994</v>
      </c>
      <c r="G6331" s="6">
        <v>9046.93</v>
      </c>
      <c r="H6331" s="5">
        <v>10686</v>
      </c>
    </row>
    <row r="6332" spans="2:8" ht="17.5" customHeight="1" x14ac:dyDescent="0.4">
      <c r="B6332" s="3" t="s">
        <v>7</v>
      </c>
      <c r="C6332" s="3" t="s">
        <v>993</v>
      </c>
      <c r="D6332" s="4">
        <f>DATE(2008,5,20)</f>
        <v>39588</v>
      </c>
      <c r="E6332" s="5">
        <f t="shared" si="103"/>
        <v>2008</v>
      </c>
      <c r="F6332" s="3" t="s">
        <v>994</v>
      </c>
      <c r="G6332" s="6">
        <v>790.34</v>
      </c>
      <c r="H6332" s="5">
        <v>10706</v>
      </c>
    </row>
    <row r="6333" spans="2:8" ht="17.5" customHeight="1" x14ac:dyDescent="0.4">
      <c r="B6333" s="3" t="s">
        <v>7</v>
      </c>
      <c r="C6333" s="3" t="s">
        <v>993</v>
      </c>
      <c r="D6333" s="4">
        <f>DATE(2008,5,1)</f>
        <v>39569</v>
      </c>
      <c r="E6333" s="5">
        <f t="shared" si="103"/>
        <v>2008</v>
      </c>
      <c r="F6333" s="3" t="s">
        <v>994</v>
      </c>
      <c r="G6333" s="6">
        <v>271.2</v>
      </c>
      <c r="H6333" s="5">
        <v>10718</v>
      </c>
    </row>
    <row r="6334" spans="2:8" ht="17.5" customHeight="1" x14ac:dyDescent="0.4">
      <c r="B6334" s="3" t="s">
        <v>7</v>
      </c>
      <c r="C6334" s="3" t="s">
        <v>993</v>
      </c>
      <c r="D6334" s="4">
        <f>DATE(2008,5,22)</f>
        <v>39590</v>
      </c>
      <c r="E6334" s="5">
        <f t="shared" si="103"/>
        <v>2008</v>
      </c>
      <c r="F6334" s="3" t="s">
        <v>994</v>
      </c>
      <c r="G6334" s="6">
        <v>885</v>
      </c>
      <c r="H6334" s="5">
        <v>10725</v>
      </c>
    </row>
    <row r="6335" spans="2:8" ht="17.5" customHeight="1" x14ac:dyDescent="0.4">
      <c r="B6335" s="3" t="s">
        <v>7</v>
      </c>
      <c r="C6335" s="3" t="s">
        <v>993</v>
      </c>
      <c r="D6335" s="4">
        <f>DATE(2008,5,23)</f>
        <v>39591</v>
      </c>
      <c r="E6335" s="5">
        <f t="shared" si="103"/>
        <v>2008</v>
      </c>
      <c r="F6335" s="3" t="s">
        <v>994</v>
      </c>
      <c r="G6335" s="6">
        <v>13155.02</v>
      </c>
      <c r="H6335" s="5">
        <v>10738</v>
      </c>
    </row>
    <row r="6336" spans="2:8" ht="17.5" customHeight="1" x14ac:dyDescent="0.4">
      <c r="B6336" s="3" t="s">
        <v>7</v>
      </c>
      <c r="C6336" s="3" t="s">
        <v>993</v>
      </c>
      <c r="D6336" s="4">
        <f>DATE(2008,5,28)</f>
        <v>39596</v>
      </c>
      <c r="E6336" s="5">
        <f t="shared" si="103"/>
        <v>2008</v>
      </c>
      <c r="F6336" s="3" t="s">
        <v>994</v>
      </c>
      <c r="G6336" s="6">
        <v>358.25</v>
      </c>
      <c r="H6336" s="5">
        <v>10747</v>
      </c>
    </row>
    <row r="6337" spans="2:8" ht="17.5" customHeight="1" x14ac:dyDescent="0.4">
      <c r="B6337" s="3" t="s">
        <v>7</v>
      </c>
      <c r="C6337" s="3" t="s">
        <v>993</v>
      </c>
      <c r="D6337" s="4">
        <f>DATE(2008,6,5)</f>
        <v>39604</v>
      </c>
      <c r="E6337" s="5">
        <f t="shared" si="103"/>
        <v>2008</v>
      </c>
      <c r="F6337" s="3" t="s">
        <v>994</v>
      </c>
      <c r="G6337" s="6">
        <v>4295.03</v>
      </c>
      <c r="H6337" s="5">
        <v>10809</v>
      </c>
    </row>
    <row r="6338" spans="2:8" ht="17.5" customHeight="1" x14ac:dyDescent="0.4">
      <c r="B6338" s="3" t="s">
        <v>7</v>
      </c>
      <c r="C6338" s="3" t="s">
        <v>993</v>
      </c>
      <c r="D6338" s="4">
        <f>DATE(2008,6,6)</f>
        <v>39605</v>
      </c>
      <c r="E6338" s="5">
        <f t="shared" si="103"/>
        <v>2008</v>
      </c>
      <c r="F6338" s="3" t="s">
        <v>994</v>
      </c>
      <c r="G6338" s="6">
        <v>1291.33</v>
      </c>
      <c r="H6338" s="5">
        <v>10811</v>
      </c>
    </row>
    <row r="6339" spans="2:8" ht="17.5" customHeight="1" x14ac:dyDescent="0.4">
      <c r="B6339" s="3" t="s">
        <v>7</v>
      </c>
      <c r="C6339" s="3" t="s">
        <v>993</v>
      </c>
      <c r="D6339" s="4">
        <f>DATE(2008,6,16)</f>
        <v>39615</v>
      </c>
      <c r="E6339" s="5">
        <f t="shared" ref="E6339:E6402" si="104">YEAR(D6339)</f>
        <v>2008</v>
      </c>
      <c r="F6339" s="3" t="s">
        <v>994</v>
      </c>
      <c r="G6339" s="6">
        <v>1965.7</v>
      </c>
      <c r="H6339" s="5">
        <v>10842</v>
      </c>
    </row>
    <row r="6340" spans="2:8" ht="17.5" customHeight="1" x14ac:dyDescent="0.4">
      <c r="B6340" s="3" t="s">
        <v>7</v>
      </c>
      <c r="C6340" s="3" t="s">
        <v>993</v>
      </c>
      <c r="D6340" s="4">
        <f>DATE(2008,6,18)</f>
        <v>39617</v>
      </c>
      <c r="E6340" s="5">
        <f t="shared" si="104"/>
        <v>2008</v>
      </c>
      <c r="F6340" s="3" t="s">
        <v>994</v>
      </c>
      <c r="G6340" s="6">
        <v>944.88</v>
      </c>
      <c r="H6340" s="5">
        <v>10863</v>
      </c>
    </row>
    <row r="6341" spans="2:8" ht="17.5" customHeight="1" x14ac:dyDescent="0.4">
      <c r="B6341" s="3" t="s">
        <v>7</v>
      </c>
      <c r="C6341" s="3" t="s">
        <v>993</v>
      </c>
      <c r="D6341" s="4">
        <f>DATE(2008,6,1)</f>
        <v>39600</v>
      </c>
      <c r="E6341" s="5">
        <f t="shared" si="104"/>
        <v>2008</v>
      </c>
      <c r="F6341" s="3" t="s">
        <v>994</v>
      </c>
      <c r="G6341" s="6">
        <v>230.13</v>
      </c>
      <c r="H6341" s="5">
        <v>10925</v>
      </c>
    </row>
    <row r="6342" spans="2:8" ht="17.5" customHeight="1" x14ac:dyDescent="0.4">
      <c r="B6342" s="3" t="s">
        <v>7</v>
      </c>
      <c r="C6342" s="3" t="s">
        <v>993</v>
      </c>
      <c r="D6342" s="4">
        <f>DATE(2008,7,22)</f>
        <v>39651</v>
      </c>
      <c r="E6342" s="5">
        <f t="shared" si="104"/>
        <v>2008</v>
      </c>
      <c r="F6342" s="3" t="s">
        <v>994</v>
      </c>
      <c r="G6342" s="6">
        <v>2200.35</v>
      </c>
      <c r="H6342" s="5">
        <v>10976</v>
      </c>
    </row>
    <row r="6343" spans="2:8" ht="17.5" customHeight="1" x14ac:dyDescent="0.4">
      <c r="B6343" s="3" t="s">
        <v>7</v>
      </c>
      <c r="C6343" s="3" t="s">
        <v>993</v>
      </c>
      <c r="D6343" s="4">
        <f>DATE(2008,7,22)</f>
        <v>39651</v>
      </c>
      <c r="E6343" s="5">
        <f t="shared" si="104"/>
        <v>2008</v>
      </c>
      <c r="F6343" s="3" t="s">
        <v>994</v>
      </c>
      <c r="G6343" s="6">
        <v>9193.19</v>
      </c>
      <c r="H6343" s="5">
        <v>10796</v>
      </c>
    </row>
    <row r="6344" spans="2:8" ht="17.5" customHeight="1" x14ac:dyDescent="0.4">
      <c r="B6344" s="3" t="s">
        <v>7</v>
      </c>
      <c r="C6344" s="3" t="s">
        <v>993</v>
      </c>
      <c r="D6344" s="4">
        <f>DATE(2008,8,1)</f>
        <v>39661</v>
      </c>
      <c r="E6344" s="5">
        <f t="shared" si="104"/>
        <v>2008</v>
      </c>
      <c r="F6344" s="3" t="s">
        <v>994</v>
      </c>
      <c r="G6344" s="6">
        <v>73.8</v>
      </c>
      <c r="H6344" s="5">
        <v>11039</v>
      </c>
    </row>
    <row r="6345" spans="2:8" ht="17.5" customHeight="1" x14ac:dyDescent="0.4">
      <c r="B6345" s="3" t="s">
        <v>7</v>
      </c>
      <c r="C6345" s="3" t="s">
        <v>993</v>
      </c>
      <c r="D6345" s="4">
        <f>DATE(2008,8,11)</f>
        <v>39671</v>
      </c>
      <c r="E6345" s="5">
        <f t="shared" si="104"/>
        <v>2008</v>
      </c>
      <c r="F6345" s="3" t="s">
        <v>994</v>
      </c>
      <c r="G6345" s="6">
        <v>1793.79</v>
      </c>
      <c r="H6345" s="5">
        <v>11097</v>
      </c>
    </row>
    <row r="6346" spans="2:8" ht="17.5" customHeight="1" x14ac:dyDescent="0.4">
      <c r="B6346" s="3" t="s">
        <v>7</v>
      </c>
      <c r="C6346" s="3" t="s">
        <v>993</v>
      </c>
      <c r="D6346" s="4">
        <f>DATE(2008,8,13)</f>
        <v>39673</v>
      </c>
      <c r="E6346" s="5">
        <f t="shared" si="104"/>
        <v>2008</v>
      </c>
      <c r="F6346" s="3" t="s">
        <v>994</v>
      </c>
      <c r="G6346" s="6">
        <v>3266.17</v>
      </c>
      <c r="H6346" s="5">
        <v>11114</v>
      </c>
    </row>
    <row r="6347" spans="2:8" ht="17.5" customHeight="1" x14ac:dyDescent="0.4">
      <c r="B6347" s="3" t="s">
        <v>7</v>
      </c>
      <c r="C6347" s="3" t="s">
        <v>993</v>
      </c>
      <c r="D6347" s="4">
        <f>DATE(2008,8,26)</f>
        <v>39686</v>
      </c>
      <c r="E6347" s="5">
        <f t="shared" si="104"/>
        <v>2008</v>
      </c>
      <c r="F6347" s="3" t="s">
        <v>994</v>
      </c>
      <c r="G6347" s="6">
        <v>928.13</v>
      </c>
      <c r="H6347" s="5">
        <v>11173</v>
      </c>
    </row>
    <row r="6348" spans="2:8" ht="17.5" customHeight="1" x14ac:dyDescent="0.4">
      <c r="B6348" s="3" t="s">
        <v>7</v>
      </c>
      <c r="C6348" s="3" t="s">
        <v>993</v>
      </c>
      <c r="D6348" s="4">
        <f>DATE(2008,9,3)</f>
        <v>39694</v>
      </c>
      <c r="E6348" s="5">
        <f t="shared" si="104"/>
        <v>2008</v>
      </c>
      <c r="F6348" s="3" t="s">
        <v>994</v>
      </c>
      <c r="G6348" s="6">
        <v>8668.1</v>
      </c>
      <c r="H6348" s="5">
        <v>11190</v>
      </c>
    </row>
    <row r="6349" spans="2:8" ht="17.5" customHeight="1" x14ac:dyDescent="0.4">
      <c r="B6349" s="3" t="s">
        <v>7</v>
      </c>
      <c r="C6349" s="3" t="s">
        <v>993</v>
      </c>
      <c r="D6349" s="4">
        <f>DATE(2008,9,9)</f>
        <v>39700</v>
      </c>
      <c r="E6349" s="5">
        <f t="shared" si="104"/>
        <v>2008</v>
      </c>
      <c r="F6349" s="3" t="s">
        <v>994</v>
      </c>
      <c r="G6349" s="6">
        <v>2194.25</v>
      </c>
      <c r="H6349" s="5">
        <v>11227</v>
      </c>
    </row>
    <row r="6350" spans="2:8" ht="17.5" customHeight="1" x14ac:dyDescent="0.4">
      <c r="B6350" s="3" t="s">
        <v>7</v>
      </c>
      <c r="C6350" s="3" t="s">
        <v>993</v>
      </c>
      <c r="D6350" s="4">
        <f>DATE(2008,9,10)</f>
        <v>39701</v>
      </c>
      <c r="E6350" s="5">
        <f t="shared" si="104"/>
        <v>2008</v>
      </c>
      <c r="F6350" s="3" t="s">
        <v>994</v>
      </c>
      <c r="G6350" s="6">
        <v>844.99</v>
      </c>
      <c r="H6350" s="5">
        <v>11245</v>
      </c>
    </row>
    <row r="6351" spans="2:8" ht="17.5" customHeight="1" x14ac:dyDescent="0.4">
      <c r="B6351" s="3" t="s">
        <v>7</v>
      </c>
      <c r="C6351" s="3" t="s">
        <v>993</v>
      </c>
      <c r="D6351" s="4">
        <f>DATE(2008,9,16)</f>
        <v>39707</v>
      </c>
      <c r="E6351" s="5">
        <f t="shared" si="104"/>
        <v>2008</v>
      </c>
      <c r="F6351" s="3" t="s">
        <v>994</v>
      </c>
      <c r="G6351" s="6">
        <v>345.16</v>
      </c>
      <c r="H6351" s="5">
        <v>11271</v>
      </c>
    </row>
    <row r="6352" spans="2:8" ht="17.5" customHeight="1" x14ac:dyDescent="0.4">
      <c r="B6352" s="3" t="s">
        <v>7</v>
      </c>
      <c r="C6352" s="3" t="s">
        <v>993</v>
      </c>
      <c r="D6352" s="4">
        <f>DATE(2008,9,17)</f>
        <v>39708</v>
      </c>
      <c r="E6352" s="5">
        <f t="shared" si="104"/>
        <v>2008</v>
      </c>
      <c r="F6352" s="3" t="s">
        <v>994</v>
      </c>
      <c r="G6352" s="6">
        <v>759.16</v>
      </c>
      <c r="H6352" s="5">
        <v>11274</v>
      </c>
    </row>
    <row r="6353" spans="2:8" ht="17.5" customHeight="1" x14ac:dyDescent="0.4">
      <c r="B6353" s="3" t="s">
        <v>7</v>
      </c>
      <c r="C6353" s="3" t="s">
        <v>993</v>
      </c>
      <c r="D6353" s="4">
        <f>DATE(2008,9,22)</f>
        <v>39713</v>
      </c>
      <c r="E6353" s="5">
        <f t="shared" si="104"/>
        <v>2008</v>
      </c>
      <c r="F6353" s="3" t="s">
        <v>994</v>
      </c>
      <c r="G6353" s="6">
        <v>549.54</v>
      </c>
      <c r="H6353" s="5">
        <v>11304</v>
      </c>
    </row>
    <row r="6354" spans="2:8" ht="17.5" customHeight="1" x14ac:dyDescent="0.4">
      <c r="B6354" s="3" t="s">
        <v>7</v>
      </c>
      <c r="C6354" s="3" t="s">
        <v>993</v>
      </c>
      <c r="D6354" s="4">
        <f>DATE(2008,9,25)</f>
        <v>39716</v>
      </c>
      <c r="E6354" s="5">
        <f t="shared" si="104"/>
        <v>2008</v>
      </c>
      <c r="F6354" s="3" t="s">
        <v>994</v>
      </c>
      <c r="G6354" s="6">
        <v>5223.28</v>
      </c>
      <c r="H6354" s="5">
        <v>11318</v>
      </c>
    </row>
    <row r="6355" spans="2:8" ht="17.5" customHeight="1" x14ac:dyDescent="0.4">
      <c r="B6355" s="3" t="s">
        <v>7</v>
      </c>
      <c r="C6355" s="3" t="s">
        <v>993</v>
      </c>
      <c r="D6355" s="4">
        <f>DATE(2008,10,3)</f>
        <v>39724</v>
      </c>
      <c r="E6355" s="5">
        <f t="shared" si="104"/>
        <v>2008</v>
      </c>
      <c r="F6355" s="3" t="s">
        <v>994</v>
      </c>
      <c r="G6355" s="6">
        <v>9785.57</v>
      </c>
      <c r="H6355" s="5">
        <v>11356</v>
      </c>
    </row>
    <row r="6356" spans="2:8" ht="17.5" customHeight="1" x14ac:dyDescent="0.4">
      <c r="B6356" s="3" t="s">
        <v>7</v>
      </c>
      <c r="C6356" s="3" t="s">
        <v>993</v>
      </c>
      <c r="D6356" s="4">
        <f>DATE(2008,10,6)</f>
        <v>39727</v>
      </c>
      <c r="E6356" s="5">
        <f t="shared" si="104"/>
        <v>2008</v>
      </c>
      <c r="F6356" s="3" t="s">
        <v>994</v>
      </c>
      <c r="G6356" s="6">
        <v>16737.91</v>
      </c>
      <c r="H6356" s="5">
        <v>11357</v>
      </c>
    </row>
    <row r="6357" spans="2:8" ht="17.5" customHeight="1" x14ac:dyDescent="0.4">
      <c r="B6357" s="3" t="s">
        <v>7</v>
      </c>
      <c r="C6357" s="3" t="s">
        <v>993</v>
      </c>
      <c r="D6357" s="4">
        <f>DATE(2008,10,13)</f>
        <v>39734</v>
      </c>
      <c r="E6357" s="5">
        <f t="shared" si="104"/>
        <v>2008</v>
      </c>
      <c r="F6357" s="3" t="s">
        <v>994</v>
      </c>
      <c r="G6357" s="6">
        <v>444.02</v>
      </c>
      <c r="H6357" s="5">
        <v>11364</v>
      </c>
    </row>
    <row r="6358" spans="2:8" ht="17.5" customHeight="1" x14ac:dyDescent="0.4">
      <c r="B6358" s="3" t="s">
        <v>7</v>
      </c>
      <c r="C6358" s="3" t="s">
        <v>993</v>
      </c>
      <c r="D6358" s="4">
        <f>DATE(2008,11,6)</f>
        <v>39758</v>
      </c>
      <c r="E6358" s="5">
        <f t="shared" si="104"/>
        <v>2008</v>
      </c>
      <c r="F6358" s="3" t="s">
        <v>994</v>
      </c>
      <c r="G6358" s="6">
        <v>1655.8</v>
      </c>
      <c r="H6358" s="5">
        <v>11538</v>
      </c>
    </row>
    <row r="6359" spans="2:8" ht="17.5" customHeight="1" x14ac:dyDescent="0.4">
      <c r="B6359" s="3" t="s">
        <v>7</v>
      </c>
      <c r="C6359" s="3" t="s">
        <v>993</v>
      </c>
      <c r="D6359" s="4">
        <f>DATE(2008,10,31)</f>
        <v>39752</v>
      </c>
      <c r="E6359" s="5">
        <f t="shared" si="104"/>
        <v>2008</v>
      </c>
      <c r="F6359" s="3" t="s">
        <v>994</v>
      </c>
      <c r="G6359" s="6">
        <v>877.53</v>
      </c>
      <c r="H6359" s="5">
        <v>11534</v>
      </c>
    </row>
    <row r="6360" spans="2:8" ht="17.5" customHeight="1" x14ac:dyDescent="0.4">
      <c r="B6360" s="3" t="s">
        <v>7</v>
      </c>
      <c r="C6360" s="3" t="s">
        <v>993</v>
      </c>
      <c r="D6360" s="4">
        <f>DATE(2008,12,9)</f>
        <v>39791</v>
      </c>
      <c r="E6360" s="5">
        <f t="shared" si="104"/>
        <v>2008</v>
      </c>
      <c r="F6360" s="3" t="s">
        <v>994</v>
      </c>
      <c r="G6360" s="6">
        <v>338.13</v>
      </c>
      <c r="H6360" s="5">
        <v>11665</v>
      </c>
    </row>
    <row r="6361" spans="2:8" ht="17.5" customHeight="1" x14ac:dyDescent="0.4">
      <c r="B6361" s="3" t="s">
        <v>7</v>
      </c>
      <c r="C6361" s="3" t="s">
        <v>993</v>
      </c>
      <c r="D6361" s="4">
        <f>DATE(2008,12,18)</f>
        <v>39800</v>
      </c>
      <c r="E6361" s="5">
        <f t="shared" si="104"/>
        <v>2008</v>
      </c>
      <c r="F6361" s="3" t="s">
        <v>994</v>
      </c>
      <c r="G6361" s="6">
        <v>2581.4899999999998</v>
      </c>
      <c r="H6361" s="5">
        <v>11701</v>
      </c>
    </row>
    <row r="6362" spans="2:8" ht="17.5" customHeight="1" x14ac:dyDescent="0.4">
      <c r="B6362" s="3" t="s">
        <v>7</v>
      </c>
      <c r="C6362" s="3" t="s">
        <v>993</v>
      </c>
      <c r="D6362" s="4">
        <f>DATE(2008,12,19)</f>
        <v>39801</v>
      </c>
      <c r="E6362" s="5">
        <f t="shared" si="104"/>
        <v>2008</v>
      </c>
      <c r="F6362" s="3" t="s">
        <v>994</v>
      </c>
      <c r="G6362" s="6">
        <v>8378.94</v>
      </c>
      <c r="H6362" s="5">
        <v>11707</v>
      </c>
    </row>
    <row r="6363" spans="2:8" ht="17.5" customHeight="1" x14ac:dyDescent="0.4">
      <c r="B6363" s="3" t="s">
        <v>7</v>
      </c>
      <c r="C6363" s="3" t="s">
        <v>993</v>
      </c>
      <c r="D6363" s="4">
        <f>DATE(2008,12,30)</f>
        <v>39812</v>
      </c>
      <c r="E6363" s="5">
        <f t="shared" si="104"/>
        <v>2008</v>
      </c>
      <c r="F6363" s="3" t="s">
        <v>994</v>
      </c>
      <c r="G6363" s="6">
        <v>1794.26</v>
      </c>
      <c r="H6363" s="5">
        <v>11729</v>
      </c>
    </row>
    <row r="6364" spans="2:8" ht="17.5" customHeight="1" x14ac:dyDescent="0.4">
      <c r="B6364" s="3" t="s">
        <v>7</v>
      </c>
      <c r="C6364" s="3" t="s">
        <v>993</v>
      </c>
      <c r="D6364" s="4">
        <f>DATE(2009,1,19)</f>
        <v>39832</v>
      </c>
      <c r="E6364" s="5">
        <f t="shared" si="104"/>
        <v>2009</v>
      </c>
      <c r="F6364" s="3" t="s">
        <v>994</v>
      </c>
      <c r="G6364" s="6">
        <v>7811.07</v>
      </c>
      <c r="H6364" s="5">
        <v>11709</v>
      </c>
    </row>
    <row r="6365" spans="2:8" ht="17.5" customHeight="1" x14ac:dyDescent="0.4">
      <c r="B6365" s="3" t="s">
        <v>7</v>
      </c>
      <c r="C6365" s="3" t="s">
        <v>993</v>
      </c>
      <c r="D6365" s="4">
        <f>DATE(2009,1,28)</f>
        <v>39841</v>
      </c>
      <c r="E6365" s="5">
        <f t="shared" si="104"/>
        <v>2009</v>
      </c>
      <c r="F6365" s="3" t="s">
        <v>994</v>
      </c>
      <c r="G6365" s="6">
        <v>17190.75</v>
      </c>
      <c r="H6365" s="5">
        <v>11872</v>
      </c>
    </row>
    <row r="6366" spans="2:8" ht="17.5" customHeight="1" x14ac:dyDescent="0.4">
      <c r="B6366" s="3" t="s">
        <v>7</v>
      </c>
      <c r="C6366" s="3" t="s">
        <v>993</v>
      </c>
      <c r="D6366" s="4">
        <f>DATE(2009,1,28)</f>
        <v>39841</v>
      </c>
      <c r="E6366" s="5">
        <f t="shared" si="104"/>
        <v>2009</v>
      </c>
      <c r="F6366" s="3" t="s">
        <v>994</v>
      </c>
      <c r="G6366" s="6">
        <v>3255.37</v>
      </c>
      <c r="H6366" s="5">
        <v>11876</v>
      </c>
    </row>
    <row r="6367" spans="2:8" ht="17.5" customHeight="1" x14ac:dyDescent="0.4">
      <c r="B6367" s="3" t="s">
        <v>7</v>
      </c>
      <c r="C6367" s="3" t="s">
        <v>993</v>
      </c>
      <c r="D6367" s="4">
        <f>DATE(2009,1,30)</f>
        <v>39843</v>
      </c>
      <c r="E6367" s="5">
        <f t="shared" si="104"/>
        <v>2009</v>
      </c>
      <c r="F6367" s="3" t="s">
        <v>994</v>
      </c>
      <c r="G6367" s="6">
        <v>3057.76</v>
      </c>
      <c r="H6367" s="5">
        <v>11903</v>
      </c>
    </row>
    <row r="6368" spans="2:8" ht="17.5" customHeight="1" x14ac:dyDescent="0.4">
      <c r="B6368" s="3" t="s">
        <v>7</v>
      </c>
      <c r="C6368" s="3" t="s">
        <v>993</v>
      </c>
      <c r="D6368" s="4">
        <f>DATE(2009,2,4)</f>
        <v>39848</v>
      </c>
      <c r="E6368" s="5">
        <f t="shared" si="104"/>
        <v>2009</v>
      </c>
      <c r="F6368" s="3" t="s">
        <v>994</v>
      </c>
      <c r="G6368" s="6">
        <v>668.3</v>
      </c>
      <c r="H6368" s="5">
        <v>11941</v>
      </c>
    </row>
    <row r="6369" spans="2:8" ht="17.5" customHeight="1" x14ac:dyDescent="0.4">
      <c r="B6369" s="3" t="s">
        <v>7</v>
      </c>
      <c r="C6369" s="3" t="s">
        <v>993</v>
      </c>
      <c r="D6369" s="4">
        <f>DATE(2009,2,4)</f>
        <v>39848</v>
      </c>
      <c r="E6369" s="5">
        <f t="shared" si="104"/>
        <v>2009</v>
      </c>
      <c r="F6369" s="3" t="s">
        <v>994</v>
      </c>
      <c r="G6369" s="6">
        <v>809.9</v>
      </c>
      <c r="H6369" s="5">
        <v>11942</v>
      </c>
    </row>
    <row r="6370" spans="2:8" ht="17.5" customHeight="1" x14ac:dyDescent="0.4">
      <c r="B6370" s="3" t="s">
        <v>7</v>
      </c>
      <c r="C6370" s="3" t="s">
        <v>993</v>
      </c>
      <c r="D6370" s="4">
        <f>DATE(2009,2,4)</f>
        <v>39848</v>
      </c>
      <c r="E6370" s="5">
        <f t="shared" si="104"/>
        <v>2009</v>
      </c>
      <c r="F6370" s="3" t="s">
        <v>994</v>
      </c>
      <c r="G6370" s="6">
        <v>433.46</v>
      </c>
      <c r="H6370" s="5">
        <v>11940</v>
      </c>
    </row>
    <row r="6371" spans="2:8" ht="17.5" customHeight="1" x14ac:dyDescent="0.4">
      <c r="B6371" s="3" t="s">
        <v>7</v>
      </c>
      <c r="C6371" s="3" t="s">
        <v>993</v>
      </c>
      <c r="D6371" s="4">
        <f>DATE(2009,2,9)</f>
        <v>39853</v>
      </c>
      <c r="E6371" s="5">
        <f t="shared" si="104"/>
        <v>2009</v>
      </c>
      <c r="F6371" s="3" t="s">
        <v>994</v>
      </c>
      <c r="G6371" s="6">
        <v>16058.45</v>
      </c>
      <c r="H6371" s="5">
        <v>11931</v>
      </c>
    </row>
    <row r="6372" spans="2:8" ht="17.5" customHeight="1" x14ac:dyDescent="0.4">
      <c r="B6372" s="3" t="s">
        <v>7</v>
      </c>
      <c r="C6372" s="3" t="s">
        <v>993</v>
      </c>
      <c r="D6372" s="4">
        <f>DATE(2009,2,10)</f>
        <v>39854</v>
      </c>
      <c r="E6372" s="5">
        <f t="shared" si="104"/>
        <v>2009</v>
      </c>
      <c r="F6372" s="3" t="s">
        <v>994</v>
      </c>
      <c r="G6372" s="6">
        <v>2053.8200000000002</v>
      </c>
      <c r="H6372" s="5">
        <v>11974</v>
      </c>
    </row>
    <row r="6373" spans="2:8" ht="17.5" customHeight="1" x14ac:dyDescent="0.4">
      <c r="B6373" s="3" t="s">
        <v>7</v>
      </c>
      <c r="C6373" s="3" t="s">
        <v>993</v>
      </c>
      <c r="D6373" s="4">
        <f>DATE(2009,2,25)</f>
        <v>39869</v>
      </c>
      <c r="E6373" s="5">
        <f t="shared" si="104"/>
        <v>2009</v>
      </c>
      <c r="F6373" s="3" t="s">
        <v>994</v>
      </c>
      <c r="G6373" s="6">
        <v>786.41</v>
      </c>
      <c r="H6373" s="5">
        <v>12093</v>
      </c>
    </row>
    <row r="6374" spans="2:8" ht="17.5" customHeight="1" x14ac:dyDescent="0.4">
      <c r="B6374" s="3" t="s">
        <v>7</v>
      </c>
      <c r="C6374" s="3" t="s">
        <v>993</v>
      </c>
      <c r="D6374" s="4">
        <f>DATE(2009,2,25)</f>
        <v>39869</v>
      </c>
      <c r="E6374" s="5">
        <f t="shared" si="104"/>
        <v>2009</v>
      </c>
      <c r="F6374" s="3" t="s">
        <v>994</v>
      </c>
      <c r="G6374" s="6">
        <v>4046.63</v>
      </c>
      <c r="H6374" s="5">
        <v>12092</v>
      </c>
    </row>
    <row r="6375" spans="2:8" ht="17.5" customHeight="1" x14ac:dyDescent="0.4">
      <c r="B6375" s="3" t="s">
        <v>7</v>
      </c>
      <c r="C6375" s="3" t="s">
        <v>993</v>
      </c>
      <c r="D6375" s="4">
        <f>DATE(2009,3,3)</f>
        <v>39875</v>
      </c>
      <c r="E6375" s="5">
        <f t="shared" si="104"/>
        <v>2009</v>
      </c>
      <c r="F6375" s="3" t="s">
        <v>994</v>
      </c>
      <c r="G6375" s="6">
        <v>1133.69</v>
      </c>
      <c r="H6375" s="5">
        <v>12134</v>
      </c>
    </row>
    <row r="6376" spans="2:8" ht="17.5" customHeight="1" x14ac:dyDescent="0.4">
      <c r="B6376" s="3" t="s">
        <v>7</v>
      </c>
      <c r="C6376" s="3" t="s">
        <v>993</v>
      </c>
      <c r="D6376" s="4">
        <f>DATE(2009,3,6)</f>
        <v>39878</v>
      </c>
      <c r="E6376" s="5">
        <f t="shared" si="104"/>
        <v>2009</v>
      </c>
      <c r="F6376" s="3" t="s">
        <v>994</v>
      </c>
      <c r="G6376" s="6">
        <v>613.08000000000004</v>
      </c>
      <c r="H6376" s="5">
        <v>12160</v>
      </c>
    </row>
    <row r="6377" spans="2:8" ht="17.5" customHeight="1" x14ac:dyDescent="0.4">
      <c r="B6377" s="3" t="s">
        <v>7</v>
      </c>
      <c r="C6377" s="3" t="s">
        <v>993</v>
      </c>
      <c r="D6377" s="4">
        <f>DATE(2009,3,6)</f>
        <v>39878</v>
      </c>
      <c r="E6377" s="5">
        <f t="shared" si="104"/>
        <v>2009</v>
      </c>
      <c r="F6377" s="3" t="s">
        <v>994</v>
      </c>
      <c r="G6377" s="6">
        <v>488.75</v>
      </c>
      <c r="H6377" s="5">
        <v>12167</v>
      </c>
    </row>
    <row r="6378" spans="2:8" ht="17.5" customHeight="1" x14ac:dyDescent="0.4">
      <c r="B6378" s="3" t="s">
        <v>7</v>
      </c>
      <c r="C6378" s="3" t="s">
        <v>993</v>
      </c>
      <c r="D6378" s="4">
        <f>DATE(2009,3,9)</f>
        <v>39881</v>
      </c>
      <c r="E6378" s="5">
        <f t="shared" si="104"/>
        <v>2009</v>
      </c>
      <c r="F6378" s="3" t="s">
        <v>994</v>
      </c>
      <c r="G6378" s="6">
        <v>11970</v>
      </c>
      <c r="H6378" s="5">
        <v>12140</v>
      </c>
    </row>
    <row r="6379" spans="2:8" ht="17.5" customHeight="1" x14ac:dyDescent="0.4">
      <c r="B6379" s="3" t="s">
        <v>7</v>
      </c>
      <c r="C6379" s="3" t="s">
        <v>993</v>
      </c>
      <c r="D6379" s="4">
        <f>DATE(2009,3,11)</f>
        <v>39883</v>
      </c>
      <c r="E6379" s="5">
        <f t="shared" si="104"/>
        <v>2009</v>
      </c>
      <c r="F6379" s="3" t="s">
        <v>994</v>
      </c>
      <c r="G6379" s="6">
        <v>9096.0400000000009</v>
      </c>
      <c r="H6379" s="5">
        <v>12153</v>
      </c>
    </row>
    <row r="6380" spans="2:8" ht="17.5" customHeight="1" x14ac:dyDescent="0.4">
      <c r="B6380" s="3" t="s">
        <v>7</v>
      </c>
      <c r="C6380" s="3" t="s">
        <v>993</v>
      </c>
      <c r="D6380" s="4">
        <f>DATE(2009,3,11)</f>
        <v>39883</v>
      </c>
      <c r="E6380" s="5">
        <f t="shared" si="104"/>
        <v>2009</v>
      </c>
      <c r="F6380" s="3" t="s">
        <v>994</v>
      </c>
      <c r="G6380" s="6">
        <v>7351.89</v>
      </c>
      <c r="H6380" s="5">
        <v>12183</v>
      </c>
    </row>
    <row r="6381" spans="2:8" ht="17.5" customHeight="1" x14ac:dyDescent="0.4">
      <c r="B6381" s="3" t="s">
        <v>7</v>
      </c>
      <c r="C6381" s="3" t="s">
        <v>993</v>
      </c>
      <c r="D6381" s="4">
        <f>DATE(2009,3,11)</f>
        <v>39883</v>
      </c>
      <c r="E6381" s="5">
        <f t="shared" si="104"/>
        <v>2009</v>
      </c>
      <c r="F6381" s="3" t="s">
        <v>994</v>
      </c>
      <c r="G6381" s="6">
        <v>192.66</v>
      </c>
      <c r="H6381" s="5">
        <v>12155</v>
      </c>
    </row>
    <row r="6382" spans="2:8" ht="17.5" customHeight="1" x14ac:dyDescent="0.4">
      <c r="B6382" s="3" t="s">
        <v>7</v>
      </c>
      <c r="C6382" s="3" t="s">
        <v>993</v>
      </c>
      <c r="D6382" s="4">
        <f>DATE(2009,3,13)</f>
        <v>39885</v>
      </c>
      <c r="E6382" s="5">
        <f t="shared" si="104"/>
        <v>2009</v>
      </c>
      <c r="F6382" s="3" t="s">
        <v>994</v>
      </c>
      <c r="G6382" s="6">
        <v>7792.2</v>
      </c>
      <c r="H6382" s="5">
        <v>12192</v>
      </c>
    </row>
    <row r="6383" spans="2:8" ht="17.5" customHeight="1" x14ac:dyDescent="0.4">
      <c r="B6383" s="3" t="s">
        <v>7</v>
      </c>
      <c r="C6383" s="3" t="s">
        <v>993</v>
      </c>
      <c r="D6383" s="4">
        <f>DATE(2009,3,25)</f>
        <v>39897</v>
      </c>
      <c r="E6383" s="5">
        <f t="shared" si="104"/>
        <v>2009</v>
      </c>
      <c r="F6383" s="3" t="s">
        <v>994</v>
      </c>
      <c r="G6383" s="6">
        <v>896</v>
      </c>
      <c r="H6383" s="5">
        <v>12264</v>
      </c>
    </row>
    <row r="6384" spans="2:8" ht="17.5" customHeight="1" x14ac:dyDescent="0.4">
      <c r="B6384" s="3" t="s">
        <v>7</v>
      </c>
      <c r="C6384" s="3" t="s">
        <v>993</v>
      </c>
      <c r="D6384" s="4">
        <f>DATE(2009,3,25)</f>
        <v>39897</v>
      </c>
      <c r="E6384" s="5">
        <f t="shared" si="104"/>
        <v>2009</v>
      </c>
      <c r="F6384" s="3" t="s">
        <v>994</v>
      </c>
      <c r="G6384" s="6">
        <v>544.36</v>
      </c>
      <c r="H6384" s="5">
        <v>12281</v>
      </c>
    </row>
    <row r="6385" spans="2:8" ht="17.5" customHeight="1" x14ac:dyDescent="0.4">
      <c r="B6385" s="3" t="s">
        <v>7</v>
      </c>
      <c r="C6385" s="3" t="s">
        <v>993</v>
      </c>
      <c r="D6385" s="4">
        <f>DATE(2009,4,10)</f>
        <v>39913</v>
      </c>
      <c r="E6385" s="5">
        <f t="shared" si="104"/>
        <v>2009</v>
      </c>
      <c r="F6385" s="3" t="s">
        <v>994</v>
      </c>
      <c r="G6385" s="6">
        <v>548</v>
      </c>
      <c r="H6385" s="5">
        <v>12377</v>
      </c>
    </row>
    <row r="6386" spans="2:8" ht="17.5" customHeight="1" x14ac:dyDescent="0.4">
      <c r="B6386" s="3" t="s">
        <v>7</v>
      </c>
      <c r="C6386" s="3" t="s">
        <v>993</v>
      </c>
      <c r="D6386" s="4">
        <f>DATE(2009,4,10)</f>
        <v>39913</v>
      </c>
      <c r="E6386" s="5">
        <f t="shared" si="104"/>
        <v>2009</v>
      </c>
      <c r="F6386" s="3" t="s">
        <v>994</v>
      </c>
      <c r="G6386" s="6">
        <v>12093</v>
      </c>
      <c r="H6386" s="5">
        <v>12360</v>
      </c>
    </row>
    <row r="6387" spans="2:8" ht="17.5" customHeight="1" x14ac:dyDescent="0.4">
      <c r="B6387" s="3" t="s">
        <v>7</v>
      </c>
      <c r="C6387" s="3" t="s">
        <v>993</v>
      </c>
      <c r="D6387" s="4">
        <f>DATE(2009,4,22)</f>
        <v>39925</v>
      </c>
      <c r="E6387" s="5">
        <f t="shared" si="104"/>
        <v>2009</v>
      </c>
      <c r="F6387" s="3" t="s">
        <v>994</v>
      </c>
      <c r="G6387" s="6">
        <v>3750</v>
      </c>
      <c r="H6387" s="5">
        <v>12444</v>
      </c>
    </row>
    <row r="6388" spans="2:8" ht="17.5" customHeight="1" x14ac:dyDescent="0.4">
      <c r="B6388" s="3" t="s">
        <v>7</v>
      </c>
      <c r="C6388" s="3" t="s">
        <v>993</v>
      </c>
      <c r="D6388" s="4">
        <f>DATE(2009,4,23)</f>
        <v>39926</v>
      </c>
      <c r="E6388" s="5">
        <f t="shared" si="104"/>
        <v>2009</v>
      </c>
      <c r="F6388" s="3" t="s">
        <v>994</v>
      </c>
      <c r="G6388" s="6">
        <v>1734.15</v>
      </c>
      <c r="H6388" s="5">
        <v>12400</v>
      </c>
    </row>
    <row r="6389" spans="2:8" ht="17.5" customHeight="1" x14ac:dyDescent="0.4">
      <c r="B6389" s="3" t="s">
        <v>7</v>
      </c>
      <c r="C6389" s="3" t="s">
        <v>993</v>
      </c>
      <c r="D6389" s="4">
        <f>DATE(2009,5,1)</f>
        <v>39934</v>
      </c>
      <c r="E6389" s="5">
        <f t="shared" si="104"/>
        <v>2009</v>
      </c>
      <c r="F6389" s="3" t="s">
        <v>994</v>
      </c>
      <c r="G6389" s="6">
        <v>1995</v>
      </c>
      <c r="H6389" s="5">
        <v>12483</v>
      </c>
    </row>
    <row r="6390" spans="2:8" ht="17.5" customHeight="1" x14ac:dyDescent="0.4">
      <c r="B6390" s="3" t="s">
        <v>7</v>
      </c>
      <c r="C6390" s="3" t="s">
        <v>993</v>
      </c>
      <c r="D6390" s="4">
        <f>DATE(2009,5,5)</f>
        <v>39938</v>
      </c>
      <c r="E6390" s="5">
        <f t="shared" si="104"/>
        <v>2009</v>
      </c>
      <c r="F6390" s="3" t="s">
        <v>994</v>
      </c>
      <c r="G6390" s="6">
        <v>918</v>
      </c>
      <c r="H6390" s="5">
        <v>12499</v>
      </c>
    </row>
    <row r="6391" spans="2:8" ht="17.5" customHeight="1" x14ac:dyDescent="0.4">
      <c r="B6391" s="3" t="s">
        <v>7</v>
      </c>
      <c r="C6391" s="3" t="s">
        <v>993</v>
      </c>
      <c r="D6391" s="4">
        <f>DATE(2009,5,11)</f>
        <v>39944</v>
      </c>
      <c r="E6391" s="5">
        <f t="shared" si="104"/>
        <v>2009</v>
      </c>
      <c r="F6391" s="3" t="s">
        <v>994</v>
      </c>
      <c r="G6391" s="6">
        <v>1057.8</v>
      </c>
      <c r="H6391" s="5">
        <v>12500</v>
      </c>
    </row>
    <row r="6392" spans="2:8" ht="17.5" customHeight="1" x14ac:dyDescent="0.4">
      <c r="B6392" s="3" t="s">
        <v>7</v>
      </c>
      <c r="C6392" s="3" t="s">
        <v>993</v>
      </c>
      <c r="D6392" s="4">
        <f>DATE(2009,5,21)</f>
        <v>39954</v>
      </c>
      <c r="E6392" s="5">
        <f t="shared" si="104"/>
        <v>2009</v>
      </c>
      <c r="F6392" s="3" t="s">
        <v>994</v>
      </c>
      <c r="G6392" s="6">
        <v>8824.99</v>
      </c>
      <c r="H6392" s="5">
        <v>12556</v>
      </c>
    </row>
    <row r="6393" spans="2:8" ht="17.5" customHeight="1" x14ac:dyDescent="0.4">
      <c r="B6393" s="3" t="s">
        <v>7</v>
      </c>
      <c r="C6393" s="3" t="s">
        <v>993</v>
      </c>
      <c r="D6393" s="4">
        <f>DATE(2009,5,21)</f>
        <v>39954</v>
      </c>
      <c r="E6393" s="5">
        <f t="shared" si="104"/>
        <v>2009</v>
      </c>
      <c r="F6393" s="3" t="s">
        <v>994</v>
      </c>
      <c r="G6393" s="6">
        <v>399</v>
      </c>
      <c r="H6393" s="5">
        <v>12580</v>
      </c>
    </row>
    <row r="6394" spans="2:8" ht="17.5" customHeight="1" x14ac:dyDescent="0.4">
      <c r="B6394" s="3" t="s">
        <v>7</v>
      </c>
      <c r="C6394" s="3" t="s">
        <v>993</v>
      </c>
      <c r="D6394" s="4">
        <f>DATE(2009,6,4)</f>
        <v>39968</v>
      </c>
      <c r="E6394" s="5">
        <f t="shared" si="104"/>
        <v>2009</v>
      </c>
      <c r="F6394" s="3" t="s">
        <v>994</v>
      </c>
      <c r="G6394" s="6">
        <v>5398.8</v>
      </c>
      <c r="H6394" s="5">
        <v>12651</v>
      </c>
    </row>
    <row r="6395" spans="2:8" ht="17.5" customHeight="1" x14ac:dyDescent="0.4">
      <c r="B6395" s="3" t="s">
        <v>7</v>
      </c>
      <c r="C6395" s="3" t="s">
        <v>993</v>
      </c>
      <c r="D6395" s="4">
        <f>DATE(2009,6,4)</f>
        <v>39968</v>
      </c>
      <c r="E6395" s="5">
        <f t="shared" si="104"/>
        <v>2009</v>
      </c>
      <c r="F6395" s="3" t="s">
        <v>994</v>
      </c>
      <c r="G6395" s="6">
        <v>2626</v>
      </c>
      <c r="H6395" s="5">
        <v>12665</v>
      </c>
    </row>
    <row r="6396" spans="2:8" ht="17.5" customHeight="1" x14ac:dyDescent="0.4">
      <c r="B6396" s="3" t="s">
        <v>7</v>
      </c>
      <c r="C6396" s="3" t="s">
        <v>993</v>
      </c>
      <c r="D6396" s="4">
        <f>DATE(2009,6,4)</f>
        <v>39968</v>
      </c>
      <c r="E6396" s="5">
        <f t="shared" si="104"/>
        <v>2009</v>
      </c>
      <c r="F6396" s="3" t="s">
        <v>994</v>
      </c>
      <c r="G6396" s="6">
        <v>7</v>
      </c>
      <c r="H6396" s="5">
        <v>12662</v>
      </c>
    </row>
    <row r="6397" spans="2:8" ht="17.5" customHeight="1" x14ac:dyDescent="0.4">
      <c r="B6397" s="3" t="s">
        <v>7</v>
      </c>
      <c r="C6397" s="3" t="s">
        <v>993</v>
      </c>
      <c r="D6397" s="4">
        <f>DATE(2009,6,4)</f>
        <v>39968</v>
      </c>
      <c r="E6397" s="5">
        <f t="shared" si="104"/>
        <v>2009</v>
      </c>
      <c r="F6397" s="3" t="s">
        <v>994</v>
      </c>
      <c r="G6397" s="6">
        <v>2500</v>
      </c>
      <c r="H6397" s="5">
        <v>12646</v>
      </c>
    </row>
    <row r="6398" spans="2:8" ht="17.5" customHeight="1" x14ac:dyDescent="0.4">
      <c r="B6398" s="3" t="s">
        <v>7</v>
      </c>
      <c r="C6398" s="3" t="s">
        <v>993</v>
      </c>
      <c r="D6398" s="4">
        <f>DATE(2009,6,11)</f>
        <v>39975</v>
      </c>
      <c r="E6398" s="5">
        <f t="shared" si="104"/>
        <v>2009</v>
      </c>
      <c r="F6398" s="3" t="s">
        <v>994</v>
      </c>
      <c r="G6398" s="6">
        <v>918</v>
      </c>
      <c r="H6398" s="5">
        <v>12683</v>
      </c>
    </row>
    <row r="6399" spans="2:8" ht="17.5" customHeight="1" x14ac:dyDescent="0.4">
      <c r="B6399" s="3" t="s">
        <v>7</v>
      </c>
      <c r="C6399" s="3" t="s">
        <v>993</v>
      </c>
      <c r="D6399" s="4">
        <f>DATE(2009,6,24)</f>
        <v>39988</v>
      </c>
      <c r="E6399" s="5">
        <f t="shared" si="104"/>
        <v>2009</v>
      </c>
      <c r="F6399" s="3" t="s">
        <v>994</v>
      </c>
      <c r="G6399" s="6">
        <v>2316.5</v>
      </c>
      <c r="H6399" s="5">
        <v>12741</v>
      </c>
    </row>
    <row r="6400" spans="2:8" ht="17.5" customHeight="1" x14ac:dyDescent="0.4">
      <c r="B6400" s="3" t="s">
        <v>7</v>
      </c>
      <c r="C6400" s="3" t="s">
        <v>993</v>
      </c>
      <c r="D6400" s="4">
        <f>DATE(2009,7,9)</f>
        <v>40003</v>
      </c>
      <c r="E6400" s="5">
        <f t="shared" si="104"/>
        <v>2009</v>
      </c>
      <c r="F6400" s="3" t="s">
        <v>994</v>
      </c>
      <c r="G6400" s="6">
        <v>225</v>
      </c>
      <c r="H6400" s="5">
        <v>12780</v>
      </c>
    </row>
    <row r="6401" spans="2:8" ht="17.5" customHeight="1" x14ac:dyDescent="0.4">
      <c r="B6401" s="3" t="s">
        <v>7</v>
      </c>
      <c r="C6401" s="3" t="s">
        <v>993</v>
      </c>
      <c r="D6401" s="4">
        <f>DATE(2009,7,23)</f>
        <v>40017</v>
      </c>
      <c r="E6401" s="5">
        <f t="shared" si="104"/>
        <v>2009</v>
      </c>
      <c r="F6401" s="3" t="s">
        <v>994</v>
      </c>
      <c r="G6401" s="6">
        <v>3042.55</v>
      </c>
      <c r="H6401" s="5">
        <v>12806</v>
      </c>
    </row>
    <row r="6402" spans="2:8" ht="17.5" customHeight="1" x14ac:dyDescent="0.4">
      <c r="B6402" s="3" t="s">
        <v>7</v>
      </c>
      <c r="C6402" s="3" t="s">
        <v>993</v>
      </c>
      <c r="D6402" s="4">
        <f>DATE(2009,7,27)</f>
        <v>40021</v>
      </c>
      <c r="E6402" s="5">
        <f t="shared" si="104"/>
        <v>2009</v>
      </c>
      <c r="F6402" s="3" t="s">
        <v>994</v>
      </c>
      <c r="G6402" s="6">
        <v>4147.3500000000004</v>
      </c>
      <c r="H6402" s="5">
        <v>12840</v>
      </c>
    </row>
    <row r="6403" spans="2:8" ht="17.5" customHeight="1" x14ac:dyDescent="0.4">
      <c r="B6403" s="3" t="s">
        <v>7</v>
      </c>
      <c r="C6403" s="3" t="s">
        <v>993</v>
      </c>
      <c r="D6403" s="4">
        <f>DATE(2009,7,30)</f>
        <v>40024</v>
      </c>
      <c r="E6403" s="5">
        <f t="shared" ref="E6403:E6466" si="105">YEAR(D6403)</f>
        <v>2009</v>
      </c>
      <c r="F6403" s="3" t="s">
        <v>994</v>
      </c>
      <c r="G6403" s="6">
        <v>1334.76</v>
      </c>
      <c r="H6403" s="5">
        <v>12864</v>
      </c>
    </row>
    <row r="6404" spans="2:8" ht="17.5" customHeight="1" x14ac:dyDescent="0.4">
      <c r="B6404" s="3" t="s">
        <v>7</v>
      </c>
      <c r="C6404" s="3" t="s">
        <v>993</v>
      </c>
      <c r="D6404" s="4">
        <f>DATE(2009,8,13)</f>
        <v>40038</v>
      </c>
      <c r="E6404" s="5">
        <f t="shared" si="105"/>
        <v>2009</v>
      </c>
      <c r="F6404" s="3" t="s">
        <v>994</v>
      </c>
      <c r="G6404" s="6">
        <v>3672</v>
      </c>
      <c r="H6404" s="5">
        <v>12893</v>
      </c>
    </row>
    <row r="6405" spans="2:8" ht="17.5" customHeight="1" x14ac:dyDescent="0.4">
      <c r="B6405" s="3" t="s">
        <v>7</v>
      </c>
      <c r="C6405" s="3" t="s">
        <v>993</v>
      </c>
      <c r="D6405" s="4">
        <f>DATE(2009,8,13)</f>
        <v>40038</v>
      </c>
      <c r="E6405" s="5">
        <f t="shared" si="105"/>
        <v>2009</v>
      </c>
      <c r="F6405" s="3" t="s">
        <v>994</v>
      </c>
      <c r="G6405" s="6">
        <v>1722</v>
      </c>
      <c r="H6405" s="5">
        <v>12896</v>
      </c>
    </row>
    <row r="6406" spans="2:8" ht="17.5" customHeight="1" x14ac:dyDescent="0.4">
      <c r="B6406" s="3" t="s">
        <v>7</v>
      </c>
      <c r="C6406" s="3" t="s">
        <v>993</v>
      </c>
      <c r="D6406" s="4">
        <f>DATE(2009,8,25)</f>
        <v>40050</v>
      </c>
      <c r="E6406" s="5">
        <f t="shared" si="105"/>
        <v>2009</v>
      </c>
      <c r="F6406" s="3" t="s">
        <v>994</v>
      </c>
      <c r="G6406" s="6">
        <v>705</v>
      </c>
      <c r="H6406" s="5">
        <v>12949</v>
      </c>
    </row>
    <row r="6407" spans="2:8" ht="17.5" customHeight="1" x14ac:dyDescent="0.4">
      <c r="B6407" s="3" t="s">
        <v>7</v>
      </c>
      <c r="C6407" s="3" t="s">
        <v>993</v>
      </c>
      <c r="D6407" s="4">
        <f>DATE(2009,8,27)</f>
        <v>40052</v>
      </c>
      <c r="E6407" s="5">
        <f t="shared" si="105"/>
        <v>2009</v>
      </c>
      <c r="F6407" s="3" t="s">
        <v>994</v>
      </c>
      <c r="G6407" s="6">
        <v>4770</v>
      </c>
      <c r="H6407" s="5">
        <v>12952</v>
      </c>
    </row>
    <row r="6408" spans="2:8" ht="17.5" customHeight="1" x14ac:dyDescent="0.4">
      <c r="B6408" s="3" t="s">
        <v>7</v>
      </c>
      <c r="C6408" s="3" t="s">
        <v>993</v>
      </c>
      <c r="D6408" s="4">
        <f>DATE(2009,9,1)</f>
        <v>40057</v>
      </c>
      <c r="E6408" s="5">
        <f t="shared" si="105"/>
        <v>2009</v>
      </c>
      <c r="F6408" s="3" t="s">
        <v>994</v>
      </c>
      <c r="G6408" s="6">
        <v>2475</v>
      </c>
      <c r="H6408" s="5">
        <v>12973</v>
      </c>
    </row>
    <row r="6409" spans="2:8" ht="17.5" customHeight="1" x14ac:dyDescent="0.4">
      <c r="B6409" s="3" t="s">
        <v>7</v>
      </c>
      <c r="C6409" s="3" t="s">
        <v>993</v>
      </c>
      <c r="D6409" s="4">
        <f>DATE(2009,9,1)</f>
        <v>40057</v>
      </c>
      <c r="E6409" s="5">
        <f t="shared" si="105"/>
        <v>2009</v>
      </c>
      <c r="F6409" s="3" t="s">
        <v>994</v>
      </c>
      <c r="G6409" s="6">
        <v>2295</v>
      </c>
      <c r="H6409" s="5">
        <v>12961</v>
      </c>
    </row>
    <row r="6410" spans="2:8" ht="17.5" customHeight="1" x14ac:dyDescent="0.4">
      <c r="B6410" s="3" t="s">
        <v>7</v>
      </c>
      <c r="C6410" s="3" t="s">
        <v>993</v>
      </c>
      <c r="D6410" s="4">
        <f>DATE(2009,9,8)</f>
        <v>40064</v>
      </c>
      <c r="E6410" s="5">
        <f t="shared" si="105"/>
        <v>2009</v>
      </c>
      <c r="F6410" s="3" t="s">
        <v>994</v>
      </c>
      <c r="G6410" s="6">
        <v>2722.5</v>
      </c>
      <c r="H6410" s="5">
        <v>12990</v>
      </c>
    </row>
    <row r="6411" spans="2:8" ht="17.5" customHeight="1" x14ac:dyDescent="0.4">
      <c r="B6411" s="3" t="s">
        <v>7</v>
      </c>
      <c r="C6411" s="3" t="s">
        <v>993</v>
      </c>
      <c r="D6411" s="4">
        <f>DATE(2009,9,8)</f>
        <v>40064</v>
      </c>
      <c r="E6411" s="5">
        <f t="shared" si="105"/>
        <v>2009</v>
      </c>
      <c r="F6411" s="3" t="s">
        <v>994</v>
      </c>
      <c r="G6411" s="6">
        <v>2584</v>
      </c>
      <c r="H6411" s="5">
        <v>12997</v>
      </c>
    </row>
    <row r="6412" spans="2:8" ht="17.5" customHeight="1" x14ac:dyDescent="0.4">
      <c r="B6412" s="3" t="s">
        <v>7</v>
      </c>
      <c r="C6412" s="3" t="s">
        <v>993</v>
      </c>
      <c r="D6412" s="4">
        <f>DATE(2009,9,11)</f>
        <v>40067</v>
      </c>
      <c r="E6412" s="5">
        <f t="shared" si="105"/>
        <v>2009</v>
      </c>
      <c r="F6412" s="3" t="s">
        <v>994</v>
      </c>
      <c r="G6412" s="6">
        <v>608.20000000000005</v>
      </c>
      <c r="H6412" s="5">
        <v>13007</v>
      </c>
    </row>
    <row r="6413" spans="2:8" ht="17.5" customHeight="1" x14ac:dyDescent="0.4">
      <c r="B6413" s="3" t="s">
        <v>7</v>
      </c>
      <c r="C6413" s="3" t="s">
        <v>993</v>
      </c>
      <c r="D6413" s="4">
        <f>DATE(2009,9,11)</f>
        <v>40067</v>
      </c>
      <c r="E6413" s="5">
        <f t="shared" si="105"/>
        <v>2009</v>
      </c>
      <c r="F6413" s="3" t="s">
        <v>994</v>
      </c>
      <c r="G6413" s="6">
        <v>3000</v>
      </c>
      <c r="H6413" s="5">
        <v>13012</v>
      </c>
    </row>
    <row r="6414" spans="2:8" ht="17.5" customHeight="1" x14ac:dyDescent="0.4">
      <c r="B6414" s="3" t="s">
        <v>7</v>
      </c>
      <c r="C6414" s="3" t="s">
        <v>993</v>
      </c>
      <c r="D6414" s="4">
        <f>DATE(2009,9,18)</f>
        <v>40074</v>
      </c>
      <c r="E6414" s="5">
        <f t="shared" si="105"/>
        <v>2009</v>
      </c>
      <c r="F6414" s="3" t="s">
        <v>994</v>
      </c>
      <c r="G6414" s="6">
        <v>612</v>
      </c>
      <c r="H6414" s="5">
        <v>13034</v>
      </c>
    </row>
    <row r="6415" spans="2:8" ht="17.5" customHeight="1" x14ac:dyDescent="0.4">
      <c r="B6415" s="3" t="s">
        <v>7</v>
      </c>
      <c r="C6415" s="3" t="s">
        <v>993</v>
      </c>
      <c r="D6415" s="4">
        <f>DATE(2009,9,21)</f>
        <v>40077</v>
      </c>
      <c r="E6415" s="5">
        <f t="shared" si="105"/>
        <v>2009</v>
      </c>
      <c r="F6415" s="3" t="s">
        <v>994</v>
      </c>
      <c r="G6415" s="6">
        <v>1421</v>
      </c>
      <c r="H6415" s="5">
        <v>13040</v>
      </c>
    </row>
    <row r="6416" spans="2:8" ht="17.5" customHeight="1" x14ac:dyDescent="0.4">
      <c r="B6416" s="3" t="s">
        <v>7</v>
      </c>
      <c r="C6416" s="3" t="s">
        <v>993</v>
      </c>
      <c r="D6416" s="4">
        <f>DATE(2009,9,23)</f>
        <v>40079</v>
      </c>
      <c r="E6416" s="5">
        <f t="shared" si="105"/>
        <v>2009</v>
      </c>
      <c r="F6416" s="3" t="s">
        <v>994</v>
      </c>
      <c r="G6416" s="6">
        <v>1123.7</v>
      </c>
      <c r="H6416" s="5">
        <v>13055</v>
      </c>
    </row>
    <row r="6417" spans="2:8" ht="17.5" customHeight="1" x14ac:dyDescent="0.4">
      <c r="B6417" s="3" t="s">
        <v>7</v>
      </c>
      <c r="C6417" s="3" t="s">
        <v>993</v>
      </c>
      <c r="D6417" s="4">
        <f>DATE(2009,10,5)</f>
        <v>40091</v>
      </c>
      <c r="E6417" s="5">
        <f t="shared" si="105"/>
        <v>2009</v>
      </c>
      <c r="F6417" s="3" t="s">
        <v>994</v>
      </c>
      <c r="G6417" s="6">
        <v>30004.3</v>
      </c>
      <c r="H6417" s="5">
        <v>13097</v>
      </c>
    </row>
    <row r="6418" spans="2:8" ht="17.5" customHeight="1" x14ac:dyDescent="0.4">
      <c r="B6418" s="3" t="s">
        <v>7</v>
      </c>
      <c r="C6418" s="3" t="s">
        <v>993</v>
      </c>
      <c r="D6418" s="4">
        <f>DATE(2009,10,27)</f>
        <v>40113</v>
      </c>
      <c r="E6418" s="5">
        <f t="shared" si="105"/>
        <v>2009</v>
      </c>
      <c r="F6418" s="3" t="s">
        <v>994</v>
      </c>
      <c r="G6418" s="6">
        <v>427</v>
      </c>
      <c r="H6418" s="5">
        <v>13198</v>
      </c>
    </row>
    <row r="6419" spans="2:8" ht="17.5" customHeight="1" x14ac:dyDescent="0.4">
      <c r="B6419" s="3" t="s">
        <v>7</v>
      </c>
      <c r="C6419" s="3" t="s">
        <v>993</v>
      </c>
      <c r="D6419" s="4">
        <f>DATE(2009,11,6)</f>
        <v>40123</v>
      </c>
      <c r="E6419" s="5">
        <f t="shared" si="105"/>
        <v>2009</v>
      </c>
      <c r="F6419" s="3" t="s">
        <v>994</v>
      </c>
      <c r="G6419" s="6">
        <v>2000</v>
      </c>
      <c r="H6419" s="5">
        <v>13239</v>
      </c>
    </row>
    <row r="6420" spans="2:8" ht="17.5" customHeight="1" x14ac:dyDescent="0.4">
      <c r="B6420" s="3" t="s">
        <v>7</v>
      </c>
      <c r="C6420" s="3" t="s">
        <v>993</v>
      </c>
      <c r="D6420" s="4">
        <f>DATE(2009,11,17)</f>
        <v>40134</v>
      </c>
      <c r="E6420" s="5">
        <f t="shared" si="105"/>
        <v>2009</v>
      </c>
      <c r="F6420" s="3" t="s">
        <v>994</v>
      </c>
      <c r="G6420" s="6">
        <v>847</v>
      </c>
      <c r="H6420" s="5">
        <v>13278</v>
      </c>
    </row>
    <row r="6421" spans="2:8" ht="17.5" customHeight="1" x14ac:dyDescent="0.4">
      <c r="B6421" s="3" t="s">
        <v>7</v>
      </c>
      <c r="C6421" s="3" t="s">
        <v>993</v>
      </c>
      <c r="D6421" s="4">
        <f>DATE(2009,12,1)</f>
        <v>40148</v>
      </c>
      <c r="E6421" s="5">
        <f t="shared" si="105"/>
        <v>2009</v>
      </c>
      <c r="F6421" s="3" t="s">
        <v>994</v>
      </c>
      <c r="G6421" s="6">
        <v>3464</v>
      </c>
      <c r="H6421" s="5">
        <v>13321</v>
      </c>
    </row>
    <row r="6422" spans="2:8" ht="17.5" customHeight="1" x14ac:dyDescent="0.4">
      <c r="B6422" s="3" t="s">
        <v>7</v>
      </c>
      <c r="C6422" s="3" t="s">
        <v>993</v>
      </c>
      <c r="D6422" s="4">
        <f>DATE(2009,12,9)</f>
        <v>40156</v>
      </c>
      <c r="E6422" s="5">
        <f t="shared" si="105"/>
        <v>2009</v>
      </c>
      <c r="F6422" s="3" t="s">
        <v>994</v>
      </c>
      <c r="G6422" s="6">
        <v>6800</v>
      </c>
      <c r="H6422" s="5">
        <v>13244</v>
      </c>
    </row>
    <row r="6423" spans="2:8" ht="17.5" customHeight="1" x14ac:dyDescent="0.4">
      <c r="B6423" s="3" t="s">
        <v>7</v>
      </c>
      <c r="C6423" s="3" t="s">
        <v>993</v>
      </c>
      <c r="D6423" s="4">
        <f>DATE(2009,12,9)</f>
        <v>40156</v>
      </c>
      <c r="E6423" s="5">
        <f t="shared" si="105"/>
        <v>2009</v>
      </c>
      <c r="F6423" s="3" t="s">
        <v>994</v>
      </c>
      <c r="G6423" s="6">
        <v>951.28</v>
      </c>
      <c r="H6423" s="5">
        <v>13246</v>
      </c>
    </row>
    <row r="6424" spans="2:8" ht="17.5" customHeight="1" x14ac:dyDescent="0.4">
      <c r="B6424" s="3" t="s">
        <v>7</v>
      </c>
      <c r="C6424" s="3" t="s">
        <v>993</v>
      </c>
      <c r="D6424" s="4">
        <f>DATE(2009,12,9)</f>
        <v>40156</v>
      </c>
      <c r="E6424" s="5">
        <f t="shared" si="105"/>
        <v>2009</v>
      </c>
      <c r="F6424" s="3" t="s">
        <v>994</v>
      </c>
      <c r="G6424" s="6">
        <v>4575</v>
      </c>
      <c r="H6424" s="5">
        <v>13351</v>
      </c>
    </row>
    <row r="6425" spans="2:8" ht="17.5" customHeight="1" x14ac:dyDescent="0.4">
      <c r="B6425" s="3" t="s">
        <v>7</v>
      </c>
      <c r="C6425" s="3" t="s">
        <v>993</v>
      </c>
      <c r="D6425" s="4">
        <f>DATE(2009,12,14)</f>
        <v>40161</v>
      </c>
      <c r="E6425" s="5">
        <f t="shared" si="105"/>
        <v>2009</v>
      </c>
      <c r="F6425" s="3" t="s">
        <v>994</v>
      </c>
      <c r="G6425" s="6">
        <v>847.4</v>
      </c>
      <c r="H6425" s="5">
        <v>13357</v>
      </c>
    </row>
    <row r="6426" spans="2:8" ht="17.5" customHeight="1" x14ac:dyDescent="0.4">
      <c r="B6426" s="3" t="s">
        <v>7</v>
      </c>
      <c r="C6426" s="3" t="s">
        <v>993</v>
      </c>
      <c r="D6426" s="4">
        <f>DATE(2009,12,17)</f>
        <v>40164</v>
      </c>
      <c r="E6426" s="5">
        <f t="shared" si="105"/>
        <v>2009</v>
      </c>
      <c r="F6426" s="3" t="s">
        <v>994</v>
      </c>
      <c r="G6426" s="6">
        <v>5984.9</v>
      </c>
      <c r="H6426" s="5">
        <v>13362</v>
      </c>
    </row>
    <row r="6427" spans="2:8" ht="17.5" customHeight="1" x14ac:dyDescent="0.4">
      <c r="B6427" s="3" t="s">
        <v>7</v>
      </c>
      <c r="C6427" s="3" t="s">
        <v>993</v>
      </c>
      <c r="D6427" s="4">
        <f>DATE(2009,12,23)</f>
        <v>40170</v>
      </c>
      <c r="E6427" s="5">
        <f t="shared" si="105"/>
        <v>2009</v>
      </c>
      <c r="F6427" s="3" t="s">
        <v>994</v>
      </c>
      <c r="G6427" s="6">
        <v>283.89999999999998</v>
      </c>
      <c r="H6427" s="5">
        <v>13384</v>
      </c>
    </row>
    <row r="6428" spans="2:8" ht="17.5" customHeight="1" x14ac:dyDescent="0.4">
      <c r="B6428" s="3" t="s">
        <v>7</v>
      </c>
      <c r="C6428" s="3" t="s">
        <v>993</v>
      </c>
      <c r="D6428" s="4">
        <f>DATE(2010,1,4)</f>
        <v>40182</v>
      </c>
      <c r="E6428" s="5">
        <f t="shared" si="105"/>
        <v>2010</v>
      </c>
      <c r="F6428" s="3" t="s">
        <v>994</v>
      </c>
      <c r="G6428" s="6">
        <v>7650</v>
      </c>
      <c r="H6428" s="5">
        <v>13397</v>
      </c>
    </row>
    <row r="6429" spans="2:8" ht="17.5" customHeight="1" x14ac:dyDescent="0.4">
      <c r="B6429" s="3" t="s">
        <v>7</v>
      </c>
      <c r="C6429" s="3" t="s">
        <v>993</v>
      </c>
      <c r="D6429" s="4">
        <f>DATE(2010,1,15)</f>
        <v>40193</v>
      </c>
      <c r="E6429" s="5">
        <f t="shared" si="105"/>
        <v>2010</v>
      </c>
      <c r="F6429" s="3" t="s">
        <v>994</v>
      </c>
      <c r="G6429" s="6">
        <v>791.25</v>
      </c>
      <c r="H6429" s="5">
        <v>13459</v>
      </c>
    </row>
    <row r="6430" spans="2:8" ht="17.5" customHeight="1" x14ac:dyDescent="0.4">
      <c r="B6430" s="3" t="s">
        <v>7</v>
      </c>
      <c r="C6430" s="3" t="s">
        <v>993</v>
      </c>
      <c r="D6430" s="4">
        <f>DATE(2010,1,29)</f>
        <v>40207</v>
      </c>
      <c r="E6430" s="5">
        <f t="shared" si="105"/>
        <v>2010</v>
      </c>
      <c r="F6430" s="3" t="s">
        <v>994</v>
      </c>
      <c r="G6430" s="6">
        <v>1873.05</v>
      </c>
      <c r="H6430" s="5">
        <v>13514</v>
      </c>
    </row>
    <row r="6431" spans="2:8" ht="17.5" customHeight="1" x14ac:dyDescent="0.4">
      <c r="B6431" s="3" t="s">
        <v>7</v>
      </c>
      <c r="C6431" s="3" t="s">
        <v>993</v>
      </c>
      <c r="D6431" s="4">
        <f>DATE(2010,1,29)</f>
        <v>40207</v>
      </c>
      <c r="E6431" s="5">
        <f t="shared" si="105"/>
        <v>2010</v>
      </c>
      <c r="F6431" s="3" t="s">
        <v>994</v>
      </c>
      <c r="G6431" s="6">
        <v>1919</v>
      </c>
      <c r="H6431" s="5">
        <v>13491</v>
      </c>
    </row>
    <row r="6432" spans="2:8" ht="17.5" customHeight="1" x14ac:dyDescent="0.4">
      <c r="B6432" s="3" t="s">
        <v>7</v>
      </c>
      <c r="C6432" s="3" t="s">
        <v>993</v>
      </c>
      <c r="D6432" s="4">
        <f>DATE(2010,2,4)</f>
        <v>40213</v>
      </c>
      <c r="E6432" s="5">
        <f t="shared" si="105"/>
        <v>2010</v>
      </c>
      <c r="F6432" s="3" t="s">
        <v>994</v>
      </c>
      <c r="G6432" s="6">
        <v>14473</v>
      </c>
      <c r="H6432" s="5">
        <v>13551</v>
      </c>
    </row>
    <row r="6433" spans="2:8" ht="17.5" customHeight="1" x14ac:dyDescent="0.4">
      <c r="B6433" s="3" t="s">
        <v>7</v>
      </c>
      <c r="C6433" s="3" t="s">
        <v>993</v>
      </c>
      <c r="D6433" s="4">
        <f>DATE(2010,2,11)</f>
        <v>40220</v>
      </c>
      <c r="E6433" s="5">
        <f t="shared" si="105"/>
        <v>2010</v>
      </c>
      <c r="F6433" s="3" t="s">
        <v>994</v>
      </c>
      <c r="G6433" s="6">
        <v>9375</v>
      </c>
      <c r="H6433" s="5">
        <v>13586</v>
      </c>
    </row>
    <row r="6434" spans="2:8" ht="17.5" customHeight="1" x14ac:dyDescent="0.4">
      <c r="B6434" s="3" t="s">
        <v>7</v>
      </c>
      <c r="C6434" s="3" t="s">
        <v>993</v>
      </c>
      <c r="D6434" s="4">
        <f>DATE(2010,2,22)</f>
        <v>40231</v>
      </c>
      <c r="E6434" s="5">
        <f t="shared" si="105"/>
        <v>2010</v>
      </c>
      <c r="F6434" s="3" t="s">
        <v>994</v>
      </c>
      <c r="G6434" s="6">
        <v>11207</v>
      </c>
      <c r="H6434" s="5">
        <v>13614</v>
      </c>
    </row>
    <row r="6435" spans="2:8" ht="17.5" customHeight="1" x14ac:dyDescent="0.4">
      <c r="B6435" s="3" t="s">
        <v>7</v>
      </c>
      <c r="C6435" s="3" t="s">
        <v>993</v>
      </c>
      <c r="D6435" s="4">
        <f>DATE(2010,3,3)</f>
        <v>40240</v>
      </c>
      <c r="E6435" s="5">
        <f t="shared" si="105"/>
        <v>2010</v>
      </c>
      <c r="F6435" s="3" t="s">
        <v>994</v>
      </c>
      <c r="G6435" s="6">
        <v>5538.6</v>
      </c>
      <c r="H6435" s="5">
        <v>13691</v>
      </c>
    </row>
    <row r="6436" spans="2:8" ht="17.5" customHeight="1" x14ac:dyDescent="0.4">
      <c r="B6436" s="3" t="s">
        <v>7</v>
      </c>
      <c r="C6436" s="3" t="s">
        <v>993</v>
      </c>
      <c r="D6436" s="4">
        <f>DATE(2010,3,4)</f>
        <v>40241</v>
      </c>
      <c r="E6436" s="5">
        <f t="shared" si="105"/>
        <v>2010</v>
      </c>
      <c r="F6436" s="3" t="s">
        <v>994</v>
      </c>
      <c r="G6436" s="6">
        <v>1300</v>
      </c>
      <c r="H6436" s="5">
        <v>13566</v>
      </c>
    </row>
    <row r="6437" spans="2:8" ht="17.5" customHeight="1" x14ac:dyDescent="0.4">
      <c r="B6437" s="3" t="s">
        <v>7</v>
      </c>
      <c r="C6437" s="3" t="s">
        <v>993</v>
      </c>
      <c r="D6437" s="4">
        <f>DATE(2010,3,4)</f>
        <v>40241</v>
      </c>
      <c r="E6437" s="5">
        <f t="shared" si="105"/>
        <v>2010</v>
      </c>
      <c r="F6437" s="3" t="s">
        <v>994</v>
      </c>
      <c r="G6437" s="6">
        <v>1147.5</v>
      </c>
      <c r="H6437" s="5">
        <v>13659</v>
      </c>
    </row>
    <row r="6438" spans="2:8" ht="17.5" customHeight="1" x14ac:dyDescent="0.4">
      <c r="B6438" s="3" t="s">
        <v>7</v>
      </c>
      <c r="C6438" s="3" t="s">
        <v>993</v>
      </c>
      <c r="D6438" s="4">
        <f>DATE(2010,3,9)</f>
        <v>40246</v>
      </c>
      <c r="E6438" s="5">
        <f t="shared" si="105"/>
        <v>2010</v>
      </c>
      <c r="F6438" s="3" t="s">
        <v>994</v>
      </c>
      <c r="G6438" s="6">
        <v>197</v>
      </c>
      <c r="H6438" s="5">
        <v>13728</v>
      </c>
    </row>
    <row r="6439" spans="2:8" ht="17.5" customHeight="1" x14ac:dyDescent="0.4">
      <c r="B6439" s="3" t="s">
        <v>7</v>
      </c>
      <c r="C6439" s="3" t="s">
        <v>993</v>
      </c>
      <c r="D6439" s="4">
        <f>DATE(2010,3,12)</f>
        <v>40249</v>
      </c>
      <c r="E6439" s="5">
        <f t="shared" si="105"/>
        <v>2010</v>
      </c>
      <c r="F6439" s="3" t="s">
        <v>994</v>
      </c>
      <c r="G6439" s="6">
        <v>2000.65</v>
      </c>
      <c r="H6439" s="5">
        <v>13730</v>
      </c>
    </row>
    <row r="6440" spans="2:8" ht="17.5" customHeight="1" x14ac:dyDescent="0.4">
      <c r="B6440" s="3" t="s">
        <v>7</v>
      </c>
      <c r="C6440" s="3" t="s">
        <v>993</v>
      </c>
      <c r="D6440" s="4">
        <f>DATE(2010,3,12)</f>
        <v>40249</v>
      </c>
      <c r="E6440" s="5">
        <f t="shared" si="105"/>
        <v>2010</v>
      </c>
      <c r="F6440" s="3" t="s">
        <v>994</v>
      </c>
      <c r="G6440" s="6">
        <v>1919</v>
      </c>
      <c r="H6440" s="5">
        <v>13724</v>
      </c>
    </row>
    <row r="6441" spans="2:8" ht="17.5" customHeight="1" x14ac:dyDescent="0.4">
      <c r="B6441" s="3" t="s">
        <v>7</v>
      </c>
      <c r="C6441" s="3" t="s">
        <v>993</v>
      </c>
      <c r="D6441" s="4">
        <f>DATE(2010,3,19)</f>
        <v>40256</v>
      </c>
      <c r="E6441" s="5">
        <f t="shared" si="105"/>
        <v>2010</v>
      </c>
      <c r="F6441" s="3" t="s">
        <v>994</v>
      </c>
      <c r="G6441" s="6">
        <v>2556.14</v>
      </c>
      <c r="H6441" s="5">
        <v>13766</v>
      </c>
    </row>
    <row r="6442" spans="2:8" ht="17.5" customHeight="1" x14ac:dyDescent="0.4">
      <c r="B6442" s="3" t="s">
        <v>7</v>
      </c>
      <c r="C6442" s="3" t="s">
        <v>993</v>
      </c>
      <c r="D6442" s="4">
        <f>DATE(2010,3,23)</f>
        <v>40260</v>
      </c>
      <c r="E6442" s="5">
        <f t="shared" si="105"/>
        <v>2010</v>
      </c>
      <c r="F6442" s="3" t="s">
        <v>994</v>
      </c>
      <c r="G6442" s="6">
        <v>612</v>
      </c>
      <c r="H6442" s="5">
        <v>13790</v>
      </c>
    </row>
    <row r="6443" spans="2:8" ht="17.5" customHeight="1" x14ac:dyDescent="0.4">
      <c r="B6443" s="3" t="s">
        <v>7</v>
      </c>
      <c r="C6443" s="3" t="s">
        <v>993</v>
      </c>
      <c r="D6443" s="4">
        <f>DATE(2010,3,23)</f>
        <v>40260</v>
      </c>
      <c r="E6443" s="5">
        <f t="shared" si="105"/>
        <v>2010</v>
      </c>
      <c r="F6443" s="3" t="s">
        <v>994</v>
      </c>
      <c r="G6443" s="6">
        <v>3312</v>
      </c>
      <c r="H6443" s="5">
        <v>13784</v>
      </c>
    </row>
    <row r="6444" spans="2:8" ht="17.5" customHeight="1" x14ac:dyDescent="0.4">
      <c r="B6444" s="3" t="s">
        <v>7</v>
      </c>
      <c r="C6444" s="3" t="s">
        <v>993</v>
      </c>
      <c r="D6444" s="4">
        <f>DATE(2010,3,25)</f>
        <v>40262</v>
      </c>
      <c r="E6444" s="5">
        <f t="shared" si="105"/>
        <v>2010</v>
      </c>
      <c r="F6444" s="3" t="s">
        <v>994</v>
      </c>
      <c r="G6444" s="6">
        <v>2504.12</v>
      </c>
      <c r="H6444" s="5">
        <v>13817</v>
      </c>
    </row>
    <row r="6445" spans="2:8" ht="17.5" customHeight="1" x14ac:dyDescent="0.4">
      <c r="B6445" s="3" t="s">
        <v>7</v>
      </c>
      <c r="C6445" s="3" t="s">
        <v>993</v>
      </c>
      <c r="D6445" s="4">
        <f>DATE(2010,3,30)</f>
        <v>40267</v>
      </c>
      <c r="E6445" s="5">
        <f t="shared" si="105"/>
        <v>2010</v>
      </c>
      <c r="F6445" s="3" t="s">
        <v>994</v>
      </c>
      <c r="G6445" s="6">
        <v>5875</v>
      </c>
      <c r="H6445" s="5">
        <v>13831</v>
      </c>
    </row>
    <row r="6446" spans="2:8" ht="17.5" customHeight="1" x14ac:dyDescent="0.4">
      <c r="B6446" s="3" t="s">
        <v>7</v>
      </c>
      <c r="C6446" s="3" t="s">
        <v>993</v>
      </c>
      <c r="D6446" s="4">
        <f>DATE(2010,3,31)</f>
        <v>40268</v>
      </c>
      <c r="E6446" s="5">
        <f t="shared" si="105"/>
        <v>2010</v>
      </c>
      <c r="F6446" s="3" t="s">
        <v>994</v>
      </c>
      <c r="G6446" s="6">
        <v>11857</v>
      </c>
      <c r="H6446" s="5">
        <v>13660</v>
      </c>
    </row>
    <row r="6447" spans="2:8" ht="17.5" customHeight="1" x14ac:dyDescent="0.4">
      <c r="B6447" s="3" t="s">
        <v>7</v>
      </c>
      <c r="C6447" s="3" t="s">
        <v>993</v>
      </c>
      <c r="D6447" s="4">
        <f>DATE(2010,4,2)</f>
        <v>40270</v>
      </c>
      <c r="E6447" s="5">
        <f t="shared" si="105"/>
        <v>2010</v>
      </c>
      <c r="F6447" s="3" t="s">
        <v>994</v>
      </c>
      <c r="G6447" s="6">
        <v>11857</v>
      </c>
      <c r="H6447" s="5">
        <v>13859</v>
      </c>
    </row>
    <row r="6448" spans="2:8" ht="17.5" customHeight="1" x14ac:dyDescent="0.4">
      <c r="B6448" s="3" t="s">
        <v>7</v>
      </c>
      <c r="C6448" s="3" t="s">
        <v>993</v>
      </c>
      <c r="D6448" s="4">
        <f>DATE(2010,4,20)</f>
        <v>40288</v>
      </c>
      <c r="E6448" s="5">
        <f t="shared" si="105"/>
        <v>2010</v>
      </c>
      <c r="F6448" s="3" t="s">
        <v>994</v>
      </c>
      <c r="G6448" s="6">
        <v>1035.3</v>
      </c>
      <c r="H6448" s="5">
        <v>13955</v>
      </c>
    </row>
    <row r="6449" spans="2:8" ht="17.5" customHeight="1" x14ac:dyDescent="0.4">
      <c r="B6449" s="3" t="s">
        <v>7</v>
      </c>
      <c r="C6449" s="3" t="s">
        <v>993</v>
      </c>
      <c r="D6449" s="4">
        <f>DATE(2010,4,20)</f>
        <v>40288</v>
      </c>
      <c r="E6449" s="5">
        <f t="shared" si="105"/>
        <v>2010</v>
      </c>
      <c r="F6449" s="3" t="s">
        <v>994</v>
      </c>
      <c r="G6449" s="6">
        <v>42840</v>
      </c>
      <c r="H6449" s="5">
        <v>13938</v>
      </c>
    </row>
    <row r="6450" spans="2:8" ht="17.5" customHeight="1" x14ac:dyDescent="0.4">
      <c r="B6450" s="3" t="s">
        <v>7</v>
      </c>
      <c r="C6450" s="3" t="s">
        <v>993</v>
      </c>
      <c r="D6450" s="4">
        <f>DATE(2010,4,26)</f>
        <v>40294</v>
      </c>
      <c r="E6450" s="5">
        <f t="shared" si="105"/>
        <v>2010</v>
      </c>
      <c r="F6450" s="3" t="s">
        <v>994</v>
      </c>
      <c r="G6450" s="6">
        <v>14250</v>
      </c>
      <c r="H6450" s="5">
        <v>13973</v>
      </c>
    </row>
    <row r="6451" spans="2:8" ht="17.5" customHeight="1" x14ac:dyDescent="0.4">
      <c r="B6451" s="3" t="s">
        <v>7</v>
      </c>
      <c r="C6451" s="3" t="s">
        <v>993</v>
      </c>
      <c r="D6451" s="4">
        <f>DATE(2010,5,12)</f>
        <v>40310</v>
      </c>
      <c r="E6451" s="5">
        <f t="shared" si="105"/>
        <v>2010</v>
      </c>
      <c r="F6451" s="3" t="s">
        <v>994</v>
      </c>
      <c r="G6451" s="6">
        <v>3996.4</v>
      </c>
      <c r="H6451" s="5">
        <v>14058</v>
      </c>
    </row>
    <row r="6452" spans="2:8" ht="17.5" customHeight="1" x14ac:dyDescent="0.4">
      <c r="B6452" s="3" t="s">
        <v>7</v>
      </c>
      <c r="C6452" s="3" t="s">
        <v>993</v>
      </c>
      <c r="D6452" s="4">
        <f>DATE(2010,5,12)</f>
        <v>40310</v>
      </c>
      <c r="E6452" s="5">
        <f t="shared" si="105"/>
        <v>2010</v>
      </c>
      <c r="F6452" s="3" t="s">
        <v>994</v>
      </c>
      <c r="G6452" s="6">
        <v>6505.5</v>
      </c>
      <c r="H6452" s="5">
        <v>14044</v>
      </c>
    </row>
    <row r="6453" spans="2:8" ht="17.5" customHeight="1" x14ac:dyDescent="0.4">
      <c r="B6453" s="3" t="s">
        <v>7</v>
      </c>
      <c r="C6453" s="3" t="s">
        <v>993</v>
      </c>
      <c r="D6453" s="4">
        <f>DATE(2010,5,12)</f>
        <v>40310</v>
      </c>
      <c r="E6453" s="5">
        <f t="shared" si="105"/>
        <v>2010</v>
      </c>
      <c r="F6453" s="3" t="s">
        <v>994</v>
      </c>
      <c r="G6453" s="6">
        <v>397.8</v>
      </c>
      <c r="H6453" s="5">
        <v>14062</v>
      </c>
    </row>
    <row r="6454" spans="2:8" ht="17.5" customHeight="1" x14ac:dyDescent="0.4">
      <c r="B6454" s="3" t="s">
        <v>7</v>
      </c>
      <c r="C6454" s="3" t="s">
        <v>993</v>
      </c>
      <c r="D6454" s="4">
        <f>DATE(2010,5,13)</f>
        <v>40311</v>
      </c>
      <c r="E6454" s="5">
        <f t="shared" si="105"/>
        <v>2010</v>
      </c>
      <c r="F6454" s="3" t="s">
        <v>994</v>
      </c>
      <c r="G6454" s="6">
        <v>452.9</v>
      </c>
      <c r="H6454" s="5">
        <v>14063</v>
      </c>
    </row>
    <row r="6455" spans="2:8" ht="17.5" customHeight="1" x14ac:dyDescent="0.4">
      <c r="B6455" s="3" t="s">
        <v>7</v>
      </c>
      <c r="C6455" s="3" t="s">
        <v>993</v>
      </c>
      <c r="D6455" s="4">
        <f>DATE(2010,5,21)</f>
        <v>40319</v>
      </c>
      <c r="E6455" s="5">
        <f t="shared" si="105"/>
        <v>2010</v>
      </c>
      <c r="F6455" s="3" t="s">
        <v>994</v>
      </c>
      <c r="G6455" s="6">
        <v>7650</v>
      </c>
      <c r="H6455" s="5">
        <v>14096</v>
      </c>
    </row>
    <row r="6456" spans="2:8" ht="17.5" customHeight="1" x14ac:dyDescent="0.4">
      <c r="B6456" s="3" t="s">
        <v>7</v>
      </c>
      <c r="C6456" s="3" t="s">
        <v>993</v>
      </c>
      <c r="D6456" s="4">
        <f>DATE(2010,5,26)</f>
        <v>40324</v>
      </c>
      <c r="E6456" s="5">
        <f t="shared" si="105"/>
        <v>2010</v>
      </c>
      <c r="F6456" s="3" t="s">
        <v>994</v>
      </c>
      <c r="G6456" s="6">
        <v>2569.4</v>
      </c>
      <c r="H6456" s="5">
        <v>14106</v>
      </c>
    </row>
    <row r="6457" spans="2:8" ht="17.5" customHeight="1" x14ac:dyDescent="0.4">
      <c r="B6457" s="3" t="s">
        <v>7</v>
      </c>
      <c r="C6457" s="3" t="s">
        <v>993</v>
      </c>
      <c r="D6457" s="4">
        <f>DATE(2010,5,26)</f>
        <v>40324</v>
      </c>
      <c r="E6457" s="5">
        <f t="shared" si="105"/>
        <v>2010</v>
      </c>
      <c r="F6457" s="3" t="s">
        <v>994</v>
      </c>
      <c r="G6457" s="6">
        <v>7907.8</v>
      </c>
      <c r="H6457" s="5">
        <v>14117</v>
      </c>
    </row>
    <row r="6458" spans="2:8" ht="17.5" customHeight="1" x14ac:dyDescent="0.4">
      <c r="B6458" s="3" t="s">
        <v>7</v>
      </c>
      <c r="C6458" s="3" t="s">
        <v>993</v>
      </c>
      <c r="D6458" s="4">
        <f>DATE(2010,5,28)</f>
        <v>40326</v>
      </c>
      <c r="E6458" s="5">
        <f t="shared" si="105"/>
        <v>2010</v>
      </c>
      <c r="F6458" s="3" t="s">
        <v>994</v>
      </c>
      <c r="G6458" s="6">
        <v>367.2</v>
      </c>
      <c r="H6458" s="5">
        <v>14130</v>
      </c>
    </row>
    <row r="6459" spans="2:8" ht="17.5" customHeight="1" x14ac:dyDescent="0.4">
      <c r="B6459" s="3" t="s">
        <v>7</v>
      </c>
      <c r="C6459" s="3" t="s">
        <v>993</v>
      </c>
      <c r="D6459" s="4">
        <f>DATE(2010,6,22)</f>
        <v>40351</v>
      </c>
      <c r="E6459" s="5">
        <f t="shared" si="105"/>
        <v>2010</v>
      </c>
      <c r="F6459" s="3" t="s">
        <v>994</v>
      </c>
      <c r="G6459" s="6">
        <v>1909.74</v>
      </c>
      <c r="H6459" s="5">
        <v>14208</v>
      </c>
    </row>
    <row r="6460" spans="2:8" ht="17.5" customHeight="1" x14ac:dyDescent="0.4">
      <c r="B6460" s="3" t="s">
        <v>7</v>
      </c>
      <c r="C6460" s="3" t="s">
        <v>993</v>
      </c>
      <c r="D6460" s="4">
        <f>DATE(2010,6,22)</f>
        <v>40351</v>
      </c>
      <c r="E6460" s="5">
        <f t="shared" si="105"/>
        <v>2010</v>
      </c>
      <c r="F6460" s="3" t="s">
        <v>994</v>
      </c>
      <c r="G6460" s="6">
        <v>6657</v>
      </c>
      <c r="H6460" s="5">
        <v>14201</v>
      </c>
    </row>
    <row r="6461" spans="2:8" ht="17.5" customHeight="1" x14ac:dyDescent="0.4">
      <c r="B6461" s="3" t="s">
        <v>7</v>
      </c>
      <c r="C6461" s="3" t="s">
        <v>993</v>
      </c>
      <c r="D6461" s="4">
        <f>DATE(2010,6,28)</f>
        <v>40357</v>
      </c>
      <c r="E6461" s="5">
        <f t="shared" si="105"/>
        <v>2010</v>
      </c>
      <c r="F6461" s="3" t="s">
        <v>994</v>
      </c>
      <c r="G6461" s="6">
        <v>2019.86</v>
      </c>
      <c r="H6461" s="5">
        <v>14228</v>
      </c>
    </row>
    <row r="6462" spans="2:8" ht="17.5" customHeight="1" x14ac:dyDescent="0.4">
      <c r="B6462" s="3" t="s">
        <v>7</v>
      </c>
      <c r="C6462" s="3" t="s">
        <v>993</v>
      </c>
      <c r="D6462" s="4">
        <f>DATE(2010,6,29)</f>
        <v>40358</v>
      </c>
      <c r="E6462" s="5">
        <f t="shared" si="105"/>
        <v>2010</v>
      </c>
      <c r="F6462" s="3" t="s">
        <v>994</v>
      </c>
      <c r="G6462" s="6">
        <v>3060</v>
      </c>
      <c r="H6462" s="5">
        <v>14231</v>
      </c>
    </row>
    <row r="6463" spans="2:8" ht="17.5" customHeight="1" x14ac:dyDescent="0.4">
      <c r="B6463" s="3" t="s">
        <v>7</v>
      </c>
      <c r="C6463" s="3" t="s">
        <v>993</v>
      </c>
      <c r="D6463" s="4">
        <f>DATE(2010,7,1)</f>
        <v>40360</v>
      </c>
      <c r="E6463" s="5">
        <f t="shared" si="105"/>
        <v>2010</v>
      </c>
      <c r="F6463" s="3" t="s">
        <v>994</v>
      </c>
      <c r="G6463" s="6">
        <v>3883.36</v>
      </c>
      <c r="H6463" s="5">
        <v>14236</v>
      </c>
    </row>
    <row r="6464" spans="2:8" ht="17.5" customHeight="1" x14ac:dyDescent="0.4">
      <c r="B6464" s="3" t="s">
        <v>7</v>
      </c>
      <c r="C6464" s="3" t="s">
        <v>993</v>
      </c>
      <c r="D6464" s="4">
        <f>DATE(2010,7,1)</f>
        <v>40360</v>
      </c>
      <c r="E6464" s="5">
        <f t="shared" si="105"/>
        <v>2010</v>
      </c>
      <c r="F6464" s="3" t="s">
        <v>994</v>
      </c>
      <c r="G6464" s="6">
        <v>62.5</v>
      </c>
      <c r="H6464" s="5">
        <v>14242</v>
      </c>
    </row>
    <row r="6465" spans="2:8" ht="17.5" customHeight="1" x14ac:dyDescent="0.4">
      <c r="B6465" s="3" t="s">
        <v>7</v>
      </c>
      <c r="C6465" s="3" t="s">
        <v>993</v>
      </c>
      <c r="D6465" s="4">
        <f>DATE(2010,7,20)</f>
        <v>40379</v>
      </c>
      <c r="E6465" s="5">
        <f t="shared" si="105"/>
        <v>2010</v>
      </c>
      <c r="F6465" s="3" t="s">
        <v>994</v>
      </c>
      <c r="G6465" s="6">
        <v>12928.2</v>
      </c>
      <c r="H6465" s="5">
        <v>14297</v>
      </c>
    </row>
    <row r="6466" spans="2:8" ht="17.5" customHeight="1" x14ac:dyDescent="0.4">
      <c r="B6466" s="3" t="s">
        <v>7</v>
      </c>
      <c r="C6466" s="3" t="s">
        <v>993</v>
      </c>
      <c r="D6466" s="4">
        <f>DATE(2010,7,20)</f>
        <v>40379</v>
      </c>
      <c r="E6466" s="5">
        <f t="shared" si="105"/>
        <v>2010</v>
      </c>
      <c r="F6466" s="3" t="s">
        <v>994</v>
      </c>
      <c r="G6466" s="6">
        <v>8138.12</v>
      </c>
      <c r="H6466" s="5">
        <v>14303</v>
      </c>
    </row>
    <row r="6467" spans="2:8" ht="17.5" customHeight="1" x14ac:dyDescent="0.4">
      <c r="B6467" s="3" t="s">
        <v>7</v>
      </c>
      <c r="C6467" s="3" t="s">
        <v>993</v>
      </c>
      <c r="D6467" s="4">
        <f>DATE(2010,7,28)</f>
        <v>40387</v>
      </c>
      <c r="E6467" s="5">
        <f t="shared" ref="E6467:E6530" si="106">YEAR(D6467)</f>
        <v>2010</v>
      </c>
      <c r="F6467" s="3" t="s">
        <v>994</v>
      </c>
      <c r="G6467" s="6">
        <v>12171.18</v>
      </c>
      <c r="H6467" s="5">
        <v>14256</v>
      </c>
    </row>
    <row r="6468" spans="2:8" ht="17.5" customHeight="1" x14ac:dyDescent="0.4">
      <c r="B6468" s="3" t="s">
        <v>7</v>
      </c>
      <c r="C6468" s="3" t="s">
        <v>993</v>
      </c>
      <c r="D6468" s="4">
        <f>DATE(2010,7,29)</f>
        <v>40388</v>
      </c>
      <c r="E6468" s="5">
        <f t="shared" si="106"/>
        <v>2010</v>
      </c>
      <c r="F6468" s="3" t="s">
        <v>994</v>
      </c>
      <c r="G6468" s="6">
        <v>309.89999999999998</v>
      </c>
      <c r="H6468" s="5">
        <v>14332</v>
      </c>
    </row>
    <row r="6469" spans="2:8" ht="17.5" customHeight="1" x14ac:dyDescent="0.4">
      <c r="B6469" s="3" t="s">
        <v>7</v>
      </c>
      <c r="C6469" s="3" t="s">
        <v>993</v>
      </c>
      <c r="D6469" s="4">
        <f>DATE(2010,8,2)</f>
        <v>40392</v>
      </c>
      <c r="E6469" s="5">
        <f t="shared" si="106"/>
        <v>2010</v>
      </c>
      <c r="F6469" s="3" t="s">
        <v>994</v>
      </c>
      <c r="G6469" s="6">
        <v>28152</v>
      </c>
      <c r="H6469" s="5">
        <v>14345</v>
      </c>
    </row>
    <row r="6470" spans="2:8" ht="17.5" customHeight="1" x14ac:dyDescent="0.4">
      <c r="B6470" s="3" t="s">
        <v>7</v>
      </c>
      <c r="C6470" s="3" t="s">
        <v>993</v>
      </c>
      <c r="D6470" s="4">
        <f>DATE(2010,8,3)</f>
        <v>40393</v>
      </c>
      <c r="E6470" s="5">
        <f t="shared" si="106"/>
        <v>2010</v>
      </c>
      <c r="F6470" s="3" t="s">
        <v>994</v>
      </c>
      <c r="G6470" s="6">
        <v>3051.19</v>
      </c>
      <c r="H6470" s="5">
        <v>14325</v>
      </c>
    </row>
    <row r="6471" spans="2:8" ht="17.5" customHeight="1" x14ac:dyDescent="0.4">
      <c r="B6471" s="3" t="s">
        <v>7</v>
      </c>
      <c r="C6471" s="3" t="s">
        <v>993</v>
      </c>
      <c r="D6471" s="4">
        <f>DATE(2010,8,10)</f>
        <v>40400</v>
      </c>
      <c r="E6471" s="5">
        <f t="shared" si="106"/>
        <v>2010</v>
      </c>
      <c r="F6471" s="3" t="s">
        <v>994</v>
      </c>
      <c r="G6471" s="6">
        <v>6050</v>
      </c>
      <c r="H6471" s="5">
        <v>14363</v>
      </c>
    </row>
    <row r="6472" spans="2:8" ht="17.5" customHeight="1" x14ac:dyDescent="0.4">
      <c r="B6472" s="3" t="s">
        <v>7</v>
      </c>
      <c r="C6472" s="3" t="s">
        <v>993</v>
      </c>
      <c r="D6472" s="4">
        <f>DATE(2010,8,20)</f>
        <v>40410</v>
      </c>
      <c r="E6472" s="5">
        <f t="shared" si="106"/>
        <v>2010</v>
      </c>
      <c r="F6472" s="3" t="s">
        <v>994</v>
      </c>
      <c r="G6472" s="6">
        <v>4913.3999999999996</v>
      </c>
      <c r="H6472" s="5">
        <v>14413</v>
      </c>
    </row>
    <row r="6473" spans="2:8" ht="17.5" customHeight="1" x14ac:dyDescent="0.4">
      <c r="B6473" s="3" t="s">
        <v>7</v>
      </c>
      <c r="C6473" s="3" t="s">
        <v>993</v>
      </c>
      <c r="D6473" s="4">
        <f>DATE(2010,8,25)</f>
        <v>40415</v>
      </c>
      <c r="E6473" s="5">
        <f t="shared" si="106"/>
        <v>2010</v>
      </c>
      <c r="F6473" s="3" t="s">
        <v>994</v>
      </c>
      <c r="G6473" s="6">
        <v>7081</v>
      </c>
      <c r="H6473" s="5">
        <v>14343</v>
      </c>
    </row>
    <row r="6474" spans="2:8" ht="17.5" customHeight="1" x14ac:dyDescent="0.4">
      <c r="B6474" s="3" t="s">
        <v>7</v>
      </c>
      <c r="C6474" s="3" t="s">
        <v>993</v>
      </c>
      <c r="D6474" s="4">
        <f>DATE(2010,8,30)</f>
        <v>40420</v>
      </c>
      <c r="E6474" s="5">
        <f t="shared" si="106"/>
        <v>2010</v>
      </c>
      <c r="F6474" s="3" t="s">
        <v>994</v>
      </c>
      <c r="G6474" s="6">
        <v>716</v>
      </c>
      <c r="H6474" s="5">
        <v>14457</v>
      </c>
    </row>
    <row r="6475" spans="2:8" ht="17.5" customHeight="1" x14ac:dyDescent="0.4">
      <c r="B6475" s="3" t="s">
        <v>7</v>
      </c>
      <c r="C6475" s="3" t="s">
        <v>993</v>
      </c>
      <c r="D6475" s="4">
        <f>DATE(2010,9,21)</f>
        <v>40442</v>
      </c>
      <c r="E6475" s="5">
        <f t="shared" si="106"/>
        <v>2010</v>
      </c>
      <c r="F6475" s="3" t="s">
        <v>994</v>
      </c>
      <c r="G6475" s="6">
        <v>166.2</v>
      </c>
      <c r="H6475" s="5">
        <v>14544</v>
      </c>
    </row>
    <row r="6476" spans="2:8" ht="17.5" customHeight="1" x14ac:dyDescent="0.4">
      <c r="B6476" s="3" t="s">
        <v>7</v>
      </c>
      <c r="C6476" s="3" t="s">
        <v>993</v>
      </c>
      <c r="D6476" s="4">
        <f>DATE(2010,9,21)</f>
        <v>40442</v>
      </c>
      <c r="E6476" s="5">
        <f t="shared" si="106"/>
        <v>2010</v>
      </c>
      <c r="F6476" s="3" t="s">
        <v>994</v>
      </c>
      <c r="G6476" s="6">
        <v>5686.6</v>
      </c>
      <c r="H6476" s="5">
        <v>14535</v>
      </c>
    </row>
    <row r="6477" spans="2:8" ht="17.5" customHeight="1" x14ac:dyDescent="0.4">
      <c r="B6477" s="3" t="s">
        <v>7</v>
      </c>
      <c r="C6477" s="3" t="s">
        <v>993</v>
      </c>
      <c r="D6477" s="4">
        <f>DATE(2010,9,29)</f>
        <v>40450</v>
      </c>
      <c r="E6477" s="5">
        <f t="shared" si="106"/>
        <v>2010</v>
      </c>
      <c r="F6477" s="3" t="s">
        <v>994</v>
      </c>
      <c r="G6477" s="6">
        <v>6676.5</v>
      </c>
      <c r="H6477" s="5">
        <v>14566</v>
      </c>
    </row>
    <row r="6478" spans="2:8" ht="17.5" customHeight="1" x14ac:dyDescent="0.4">
      <c r="B6478" s="3" t="s">
        <v>7</v>
      </c>
      <c r="C6478" s="3" t="s">
        <v>993</v>
      </c>
      <c r="D6478" s="4">
        <f>DATE(2010,10,15)</f>
        <v>40466</v>
      </c>
      <c r="E6478" s="5">
        <f t="shared" si="106"/>
        <v>2010</v>
      </c>
      <c r="F6478" s="3" t="s">
        <v>994</v>
      </c>
      <c r="G6478" s="6">
        <v>5110.2</v>
      </c>
      <c r="H6478" s="5">
        <v>14640</v>
      </c>
    </row>
    <row r="6479" spans="2:8" ht="17.5" customHeight="1" x14ac:dyDescent="0.4">
      <c r="B6479" s="3" t="s">
        <v>7</v>
      </c>
      <c r="C6479" s="3" t="s">
        <v>993</v>
      </c>
      <c r="D6479" s="4">
        <f>DATE(2010,10,22)</f>
        <v>40473</v>
      </c>
      <c r="E6479" s="5">
        <f t="shared" si="106"/>
        <v>2010</v>
      </c>
      <c r="F6479" s="3" t="s">
        <v>994</v>
      </c>
      <c r="G6479" s="6">
        <v>968.4</v>
      </c>
      <c r="H6479" s="5">
        <v>14660</v>
      </c>
    </row>
    <row r="6480" spans="2:8" ht="17.5" customHeight="1" x14ac:dyDescent="0.4">
      <c r="B6480" s="3" t="s">
        <v>7</v>
      </c>
      <c r="C6480" s="3" t="s">
        <v>993</v>
      </c>
      <c r="D6480" s="4">
        <f>DATE(2010,10,27)</f>
        <v>40478</v>
      </c>
      <c r="E6480" s="5">
        <f t="shared" si="106"/>
        <v>2010</v>
      </c>
      <c r="F6480" s="3" t="s">
        <v>994</v>
      </c>
      <c r="G6480" s="6">
        <v>666</v>
      </c>
      <c r="H6480" s="5">
        <v>14695</v>
      </c>
    </row>
    <row r="6481" spans="2:8" ht="17.5" customHeight="1" x14ac:dyDescent="0.4">
      <c r="B6481" s="3" t="s">
        <v>7</v>
      </c>
      <c r="C6481" s="3" t="s">
        <v>993</v>
      </c>
      <c r="D6481" s="4">
        <f>DATE(2010,11,2)</f>
        <v>40484</v>
      </c>
      <c r="E6481" s="5">
        <f t="shared" si="106"/>
        <v>2010</v>
      </c>
      <c r="F6481" s="3" t="s">
        <v>994</v>
      </c>
      <c r="G6481" s="6">
        <v>884.62</v>
      </c>
      <c r="H6481" s="5">
        <v>14692</v>
      </c>
    </row>
    <row r="6482" spans="2:8" ht="17.5" customHeight="1" x14ac:dyDescent="0.4">
      <c r="B6482" s="3" t="s">
        <v>7</v>
      </c>
      <c r="C6482" s="3" t="s">
        <v>993</v>
      </c>
      <c r="D6482" s="4">
        <f>DATE(2010,11,4)</f>
        <v>40486</v>
      </c>
      <c r="E6482" s="5">
        <f t="shared" si="106"/>
        <v>2010</v>
      </c>
      <c r="F6482" s="3" t="s">
        <v>994</v>
      </c>
      <c r="G6482" s="6">
        <v>1530</v>
      </c>
      <c r="H6482" s="5">
        <v>14728</v>
      </c>
    </row>
    <row r="6483" spans="2:8" ht="17.5" customHeight="1" x14ac:dyDescent="0.4">
      <c r="B6483" s="3" t="s">
        <v>7</v>
      </c>
      <c r="C6483" s="3" t="s">
        <v>993</v>
      </c>
      <c r="D6483" s="4">
        <f>DATE(2010,11,9)</f>
        <v>40491</v>
      </c>
      <c r="E6483" s="5">
        <f t="shared" si="106"/>
        <v>2010</v>
      </c>
      <c r="F6483" s="3" t="s">
        <v>994</v>
      </c>
      <c r="G6483" s="6">
        <v>837.15</v>
      </c>
      <c r="H6483" s="5">
        <v>14731</v>
      </c>
    </row>
    <row r="6484" spans="2:8" ht="17.5" customHeight="1" x14ac:dyDescent="0.4">
      <c r="B6484" s="3" t="s">
        <v>7</v>
      </c>
      <c r="C6484" s="3" t="s">
        <v>993</v>
      </c>
      <c r="D6484" s="4">
        <f>DATE(2010,11,22)</f>
        <v>40504</v>
      </c>
      <c r="E6484" s="5">
        <f t="shared" si="106"/>
        <v>2010</v>
      </c>
      <c r="F6484" s="3" t="s">
        <v>994</v>
      </c>
      <c r="G6484" s="6">
        <v>798</v>
      </c>
      <c r="H6484" s="5">
        <v>14766</v>
      </c>
    </row>
    <row r="6485" spans="2:8" ht="17.5" customHeight="1" x14ac:dyDescent="0.4">
      <c r="B6485" s="3" t="s">
        <v>7</v>
      </c>
      <c r="C6485" s="3" t="s">
        <v>993</v>
      </c>
      <c r="D6485" s="4">
        <f>DATE(2010,11,24)</f>
        <v>40506</v>
      </c>
      <c r="E6485" s="5">
        <f t="shared" si="106"/>
        <v>2010</v>
      </c>
      <c r="F6485" s="3" t="s">
        <v>994</v>
      </c>
      <c r="G6485" s="6">
        <v>12088.98</v>
      </c>
      <c r="H6485" s="5">
        <v>14688</v>
      </c>
    </row>
    <row r="6486" spans="2:8" ht="17.5" customHeight="1" x14ac:dyDescent="0.4">
      <c r="B6486" s="3" t="s">
        <v>7</v>
      </c>
      <c r="C6486" s="3" t="s">
        <v>993</v>
      </c>
      <c r="D6486" s="4">
        <f>DATE(2010,11,24)</f>
        <v>40506</v>
      </c>
      <c r="E6486" s="5">
        <f t="shared" si="106"/>
        <v>2010</v>
      </c>
      <c r="F6486" s="3" t="s">
        <v>994</v>
      </c>
      <c r="G6486" s="6">
        <v>12088.98</v>
      </c>
      <c r="H6486" s="5">
        <v>14687</v>
      </c>
    </row>
    <row r="6487" spans="2:8" ht="17.5" customHeight="1" x14ac:dyDescent="0.4">
      <c r="B6487" s="3" t="s">
        <v>7</v>
      </c>
      <c r="C6487" s="3" t="s">
        <v>993</v>
      </c>
      <c r="D6487" s="4">
        <f>DATE(2010,11,24)</f>
        <v>40506</v>
      </c>
      <c r="E6487" s="5">
        <f t="shared" si="106"/>
        <v>2010</v>
      </c>
      <c r="F6487" s="3" t="s">
        <v>994</v>
      </c>
      <c r="G6487" s="6">
        <v>3800</v>
      </c>
      <c r="H6487" s="5">
        <v>14764</v>
      </c>
    </row>
    <row r="6488" spans="2:8" ht="17.5" customHeight="1" x14ac:dyDescent="0.4">
      <c r="B6488" s="3" t="s">
        <v>7</v>
      </c>
      <c r="C6488" s="3" t="s">
        <v>993</v>
      </c>
      <c r="D6488" s="4">
        <f>DATE(2010,11,30)</f>
        <v>40512</v>
      </c>
      <c r="E6488" s="5">
        <f t="shared" si="106"/>
        <v>2010</v>
      </c>
      <c r="F6488" s="3" t="s">
        <v>994</v>
      </c>
      <c r="G6488" s="6">
        <v>300.08</v>
      </c>
      <c r="H6488" s="5">
        <v>14785</v>
      </c>
    </row>
    <row r="6489" spans="2:8" ht="17.5" customHeight="1" x14ac:dyDescent="0.4">
      <c r="B6489" s="3" t="s">
        <v>7</v>
      </c>
      <c r="C6489" s="3" t="s">
        <v>993</v>
      </c>
      <c r="D6489" s="4">
        <f>DATE(2010,12,3)</f>
        <v>40515</v>
      </c>
      <c r="E6489" s="5">
        <f t="shared" si="106"/>
        <v>2010</v>
      </c>
      <c r="F6489" s="3" t="s">
        <v>994</v>
      </c>
      <c r="G6489" s="6">
        <v>3801.2</v>
      </c>
      <c r="H6489" s="5">
        <v>14790</v>
      </c>
    </row>
    <row r="6490" spans="2:8" ht="17.5" customHeight="1" x14ac:dyDescent="0.4">
      <c r="B6490" s="3" t="s">
        <v>7</v>
      </c>
      <c r="C6490" s="3" t="s">
        <v>993</v>
      </c>
      <c r="D6490" s="4">
        <f>DATE(2010,12,17)</f>
        <v>40529</v>
      </c>
      <c r="E6490" s="5">
        <f t="shared" si="106"/>
        <v>2010</v>
      </c>
      <c r="F6490" s="3" t="s">
        <v>994</v>
      </c>
      <c r="G6490" s="6">
        <v>1232.8</v>
      </c>
      <c r="H6490" s="5">
        <v>14840</v>
      </c>
    </row>
    <row r="6491" spans="2:8" ht="17.5" customHeight="1" x14ac:dyDescent="0.4">
      <c r="B6491" s="3" t="s">
        <v>7</v>
      </c>
      <c r="C6491" s="3" t="s">
        <v>993</v>
      </c>
      <c r="D6491" s="4">
        <f>DATE(2011,1,13)</f>
        <v>40556</v>
      </c>
      <c r="E6491" s="5">
        <f t="shared" si="106"/>
        <v>2011</v>
      </c>
      <c r="F6491" s="3" t="s">
        <v>994</v>
      </c>
      <c r="G6491" s="6">
        <v>2208.5</v>
      </c>
      <c r="H6491" s="5">
        <v>14867</v>
      </c>
    </row>
    <row r="6492" spans="2:8" ht="17.5" customHeight="1" x14ac:dyDescent="0.4">
      <c r="B6492" s="3" t="s">
        <v>7</v>
      </c>
      <c r="C6492" s="3" t="s">
        <v>993</v>
      </c>
      <c r="D6492" s="4">
        <f>DATE(2011,1,18)</f>
        <v>40561</v>
      </c>
      <c r="E6492" s="5">
        <f t="shared" si="106"/>
        <v>2011</v>
      </c>
      <c r="F6492" s="3" t="s">
        <v>994</v>
      </c>
      <c r="G6492" s="6">
        <v>642.6</v>
      </c>
      <c r="H6492" s="5">
        <v>14937</v>
      </c>
    </row>
    <row r="6493" spans="2:8" ht="17.5" customHeight="1" x14ac:dyDescent="0.4">
      <c r="B6493" s="3" t="s">
        <v>7</v>
      </c>
      <c r="C6493" s="3" t="s">
        <v>993</v>
      </c>
      <c r="D6493" s="4">
        <f>DATE(2011,2,7)</f>
        <v>40581</v>
      </c>
      <c r="E6493" s="5">
        <f t="shared" si="106"/>
        <v>2011</v>
      </c>
      <c r="F6493" s="3" t="s">
        <v>994</v>
      </c>
      <c r="G6493" s="6">
        <v>1489</v>
      </c>
      <c r="H6493" s="5">
        <v>15012</v>
      </c>
    </row>
    <row r="6494" spans="2:8" ht="17.5" customHeight="1" x14ac:dyDescent="0.4">
      <c r="B6494" s="3" t="s">
        <v>7</v>
      </c>
      <c r="C6494" s="3" t="s">
        <v>993</v>
      </c>
      <c r="D6494" s="4">
        <f>DATE(2011,2,7)</f>
        <v>40581</v>
      </c>
      <c r="E6494" s="5">
        <f t="shared" si="106"/>
        <v>2011</v>
      </c>
      <c r="F6494" s="3" t="s">
        <v>994</v>
      </c>
      <c r="G6494" s="6">
        <v>3825</v>
      </c>
      <c r="H6494" s="5">
        <v>15019</v>
      </c>
    </row>
    <row r="6495" spans="2:8" ht="17.5" customHeight="1" x14ac:dyDescent="0.4">
      <c r="B6495" s="3" t="s">
        <v>7</v>
      </c>
      <c r="C6495" s="3" t="s">
        <v>993</v>
      </c>
      <c r="D6495" s="4">
        <f>DATE(2011,2,17)</f>
        <v>40591</v>
      </c>
      <c r="E6495" s="5">
        <f t="shared" si="106"/>
        <v>2011</v>
      </c>
      <c r="F6495" s="3" t="s">
        <v>994</v>
      </c>
      <c r="G6495" s="6">
        <v>306</v>
      </c>
      <c r="H6495" s="5">
        <v>15101</v>
      </c>
    </row>
    <row r="6496" spans="2:8" ht="17.5" customHeight="1" x14ac:dyDescent="0.4">
      <c r="B6496" s="3" t="s">
        <v>7</v>
      </c>
      <c r="C6496" s="3" t="s">
        <v>993</v>
      </c>
      <c r="D6496" s="4">
        <f>DATE(2011,2,18)</f>
        <v>40592</v>
      </c>
      <c r="E6496" s="5">
        <f t="shared" si="106"/>
        <v>2011</v>
      </c>
      <c r="F6496" s="3" t="s">
        <v>994</v>
      </c>
      <c r="G6496" s="6">
        <v>1071</v>
      </c>
      <c r="H6496" s="5">
        <v>15110</v>
      </c>
    </row>
    <row r="6497" spans="2:8" ht="17.5" customHeight="1" x14ac:dyDescent="0.4">
      <c r="B6497" s="3" t="s">
        <v>7</v>
      </c>
      <c r="C6497" s="3" t="s">
        <v>993</v>
      </c>
      <c r="D6497" s="4">
        <f>DATE(2011,2,24)</f>
        <v>40598</v>
      </c>
      <c r="E6497" s="5">
        <f t="shared" si="106"/>
        <v>2011</v>
      </c>
      <c r="F6497" s="3" t="s">
        <v>994</v>
      </c>
      <c r="G6497" s="6">
        <v>2492.4</v>
      </c>
      <c r="H6497" s="5">
        <v>15152</v>
      </c>
    </row>
    <row r="6498" spans="2:8" ht="17.5" customHeight="1" x14ac:dyDescent="0.4">
      <c r="B6498" s="3" t="s">
        <v>7</v>
      </c>
      <c r="C6498" s="3" t="s">
        <v>993</v>
      </c>
      <c r="D6498" s="4">
        <f>DATE(2011,2,28)</f>
        <v>40602</v>
      </c>
      <c r="E6498" s="5">
        <f t="shared" si="106"/>
        <v>2011</v>
      </c>
      <c r="F6498" s="3" t="s">
        <v>994</v>
      </c>
      <c r="G6498" s="6">
        <v>795</v>
      </c>
      <c r="H6498" s="5">
        <v>15168</v>
      </c>
    </row>
    <row r="6499" spans="2:8" ht="17.5" customHeight="1" x14ac:dyDescent="0.4">
      <c r="B6499" s="3" t="s">
        <v>7</v>
      </c>
      <c r="C6499" s="3" t="s">
        <v>993</v>
      </c>
      <c r="D6499" s="4">
        <f>DATE(2011,3,7)</f>
        <v>40609</v>
      </c>
      <c r="E6499" s="5">
        <f t="shared" si="106"/>
        <v>2011</v>
      </c>
      <c r="F6499" s="3" t="s">
        <v>994</v>
      </c>
      <c r="G6499" s="6">
        <v>15787</v>
      </c>
      <c r="H6499" s="5">
        <v>15187</v>
      </c>
    </row>
    <row r="6500" spans="2:8" ht="17.5" customHeight="1" x14ac:dyDescent="0.4">
      <c r="B6500" s="3" t="s">
        <v>7</v>
      </c>
      <c r="C6500" s="3" t="s">
        <v>993</v>
      </c>
      <c r="D6500" s="4">
        <f>DATE(2011,3,7)</f>
        <v>40609</v>
      </c>
      <c r="E6500" s="5">
        <f t="shared" si="106"/>
        <v>2011</v>
      </c>
      <c r="F6500" s="3" t="s">
        <v>994</v>
      </c>
      <c r="G6500" s="6">
        <v>1691.9</v>
      </c>
      <c r="H6500" s="5">
        <v>15208</v>
      </c>
    </row>
    <row r="6501" spans="2:8" ht="17.5" customHeight="1" x14ac:dyDescent="0.4">
      <c r="B6501" s="3" t="s">
        <v>7</v>
      </c>
      <c r="C6501" s="3" t="s">
        <v>993</v>
      </c>
      <c r="D6501" s="4">
        <f>DATE(2011,3,11)</f>
        <v>40613</v>
      </c>
      <c r="E6501" s="5">
        <f t="shared" si="106"/>
        <v>2011</v>
      </c>
      <c r="F6501" s="3" t="s">
        <v>994</v>
      </c>
      <c r="G6501" s="6">
        <v>24711.4</v>
      </c>
      <c r="H6501" s="5">
        <v>15013</v>
      </c>
    </row>
    <row r="6502" spans="2:8" ht="17.5" customHeight="1" x14ac:dyDescent="0.4">
      <c r="B6502" s="3" t="s">
        <v>7</v>
      </c>
      <c r="C6502" s="3" t="s">
        <v>993</v>
      </c>
      <c r="D6502" s="4">
        <f>DATE(2011,3,16)</f>
        <v>40618</v>
      </c>
      <c r="E6502" s="5">
        <f t="shared" si="106"/>
        <v>2011</v>
      </c>
      <c r="F6502" s="3" t="s">
        <v>994</v>
      </c>
      <c r="G6502" s="6">
        <v>133.5</v>
      </c>
      <c r="H6502" s="5">
        <v>15279</v>
      </c>
    </row>
    <row r="6503" spans="2:8" ht="17.5" customHeight="1" x14ac:dyDescent="0.4">
      <c r="B6503" s="3" t="s">
        <v>7</v>
      </c>
      <c r="C6503" s="3" t="s">
        <v>993</v>
      </c>
      <c r="D6503" s="4">
        <f>DATE(2011,3,21)</f>
        <v>40623</v>
      </c>
      <c r="E6503" s="5">
        <f t="shared" si="106"/>
        <v>2011</v>
      </c>
      <c r="F6503" s="3" t="s">
        <v>994</v>
      </c>
      <c r="G6503" s="6">
        <v>890</v>
      </c>
      <c r="H6503" s="5">
        <v>15299</v>
      </c>
    </row>
    <row r="6504" spans="2:8" ht="17.5" customHeight="1" x14ac:dyDescent="0.4">
      <c r="B6504" s="3" t="s">
        <v>7</v>
      </c>
      <c r="C6504" s="3" t="s">
        <v>993</v>
      </c>
      <c r="D6504" s="4">
        <f>DATE(2011,3,25)</f>
        <v>40627</v>
      </c>
      <c r="E6504" s="5">
        <f t="shared" si="106"/>
        <v>2011</v>
      </c>
      <c r="F6504" s="3" t="s">
        <v>994</v>
      </c>
      <c r="G6504" s="6">
        <v>12302</v>
      </c>
      <c r="H6504" s="5">
        <v>15304</v>
      </c>
    </row>
    <row r="6505" spans="2:8" ht="17.5" customHeight="1" x14ac:dyDescent="0.4">
      <c r="B6505" s="3" t="s">
        <v>7</v>
      </c>
      <c r="C6505" s="3" t="s">
        <v>993</v>
      </c>
      <c r="D6505" s="4">
        <f>DATE(2011,3,28)</f>
        <v>40630</v>
      </c>
      <c r="E6505" s="5">
        <f t="shared" si="106"/>
        <v>2011</v>
      </c>
      <c r="F6505" s="3" t="s">
        <v>994</v>
      </c>
      <c r="G6505" s="6">
        <v>4235</v>
      </c>
      <c r="H6505" s="5">
        <v>15296</v>
      </c>
    </row>
    <row r="6506" spans="2:8" ht="17.5" customHeight="1" x14ac:dyDescent="0.4">
      <c r="B6506" s="3" t="s">
        <v>7</v>
      </c>
      <c r="C6506" s="3" t="s">
        <v>993</v>
      </c>
      <c r="D6506" s="4">
        <f>DATE(2011,4,1)</f>
        <v>40634</v>
      </c>
      <c r="E6506" s="5">
        <f t="shared" si="106"/>
        <v>2011</v>
      </c>
      <c r="F6506" s="3" t="s">
        <v>994</v>
      </c>
      <c r="G6506" s="6">
        <v>1234</v>
      </c>
      <c r="H6506" s="5">
        <v>15342</v>
      </c>
    </row>
    <row r="6507" spans="2:8" ht="17.5" customHeight="1" x14ac:dyDescent="0.4">
      <c r="B6507" s="3" t="s">
        <v>7</v>
      </c>
      <c r="C6507" s="3" t="s">
        <v>993</v>
      </c>
      <c r="D6507" s="4">
        <f>DATE(2011,4,8)</f>
        <v>40641</v>
      </c>
      <c r="E6507" s="5">
        <f t="shared" si="106"/>
        <v>2011</v>
      </c>
      <c r="F6507" s="3" t="s">
        <v>994</v>
      </c>
      <c r="G6507" s="6">
        <v>947.45</v>
      </c>
      <c r="H6507" s="5">
        <v>15400</v>
      </c>
    </row>
    <row r="6508" spans="2:8" ht="17.5" customHeight="1" x14ac:dyDescent="0.4">
      <c r="B6508" s="3" t="s">
        <v>7</v>
      </c>
      <c r="C6508" s="3" t="s">
        <v>993</v>
      </c>
      <c r="D6508" s="4">
        <f>DATE(2011,4,13)</f>
        <v>40646</v>
      </c>
      <c r="E6508" s="5">
        <f t="shared" si="106"/>
        <v>2011</v>
      </c>
      <c r="F6508" s="3" t="s">
        <v>994</v>
      </c>
      <c r="G6508" s="6">
        <v>10863</v>
      </c>
      <c r="H6508" s="5">
        <v>15402</v>
      </c>
    </row>
    <row r="6509" spans="2:8" ht="17.5" customHeight="1" x14ac:dyDescent="0.4">
      <c r="B6509" s="3" t="s">
        <v>7</v>
      </c>
      <c r="C6509" s="3" t="s">
        <v>993</v>
      </c>
      <c r="D6509" s="4">
        <f>DATE(2011,4,13)</f>
        <v>40646</v>
      </c>
      <c r="E6509" s="5">
        <f t="shared" si="106"/>
        <v>2011</v>
      </c>
      <c r="F6509" s="3" t="s">
        <v>994</v>
      </c>
      <c r="G6509" s="6">
        <v>127.4</v>
      </c>
      <c r="H6509" s="5">
        <v>15422</v>
      </c>
    </row>
    <row r="6510" spans="2:8" ht="17.5" customHeight="1" x14ac:dyDescent="0.4">
      <c r="B6510" s="3" t="s">
        <v>7</v>
      </c>
      <c r="C6510" s="3" t="s">
        <v>993</v>
      </c>
      <c r="D6510" s="4">
        <f>DATE(2011,4,14)</f>
        <v>40647</v>
      </c>
      <c r="E6510" s="5">
        <f t="shared" si="106"/>
        <v>2011</v>
      </c>
      <c r="F6510" s="3" t="s">
        <v>994</v>
      </c>
      <c r="G6510" s="6">
        <v>1009.6</v>
      </c>
      <c r="H6510" s="5">
        <v>15445</v>
      </c>
    </row>
    <row r="6511" spans="2:8" ht="17.5" customHeight="1" x14ac:dyDescent="0.4">
      <c r="B6511" s="3" t="s">
        <v>7</v>
      </c>
      <c r="C6511" s="3" t="s">
        <v>993</v>
      </c>
      <c r="D6511" s="4">
        <f>DATE(2011,4,19)</f>
        <v>40652</v>
      </c>
      <c r="E6511" s="5">
        <f t="shared" si="106"/>
        <v>2011</v>
      </c>
      <c r="F6511" s="3" t="s">
        <v>994</v>
      </c>
      <c r="G6511" s="6">
        <v>6120</v>
      </c>
      <c r="H6511" s="5">
        <v>15451</v>
      </c>
    </row>
    <row r="6512" spans="2:8" ht="17.5" customHeight="1" x14ac:dyDescent="0.4">
      <c r="B6512" s="3" t="s">
        <v>7</v>
      </c>
      <c r="C6512" s="3" t="s">
        <v>993</v>
      </c>
      <c r="D6512" s="4">
        <f>DATE(2011,4,26)</f>
        <v>40659</v>
      </c>
      <c r="E6512" s="5">
        <f t="shared" si="106"/>
        <v>2011</v>
      </c>
      <c r="F6512" s="3" t="s">
        <v>994</v>
      </c>
      <c r="G6512" s="6">
        <v>390</v>
      </c>
      <c r="H6512" s="5">
        <v>15472</v>
      </c>
    </row>
    <row r="6513" spans="2:8" ht="17.5" customHeight="1" x14ac:dyDescent="0.4">
      <c r="B6513" s="3" t="s">
        <v>7</v>
      </c>
      <c r="C6513" s="3" t="s">
        <v>993</v>
      </c>
      <c r="D6513" s="4">
        <f>DATE(2011,4,26)</f>
        <v>40659</v>
      </c>
      <c r="E6513" s="5">
        <f t="shared" si="106"/>
        <v>2011</v>
      </c>
      <c r="F6513" s="3" t="s">
        <v>994</v>
      </c>
      <c r="G6513" s="6">
        <v>9325.4</v>
      </c>
      <c r="H6513" s="5">
        <v>15459</v>
      </c>
    </row>
    <row r="6514" spans="2:8" ht="17.5" customHeight="1" x14ac:dyDescent="0.4">
      <c r="B6514" s="3" t="s">
        <v>7</v>
      </c>
      <c r="C6514" s="3" t="s">
        <v>993</v>
      </c>
      <c r="D6514" s="4">
        <f>DATE(2011,4,29)</f>
        <v>40662</v>
      </c>
      <c r="E6514" s="5">
        <f t="shared" si="106"/>
        <v>2011</v>
      </c>
      <c r="F6514" s="3" t="s">
        <v>994</v>
      </c>
      <c r="G6514" s="6">
        <v>605</v>
      </c>
      <c r="H6514" s="5">
        <v>15521</v>
      </c>
    </row>
    <row r="6515" spans="2:8" ht="17.5" customHeight="1" x14ac:dyDescent="0.4">
      <c r="B6515" s="3" t="s">
        <v>7</v>
      </c>
      <c r="C6515" s="3" t="s">
        <v>993</v>
      </c>
      <c r="D6515" s="4">
        <f>DATE(2011,4,29)</f>
        <v>40662</v>
      </c>
      <c r="E6515" s="5">
        <f t="shared" si="106"/>
        <v>2011</v>
      </c>
      <c r="F6515" s="3" t="s">
        <v>994</v>
      </c>
      <c r="G6515" s="6">
        <v>264.88</v>
      </c>
      <c r="H6515" s="5">
        <v>15527</v>
      </c>
    </row>
    <row r="6516" spans="2:8" ht="17.5" customHeight="1" x14ac:dyDescent="0.4">
      <c r="B6516" s="3" t="s">
        <v>7</v>
      </c>
      <c r="C6516" s="3" t="s">
        <v>993</v>
      </c>
      <c r="D6516" s="4">
        <f>DATE(2011,5,9)</f>
        <v>40672</v>
      </c>
      <c r="E6516" s="5">
        <f t="shared" si="106"/>
        <v>2011</v>
      </c>
      <c r="F6516" s="3" t="s">
        <v>994</v>
      </c>
      <c r="G6516" s="6">
        <v>4619.8</v>
      </c>
      <c r="H6516" s="5">
        <v>15525</v>
      </c>
    </row>
    <row r="6517" spans="2:8" ht="17.5" customHeight="1" x14ac:dyDescent="0.4">
      <c r="B6517" s="3" t="s">
        <v>7</v>
      </c>
      <c r="C6517" s="3" t="s">
        <v>993</v>
      </c>
      <c r="D6517" s="4">
        <f>DATE(2011,5,10)</f>
        <v>40673</v>
      </c>
      <c r="E6517" s="5">
        <f t="shared" si="106"/>
        <v>2011</v>
      </c>
      <c r="F6517" s="3" t="s">
        <v>994</v>
      </c>
      <c r="G6517" s="6">
        <v>4652</v>
      </c>
      <c r="H6517" s="5">
        <v>15522</v>
      </c>
    </row>
    <row r="6518" spans="2:8" ht="17.5" customHeight="1" x14ac:dyDescent="0.4">
      <c r="B6518" s="3" t="s">
        <v>7</v>
      </c>
      <c r="C6518" s="3" t="s">
        <v>993</v>
      </c>
      <c r="D6518" s="4">
        <f>DATE(2011,5,17)</f>
        <v>40680</v>
      </c>
      <c r="E6518" s="5">
        <f t="shared" si="106"/>
        <v>2011</v>
      </c>
      <c r="F6518" s="3" t="s">
        <v>994</v>
      </c>
      <c r="G6518" s="6">
        <v>1782</v>
      </c>
      <c r="H6518" s="5">
        <v>15601</v>
      </c>
    </row>
    <row r="6519" spans="2:8" ht="17.5" customHeight="1" x14ac:dyDescent="0.4">
      <c r="B6519" s="3" t="s">
        <v>7</v>
      </c>
      <c r="C6519" s="3" t="s">
        <v>993</v>
      </c>
      <c r="D6519" s="4">
        <f>DATE(2011,5,19)</f>
        <v>40682</v>
      </c>
      <c r="E6519" s="5">
        <f t="shared" si="106"/>
        <v>2011</v>
      </c>
      <c r="F6519" s="3" t="s">
        <v>994</v>
      </c>
      <c r="G6519" s="6">
        <v>129.19999999999999</v>
      </c>
      <c r="H6519" s="5">
        <v>15590</v>
      </c>
    </row>
    <row r="6520" spans="2:8" ht="17.5" customHeight="1" x14ac:dyDescent="0.4">
      <c r="B6520" s="3" t="s">
        <v>7</v>
      </c>
      <c r="C6520" s="3" t="s">
        <v>993</v>
      </c>
      <c r="D6520" s="4">
        <f>DATE(2011,5,19)</f>
        <v>40682</v>
      </c>
      <c r="E6520" s="5">
        <f t="shared" si="106"/>
        <v>2011</v>
      </c>
      <c r="F6520" s="3" t="s">
        <v>994</v>
      </c>
      <c r="G6520" s="6">
        <v>2509.1999999999998</v>
      </c>
      <c r="H6520" s="5">
        <v>15600</v>
      </c>
    </row>
    <row r="6521" spans="2:8" ht="17.5" customHeight="1" x14ac:dyDescent="0.4">
      <c r="B6521" s="3" t="s">
        <v>7</v>
      </c>
      <c r="C6521" s="3" t="s">
        <v>993</v>
      </c>
      <c r="D6521" s="4">
        <f>DATE(2011,5,23)</f>
        <v>40686</v>
      </c>
      <c r="E6521" s="5">
        <f t="shared" si="106"/>
        <v>2011</v>
      </c>
      <c r="F6521" s="3" t="s">
        <v>994</v>
      </c>
      <c r="G6521" s="6">
        <v>1531.55</v>
      </c>
      <c r="H6521" s="5">
        <v>15615</v>
      </c>
    </row>
    <row r="6522" spans="2:8" ht="17.5" customHeight="1" x14ac:dyDescent="0.4">
      <c r="B6522" s="3" t="s">
        <v>7</v>
      </c>
      <c r="C6522" s="3" t="s">
        <v>993</v>
      </c>
      <c r="D6522" s="4">
        <f>DATE(2011,5,24)</f>
        <v>40687</v>
      </c>
      <c r="E6522" s="5">
        <f t="shared" si="106"/>
        <v>2011</v>
      </c>
      <c r="F6522" s="3" t="s">
        <v>994</v>
      </c>
      <c r="G6522" s="6">
        <v>4967.1499999999996</v>
      </c>
      <c r="H6522" s="5">
        <v>15581</v>
      </c>
    </row>
    <row r="6523" spans="2:8" ht="17.5" customHeight="1" x14ac:dyDescent="0.4">
      <c r="B6523" s="3" t="s">
        <v>7</v>
      </c>
      <c r="C6523" s="3" t="s">
        <v>993</v>
      </c>
      <c r="D6523" s="4">
        <f>DATE(2011,5,24)</f>
        <v>40687</v>
      </c>
      <c r="E6523" s="5">
        <f t="shared" si="106"/>
        <v>2011</v>
      </c>
      <c r="F6523" s="3" t="s">
        <v>994</v>
      </c>
      <c r="G6523" s="6">
        <v>423.5</v>
      </c>
      <c r="H6523" s="5">
        <v>15630</v>
      </c>
    </row>
    <row r="6524" spans="2:8" ht="17.5" customHeight="1" x14ac:dyDescent="0.4">
      <c r="B6524" s="3" t="s">
        <v>7</v>
      </c>
      <c r="C6524" s="3" t="s">
        <v>993</v>
      </c>
      <c r="D6524" s="4">
        <f>DATE(2011,6,9)</f>
        <v>40703</v>
      </c>
      <c r="E6524" s="5">
        <f t="shared" si="106"/>
        <v>2011</v>
      </c>
      <c r="F6524" s="3" t="s">
        <v>994</v>
      </c>
      <c r="G6524" s="6">
        <v>4858.1499999999996</v>
      </c>
      <c r="H6524" s="5">
        <v>15685</v>
      </c>
    </row>
    <row r="6525" spans="2:8" ht="17.5" customHeight="1" x14ac:dyDescent="0.4">
      <c r="B6525" s="3" t="s">
        <v>7</v>
      </c>
      <c r="C6525" s="3" t="s">
        <v>993</v>
      </c>
      <c r="D6525" s="4">
        <f>DATE(2011,6,13)</f>
        <v>40707</v>
      </c>
      <c r="E6525" s="5">
        <f t="shared" si="106"/>
        <v>2011</v>
      </c>
      <c r="F6525" s="3" t="s">
        <v>994</v>
      </c>
      <c r="G6525" s="6">
        <v>7284</v>
      </c>
      <c r="H6525" s="5">
        <v>15675</v>
      </c>
    </row>
    <row r="6526" spans="2:8" ht="17.5" customHeight="1" x14ac:dyDescent="0.4">
      <c r="B6526" s="3" t="s">
        <v>7</v>
      </c>
      <c r="C6526" s="3" t="s">
        <v>993</v>
      </c>
      <c r="D6526" s="4">
        <f>DATE(2011,6,15)</f>
        <v>40709</v>
      </c>
      <c r="E6526" s="5">
        <f t="shared" si="106"/>
        <v>2011</v>
      </c>
      <c r="F6526" s="3" t="s">
        <v>994</v>
      </c>
      <c r="G6526" s="6">
        <v>2684</v>
      </c>
      <c r="H6526" s="5">
        <v>15678</v>
      </c>
    </row>
    <row r="6527" spans="2:8" ht="17.5" customHeight="1" x14ac:dyDescent="0.4">
      <c r="B6527" s="3" t="s">
        <v>7</v>
      </c>
      <c r="C6527" s="3" t="s">
        <v>993</v>
      </c>
      <c r="D6527" s="4">
        <f>DATE(2011,6,24)</f>
        <v>40718</v>
      </c>
      <c r="E6527" s="5">
        <f t="shared" si="106"/>
        <v>2011</v>
      </c>
      <c r="F6527" s="3" t="s">
        <v>994</v>
      </c>
      <c r="G6527" s="6">
        <v>4249.2</v>
      </c>
      <c r="H6527" s="5">
        <v>15725</v>
      </c>
    </row>
    <row r="6528" spans="2:8" ht="17.5" customHeight="1" x14ac:dyDescent="0.4">
      <c r="B6528" s="3" t="s">
        <v>7</v>
      </c>
      <c r="C6528" s="3" t="s">
        <v>993</v>
      </c>
      <c r="D6528" s="4">
        <f>DATE(2011,7,6)</f>
        <v>40730</v>
      </c>
      <c r="E6528" s="5">
        <f t="shared" si="106"/>
        <v>2011</v>
      </c>
      <c r="F6528" s="3" t="s">
        <v>994</v>
      </c>
      <c r="G6528" s="6">
        <v>1044.6500000000001</v>
      </c>
      <c r="H6528" s="5">
        <v>15753</v>
      </c>
    </row>
    <row r="6529" spans="2:8" ht="17.5" customHeight="1" x14ac:dyDescent="0.4">
      <c r="B6529" s="3" t="s">
        <v>7</v>
      </c>
      <c r="C6529" s="3" t="s">
        <v>993</v>
      </c>
      <c r="D6529" s="4">
        <f>DATE(2011,7,15)</f>
        <v>40739</v>
      </c>
      <c r="E6529" s="5">
        <f t="shared" si="106"/>
        <v>2011</v>
      </c>
      <c r="F6529" s="3" t="s">
        <v>994</v>
      </c>
      <c r="G6529" s="6">
        <v>1338.1</v>
      </c>
      <c r="H6529" s="5">
        <v>15744</v>
      </c>
    </row>
    <row r="6530" spans="2:8" ht="17.5" customHeight="1" x14ac:dyDescent="0.4">
      <c r="B6530" s="3" t="s">
        <v>7</v>
      </c>
      <c r="C6530" s="3" t="s">
        <v>993</v>
      </c>
      <c r="D6530" s="4">
        <f>DATE(2011,7,19)</f>
        <v>40743</v>
      </c>
      <c r="E6530" s="5">
        <f t="shared" si="106"/>
        <v>2011</v>
      </c>
      <c r="F6530" s="3" t="s">
        <v>994</v>
      </c>
      <c r="G6530" s="6">
        <v>559.85</v>
      </c>
      <c r="H6530" s="5">
        <v>15779</v>
      </c>
    </row>
    <row r="6531" spans="2:8" ht="17.5" customHeight="1" x14ac:dyDescent="0.4">
      <c r="B6531" s="3" t="s">
        <v>7</v>
      </c>
      <c r="C6531" s="3" t="s">
        <v>993</v>
      </c>
      <c r="D6531" s="4">
        <f>DATE(2011,7,25)</f>
        <v>40749</v>
      </c>
      <c r="E6531" s="5">
        <f t="shared" ref="E6531:E6594" si="107">YEAR(D6531)</f>
        <v>2011</v>
      </c>
      <c r="F6531" s="3" t="s">
        <v>994</v>
      </c>
      <c r="G6531" s="6">
        <v>2803.05</v>
      </c>
      <c r="H6531" s="5">
        <v>15800</v>
      </c>
    </row>
    <row r="6532" spans="2:8" ht="17.5" customHeight="1" x14ac:dyDescent="0.4">
      <c r="B6532" s="3" t="s">
        <v>7</v>
      </c>
      <c r="C6532" s="3" t="s">
        <v>993</v>
      </c>
      <c r="D6532" s="4">
        <f>DATE(2011,7,26)</f>
        <v>40750</v>
      </c>
      <c r="E6532" s="5">
        <f t="shared" si="107"/>
        <v>2011</v>
      </c>
      <c r="F6532" s="3" t="s">
        <v>994</v>
      </c>
      <c r="G6532" s="6">
        <v>439.8</v>
      </c>
      <c r="H6532" s="5">
        <v>15816</v>
      </c>
    </row>
    <row r="6533" spans="2:8" ht="17.5" customHeight="1" x14ac:dyDescent="0.4">
      <c r="B6533" s="3" t="s">
        <v>7</v>
      </c>
      <c r="C6533" s="3" t="s">
        <v>993</v>
      </c>
      <c r="D6533" s="4">
        <f>DATE(2011,7,27)</f>
        <v>40751</v>
      </c>
      <c r="E6533" s="5">
        <f t="shared" si="107"/>
        <v>2011</v>
      </c>
      <c r="F6533" s="3" t="s">
        <v>994</v>
      </c>
      <c r="G6533" s="6">
        <v>1839.2</v>
      </c>
      <c r="H6533" s="5">
        <v>15812</v>
      </c>
    </row>
    <row r="6534" spans="2:8" ht="17.5" customHeight="1" x14ac:dyDescent="0.4">
      <c r="B6534" s="3" t="s">
        <v>7</v>
      </c>
      <c r="C6534" s="3" t="s">
        <v>993</v>
      </c>
      <c r="D6534" s="4">
        <f>DATE(2011,8,3)</f>
        <v>40758</v>
      </c>
      <c r="E6534" s="5">
        <f t="shared" si="107"/>
        <v>2011</v>
      </c>
      <c r="F6534" s="3" t="s">
        <v>994</v>
      </c>
      <c r="G6534" s="6">
        <v>5661</v>
      </c>
      <c r="H6534" s="5">
        <v>15842</v>
      </c>
    </row>
    <row r="6535" spans="2:8" ht="17.5" customHeight="1" x14ac:dyDescent="0.4">
      <c r="B6535" s="3" t="s">
        <v>7</v>
      </c>
      <c r="C6535" s="3" t="s">
        <v>993</v>
      </c>
      <c r="D6535" s="4">
        <f>DATE(2011,8,8)</f>
        <v>40763</v>
      </c>
      <c r="E6535" s="5">
        <f t="shared" si="107"/>
        <v>2011</v>
      </c>
      <c r="F6535" s="3" t="s">
        <v>994</v>
      </c>
      <c r="G6535" s="6">
        <v>382.5</v>
      </c>
      <c r="H6535" s="5">
        <v>15859</v>
      </c>
    </row>
    <row r="6536" spans="2:8" ht="17.5" customHeight="1" x14ac:dyDescent="0.4">
      <c r="B6536" s="3" t="s">
        <v>7</v>
      </c>
      <c r="C6536" s="3" t="s">
        <v>993</v>
      </c>
      <c r="D6536" s="4">
        <f>DATE(2011,8,26)</f>
        <v>40781</v>
      </c>
      <c r="E6536" s="5">
        <f t="shared" si="107"/>
        <v>2011</v>
      </c>
      <c r="F6536" s="3" t="s">
        <v>994</v>
      </c>
      <c r="G6536" s="6">
        <v>605</v>
      </c>
      <c r="H6536" s="5">
        <v>15929</v>
      </c>
    </row>
    <row r="6537" spans="2:8" ht="17.5" customHeight="1" x14ac:dyDescent="0.4">
      <c r="B6537" s="3" t="s">
        <v>7</v>
      </c>
      <c r="C6537" s="3" t="s">
        <v>993</v>
      </c>
      <c r="D6537" s="4">
        <f>DATE(2011,9,16)</f>
        <v>40802</v>
      </c>
      <c r="E6537" s="5">
        <f t="shared" si="107"/>
        <v>2011</v>
      </c>
      <c r="F6537" s="3" t="s">
        <v>994</v>
      </c>
      <c r="G6537" s="6">
        <v>1781.8</v>
      </c>
      <c r="H6537" s="5">
        <v>15976</v>
      </c>
    </row>
    <row r="6538" spans="2:8" ht="17.5" customHeight="1" x14ac:dyDescent="0.4">
      <c r="B6538" s="3" t="s">
        <v>7</v>
      </c>
      <c r="C6538" s="3" t="s">
        <v>993</v>
      </c>
      <c r="D6538" s="4">
        <f>DATE(2011,9,22)</f>
        <v>40808</v>
      </c>
      <c r="E6538" s="5">
        <f t="shared" si="107"/>
        <v>2011</v>
      </c>
      <c r="F6538" s="3" t="s">
        <v>994</v>
      </c>
      <c r="G6538" s="6">
        <v>7793.45</v>
      </c>
      <c r="H6538" s="5">
        <v>15980</v>
      </c>
    </row>
    <row r="6539" spans="2:8" ht="17.5" customHeight="1" x14ac:dyDescent="0.4">
      <c r="B6539" s="3" t="s">
        <v>7</v>
      </c>
      <c r="C6539" s="3" t="s">
        <v>993</v>
      </c>
      <c r="D6539" s="4">
        <f>DATE(2011,9,26)</f>
        <v>40812</v>
      </c>
      <c r="E6539" s="5">
        <f t="shared" si="107"/>
        <v>2011</v>
      </c>
      <c r="F6539" s="3" t="s">
        <v>994</v>
      </c>
      <c r="G6539" s="6">
        <v>834</v>
      </c>
      <c r="H6539" s="5">
        <v>16039</v>
      </c>
    </row>
    <row r="6540" spans="2:8" ht="17.5" customHeight="1" x14ac:dyDescent="0.4">
      <c r="B6540" s="3" t="s">
        <v>7</v>
      </c>
      <c r="C6540" s="3" t="s">
        <v>993</v>
      </c>
      <c r="D6540" s="4">
        <f>DATE(2011,9,27)</f>
        <v>40813</v>
      </c>
      <c r="E6540" s="5">
        <f t="shared" si="107"/>
        <v>2011</v>
      </c>
      <c r="F6540" s="3" t="s">
        <v>994</v>
      </c>
      <c r="G6540" s="6">
        <v>420</v>
      </c>
      <c r="H6540" s="5">
        <v>16041</v>
      </c>
    </row>
    <row r="6541" spans="2:8" ht="17.5" customHeight="1" x14ac:dyDescent="0.4">
      <c r="B6541" s="3" t="s">
        <v>7</v>
      </c>
      <c r="C6541" s="3" t="s">
        <v>993</v>
      </c>
      <c r="D6541" s="4">
        <f>DATE(2011,10,13)</f>
        <v>40829</v>
      </c>
      <c r="E6541" s="5">
        <f t="shared" si="107"/>
        <v>2011</v>
      </c>
      <c r="F6541" s="3" t="s">
        <v>994</v>
      </c>
      <c r="G6541" s="6">
        <v>660</v>
      </c>
      <c r="H6541" s="5">
        <v>16091</v>
      </c>
    </row>
    <row r="6542" spans="2:8" ht="17.5" customHeight="1" x14ac:dyDescent="0.4">
      <c r="B6542" s="3" t="s">
        <v>7</v>
      </c>
      <c r="C6542" s="3" t="s">
        <v>993</v>
      </c>
      <c r="D6542" s="4">
        <f>DATE(2011,10,25)</f>
        <v>40841</v>
      </c>
      <c r="E6542" s="5">
        <f t="shared" si="107"/>
        <v>2011</v>
      </c>
      <c r="F6542" s="3" t="s">
        <v>994</v>
      </c>
      <c r="G6542" s="6">
        <v>5580.15</v>
      </c>
      <c r="H6542" s="5">
        <v>16123</v>
      </c>
    </row>
    <row r="6543" spans="2:8" ht="17.5" customHeight="1" x14ac:dyDescent="0.4">
      <c r="B6543" s="3" t="s">
        <v>7</v>
      </c>
      <c r="C6543" s="3" t="s">
        <v>993</v>
      </c>
      <c r="D6543" s="4">
        <f>DATE(2011,11,7)</f>
        <v>40854</v>
      </c>
      <c r="E6543" s="5">
        <f t="shared" si="107"/>
        <v>2011</v>
      </c>
      <c r="F6543" s="3" t="s">
        <v>994</v>
      </c>
      <c r="G6543" s="6">
        <v>688.5</v>
      </c>
      <c r="H6543" s="5">
        <v>16179</v>
      </c>
    </row>
    <row r="6544" spans="2:8" ht="17.5" customHeight="1" x14ac:dyDescent="0.4">
      <c r="B6544" s="3" t="s">
        <v>7</v>
      </c>
      <c r="C6544" s="3" t="s">
        <v>993</v>
      </c>
      <c r="D6544" s="4">
        <f>DATE(2011,12,16)</f>
        <v>40893</v>
      </c>
      <c r="E6544" s="5">
        <f t="shared" si="107"/>
        <v>2011</v>
      </c>
      <c r="F6544" s="3" t="s">
        <v>994</v>
      </c>
      <c r="G6544" s="6">
        <v>2394</v>
      </c>
      <c r="H6544" s="5">
        <v>16317</v>
      </c>
    </row>
    <row r="6545" spans="2:8" ht="17.5" customHeight="1" x14ac:dyDescent="0.4">
      <c r="B6545" s="3" t="s">
        <v>7</v>
      </c>
      <c r="C6545" s="3" t="s">
        <v>993</v>
      </c>
      <c r="D6545" s="4">
        <f>DATE(2012,1,9)</f>
        <v>40917</v>
      </c>
      <c r="E6545" s="5">
        <f t="shared" si="107"/>
        <v>2012</v>
      </c>
      <c r="F6545" s="3" t="s">
        <v>994</v>
      </c>
      <c r="G6545" s="6">
        <v>682.5</v>
      </c>
      <c r="H6545" s="5">
        <v>16380</v>
      </c>
    </row>
    <row r="6546" spans="2:8" ht="17.5" customHeight="1" x14ac:dyDescent="0.4">
      <c r="B6546" s="3" t="s">
        <v>7</v>
      </c>
      <c r="C6546" s="3" t="s">
        <v>993</v>
      </c>
      <c r="D6546" s="4">
        <f>DATE(2012,1,11)</f>
        <v>40919</v>
      </c>
      <c r="E6546" s="5">
        <f t="shared" si="107"/>
        <v>2012</v>
      </c>
      <c r="F6546" s="3" t="s">
        <v>994</v>
      </c>
      <c r="G6546" s="6">
        <v>85.36</v>
      </c>
      <c r="H6546" s="5">
        <v>16345</v>
      </c>
    </row>
    <row r="6547" spans="2:8" ht="17.5" customHeight="1" x14ac:dyDescent="0.4">
      <c r="B6547" s="3" t="s">
        <v>7</v>
      </c>
      <c r="C6547" s="3" t="s">
        <v>993</v>
      </c>
      <c r="D6547" s="4">
        <f>DATE(2012,1,12)</f>
        <v>40920</v>
      </c>
      <c r="E6547" s="5">
        <f t="shared" si="107"/>
        <v>2012</v>
      </c>
      <c r="F6547" s="3" t="s">
        <v>994</v>
      </c>
      <c r="G6547" s="6">
        <v>572.54</v>
      </c>
      <c r="H6547" s="5">
        <v>16395</v>
      </c>
    </row>
    <row r="6548" spans="2:8" ht="17.5" customHeight="1" x14ac:dyDescent="0.4">
      <c r="B6548" s="3" t="s">
        <v>7</v>
      </c>
      <c r="C6548" s="3" t="s">
        <v>993</v>
      </c>
      <c r="D6548" s="4">
        <f>DATE(2012,1,19)</f>
        <v>40927</v>
      </c>
      <c r="E6548" s="5">
        <f t="shared" si="107"/>
        <v>2012</v>
      </c>
      <c r="F6548" s="3" t="s">
        <v>994</v>
      </c>
      <c r="G6548" s="6">
        <v>1995</v>
      </c>
      <c r="H6548" s="5">
        <v>16419</v>
      </c>
    </row>
    <row r="6549" spans="2:8" ht="17.5" customHeight="1" x14ac:dyDescent="0.4">
      <c r="B6549" s="3" t="s">
        <v>7</v>
      </c>
      <c r="C6549" s="3" t="s">
        <v>993</v>
      </c>
      <c r="D6549" s="4">
        <f>DATE(2012,1,23)</f>
        <v>40931</v>
      </c>
      <c r="E6549" s="5">
        <f t="shared" si="107"/>
        <v>2012</v>
      </c>
      <c r="F6549" s="3" t="s">
        <v>994</v>
      </c>
      <c r="G6549" s="6">
        <v>1250</v>
      </c>
      <c r="H6549" s="5">
        <v>16425</v>
      </c>
    </row>
    <row r="6550" spans="2:8" ht="17.5" customHeight="1" x14ac:dyDescent="0.4">
      <c r="B6550" s="3" t="s">
        <v>7</v>
      </c>
      <c r="C6550" s="3" t="s">
        <v>993</v>
      </c>
      <c r="D6550" s="4">
        <f>DATE(2012,1,25)</f>
        <v>40933</v>
      </c>
      <c r="E6550" s="5">
        <f t="shared" si="107"/>
        <v>2012</v>
      </c>
      <c r="F6550" s="3" t="s">
        <v>994</v>
      </c>
      <c r="G6550" s="6">
        <v>500</v>
      </c>
      <c r="H6550" s="5">
        <v>16449</v>
      </c>
    </row>
    <row r="6551" spans="2:8" ht="17.5" customHeight="1" x14ac:dyDescent="0.4">
      <c r="B6551" s="3" t="s">
        <v>7</v>
      </c>
      <c r="C6551" s="3" t="s">
        <v>993</v>
      </c>
      <c r="D6551" s="4">
        <f>DATE(2012,1,30)</f>
        <v>40938</v>
      </c>
      <c r="E6551" s="5">
        <f t="shared" si="107"/>
        <v>2012</v>
      </c>
      <c r="F6551" s="3" t="s">
        <v>994</v>
      </c>
      <c r="G6551" s="6">
        <v>503</v>
      </c>
      <c r="H6551" s="5">
        <v>16467</v>
      </c>
    </row>
    <row r="6552" spans="2:8" ht="17.5" customHeight="1" x14ac:dyDescent="0.4">
      <c r="B6552" s="3" t="s">
        <v>7</v>
      </c>
      <c r="C6552" s="3" t="s">
        <v>993</v>
      </c>
      <c r="D6552" s="4">
        <f>DATE(2012,2,3)</f>
        <v>40942</v>
      </c>
      <c r="E6552" s="5">
        <f t="shared" si="107"/>
        <v>2012</v>
      </c>
      <c r="F6552" s="3" t="s">
        <v>994</v>
      </c>
      <c r="G6552" s="6">
        <v>38188.800000000003</v>
      </c>
      <c r="H6552" s="5">
        <v>16477</v>
      </c>
    </row>
    <row r="6553" spans="2:8" ht="17.5" customHeight="1" x14ac:dyDescent="0.4">
      <c r="B6553" s="3" t="s">
        <v>7</v>
      </c>
      <c r="C6553" s="3" t="s">
        <v>993</v>
      </c>
      <c r="D6553" s="4">
        <f>DATE(2012,2,27)</f>
        <v>40966</v>
      </c>
      <c r="E6553" s="5">
        <f t="shared" si="107"/>
        <v>2012</v>
      </c>
      <c r="F6553" s="3" t="s">
        <v>994</v>
      </c>
      <c r="G6553" s="6">
        <v>1895</v>
      </c>
      <c r="H6553" s="5">
        <v>16635</v>
      </c>
    </row>
    <row r="6554" spans="2:8" ht="17.5" customHeight="1" x14ac:dyDescent="0.4">
      <c r="B6554" s="3" t="s">
        <v>7</v>
      </c>
      <c r="C6554" s="3" t="s">
        <v>993</v>
      </c>
      <c r="D6554" s="4">
        <f>DATE(2012,3,1)</f>
        <v>40969</v>
      </c>
      <c r="E6554" s="5">
        <f t="shared" si="107"/>
        <v>2012</v>
      </c>
      <c r="F6554" s="3" t="s">
        <v>994</v>
      </c>
      <c r="G6554" s="6">
        <v>612</v>
      </c>
      <c r="H6554" s="5">
        <v>16696</v>
      </c>
    </row>
    <row r="6555" spans="2:8" ht="17.5" customHeight="1" x14ac:dyDescent="0.4">
      <c r="B6555" s="3" t="s">
        <v>7</v>
      </c>
      <c r="C6555" s="3" t="s">
        <v>993</v>
      </c>
      <c r="D6555" s="4">
        <f>DATE(2012,3,9)</f>
        <v>40977</v>
      </c>
      <c r="E6555" s="5">
        <f t="shared" si="107"/>
        <v>2012</v>
      </c>
      <c r="F6555" s="3" t="s">
        <v>994</v>
      </c>
      <c r="G6555" s="6">
        <v>1510.42</v>
      </c>
      <c r="H6555" s="5">
        <v>16727</v>
      </c>
    </row>
    <row r="6556" spans="2:8" ht="17.5" customHeight="1" x14ac:dyDescent="0.4">
      <c r="B6556" s="3" t="s">
        <v>7</v>
      </c>
      <c r="C6556" s="3" t="s">
        <v>993</v>
      </c>
      <c r="D6556" s="4">
        <f>DATE(2012,3,20)</f>
        <v>40988</v>
      </c>
      <c r="E6556" s="5">
        <f t="shared" si="107"/>
        <v>2012</v>
      </c>
      <c r="F6556" s="3" t="s">
        <v>994</v>
      </c>
      <c r="G6556" s="6">
        <v>2117.1999999999998</v>
      </c>
      <c r="H6556" s="5">
        <v>16797</v>
      </c>
    </row>
    <row r="6557" spans="2:8" ht="17.5" customHeight="1" x14ac:dyDescent="0.4">
      <c r="B6557" s="3" t="s">
        <v>7</v>
      </c>
      <c r="C6557" s="3" t="s">
        <v>993</v>
      </c>
      <c r="D6557" s="4">
        <f>DATE(2012,3,23)</f>
        <v>40991</v>
      </c>
      <c r="E6557" s="5">
        <f t="shared" si="107"/>
        <v>2012</v>
      </c>
      <c r="F6557" s="3" t="s">
        <v>994</v>
      </c>
      <c r="G6557" s="6">
        <v>397.8</v>
      </c>
      <c r="H6557" s="5">
        <v>16833</v>
      </c>
    </row>
    <row r="6558" spans="2:8" ht="17.5" customHeight="1" x14ac:dyDescent="0.4">
      <c r="B6558" s="3" t="s">
        <v>7</v>
      </c>
      <c r="C6558" s="3" t="s">
        <v>993</v>
      </c>
      <c r="D6558" s="4">
        <f>DATE(2012,3,28)</f>
        <v>40996</v>
      </c>
      <c r="E6558" s="5">
        <f t="shared" si="107"/>
        <v>2012</v>
      </c>
      <c r="F6558" s="3" t="s">
        <v>994</v>
      </c>
      <c r="G6558" s="6">
        <v>14520</v>
      </c>
      <c r="H6558" s="5">
        <v>16868</v>
      </c>
    </row>
    <row r="6559" spans="2:8" ht="17.5" customHeight="1" x14ac:dyDescent="0.4">
      <c r="B6559" s="3" t="s">
        <v>7</v>
      </c>
      <c r="C6559" s="3" t="s">
        <v>993</v>
      </c>
      <c r="D6559" s="4">
        <f>DATE(2012,3,29)</f>
        <v>40997</v>
      </c>
      <c r="E6559" s="5">
        <f t="shared" si="107"/>
        <v>2012</v>
      </c>
      <c r="F6559" s="3" t="s">
        <v>994</v>
      </c>
      <c r="G6559" s="6">
        <v>12219.3</v>
      </c>
      <c r="H6559" s="5">
        <v>16838</v>
      </c>
    </row>
    <row r="6560" spans="2:8" ht="17.5" customHeight="1" x14ac:dyDescent="0.4">
      <c r="B6560" s="3" t="s">
        <v>7</v>
      </c>
      <c r="C6560" s="3" t="s">
        <v>993</v>
      </c>
      <c r="D6560" s="4">
        <f>DATE(2012,3,29)</f>
        <v>40997</v>
      </c>
      <c r="E6560" s="5">
        <f t="shared" si="107"/>
        <v>2012</v>
      </c>
      <c r="F6560" s="3" t="s">
        <v>994</v>
      </c>
      <c r="G6560" s="6">
        <v>535.5</v>
      </c>
      <c r="H6560" s="5">
        <v>16885</v>
      </c>
    </row>
    <row r="6561" spans="2:8" ht="17.5" customHeight="1" x14ac:dyDescent="0.4">
      <c r="B6561" s="3" t="s">
        <v>7</v>
      </c>
      <c r="C6561" s="3" t="s">
        <v>993</v>
      </c>
      <c r="D6561" s="4">
        <f>DATE(2012,4,17)</f>
        <v>41016</v>
      </c>
      <c r="E6561" s="5">
        <f t="shared" si="107"/>
        <v>2012</v>
      </c>
      <c r="F6561" s="3" t="s">
        <v>994</v>
      </c>
      <c r="G6561" s="6">
        <v>1087.8</v>
      </c>
      <c r="H6561" s="5">
        <v>16984</v>
      </c>
    </row>
    <row r="6562" spans="2:8" ht="17.5" customHeight="1" x14ac:dyDescent="0.4">
      <c r="B6562" s="3" t="s">
        <v>7</v>
      </c>
      <c r="C6562" s="3" t="s">
        <v>993</v>
      </c>
      <c r="D6562" s="4">
        <f>DATE(2012,4,17)</f>
        <v>41016</v>
      </c>
      <c r="E6562" s="5">
        <f t="shared" si="107"/>
        <v>2012</v>
      </c>
      <c r="F6562" s="3" t="s">
        <v>994</v>
      </c>
      <c r="G6562" s="6">
        <v>38.49</v>
      </c>
      <c r="H6562" s="5">
        <v>16995</v>
      </c>
    </row>
    <row r="6563" spans="2:8" ht="17.5" customHeight="1" x14ac:dyDescent="0.4">
      <c r="B6563" s="3" t="s">
        <v>7</v>
      </c>
      <c r="C6563" s="3" t="s">
        <v>993</v>
      </c>
      <c r="D6563" s="4">
        <f>DATE(2012,4,19)</f>
        <v>41018</v>
      </c>
      <c r="E6563" s="5">
        <f t="shared" si="107"/>
        <v>2012</v>
      </c>
      <c r="F6563" s="3" t="s">
        <v>994</v>
      </c>
      <c r="G6563" s="6">
        <v>6438.75</v>
      </c>
      <c r="H6563" s="5">
        <v>16965</v>
      </c>
    </row>
    <row r="6564" spans="2:8" ht="17.5" customHeight="1" x14ac:dyDescent="0.4">
      <c r="B6564" s="3" t="s">
        <v>7</v>
      </c>
      <c r="C6564" s="3" t="s">
        <v>993</v>
      </c>
      <c r="D6564" s="4">
        <f>DATE(2012,4,20)</f>
        <v>41019</v>
      </c>
      <c r="E6564" s="5">
        <f t="shared" si="107"/>
        <v>2012</v>
      </c>
      <c r="F6564" s="3" t="s">
        <v>994</v>
      </c>
      <c r="G6564" s="6">
        <v>34.5</v>
      </c>
      <c r="H6564" s="5">
        <v>17021</v>
      </c>
    </row>
    <row r="6565" spans="2:8" ht="17.5" customHeight="1" x14ac:dyDescent="0.4">
      <c r="B6565" s="3" t="s">
        <v>7</v>
      </c>
      <c r="C6565" s="3" t="s">
        <v>993</v>
      </c>
      <c r="D6565" s="4">
        <f>DATE(2012,5,7)</f>
        <v>41036</v>
      </c>
      <c r="E6565" s="5">
        <f t="shared" si="107"/>
        <v>2012</v>
      </c>
      <c r="F6565" s="3" t="s">
        <v>994</v>
      </c>
      <c r="G6565" s="6">
        <v>2000</v>
      </c>
      <c r="H6565" s="5">
        <v>17095</v>
      </c>
    </row>
    <row r="6566" spans="2:8" ht="17.5" customHeight="1" x14ac:dyDescent="0.4">
      <c r="B6566" s="3" t="s">
        <v>7</v>
      </c>
      <c r="C6566" s="3" t="s">
        <v>993</v>
      </c>
      <c r="D6566" s="4">
        <f>DATE(2012,5,11)</f>
        <v>41040</v>
      </c>
      <c r="E6566" s="5">
        <f t="shared" si="107"/>
        <v>2012</v>
      </c>
      <c r="F6566" s="3" t="s">
        <v>994</v>
      </c>
      <c r="G6566" s="6">
        <v>10318.36</v>
      </c>
      <c r="H6566" s="5">
        <v>17047</v>
      </c>
    </row>
    <row r="6567" spans="2:8" ht="17.5" customHeight="1" x14ac:dyDescent="0.4">
      <c r="B6567" s="3" t="s">
        <v>7</v>
      </c>
      <c r="C6567" s="3" t="s">
        <v>993</v>
      </c>
      <c r="D6567" s="4">
        <f>DATE(2012,5,15)</f>
        <v>41044</v>
      </c>
      <c r="E6567" s="5">
        <f t="shared" si="107"/>
        <v>2012</v>
      </c>
      <c r="F6567" s="3" t="s">
        <v>994</v>
      </c>
      <c r="G6567" s="6">
        <v>4090.36</v>
      </c>
      <c r="H6567" s="5">
        <v>17002</v>
      </c>
    </row>
    <row r="6568" spans="2:8" ht="17.5" customHeight="1" x14ac:dyDescent="0.4">
      <c r="B6568" s="3" t="s">
        <v>7</v>
      </c>
      <c r="C6568" s="3" t="s">
        <v>993</v>
      </c>
      <c r="D6568" s="4">
        <f>DATE(2012,5,17)</f>
        <v>41046</v>
      </c>
      <c r="E6568" s="5">
        <f t="shared" si="107"/>
        <v>2012</v>
      </c>
      <c r="F6568" s="3" t="s">
        <v>994</v>
      </c>
      <c r="G6568" s="6">
        <v>4834.3500000000004</v>
      </c>
      <c r="H6568" s="5">
        <v>17139</v>
      </c>
    </row>
    <row r="6569" spans="2:8" ht="17.5" customHeight="1" x14ac:dyDescent="0.4">
      <c r="B6569" s="3" t="s">
        <v>7</v>
      </c>
      <c r="C6569" s="3" t="s">
        <v>993</v>
      </c>
      <c r="D6569" s="4">
        <f>DATE(2012,5,22)</f>
        <v>41051</v>
      </c>
      <c r="E6569" s="5">
        <f t="shared" si="107"/>
        <v>2012</v>
      </c>
      <c r="F6569" s="3" t="s">
        <v>994</v>
      </c>
      <c r="G6569" s="6">
        <v>1210</v>
      </c>
      <c r="H6569" s="5">
        <v>17177</v>
      </c>
    </row>
    <row r="6570" spans="2:8" ht="17.5" customHeight="1" x14ac:dyDescent="0.4">
      <c r="B6570" s="3" t="s">
        <v>7</v>
      </c>
      <c r="C6570" s="3" t="s">
        <v>993</v>
      </c>
      <c r="D6570" s="4">
        <f>DATE(2012,5,23)</f>
        <v>41052</v>
      </c>
      <c r="E6570" s="5">
        <f t="shared" si="107"/>
        <v>2012</v>
      </c>
      <c r="F6570" s="3" t="s">
        <v>994</v>
      </c>
      <c r="G6570" s="6">
        <v>12240</v>
      </c>
      <c r="H6570" s="5">
        <v>17170</v>
      </c>
    </row>
    <row r="6571" spans="2:8" ht="17.5" customHeight="1" x14ac:dyDescent="0.4">
      <c r="B6571" s="3" t="s">
        <v>7</v>
      </c>
      <c r="C6571" s="3" t="s">
        <v>993</v>
      </c>
      <c r="D6571" s="4">
        <f>DATE(2012,5,30)</f>
        <v>41059</v>
      </c>
      <c r="E6571" s="5">
        <f t="shared" si="107"/>
        <v>2012</v>
      </c>
      <c r="F6571" s="3" t="s">
        <v>994</v>
      </c>
      <c r="G6571" s="6">
        <v>10884.25</v>
      </c>
      <c r="H6571" s="5">
        <v>16985</v>
      </c>
    </row>
    <row r="6572" spans="2:8" ht="17.5" customHeight="1" x14ac:dyDescent="0.4">
      <c r="B6572" s="3" t="s">
        <v>7</v>
      </c>
      <c r="C6572" s="3" t="s">
        <v>993</v>
      </c>
      <c r="D6572" s="4">
        <f>DATE(2012,5,31)</f>
        <v>41060</v>
      </c>
      <c r="E6572" s="5">
        <f t="shared" si="107"/>
        <v>2012</v>
      </c>
      <c r="F6572" s="3" t="s">
        <v>994</v>
      </c>
      <c r="G6572" s="6">
        <v>2673.7</v>
      </c>
      <c r="H6572" s="5">
        <v>17209</v>
      </c>
    </row>
    <row r="6573" spans="2:8" ht="17.5" customHeight="1" x14ac:dyDescent="0.4">
      <c r="B6573" s="3" t="s">
        <v>7</v>
      </c>
      <c r="C6573" s="3" t="s">
        <v>993</v>
      </c>
      <c r="D6573" s="4">
        <f>DATE(2012,5,31)</f>
        <v>41060</v>
      </c>
      <c r="E6573" s="5">
        <f t="shared" si="107"/>
        <v>2012</v>
      </c>
      <c r="F6573" s="3" t="s">
        <v>994</v>
      </c>
      <c r="G6573" s="6">
        <v>3133</v>
      </c>
      <c r="H6573" s="5">
        <v>17210</v>
      </c>
    </row>
    <row r="6574" spans="2:8" ht="17.5" customHeight="1" x14ac:dyDescent="0.4">
      <c r="B6574" s="3" t="s">
        <v>7</v>
      </c>
      <c r="C6574" s="3" t="s">
        <v>993</v>
      </c>
      <c r="D6574" s="4">
        <f>DATE(2012,6,1)</f>
        <v>41061</v>
      </c>
      <c r="E6574" s="5">
        <f t="shared" si="107"/>
        <v>2012</v>
      </c>
      <c r="F6574" s="3" t="s">
        <v>994</v>
      </c>
      <c r="G6574" s="6">
        <v>8751.09</v>
      </c>
      <c r="H6574" s="5">
        <v>17217</v>
      </c>
    </row>
    <row r="6575" spans="2:8" ht="17.5" customHeight="1" x14ac:dyDescent="0.4">
      <c r="B6575" s="3" t="s">
        <v>7</v>
      </c>
      <c r="C6575" s="3" t="s">
        <v>993</v>
      </c>
      <c r="D6575" s="4">
        <f>DATE(2012,6,4)</f>
        <v>41064</v>
      </c>
      <c r="E6575" s="5">
        <f t="shared" si="107"/>
        <v>2012</v>
      </c>
      <c r="F6575" s="3" t="s">
        <v>994</v>
      </c>
      <c r="G6575" s="6">
        <v>4235</v>
      </c>
      <c r="H6575" s="5">
        <v>17203</v>
      </c>
    </row>
    <row r="6576" spans="2:8" ht="17.5" customHeight="1" x14ac:dyDescent="0.4">
      <c r="B6576" s="3" t="s">
        <v>7</v>
      </c>
      <c r="C6576" s="3" t="s">
        <v>993</v>
      </c>
      <c r="D6576" s="4">
        <f>DATE(2012,6,13)</f>
        <v>41073</v>
      </c>
      <c r="E6576" s="5">
        <f t="shared" si="107"/>
        <v>2012</v>
      </c>
      <c r="F6576" s="3" t="s">
        <v>994</v>
      </c>
      <c r="G6576" s="6">
        <v>2948.56</v>
      </c>
      <c r="H6576" s="5">
        <v>17256</v>
      </c>
    </row>
    <row r="6577" spans="2:8" ht="17.5" customHeight="1" x14ac:dyDescent="0.4">
      <c r="B6577" s="3" t="s">
        <v>7</v>
      </c>
      <c r="C6577" s="3" t="s">
        <v>993</v>
      </c>
      <c r="D6577" s="4">
        <f>DATE(2012,6,14)</f>
        <v>41074</v>
      </c>
      <c r="E6577" s="5">
        <f t="shared" si="107"/>
        <v>2012</v>
      </c>
      <c r="F6577" s="3" t="s">
        <v>994</v>
      </c>
      <c r="G6577" s="6">
        <v>306</v>
      </c>
      <c r="H6577" s="5">
        <v>17270</v>
      </c>
    </row>
    <row r="6578" spans="2:8" ht="17.5" customHeight="1" x14ac:dyDescent="0.4">
      <c r="B6578" s="3" t="s">
        <v>7</v>
      </c>
      <c r="C6578" s="3" t="s">
        <v>993</v>
      </c>
      <c r="D6578" s="4">
        <f>DATE(2012,6,20)</f>
        <v>41080</v>
      </c>
      <c r="E6578" s="5">
        <f t="shared" si="107"/>
        <v>2012</v>
      </c>
      <c r="F6578" s="3" t="s">
        <v>994</v>
      </c>
      <c r="G6578" s="6">
        <v>5000</v>
      </c>
      <c r="H6578" s="5">
        <v>17277</v>
      </c>
    </row>
    <row r="6579" spans="2:8" ht="17.5" customHeight="1" x14ac:dyDescent="0.4">
      <c r="B6579" s="3" t="s">
        <v>7</v>
      </c>
      <c r="C6579" s="3" t="s">
        <v>993</v>
      </c>
      <c r="D6579" s="4">
        <f>DATE(2012,6,21)</f>
        <v>41081</v>
      </c>
      <c r="E6579" s="5">
        <f t="shared" si="107"/>
        <v>2012</v>
      </c>
      <c r="F6579" s="3" t="s">
        <v>994</v>
      </c>
      <c r="G6579" s="6">
        <v>129.19999999999999</v>
      </c>
      <c r="H6579" s="5">
        <v>17289</v>
      </c>
    </row>
    <row r="6580" spans="2:8" ht="17.5" customHeight="1" x14ac:dyDescent="0.4">
      <c r="B6580" s="3" t="s">
        <v>7</v>
      </c>
      <c r="C6580" s="3" t="s">
        <v>993</v>
      </c>
      <c r="D6580" s="4">
        <f>DATE(2012,6,21)</f>
        <v>41081</v>
      </c>
      <c r="E6580" s="5">
        <f t="shared" si="107"/>
        <v>2012</v>
      </c>
      <c r="F6580" s="3" t="s">
        <v>994</v>
      </c>
      <c r="G6580" s="6">
        <v>2830.5</v>
      </c>
      <c r="H6580" s="5">
        <v>17290</v>
      </c>
    </row>
    <row r="6581" spans="2:8" ht="17.5" customHeight="1" x14ac:dyDescent="0.4">
      <c r="B6581" s="3" t="s">
        <v>7</v>
      </c>
      <c r="C6581" s="3" t="s">
        <v>993</v>
      </c>
      <c r="D6581" s="4">
        <f>DATE(2012,6,26)</f>
        <v>41086</v>
      </c>
      <c r="E6581" s="5">
        <f t="shared" si="107"/>
        <v>2012</v>
      </c>
      <c r="F6581" s="3" t="s">
        <v>994</v>
      </c>
      <c r="G6581" s="6">
        <v>3676.25</v>
      </c>
      <c r="H6581" s="5">
        <v>17298</v>
      </c>
    </row>
    <row r="6582" spans="2:8" ht="17.5" customHeight="1" x14ac:dyDescent="0.4">
      <c r="B6582" s="3" t="s">
        <v>7</v>
      </c>
      <c r="C6582" s="3" t="s">
        <v>993</v>
      </c>
      <c r="D6582" s="4">
        <f>DATE(2012,6,27)</f>
        <v>41087</v>
      </c>
      <c r="E6582" s="5">
        <f t="shared" si="107"/>
        <v>2012</v>
      </c>
      <c r="F6582" s="3" t="s">
        <v>994</v>
      </c>
      <c r="G6582" s="6">
        <v>3168.88</v>
      </c>
      <c r="H6582" s="5">
        <v>17308</v>
      </c>
    </row>
    <row r="6583" spans="2:8" ht="17.5" customHeight="1" x14ac:dyDescent="0.4">
      <c r="B6583" s="3" t="s">
        <v>7</v>
      </c>
      <c r="C6583" s="3" t="s">
        <v>993</v>
      </c>
      <c r="D6583" s="4">
        <f>DATE(2012,7,2)</f>
        <v>41092</v>
      </c>
      <c r="E6583" s="5">
        <f t="shared" si="107"/>
        <v>2012</v>
      </c>
      <c r="F6583" s="3" t="s">
        <v>994</v>
      </c>
      <c r="G6583" s="6">
        <v>706.9</v>
      </c>
      <c r="H6583" s="5">
        <v>17303</v>
      </c>
    </row>
    <row r="6584" spans="2:8" ht="17.5" customHeight="1" x14ac:dyDescent="0.4">
      <c r="B6584" s="3" t="s">
        <v>7</v>
      </c>
      <c r="C6584" s="3" t="s">
        <v>993</v>
      </c>
      <c r="D6584" s="4">
        <f>DATE(2012,7,2)</f>
        <v>41092</v>
      </c>
      <c r="E6584" s="5">
        <f t="shared" si="107"/>
        <v>2012</v>
      </c>
      <c r="F6584" s="3" t="s">
        <v>994</v>
      </c>
      <c r="G6584" s="6">
        <v>4500</v>
      </c>
      <c r="H6584" s="5">
        <v>17299</v>
      </c>
    </row>
    <row r="6585" spans="2:8" ht="17.5" customHeight="1" x14ac:dyDescent="0.4">
      <c r="B6585" s="3" t="s">
        <v>7</v>
      </c>
      <c r="C6585" s="3" t="s">
        <v>993</v>
      </c>
      <c r="D6585" s="4">
        <f>DATE(2012,7,5)</f>
        <v>41095</v>
      </c>
      <c r="E6585" s="5">
        <f t="shared" si="107"/>
        <v>2012</v>
      </c>
      <c r="F6585" s="3" t="s">
        <v>994</v>
      </c>
      <c r="G6585" s="6">
        <v>6851</v>
      </c>
      <c r="H6585" s="5">
        <v>17269</v>
      </c>
    </row>
    <row r="6586" spans="2:8" ht="17.5" customHeight="1" x14ac:dyDescent="0.4">
      <c r="B6586" s="3" t="s">
        <v>7</v>
      </c>
      <c r="C6586" s="3" t="s">
        <v>993</v>
      </c>
      <c r="D6586" s="4">
        <f>DATE(2012,7,6)</f>
        <v>41096</v>
      </c>
      <c r="E6586" s="5">
        <f t="shared" si="107"/>
        <v>2012</v>
      </c>
      <c r="F6586" s="3" t="s">
        <v>994</v>
      </c>
      <c r="G6586" s="6">
        <v>612</v>
      </c>
      <c r="H6586" s="5">
        <v>17335</v>
      </c>
    </row>
    <row r="6587" spans="2:8" ht="17.5" customHeight="1" x14ac:dyDescent="0.4">
      <c r="B6587" s="3" t="s">
        <v>7</v>
      </c>
      <c r="C6587" s="3" t="s">
        <v>993</v>
      </c>
      <c r="D6587" s="4">
        <f>DATE(2012,7,17)</f>
        <v>41107</v>
      </c>
      <c r="E6587" s="5">
        <f t="shared" si="107"/>
        <v>2012</v>
      </c>
      <c r="F6587" s="3" t="s">
        <v>994</v>
      </c>
      <c r="G6587" s="6">
        <v>4500</v>
      </c>
      <c r="H6587" s="5">
        <v>17356</v>
      </c>
    </row>
    <row r="6588" spans="2:8" ht="17.5" customHeight="1" x14ac:dyDescent="0.4">
      <c r="B6588" s="3" t="s">
        <v>7</v>
      </c>
      <c r="C6588" s="3" t="s">
        <v>993</v>
      </c>
      <c r="D6588" s="4">
        <f>DATE(2012,7,25)</f>
        <v>41115</v>
      </c>
      <c r="E6588" s="5">
        <f t="shared" si="107"/>
        <v>2012</v>
      </c>
      <c r="F6588" s="3" t="s">
        <v>994</v>
      </c>
      <c r="G6588" s="6">
        <v>762</v>
      </c>
      <c r="H6588" s="5">
        <v>17394</v>
      </c>
    </row>
    <row r="6589" spans="2:8" ht="17.5" customHeight="1" x14ac:dyDescent="0.4">
      <c r="B6589" s="3" t="s">
        <v>7</v>
      </c>
      <c r="C6589" s="3" t="s">
        <v>993</v>
      </c>
      <c r="D6589" s="4">
        <f>DATE(2012,7,26)</f>
        <v>41116</v>
      </c>
      <c r="E6589" s="5">
        <f t="shared" si="107"/>
        <v>2012</v>
      </c>
      <c r="F6589" s="3" t="s">
        <v>994</v>
      </c>
      <c r="G6589" s="6">
        <v>1249.5999999999999</v>
      </c>
      <c r="H6589" s="5">
        <v>17391</v>
      </c>
    </row>
    <row r="6590" spans="2:8" ht="17.5" customHeight="1" x14ac:dyDescent="0.4">
      <c r="B6590" s="3" t="s">
        <v>7</v>
      </c>
      <c r="C6590" s="3" t="s">
        <v>993</v>
      </c>
      <c r="D6590" s="4">
        <f>DATE(2012,7,31)</f>
        <v>41121</v>
      </c>
      <c r="E6590" s="5">
        <f t="shared" si="107"/>
        <v>2012</v>
      </c>
      <c r="F6590" s="3" t="s">
        <v>994</v>
      </c>
      <c r="G6590" s="6">
        <v>765</v>
      </c>
      <c r="H6590" s="5">
        <v>17423</v>
      </c>
    </row>
    <row r="6591" spans="2:8" ht="17.5" customHeight="1" x14ac:dyDescent="0.4">
      <c r="B6591" s="3" t="s">
        <v>7</v>
      </c>
      <c r="C6591" s="3" t="s">
        <v>993</v>
      </c>
      <c r="D6591" s="4">
        <f>DATE(2012,8,7)</f>
        <v>41128</v>
      </c>
      <c r="E6591" s="5">
        <f t="shared" si="107"/>
        <v>2012</v>
      </c>
      <c r="F6591" s="3" t="s">
        <v>994</v>
      </c>
      <c r="G6591" s="6">
        <v>1155</v>
      </c>
      <c r="H6591" s="5">
        <v>17457</v>
      </c>
    </row>
    <row r="6592" spans="2:8" ht="17.5" customHeight="1" x14ac:dyDescent="0.4">
      <c r="B6592" s="3" t="s">
        <v>7</v>
      </c>
      <c r="C6592" s="3" t="s">
        <v>993</v>
      </c>
      <c r="D6592" s="4">
        <f>DATE(2012,8,7)</f>
        <v>41128</v>
      </c>
      <c r="E6592" s="5">
        <f t="shared" si="107"/>
        <v>2012</v>
      </c>
      <c r="F6592" s="3" t="s">
        <v>994</v>
      </c>
      <c r="G6592" s="6">
        <v>10313.5</v>
      </c>
      <c r="H6592" s="5">
        <v>17414</v>
      </c>
    </row>
    <row r="6593" spans="2:8" ht="17.5" customHeight="1" x14ac:dyDescent="0.4">
      <c r="B6593" s="3" t="s">
        <v>7</v>
      </c>
      <c r="C6593" s="3" t="s">
        <v>993</v>
      </c>
      <c r="D6593" s="4">
        <f>DATE(2012,8,13)</f>
        <v>41134</v>
      </c>
      <c r="E6593" s="5">
        <f t="shared" si="107"/>
        <v>2012</v>
      </c>
      <c r="F6593" s="3" t="s">
        <v>994</v>
      </c>
      <c r="G6593" s="6">
        <v>115.6</v>
      </c>
      <c r="H6593" s="5">
        <v>17467</v>
      </c>
    </row>
    <row r="6594" spans="2:8" ht="17.5" customHeight="1" x14ac:dyDescent="0.4">
      <c r="B6594" s="3" t="s">
        <v>7</v>
      </c>
      <c r="C6594" s="3" t="s">
        <v>993</v>
      </c>
      <c r="D6594" s="4">
        <f>DATE(2012,8,29)</f>
        <v>41150</v>
      </c>
      <c r="E6594" s="5">
        <f t="shared" si="107"/>
        <v>2012</v>
      </c>
      <c r="F6594" s="3" t="s">
        <v>994</v>
      </c>
      <c r="G6594" s="6">
        <v>12532.2</v>
      </c>
      <c r="H6594" s="5">
        <v>17530</v>
      </c>
    </row>
    <row r="6595" spans="2:8" ht="17.5" customHeight="1" x14ac:dyDescent="0.4">
      <c r="B6595" s="3" t="s">
        <v>7</v>
      </c>
      <c r="C6595" s="3" t="s">
        <v>993</v>
      </c>
      <c r="D6595" s="4">
        <f>DATE(2012,9,7)</f>
        <v>41159</v>
      </c>
      <c r="E6595" s="5">
        <f t="shared" ref="E6595:E6658" si="108">YEAR(D6595)</f>
        <v>2012</v>
      </c>
      <c r="F6595" s="3" t="s">
        <v>994</v>
      </c>
      <c r="G6595" s="6">
        <v>4235</v>
      </c>
      <c r="H6595" s="5">
        <v>17523</v>
      </c>
    </row>
    <row r="6596" spans="2:8" ht="17.5" customHeight="1" x14ac:dyDescent="0.4">
      <c r="B6596" s="3" t="s">
        <v>7</v>
      </c>
      <c r="C6596" s="3" t="s">
        <v>993</v>
      </c>
      <c r="D6596" s="4">
        <f>DATE(2012,9,13)</f>
        <v>41165</v>
      </c>
      <c r="E6596" s="5">
        <f t="shared" si="108"/>
        <v>2012</v>
      </c>
      <c r="F6596" s="3" t="s">
        <v>994</v>
      </c>
      <c r="G6596" s="6">
        <v>2232.1</v>
      </c>
      <c r="H6596" s="5">
        <v>17575</v>
      </c>
    </row>
    <row r="6597" spans="2:8" ht="17.5" customHeight="1" x14ac:dyDescent="0.4">
      <c r="B6597" s="3" t="s">
        <v>7</v>
      </c>
      <c r="C6597" s="3" t="s">
        <v>993</v>
      </c>
      <c r="D6597" s="4">
        <f>DATE(2012,9,13)</f>
        <v>41165</v>
      </c>
      <c r="E6597" s="5">
        <f t="shared" si="108"/>
        <v>2012</v>
      </c>
      <c r="F6597" s="3" t="s">
        <v>994</v>
      </c>
      <c r="G6597" s="6">
        <v>1452</v>
      </c>
      <c r="H6597" s="5">
        <v>17587</v>
      </c>
    </row>
    <row r="6598" spans="2:8" ht="17.5" customHeight="1" x14ac:dyDescent="0.4">
      <c r="B6598" s="3" t="s">
        <v>7</v>
      </c>
      <c r="C6598" s="3" t="s">
        <v>993</v>
      </c>
      <c r="D6598" s="4">
        <f>DATE(2012,10,19)</f>
        <v>41201</v>
      </c>
      <c r="E6598" s="5">
        <f t="shared" si="108"/>
        <v>2012</v>
      </c>
      <c r="F6598" s="3" t="s">
        <v>994</v>
      </c>
      <c r="G6598" s="6">
        <v>3116.25</v>
      </c>
      <c r="H6598" s="5">
        <v>17732</v>
      </c>
    </row>
    <row r="6599" spans="2:8" ht="17.5" customHeight="1" x14ac:dyDescent="0.4">
      <c r="B6599" s="3" t="s">
        <v>7</v>
      </c>
      <c r="C6599" s="3" t="s">
        <v>993</v>
      </c>
      <c r="D6599" s="4">
        <f>DATE(2012,10,23)</f>
        <v>41205</v>
      </c>
      <c r="E6599" s="5">
        <f t="shared" si="108"/>
        <v>2012</v>
      </c>
      <c r="F6599" s="3" t="s">
        <v>994</v>
      </c>
      <c r="G6599" s="6">
        <v>4315.41</v>
      </c>
      <c r="H6599" s="5">
        <v>17764</v>
      </c>
    </row>
    <row r="6600" spans="2:8" ht="17.5" customHeight="1" x14ac:dyDescent="0.4">
      <c r="B6600" s="3" t="s">
        <v>7</v>
      </c>
      <c r="C6600" s="3" t="s">
        <v>993</v>
      </c>
      <c r="D6600" s="4">
        <f>DATE(2012,10,25)</f>
        <v>41207</v>
      </c>
      <c r="E6600" s="5">
        <f t="shared" si="108"/>
        <v>2012</v>
      </c>
      <c r="F6600" s="3" t="s">
        <v>994</v>
      </c>
      <c r="G6600" s="6">
        <v>2674</v>
      </c>
      <c r="H6600" s="5">
        <v>17760</v>
      </c>
    </row>
    <row r="6601" spans="2:8" ht="17.5" customHeight="1" x14ac:dyDescent="0.4">
      <c r="B6601" s="3" t="s">
        <v>7</v>
      </c>
      <c r="C6601" s="3" t="s">
        <v>993</v>
      </c>
      <c r="D6601" s="4">
        <f>DATE(2012,10,30)</f>
        <v>41212</v>
      </c>
      <c r="E6601" s="5">
        <f t="shared" si="108"/>
        <v>2012</v>
      </c>
      <c r="F6601" s="3" t="s">
        <v>994</v>
      </c>
      <c r="G6601" s="6">
        <v>627.29999999999995</v>
      </c>
      <c r="H6601" s="5">
        <v>17763</v>
      </c>
    </row>
    <row r="6602" spans="2:8" ht="17.5" customHeight="1" x14ac:dyDescent="0.4">
      <c r="B6602" s="3" t="s">
        <v>7</v>
      </c>
      <c r="C6602" s="3" t="s">
        <v>993</v>
      </c>
      <c r="D6602" s="4">
        <f>DATE(2012,10,31)</f>
        <v>41213</v>
      </c>
      <c r="E6602" s="5">
        <f t="shared" si="108"/>
        <v>2012</v>
      </c>
      <c r="F6602" s="3" t="s">
        <v>994</v>
      </c>
      <c r="G6602" s="6">
        <v>3750</v>
      </c>
      <c r="H6602" s="5">
        <v>17776</v>
      </c>
    </row>
    <row r="6603" spans="2:8" ht="17.5" customHeight="1" x14ac:dyDescent="0.4">
      <c r="B6603" s="3" t="s">
        <v>7</v>
      </c>
      <c r="C6603" s="3" t="s">
        <v>993</v>
      </c>
      <c r="D6603" s="4">
        <f>DATE(2012,11,8)</f>
        <v>41221</v>
      </c>
      <c r="E6603" s="5">
        <f t="shared" si="108"/>
        <v>2012</v>
      </c>
      <c r="F6603" s="3" t="s">
        <v>994</v>
      </c>
      <c r="G6603" s="6">
        <v>10095</v>
      </c>
      <c r="H6603" s="5">
        <v>17733</v>
      </c>
    </row>
    <row r="6604" spans="2:8" ht="17.5" customHeight="1" x14ac:dyDescent="0.4">
      <c r="B6604" s="3" t="s">
        <v>7</v>
      </c>
      <c r="C6604" s="3" t="s">
        <v>993</v>
      </c>
      <c r="D6604" s="4">
        <f>DATE(2012,12,6)</f>
        <v>41249</v>
      </c>
      <c r="E6604" s="5">
        <f t="shared" si="108"/>
        <v>2012</v>
      </c>
      <c r="F6604" s="3" t="s">
        <v>994</v>
      </c>
      <c r="G6604" s="6">
        <v>315.62</v>
      </c>
      <c r="H6604" s="5">
        <v>17876</v>
      </c>
    </row>
    <row r="6605" spans="2:8" ht="17.5" customHeight="1" x14ac:dyDescent="0.4">
      <c r="B6605" s="3" t="s">
        <v>7</v>
      </c>
      <c r="C6605" s="3" t="s">
        <v>993</v>
      </c>
      <c r="D6605" s="4">
        <f>DATE(2012,12,17)</f>
        <v>41260</v>
      </c>
      <c r="E6605" s="5">
        <f t="shared" si="108"/>
        <v>2012</v>
      </c>
      <c r="F6605" s="3" t="s">
        <v>994</v>
      </c>
      <c r="G6605" s="6">
        <v>2932.8</v>
      </c>
      <c r="H6605" s="5">
        <v>17909</v>
      </c>
    </row>
    <row r="6606" spans="2:8" ht="17.5" customHeight="1" x14ac:dyDescent="0.4">
      <c r="B6606" s="3" t="s">
        <v>7</v>
      </c>
      <c r="C6606" s="3" t="s">
        <v>993</v>
      </c>
      <c r="D6606" s="4">
        <f>DATE(2012,12,17)</f>
        <v>41260</v>
      </c>
      <c r="E6606" s="5">
        <f t="shared" si="108"/>
        <v>2012</v>
      </c>
      <c r="F6606" s="3" t="s">
        <v>994</v>
      </c>
      <c r="G6606" s="6">
        <v>436.54</v>
      </c>
      <c r="H6606" s="5">
        <v>17914</v>
      </c>
    </row>
    <row r="6607" spans="2:8" ht="17.5" customHeight="1" x14ac:dyDescent="0.4">
      <c r="B6607" s="3" t="s">
        <v>7</v>
      </c>
      <c r="C6607" s="3" t="s">
        <v>993</v>
      </c>
      <c r="D6607" s="4">
        <f>DATE(2013,1,9)</f>
        <v>41283</v>
      </c>
      <c r="E6607" s="5">
        <f t="shared" si="108"/>
        <v>2013</v>
      </c>
      <c r="F6607" s="3" t="s">
        <v>994</v>
      </c>
      <c r="G6607" s="6">
        <v>254.15</v>
      </c>
      <c r="H6607" s="5">
        <v>17951</v>
      </c>
    </row>
    <row r="6608" spans="2:8" ht="17.5" customHeight="1" x14ac:dyDescent="0.4">
      <c r="B6608" s="3" t="s">
        <v>7</v>
      </c>
      <c r="C6608" s="3" t="s">
        <v>993</v>
      </c>
      <c r="D6608" s="4">
        <f>DATE(2012,12,31)</f>
        <v>41274</v>
      </c>
      <c r="E6608" s="5">
        <f t="shared" si="108"/>
        <v>2012</v>
      </c>
      <c r="F6608" s="3" t="s">
        <v>994</v>
      </c>
      <c r="G6608" s="6">
        <v>4226.6099999999997</v>
      </c>
      <c r="H6608" s="5">
        <v>18039</v>
      </c>
    </row>
    <row r="6609" spans="2:8" ht="17.5" customHeight="1" x14ac:dyDescent="0.4">
      <c r="B6609" s="3" t="s">
        <v>7</v>
      </c>
      <c r="C6609" s="3" t="s">
        <v>993</v>
      </c>
      <c r="D6609" s="4">
        <f>DATE(2013,1,29)</f>
        <v>41303</v>
      </c>
      <c r="E6609" s="5">
        <f t="shared" si="108"/>
        <v>2013</v>
      </c>
      <c r="F6609" s="3" t="s">
        <v>994</v>
      </c>
      <c r="G6609" s="6">
        <v>1995</v>
      </c>
      <c r="H6609" s="5">
        <v>18067</v>
      </c>
    </row>
    <row r="6610" spans="2:8" ht="17.5" customHeight="1" x14ac:dyDescent="0.4">
      <c r="B6610" s="3" t="s">
        <v>7</v>
      </c>
      <c r="C6610" s="3" t="s">
        <v>993</v>
      </c>
      <c r="D6610" s="4">
        <f>DATE(2013,1,29)</f>
        <v>41303</v>
      </c>
      <c r="E6610" s="5">
        <f t="shared" si="108"/>
        <v>2013</v>
      </c>
      <c r="F6610" s="3" t="s">
        <v>994</v>
      </c>
      <c r="G6610" s="6">
        <v>590.85</v>
      </c>
      <c r="H6610" s="5">
        <v>18085</v>
      </c>
    </row>
    <row r="6611" spans="2:8" ht="17.5" customHeight="1" x14ac:dyDescent="0.4">
      <c r="B6611" s="3" t="s">
        <v>7</v>
      </c>
      <c r="C6611" s="3" t="s">
        <v>993</v>
      </c>
      <c r="D6611" s="4">
        <f>DATE(2013,2,4)</f>
        <v>41309</v>
      </c>
      <c r="E6611" s="5">
        <f t="shared" si="108"/>
        <v>2013</v>
      </c>
      <c r="F6611" s="3" t="s">
        <v>994</v>
      </c>
      <c r="G6611" s="6">
        <v>95.6</v>
      </c>
      <c r="H6611" s="5">
        <v>18098</v>
      </c>
    </row>
    <row r="6612" spans="2:8" ht="17.5" customHeight="1" x14ac:dyDescent="0.4">
      <c r="B6612" s="3" t="s">
        <v>7</v>
      </c>
      <c r="C6612" s="3" t="s">
        <v>993</v>
      </c>
      <c r="D6612" s="4">
        <f>DATE(2013,2,4)</f>
        <v>41309</v>
      </c>
      <c r="E6612" s="5">
        <f t="shared" si="108"/>
        <v>2013</v>
      </c>
      <c r="F6612" s="3" t="s">
        <v>994</v>
      </c>
      <c r="G6612" s="6">
        <v>394</v>
      </c>
      <c r="H6612" s="5">
        <v>18105</v>
      </c>
    </row>
    <row r="6613" spans="2:8" ht="17.5" customHeight="1" x14ac:dyDescent="0.4">
      <c r="B6613" s="3" t="s">
        <v>7</v>
      </c>
      <c r="C6613" s="3" t="s">
        <v>993</v>
      </c>
      <c r="D6613" s="4">
        <f>DATE(2013,3,1)</f>
        <v>41334</v>
      </c>
      <c r="E6613" s="5">
        <f t="shared" si="108"/>
        <v>2013</v>
      </c>
      <c r="F6613" s="3" t="s">
        <v>994</v>
      </c>
      <c r="G6613" s="6">
        <v>362.1</v>
      </c>
      <c r="H6613" s="5">
        <v>18258</v>
      </c>
    </row>
    <row r="6614" spans="2:8" ht="17.5" customHeight="1" x14ac:dyDescent="0.4">
      <c r="B6614" s="3" t="s">
        <v>7</v>
      </c>
      <c r="C6614" s="3" t="s">
        <v>993</v>
      </c>
      <c r="D6614" s="4">
        <f>DATE(2013,3,1)</f>
        <v>41334</v>
      </c>
      <c r="E6614" s="5">
        <f t="shared" si="108"/>
        <v>2013</v>
      </c>
      <c r="F6614" s="3" t="s">
        <v>994</v>
      </c>
      <c r="G6614" s="6">
        <v>60.42</v>
      </c>
      <c r="H6614" s="5">
        <v>18249</v>
      </c>
    </row>
    <row r="6615" spans="2:8" ht="17.5" customHeight="1" x14ac:dyDescent="0.4">
      <c r="B6615" s="3" t="s">
        <v>7</v>
      </c>
      <c r="C6615" s="3" t="s">
        <v>993</v>
      </c>
      <c r="D6615" s="4">
        <f>DATE(2013,3,7)</f>
        <v>41340</v>
      </c>
      <c r="E6615" s="5">
        <f t="shared" si="108"/>
        <v>2013</v>
      </c>
      <c r="F6615" s="3" t="s">
        <v>994</v>
      </c>
      <c r="G6615" s="6">
        <v>11940</v>
      </c>
      <c r="H6615" s="5">
        <v>18168</v>
      </c>
    </row>
    <row r="6616" spans="2:8" ht="17.5" customHeight="1" x14ac:dyDescent="0.4">
      <c r="B6616" s="3" t="s">
        <v>7</v>
      </c>
      <c r="C6616" s="3" t="s">
        <v>993</v>
      </c>
      <c r="D6616" s="4">
        <f>DATE(2013,3,29)</f>
        <v>41362</v>
      </c>
      <c r="E6616" s="5">
        <f t="shared" si="108"/>
        <v>2013</v>
      </c>
      <c r="F6616" s="3" t="s">
        <v>994</v>
      </c>
      <c r="G6616" s="6">
        <v>883.3</v>
      </c>
      <c r="H6616" s="5">
        <v>18391</v>
      </c>
    </row>
    <row r="6617" spans="2:8" ht="17.5" customHeight="1" x14ac:dyDescent="0.4">
      <c r="B6617" s="3" t="s">
        <v>7</v>
      </c>
      <c r="C6617" s="3" t="s">
        <v>993</v>
      </c>
      <c r="D6617" s="4">
        <f>DATE(2013,4,5)</f>
        <v>41369</v>
      </c>
      <c r="E6617" s="5">
        <f t="shared" si="108"/>
        <v>2013</v>
      </c>
      <c r="F6617" s="3" t="s">
        <v>994</v>
      </c>
      <c r="G6617" s="6">
        <v>1773</v>
      </c>
      <c r="H6617" s="5">
        <v>18340</v>
      </c>
    </row>
    <row r="6618" spans="2:8" ht="17.5" customHeight="1" x14ac:dyDescent="0.4">
      <c r="B6618" s="3" t="s">
        <v>7</v>
      </c>
      <c r="C6618" s="3" t="s">
        <v>993</v>
      </c>
      <c r="D6618" s="4">
        <f>DATE(2013,4,5)</f>
        <v>41369</v>
      </c>
      <c r="E6618" s="5">
        <f t="shared" si="108"/>
        <v>2013</v>
      </c>
      <c r="F6618" s="3" t="s">
        <v>994</v>
      </c>
      <c r="G6618" s="6">
        <v>1326</v>
      </c>
      <c r="H6618" s="5">
        <v>18417</v>
      </c>
    </row>
    <row r="6619" spans="2:8" ht="17.5" customHeight="1" x14ac:dyDescent="0.4">
      <c r="B6619" s="3" t="s">
        <v>7</v>
      </c>
      <c r="C6619" s="3" t="s">
        <v>993</v>
      </c>
      <c r="D6619" s="4">
        <f>DATE(2013,4,5)</f>
        <v>41369</v>
      </c>
      <c r="E6619" s="5">
        <f t="shared" si="108"/>
        <v>2013</v>
      </c>
      <c r="F6619" s="3" t="s">
        <v>994</v>
      </c>
      <c r="G6619" s="6">
        <v>1834.3</v>
      </c>
      <c r="H6619" s="5">
        <v>18419</v>
      </c>
    </row>
    <row r="6620" spans="2:8" ht="17.5" customHeight="1" x14ac:dyDescent="0.4">
      <c r="B6620" s="3" t="s">
        <v>7</v>
      </c>
      <c r="C6620" s="3" t="s">
        <v>993</v>
      </c>
      <c r="D6620" s="4">
        <f>DATE(2013,4,12)</f>
        <v>41376</v>
      </c>
      <c r="E6620" s="5">
        <f t="shared" si="108"/>
        <v>2013</v>
      </c>
      <c r="F6620" s="3" t="s">
        <v>994</v>
      </c>
      <c r="G6620" s="6">
        <v>1564</v>
      </c>
      <c r="H6620" s="5">
        <v>18396</v>
      </c>
    </row>
    <row r="6621" spans="2:8" ht="17.5" customHeight="1" x14ac:dyDescent="0.4">
      <c r="B6621" s="3" t="s">
        <v>7</v>
      </c>
      <c r="C6621" s="3" t="s">
        <v>993</v>
      </c>
      <c r="D6621" s="4">
        <f>DATE(2013,4,12)</f>
        <v>41376</v>
      </c>
      <c r="E6621" s="5">
        <f t="shared" si="108"/>
        <v>2013</v>
      </c>
      <c r="F6621" s="3" t="s">
        <v>994</v>
      </c>
      <c r="G6621" s="6">
        <v>6600</v>
      </c>
      <c r="H6621" s="5">
        <v>18443</v>
      </c>
    </row>
    <row r="6622" spans="2:8" ht="17.5" customHeight="1" x14ac:dyDescent="0.4">
      <c r="B6622" s="3" t="s">
        <v>7</v>
      </c>
      <c r="C6622" s="3" t="s">
        <v>993</v>
      </c>
      <c r="D6622" s="4">
        <f>DATE(2013,4,16)</f>
        <v>41380</v>
      </c>
      <c r="E6622" s="5">
        <f t="shared" si="108"/>
        <v>2013</v>
      </c>
      <c r="F6622" s="3" t="s">
        <v>994</v>
      </c>
      <c r="G6622" s="6">
        <v>8526</v>
      </c>
      <c r="H6622" s="5">
        <v>18461</v>
      </c>
    </row>
    <row r="6623" spans="2:8" ht="17.5" customHeight="1" x14ac:dyDescent="0.4">
      <c r="B6623" s="3" t="s">
        <v>7</v>
      </c>
      <c r="C6623" s="3" t="s">
        <v>993</v>
      </c>
      <c r="D6623" s="4">
        <f>DATE(2013,4,16)</f>
        <v>41380</v>
      </c>
      <c r="E6623" s="5">
        <f t="shared" si="108"/>
        <v>2013</v>
      </c>
      <c r="F6623" s="3" t="s">
        <v>994</v>
      </c>
      <c r="G6623" s="6">
        <v>2395.75</v>
      </c>
      <c r="H6623" s="5">
        <v>18452</v>
      </c>
    </row>
    <row r="6624" spans="2:8" ht="17.5" customHeight="1" x14ac:dyDescent="0.4">
      <c r="B6624" s="3" t="s">
        <v>7</v>
      </c>
      <c r="C6624" s="3" t="s">
        <v>993</v>
      </c>
      <c r="D6624" s="4">
        <f>DATE(2013,4,16)</f>
        <v>41380</v>
      </c>
      <c r="E6624" s="5">
        <f t="shared" si="108"/>
        <v>2013</v>
      </c>
      <c r="F6624" s="3" t="s">
        <v>994</v>
      </c>
      <c r="G6624" s="6">
        <v>60.42</v>
      </c>
      <c r="H6624" s="5">
        <v>18469</v>
      </c>
    </row>
    <row r="6625" spans="2:8" ht="17.5" customHeight="1" x14ac:dyDescent="0.4">
      <c r="B6625" s="3" t="s">
        <v>7</v>
      </c>
      <c r="C6625" s="3" t="s">
        <v>993</v>
      </c>
      <c r="D6625" s="4">
        <f>DATE(2013,4,17)</f>
        <v>41381</v>
      </c>
      <c r="E6625" s="5">
        <f t="shared" si="108"/>
        <v>2013</v>
      </c>
      <c r="F6625" s="3" t="s">
        <v>994</v>
      </c>
      <c r="G6625" s="6">
        <v>375</v>
      </c>
      <c r="H6625" s="5">
        <v>18465</v>
      </c>
    </row>
    <row r="6626" spans="2:8" ht="17.5" customHeight="1" x14ac:dyDescent="0.4">
      <c r="B6626" s="3" t="s">
        <v>7</v>
      </c>
      <c r="C6626" s="3" t="s">
        <v>993</v>
      </c>
      <c r="D6626" s="4">
        <f>DATE(2013,4,30)</f>
        <v>41394</v>
      </c>
      <c r="E6626" s="5">
        <f t="shared" si="108"/>
        <v>2013</v>
      </c>
      <c r="F6626" s="3" t="s">
        <v>994</v>
      </c>
      <c r="G6626" s="6">
        <v>3060</v>
      </c>
      <c r="H6626" s="5">
        <v>18496</v>
      </c>
    </row>
    <row r="6627" spans="2:8" ht="17.5" customHeight="1" x14ac:dyDescent="0.4">
      <c r="B6627" s="3" t="s">
        <v>7</v>
      </c>
      <c r="C6627" s="3" t="s">
        <v>993</v>
      </c>
      <c r="D6627" s="4">
        <f>DATE(2013,5,1)</f>
        <v>41395</v>
      </c>
      <c r="E6627" s="5">
        <f t="shared" si="108"/>
        <v>2013</v>
      </c>
      <c r="F6627" s="3" t="s">
        <v>994</v>
      </c>
      <c r="G6627" s="6">
        <v>969</v>
      </c>
      <c r="H6627" s="5">
        <v>18528</v>
      </c>
    </row>
    <row r="6628" spans="2:8" ht="17.5" customHeight="1" x14ac:dyDescent="0.4">
      <c r="B6628" s="3" t="s">
        <v>7</v>
      </c>
      <c r="C6628" s="3" t="s">
        <v>993</v>
      </c>
      <c r="D6628" s="4">
        <f>DATE(2013,5,8)</f>
        <v>41402</v>
      </c>
      <c r="E6628" s="5">
        <f t="shared" si="108"/>
        <v>2013</v>
      </c>
      <c r="F6628" s="3" t="s">
        <v>994</v>
      </c>
      <c r="G6628" s="6">
        <v>1074</v>
      </c>
      <c r="H6628" s="5">
        <v>18548</v>
      </c>
    </row>
    <row r="6629" spans="2:8" ht="17.5" customHeight="1" x14ac:dyDescent="0.4">
      <c r="B6629" s="3" t="s">
        <v>7</v>
      </c>
      <c r="C6629" s="3" t="s">
        <v>993</v>
      </c>
      <c r="D6629" s="4">
        <f>DATE(2013,5,9)</f>
        <v>41403</v>
      </c>
      <c r="E6629" s="5">
        <f t="shared" si="108"/>
        <v>2013</v>
      </c>
      <c r="F6629" s="3" t="s">
        <v>994</v>
      </c>
      <c r="G6629" s="6">
        <v>10574</v>
      </c>
      <c r="H6629" s="5">
        <v>18521</v>
      </c>
    </row>
    <row r="6630" spans="2:8" ht="17.5" customHeight="1" x14ac:dyDescent="0.4">
      <c r="B6630" s="3" t="s">
        <v>7</v>
      </c>
      <c r="C6630" s="3" t="s">
        <v>993</v>
      </c>
      <c r="D6630" s="4">
        <f>DATE(2013,5,13)</f>
        <v>41407</v>
      </c>
      <c r="E6630" s="5">
        <f t="shared" si="108"/>
        <v>2013</v>
      </c>
      <c r="F6630" s="3" t="s">
        <v>994</v>
      </c>
      <c r="G6630" s="6">
        <v>11049.2</v>
      </c>
      <c r="H6630" s="5">
        <v>18532</v>
      </c>
    </row>
    <row r="6631" spans="2:8" ht="17.5" customHeight="1" x14ac:dyDescent="0.4">
      <c r="B6631" s="3" t="s">
        <v>7</v>
      </c>
      <c r="C6631" s="3" t="s">
        <v>993</v>
      </c>
      <c r="D6631" s="4">
        <f>DATE(2013,5,15)</f>
        <v>41409</v>
      </c>
      <c r="E6631" s="5">
        <f t="shared" si="108"/>
        <v>2013</v>
      </c>
      <c r="F6631" s="3" t="s">
        <v>994</v>
      </c>
      <c r="G6631" s="6">
        <v>17805</v>
      </c>
      <c r="H6631" s="5">
        <v>18539</v>
      </c>
    </row>
    <row r="6632" spans="2:8" ht="17.5" customHeight="1" x14ac:dyDescent="0.4">
      <c r="B6632" s="3" t="s">
        <v>7</v>
      </c>
      <c r="C6632" s="3" t="s">
        <v>993</v>
      </c>
      <c r="D6632" s="4">
        <f>DATE(2013,5,24)</f>
        <v>41418</v>
      </c>
      <c r="E6632" s="5">
        <f t="shared" si="108"/>
        <v>2013</v>
      </c>
      <c r="F6632" s="3" t="s">
        <v>994</v>
      </c>
      <c r="G6632" s="6">
        <v>918</v>
      </c>
      <c r="H6632" s="5">
        <v>18629</v>
      </c>
    </row>
    <row r="6633" spans="2:8" ht="17.5" customHeight="1" x14ac:dyDescent="0.4">
      <c r="B6633" s="3" t="s">
        <v>7</v>
      </c>
      <c r="C6633" s="3" t="s">
        <v>993</v>
      </c>
      <c r="D6633" s="4">
        <f>DATE(2013,5,24)</f>
        <v>41418</v>
      </c>
      <c r="E6633" s="5">
        <f t="shared" si="108"/>
        <v>2013</v>
      </c>
      <c r="F6633" s="3" t="s">
        <v>994</v>
      </c>
      <c r="G6633" s="6">
        <v>22888.799999999999</v>
      </c>
      <c r="H6633" s="5">
        <v>18628</v>
      </c>
    </row>
    <row r="6634" spans="2:8" ht="17.5" customHeight="1" x14ac:dyDescent="0.4">
      <c r="B6634" s="3" t="s">
        <v>7</v>
      </c>
      <c r="C6634" s="3" t="s">
        <v>993</v>
      </c>
      <c r="D6634" s="4">
        <f>DATE(2013,5,24)</f>
        <v>41418</v>
      </c>
      <c r="E6634" s="5">
        <f t="shared" si="108"/>
        <v>2013</v>
      </c>
      <c r="F6634" s="3" t="s">
        <v>994</v>
      </c>
      <c r="G6634" s="6">
        <v>308.39999999999998</v>
      </c>
      <c r="H6634" s="5">
        <v>18632</v>
      </c>
    </row>
    <row r="6635" spans="2:8" ht="17.5" customHeight="1" x14ac:dyDescent="0.4">
      <c r="B6635" s="3" t="s">
        <v>7</v>
      </c>
      <c r="C6635" s="3" t="s">
        <v>993</v>
      </c>
      <c r="D6635" s="4">
        <f>DATE(2013,5,29)</f>
        <v>41423</v>
      </c>
      <c r="E6635" s="5">
        <f t="shared" si="108"/>
        <v>2013</v>
      </c>
      <c r="F6635" s="3" t="s">
        <v>994</v>
      </c>
      <c r="G6635" s="6">
        <v>899.2</v>
      </c>
      <c r="H6635" s="5">
        <v>18636</v>
      </c>
    </row>
    <row r="6636" spans="2:8" x14ac:dyDescent="0.4">
      <c r="B6636" s="3" t="s">
        <v>7</v>
      </c>
      <c r="C6636" s="3" t="s">
        <v>993</v>
      </c>
      <c r="D6636" s="4">
        <f>DATE(2013,5,31)</f>
        <v>41425</v>
      </c>
      <c r="E6636" s="5">
        <f t="shared" si="108"/>
        <v>2013</v>
      </c>
      <c r="F6636" s="3" t="s">
        <v>994</v>
      </c>
      <c r="G6636" s="6">
        <v>972</v>
      </c>
      <c r="H6636" s="5">
        <v>18641</v>
      </c>
    </row>
    <row r="6637" spans="2:8" x14ac:dyDescent="0.4">
      <c r="B6637" s="3" t="s">
        <v>7</v>
      </c>
      <c r="C6637" s="3" t="s">
        <v>993</v>
      </c>
      <c r="D6637" s="4">
        <f>DATE(2013,5,31)</f>
        <v>41425</v>
      </c>
      <c r="E6637" s="5">
        <f t="shared" si="108"/>
        <v>2013</v>
      </c>
      <c r="F6637" s="3" t="s">
        <v>994</v>
      </c>
      <c r="G6637" s="6">
        <v>1734.15</v>
      </c>
      <c r="H6637" s="5">
        <v>18642</v>
      </c>
    </row>
    <row r="6638" spans="2:8" x14ac:dyDescent="0.4">
      <c r="B6638" s="3" t="s">
        <v>7</v>
      </c>
      <c r="C6638" s="3" t="s">
        <v>993</v>
      </c>
      <c r="D6638" s="4">
        <f>DATE(2013,6,17)</f>
        <v>41442</v>
      </c>
      <c r="E6638" s="5">
        <f t="shared" si="108"/>
        <v>2013</v>
      </c>
      <c r="F6638" s="3" t="s">
        <v>994</v>
      </c>
      <c r="G6638" s="6">
        <v>6181.5</v>
      </c>
      <c r="H6638" s="5">
        <v>18691</v>
      </c>
    </row>
    <row r="6639" spans="2:8" x14ac:dyDescent="0.4">
      <c r="B6639" s="3" t="s">
        <v>7</v>
      </c>
      <c r="C6639" s="3" t="s">
        <v>993</v>
      </c>
      <c r="D6639" s="4">
        <f>DATE(2013,6,17)</f>
        <v>41442</v>
      </c>
      <c r="E6639" s="5">
        <f t="shared" si="108"/>
        <v>2013</v>
      </c>
      <c r="F6639" s="3" t="s">
        <v>994</v>
      </c>
      <c r="G6639" s="6">
        <v>6444</v>
      </c>
      <c r="H6639" s="5">
        <v>18693</v>
      </c>
    </row>
    <row r="6640" spans="2:8" x14ac:dyDescent="0.4">
      <c r="B6640" s="3" t="s">
        <v>7</v>
      </c>
      <c r="C6640" s="3" t="s">
        <v>993</v>
      </c>
      <c r="D6640" s="4">
        <f>DATE(2013,6,21)</f>
        <v>41446</v>
      </c>
      <c r="E6640" s="5">
        <f t="shared" si="108"/>
        <v>2013</v>
      </c>
      <c r="F6640" s="3" t="s">
        <v>994</v>
      </c>
      <c r="G6640" s="6">
        <v>5259</v>
      </c>
      <c r="H6640" s="5">
        <v>18712</v>
      </c>
    </row>
    <row r="6641" spans="2:8" x14ac:dyDescent="0.4">
      <c r="B6641" s="3" t="s">
        <v>7</v>
      </c>
      <c r="C6641" s="3" t="s">
        <v>993</v>
      </c>
      <c r="D6641" s="4">
        <f>DATE(2013,6,25)</f>
        <v>41450</v>
      </c>
      <c r="E6641" s="5">
        <f t="shared" si="108"/>
        <v>2013</v>
      </c>
      <c r="F6641" s="3" t="s">
        <v>994</v>
      </c>
      <c r="G6641" s="6">
        <v>3327.5</v>
      </c>
      <c r="H6641" s="5">
        <v>18719</v>
      </c>
    </row>
    <row r="6642" spans="2:8" x14ac:dyDescent="0.4">
      <c r="B6642" s="3" t="s">
        <v>7</v>
      </c>
      <c r="C6642" s="3" t="s">
        <v>993</v>
      </c>
      <c r="D6642" s="4">
        <f>DATE(2013,7,5)</f>
        <v>41460</v>
      </c>
      <c r="E6642" s="5">
        <f t="shared" si="108"/>
        <v>2013</v>
      </c>
      <c r="F6642" s="3" t="s">
        <v>994</v>
      </c>
      <c r="G6642" s="6">
        <v>297</v>
      </c>
      <c r="H6642" s="5">
        <v>18743</v>
      </c>
    </row>
    <row r="6643" spans="2:8" x14ac:dyDescent="0.4">
      <c r="B6643" s="3" t="s">
        <v>7</v>
      </c>
      <c r="C6643" s="3" t="s">
        <v>993</v>
      </c>
      <c r="D6643" s="4">
        <f>DATE(2013,7,12)</f>
        <v>41467</v>
      </c>
      <c r="E6643" s="5">
        <f t="shared" si="108"/>
        <v>2013</v>
      </c>
      <c r="F6643" s="3" t="s">
        <v>994</v>
      </c>
      <c r="G6643" s="6">
        <v>15300</v>
      </c>
      <c r="H6643" s="5">
        <v>18756</v>
      </c>
    </row>
    <row r="6644" spans="2:8" x14ac:dyDescent="0.4">
      <c r="B6644" s="3" t="s">
        <v>7</v>
      </c>
      <c r="C6644" s="3" t="s">
        <v>993</v>
      </c>
      <c r="D6644" s="4">
        <f>DATE(2013,7,24)</f>
        <v>41479</v>
      </c>
      <c r="E6644" s="5">
        <f t="shared" si="108"/>
        <v>2013</v>
      </c>
      <c r="F6644" s="3" t="s">
        <v>994</v>
      </c>
      <c r="G6644" s="6">
        <v>646</v>
      </c>
      <c r="H6644" s="5">
        <v>18806</v>
      </c>
    </row>
    <row r="6645" spans="2:8" x14ac:dyDescent="0.4">
      <c r="B6645" s="3" t="s">
        <v>7</v>
      </c>
      <c r="C6645" s="3" t="s">
        <v>993</v>
      </c>
      <c r="D6645" s="4">
        <f>DATE(2013,7,30)</f>
        <v>41485</v>
      </c>
      <c r="E6645" s="5">
        <f t="shared" si="108"/>
        <v>2013</v>
      </c>
      <c r="F6645" s="3" t="s">
        <v>994</v>
      </c>
      <c r="G6645" s="6">
        <v>1210</v>
      </c>
      <c r="H6645" s="5">
        <v>18824</v>
      </c>
    </row>
    <row r="6646" spans="2:8" x14ac:dyDescent="0.4">
      <c r="B6646" s="3" t="s">
        <v>7</v>
      </c>
      <c r="C6646" s="3" t="s">
        <v>993</v>
      </c>
      <c r="D6646" s="4">
        <f>DATE(2013,8,1)</f>
        <v>41487</v>
      </c>
      <c r="E6646" s="5">
        <f t="shared" si="108"/>
        <v>2013</v>
      </c>
      <c r="F6646" s="3" t="s">
        <v>994</v>
      </c>
      <c r="G6646" s="6">
        <v>94.35</v>
      </c>
      <c r="H6646" s="5">
        <v>18830</v>
      </c>
    </row>
    <row r="6647" spans="2:8" x14ac:dyDescent="0.4">
      <c r="B6647" s="3" t="s">
        <v>7</v>
      </c>
      <c r="C6647" s="3" t="s">
        <v>993</v>
      </c>
      <c r="D6647" s="4">
        <f>DATE(2013,8,13)</f>
        <v>41499</v>
      </c>
      <c r="E6647" s="5">
        <f t="shared" si="108"/>
        <v>2013</v>
      </c>
      <c r="F6647" s="3" t="s">
        <v>994</v>
      </c>
      <c r="G6647" s="6">
        <v>34.9</v>
      </c>
      <c r="H6647" s="5">
        <v>18870</v>
      </c>
    </row>
    <row r="6648" spans="2:8" x14ac:dyDescent="0.4">
      <c r="B6648" s="3" t="s">
        <v>7</v>
      </c>
      <c r="C6648" s="3" t="s">
        <v>993</v>
      </c>
      <c r="D6648" s="4">
        <f>DATE(2013,8,13)</f>
        <v>41499</v>
      </c>
      <c r="E6648" s="5">
        <f t="shared" si="108"/>
        <v>2013</v>
      </c>
      <c r="F6648" s="3" t="s">
        <v>994</v>
      </c>
      <c r="G6648" s="6">
        <v>1836</v>
      </c>
      <c r="H6648" s="5">
        <v>18869</v>
      </c>
    </row>
    <row r="6649" spans="2:8" x14ac:dyDescent="0.4">
      <c r="B6649" s="3" t="s">
        <v>7</v>
      </c>
      <c r="C6649" s="3" t="s">
        <v>993</v>
      </c>
      <c r="D6649" s="4">
        <f>DATE(2013,8,15)</f>
        <v>41501</v>
      </c>
      <c r="E6649" s="5">
        <f t="shared" si="108"/>
        <v>2013</v>
      </c>
      <c r="F6649" s="3" t="s">
        <v>994</v>
      </c>
      <c r="G6649" s="6">
        <v>3187.8</v>
      </c>
      <c r="H6649" s="5">
        <v>18883</v>
      </c>
    </row>
    <row r="6650" spans="2:8" x14ac:dyDescent="0.4">
      <c r="B6650" s="3" t="s">
        <v>7</v>
      </c>
      <c r="C6650" s="3" t="s">
        <v>993</v>
      </c>
      <c r="D6650" s="4">
        <f>DATE(2013,8,20)</f>
        <v>41506</v>
      </c>
      <c r="E6650" s="5">
        <f t="shared" si="108"/>
        <v>2013</v>
      </c>
      <c r="F6650" s="3" t="s">
        <v>994</v>
      </c>
      <c r="G6650" s="6">
        <v>2055.42</v>
      </c>
      <c r="H6650" s="5">
        <v>18868</v>
      </c>
    </row>
    <row r="6651" spans="2:8" x14ac:dyDescent="0.4">
      <c r="B6651" s="3" t="s">
        <v>7</v>
      </c>
      <c r="C6651" s="3" t="s">
        <v>993</v>
      </c>
      <c r="D6651" s="4">
        <f>DATE(2013,9,3)</f>
        <v>41520</v>
      </c>
      <c r="E6651" s="5">
        <f t="shared" si="108"/>
        <v>2013</v>
      </c>
      <c r="F6651" s="3" t="s">
        <v>994</v>
      </c>
      <c r="G6651" s="6">
        <v>139.6</v>
      </c>
      <c r="H6651" s="5">
        <v>18930</v>
      </c>
    </row>
    <row r="6652" spans="2:8" x14ac:dyDescent="0.4">
      <c r="B6652" s="3" t="s">
        <v>7</v>
      </c>
      <c r="C6652" s="3" t="s">
        <v>993</v>
      </c>
      <c r="D6652" s="4">
        <f>DATE(2013,9,4)</f>
        <v>41521</v>
      </c>
      <c r="E6652" s="5">
        <f t="shared" si="108"/>
        <v>2013</v>
      </c>
      <c r="F6652" s="3" t="s">
        <v>994</v>
      </c>
      <c r="G6652" s="6">
        <v>3060</v>
      </c>
      <c r="H6652" s="5">
        <v>18937</v>
      </c>
    </row>
    <row r="6653" spans="2:8" x14ac:dyDescent="0.4">
      <c r="B6653" s="3" t="s">
        <v>7</v>
      </c>
      <c r="C6653" s="3" t="s">
        <v>993</v>
      </c>
      <c r="D6653" s="4">
        <f>DATE(2013,9,4)</f>
        <v>41521</v>
      </c>
      <c r="E6653" s="5">
        <f t="shared" si="108"/>
        <v>2013</v>
      </c>
      <c r="F6653" s="3" t="s">
        <v>994</v>
      </c>
      <c r="G6653" s="6">
        <v>493.34</v>
      </c>
      <c r="H6653" s="5">
        <v>18940</v>
      </c>
    </row>
    <row r="6654" spans="2:8" x14ac:dyDescent="0.4">
      <c r="B6654" s="3" t="s">
        <v>7</v>
      </c>
      <c r="C6654" s="3" t="s">
        <v>993</v>
      </c>
      <c r="D6654" s="4">
        <f>DATE(2013,9,11)</f>
        <v>41528</v>
      </c>
      <c r="E6654" s="5">
        <f t="shared" si="108"/>
        <v>2013</v>
      </c>
      <c r="F6654" s="3" t="s">
        <v>994</v>
      </c>
      <c r="G6654" s="6">
        <v>3.91</v>
      </c>
      <c r="H6654" s="5">
        <v>18952</v>
      </c>
    </row>
    <row r="6655" spans="2:8" x14ac:dyDescent="0.4">
      <c r="B6655" s="3" t="s">
        <v>7</v>
      </c>
      <c r="C6655" s="3" t="s">
        <v>993</v>
      </c>
      <c r="D6655" s="4">
        <f>DATE(2013,9,12)</f>
        <v>41529</v>
      </c>
      <c r="E6655" s="5">
        <f t="shared" si="108"/>
        <v>2013</v>
      </c>
      <c r="F6655" s="3" t="s">
        <v>994</v>
      </c>
      <c r="G6655" s="6">
        <v>860</v>
      </c>
      <c r="H6655" s="5">
        <v>18965</v>
      </c>
    </row>
    <row r="6656" spans="2:8" x14ac:dyDescent="0.4">
      <c r="B6656" s="3" t="s">
        <v>7</v>
      </c>
      <c r="C6656" s="3" t="s">
        <v>993</v>
      </c>
      <c r="D6656" s="4">
        <f>DATE(2013,9,16)</f>
        <v>41533</v>
      </c>
      <c r="E6656" s="5">
        <f t="shared" si="108"/>
        <v>2013</v>
      </c>
      <c r="F6656" s="3" t="s">
        <v>994</v>
      </c>
      <c r="G6656" s="6">
        <v>5599.8</v>
      </c>
      <c r="H6656" s="5">
        <v>18973</v>
      </c>
    </row>
    <row r="6657" spans="2:8" x14ac:dyDescent="0.4">
      <c r="B6657" s="3" t="s">
        <v>7</v>
      </c>
      <c r="C6657" s="3" t="s">
        <v>993</v>
      </c>
      <c r="D6657" s="4">
        <f>DATE(2013,9,26)</f>
        <v>41543</v>
      </c>
      <c r="E6657" s="5">
        <f t="shared" si="108"/>
        <v>2013</v>
      </c>
      <c r="F6657" s="3" t="s">
        <v>994</v>
      </c>
      <c r="G6657" s="6">
        <v>400.86</v>
      </c>
      <c r="H6657" s="5">
        <v>19022</v>
      </c>
    </row>
    <row r="6658" spans="2:8" x14ac:dyDescent="0.4">
      <c r="B6658" s="3" t="s">
        <v>7</v>
      </c>
      <c r="C6658" s="3" t="s">
        <v>993</v>
      </c>
      <c r="D6658" s="4">
        <f>DATE(2013,10,4)</f>
        <v>41551</v>
      </c>
      <c r="E6658" s="5">
        <f t="shared" si="108"/>
        <v>2013</v>
      </c>
      <c r="F6658" s="3" t="s">
        <v>994</v>
      </c>
      <c r="G6658" s="6">
        <v>972</v>
      </c>
      <c r="H6658" s="5">
        <v>19033</v>
      </c>
    </row>
    <row r="6659" spans="2:8" x14ac:dyDescent="0.4">
      <c r="B6659" s="3" t="s">
        <v>7</v>
      </c>
      <c r="C6659" s="3" t="s">
        <v>993</v>
      </c>
      <c r="D6659" s="4">
        <f>DATE(2013,10,28)</f>
        <v>41575</v>
      </c>
      <c r="E6659" s="5">
        <f t="shared" ref="E6659:E6722" si="109">YEAR(D6659)</f>
        <v>2013</v>
      </c>
      <c r="F6659" s="3" t="s">
        <v>994</v>
      </c>
      <c r="G6659" s="6">
        <v>3709.3</v>
      </c>
      <c r="H6659" s="5">
        <v>19147</v>
      </c>
    </row>
    <row r="6660" spans="2:8" x14ac:dyDescent="0.4">
      <c r="B6660" s="3" t="s">
        <v>7</v>
      </c>
      <c r="C6660" s="3" t="s">
        <v>993</v>
      </c>
      <c r="D6660" s="4">
        <f>DATE(2013,10,29)</f>
        <v>41576</v>
      </c>
      <c r="E6660" s="5">
        <f t="shared" si="109"/>
        <v>2013</v>
      </c>
      <c r="F6660" s="3" t="s">
        <v>994</v>
      </c>
      <c r="G6660" s="6">
        <v>1182</v>
      </c>
      <c r="H6660" s="5">
        <v>19156</v>
      </c>
    </row>
    <row r="6661" spans="2:8" x14ac:dyDescent="0.4">
      <c r="B6661" s="3" t="s">
        <v>7</v>
      </c>
      <c r="C6661" s="3" t="s">
        <v>993</v>
      </c>
      <c r="D6661" s="4">
        <f>DATE(2013,10,30)</f>
        <v>41577</v>
      </c>
      <c r="E6661" s="5">
        <f t="shared" si="109"/>
        <v>2013</v>
      </c>
      <c r="F6661" s="3" t="s">
        <v>994</v>
      </c>
      <c r="G6661" s="6">
        <v>179</v>
      </c>
      <c r="H6661" s="5">
        <v>19155</v>
      </c>
    </row>
    <row r="6662" spans="2:8" x14ac:dyDescent="0.4">
      <c r="B6662" s="3" t="s">
        <v>7</v>
      </c>
      <c r="C6662" s="3" t="s">
        <v>993</v>
      </c>
      <c r="D6662" s="4">
        <f>DATE(2013,11,4)</f>
        <v>41582</v>
      </c>
      <c r="E6662" s="5">
        <f t="shared" si="109"/>
        <v>2013</v>
      </c>
      <c r="F6662" s="3" t="s">
        <v>994</v>
      </c>
      <c r="G6662" s="6">
        <v>857.6</v>
      </c>
      <c r="H6662" s="5">
        <v>19181</v>
      </c>
    </row>
    <row r="6663" spans="2:8" x14ac:dyDescent="0.4">
      <c r="B6663" s="3" t="s">
        <v>7</v>
      </c>
      <c r="C6663" s="3" t="s">
        <v>993</v>
      </c>
      <c r="D6663" s="4">
        <f>DATE(2013,11,27)</f>
        <v>41605</v>
      </c>
      <c r="E6663" s="5">
        <f t="shared" si="109"/>
        <v>2013</v>
      </c>
      <c r="F6663" s="3" t="s">
        <v>994</v>
      </c>
      <c r="G6663" s="6">
        <v>1798.5</v>
      </c>
      <c r="H6663" s="5">
        <v>19275</v>
      </c>
    </row>
    <row r="6664" spans="2:8" x14ac:dyDescent="0.4">
      <c r="B6664" s="3" t="s">
        <v>7</v>
      </c>
      <c r="C6664" s="3" t="s">
        <v>993</v>
      </c>
      <c r="D6664" s="4">
        <f>DATE(2013,12,5)</f>
        <v>41613</v>
      </c>
      <c r="E6664" s="5">
        <f t="shared" si="109"/>
        <v>2013</v>
      </c>
      <c r="F6664" s="3" t="s">
        <v>994</v>
      </c>
      <c r="G6664" s="6">
        <v>376.38</v>
      </c>
      <c r="H6664" s="5">
        <v>19282</v>
      </c>
    </row>
    <row r="6665" spans="2:8" x14ac:dyDescent="0.4">
      <c r="B6665" s="3" t="s">
        <v>7</v>
      </c>
      <c r="C6665" s="3" t="s">
        <v>993</v>
      </c>
      <c r="D6665" s="4">
        <f>DATE(2013,12,6)</f>
        <v>41614</v>
      </c>
      <c r="E6665" s="5">
        <f t="shared" si="109"/>
        <v>2013</v>
      </c>
      <c r="F6665" s="3" t="s">
        <v>994</v>
      </c>
      <c r="G6665" s="6">
        <v>3719.95</v>
      </c>
      <c r="H6665" s="5">
        <v>19284</v>
      </c>
    </row>
    <row r="6666" spans="2:8" x14ac:dyDescent="0.4">
      <c r="B6666" s="3" t="s">
        <v>7</v>
      </c>
      <c r="C6666" s="3" t="s">
        <v>993</v>
      </c>
      <c r="D6666" s="4">
        <f>DATE(2013,12,9)</f>
        <v>41617</v>
      </c>
      <c r="E6666" s="5">
        <f t="shared" si="109"/>
        <v>2013</v>
      </c>
      <c r="F6666" s="3" t="s">
        <v>994</v>
      </c>
      <c r="G6666" s="6">
        <v>10630.2</v>
      </c>
      <c r="H6666" s="5">
        <v>19293</v>
      </c>
    </row>
    <row r="6667" spans="2:8" x14ac:dyDescent="0.4">
      <c r="B6667" s="3" t="s">
        <v>7</v>
      </c>
      <c r="C6667" s="3" t="s">
        <v>993</v>
      </c>
      <c r="D6667" s="4">
        <f>DATE(2013,12,10)</f>
        <v>41618</v>
      </c>
      <c r="E6667" s="5">
        <f t="shared" si="109"/>
        <v>2013</v>
      </c>
      <c r="F6667" s="3" t="s">
        <v>994</v>
      </c>
      <c r="G6667" s="6">
        <v>703.8</v>
      </c>
      <c r="H6667" s="5">
        <v>19311</v>
      </c>
    </row>
    <row r="6668" spans="2:8" x14ac:dyDescent="0.4">
      <c r="B6668" s="3" t="s">
        <v>7</v>
      </c>
      <c r="C6668" s="3" t="s">
        <v>993</v>
      </c>
      <c r="D6668" s="4">
        <f>DATE(2013,12,16)</f>
        <v>41624</v>
      </c>
      <c r="E6668" s="5">
        <f t="shared" si="109"/>
        <v>2013</v>
      </c>
      <c r="F6668" s="3" t="s">
        <v>994</v>
      </c>
      <c r="G6668" s="6">
        <v>2089.4</v>
      </c>
      <c r="H6668" s="5">
        <v>19327</v>
      </c>
    </row>
    <row r="6669" spans="2:8" x14ac:dyDescent="0.4">
      <c r="B6669" s="3" t="s">
        <v>7</v>
      </c>
      <c r="C6669" s="3" t="s">
        <v>993</v>
      </c>
      <c r="D6669" s="4">
        <f>DATE(2013,12,16)</f>
        <v>41624</v>
      </c>
      <c r="E6669" s="5">
        <f t="shared" si="109"/>
        <v>2013</v>
      </c>
      <c r="F6669" s="3" t="s">
        <v>994</v>
      </c>
      <c r="G6669" s="6">
        <v>80.900000000000006</v>
      </c>
      <c r="H6669" s="5">
        <v>19329</v>
      </c>
    </row>
    <row r="6670" spans="2:8" x14ac:dyDescent="0.4">
      <c r="B6670" s="3" t="s">
        <v>7</v>
      </c>
      <c r="C6670" s="3" t="s">
        <v>993</v>
      </c>
      <c r="D6670" s="4">
        <f>DATE(2013,12,16)</f>
        <v>41624</v>
      </c>
      <c r="E6670" s="5">
        <f t="shared" si="109"/>
        <v>2013</v>
      </c>
      <c r="F6670" s="3" t="s">
        <v>994</v>
      </c>
      <c r="G6670" s="6">
        <v>899.5</v>
      </c>
      <c r="H6670" s="5">
        <v>19283</v>
      </c>
    </row>
    <row r="6671" spans="2:8" x14ac:dyDescent="0.4">
      <c r="B6671" s="3" t="s">
        <v>7</v>
      </c>
      <c r="C6671" s="3" t="s">
        <v>993</v>
      </c>
      <c r="D6671" s="4">
        <f>DATE(2014,1,28)</f>
        <v>41667</v>
      </c>
      <c r="E6671" s="5">
        <f t="shared" si="109"/>
        <v>2014</v>
      </c>
      <c r="F6671" s="3" t="s">
        <v>994</v>
      </c>
      <c r="G6671" s="6">
        <v>1944</v>
      </c>
      <c r="H6671" s="5">
        <v>19431</v>
      </c>
    </row>
    <row r="6672" spans="2:8" x14ac:dyDescent="0.4">
      <c r="B6672" s="3" t="s">
        <v>7</v>
      </c>
      <c r="C6672" s="3" t="s">
        <v>993</v>
      </c>
      <c r="D6672" s="4">
        <f>DATE(2014,1,30)</f>
        <v>41669</v>
      </c>
      <c r="E6672" s="5">
        <f t="shared" si="109"/>
        <v>2014</v>
      </c>
      <c r="F6672" s="3" t="s">
        <v>994</v>
      </c>
      <c r="G6672" s="6">
        <v>996</v>
      </c>
      <c r="H6672" s="5">
        <v>19417</v>
      </c>
    </row>
    <row r="6673" spans="2:8" x14ac:dyDescent="0.4">
      <c r="B6673" s="3" t="s">
        <v>7</v>
      </c>
      <c r="C6673" s="3" t="s">
        <v>993</v>
      </c>
      <c r="D6673" s="4">
        <f>DATE(2014,2,6)</f>
        <v>41676</v>
      </c>
      <c r="E6673" s="5">
        <f t="shared" si="109"/>
        <v>2014</v>
      </c>
      <c r="F6673" s="3" t="s">
        <v>994</v>
      </c>
      <c r="G6673" s="6">
        <v>602.49</v>
      </c>
      <c r="H6673" s="5">
        <v>19473</v>
      </c>
    </row>
    <row r="6674" spans="2:8" x14ac:dyDescent="0.4">
      <c r="B6674" s="3" t="s">
        <v>7</v>
      </c>
      <c r="C6674" s="3" t="s">
        <v>993</v>
      </c>
      <c r="D6674" s="4">
        <f>DATE(2014,2,13)</f>
        <v>41683</v>
      </c>
      <c r="E6674" s="5">
        <f t="shared" si="109"/>
        <v>2014</v>
      </c>
      <c r="F6674" s="3" t="s">
        <v>994</v>
      </c>
      <c r="G6674" s="6">
        <v>2970</v>
      </c>
      <c r="H6674" s="5">
        <v>19485</v>
      </c>
    </row>
    <row r="6675" spans="2:8" x14ac:dyDescent="0.4">
      <c r="B6675" s="3" t="s">
        <v>7</v>
      </c>
      <c r="C6675" s="3" t="s">
        <v>993</v>
      </c>
      <c r="D6675" s="4">
        <f>DATE(2014,2,14)</f>
        <v>41684</v>
      </c>
      <c r="E6675" s="5">
        <f t="shared" si="109"/>
        <v>2014</v>
      </c>
      <c r="F6675" s="3" t="s">
        <v>994</v>
      </c>
      <c r="G6675" s="6">
        <v>94.2</v>
      </c>
      <c r="H6675" s="5">
        <v>19510</v>
      </c>
    </row>
    <row r="6676" spans="2:8" x14ac:dyDescent="0.4">
      <c r="B6676" s="3" t="s">
        <v>7</v>
      </c>
      <c r="C6676" s="3" t="s">
        <v>993</v>
      </c>
      <c r="D6676" s="4">
        <f>DATE(2014,2,17)</f>
        <v>41687</v>
      </c>
      <c r="E6676" s="5">
        <f t="shared" si="109"/>
        <v>2014</v>
      </c>
      <c r="F6676" s="3" t="s">
        <v>994</v>
      </c>
      <c r="G6676" s="6">
        <v>331.2</v>
      </c>
      <c r="H6676" s="5">
        <v>19522</v>
      </c>
    </row>
    <row r="6677" spans="2:8" x14ac:dyDescent="0.4">
      <c r="B6677" s="3" t="s">
        <v>7</v>
      </c>
      <c r="C6677" s="3" t="s">
        <v>993</v>
      </c>
      <c r="D6677" s="4">
        <f>DATE(2014,2,28)</f>
        <v>41698</v>
      </c>
      <c r="E6677" s="5">
        <f t="shared" si="109"/>
        <v>2014</v>
      </c>
      <c r="F6677" s="3" t="s">
        <v>994</v>
      </c>
      <c r="G6677" s="6">
        <v>3888</v>
      </c>
      <c r="H6677" s="5">
        <v>19591</v>
      </c>
    </row>
    <row r="6678" spans="2:8" x14ac:dyDescent="0.4">
      <c r="B6678" s="3" t="s">
        <v>7</v>
      </c>
      <c r="C6678" s="3" t="s">
        <v>993</v>
      </c>
      <c r="D6678" s="4">
        <f>DATE(2014,3,3)</f>
        <v>41701</v>
      </c>
      <c r="E6678" s="5">
        <f t="shared" si="109"/>
        <v>2014</v>
      </c>
      <c r="F6678" s="3" t="s">
        <v>994</v>
      </c>
      <c r="G6678" s="6">
        <v>340.81</v>
      </c>
      <c r="H6678" s="5">
        <v>19590</v>
      </c>
    </row>
    <row r="6679" spans="2:8" x14ac:dyDescent="0.4">
      <c r="B6679" s="3" t="s">
        <v>7</v>
      </c>
      <c r="C6679" s="3" t="s">
        <v>993</v>
      </c>
      <c r="D6679" s="4">
        <f>DATE(2014,3,6)</f>
        <v>41704</v>
      </c>
      <c r="E6679" s="5">
        <f t="shared" si="109"/>
        <v>2014</v>
      </c>
      <c r="F6679" s="3" t="s">
        <v>994</v>
      </c>
      <c r="G6679" s="6">
        <v>895</v>
      </c>
      <c r="H6679" s="5">
        <v>19620</v>
      </c>
    </row>
    <row r="6680" spans="2:8" x14ac:dyDescent="0.4">
      <c r="B6680" s="3" t="s">
        <v>7</v>
      </c>
      <c r="C6680" s="3" t="s">
        <v>993</v>
      </c>
      <c r="D6680" s="4">
        <f>DATE(2014,3,11)</f>
        <v>41709</v>
      </c>
      <c r="E6680" s="5">
        <f t="shared" si="109"/>
        <v>2014</v>
      </c>
      <c r="F6680" s="3" t="s">
        <v>994</v>
      </c>
      <c r="G6680" s="6">
        <v>334</v>
      </c>
      <c r="H6680" s="5">
        <v>19673</v>
      </c>
    </row>
    <row r="6681" spans="2:8" x14ac:dyDescent="0.4">
      <c r="B6681" s="3" t="s">
        <v>7</v>
      </c>
      <c r="C6681" s="3" t="s">
        <v>993</v>
      </c>
      <c r="D6681" s="4">
        <f>DATE(2014,3,21)</f>
        <v>41719</v>
      </c>
      <c r="E6681" s="5">
        <f t="shared" si="109"/>
        <v>2014</v>
      </c>
      <c r="F6681" s="3" t="s">
        <v>994</v>
      </c>
      <c r="G6681" s="6">
        <v>12894.85</v>
      </c>
      <c r="H6681" s="5">
        <v>19654</v>
      </c>
    </row>
    <row r="6682" spans="2:8" x14ac:dyDescent="0.4">
      <c r="B6682" s="3" t="s">
        <v>7</v>
      </c>
      <c r="C6682" s="3" t="s">
        <v>993</v>
      </c>
      <c r="D6682" s="4">
        <f>DATE(2014,3,26)</f>
        <v>41724</v>
      </c>
      <c r="E6682" s="5">
        <f t="shared" si="109"/>
        <v>2014</v>
      </c>
      <c r="F6682" s="3" t="s">
        <v>994</v>
      </c>
      <c r="G6682" s="6">
        <v>4896</v>
      </c>
      <c r="H6682" s="5">
        <v>19769</v>
      </c>
    </row>
    <row r="6683" spans="2:8" x14ac:dyDescent="0.4">
      <c r="B6683" s="3" t="s">
        <v>7</v>
      </c>
      <c r="C6683" s="3" t="s">
        <v>993</v>
      </c>
      <c r="D6683" s="4">
        <f>DATE(2014,3,28)</f>
        <v>41726</v>
      </c>
      <c r="E6683" s="5">
        <f t="shared" si="109"/>
        <v>2014</v>
      </c>
      <c r="F6683" s="3" t="s">
        <v>994</v>
      </c>
      <c r="G6683" s="6">
        <v>1417.45</v>
      </c>
      <c r="H6683" s="5">
        <v>19782</v>
      </c>
    </row>
    <row r="6684" spans="2:8" x14ac:dyDescent="0.4">
      <c r="B6684" s="3" t="s">
        <v>7</v>
      </c>
      <c r="C6684" s="3" t="s">
        <v>993</v>
      </c>
      <c r="D6684" s="4">
        <f>DATE(2014,4,1)</f>
        <v>41730</v>
      </c>
      <c r="E6684" s="5">
        <f t="shared" si="109"/>
        <v>2014</v>
      </c>
      <c r="F6684" s="3" t="s">
        <v>994</v>
      </c>
      <c r="G6684" s="6">
        <v>726</v>
      </c>
      <c r="H6684" s="5">
        <v>19779</v>
      </c>
    </row>
    <row r="6685" spans="2:8" x14ac:dyDescent="0.4">
      <c r="B6685" s="3" t="s">
        <v>7</v>
      </c>
      <c r="C6685" s="3" t="s">
        <v>993</v>
      </c>
      <c r="D6685" s="4">
        <f>DATE(2014,4,2)</f>
        <v>41731</v>
      </c>
      <c r="E6685" s="5">
        <f t="shared" si="109"/>
        <v>2014</v>
      </c>
      <c r="F6685" s="3" t="s">
        <v>994</v>
      </c>
      <c r="G6685" s="6">
        <v>318.89999999999998</v>
      </c>
      <c r="H6685" s="5">
        <v>19788</v>
      </c>
    </row>
    <row r="6686" spans="2:8" x14ac:dyDescent="0.4">
      <c r="B6686" s="3" t="s">
        <v>7</v>
      </c>
      <c r="C6686" s="3" t="s">
        <v>993</v>
      </c>
      <c r="D6686" s="4">
        <f>DATE(2014,4,9)</f>
        <v>41738</v>
      </c>
      <c r="E6686" s="5">
        <f t="shared" si="109"/>
        <v>2014</v>
      </c>
      <c r="F6686" s="3" t="s">
        <v>994</v>
      </c>
      <c r="G6686" s="6">
        <v>75</v>
      </c>
      <c r="H6686" s="5">
        <v>19828</v>
      </c>
    </row>
    <row r="6687" spans="2:8" x14ac:dyDescent="0.4">
      <c r="B6687" s="3" t="s">
        <v>7</v>
      </c>
      <c r="C6687" s="3" t="s">
        <v>993</v>
      </c>
      <c r="D6687" s="4">
        <f>DATE(2014,4,9)</f>
        <v>41738</v>
      </c>
      <c r="E6687" s="5">
        <f t="shared" si="109"/>
        <v>2014</v>
      </c>
      <c r="F6687" s="3" t="s">
        <v>994</v>
      </c>
      <c r="G6687" s="6">
        <v>110.4</v>
      </c>
      <c r="H6687" s="5">
        <v>19829</v>
      </c>
    </row>
    <row r="6688" spans="2:8" x14ac:dyDescent="0.4">
      <c r="B6688" s="3" t="s">
        <v>7</v>
      </c>
      <c r="C6688" s="3" t="s">
        <v>993</v>
      </c>
      <c r="D6688" s="4">
        <f>DATE(2014,4,10)</f>
        <v>41739</v>
      </c>
      <c r="E6688" s="5">
        <f t="shared" si="109"/>
        <v>2014</v>
      </c>
      <c r="F6688" s="3" t="s">
        <v>994</v>
      </c>
      <c r="G6688" s="6">
        <v>29346.85</v>
      </c>
      <c r="H6688" s="5">
        <v>19783</v>
      </c>
    </row>
    <row r="6689" spans="2:8" x14ac:dyDescent="0.4">
      <c r="B6689" s="3" t="s">
        <v>7</v>
      </c>
      <c r="C6689" s="3" t="s">
        <v>993</v>
      </c>
      <c r="D6689" s="4">
        <f>DATE(2014,4,15)</f>
        <v>41744</v>
      </c>
      <c r="E6689" s="5">
        <f t="shared" si="109"/>
        <v>2014</v>
      </c>
      <c r="F6689" s="3" t="s">
        <v>994</v>
      </c>
      <c r="G6689" s="6">
        <v>26.74</v>
      </c>
      <c r="H6689" s="5">
        <v>19858</v>
      </c>
    </row>
    <row r="6690" spans="2:8" x14ac:dyDescent="0.4">
      <c r="B6690" s="3" t="s">
        <v>7</v>
      </c>
      <c r="C6690" s="3" t="s">
        <v>993</v>
      </c>
      <c r="D6690" s="4">
        <f>DATE(2014,4,28)</f>
        <v>41757</v>
      </c>
      <c r="E6690" s="5">
        <f t="shared" si="109"/>
        <v>2014</v>
      </c>
      <c r="F6690" s="3" t="s">
        <v>994</v>
      </c>
      <c r="G6690" s="6">
        <v>9720</v>
      </c>
      <c r="H6690" s="5">
        <v>19896</v>
      </c>
    </row>
    <row r="6691" spans="2:8" x14ac:dyDescent="0.4">
      <c r="B6691" s="3" t="s">
        <v>7</v>
      </c>
      <c r="C6691" s="3" t="s">
        <v>993</v>
      </c>
      <c r="D6691" s="4">
        <f>DATE(2014,4,28)</f>
        <v>41757</v>
      </c>
      <c r="E6691" s="5">
        <f t="shared" si="109"/>
        <v>2014</v>
      </c>
      <c r="F6691" s="3" t="s">
        <v>994</v>
      </c>
      <c r="G6691" s="6">
        <v>6753</v>
      </c>
      <c r="H6691" s="5">
        <v>19891</v>
      </c>
    </row>
    <row r="6692" spans="2:8" x14ac:dyDescent="0.4">
      <c r="B6692" s="3" t="s">
        <v>7</v>
      </c>
      <c r="C6692" s="3" t="s">
        <v>993</v>
      </c>
      <c r="D6692" s="4">
        <f>DATE(2014,4,29)</f>
        <v>41758</v>
      </c>
      <c r="E6692" s="5">
        <f t="shared" si="109"/>
        <v>2014</v>
      </c>
      <c r="F6692" s="3" t="s">
        <v>994</v>
      </c>
      <c r="G6692" s="6">
        <v>1155</v>
      </c>
      <c r="H6692" s="5">
        <v>19902</v>
      </c>
    </row>
    <row r="6693" spans="2:8" x14ac:dyDescent="0.4">
      <c r="B6693" s="3" t="s">
        <v>7</v>
      </c>
      <c r="C6693" s="3" t="s">
        <v>993</v>
      </c>
      <c r="D6693" s="4">
        <f>DATE(2014,4,29)</f>
        <v>41758</v>
      </c>
      <c r="E6693" s="5">
        <f t="shared" si="109"/>
        <v>2014</v>
      </c>
      <c r="F6693" s="3" t="s">
        <v>994</v>
      </c>
      <c r="G6693" s="6">
        <v>3250</v>
      </c>
      <c r="H6693" s="5">
        <v>19890</v>
      </c>
    </row>
    <row r="6694" spans="2:8" x14ac:dyDescent="0.4">
      <c r="B6694" s="3" t="s">
        <v>7</v>
      </c>
      <c r="C6694" s="3" t="s">
        <v>993</v>
      </c>
      <c r="D6694" s="4">
        <f>DATE(2014,5,1)</f>
        <v>41760</v>
      </c>
      <c r="E6694" s="5">
        <f t="shared" si="109"/>
        <v>2014</v>
      </c>
      <c r="F6694" s="3" t="s">
        <v>994</v>
      </c>
      <c r="G6694" s="6">
        <v>4235</v>
      </c>
      <c r="H6694" s="5">
        <v>19892</v>
      </c>
    </row>
    <row r="6695" spans="2:8" x14ac:dyDescent="0.4">
      <c r="B6695" s="3" t="s">
        <v>7</v>
      </c>
      <c r="C6695" s="3" t="s">
        <v>993</v>
      </c>
      <c r="D6695" s="4">
        <f>DATE(2014,5,7)</f>
        <v>41766</v>
      </c>
      <c r="E6695" s="5">
        <f t="shared" si="109"/>
        <v>2014</v>
      </c>
      <c r="F6695" s="3" t="s">
        <v>994</v>
      </c>
      <c r="G6695" s="6">
        <v>734.4</v>
      </c>
      <c r="H6695" s="5">
        <v>19923</v>
      </c>
    </row>
    <row r="6696" spans="2:8" x14ac:dyDescent="0.4">
      <c r="B6696" s="3" t="s">
        <v>7</v>
      </c>
      <c r="C6696" s="3" t="s">
        <v>993</v>
      </c>
      <c r="D6696" s="4">
        <f>DATE(2014,5,16)</f>
        <v>41775</v>
      </c>
      <c r="E6696" s="5">
        <f t="shared" si="109"/>
        <v>2014</v>
      </c>
      <c r="F6696" s="3" t="s">
        <v>994</v>
      </c>
      <c r="G6696" s="6">
        <v>1657.7</v>
      </c>
      <c r="H6696" s="5">
        <v>19972</v>
      </c>
    </row>
    <row r="6697" spans="2:8" x14ac:dyDescent="0.4">
      <c r="B6697" s="3" t="s">
        <v>7</v>
      </c>
      <c r="C6697" s="3" t="s">
        <v>993</v>
      </c>
      <c r="D6697" s="4">
        <f>DATE(2014,5,19)</f>
        <v>41778</v>
      </c>
      <c r="E6697" s="5">
        <f t="shared" si="109"/>
        <v>2014</v>
      </c>
      <c r="F6697" s="3" t="s">
        <v>994</v>
      </c>
      <c r="G6697" s="6">
        <v>782</v>
      </c>
      <c r="H6697" s="5">
        <v>19964</v>
      </c>
    </row>
    <row r="6698" spans="2:8" x14ac:dyDescent="0.4">
      <c r="B6698" s="3" t="s">
        <v>7</v>
      </c>
      <c r="C6698" s="3" t="s">
        <v>993</v>
      </c>
      <c r="D6698" s="4">
        <f>DATE(2014,5,19)</f>
        <v>41778</v>
      </c>
      <c r="E6698" s="5">
        <f t="shared" si="109"/>
        <v>2014</v>
      </c>
      <c r="F6698" s="3" t="s">
        <v>994</v>
      </c>
      <c r="G6698" s="6">
        <v>645.1</v>
      </c>
      <c r="H6698" s="5">
        <v>19971</v>
      </c>
    </row>
    <row r="6699" spans="2:8" x14ac:dyDescent="0.4">
      <c r="B6699" s="3" t="s">
        <v>7</v>
      </c>
      <c r="C6699" s="3" t="s">
        <v>993</v>
      </c>
      <c r="D6699" s="4">
        <f>DATE(2014,5,22)</f>
        <v>41781</v>
      </c>
      <c r="E6699" s="5">
        <f t="shared" si="109"/>
        <v>2014</v>
      </c>
      <c r="F6699" s="3" t="s">
        <v>994</v>
      </c>
      <c r="G6699" s="6">
        <v>1836</v>
      </c>
      <c r="H6699" s="5">
        <v>20016</v>
      </c>
    </row>
    <row r="6700" spans="2:8" x14ac:dyDescent="0.4">
      <c r="B6700" s="3" t="s">
        <v>7</v>
      </c>
      <c r="C6700" s="3" t="s">
        <v>993</v>
      </c>
      <c r="D6700" s="4">
        <f>DATE(2014,5,22)</f>
        <v>41781</v>
      </c>
      <c r="E6700" s="5">
        <f t="shared" si="109"/>
        <v>2014</v>
      </c>
      <c r="F6700" s="3" t="s">
        <v>994</v>
      </c>
      <c r="G6700" s="6">
        <v>6326.6</v>
      </c>
      <c r="H6700" s="5">
        <v>19980</v>
      </c>
    </row>
    <row r="6701" spans="2:8" x14ac:dyDescent="0.4">
      <c r="B6701" s="3" t="s">
        <v>7</v>
      </c>
      <c r="C6701" s="3" t="s">
        <v>993</v>
      </c>
      <c r="D6701" s="4">
        <f>DATE(2014,5,29)</f>
        <v>41788</v>
      </c>
      <c r="E6701" s="5">
        <f t="shared" si="109"/>
        <v>2014</v>
      </c>
      <c r="F6701" s="3" t="s">
        <v>994</v>
      </c>
      <c r="G6701" s="6">
        <v>508.3</v>
      </c>
      <c r="H6701" s="5">
        <v>20032</v>
      </c>
    </row>
    <row r="6702" spans="2:8" x14ac:dyDescent="0.4">
      <c r="B6702" s="3" t="s">
        <v>7</v>
      </c>
      <c r="C6702" s="3" t="s">
        <v>993</v>
      </c>
      <c r="D6702" s="4">
        <f>DATE(2014,6,2)</f>
        <v>41792</v>
      </c>
      <c r="E6702" s="5">
        <f t="shared" si="109"/>
        <v>2014</v>
      </c>
      <c r="F6702" s="3" t="s">
        <v>994</v>
      </c>
      <c r="G6702" s="6">
        <v>11628</v>
      </c>
      <c r="H6702" s="5">
        <v>20014</v>
      </c>
    </row>
    <row r="6703" spans="2:8" x14ac:dyDescent="0.4">
      <c r="B6703" s="3" t="s">
        <v>7</v>
      </c>
      <c r="C6703" s="3" t="s">
        <v>993</v>
      </c>
      <c r="D6703" s="4">
        <f>DATE(2014,6,2)</f>
        <v>41792</v>
      </c>
      <c r="E6703" s="5">
        <f t="shared" si="109"/>
        <v>2014</v>
      </c>
      <c r="F6703" s="3" t="s">
        <v>994</v>
      </c>
      <c r="G6703" s="6">
        <v>5310</v>
      </c>
      <c r="H6703" s="5">
        <v>20009</v>
      </c>
    </row>
    <row r="6704" spans="2:8" x14ac:dyDescent="0.4">
      <c r="B6704" s="3" t="s">
        <v>7</v>
      </c>
      <c r="C6704" s="3" t="s">
        <v>993</v>
      </c>
      <c r="D6704" s="4">
        <f>DATE(2014,6,3)</f>
        <v>41793</v>
      </c>
      <c r="E6704" s="5">
        <f t="shared" si="109"/>
        <v>2014</v>
      </c>
      <c r="F6704" s="3" t="s">
        <v>994</v>
      </c>
      <c r="G6704" s="6">
        <v>795</v>
      </c>
      <c r="H6704" s="5">
        <v>20024</v>
      </c>
    </row>
    <row r="6705" spans="2:8" x14ac:dyDescent="0.4">
      <c r="B6705" s="3" t="s">
        <v>7</v>
      </c>
      <c r="C6705" s="3" t="s">
        <v>993</v>
      </c>
      <c r="D6705" s="4">
        <f>DATE(2014,6,3)</f>
        <v>41793</v>
      </c>
      <c r="E6705" s="5">
        <f t="shared" si="109"/>
        <v>2014</v>
      </c>
      <c r="F6705" s="3" t="s">
        <v>994</v>
      </c>
      <c r="G6705" s="6">
        <v>646</v>
      </c>
      <c r="H6705" s="5">
        <v>20043</v>
      </c>
    </row>
    <row r="6706" spans="2:8" x14ac:dyDescent="0.4">
      <c r="B6706" s="3" t="s">
        <v>7</v>
      </c>
      <c r="C6706" s="3" t="s">
        <v>993</v>
      </c>
      <c r="D6706" s="4">
        <f>DATE(2014,6,3)</f>
        <v>41793</v>
      </c>
      <c r="E6706" s="5">
        <f t="shared" si="109"/>
        <v>2014</v>
      </c>
      <c r="F6706" s="3" t="s">
        <v>994</v>
      </c>
      <c r="G6706" s="6">
        <v>605</v>
      </c>
      <c r="H6706" s="5">
        <v>20013</v>
      </c>
    </row>
    <row r="6707" spans="2:8" x14ac:dyDescent="0.4">
      <c r="B6707" s="3" t="s">
        <v>7</v>
      </c>
      <c r="C6707" s="3" t="s">
        <v>993</v>
      </c>
      <c r="D6707" s="4">
        <f>DATE(2014,6,5)</f>
        <v>41795</v>
      </c>
      <c r="E6707" s="5">
        <f t="shared" si="109"/>
        <v>2014</v>
      </c>
      <c r="F6707" s="3" t="s">
        <v>994</v>
      </c>
      <c r="G6707" s="6">
        <v>9720</v>
      </c>
      <c r="H6707" s="5">
        <v>20031</v>
      </c>
    </row>
    <row r="6708" spans="2:8" x14ac:dyDescent="0.4">
      <c r="B6708" s="3" t="s">
        <v>7</v>
      </c>
      <c r="C6708" s="3" t="s">
        <v>993</v>
      </c>
      <c r="D6708" s="4">
        <f>DATE(2014,6,9)</f>
        <v>41799</v>
      </c>
      <c r="E6708" s="5">
        <f t="shared" si="109"/>
        <v>2014</v>
      </c>
      <c r="F6708" s="3" t="s">
        <v>994</v>
      </c>
      <c r="G6708" s="6">
        <v>2057</v>
      </c>
      <c r="H6708" s="5">
        <v>20017</v>
      </c>
    </row>
    <row r="6709" spans="2:8" x14ac:dyDescent="0.4">
      <c r="B6709" s="3" t="s">
        <v>7</v>
      </c>
      <c r="C6709" s="3" t="s">
        <v>993</v>
      </c>
      <c r="D6709" s="4">
        <f>DATE(2014,6,11)</f>
        <v>41801</v>
      </c>
      <c r="E6709" s="5">
        <f t="shared" si="109"/>
        <v>2014</v>
      </c>
      <c r="F6709" s="3" t="s">
        <v>994</v>
      </c>
      <c r="G6709" s="6">
        <v>726</v>
      </c>
      <c r="H6709" s="5">
        <v>20065</v>
      </c>
    </row>
    <row r="6710" spans="2:8" x14ac:dyDescent="0.4">
      <c r="B6710" s="3" t="s">
        <v>7</v>
      </c>
      <c r="C6710" s="3" t="s">
        <v>993</v>
      </c>
      <c r="D6710" s="4">
        <f>DATE(2014,6,13)</f>
        <v>41803</v>
      </c>
      <c r="E6710" s="5">
        <f t="shared" si="109"/>
        <v>2014</v>
      </c>
      <c r="F6710" s="3" t="s">
        <v>994</v>
      </c>
      <c r="G6710" s="6">
        <v>4284</v>
      </c>
      <c r="H6710" s="5">
        <v>20057</v>
      </c>
    </row>
    <row r="6711" spans="2:8" x14ac:dyDescent="0.4">
      <c r="B6711" s="3" t="s">
        <v>7</v>
      </c>
      <c r="C6711" s="3" t="s">
        <v>993</v>
      </c>
      <c r="D6711" s="4">
        <f>DATE(2014,6,13)</f>
        <v>41803</v>
      </c>
      <c r="E6711" s="5">
        <f t="shared" si="109"/>
        <v>2014</v>
      </c>
      <c r="F6711" s="3" t="s">
        <v>994</v>
      </c>
      <c r="G6711" s="6">
        <v>1750</v>
      </c>
      <c r="H6711" s="5">
        <v>20061</v>
      </c>
    </row>
    <row r="6712" spans="2:8" x14ac:dyDescent="0.4">
      <c r="B6712" s="3" t="s">
        <v>7</v>
      </c>
      <c r="C6712" s="3" t="s">
        <v>993</v>
      </c>
      <c r="D6712" s="4">
        <f>DATE(2014,6,17)</f>
        <v>41807</v>
      </c>
      <c r="E6712" s="5">
        <f t="shared" si="109"/>
        <v>2014</v>
      </c>
      <c r="F6712" s="3" t="s">
        <v>994</v>
      </c>
      <c r="G6712" s="6">
        <v>547.35</v>
      </c>
      <c r="H6712" s="5">
        <v>20084</v>
      </c>
    </row>
    <row r="6713" spans="2:8" x14ac:dyDescent="0.4">
      <c r="B6713" s="3" t="s">
        <v>7</v>
      </c>
      <c r="C6713" s="3" t="s">
        <v>993</v>
      </c>
      <c r="D6713" s="4">
        <f>DATE(2014,6,20)</f>
        <v>41810</v>
      </c>
      <c r="E6713" s="5">
        <f t="shared" si="109"/>
        <v>2014</v>
      </c>
      <c r="F6713" s="3" t="s">
        <v>994</v>
      </c>
      <c r="G6713" s="6">
        <v>6444</v>
      </c>
      <c r="H6713" s="5">
        <v>20054</v>
      </c>
    </row>
    <row r="6714" spans="2:8" x14ac:dyDescent="0.4">
      <c r="B6714" s="3" t="s">
        <v>7</v>
      </c>
      <c r="C6714" s="3" t="s">
        <v>993</v>
      </c>
      <c r="D6714" s="4">
        <f>DATE(2014,6,20)</f>
        <v>41810</v>
      </c>
      <c r="E6714" s="5">
        <f t="shared" si="109"/>
        <v>2014</v>
      </c>
      <c r="F6714" s="3" t="s">
        <v>994</v>
      </c>
      <c r="G6714" s="6">
        <v>178</v>
      </c>
      <c r="H6714" s="5">
        <v>20099</v>
      </c>
    </row>
    <row r="6715" spans="2:8" x14ac:dyDescent="0.4">
      <c r="B6715" s="3" t="s">
        <v>7</v>
      </c>
      <c r="C6715" s="3" t="s">
        <v>993</v>
      </c>
      <c r="D6715" s="4">
        <f>DATE(2014,6,20)</f>
        <v>41810</v>
      </c>
      <c r="E6715" s="5">
        <f t="shared" si="109"/>
        <v>2014</v>
      </c>
      <c r="F6715" s="3" t="s">
        <v>994</v>
      </c>
      <c r="G6715" s="6">
        <v>917</v>
      </c>
      <c r="H6715" s="5">
        <v>20111</v>
      </c>
    </row>
    <row r="6716" spans="2:8" x14ac:dyDescent="0.4">
      <c r="B6716" s="3" t="s">
        <v>7</v>
      </c>
      <c r="C6716" s="3" t="s">
        <v>993</v>
      </c>
      <c r="D6716" s="4">
        <f>DATE(2014,6,24)</f>
        <v>41814</v>
      </c>
      <c r="E6716" s="5">
        <f t="shared" si="109"/>
        <v>2014</v>
      </c>
      <c r="F6716" s="3" t="s">
        <v>994</v>
      </c>
      <c r="G6716" s="6">
        <v>795</v>
      </c>
      <c r="H6716" s="5">
        <v>20118</v>
      </c>
    </row>
    <row r="6717" spans="2:8" x14ac:dyDescent="0.4">
      <c r="B6717" s="3" t="s">
        <v>7</v>
      </c>
      <c r="C6717" s="3" t="s">
        <v>993</v>
      </c>
      <c r="D6717" s="4">
        <f>DATE(2014,6,25)</f>
        <v>41815</v>
      </c>
      <c r="E6717" s="5">
        <f t="shared" si="109"/>
        <v>2014</v>
      </c>
      <c r="F6717" s="3" t="s">
        <v>994</v>
      </c>
      <c r="G6717" s="6">
        <v>508.3</v>
      </c>
      <c r="H6717" s="5">
        <v>20100</v>
      </c>
    </row>
    <row r="6718" spans="2:8" x14ac:dyDescent="0.4">
      <c r="B6718" s="3" t="s">
        <v>7</v>
      </c>
      <c r="C6718" s="3" t="s">
        <v>993</v>
      </c>
      <c r="D6718" s="4">
        <f>DATE(2014,6,25)</f>
        <v>41815</v>
      </c>
      <c r="E6718" s="5">
        <f t="shared" si="109"/>
        <v>2014</v>
      </c>
      <c r="F6718" s="3" t="s">
        <v>994</v>
      </c>
      <c r="G6718" s="6">
        <v>318.89999999999998</v>
      </c>
      <c r="H6718" s="5">
        <v>20104</v>
      </c>
    </row>
    <row r="6719" spans="2:8" x14ac:dyDescent="0.4">
      <c r="B6719" s="3" t="s">
        <v>7</v>
      </c>
      <c r="C6719" s="3" t="s">
        <v>993</v>
      </c>
      <c r="D6719" s="4">
        <f>DATE(2014,6,25)</f>
        <v>41815</v>
      </c>
      <c r="E6719" s="5">
        <f t="shared" si="109"/>
        <v>2014</v>
      </c>
      <c r="F6719" s="3" t="s">
        <v>994</v>
      </c>
      <c r="G6719" s="6">
        <v>1925</v>
      </c>
      <c r="H6719" s="5">
        <v>20116</v>
      </c>
    </row>
    <row r="6720" spans="2:8" x14ac:dyDescent="0.4">
      <c r="B6720" s="3" t="s">
        <v>7</v>
      </c>
      <c r="C6720" s="3" t="s">
        <v>993</v>
      </c>
      <c r="D6720" s="4">
        <f>DATE(2014,6,30)</f>
        <v>41820</v>
      </c>
      <c r="E6720" s="5">
        <f t="shared" si="109"/>
        <v>2014</v>
      </c>
      <c r="F6720" s="3" t="s">
        <v>994</v>
      </c>
      <c r="G6720" s="6">
        <v>3978</v>
      </c>
      <c r="H6720" s="5">
        <v>20132</v>
      </c>
    </row>
    <row r="6721" spans="2:8" x14ac:dyDescent="0.4">
      <c r="B6721" s="3" t="s">
        <v>7</v>
      </c>
      <c r="C6721" s="3" t="s">
        <v>993</v>
      </c>
      <c r="D6721" s="4">
        <f>DATE(2014,7,2)</f>
        <v>41822</v>
      </c>
      <c r="E6721" s="5">
        <f t="shared" si="109"/>
        <v>2014</v>
      </c>
      <c r="F6721" s="3" t="s">
        <v>994</v>
      </c>
      <c r="G6721" s="6">
        <v>765</v>
      </c>
      <c r="H6721" s="5">
        <v>20139</v>
      </c>
    </row>
    <row r="6722" spans="2:8" x14ac:dyDescent="0.4">
      <c r="B6722" s="3" t="s">
        <v>7</v>
      </c>
      <c r="C6722" s="3" t="s">
        <v>993</v>
      </c>
      <c r="D6722" s="4">
        <f>DATE(2014,7,3)</f>
        <v>41823</v>
      </c>
      <c r="E6722" s="5">
        <f t="shared" si="109"/>
        <v>2014</v>
      </c>
      <c r="F6722" s="3" t="s">
        <v>994</v>
      </c>
      <c r="G6722" s="6">
        <v>306</v>
      </c>
      <c r="H6722" s="5">
        <v>20140</v>
      </c>
    </row>
    <row r="6723" spans="2:8" x14ac:dyDescent="0.4">
      <c r="B6723" s="3" t="s">
        <v>7</v>
      </c>
      <c r="C6723" s="3" t="s">
        <v>993</v>
      </c>
      <c r="D6723" s="4">
        <f>DATE(2014,6,26)</f>
        <v>41816</v>
      </c>
      <c r="E6723" s="5">
        <f t="shared" ref="E6723:E6786" si="110">YEAR(D6723)</f>
        <v>2014</v>
      </c>
      <c r="F6723" s="3" t="s">
        <v>994</v>
      </c>
      <c r="G6723" s="6">
        <v>6011.57</v>
      </c>
      <c r="H6723" s="5">
        <v>20145</v>
      </c>
    </row>
    <row r="6724" spans="2:8" x14ac:dyDescent="0.4">
      <c r="B6724" s="3" t="s">
        <v>7</v>
      </c>
      <c r="C6724" s="3" t="s">
        <v>993</v>
      </c>
      <c r="D6724" s="4">
        <f>DATE(2014,7,7)</f>
        <v>41827</v>
      </c>
      <c r="E6724" s="5">
        <f t="shared" si="110"/>
        <v>2014</v>
      </c>
      <c r="F6724" s="3" t="s">
        <v>994</v>
      </c>
      <c r="G6724" s="6">
        <v>245.3</v>
      </c>
      <c r="H6724" s="5">
        <v>20134</v>
      </c>
    </row>
    <row r="6725" spans="2:8" x14ac:dyDescent="0.4">
      <c r="B6725" s="3" t="s">
        <v>7</v>
      </c>
      <c r="C6725" s="3" t="s">
        <v>993</v>
      </c>
      <c r="D6725" s="4">
        <f>DATE(2014,7,7)</f>
        <v>41827</v>
      </c>
      <c r="E6725" s="5">
        <f t="shared" si="110"/>
        <v>2014</v>
      </c>
      <c r="F6725" s="3" t="s">
        <v>994</v>
      </c>
      <c r="G6725" s="6">
        <v>2226.4</v>
      </c>
      <c r="H6725" s="5">
        <v>20135</v>
      </c>
    </row>
    <row r="6726" spans="2:8" x14ac:dyDescent="0.4">
      <c r="B6726" s="3" t="s">
        <v>7</v>
      </c>
      <c r="C6726" s="3" t="s">
        <v>993</v>
      </c>
      <c r="D6726" s="4">
        <f>DATE(2014,7,8)</f>
        <v>41828</v>
      </c>
      <c r="E6726" s="5">
        <f t="shared" si="110"/>
        <v>2014</v>
      </c>
      <c r="F6726" s="3" t="s">
        <v>994</v>
      </c>
      <c r="G6726" s="6">
        <v>1806.25</v>
      </c>
      <c r="H6726" s="5">
        <v>20158</v>
      </c>
    </row>
    <row r="6727" spans="2:8" x14ac:dyDescent="0.4">
      <c r="B6727" s="3" t="s">
        <v>7</v>
      </c>
      <c r="C6727" s="3" t="s">
        <v>993</v>
      </c>
      <c r="D6727" s="4">
        <f>DATE(2014,7,9)</f>
        <v>41829</v>
      </c>
      <c r="E6727" s="5">
        <f t="shared" si="110"/>
        <v>2014</v>
      </c>
      <c r="F6727" s="3" t="s">
        <v>994</v>
      </c>
      <c r="G6727" s="6">
        <v>1182</v>
      </c>
      <c r="H6727" s="5">
        <v>20106</v>
      </c>
    </row>
    <row r="6728" spans="2:8" x14ac:dyDescent="0.4">
      <c r="B6728" s="3" t="s">
        <v>7</v>
      </c>
      <c r="C6728" s="3" t="s">
        <v>993</v>
      </c>
      <c r="D6728" s="4">
        <f>DATE(2014,7,11)</f>
        <v>41831</v>
      </c>
      <c r="E6728" s="5">
        <f t="shared" si="110"/>
        <v>2014</v>
      </c>
      <c r="F6728" s="3" t="s">
        <v>994</v>
      </c>
      <c r="G6728" s="6">
        <v>1104</v>
      </c>
      <c r="H6728" s="5">
        <v>20168</v>
      </c>
    </row>
    <row r="6729" spans="2:8" x14ac:dyDescent="0.4">
      <c r="B6729" s="3" t="s">
        <v>7</v>
      </c>
      <c r="C6729" s="3" t="s">
        <v>993</v>
      </c>
      <c r="D6729" s="4">
        <f>DATE(2014,7,15)</f>
        <v>41835</v>
      </c>
      <c r="E6729" s="5">
        <f t="shared" si="110"/>
        <v>2014</v>
      </c>
      <c r="F6729" s="3" t="s">
        <v>994</v>
      </c>
      <c r="G6729" s="6">
        <v>1282.6500000000001</v>
      </c>
      <c r="H6729" s="5">
        <v>20190</v>
      </c>
    </row>
    <row r="6730" spans="2:8" x14ac:dyDescent="0.4">
      <c r="B6730" s="3" t="s">
        <v>7</v>
      </c>
      <c r="C6730" s="3" t="s">
        <v>993</v>
      </c>
      <c r="D6730" s="4">
        <f>DATE(2014,7,16)</f>
        <v>41836</v>
      </c>
      <c r="E6730" s="5">
        <f t="shared" si="110"/>
        <v>2014</v>
      </c>
      <c r="F6730" s="3" t="s">
        <v>994</v>
      </c>
      <c r="G6730" s="6">
        <v>53.56</v>
      </c>
      <c r="H6730" s="5">
        <v>20191</v>
      </c>
    </row>
    <row r="6731" spans="2:8" x14ac:dyDescent="0.4">
      <c r="B6731" s="3" t="s">
        <v>7</v>
      </c>
      <c r="C6731" s="3" t="s">
        <v>993</v>
      </c>
      <c r="D6731" s="4">
        <f>DATE(2014,7,25)</f>
        <v>41845</v>
      </c>
      <c r="E6731" s="5">
        <f t="shared" si="110"/>
        <v>2014</v>
      </c>
      <c r="F6731" s="3" t="s">
        <v>994</v>
      </c>
      <c r="G6731" s="6">
        <v>2494.8000000000002</v>
      </c>
      <c r="H6731" s="5">
        <v>20234</v>
      </c>
    </row>
    <row r="6732" spans="2:8" x14ac:dyDescent="0.4">
      <c r="B6732" s="3" t="s">
        <v>7</v>
      </c>
      <c r="C6732" s="3" t="s">
        <v>993</v>
      </c>
      <c r="D6732" s="4">
        <f>DATE(2014,7,28)</f>
        <v>41848</v>
      </c>
      <c r="E6732" s="5">
        <f t="shared" si="110"/>
        <v>2014</v>
      </c>
      <c r="F6732" s="3" t="s">
        <v>994</v>
      </c>
      <c r="G6732" s="6">
        <v>5263.5</v>
      </c>
      <c r="H6732" s="5">
        <v>20172</v>
      </c>
    </row>
    <row r="6733" spans="2:8" x14ac:dyDescent="0.4">
      <c r="B6733" s="3" t="s">
        <v>7</v>
      </c>
      <c r="C6733" s="3" t="s">
        <v>993</v>
      </c>
      <c r="D6733" s="4">
        <f>DATE(2014,8,1)</f>
        <v>41852</v>
      </c>
      <c r="E6733" s="5">
        <f t="shared" si="110"/>
        <v>2014</v>
      </c>
      <c r="F6733" s="3" t="s">
        <v>994</v>
      </c>
      <c r="G6733" s="6">
        <v>1104</v>
      </c>
      <c r="H6733" s="5">
        <v>20256</v>
      </c>
    </row>
    <row r="6734" spans="2:8" x14ac:dyDescent="0.4">
      <c r="B6734" s="3" t="s">
        <v>7</v>
      </c>
      <c r="C6734" s="3" t="s">
        <v>993</v>
      </c>
      <c r="D6734" s="4">
        <f>DATE(2014,8,5)</f>
        <v>41856</v>
      </c>
      <c r="E6734" s="5">
        <f t="shared" si="110"/>
        <v>2014</v>
      </c>
      <c r="F6734" s="3" t="s">
        <v>994</v>
      </c>
      <c r="G6734" s="6">
        <v>174.42</v>
      </c>
      <c r="H6734" s="5">
        <v>20267</v>
      </c>
    </row>
    <row r="6735" spans="2:8" x14ac:dyDescent="0.4">
      <c r="B6735" s="3" t="s">
        <v>7</v>
      </c>
      <c r="C6735" s="3" t="s">
        <v>993</v>
      </c>
      <c r="D6735" s="4">
        <f>DATE(2014,8,11)</f>
        <v>41862</v>
      </c>
      <c r="E6735" s="5">
        <f t="shared" si="110"/>
        <v>2014</v>
      </c>
      <c r="F6735" s="3" t="s">
        <v>994</v>
      </c>
      <c r="G6735" s="6">
        <v>53.1</v>
      </c>
      <c r="H6735" s="5">
        <v>20288</v>
      </c>
    </row>
    <row r="6736" spans="2:8" x14ac:dyDescent="0.4">
      <c r="B6736" s="3" t="s">
        <v>7</v>
      </c>
      <c r="C6736" s="3" t="s">
        <v>993</v>
      </c>
      <c r="D6736" s="4">
        <f>DATE(2014,8,13)</f>
        <v>41864</v>
      </c>
      <c r="E6736" s="5">
        <f t="shared" si="110"/>
        <v>2014</v>
      </c>
      <c r="F6736" s="3" t="s">
        <v>994</v>
      </c>
      <c r="G6736" s="6">
        <v>20126.02</v>
      </c>
      <c r="H6736" s="5">
        <v>20268</v>
      </c>
    </row>
    <row r="6737" spans="2:8" x14ac:dyDescent="0.4">
      <c r="B6737" s="3" t="s">
        <v>7</v>
      </c>
      <c r="C6737" s="3" t="s">
        <v>993</v>
      </c>
      <c r="D6737" s="4">
        <f>DATE(2014,8,14)</f>
        <v>41865</v>
      </c>
      <c r="E6737" s="5">
        <f t="shared" si="110"/>
        <v>2014</v>
      </c>
      <c r="F6737" s="3" t="s">
        <v>994</v>
      </c>
      <c r="G6737" s="6">
        <v>612</v>
      </c>
      <c r="H6737" s="5">
        <v>20300</v>
      </c>
    </row>
    <row r="6738" spans="2:8" x14ac:dyDescent="0.4">
      <c r="B6738" s="3" t="s">
        <v>7</v>
      </c>
      <c r="C6738" s="3" t="s">
        <v>993</v>
      </c>
      <c r="D6738" s="4">
        <f>DATE(2014,8,18)</f>
        <v>41869</v>
      </c>
      <c r="E6738" s="5">
        <f t="shared" si="110"/>
        <v>2014</v>
      </c>
      <c r="F6738" s="3" t="s">
        <v>994</v>
      </c>
      <c r="G6738" s="6">
        <v>19666.61</v>
      </c>
      <c r="H6738" s="5">
        <v>20306</v>
      </c>
    </row>
    <row r="6739" spans="2:8" x14ac:dyDescent="0.4">
      <c r="B6739" s="3" t="s">
        <v>7</v>
      </c>
      <c r="C6739" s="3" t="s">
        <v>993</v>
      </c>
      <c r="D6739" s="4">
        <f>DATE(2014,8,18)</f>
        <v>41869</v>
      </c>
      <c r="E6739" s="5">
        <f t="shared" si="110"/>
        <v>2014</v>
      </c>
      <c r="F6739" s="3" t="s">
        <v>994</v>
      </c>
      <c r="G6739" s="6">
        <v>543.15</v>
      </c>
      <c r="H6739" s="5">
        <v>20312</v>
      </c>
    </row>
    <row r="6740" spans="2:8" x14ac:dyDescent="0.4">
      <c r="B6740" s="3" t="s">
        <v>7</v>
      </c>
      <c r="C6740" s="3" t="s">
        <v>993</v>
      </c>
      <c r="D6740" s="4">
        <f>DATE(2014,8,19)</f>
        <v>41870</v>
      </c>
      <c r="E6740" s="5">
        <f t="shared" si="110"/>
        <v>2014</v>
      </c>
      <c r="F6740" s="3" t="s">
        <v>994</v>
      </c>
      <c r="G6740" s="6">
        <v>977.6</v>
      </c>
      <c r="H6740" s="5">
        <v>20319</v>
      </c>
    </row>
    <row r="6741" spans="2:8" x14ac:dyDescent="0.4">
      <c r="B6741" s="3" t="s">
        <v>7</v>
      </c>
      <c r="C6741" s="3" t="s">
        <v>993</v>
      </c>
      <c r="D6741" s="4">
        <f>DATE(2014,8,27)</f>
        <v>41878</v>
      </c>
      <c r="E6741" s="5">
        <f t="shared" si="110"/>
        <v>2014</v>
      </c>
      <c r="F6741" s="3" t="s">
        <v>994</v>
      </c>
      <c r="G6741" s="6">
        <v>7122.4</v>
      </c>
      <c r="H6741" s="5">
        <v>20233</v>
      </c>
    </row>
    <row r="6742" spans="2:8" x14ac:dyDescent="0.4">
      <c r="B6742" s="3" t="s">
        <v>7</v>
      </c>
      <c r="C6742" s="3" t="s">
        <v>993</v>
      </c>
      <c r="D6742" s="4">
        <f>DATE(2014,8,27)</f>
        <v>41878</v>
      </c>
      <c r="E6742" s="5">
        <f t="shared" si="110"/>
        <v>2014</v>
      </c>
      <c r="F6742" s="3" t="s">
        <v>994</v>
      </c>
      <c r="G6742" s="6">
        <v>2394</v>
      </c>
      <c r="H6742" s="5">
        <v>20338</v>
      </c>
    </row>
    <row r="6743" spans="2:8" x14ac:dyDescent="0.4">
      <c r="B6743" s="3" t="s">
        <v>7</v>
      </c>
      <c r="C6743" s="3" t="s">
        <v>993</v>
      </c>
      <c r="D6743" s="4">
        <f>DATE(2014,8,28)</f>
        <v>41879</v>
      </c>
      <c r="E6743" s="5">
        <f t="shared" si="110"/>
        <v>2014</v>
      </c>
      <c r="F6743" s="3" t="s">
        <v>994</v>
      </c>
      <c r="G6743" s="6">
        <v>488.8</v>
      </c>
      <c r="H6743" s="5">
        <v>20359</v>
      </c>
    </row>
    <row r="6744" spans="2:8" x14ac:dyDescent="0.4">
      <c r="B6744" s="3" t="s">
        <v>7</v>
      </c>
      <c r="C6744" s="3" t="s">
        <v>993</v>
      </c>
      <c r="D6744" s="4">
        <f>DATE(2014,9,2)</f>
        <v>41884</v>
      </c>
      <c r="E6744" s="5">
        <f t="shared" si="110"/>
        <v>2014</v>
      </c>
      <c r="F6744" s="3" t="s">
        <v>994</v>
      </c>
      <c r="G6744" s="6">
        <v>612</v>
      </c>
      <c r="H6744" s="5">
        <v>20339</v>
      </c>
    </row>
    <row r="6745" spans="2:8" x14ac:dyDescent="0.4">
      <c r="B6745" s="3" t="s">
        <v>7</v>
      </c>
      <c r="C6745" s="3" t="s">
        <v>993</v>
      </c>
      <c r="D6745" s="4">
        <f>DATE(2014,9,2)</f>
        <v>41884</v>
      </c>
      <c r="E6745" s="5">
        <f t="shared" si="110"/>
        <v>2014</v>
      </c>
      <c r="F6745" s="3" t="s">
        <v>994</v>
      </c>
      <c r="G6745" s="6">
        <v>1720</v>
      </c>
      <c r="H6745" s="5">
        <v>20348</v>
      </c>
    </row>
    <row r="6746" spans="2:8" x14ac:dyDescent="0.4">
      <c r="B6746" s="3" t="s">
        <v>7</v>
      </c>
      <c r="C6746" s="3" t="s">
        <v>993</v>
      </c>
      <c r="D6746" s="4">
        <f>DATE(2014,9,2)</f>
        <v>41884</v>
      </c>
      <c r="E6746" s="5">
        <f t="shared" si="110"/>
        <v>2014</v>
      </c>
      <c r="F6746" s="3" t="s">
        <v>994</v>
      </c>
      <c r="G6746" s="6">
        <v>231.2</v>
      </c>
      <c r="H6746" s="5">
        <v>20369</v>
      </c>
    </row>
    <row r="6747" spans="2:8" x14ac:dyDescent="0.4">
      <c r="B6747" s="3" t="s">
        <v>7</v>
      </c>
      <c r="C6747" s="3" t="s">
        <v>993</v>
      </c>
      <c r="D6747" s="4">
        <f>DATE(2014,9,4)</f>
        <v>41886</v>
      </c>
      <c r="E6747" s="5">
        <f t="shared" si="110"/>
        <v>2014</v>
      </c>
      <c r="F6747" s="3" t="s">
        <v>994</v>
      </c>
      <c r="G6747" s="6">
        <v>4161.6000000000004</v>
      </c>
      <c r="H6747" s="5">
        <v>20375</v>
      </c>
    </row>
    <row r="6748" spans="2:8" x14ac:dyDescent="0.4">
      <c r="B6748" s="3" t="s">
        <v>7</v>
      </c>
      <c r="C6748" s="3" t="s">
        <v>993</v>
      </c>
      <c r="D6748" s="4">
        <f>DATE(2014,9,8)</f>
        <v>41890</v>
      </c>
      <c r="E6748" s="5">
        <f t="shared" si="110"/>
        <v>2014</v>
      </c>
      <c r="F6748" s="3" t="s">
        <v>994</v>
      </c>
      <c r="G6748" s="6">
        <v>267.60000000000002</v>
      </c>
      <c r="H6748" s="5">
        <v>20393</v>
      </c>
    </row>
    <row r="6749" spans="2:8" x14ac:dyDescent="0.4">
      <c r="B6749" s="3" t="s">
        <v>7</v>
      </c>
      <c r="C6749" s="3" t="s">
        <v>993</v>
      </c>
      <c r="D6749" s="4">
        <f>DATE(2014,9,10)</f>
        <v>41892</v>
      </c>
      <c r="E6749" s="5">
        <f t="shared" si="110"/>
        <v>2014</v>
      </c>
      <c r="F6749" s="3" t="s">
        <v>994</v>
      </c>
      <c r="G6749" s="6">
        <v>892.73</v>
      </c>
      <c r="H6749" s="5">
        <v>20405</v>
      </c>
    </row>
    <row r="6750" spans="2:8" x14ac:dyDescent="0.4">
      <c r="B6750" s="3" t="s">
        <v>7</v>
      </c>
      <c r="C6750" s="3" t="s">
        <v>993</v>
      </c>
      <c r="D6750" s="4">
        <f>DATE(2014,9,17)</f>
        <v>41899</v>
      </c>
      <c r="E6750" s="5">
        <f t="shared" si="110"/>
        <v>2014</v>
      </c>
      <c r="F6750" s="3" t="s">
        <v>994</v>
      </c>
      <c r="G6750" s="6">
        <v>1955</v>
      </c>
      <c r="H6750" s="5">
        <v>20419</v>
      </c>
    </row>
    <row r="6751" spans="2:8" x14ac:dyDescent="0.4">
      <c r="B6751" s="3" t="s">
        <v>7</v>
      </c>
      <c r="C6751" s="3" t="s">
        <v>993</v>
      </c>
      <c r="D6751" s="4">
        <f>DATE(2014,9,17)</f>
        <v>41899</v>
      </c>
      <c r="E6751" s="5">
        <f t="shared" si="110"/>
        <v>2014</v>
      </c>
      <c r="F6751" s="3" t="s">
        <v>994</v>
      </c>
      <c r="G6751" s="6">
        <v>2394</v>
      </c>
      <c r="H6751" s="5">
        <v>20429</v>
      </c>
    </row>
    <row r="6752" spans="2:8" x14ac:dyDescent="0.4">
      <c r="B6752" s="3" t="s">
        <v>7</v>
      </c>
      <c r="C6752" s="3" t="s">
        <v>993</v>
      </c>
      <c r="D6752" s="4">
        <f>DATE(2014,9,18)</f>
        <v>41900</v>
      </c>
      <c r="E6752" s="5">
        <f t="shared" si="110"/>
        <v>2014</v>
      </c>
      <c r="F6752" s="3" t="s">
        <v>994</v>
      </c>
      <c r="G6752" s="6">
        <v>4081.34</v>
      </c>
      <c r="H6752" s="5">
        <v>20433</v>
      </c>
    </row>
    <row r="6753" spans="2:8" x14ac:dyDescent="0.4">
      <c r="B6753" s="3" t="s">
        <v>7</v>
      </c>
      <c r="C6753" s="3" t="s">
        <v>993</v>
      </c>
      <c r="D6753" s="4">
        <f>DATE(2014,9,19)</f>
        <v>41901</v>
      </c>
      <c r="E6753" s="5">
        <f t="shared" si="110"/>
        <v>2014</v>
      </c>
      <c r="F6753" s="3" t="s">
        <v>994</v>
      </c>
      <c r="G6753" s="6">
        <v>1197</v>
      </c>
      <c r="H6753" s="5">
        <v>20435</v>
      </c>
    </row>
    <row r="6754" spans="2:8" x14ac:dyDescent="0.4">
      <c r="B6754" s="3" t="s">
        <v>7</v>
      </c>
      <c r="C6754" s="3" t="s">
        <v>993</v>
      </c>
      <c r="D6754" s="4">
        <f>DATE(2014,9,24)</f>
        <v>41906</v>
      </c>
      <c r="E6754" s="5">
        <f t="shared" si="110"/>
        <v>2014</v>
      </c>
      <c r="F6754" s="3" t="s">
        <v>994</v>
      </c>
      <c r="G6754" s="6">
        <v>74.5</v>
      </c>
      <c r="H6754" s="5">
        <v>20439</v>
      </c>
    </row>
    <row r="6755" spans="2:8" x14ac:dyDescent="0.4">
      <c r="B6755" s="3" t="s">
        <v>7</v>
      </c>
      <c r="C6755" s="3" t="s">
        <v>993</v>
      </c>
      <c r="D6755" s="4">
        <f>DATE(2014,9,24)</f>
        <v>41906</v>
      </c>
      <c r="E6755" s="5">
        <f t="shared" si="110"/>
        <v>2014</v>
      </c>
      <c r="F6755" s="3" t="s">
        <v>994</v>
      </c>
      <c r="G6755" s="6">
        <v>3150</v>
      </c>
      <c r="H6755" s="5">
        <v>20441</v>
      </c>
    </row>
    <row r="6756" spans="2:8" x14ac:dyDescent="0.4">
      <c r="B6756" s="3" t="s">
        <v>7</v>
      </c>
      <c r="C6756" s="3" t="s">
        <v>993</v>
      </c>
      <c r="D6756" s="4">
        <f>DATE(2014,9,29)</f>
        <v>41911</v>
      </c>
      <c r="E6756" s="5">
        <f t="shared" si="110"/>
        <v>2014</v>
      </c>
      <c r="F6756" s="3" t="s">
        <v>994</v>
      </c>
      <c r="G6756" s="6">
        <v>1009.5</v>
      </c>
      <c r="H6756" s="5">
        <v>20445</v>
      </c>
    </row>
    <row r="6757" spans="2:8" x14ac:dyDescent="0.4">
      <c r="B6757" s="3" t="s">
        <v>7</v>
      </c>
      <c r="C6757" s="3" t="s">
        <v>993</v>
      </c>
      <c r="D6757" s="4">
        <f>DATE(2014,9,30)</f>
        <v>41912</v>
      </c>
      <c r="E6757" s="5">
        <f t="shared" si="110"/>
        <v>2014</v>
      </c>
      <c r="F6757" s="3" t="s">
        <v>994</v>
      </c>
      <c r="G6757" s="6">
        <v>4235</v>
      </c>
      <c r="H6757" s="5">
        <v>20440</v>
      </c>
    </row>
    <row r="6758" spans="2:8" x14ac:dyDescent="0.4">
      <c r="B6758" s="3" t="s">
        <v>7</v>
      </c>
      <c r="C6758" s="3" t="s">
        <v>993</v>
      </c>
      <c r="D6758" s="4">
        <f>DATE(2014,9,30)</f>
        <v>41912</v>
      </c>
      <c r="E6758" s="5">
        <f t="shared" si="110"/>
        <v>2014</v>
      </c>
      <c r="F6758" s="3" t="s">
        <v>994</v>
      </c>
      <c r="G6758" s="6">
        <v>2843.5</v>
      </c>
      <c r="H6758" s="5">
        <v>20471</v>
      </c>
    </row>
    <row r="6759" spans="2:8" x14ac:dyDescent="0.4">
      <c r="B6759" s="3" t="s">
        <v>7</v>
      </c>
      <c r="C6759" s="3" t="s">
        <v>993</v>
      </c>
      <c r="D6759" s="4">
        <f>DATE(2014,10,1)</f>
        <v>41913</v>
      </c>
      <c r="E6759" s="5">
        <f t="shared" si="110"/>
        <v>2014</v>
      </c>
      <c r="F6759" s="3" t="s">
        <v>994</v>
      </c>
      <c r="G6759" s="6">
        <v>340</v>
      </c>
      <c r="H6759" s="5">
        <v>20470</v>
      </c>
    </row>
    <row r="6760" spans="2:8" x14ac:dyDescent="0.4">
      <c r="B6760" s="3" t="s">
        <v>7</v>
      </c>
      <c r="C6760" s="3" t="s">
        <v>993</v>
      </c>
      <c r="D6760" s="4">
        <f>DATE(2014,10,1)</f>
        <v>41913</v>
      </c>
      <c r="E6760" s="5">
        <f t="shared" si="110"/>
        <v>2014</v>
      </c>
      <c r="F6760" s="3" t="s">
        <v>994</v>
      </c>
      <c r="G6760" s="6">
        <v>222.5</v>
      </c>
      <c r="H6760" s="5">
        <v>20472</v>
      </c>
    </row>
    <row r="6761" spans="2:8" x14ac:dyDescent="0.4">
      <c r="B6761" s="3" t="s">
        <v>7</v>
      </c>
      <c r="C6761" s="3" t="s">
        <v>993</v>
      </c>
      <c r="D6761" s="4">
        <f>DATE(2014,10,7)</f>
        <v>41919</v>
      </c>
      <c r="E6761" s="5">
        <f t="shared" si="110"/>
        <v>2014</v>
      </c>
      <c r="F6761" s="3" t="s">
        <v>994</v>
      </c>
      <c r="G6761" s="6">
        <v>51.6</v>
      </c>
      <c r="H6761" s="5">
        <v>20499</v>
      </c>
    </row>
    <row r="6762" spans="2:8" x14ac:dyDescent="0.4">
      <c r="B6762" s="3" t="s">
        <v>7</v>
      </c>
      <c r="C6762" s="3" t="s">
        <v>993</v>
      </c>
      <c r="D6762" s="4">
        <f>DATE(2014,10,21)</f>
        <v>41933</v>
      </c>
      <c r="E6762" s="5">
        <f t="shared" si="110"/>
        <v>2014</v>
      </c>
      <c r="F6762" s="3" t="s">
        <v>994</v>
      </c>
      <c r="G6762" s="6">
        <v>8750</v>
      </c>
      <c r="H6762" s="5">
        <v>20544</v>
      </c>
    </row>
    <row r="6763" spans="2:8" x14ac:dyDescent="0.4">
      <c r="B6763" s="3" t="s">
        <v>7</v>
      </c>
      <c r="C6763" s="3" t="s">
        <v>993</v>
      </c>
      <c r="D6763" s="4">
        <f>DATE(2014,10,22)</f>
        <v>41934</v>
      </c>
      <c r="E6763" s="5">
        <f t="shared" si="110"/>
        <v>2014</v>
      </c>
      <c r="F6763" s="3" t="s">
        <v>994</v>
      </c>
      <c r="G6763" s="6">
        <v>391</v>
      </c>
      <c r="H6763" s="5">
        <v>20563</v>
      </c>
    </row>
    <row r="6764" spans="2:8" x14ac:dyDescent="0.4">
      <c r="B6764" s="3" t="s">
        <v>7</v>
      </c>
      <c r="C6764" s="3" t="s">
        <v>993</v>
      </c>
      <c r="D6764" s="4">
        <f>DATE(2014,11,4)</f>
        <v>41947</v>
      </c>
      <c r="E6764" s="5">
        <f t="shared" si="110"/>
        <v>2014</v>
      </c>
      <c r="F6764" s="3" t="s">
        <v>994</v>
      </c>
      <c r="G6764" s="6">
        <v>38188.800000000003</v>
      </c>
      <c r="H6764" s="5">
        <v>20548</v>
      </c>
    </row>
    <row r="6765" spans="2:8" x14ac:dyDescent="0.4">
      <c r="B6765" s="3" t="s">
        <v>7</v>
      </c>
      <c r="C6765" s="3" t="s">
        <v>993</v>
      </c>
      <c r="D6765" s="4">
        <f>DATE(2014,11,7)</f>
        <v>41950</v>
      </c>
      <c r="E6765" s="5">
        <f t="shared" si="110"/>
        <v>2014</v>
      </c>
      <c r="F6765" s="3" t="s">
        <v>994</v>
      </c>
      <c r="G6765" s="6">
        <v>1210</v>
      </c>
      <c r="H6765" s="5">
        <v>20624</v>
      </c>
    </row>
    <row r="6766" spans="2:8" x14ac:dyDescent="0.4">
      <c r="B6766" s="3" t="s">
        <v>7</v>
      </c>
      <c r="C6766" s="3" t="s">
        <v>993</v>
      </c>
      <c r="D6766" s="4">
        <f>DATE(2014,11,12)</f>
        <v>41955</v>
      </c>
      <c r="E6766" s="5">
        <f t="shared" si="110"/>
        <v>2014</v>
      </c>
      <c r="F6766" s="3" t="s">
        <v>994</v>
      </c>
      <c r="G6766" s="6">
        <v>2375</v>
      </c>
      <c r="H6766" s="5">
        <v>20626</v>
      </c>
    </row>
    <row r="6767" spans="2:8" x14ac:dyDescent="0.4">
      <c r="B6767" s="3" t="s">
        <v>7</v>
      </c>
      <c r="C6767" s="3" t="s">
        <v>993</v>
      </c>
      <c r="D6767" s="4">
        <f>DATE(2014,11,28)</f>
        <v>41971</v>
      </c>
      <c r="E6767" s="5">
        <f t="shared" si="110"/>
        <v>2014</v>
      </c>
      <c r="F6767" s="3" t="s">
        <v>994</v>
      </c>
      <c r="G6767" s="6">
        <v>2625.7</v>
      </c>
      <c r="H6767" s="5">
        <v>20684</v>
      </c>
    </row>
    <row r="6768" spans="2:8" x14ac:dyDescent="0.4">
      <c r="B6768" s="3" t="s">
        <v>7</v>
      </c>
      <c r="C6768" s="3" t="s">
        <v>993</v>
      </c>
      <c r="D6768" s="4">
        <f>DATE(2014,12,9)</f>
        <v>41982</v>
      </c>
      <c r="E6768" s="5">
        <f t="shared" si="110"/>
        <v>2014</v>
      </c>
      <c r="F6768" s="3" t="s">
        <v>994</v>
      </c>
      <c r="G6768" s="6">
        <v>262.5</v>
      </c>
      <c r="H6768" s="5">
        <v>20712</v>
      </c>
    </row>
    <row r="6769" spans="2:8" x14ac:dyDescent="0.4">
      <c r="B6769" s="3" t="s">
        <v>7</v>
      </c>
      <c r="C6769" s="3" t="s">
        <v>993</v>
      </c>
      <c r="D6769" s="4">
        <f>DATE(2014,12,9)</f>
        <v>41982</v>
      </c>
      <c r="E6769" s="5">
        <f t="shared" si="110"/>
        <v>2014</v>
      </c>
      <c r="F6769" s="3" t="s">
        <v>994</v>
      </c>
      <c r="G6769" s="6">
        <v>2420</v>
      </c>
      <c r="H6769" s="5">
        <v>20719</v>
      </c>
    </row>
    <row r="6770" spans="2:8" x14ac:dyDescent="0.4">
      <c r="B6770" s="3" t="s">
        <v>7</v>
      </c>
      <c r="C6770" s="3" t="s">
        <v>993</v>
      </c>
      <c r="D6770" s="4">
        <f>DATE(2014,12,10)</f>
        <v>41983</v>
      </c>
      <c r="E6770" s="5">
        <f t="shared" si="110"/>
        <v>2014</v>
      </c>
      <c r="F6770" s="3" t="s">
        <v>994</v>
      </c>
      <c r="G6770" s="6">
        <v>220</v>
      </c>
      <c r="H6770" s="5">
        <v>20723</v>
      </c>
    </row>
    <row r="6771" spans="2:8" x14ac:dyDescent="0.4">
      <c r="B6771" s="3" t="s">
        <v>7</v>
      </c>
      <c r="C6771" s="3" t="s">
        <v>993</v>
      </c>
      <c r="D6771" s="4">
        <f>DATE(2014,12,10)</f>
        <v>41983</v>
      </c>
      <c r="E6771" s="5">
        <f t="shared" si="110"/>
        <v>2014</v>
      </c>
      <c r="F6771" s="3" t="s">
        <v>994</v>
      </c>
      <c r="G6771" s="6">
        <v>749.7</v>
      </c>
      <c r="H6771" s="5">
        <v>20711</v>
      </c>
    </row>
    <row r="6772" spans="2:8" x14ac:dyDescent="0.4">
      <c r="B6772" s="3" t="s">
        <v>7</v>
      </c>
      <c r="C6772" s="3" t="s">
        <v>993</v>
      </c>
      <c r="D6772" s="4">
        <f>DATE(2014,12,15)</f>
        <v>41988</v>
      </c>
      <c r="E6772" s="5">
        <f t="shared" si="110"/>
        <v>2014</v>
      </c>
      <c r="F6772" s="3" t="s">
        <v>994</v>
      </c>
      <c r="G6772" s="6">
        <v>4192.05</v>
      </c>
      <c r="H6772" s="5">
        <v>20741</v>
      </c>
    </row>
    <row r="6773" spans="2:8" x14ac:dyDescent="0.4">
      <c r="B6773" s="3" t="s">
        <v>7</v>
      </c>
      <c r="C6773" s="3" t="s">
        <v>993</v>
      </c>
      <c r="D6773" s="4">
        <f>DATE(2014,12,16)</f>
        <v>41989</v>
      </c>
      <c r="E6773" s="5">
        <f t="shared" si="110"/>
        <v>2014</v>
      </c>
      <c r="F6773" s="3" t="s">
        <v>994</v>
      </c>
      <c r="G6773" s="6">
        <v>1995</v>
      </c>
      <c r="H6773" s="5">
        <v>20710</v>
      </c>
    </row>
    <row r="6774" spans="2:8" x14ac:dyDescent="0.4">
      <c r="B6774" s="3" t="s">
        <v>7</v>
      </c>
      <c r="C6774" s="3" t="s">
        <v>993</v>
      </c>
      <c r="D6774" s="4">
        <f>DATE(2014,12,16)</f>
        <v>41989</v>
      </c>
      <c r="E6774" s="5">
        <f t="shared" si="110"/>
        <v>2014</v>
      </c>
      <c r="F6774" s="3" t="s">
        <v>994</v>
      </c>
      <c r="G6774" s="6">
        <v>517.69000000000005</v>
      </c>
      <c r="H6774" s="5">
        <v>20735</v>
      </c>
    </row>
    <row r="6775" spans="2:8" x14ac:dyDescent="0.4">
      <c r="B6775" s="3" t="s">
        <v>16</v>
      </c>
      <c r="C6775" s="3" t="s">
        <v>993</v>
      </c>
      <c r="D6775" s="4">
        <f>DATE(2006,4,7)</f>
        <v>38814</v>
      </c>
      <c r="E6775" s="5">
        <f t="shared" si="110"/>
        <v>2006</v>
      </c>
      <c r="F6775" s="3" t="s">
        <v>994</v>
      </c>
      <c r="G6775" s="6">
        <v>11951</v>
      </c>
      <c r="H6775" s="5">
        <v>6481</v>
      </c>
    </row>
    <row r="6776" spans="2:8" x14ac:dyDescent="0.4">
      <c r="B6776" s="3" t="s">
        <v>16</v>
      </c>
      <c r="C6776" s="3" t="s">
        <v>993</v>
      </c>
      <c r="D6776" s="4">
        <f>DATE(2006,4,26)</f>
        <v>38833</v>
      </c>
      <c r="E6776" s="5">
        <f t="shared" si="110"/>
        <v>2006</v>
      </c>
      <c r="F6776" s="3" t="s">
        <v>994</v>
      </c>
      <c r="G6776" s="6">
        <v>21630.68</v>
      </c>
      <c r="H6776" s="5">
        <v>6540</v>
      </c>
    </row>
    <row r="6777" spans="2:8" x14ac:dyDescent="0.4">
      <c r="B6777" s="3" t="s">
        <v>16</v>
      </c>
      <c r="C6777" s="3" t="s">
        <v>993</v>
      </c>
      <c r="D6777" s="4">
        <f>DATE(2007,12,1)</f>
        <v>39417</v>
      </c>
      <c r="E6777" s="5">
        <f t="shared" si="110"/>
        <v>2007</v>
      </c>
      <c r="F6777" s="3" t="s">
        <v>994</v>
      </c>
      <c r="G6777" s="6">
        <v>1619.55</v>
      </c>
      <c r="H6777" s="5">
        <v>9624</v>
      </c>
    </row>
    <row r="6778" spans="2:8" x14ac:dyDescent="0.4">
      <c r="B6778" s="3" t="s">
        <v>16</v>
      </c>
      <c r="C6778" s="3" t="s">
        <v>993</v>
      </c>
      <c r="D6778" s="4">
        <f>DATE(2008,4,9)</f>
        <v>39547</v>
      </c>
      <c r="E6778" s="5">
        <f t="shared" si="110"/>
        <v>2008</v>
      </c>
      <c r="F6778" s="3" t="s">
        <v>994</v>
      </c>
      <c r="G6778" s="6">
        <v>90</v>
      </c>
      <c r="H6778" s="5">
        <v>10438</v>
      </c>
    </row>
    <row r="6779" spans="2:8" x14ac:dyDescent="0.4">
      <c r="B6779" s="3" t="s">
        <v>16</v>
      </c>
      <c r="C6779" s="3" t="s">
        <v>993</v>
      </c>
      <c r="D6779" s="4">
        <f>DATE(2008,5,14)</f>
        <v>39582</v>
      </c>
      <c r="E6779" s="5">
        <f t="shared" si="110"/>
        <v>2008</v>
      </c>
      <c r="F6779" s="3" t="s">
        <v>994</v>
      </c>
      <c r="G6779" s="6">
        <v>550.79999999999995</v>
      </c>
      <c r="H6779" s="5">
        <v>10675</v>
      </c>
    </row>
    <row r="6780" spans="2:8" x14ac:dyDescent="0.4">
      <c r="B6780" s="3" t="s">
        <v>16</v>
      </c>
      <c r="C6780" s="3" t="s">
        <v>993</v>
      </c>
      <c r="D6780" s="4">
        <f>DATE(2008,12,30)</f>
        <v>39812</v>
      </c>
      <c r="E6780" s="5">
        <f t="shared" si="110"/>
        <v>2008</v>
      </c>
      <c r="F6780" s="3" t="s">
        <v>994</v>
      </c>
      <c r="G6780" s="6">
        <v>1999.93</v>
      </c>
      <c r="H6780" s="5">
        <v>11734</v>
      </c>
    </row>
    <row r="6781" spans="2:8" x14ac:dyDescent="0.4">
      <c r="B6781" s="3" t="s">
        <v>16</v>
      </c>
      <c r="C6781" s="3" t="s">
        <v>993</v>
      </c>
      <c r="D6781" s="4">
        <f>DATE(2009,1,22)</f>
        <v>39835</v>
      </c>
      <c r="E6781" s="5">
        <f t="shared" si="110"/>
        <v>2009</v>
      </c>
      <c r="F6781" s="3" t="s">
        <v>994</v>
      </c>
      <c r="G6781" s="6">
        <v>27186.5</v>
      </c>
      <c r="H6781" s="5">
        <v>11862</v>
      </c>
    </row>
    <row r="6782" spans="2:8" x14ac:dyDescent="0.4">
      <c r="B6782" s="3" t="s">
        <v>16</v>
      </c>
      <c r="C6782" s="3" t="s">
        <v>993</v>
      </c>
      <c r="D6782" s="4">
        <f>DATE(2009,3,6)</f>
        <v>39878</v>
      </c>
      <c r="E6782" s="5">
        <f t="shared" si="110"/>
        <v>2009</v>
      </c>
      <c r="F6782" s="3" t="s">
        <v>994</v>
      </c>
      <c r="G6782" s="6">
        <v>613.08000000000004</v>
      </c>
      <c r="H6782" s="5">
        <v>12166</v>
      </c>
    </row>
    <row r="6783" spans="2:8" x14ac:dyDescent="0.4">
      <c r="B6783" s="3" t="s">
        <v>16</v>
      </c>
      <c r="C6783" s="3" t="s">
        <v>993</v>
      </c>
      <c r="D6783" s="4">
        <f>DATE(2009,4,29)</f>
        <v>39932</v>
      </c>
      <c r="E6783" s="5">
        <f t="shared" si="110"/>
        <v>2009</v>
      </c>
      <c r="F6783" s="3" t="s">
        <v>994</v>
      </c>
      <c r="G6783" s="6">
        <v>488.75</v>
      </c>
      <c r="H6783" s="5">
        <v>12168</v>
      </c>
    </row>
    <row r="6784" spans="2:8" x14ac:dyDescent="0.4">
      <c r="B6784" s="3" t="s">
        <v>16</v>
      </c>
      <c r="C6784" s="3" t="s">
        <v>993</v>
      </c>
      <c r="D6784" s="4">
        <f>DATE(2009,3,25)</f>
        <v>39897</v>
      </c>
      <c r="E6784" s="5">
        <f t="shared" si="110"/>
        <v>2009</v>
      </c>
      <c r="F6784" s="3" t="s">
        <v>994</v>
      </c>
      <c r="G6784" s="6">
        <v>6600</v>
      </c>
      <c r="H6784" s="5">
        <v>12258</v>
      </c>
    </row>
    <row r="6785" spans="2:8" x14ac:dyDescent="0.4">
      <c r="B6785" s="3" t="s">
        <v>16</v>
      </c>
      <c r="C6785" s="3" t="s">
        <v>993</v>
      </c>
      <c r="D6785" s="4">
        <f>DATE(2009,5,28)</f>
        <v>39961</v>
      </c>
      <c r="E6785" s="5">
        <f t="shared" si="110"/>
        <v>2009</v>
      </c>
      <c r="F6785" s="3" t="s">
        <v>994</v>
      </c>
      <c r="G6785" s="6">
        <v>1124.99</v>
      </c>
      <c r="H6785" s="5">
        <v>12625</v>
      </c>
    </row>
    <row r="6786" spans="2:8" x14ac:dyDescent="0.4">
      <c r="B6786" s="3" t="s">
        <v>16</v>
      </c>
      <c r="C6786" s="3" t="s">
        <v>993</v>
      </c>
      <c r="D6786" s="4">
        <f>DATE(2009,7,29)</f>
        <v>40023</v>
      </c>
      <c r="E6786" s="5">
        <f t="shared" si="110"/>
        <v>2009</v>
      </c>
      <c r="F6786" s="3" t="s">
        <v>994</v>
      </c>
      <c r="G6786" s="6">
        <v>2041.02</v>
      </c>
      <c r="H6786" s="5">
        <v>12858</v>
      </c>
    </row>
    <row r="6787" spans="2:8" x14ac:dyDescent="0.4">
      <c r="B6787" s="3" t="s">
        <v>16</v>
      </c>
      <c r="C6787" s="3" t="s">
        <v>993</v>
      </c>
      <c r="D6787" s="4">
        <f>DATE(2009,9,23)</f>
        <v>40079</v>
      </c>
      <c r="E6787" s="5">
        <f t="shared" ref="E6787:E6850" si="111">YEAR(D6787)</f>
        <v>2009</v>
      </c>
      <c r="F6787" s="3" t="s">
        <v>994</v>
      </c>
      <c r="G6787" s="6">
        <v>1421</v>
      </c>
      <c r="H6787" s="5">
        <v>13054</v>
      </c>
    </row>
    <row r="6788" spans="2:8" x14ac:dyDescent="0.4">
      <c r="B6788" s="3" t="s">
        <v>16</v>
      </c>
      <c r="C6788" s="3" t="s">
        <v>993</v>
      </c>
      <c r="D6788" s="4">
        <f>DATE(2010,4,2)</f>
        <v>40270</v>
      </c>
      <c r="E6788" s="5">
        <f t="shared" si="111"/>
        <v>2010</v>
      </c>
      <c r="F6788" s="3" t="s">
        <v>994</v>
      </c>
      <c r="G6788" s="6">
        <v>11857</v>
      </c>
      <c r="H6788" s="5">
        <v>13858</v>
      </c>
    </row>
    <row r="6789" spans="2:8" x14ac:dyDescent="0.4">
      <c r="B6789" s="3" t="s">
        <v>16</v>
      </c>
      <c r="C6789" s="3" t="s">
        <v>993</v>
      </c>
      <c r="D6789" s="4">
        <f>DATE(2010,3,25)</f>
        <v>40262</v>
      </c>
      <c r="E6789" s="5">
        <f t="shared" si="111"/>
        <v>2010</v>
      </c>
      <c r="F6789" s="3" t="s">
        <v>994</v>
      </c>
      <c r="G6789" s="6">
        <v>2504.12</v>
      </c>
      <c r="H6789" s="5">
        <v>13893</v>
      </c>
    </row>
    <row r="6790" spans="2:8" x14ac:dyDescent="0.4">
      <c r="B6790" s="3" t="s">
        <v>16</v>
      </c>
      <c r="C6790" s="3" t="s">
        <v>993</v>
      </c>
      <c r="D6790" s="4">
        <f>DATE(2010,6,4)</f>
        <v>40333</v>
      </c>
      <c r="E6790" s="5">
        <f t="shared" si="111"/>
        <v>2010</v>
      </c>
      <c r="F6790" s="3" t="s">
        <v>994</v>
      </c>
      <c r="G6790" s="6">
        <v>367.2</v>
      </c>
      <c r="H6790" s="5">
        <v>14153</v>
      </c>
    </row>
    <row r="6791" spans="2:8" x14ac:dyDescent="0.4">
      <c r="B6791" s="3" t="s">
        <v>16</v>
      </c>
      <c r="C6791" s="3" t="s">
        <v>993</v>
      </c>
      <c r="D6791" s="4">
        <f>DATE(2010,6,22)</f>
        <v>40351</v>
      </c>
      <c r="E6791" s="5">
        <f t="shared" si="111"/>
        <v>2010</v>
      </c>
      <c r="F6791" s="3" t="s">
        <v>994</v>
      </c>
      <c r="G6791" s="6">
        <v>1979</v>
      </c>
      <c r="H6791" s="5">
        <v>14212</v>
      </c>
    </row>
    <row r="6792" spans="2:8" x14ac:dyDescent="0.4">
      <c r="B6792" s="3" t="s">
        <v>16</v>
      </c>
      <c r="C6792" s="3" t="s">
        <v>993</v>
      </c>
      <c r="D6792" s="4">
        <f>DATE(2010,7,19)</f>
        <v>40378</v>
      </c>
      <c r="E6792" s="5">
        <f t="shared" si="111"/>
        <v>2010</v>
      </c>
      <c r="F6792" s="3" t="s">
        <v>994</v>
      </c>
      <c r="G6792" s="6">
        <v>367.2</v>
      </c>
      <c r="H6792" s="5">
        <v>14304</v>
      </c>
    </row>
    <row r="6793" spans="2:8" x14ac:dyDescent="0.4">
      <c r="B6793" s="3" t="s">
        <v>16</v>
      </c>
      <c r="C6793" s="3" t="s">
        <v>993</v>
      </c>
      <c r="D6793" s="4">
        <f>DATE(2010,8,3)</f>
        <v>40393</v>
      </c>
      <c r="E6793" s="5">
        <f t="shared" si="111"/>
        <v>2010</v>
      </c>
      <c r="F6793" s="3" t="s">
        <v>994</v>
      </c>
      <c r="G6793" s="6">
        <v>440.64</v>
      </c>
      <c r="H6793" s="5">
        <v>14351</v>
      </c>
    </row>
    <row r="6794" spans="2:8" x14ac:dyDescent="0.4">
      <c r="B6794" s="3" t="s">
        <v>16</v>
      </c>
      <c r="C6794" s="3" t="s">
        <v>993</v>
      </c>
      <c r="D6794" s="4">
        <f>DATE(2011,2,3)</f>
        <v>40577</v>
      </c>
      <c r="E6794" s="5">
        <f t="shared" si="111"/>
        <v>2011</v>
      </c>
      <c r="F6794" s="3" t="s">
        <v>994</v>
      </c>
      <c r="G6794" s="6">
        <v>3800</v>
      </c>
      <c r="H6794" s="5">
        <v>15022</v>
      </c>
    </row>
    <row r="6795" spans="2:8" x14ac:dyDescent="0.4">
      <c r="B6795" s="3" t="s">
        <v>16</v>
      </c>
      <c r="C6795" s="3" t="s">
        <v>993</v>
      </c>
      <c r="D6795" s="4">
        <f>DATE(2011,9,29)</f>
        <v>40815</v>
      </c>
      <c r="E6795" s="5">
        <f t="shared" si="111"/>
        <v>2011</v>
      </c>
      <c r="F6795" s="3" t="s">
        <v>994</v>
      </c>
      <c r="G6795" s="6">
        <v>2887.5</v>
      </c>
      <c r="H6795" s="5">
        <v>16012</v>
      </c>
    </row>
    <row r="6796" spans="2:8" x14ac:dyDescent="0.4">
      <c r="B6796" s="3" t="s">
        <v>16</v>
      </c>
      <c r="C6796" s="3" t="s">
        <v>993</v>
      </c>
      <c r="D6796" s="4">
        <f>DATE(2011,10,13)</f>
        <v>40829</v>
      </c>
      <c r="E6796" s="5">
        <f t="shared" si="111"/>
        <v>2011</v>
      </c>
      <c r="F6796" s="3" t="s">
        <v>994</v>
      </c>
      <c r="G6796" s="6">
        <v>1877.66</v>
      </c>
      <c r="H6796" s="5">
        <v>16093</v>
      </c>
    </row>
    <row r="6797" spans="2:8" x14ac:dyDescent="0.4">
      <c r="B6797" s="3" t="s">
        <v>16</v>
      </c>
      <c r="C6797" s="3" t="s">
        <v>993</v>
      </c>
      <c r="D6797" s="4">
        <f>DATE(2012,1,5)</f>
        <v>40913</v>
      </c>
      <c r="E6797" s="5">
        <f t="shared" si="111"/>
        <v>2012</v>
      </c>
      <c r="F6797" s="3" t="s">
        <v>994</v>
      </c>
      <c r="G6797" s="6">
        <v>682.5</v>
      </c>
      <c r="H6797" s="5">
        <v>16368</v>
      </c>
    </row>
    <row r="6798" spans="2:8" x14ac:dyDescent="0.4">
      <c r="B6798" s="3" t="s">
        <v>16</v>
      </c>
      <c r="C6798" s="3" t="s">
        <v>993</v>
      </c>
      <c r="D6798" s="4">
        <f>DATE(2012,1,9)</f>
        <v>40917</v>
      </c>
      <c r="E6798" s="5">
        <f t="shared" si="111"/>
        <v>2012</v>
      </c>
      <c r="F6798" s="3" t="s">
        <v>994</v>
      </c>
      <c r="G6798" s="6">
        <v>682.5</v>
      </c>
      <c r="H6798" s="5">
        <v>16381</v>
      </c>
    </row>
    <row r="6799" spans="2:8" x14ac:dyDescent="0.4">
      <c r="B6799" s="3" t="s">
        <v>16</v>
      </c>
      <c r="C6799" s="3" t="s">
        <v>993</v>
      </c>
      <c r="D6799" s="4">
        <f>DATE(2012,2,15)</f>
        <v>40954</v>
      </c>
      <c r="E6799" s="5">
        <f t="shared" si="111"/>
        <v>2012</v>
      </c>
      <c r="F6799" s="3" t="s">
        <v>994</v>
      </c>
      <c r="G6799" s="6">
        <v>5561.6</v>
      </c>
      <c r="H6799" s="5">
        <v>16522</v>
      </c>
    </row>
    <row r="6800" spans="2:8" x14ac:dyDescent="0.4">
      <c r="B6800" s="3" t="s">
        <v>16</v>
      </c>
      <c r="C6800" s="3" t="s">
        <v>993</v>
      </c>
      <c r="D6800" s="4">
        <f>DATE(2012,9,17)</f>
        <v>41169</v>
      </c>
      <c r="E6800" s="5">
        <f t="shared" si="111"/>
        <v>2012</v>
      </c>
      <c r="F6800" s="3" t="s">
        <v>994</v>
      </c>
      <c r="G6800" s="6">
        <v>4500</v>
      </c>
      <c r="H6800" s="5">
        <v>17607</v>
      </c>
    </row>
    <row r="6801" spans="2:8" x14ac:dyDescent="0.4">
      <c r="B6801" s="3" t="s">
        <v>16</v>
      </c>
      <c r="C6801" s="3" t="s">
        <v>993</v>
      </c>
      <c r="D6801" s="4">
        <f>DATE(2012,10,5)</f>
        <v>41187</v>
      </c>
      <c r="E6801" s="5">
        <f t="shared" si="111"/>
        <v>2012</v>
      </c>
      <c r="F6801" s="3" t="s">
        <v>994</v>
      </c>
      <c r="G6801" s="6">
        <v>2040.95</v>
      </c>
      <c r="H6801" s="5">
        <v>17689</v>
      </c>
    </row>
    <row r="6802" spans="2:8" x14ac:dyDescent="0.4">
      <c r="B6802" s="3" t="s">
        <v>16</v>
      </c>
      <c r="C6802" s="3" t="s">
        <v>993</v>
      </c>
      <c r="D6802" s="4">
        <f>DATE(2012,12,5)</f>
        <v>41248</v>
      </c>
      <c r="E6802" s="5">
        <f t="shared" si="111"/>
        <v>2012</v>
      </c>
      <c r="F6802" s="3" t="s">
        <v>994</v>
      </c>
      <c r="G6802" s="6">
        <v>3750</v>
      </c>
      <c r="H6802" s="5">
        <v>17883</v>
      </c>
    </row>
    <row r="6803" spans="2:8" x14ac:dyDescent="0.4">
      <c r="B6803" s="3" t="s">
        <v>16</v>
      </c>
      <c r="C6803" s="3" t="s">
        <v>993</v>
      </c>
      <c r="D6803" s="4">
        <f>DATE(2013,8,8)</f>
        <v>41494</v>
      </c>
      <c r="E6803" s="5">
        <f t="shared" si="111"/>
        <v>2013</v>
      </c>
      <c r="F6803" s="3" t="s">
        <v>994</v>
      </c>
      <c r="G6803" s="6">
        <v>5259</v>
      </c>
      <c r="H6803" s="5">
        <v>18859</v>
      </c>
    </row>
    <row r="6804" spans="2:8" x14ac:dyDescent="0.4">
      <c r="B6804" s="3" t="s">
        <v>16</v>
      </c>
      <c r="C6804" s="3" t="s">
        <v>993</v>
      </c>
      <c r="D6804" s="4">
        <f>DATE(2014,5,7)</f>
        <v>41766</v>
      </c>
      <c r="E6804" s="5">
        <f t="shared" si="111"/>
        <v>2014</v>
      </c>
      <c r="F6804" s="3" t="s">
        <v>994</v>
      </c>
      <c r="G6804" s="6">
        <v>2000</v>
      </c>
      <c r="H6804" s="5">
        <v>19946</v>
      </c>
    </row>
    <row r="6805" spans="2:8" x14ac:dyDescent="0.4">
      <c r="B6805" s="3" t="s">
        <v>16</v>
      </c>
      <c r="C6805" s="3" t="s">
        <v>993</v>
      </c>
      <c r="D6805" s="4">
        <f>DATE(2014,6,17)</f>
        <v>41807</v>
      </c>
      <c r="E6805" s="5">
        <f t="shared" si="111"/>
        <v>2014</v>
      </c>
      <c r="F6805" s="3" t="s">
        <v>994</v>
      </c>
      <c r="G6805" s="6">
        <v>1003.59</v>
      </c>
      <c r="H6805" s="5">
        <v>20093</v>
      </c>
    </row>
    <row r="6806" spans="2:8" x14ac:dyDescent="0.4">
      <c r="B6806" s="3" t="s">
        <v>16</v>
      </c>
      <c r="C6806" s="3" t="s">
        <v>993</v>
      </c>
      <c r="D6806" s="4">
        <f>DATE(2014,7,1)</f>
        <v>41821</v>
      </c>
      <c r="E6806" s="5">
        <f t="shared" si="111"/>
        <v>2014</v>
      </c>
      <c r="F6806" s="3" t="s">
        <v>994</v>
      </c>
      <c r="G6806" s="6">
        <v>7924</v>
      </c>
      <c r="H6806" s="5">
        <v>20122</v>
      </c>
    </row>
    <row r="6807" spans="2:8" x14ac:dyDescent="0.4">
      <c r="B6807" s="3" t="s">
        <v>16</v>
      </c>
      <c r="C6807" s="3" t="s">
        <v>993</v>
      </c>
      <c r="D6807" s="4">
        <f>DATE(2014,7,1)</f>
        <v>41821</v>
      </c>
      <c r="E6807" s="5">
        <f t="shared" si="111"/>
        <v>2014</v>
      </c>
      <c r="F6807" s="3" t="s">
        <v>994</v>
      </c>
      <c r="G6807" s="6">
        <v>3250</v>
      </c>
      <c r="H6807" s="5">
        <v>20123</v>
      </c>
    </row>
    <row r="6808" spans="2:8" x14ac:dyDescent="0.4">
      <c r="B6808" s="3" t="s">
        <v>16</v>
      </c>
      <c r="C6808" s="3" t="s">
        <v>993</v>
      </c>
      <c r="D6808" s="4">
        <f>DATE(2014,7,1)</f>
        <v>41821</v>
      </c>
      <c r="E6808" s="5">
        <f t="shared" si="111"/>
        <v>2014</v>
      </c>
      <c r="F6808" s="3" t="s">
        <v>994</v>
      </c>
      <c r="G6808" s="6">
        <v>766.36</v>
      </c>
      <c r="H6808" s="5">
        <v>20124</v>
      </c>
    </row>
    <row r="6809" spans="2:8" x14ac:dyDescent="0.4">
      <c r="B6809" s="3" t="s">
        <v>16</v>
      </c>
      <c r="C6809" s="3" t="s">
        <v>993</v>
      </c>
      <c r="D6809" s="4">
        <f>DATE(2014,8,21)</f>
        <v>41872</v>
      </c>
      <c r="E6809" s="5">
        <f t="shared" si="111"/>
        <v>2014</v>
      </c>
      <c r="F6809" s="3" t="s">
        <v>994</v>
      </c>
      <c r="G6809" s="6">
        <v>2167.5</v>
      </c>
      <c r="H6809" s="5">
        <v>20317</v>
      </c>
    </row>
    <row r="6810" spans="2:8" x14ac:dyDescent="0.4">
      <c r="B6810" t="s">
        <v>7</v>
      </c>
      <c r="C6810" t="s">
        <v>995</v>
      </c>
      <c r="D6810" s="7">
        <f>DATE(2016,4,27)</f>
        <v>42487</v>
      </c>
      <c r="E6810" s="8">
        <f t="shared" si="111"/>
        <v>2016</v>
      </c>
      <c r="F6810" t="s">
        <v>996</v>
      </c>
      <c r="G6810" s="9">
        <v>3759.53</v>
      </c>
      <c r="H6810" s="8">
        <v>22296</v>
      </c>
    </row>
    <row r="6811" spans="2:8" x14ac:dyDescent="0.4">
      <c r="B6811" t="s">
        <v>7</v>
      </c>
      <c r="C6811" t="s">
        <v>995</v>
      </c>
      <c r="D6811" s="7">
        <f>DATE(2016,3,22)</f>
        <v>42451</v>
      </c>
      <c r="E6811" s="8">
        <f t="shared" si="111"/>
        <v>2016</v>
      </c>
      <c r="F6811" t="s">
        <v>996</v>
      </c>
      <c r="G6811" s="9">
        <v>3897</v>
      </c>
      <c r="H6811" s="8">
        <v>22505</v>
      </c>
    </row>
    <row r="6812" spans="2:8" x14ac:dyDescent="0.4">
      <c r="B6812" t="s">
        <v>16</v>
      </c>
      <c r="C6812" t="s">
        <v>995</v>
      </c>
      <c r="D6812" s="7">
        <f>DATE(2016,12,1)</f>
        <v>42705</v>
      </c>
      <c r="E6812" s="8">
        <f t="shared" si="111"/>
        <v>2016</v>
      </c>
      <c r="F6812" t="s">
        <v>996</v>
      </c>
      <c r="G6812" s="9">
        <v>4080</v>
      </c>
      <c r="H6812" s="8">
        <v>23982</v>
      </c>
    </row>
    <row r="6813" spans="2:8" x14ac:dyDescent="0.4">
      <c r="B6813" s="3" t="s">
        <v>7</v>
      </c>
      <c r="C6813" s="3" t="s">
        <v>997</v>
      </c>
      <c r="D6813" s="4">
        <f>DATE(2010,6,24)</f>
        <v>40353</v>
      </c>
      <c r="E6813" s="5">
        <f t="shared" si="111"/>
        <v>2010</v>
      </c>
      <c r="F6813" s="3" t="s">
        <v>998</v>
      </c>
      <c r="G6813" s="6">
        <v>6574</v>
      </c>
      <c r="H6813" s="5">
        <v>14204</v>
      </c>
    </row>
    <row r="6814" spans="2:8" x14ac:dyDescent="0.4">
      <c r="B6814" s="3" t="s">
        <v>7</v>
      </c>
      <c r="C6814" s="3" t="s">
        <v>997</v>
      </c>
      <c r="D6814" s="4">
        <f>DATE(2012,3,13)</f>
        <v>40981</v>
      </c>
      <c r="E6814" s="5">
        <f t="shared" si="111"/>
        <v>2012</v>
      </c>
      <c r="F6814" s="3" t="s">
        <v>998</v>
      </c>
      <c r="G6814" s="6">
        <v>2196</v>
      </c>
      <c r="H6814" s="5">
        <v>16736</v>
      </c>
    </row>
    <row r="6815" spans="2:8" x14ac:dyDescent="0.4">
      <c r="B6815" s="3" t="s">
        <v>7</v>
      </c>
      <c r="C6815" s="3" t="s">
        <v>997</v>
      </c>
      <c r="D6815" s="4">
        <f>DATE(2013,7,18)</f>
        <v>41473</v>
      </c>
      <c r="E6815" s="5">
        <f t="shared" si="111"/>
        <v>2013</v>
      </c>
      <c r="F6815" s="3" t="s">
        <v>998</v>
      </c>
      <c r="G6815" s="6">
        <v>11002.58</v>
      </c>
      <c r="H6815" s="5">
        <v>18740</v>
      </c>
    </row>
    <row r="6816" spans="2:8" x14ac:dyDescent="0.4">
      <c r="B6816" s="3" t="s">
        <v>7</v>
      </c>
      <c r="C6816" s="3" t="s">
        <v>997</v>
      </c>
      <c r="D6816" s="4">
        <f>DATE(2014,1,2)</f>
        <v>41641</v>
      </c>
      <c r="E6816" s="5">
        <f t="shared" si="111"/>
        <v>2014</v>
      </c>
      <c r="F6816" s="3" t="s">
        <v>998</v>
      </c>
      <c r="G6816" s="6">
        <v>1322</v>
      </c>
      <c r="H6816" s="5">
        <v>19358</v>
      </c>
    </row>
    <row r="6817" spans="2:8" x14ac:dyDescent="0.4">
      <c r="B6817" s="3" t="s">
        <v>7</v>
      </c>
      <c r="C6817" s="3" t="s">
        <v>997</v>
      </c>
      <c r="D6817" s="4">
        <f>DATE(2014,3,24)</f>
        <v>41722</v>
      </c>
      <c r="E6817" s="5">
        <f t="shared" si="111"/>
        <v>2014</v>
      </c>
      <c r="F6817" s="3" t="s">
        <v>998</v>
      </c>
      <c r="G6817" s="6">
        <v>4389</v>
      </c>
      <c r="H6817" s="5">
        <v>19734</v>
      </c>
    </row>
    <row r="6818" spans="2:8" x14ac:dyDescent="0.4">
      <c r="B6818" t="s">
        <v>7</v>
      </c>
      <c r="C6818" t="s">
        <v>999</v>
      </c>
      <c r="D6818" s="7">
        <f>DATE(2019,4,25)</f>
        <v>43580</v>
      </c>
      <c r="E6818" s="8">
        <f t="shared" si="111"/>
        <v>2019</v>
      </c>
      <c r="F6818" t="s">
        <v>1000</v>
      </c>
      <c r="G6818" s="9">
        <v>1768</v>
      </c>
      <c r="H6818" s="8">
        <v>28882</v>
      </c>
    </row>
    <row r="6819" spans="2:8" x14ac:dyDescent="0.4">
      <c r="B6819" t="s">
        <v>7</v>
      </c>
      <c r="C6819" t="s">
        <v>1001</v>
      </c>
      <c r="D6819" s="7">
        <f>DATE(2015,7,1)</f>
        <v>42186</v>
      </c>
      <c r="E6819" s="8">
        <f t="shared" si="111"/>
        <v>2015</v>
      </c>
      <c r="F6819" t="s">
        <v>1002</v>
      </c>
      <c r="G6819" s="9">
        <v>9905.7999999999993</v>
      </c>
      <c r="H6819" s="8">
        <v>20763</v>
      </c>
    </row>
    <row r="6820" spans="2:8" x14ac:dyDescent="0.4">
      <c r="B6820" t="s">
        <v>7</v>
      </c>
      <c r="C6820" t="s">
        <v>1001</v>
      </c>
      <c r="D6820" s="7">
        <f>DATE(2016,4,1)</f>
        <v>42461</v>
      </c>
      <c r="E6820" s="8">
        <f t="shared" si="111"/>
        <v>2016</v>
      </c>
      <c r="F6820" t="s">
        <v>1002</v>
      </c>
      <c r="G6820" s="9">
        <v>54223</v>
      </c>
      <c r="H6820" s="8">
        <v>21823</v>
      </c>
    </row>
    <row r="6821" spans="2:8" x14ac:dyDescent="0.4">
      <c r="B6821" t="s">
        <v>7</v>
      </c>
      <c r="C6821" t="s">
        <v>1001</v>
      </c>
      <c r="D6821" s="7">
        <f>DATE(2016,4,1)</f>
        <v>42461</v>
      </c>
      <c r="E6821" s="8">
        <f t="shared" si="111"/>
        <v>2016</v>
      </c>
      <c r="F6821" t="s">
        <v>1002</v>
      </c>
      <c r="G6821" s="9">
        <v>4983</v>
      </c>
      <c r="H6821" s="8">
        <v>21827</v>
      </c>
    </row>
    <row r="6822" spans="2:8" x14ac:dyDescent="0.4">
      <c r="B6822" t="s">
        <v>7</v>
      </c>
      <c r="C6822" t="s">
        <v>1001</v>
      </c>
      <c r="D6822" s="7">
        <f>DATE(2016,4,1)</f>
        <v>42461</v>
      </c>
      <c r="E6822" s="8">
        <f t="shared" si="111"/>
        <v>2016</v>
      </c>
      <c r="F6822" t="s">
        <v>1002</v>
      </c>
      <c r="G6822" s="9">
        <v>4845</v>
      </c>
      <c r="H6822" s="8">
        <v>21826</v>
      </c>
    </row>
    <row r="6823" spans="2:8" x14ac:dyDescent="0.4">
      <c r="B6823" t="s">
        <v>7</v>
      </c>
      <c r="C6823" t="s">
        <v>1001</v>
      </c>
      <c r="D6823" s="7">
        <f>DATE(2016,4,26)</f>
        <v>42486</v>
      </c>
      <c r="E6823" s="8">
        <f t="shared" si="111"/>
        <v>2016</v>
      </c>
      <c r="F6823" t="s">
        <v>1002</v>
      </c>
      <c r="G6823" s="9">
        <v>4139.3999999999996</v>
      </c>
      <c r="H6823" s="8">
        <v>22625</v>
      </c>
    </row>
    <row r="6824" spans="2:8" x14ac:dyDescent="0.4">
      <c r="B6824" t="s">
        <v>7</v>
      </c>
      <c r="C6824" t="s">
        <v>1001</v>
      </c>
      <c r="D6824" s="7">
        <f>DATE(2018,10,3)</f>
        <v>43376</v>
      </c>
      <c r="E6824" s="8">
        <f t="shared" si="111"/>
        <v>2018</v>
      </c>
      <c r="F6824" t="s">
        <v>1002</v>
      </c>
      <c r="G6824" s="9">
        <v>55554</v>
      </c>
      <c r="H6824" s="8">
        <v>27427</v>
      </c>
    </row>
    <row r="6825" spans="2:8" x14ac:dyDescent="0.4">
      <c r="B6825" t="s">
        <v>7</v>
      </c>
      <c r="C6825" t="s">
        <v>1001</v>
      </c>
      <c r="D6825" s="7">
        <f>DATE(2018,10,3)</f>
        <v>43376</v>
      </c>
      <c r="E6825" s="8">
        <f t="shared" si="111"/>
        <v>2018</v>
      </c>
      <c r="F6825" t="s">
        <v>1002</v>
      </c>
      <c r="G6825" s="9">
        <v>4178</v>
      </c>
      <c r="H6825" s="8">
        <v>27429</v>
      </c>
    </row>
    <row r="6826" spans="2:8" x14ac:dyDescent="0.4">
      <c r="B6826" t="s">
        <v>7</v>
      </c>
      <c r="C6826" t="s">
        <v>1001</v>
      </c>
      <c r="D6826" s="7">
        <f>DATE(2018,10,3)</f>
        <v>43376</v>
      </c>
      <c r="E6826" s="8">
        <f t="shared" si="111"/>
        <v>2018</v>
      </c>
      <c r="F6826" t="s">
        <v>1002</v>
      </c>
      <c r="G6826" s="9">
        <v>4209</v>
      </c>
      <c r="H6826" s="8">
        <v>27430</v>
      </c>
    </row>
    <row r="6827" spans="2:8" x14ac:dyDescent="0.4">
      <c r="B6827" t="s">
        <v>7</v>
      </c>
      <c r="C6827" t="s">
        <v>1001</v>
      </c>
      <c r="D6827" s="7">
        <f>DATE(2018,10,9)</f>
        <v>43382</v>
      </c>
      <c r="E6827" s="8">
        <f t="shared" si="111"/>
        <v>2018</v>
      </c>
      <c r="F6827" t="s">
        <v>1002</v>
      </c>
      <c r="G6827" s="9">
        <v>5106.3500000000004</v>
      </c>
      <c r="H6827" s="8">
        <v>27765</v>
      </c>
    </row>
    <row r="6828" spans="2:8" x14ac:dyDescent="0.4">
      <c r="B6828" t="s">
        <v>7</v>
      </c>
      <c r="C6828" t="s">
        <v>1001</v>
      </c>
      <c r="D6828" s="7">
        <f>DATE(2016,4,15)</f>
        <v>42475</v>
      </c>
      <c r="E6828" s="8">
        <f t="shared" si="111"/>
        <v>2016</v>
      </c>
      <c r="F6828" t="s">
        <v>1002</v>
      </c>
      <c r="G6828" s="9">
        <v>69100</v>
      </c>
      <c r="H6828" s="8">
        <v>21828</v>
      </c>
    </row>
    <row r="6829" spans="2:8" x14ac:dyDescent="0.4">
      <c r="B6829" t="s">
        <v>7</v>
      </c>
      <c r="C6829" t="s">
        <v>1001</v>
      </c>
      <c r="D6829" s="7">
        <f>DATE(2017,2,24)</f>
        <v>42790</v>
      </c>
      <c r="E6829" s="8">
        <f t="shared" si="111"/>
        <v>2017</v>
      </c>
      <c r="F6829" t="s">
        <v>1002</v>
      </c>
      <c r="G6829" s="9">
        <v>4109.3500000000004</v>
      </c>
      <c r="H6829" s="8">
        <v>24366</v>
      </c>
    </row>
    <row r="6830" spans="2:8" x14ac:dyDescent="0.4">
      <c r="B6830" t="s">
        <v>7</v>
      </c>
      <c r="C6830" t="s">
        <v>1001</v>
      </c>
      <c r="D6830" s="7">
        <f>DATE(2015,3,19)</f>
        <v>42082</v>
      </c>
      <c r="E6830" s="8">
        <f t="shared" si="111"/>
        <v>2015</v>
      </c>
      <c r="F6830" t="s">
        <v>1002</v>
      </c>
      <c r="G6830" s="9">
        <v>2214</v>
      </c>
      <c r="H6830" s="8">
        <v>20181</v>
      </c>
    </row>
    <row r="6831" spans="2:8" x14ac:dyDescent="0.4">
      <c r="B6831" t="s">
        <v>7</v>
      </c>
      <c r="C6831" t="s">
        <v>1001</v>
      </c>
      <c r="D6831" s="7">
        <f>DATE(2015,12,3)</f>
        <v>42341</v>
      </c>
      <c r="E6831" s="8">
        <f t="shared" si="111"/>
        <v>2015</v>
      </c>
      <c r="F6831" t="s">
        <v>1002</v>
      </c>
      <c r="G6831" s="9">
        <v>42287.5</v>
      </c>
      <c r="H6831" s="8">
        <v>21502</v>
      </c>
    </row>
    <row r="6832" spans="2:8" x14ac:dyDescent="0.4">
      <c r="B6832" t="s">
        <v>7</v>
      </c>
      <c r="C6832" t="s">
        <v>1001</v>
      </c>
      <c r="D6832" s="7">
        <f>DATE(2016,2,17)</f>
        <v>42417</v>
      </c>
      <c r="E6832" s="8">
        <f t="shared" si="111"/>
        <v>2016</v>
      </c>
      <c r="F6832" t="s">
        <v>1002</v>
      </c>
      <c r="G6832" s="9">
        <v>11000</v>
      </c>
      <c r="H6832" s="8">
        <v>22112</v>
      </c>
    </row>
    <row r="6833" spans="2:8" x14ac:dyDescent="0.4">
      <c r="B6833" t="s">
        <v>7</v>
      </c>
      <c r="C6833" t="s">
        <v>1001</v>
      </c>
      <c r="D6833" s="7">
        <f>DATE(2016,7,29)</f>
        <v>42580</v>
      </c>
      <c r="E6833" s="8">
        <f t="shared" si="111"/>
        <v>2016</v>
      </c>
      <c r="F6833" t="s">
        <v>1002</v>
      </c>
      <c r="G6833" s="9">
        <v>960</v>
      </c>
      <c r="H6833" s="8">
        <v>23167</v>
      </c>
    </row>
    <row r="6834" spans="2:8" x14ac:dyDescent="0.4">
      <c r="B6834" t="s">
        <v>7</v>
      </c>
      <c r="C6834" t="s">
        <v>1001</v>
      </c>
      <c r="D6834" s="7">
        <f>DATE(2016,8,31)</f>
        <v>42613</v>
      </c>
      <c r="E6834" s="8">
        <f t="shared" si="111"/>
        <v>2016</v>
      </c>
      <c r="F6834" t="s">
        <v>1002</v>
      </c>
      <c r="G6834" s="9">
        <v>50.25</v>
      </c>
      <c r="H6834" s="8">
        <v>23373</v>
      </c>
    </row>
    <row r="6835" spans="2:8" x14ac:dyDescent="0.4">
      <c r="B6835" t="s">
        <v>7</v>
      </c>
      <c r="C6835" t="s">
        <v>1001</v>
      </c>
      <c r="D6835" s="7">
        <f>DATE(2016,9,7)</f>
        <v>42620</v>
      </c>
      <c r="E6835" s="8">
        <f t="shared" si="111"/>
        <v>2016</v>
      </c>
      <c r="F6835" t="s">
        <v>1002</v>
      </c>
      <c r="G6835" s="9">
        <v>80</v>
      </c>
      <c r="H6835" s="8">
        <v>23366</v>
      </c>
    </row>
    <row r="6836" spans="2:8" x14ac:dyDescent="0.4">
      <c r="B6836" t="s">
        <v>7</v>
      </c>
      <c r="C6836" t="s">
        <v>1001</v>
      </c>
      <c r="D6836" s="7">
        <f>DATE(2016,9,15)</f>
        <v>42628</v>
      </c>
      <c r="E6836" s="8">
        <f t="shared" si="111"/>
        <v>2016</v>
      </c>
      <c r="F6836" t="s">
        <v>1002</v>
      </c>
      <c r="G6836" s="9">
        <v>2750</v>
      </c>
      <c r="H6836" s="8">
        <v>23391</v>
      </c>
    </row>
    <row r="6837" spans="2:8" x14ac:dyDescent="0.4">
      <c r="B6837" t="s">
        <v>7</v>
      </c>
      <c r="C6837" t="s">
        <v>1001</v>
      </c>
      <c r="D6837" s="7">
        <f>DATE(2017,8,7)</f>
        <v>42954</v>
      </c>
      <c r="E6837" s="8">
        <f t="shared" si="111"/>
        <v>2017</v>
      </c>
      <c r="F6837" t="s">
        <v>1002</v>
      </c>
      <c r="G6837" s="9">
        <v>112.8</v>
      </c>
      <c r="H6837" s="8">
        <v>25186</v>
      </c>
    </row>
    <row r="6838" spans="2:8" x14ac:dyDescent="0.4">
      <c r="B6838" t="s">
        <v>7</v>
      </c>
      <c r="C6838" t="s">
        <v>1001</v>
      </c>
      <c r="D6838" s="7">
        <f>DATE(2018,10,5)</f>
        <v>43378</v>
      </c>
      <c r="E6838" s="8">
        <f t="shared" si="111"/>
        <v>2018</v>
      </c>
      <c r="F6838" t="s">
        <v>1002</v>
      </c>
      <c r="G6838" s="9">
        <v>423</v>
      </c>
      <c r="H6838" s="8">
        <v>27749</v>
      </c>
    </row>
    <row r="6839" spans="2:8" x14ac:dyDescent="0.4">
      <c r="B6839" t="s">
        <v>7</v>
      </c>
      <c r="C6839" t="s">
        <v>1001</v>
      </c>
      <c r="D6839" s="7">
        <f>DATE(2019,3,13)</f>
        <v>43537</v>
      </c>
      <c r="E6839" s="8">
        <f t="shared" si="111"/>
        <v>2019</v>
      </c>
      <c r="F6839" t="s">
        <v>1002</v>
      </c>
      <c r="G6839" s="9">
        <v>1046</v>
      </c>
      <c r="H6839" s="8">
        <v>28501</v>
      </c>
    </row>
    <row r="6840" spans="2:8" x14ac:dyDescent="0.4">
      <c r="B6840" t="s">
        <v>7</v>
      </c>
      <c r="C6840" t="s">
        <v>1001</v>
      </c>
      <c r="D6840" s="7">
        <f>DATE(2015,8,28)</f>
        <v>42244</v>
      </c>
      <c r="E6840" s="8">
        <f t="shared" si="111"/>
        <v>2015</v>
      </c>
      <c r="F6840" t="s">
        <v>1002</v>
      </c>
      <c r="G6840" s="9">
        <v>4693.1000000000004</v>
      </c>
      <c r="H6840" s="8">
        <v>21131</v>
      </c>
    </row>
    <row r="6841" spans="2:8" x14ac:dyDescent="0.4">
      <c r="B6841" t="s">
        <v>7</v>
      </c>
      <c r="C6841" t="s">
        <v>1001</v>
      </c>
      <c r="D6841" s="7">
        <f>DATE(2016,1,27)</f>
        <v>42396</v>
      </c>
      <c r="E6841" s="8">
        <f t="shared" si="111"/>
        <v>2016</v>
      </c>
      <c r="F6841" t="s">
        <v>1002</v>
      </c>
      <c r="G6841" s="9">
        <v>3999.95</v>
      </c>
      <c r="H6841" s="8">
        <v>21942</v>
      </c>
    </row>
    <row r="6842" spans="2:8" x14ac:dyDescent="0.4">
      <c r="B6842" t="s">
        <v>7</v>
      </c>
      <c r="C6842" t="s">
        <v>1001</v>
      </c>
      <c r="D6842" s="7">
        <f>DATE(2016,5,23)</f>
        <v>42513</v>
      </c>
      <c r="E6842" s="8">
        <f t="shared" si="111"/>
        <v>2016</v>
      </c>
      <c r="F6842" t="s">
        <v>1002</v>
      </c>
      <c r="G6842" s="9">
        <v>3779.5</v>
      </c>
      <c r="H6842" s="8">
        <v>22824</v>
      </c>
    </row>
    <row r="6843" spans="2:8" x14ac:dyDescent="0.4">
      <c r="B6843" t="s">
        <v>7</v>
      </c>
      <c r="C6843" t="s">
        <v>1001</v>
      </c>
      <c r="D6843" s="7">
        <f>DATE(2016,7,20)</f>
        <v>42571</v>
      </c>
      <c r="E6843" s="8">
        <f t="shared" si="111"/>
        <v>2016</v>
      </c>
      <c r="F6843" t="s">
        <v>1002</v>
      </c>
      <c r="G6843" s="9">
        <v>17999.88</v>
      </c>
      <c r="H6843" s="8">
        <v>23082</v>
      </c>
    </row>
    <row r="6844" spans="2:8" x14ac:dyDescent="0.4">
      <c r="B6844" t="s">
        <v>7</v>
      </c>
      <c r="C6844" t="s">
        <v>1001</v>
      </c>
      <c r="D6844" s="7">
        <f>DATE(2016,11,23)</f>
        <v>42697</v>
      </c>
      <c r="E6844" s="8">
        <f t="shared" si="111"/>
        <v>2016</v>
      </c>
      <c r="F6844" t="s">
        <v>1002</v>
      </c>
      <c r="G6844" s="9">
        <v>7279.4</v>
      </c>
      <c r="H6844" s="8">
        <v>23754</v>
      </c>
    </row>
    <row r="6845" spans="2:8" x14ac:dyDescent="0.4">
      <c r="B6845" t="s">
        <v>7</v>
      </c>
      <c r="C6845" t="s">
        <v>1001</v>
      </c>
      <c r="D6845" s="7">
        <f>DATE(2018,12,14)</f>
        <v>43448</v>
      </c>
      <c r="E6845" s="8">
        <f t="shared" si="111"/>
        <v>2018</v>
      </c>
      <c r="F6845" t="s">
        <v>1002</v>
      </c>
      <c r="G6845" s="9">
        <v>4402.76</v>
      </c>
      <c r="H6845" s="8">
        <v>28056</v>
      </c>
    </row>
    <row r="6846" spans="2:8" x14ac:dyDescent="0.4">
      <c r="B6846" t="s">
        <v>7</v>
      </c>
      <c r="C6846" t="s">
        <v>1001</v>
      </c>
      <c r="D6846" s="7">
        <f>DATE(2016,4,13)</f>
        <v>42473</v>
      </c>
      <c r="E6846" s="8">
        <f t="shared" si="111"/>
        <v>2016</v>
      </c>
      <c r="F6846" t="s">
        <v>1002</v>
      </c>
      <c r="G6846" s="9">
        <v>19935</v>
      </c>
      <c r="H6846" s="8">
        <v>21829</v>
      </c>
    </row>
    <row r="6847" spans="2:8" x14ac:dyDescent="0.4">
      <c r="B6847" t="s">
        <v>7</v>
      </c>
      <c r="C6847" t="s">
        <v>1001</v>
      </c>
      <c r="D6847" s="7">
        <f>DATE(2016,4,11)</f>
        <v>42471</v>
      </c>
      <c r="E6847" s="8">
        <f t="shared" si="111"/>
        <v>2016</v>
      </c>
      <c r="F6847" t="s">
        <v>1002</v>
      </c>
      <c r="G6847" s="9">
        <v>1664.5</v>
      </c>
      <c r="H6847" s="8">
        <v>22592</v>
      </c>
    </row>
    <row r="6848" spans="2:8" x14ac:dyDescent="0.4">
      <c r="B6848" t="s">
        <v>7</v>
      </c>
      <c r="C6848" t="s">
        <v>1001</v>
      </c>
      <c r="D6848" s="7">
        <f>DATE(2016,4,28)</f>
        <v>42488</v>
      </c>
      <c r="E6848" s="8">
        <f t="shared" si="111"/>
        <v>2016</v>
      </c>
      <c r="F6848" t="s">
        <v>1002</v>
      </c>
      <c r="G6848" s="9">
        <v>3191.5</v>
      </c>
      <c r="H6848" s="8">
        <v>22527</v>
      </c>
    </row>
    <row r="6849" spans="2:8" x14ac:dyDescent="0.4">
      <c r="B6849" t="s">
        <v>7</v>
      </c>
      <c r="C6849" t="s">
        <v>1001</v>
      </c>
      <c r="D6849" s="7">
        <f>DATE(2011,9,23)</f>
        <v>40809</v>
      </c>
      <c r="E6849" s="8">
        <f t="shared" si="111"/>
        <v>2011</v>
      </c>
      <c r="F6849" t="s">
        <v>1002</v>
      </c>
      <c r="G6849" s="9">
        <v>67472.259999999995</v>
      </c>
      <c r="H6849" s="8">
        <v>10719</v>
      </c>
    </row>
    <row r="6850" spans="2:8" x14ac:dyDescent="0.4">
      <c r="B6850" t="s">
        <v>7</v>
      </c>
      <c r="C6850" t="s">
        <v>1001</v>
      </c>
      <c r="D6850" s="7">
        <f>DATE(2011,9,23)</f>
        <v>40809</v>
      </c>
      <c r="E6850" s="8">
        <f t="shared" si="111"/>
        <v>2011</v>
      </c>
      <c r="F6850" t="s">
        <v>1002</v>
      </c>
      <c r="G6850" s="9">
        <v>95105.279999999999</v>
      </c>
      <c r="H6850" s="8">
        <v>10720</v>
      </c>
    </row>
    <row r="6851" spans="2:8" x14ac:dyDescent="0.4">
      <c r="B6851" t="s">
        <v>7</v>
      </c>
      <c r="C6851" t="s">
        <v>1001</v>
      </c>
      <c r="D6851" s="7">
        <f>DATE(2012,5,4)</f>
        <v>41033</v>
      </c>
      <c r="E6851" s="8">
        <f t="shared" ref="E6851:E6914" si="112">YEAR(D6851)</f>
        <v>2012</v>
      </c>
      <c r="F6851" t="s">
        <v>1002</v>
      </c>
      <c r="G6851" s="9">
        <v>4337</v>
      </c>
      <c r="H6851" s="8">
        <v>11546</v>
      </c>
    </row>
    <row r="6852" spans="2:8" x14ac:dyDescent="0.4">
      <c r="B6852" t="s">
        <v>7</v>
      </c>
      <c r="C6852" t="s">
        <v>1001</v>
      </c>
      <c r="D6852" s="7">
        <f>DATE(2014,10,7)</f>
        <v>41919</v>
      </c>
      <c r="E6852" s="8">
        <f t="shared" si="112"/>
        <v>2014</v>
      </c>
      <c r="F6852" t="s">
        <v>1002</v>
      </c>
      <c r="G6852" s="9">
        <v>24841</v>
      </c>
      <c r="H6852" s="8">
        <v>13373</v>
      </c>
    </row>
    <row r="6853" spans="2:8" x14ac:dyDescent="0.4">
      <c r="B6853" t="s">
        <v>7</v>
      </c>
      <c r="C6853" t="s">
        <v>1001</v>
      </c>
      <c r="D6853" s="7">
        <f>DATE(2014,10,29)</f>
        <v>41941</v>
      </c>
      <c r="E6853" s="8">
        <f t="shared" si="112"/>
        <v>2014</v>
      </c>
      <c r="F6853" t="s">
        <v>1002</v>
      </c>
      <c r="G6853" s="9">
        <v>75000</v>
      </c>
      <c r="H6853" s="8">
        <v>13505</v>
      </c>
    </row>
    <row r="6854" spans="2:8" x14ac:dyDescent="0.4">
      <c r="B6854" t="s">
        <v>7</v>
      </c>
      <c r="C6854" t="s">
        <v>1001</v>
      </c>
      <c r="D6854" s="7">
        <f>DATE(2003,5,6)</f>
        <v>37747</v>
      </c>
      <c r="E6854" s="8">
        <f t="shared" si="112"/>
        <v>2003</v>
      </c>
      <c r="F6854" t="s">
        <v>1002</v>
      </c>
      <c r="G6854" s="9">
        <v>30620</v>
      </c>
      <c r="H6854" s="8">
        <v>414</v>
      </c>
    </row>
    <row r="6855" spans="2:8" x14ac:dyDescent="0.4">
      <c r="B6855" t="s">
        <v>7</v>
      </c>
      <c r="C6855" t="s">
        <v>1001</v>
      </c>
      <c r="D6855" s="7">
        <f>DATE(2004,4,28)</f>
        <v>38105</v>
      </c>
      <c r="E6855" s="8">
        <f t="shared" si="112"/>
        <v>2004</v>
      </c>
      <c r="F6855" t="s">
        <v>1002</v>
      </c>
      <c r="G6855" s="9">
        <v>38970</v>
      </c>
      <c r="H6855" s="8">
        <v>1284</v>
      </c>
    </row>
    <row r="6856" spans="2:8" x14ac:dyDescent="0.4">
      <c r="B6856" t="s">
        <v>7</v>
      </c>
      <c r="C6856" t="s">
        <v>1001</v>
      </c>
      <c r="D6856" s="7">
        <f>DATE(2004,4,26)</f>
        <v>38103</v>
      </c>
      <c r="E6856" s="8">
        <f t="shared" si="112"/>
        <v>2004</v>
      </c>
      <c r="F6856" t="s">
        <v>1002</v>
      </c>
      <c r="G6856" s="9">
        <v>47350.48</v>
      </c>
      <c r="H6856" s="8">
        <v>1285</v>
      </c>
    </row>
    <row r="6857" spans="2:8" x14ac:dyDescent="0.4">
      <c r="B6857" t="s">
        <v>7</v>
      </c>
      <c r="C6857" t="s">
        <v>1001</v>
      </c>
      <c r="D6857" s="7">
        <f>DATE(2004,5,13)</f>
        <v>38120</v>
      </c>
      <c r="E6857" s="8">
        <f t="shared" si="112"/>
        <v>2004</v>
      </c>
      <c r="F6857" t="s">
        <v>1002</v>
      </c>
      <c r="G6857" s="9">
        <v>748</v>
      </c>
      <c r="H6857" s="8">
        <v>1829</v>
      </c>
    </row>
    <row r="6858" spans="2:8" x14ac:dyDescent="0.4">
      <c r="B6858" t="s">
        <v>7</v>
      </c>
      <c r="C6858" t="s">
        <v>1001</v>
      </c>
      <c r="D6858" s="7">
        <f>DATE(2004,5,24)</f>
        <v>38131</v>
      </c>
      <c r="E6858" s="8">
        <f t="shared" si="112"/>
        <v>2004</v>
      </c>
      <c r="F6858" t="s">
        <v>1002</v>
      </c>
      <c r="G6858" s="9">
        <v>1166.25</v>
      </c>
      <c r="H6858" s="8">
        <v>1812</v>
      </c>
    </row>
    <row r="6859" spans="2:8" x14ac:dyDescent="0.4">
      <c r="B6859" t="s">
        <v>7</v>
      </c>
      <c r="C6859" t="s">
        <v>1001</v>
      </c>
      <c r="D6859" s="7">
        <f>DATE(2005,10,4)</f>
        <v>38629</v>
      </c>
      <c r="E6859" s="8">
        <f t="shared" si="112"/>
        <v>2005</v>
      </c>
      <c r="F6859" t="s">
        <v>1002</v>
      </c>
      <c r="G6859" s="9">
        <v>40000</v>
      </c>
      <c r="H6859" s="8">
        <v>3432</v>
      </c>
    </row>
    <row r="6860" spans="2:8" x14ac:dyDescent="0.4">
      <c r="B6860" t="s">
        <v>7</v>
      </c>
      <c r="C6860" t="s">
        <v>1001</v>
      </c>
      <c r="D6860" s="7">
        <f>DATE(2005,9,21)</f>
        <v>38616</v>
      </c>
      <c r="E6860" s="8">
        <f t="shared" si="112"/>
        <v>2005</v>
      </c>
      <c r="F6860" t="s">
        <v>1002</v>
      </c>
      <c r="G6860" s="9">
        <v>4021.66</v>
      </c>
      <c r="H6860" s="8">
        <v>3465</v>
      </c>
    </row>
    <row r="6861" spans="2:8" x14ac:dyDescent="0.4">
      <c r="B6861" t="s">
        <v>7</v>
      </c>
      <c r="C6861" t="s">
        <v>1001</v>
      </c>
      <c r="D6861" s="7">
        <f>DATE(2005,9,29)</f>
        <v>38624</v>
      </c>
      <c r="E6861" s="8">
        <f t="shared" si="112"/>
        <v>2005</v>
      </c>
      <c r="F6861" t="s">
        <v>1002</v>
      </c>
      <c r="G6861" s="9">
        <v>1674.7</v>
      </c>
      <c r="H6861" s="8">
        <v>3648</v>
      </c>
    </row>
    <row r="6862" spans="2:8" x14ac:dyDescent="0.4">
      <c r="B6862" t="s">
        <v>7</v>
      </c>
      <c r="C6862" t="s">
        <v>1001</v>
      </c>
      <c r="D6862" s="7">
        <f>DATE(2005,10,12)</f>
        <v>38637</v>
      </c>
      <c r="E6862" s="8">
        <f t="shared" si="112"/>
        <v>2005</v>
      </c>
      <c r="F6862" t="s">
        <v>1002</v>
      </c>
      <c r="G6862" s="9">
        <v>1320</v>
      </c>
      <c r="H6862" s="8">
        <v>3640</v>
      </c>
    </row>
    <row r="6863" spans="2:8" x14ac:dyDescent="0.4">
      <c r="B6863" t="s">
        <v>7</v>
      </c>
      <c r="C6863" t="s">
        <v>1001</v>
      </c>
      <c r="D6863" s="7">
        <f>DATE(2005,10,7)</f>
        <v>38632</v>
      </c>
      <c r="E6863" s="8">
        <f t="shared" si="112"/>
        <v>2005</v>
      </c>
      <c r="F6863" t="s">
        <v>1002</v>
      </c>
      <c r="G6863" s="9">
        <v>54885.5</v>
      </c>
      <c r="H6863" s="8">
        <v>3457</v>
      </c>
    </row>
    <row r="6864" spans="2:8" x14ac:dyDescent="0.4">
      <c r="B6864" t="s">
        <v>7</v>
      </c>
      <c r="C6864" t="s">
        <v>1001</v>
      </c>
      <c r="D6864" s="7">
        <f>DATE(2005,10,7)</f>
        <v>38632</v>
      </c>
      <c r="E6864" s="8">
        <f t="shared" si="112"/>
        <v>2005</v>
      </c>
      <c r="F6864" t="s">
        <v>1002</v>
      </c>
      <c r="G6864" s="9">
        <v>2496</v>
      </c>
      <c r="H6864" s="8">
        <v>3639</v>
      </c>
    </row>
    <row r="6865" spans="2:8" x14ac:dyDescent="0.4">
      <c r="B6865" t="s">
        <v>7</v>
      </c>
      <c r="C6865" t="s">
        <v>1001</v>
      </c>
      <c r="D6865" s="7">
        <f>DATE(2005,10,22)</f>
        <v>38647</v>
      </c>
      <c r="E6865" s="8">
        <f t="shared" si="112"/>
        <v>2005</v>
      </c>
      <c r="F6865" t="s">
        <v>1002</v>
      </c>
      <c r="G6865" s="9">
        <v>3826.54</v>
      </c>
      <c r="H6865" s="8">
        <v>3695</v>
      </c>
    </row>
    <row r="6866" spans="2:8" x14ac:dyDescent="0.4">
      <c r="B6866" t="s">
        <v>7</v>
      </c>
      <c r="C6866" t="s">
        <v>1001</v>
      </c>
      <c r="D6866" s="7">
        <f>DATE(2006,10,25)</f>
        <v>39015</v>
      </c>
      <c r="E6866" s="8">
        <f t="shared" si="112"/>
        <v>2006</v>
      </c>
      <c r="F6866" t="s">
        <v>1002</v>
      </c>
      <c r="G6866" s="9">
        <v>5200.45</v>
      </c>
      <c r="H6866" s="8">
        <v>5101</v>
      </c>
    </row>
    <row r="6867" spans="2:8" x14ac:dyDescent="0.4">
      <c r="B6867" t="s">
        <v>7</v>
      </c>
      <c r="C6867" t="s">
        <v>1001</v>
      </c>
      <c r="D6867" s="7">
        <f>DATE(2007,3,13)</f>
        <v>39154</v>
      </c>
      <c r="E6867" s="8">
        <f t="shared" si="112"/>
        <v>2007</v>
      </c>
      <c r="F6867" t="s">
        <v>1002</v>
      </c>
      <c r="G6867" s="9">
        <v>65319</v>
      </c>
      <c r="H6867" s="8">
        <v>5380</v>
      </c>
    </row>
    <row r="6868" spans="2:8" x14ac:dyDescent="0.4">
      <c r="B6868" t="s">
        <v>7</v>
      </c>
      <c r="C6868" t="s">
        <v>1001</v>
      </c>
      <c r="D6868" s="7">
        <f>DATE(2007,5,5)</f>
        <v>39207</v>
      </c>
      <c r="E6868" s="8">
        <f t="shared" si="112"/>
        <v>2007</v>
      </c>
      <c r="F6868" t="s">
        <v>1002</v>
      </c>
      <c r="G6868" s="9">
        <v>53900</v>
      </c>
      <c r="H6868" s="8">
        <v>5429</v>
      </c>
    </row>
    <row r="6869" spans="2:8" x14ac:dyDescent="0.4">
      <c r="B6869" t="s">
        <v>7</v>
      </c>
      <c r="C6869" t="s">
        <v>1001</v>
      </c>
      <c r="D6869" s="7">
        <f>DATE(2007,5,14)</f>
        <v>39216</v>
      </c>
      <c r="E6869" s="8">
        <f t="shared" si="112"/>
        <v>2007</v>
      </c>
      <c r="F6869" t="s">
        <v>1002</v>
      </c>
      <c r="G6869" s="9">
        <v>47564.44</v>
      </c>
      <c r="H6869" s="8">
        <v>5833</v>
      </c>
    </row>
    <row r="6870" spans="2:8" x14ac:dyDescent="0.4">
      <c r="B6870" t="s">
        <v>7</v>
      </c>
      <c r="C6870" t="s">
        <v>1001</v>
      </c>
      <c r="D6870" s="7">
        <f>DATE(2007,6,1)</f>
        <v>39234</v>
      </c>
      <c r="E6870" s="8">
        <f t="shared" si="112"/>
        <v>2007</v>
      </c>
      <c r="F6870" t="s">
        <v>1002</v>
      </c>
      <c r="G6870" s="9">
        <v>7096.62</v>
      </c>
      <c r="H6870" s="8">
        <v>5756</v>
      </c>
    </row>
    <row r="6871" spans="2:8" x14ac:dyDescent="0.4">
      <c r="B6871" t="s">
        <v>7</v>
      </c>
      <c r="C6871" t="s">
        <v>1001</v>
      </c>
      <c r="D6871" s="7">
        <f>DATE(2007,6,1)</f>
        <v>39234</v>
      </c>
      <c r="E6871" s="8">
        <f t="shared" si="112"/>
        <v>2007</v>
      </c>
      <c r="F6871" t="s">
        <v>1002</v>
      </c>
      <c r="G6871" s="9">
        <v>7096.62</v>
      </c>
      <c r="H6871" s="8">
        <v>6110</v>
      </c>
    </row>
    <row r="6872" spans="2:8" x14ac:dyDescent="0.4">
      <c r="B6872" t="s">
        <v>7</v>
      </c>
      <c r="C6872" t="s">
        <v>1001</v>
      </c>
      <c r="D6872" s="7">
        <f>DATE(2007,6,1)</f>
        <v>39234</v>
      </c>
      <c r="E6872" s="8">
        <f t="shared" si="112"/>
        <v>2007</v>
      </c>
      <c r="F6872" t="s">
        <v>1002</v>
      </c>
      <c r="G6872" s="9">
        <v>2503.38</v>
      </c>
      <c r="H6872" s="8">
        <v>6047</v>
      </c>
    </row>
    <row r="6873" spans="2:8" x14ac:dyDescent="0.4">
      <c r="B6873" t="s">
        <v>7</v>
      </c>
      <c r="C6873" t="s">
        <v>1001</v>
      </c>
      <c r="D6873" s="7">
        <f>DATE(2007,6,1)</f>
        <v>39234</v>
      </c>
      <c r="E6873" s="8">
        <f t="shared" si="112"/>
        <v>2007</v>
      </c>
      <c r="F6873" t="s">
        <v>1002</v>
      </c>
      <c r="G6873" s="9">
        <v>4520.53</v>
      </c>
      <c r="H6873" s="8">
        <v>6034</v>
      </c>
    </row>
    <row r="6874" spans="2:8" x14ac:dyDescent="0.4">
      <c r="B6874" t="s">
        <v>7</v>
      </c>
      <c r="C6874" t="s">
        <v>1001</v>
      </c>
      <c r="D6874" s="7">
        <f>DATE(2008,3,15)</f>
        <v>39522</v>
      </c>
      <c r="E6874" s="8">
        <f t="shared" si="112"/>
        <v>2008</v>
      </c>
      <c r="F6874" t="s">
        <v>1002</v>
      </c>
      <c r="G6874" s="9">
        <v>1580</v>
      </c>
      <c r="H6874" s="8">
        <v>7220</v>
      </c>
    </row>
    <row r="6875" spans="2:8" x14ac:dyDescent="0.4">
      <c r="B6875" t="s">
        <v>7</v>
      </c>
      <c r="C6875" t="s">
        <v>1001</v>
      </c>
      <c r="D6875" s="7">
        <f>DATE(2008,9,23)</f>
        <v>39714</v>
      </c>
      <c r="E6875" s="8">
        <f t="shared" si="112"/>
        <v>2008</v>
      </c>
      <c r="F6875" t="s">
        <v>1002</v>
      </c>
      <c r="G6875" s="9">
        <v>5097.6000000000004</v>
      </c>
      <c r="H6875" s="8">
        <v>7698</v>
      </c>
    </row>
    <row r="6876" spans="2:8" x14ac:dyDescent="0.4">
      <c r="B6876" t="s">
        <v>7</v>
      </c>
      <c r="C6876" t="s">
        <v>1001</v>
      </c>
      <c r="D6876" s="7">
        <f>DATE(2008,9,20)</f>
        <v>39711</v>
      </c>
      <c r="E6876" s="8">
        <f t="shared" si="112"/>
        <v>2008</v>
      </c>
      <c r="F6876" t="s">
        <v>1002</v>
      </c>
      <c r="G6876" s="9">
        <v>58436.62</v>
      </c>
      <c r="H6876" s="8">
        <v>7685</v>
      </c>
    </row>
    <row r="6877" spans="2:8" x14ac:dyDescent="0.4">
      <c r="B6877" t="s">
        <v>7</v>
      </c>
      <c r="C6877" t="s">
        <v>1001</v>
      </c>
      <c r="D6877" s="7">
        <f>DATE(2008,12,1)</f>
        <v>39783</v>
      </c>
      <c r="E6877" s="8">
        <f t="shared" si="112"/>
        <v>2008</v>
      </c>
      <c r="F6877" t="s">
        <v>1002</v>
      </c>
      <c r="G6877" s="9">
        <v>2575</v>
      </c>
      <c r="H6877" s="8">
        <v>7864</v>
      </c>
    </row>
    <row r="6878" spans="2:8" x14ac:dyDescent="0.4">
      <c r="B6878" t="s">
        <v>7</v>
      </c>
      <c r="C6878" t="s">
        <v>1001</v>
      </c>
      <c r="D6878" s="7">
        <f>DATE(2009,2,23)</f>
        <v>39867</v>
      </c>
      <c r="E6878" s="8">
        <f t="shared" si="112"/>
        <v>2009</v>
      </c>
      <c r="F6878" t="s">
        <v>1002</v>
      </c>
      <c r="G6878" s="9">
        <v>19618.150000000001</v>
      </c>
      <c r="H6878" s="8">
        <v>8363</v>
      </c>
    </row>
    <row r="6879" spans="2:8" x14ac:dyDescent="0.4">
      <c r="B6879" t="s">
        <v>7</v>
      </c>
      <c r="C6879" t="s">
        <v>1001</v>
      </c>
      <c r="D6879" s="7">
        <f>DATE(2009,7,22)</f>
        <v>40016</v>
      </c>
      <c r="E6879" s="8">
        <f t="shared" si="112"/>
        <v>2009</v>
      </c>
      <c r="F6879" t="s">
        <v>1002</v>
      </c>
      <c r="G6879" s="9">
        <v>4595.8100000000004</v>
      </c>
      <c r="H6879" s="8">
        <v>8903</v>
      </c>
    </row>
    <row r="6880" spans="2:8" x14ac:dyDescent="0.4">
      <c r="B6880" t="s">
        <v>7</v>
      </c>
      <c r="C6880" t="s">
        <v>1001</v>
      </c>
      <c r="D6880" s="7">
        <f>DATE(2010,3,31)</f>
        <v>40268</v>
      </c>
      <c r="E6880" s="8">
        <f t="shared" si="112"/>
        <v>2010</v>
      </c>
      <c r="F6880" t="s">
        <v>1002</v>
      </c>
      <c r="G6880" s="9">
        <v>47634.22</v>
      </c>
      <c r="H6880" s="8">
        <v>9222</v>
      </c>
    </row>
    <row r="6881" spans="2:8" x14ac:dyDescent="0.4">
      <c r="B6881" t="s">
        <v>7</v>
      </c>
      <c r="C6881" t="s">
        <v>1001</v>
      </c>
      <c r="D6881" s="7">
        <f>DATE(2010,4,5)</f>
        <v>40273</v>
      </c>
      <c r="E6881" s="8">
        <f t="shared" si="112"/>
        <v>2010</v>
      </c>
      <c r="F6881" t="s">
        <v>1002</v>
      </c>
      <c r="G6881" s="9">
        <v>8277</v>
      </c>
      <c r="H6881" s="8">
        <v>9223</v>
      </c>
    </row>
    <row r="6882" spans="2:8" x14ac:dyDescent="0.4">
      <c r="B6882" t="s">
        <v>7</v>
      </c>
      <c r="C6882" t="s">
        <v>1001</v>
      </c>
      <c r="D6882" s="7">
        <f>DATE(2010,5,28)</f>
        <v>40326</v>
      </c>
      <c r="E6882" s="8">
        <f t="shared" si="112"/>
        <v>2010</v>
      </c>
      <c r="F6882" t="s">
        <v>1002</v>
      </c>
      <c r="G6882" s="9">
        <v>41830</v>
      </c>
      <c r="H6882" s="8">
        <v>9868</v>
      </c>
    </row>
    <row r="6883" spans="2:8" x14ac:dyDescent="0.4">
      <c r="B6883" t="s">
        <v>7</v>
      </c>
      <c r="C6883" t="s">
        <v>1001</v>
      </c>
      <c r="D6883" s="7">
        <f>DATE(2010,5,28)</f>
        <v>40326</v>
      </c>
      <c r="E6883" s="8">
        <f t="shared" si="112"/>
        <v>2010</v>
      </c>
      <c r="F6883" t="s">
        <v>1002</v>
      </c>
      <c r="G6883" s="9">
        <v>5017.7</v>
      </c>
      <c r="H6883" s="8">
        <v>9446</v>
      </c>
    </row>
    <row r="6884" spans="2:8" x14ac:dyDescent="0.4">
      <c r="B6884" t="s">
        <v>7</v>
      </c>
      <c r="C6884" t="s">
        <v>1001</v>
      </c>
      <c r="D6884" s="7">
        <f>DATE(2011,9,30)</f>
        <v>40816</v>
      </c>
      <c r="E6884" s="8">
        <f t="shared" si="112"/>
        <v>2011</v>
      </c>
      <c r="F6884" t="s">
        <v>1002</v>
      </c>
      <c r="G6884" s="9">
        <v>33600</v>
      </c>
      <c r="H6884" s="8">
        <v>10864</v>
      </c>
    </row>
    <row r="6885" spans="2:8" x14ac:dyDescent="0.4">
      <c r="B6885" t="s">
        <v>7</v>
      </c>
      <c r="C6885" t="s">
        <v>1001</v>
      </c>
      <c r="D6885" s="7">
        <f>DATE(2011,11,14)</f>
        <v>40861</v>
      </c>
      <c r="E6885" s="8">
        <f t="shared" si="112"/>
        <v>2011</v>
      </c>
      <c r="F6885" t="s">
        <v>1002</v>
      </c>
      <c r="G6885" s="9">
        <v>7956</v>
      </c>
      <c r="H6885" s="8">
        <v>10865</v>
      </c>
    </row>
    <row r="6886" spans="2:8" x14ac:dyDescent="0.4">
      <c r="B6886" t="s">
        <v>7</v>
      </c>
      <c r="C6886" t="s">
        <v>1001</v>
      </c>
      <c r="D6886" s="7">
        <f>DATE(2012,5,4)</f>
        <v>41033</v>
      </c>
      <c r="E6886" s="8">
        <f t="shared" si="112"/>
        <v>2012</v>
      </c>
      <c r="F6886" t="s">
        <v>1002</v>
      </c>
      <c r="G6886" s="9">
        <v>2342.73</v>
      </c>
      <c r="H6886" s="8">
        <v>11554</v>
      </c>
    </row>
    <row r="6887" spans="2:8" x14ac:dyDescent="0.4">
      <c r="B6887" t="s">
        <v>7</v>
      </c>
      <c r="C6887" t="s">
        <v>1001</v>
      </c>
      <c r="D6887" s="7">
        <f>DATE(2013,4,5)</f>
        <v>41369</v>
      </c>
      <c r="E6887" s="8">
        <f t="shared" si="112"/>
        <v>2013</v>
      </c>
      <c r="F6887" t="s">
        <v>1002</v>
      </c>
      <c r="G6887" s="9">
        <v>55046</v>
      </c>
      <c r="H6887" s="8">
        <v>12134</v>
      </c>
    </row>
    <row r="6888" spans="2:8" x14ac:dyDescent="0.4">
      <c r="B6888" t="s">
        <v>7</v>
      </c>
      <c r="C6888" t="s">
        <v>1001</v>
      </c>
      <c r="D6888" s="7">
        <f>DATE(2013,4,26)</f>
        <v>41390</v>
      </c>
      <c r="E6888" s="8">
        <f t="shared" si="112"/>
        <v>2013</v>
      </c>
      <c r="F6888" t="s">
        <v>1002</v>
      </c>
      <c r="G6888" s="9">
        <v>5965.88</v>
      </c>
      <c r="H6888" s="8">
        <v>12093</v>
      </c>
    </row>
    <row r="6889" spans="2:8" x14ac:dyDescent="0.4">
      <c r="B6889" t="s">
        <v>7</v>
      </c>
      <c r="C6889" t="s">
        <v>1001</v>
      </c>
      <c r="D6889" s="7">
        <f>DATE(2014,10,7)</f>
        <v>41919</v>
      </c>
      <c r="E6889" s="8">
        <f t="shared" si="112"/>
        <v>2014</v>
      </c>
      <c r="F6889" t="s">
        <v>1002</v>
      </c>
      <c r="G6889" s="9">
        <v>91850</v>
      </c>
      <c r="H6889" s="8">
        <v>13392</v>
      </c>
    </row>
    <row r="6890" spans="2:8" x14ac:dyDescent="0.4">
      <c r="B6890" t="s">
        <v>7</v>
      </c>
      <c r="C6890" t="s">
        <v>1001</v>
      </c>
      <c r="D6890" s="7">
        <f>DATE(2014,10,8)</f>
        <v>41920</v>
      </c>
      <c r="E6890" s="8">
        <f t="shared" si="112"/>
        <v>2014</v>
      </c>
      <c r="F6890" t="s">
        <v>1002</v>
      </c>
      <c r="G6890" s="9">
        <v>5669.75</v>
      </c>
      <c r="H6890" s="8">
        <v>13237</v>
      </c>
    </row>
    <row r="6891" spans="2:8" x14ac:dyDescent="0.4">
      <c r="B6891" t="s">
        <v>7</v>
      </c>
      <c r="C6891" t="s">
        <v>1001</v>
      </c>
      <c r="D6891" s="7">
        <f>DATE(2010,6,30)</f>
        <v>40359</v>
      </c>
      <c r="E6891" s="8">
        <f t="shared" si="112"/>
        <v>2010</v>
      </c>
      <c r="F6891" t="s">
        <v>1002</v>
      </c>
      <c r="G6891" s="9">
        <v>3593.86</v>
      </c>
      <c r="H6891" s="8">
        <v>9908</v>
      </c>
    </row>
    <row r="6892" spans="2:8" x14ac:dyDescent="0.4">
      <c r="B6892" t="s">
        <v>7</v>
      </c>
      <c r="C6892" t="s">
        <v>1001</v>
      </c>
      <c r="D6892" s="7">
        <f>DATE(2010,6,29)</f>
        <v>40358</v>
      </c>
      <c r="E6892" s="8">
        <f t="shared" si="112"/>
        <v>2010</v>
      </c>
      <c r="F6892" t="s">
        <v>1002</v>
      </c>
      <c r="G6892" s="9">
        <v>3058.49</v>
      </c>
      <c r="H6892" s="8">
        <v>9907</v>
      </c>
    </row>
    <row r="6893" spans="2:8" x14ac:dyDescent="0.4">
      <c r="B6893" t="s">
        <v>7</v>
      </c>
      <c r="C6893" t="s">
        <v>1001</v>
      </c>
      <c r="D6893" s="7">
        <f>DATE(2011,8,11)</f>
        <v>40766</v>
      </c>
      <c r="E6893" s="8">
        <f t="shared" si="112"/>
        <v>2011</v>
      </c>
      <c r="F6893" t="s">
        <v>1002</v>
      </c>
      <c r="G6893" s="9">
        <v>4246.7700000000004</v>
      </c>
      <c r="H6893" s="8">
        <v>10845</v>
      </c>
    </row>
    <row r="6894" spans="2:8" x14ac:dyDescent="0.4">
      <c r="B6894" t="s">
        <v>7</v>
      </c>
      <c r="C6894" t="s">
        <v>1001</v>
      </c>
      <c r="D6894" s="7">
        <f>DATE(2011,11,29)</f>
        <v>40876</v>
      </c>
      <c r="E6894" s="8">
        <f t="shared" si="112"/>
        <v>2011</v>
      </c>
      <c r="F6894" t="s">
        <v>1002</v>
      </c>
      <c r="G6894" s="9">
        <v>4912.03</v>
      </c>
      <c r="H6894" s="8">
        <v>11122</v>
      </c>
    </row>
    <row r="6895" spans="2:8" x14ac:dyDescent="0.4">
      <c r="B6895" t="s">
        <v>7</v>
      </c>
      <c r="C6895" t="s">
        <v>1001</v>
      </c>
      <c r="D6895" s="7">
        <f>DATE(2011,11,16)</f>
        <v>40863</v>
      </c>
      <c r="E6895" s="8">
        <f t="shared" si="112"/>
        <v>2011</v>
      </c>
      <c r="F6895" t="s">
        <v>1002</v>
      </c>
      <c r="G6895" s="9">
        <v>7616.64</v>
      </c>
      <c r="H6895" s="8">
        <v>11107</v>
      </c>
    </row>
    <row r="6896" spans="2:8" x14ac:dyDescent="0.4">
      <c r="B6896" t="s">
        <v>7</v>
      </c>
      <c r="C6896" t="s">
        <v>1001</v>
      </c>
      <c r="D6896" s="7">
        <f>DATE(2012,1,12)</f>
        <v>40920</v>
      </c>
      <c r="E6896" s="8">
        <f t="shared" si="112"/>
        <v>2012</v>
      </c>
      <c r="F6896" t="s">
        <v>1002</v>
      </c>
      <c r="G6896" s="9">
        <v>3388.11</v>
      </c>
      <c r="H6896" s="8">
        <v>11213</v>
      </c>
    </row>
    <row r="6897" spans="2:8" x14ac:dyDescent="0.4">
      <c r="B6897" t="s">
        <v>7</v>
      </c>
      <c r="C6897" t="s">
        <v>1001</v>
      </c>
      <c r="D6897" s="7">
        <f>DATE(2012,3,6)</f>
        <v>40974</v>
      </c>
      <c r="E6897" s="8">
        <f t="shared" si="112"/>
        <v>2012</v>
      </c>
      <c r="F6897" t="s">
        <v>1002</v>
      </c>
      <c r="G6897" s="9">
        <v>2649.8</v>
      </c>
      <c r="H6897" s="8">
        <v>11327</v>
      </c>
    </row>
    <row r="6898" spans="2:8" x14ac:dyDescent="0.4">
      <c r="B6898" t="s">
        <v>7</v>
      </c>
      <c r="C6898" t="s">
        <v>1001</v>
      </c>
      <c r="D6898" s="7">
        <f>DATE(2013,5,13)</f>
        <v>41407</v>
      </c>
      <c r="E6898" s="8">
        <f t="shared" si="112"/>
        <v>2013</v>
      </c>
      <c r="F6898" t="s">
        <v>1002</v>
      </c>
      <c r="G6898" s="9">
        <v>3907.09</v>
      </c>
      <c r="H6898" s="8">
        <v>12458</v>
      </c>
    </row>
    <row r="6899" spans="2:8" x14ac:dyDescent="0.4">
      <c r="B6899" t="s">
        <v>7</v>
      </c>
      <c r="C6899" t="s">
        <v>1001</v>
      </c>
      <c r="D6899" s="7">
        <f>DATE(2014,7,31)</f>
        <v>41851</v>
      </c>
      <c r="E6899" s="8">
        <f t="shared" si="112"/>
        <v>2014</v>
      </c>
      <c r="F6899" t="s">
        <v>1002</v>
      </c>
      <c r="G6899" s="9">
        <v>5186.5</v>
      </c>
      <c r="H6899" s="8">
        <v>13359</v>
      </c>
    </row>
    <row r="6900" spans="2:8" x14ac:dyDescent="0.4">
      <c r="B6900" t="s">
        <v>7</v>
      </c>
      <c r="C6900" t="s">
        <v>1001</v>
      </c>
      <c r="D6900" s="7">
        <f>DATE(2014,11,19)</f>
        <v>41962</v>
      </c>
      <c r="E6900" s="8">
        <f t="shared" si="112"/>
        <v>2014</v>
      </c>
      <c r="F6900" t="s">
        <v>1002</v>
      </c>
      <c r="G6900" s="9">
        <v>7727.24</v>
      </c>
      <c r="H6900" s="8">
        <v>13597</v>
      </c>
    </row>
    <row r="6901" spans="2:8" x14ac:dyDescent="0.4">
      <c r="B6901" t="s">
        <v>16</v>
      </c>
      <c r="C6901" t="s">
        <v>1001</v>
      </c>
      <c r="D6901" s="7">
        <f>DATE(2012,2,1)</f>
        <v>40940</v>
      </c>
      <c r="E6901" s="8">
        <f t="shared" si="112"/>
        <v>2012</v>
      </c>
      <c r="F6901" t="s">
        <v>1002</v>
      </c>
      <c r="G6901" s="9">
        <v>6605.28</v>
      </c>
      <c r="H6901" s="8">
        <v>11420</v>
      </c>
    </row>
    <row r="6902" spans="2:8" x14ac:dyDescent="0.4">
      <c r="B6902" t="s">
        <v>16</v>
      </c>
      <c r="C6902" t="s">
        <v>1001</v>
      </c>
      <c r="D6902" s="7">
        <f>DATE(2012,2,1)</f>
        <v>40940</v>
      </c>
      <c r="E6902" s="8">
        <f t="shared" si="112"/>
        <v>2012</v>
      </c>
      <c r="F6902" t="s">
        <v>1002</v>
      </c>
      <c r="G6902" s="9">
        <v>972.26</v>
      </c>
      <c r="H6902" s="8">
        <v>11421</v>
      </c>
    </row>
    <row r="6903" spans="2:8" x14ac:dyDescent="0.4">
      <c r="B6903" t="s">
        <v>16</v>
      </c>
      <c r="C6903" t="s">
        <v>1001</v>
      </c>
      <c r="D6903" s="7">
        <f>DATE(2007,6,1)</f>
        <v>39234</v>
      </c>
      <c r="E6903" s="8">
        <f t="shared" si="112"/>
        <v>2007</v>
      </c>
      <c r="F6903" t="s">
        <v>1002</v>
      </c>
      <c r="G6903" s="9">
        <v>7096.62</v>
      </c>
      <c r="H6903" s="8">
        <v>6107</v>
      </c>
    </row>
    <row r="6904" spans="2:8" x14ac:dyDescent="0.4">
      <c r="B6904" s="3" t="s">
        <v>7</v>
      </c>
      <c r="C6904" s="3" t="s">
        <v>1001</v>
      </c>
      <c r="D6904" s="4">
        <f>DATE(2003,2,4)</f>
        <v>37656</v>
      </c>
      <c r="E6904" s="5">
        <f t="shared" si="112"/>
        <v>2003</v>
      </c>
      <c r="F6904" s="3" t="s">
        <v>1002</v>
      </c>
      <c r="G6904" s="6">
        <v>820.5</v>
      </c>
      <c r="H6904" s="5">
        <v>134</v>
      </c>
    </row>
    <row r="6905" spans="2:8" x14ac:dyDescent="0.4">
      <c r="B6905" s="3" t="s">
        <v>7</v>
      </c>
      <c r="C6905" s="3" t="s">
        <v>1001</v>
      </c>
      <c r="D6905" s="4">
        <f>DATE(2003,3,17)</f>
        <v>37697</v>
      </c>
      <c r="E6905" s="5">
        <f t="shared" si="112"/>
        <v>2003</v>
      </c>
      <c r="F6905" s="3" t="s">
        <v>1002</v>
      </c>
      <c r="G6905" s="6">
        <v>375</v>
      </c>
      <c r="H6905" s="5">
        <v>532</v>
      </c>
    </row>
    <row r="6906" spans="2:8" x14ac:dyDescent="0.4">
      <c r="B6906" s="3" t="s">
        <v>7</v>
      </c>
      <c r="C6906" s="3" t="s">
        <v>1001</v>
      </c>
      <c r="D6906" s="4">
        <f>DATE(2003,5,2)</f>
        <v>37743</v>
      </c>
      <c r="E6906" s="5">
        <f t="shared" si="112"/>
        <v>2003</v>
      </c>
      <c r="F6906" s="3" t="s">
        <v>1002</v>
      </c>
      <c r="G6906" s="6">
        <v>225</v>
      </c>
      <c r="H6906" s="5">
        <v>734</v>
      </c>
    </row>
    <row r="6907" spans="2:8" x14ac:dyDescent="0.4">
      <c r="B6907" s="3" t="s">
        <v>7</v>
      </c>
      <c r="C6907" s="3" t="s">
        <v>1001</v>
      </c>
      <c r="D6907" s="4">
        <f>DATE(2003,7,23)</f>
        <v>37825</v>
      </c>
      <c r="E6907" s="5">
        <f t="shared" si="112"/>
        <v>2003</v>
      </c>
      <c r="F6907" s="3" t="s">
        <v>1002</v>
      </c>
      <c r="G6907" s="6">
        <v>375</v>
      </c>
      <c r="H6907" s="5">
        <v>1239</v>
      </c>
    </row>
    <row r="6908" spans="2:8" x14ac:dyDescent="0.4">
      <c r="B6908" s="3" t="s">
        <v>7</v>
      </c>
      <c r="C6908" s="3" t="s">
        <v>1001</v>
      </c>
      <c r="D6908" s="4">
        <f>DATE(2004,5,27)</f>
        <v>38134</v>
      </c>
      <c r="E6908" s="5">
        <f t="shared" si="112"/>
        <v>2004</v>
      </c>
      <c r="F6908" s="3" t="s">
        <v>1002</v>
      </c>
      <c r="G6908" s="6">
        <v>242</v>
      </c>
      <c r="H6908" s="5">
        <v>2951</v>
      </c>
    </row>
    <row r="6909" spans="2:8" x14ac:dyDescent="0.4">
      <c r="B6909" s="3" t="s">
        <v>7</v>
      </c>
      <c r="C6909" s="3" t="s">
        <v>1001</v>
      </c>
      <c r="D6909" s="4">
        <f>DATE(2004,7,1)</f>
        <v>38169</v>
      </c>
      <c r="E6909" s="5">
        <f t="shared" si="112"/>
        <v>2004</v>
      </c>
      <c r="F6909" s="3" t="s">
        <v>1002</v>
      </c>
      <c r="G6909" s="6">
        <v>498</v>
      </c>
      <c r="H6909" s="5">
        <v>3103</v>
      </c>
    </row>
    <row r="6910" spans="2:8" x14ac:dyDescent="0.4">
      <c r="B6910" s="3" t="s">
        <v>7</v>
      </c>
      <c r="C6910" s="3" t="s">
        <v>1001</v>
      </c>
      <c r="D6910" s="4">
        <f>DATE(2004,7,12)</f>
        <v>38180</v>
      </c>
      <c r="E6910" s="5">
        <f t="shared" si="112"/>
        <v>2004</v>
      </c>
      <c r="F6910" s="3" t="s">
        <v>1002</v>
      </c>
      <c r="G6910" s="6">
        <v>996</v>
      </c>
      <c r="H6910" s="5">
        <v>3132</v>
      </c>
    </row>
    <row r="6911" spans="2:8" x14ac:dyDescent="0.4">
      <c r="B6911" s="3" t="s">
        <v>7</v>
      </c>
      <c r="C6911" s="3" t="s">
        <v>1001</v>
      </c>
      <c r="D6911" s="4">
        <f>DATE(2004,11,23)</f>
        <v>38314</v>
      </c>
      <c r="E6911" s="5">
        <f t="shared" si="112"/>
        <v>2004</v>
      </c>
      <c r="F6911" s="3" t="s">
        <v>1002</v>
      </c>
      <c r="G6911" s="6">
        <v>375</v>
      </c>
      <c r="H6911" s="5">
        <v>3701</v>
      </c>
    </row>
    <row r="6912" spans="2:8" x14ac:dyDescent="0.4">
      <c r="B6912" s="3" t="s">
        <v>7</v>
      </c>
      <c r="C6912" s="3" t="s">
        <v>1001</v>
      </c>
      <c r="D6912" s="4">
        <f>DATE(2005,10,7)</f>
        <v>38632</v>
      </c>
      <c r="E6912" s="5">
        <f t="shared" si="112"/>
        <v>2005</v>
      </c>
      <c r="F6912" s="3" t="s">
        <v>1002</v>
      </c>
      <c r="G6912" s="6">
        <v>508</v>
      </c>
      <c r="H6912" s="5">
        <v>5407</v>
      </c>
    </row>
    <row r="6913" spans="2:8" x14ac:dyDescent="0.4">
      <c r="B6913" s="3" t="s">
        <v>7</v>
      </c>
      <c r="C6913" s="3" t="s">
        <v>1001</v>
      </c>
      <c r="D6913" s="4">
        <f>DATE(2005,10,13)</f>
        <v>38638</v>
      </c>
      <c r="E6913" s="5">
        <f t="shared" si="112"/>
        <v>2005</v>
      </c>
      <c r="F6913" s="3" t="s">
        <v>1002</v>
      </c>
      <c r="G6913" s="6">
        <v>1016</v>
      </c>
      <c r="H6913" s="5">
        <v>5432</v>
      </c>
    </row>
    <row r="6914" spans="2:8" x14ac:dyDescent="0.4">
      <c r="B6914" s="3" t="s">
        <v>7</v>
      </c>
      <c r="C6914" s="3" t="s">
        <v>1001</v>
      </c>
      <c r="D6914" s="4">
        <f>DATE(2006,12,29)</f>
        <v>39080</v>
      </c>
      <c r="E6914" s="5">
        <f t="shared" si="112"/>
        <v>2006</v>
      </c>
      <c r="F6914" s="3" t="s">
        <v>1002</v>
      </c>
      <c r="G6914" s="6">
        <v>64720</v>
      </c>
      <c r="H6914" s="5">
        <v>7701</v>
      </c>
    </row>
    <row r="6915" spans="2:8" x14ac:dyDescent="0.4">
      <c r="B6915" s="3" t="s">
        <v>7</v>
      </c>
      <c r="C6915" s="3" t="s">
        <v>1001</v>
      </c>
      <c r="D6915" s="4">
        <f>DATE(2007,4,24)</f>
        <v>39196</v>
      </c>
      <c r="E6915" s="5">
        <f t="shared" ref="E6915:E6978" si="113">YEAR(D6915)</f>
        <v>2007</v>
      </c>
      <c r="F6915" s="3" t="s">
        <v>1002</v>
      </c>
      <c r="G6915" s="6">
        <v>200</v>
      </c>
      <c r="H6915" s="5">
        <v>8264</v>
      </c>
    </row>
    <row r="6916" spans="2:8" x14ac:dyDescent="0.4">
      <c r="B6916" s="3" t="s">
        <v>7</v>
      </c>
      <c r="C6916" s="3" t="s">
        <v>1001</v>
      </c>
      <c r="D6916" s="4">
        <f>DATE(2008,5,1)</f>
        <v>39569</v>
      </c>
      <c r="E6916" s="5">
        <f t="shared" si="113"/>
        <v>2008</v>
      </c>
      <c r="F6916" s="3" t="s">
        <v>1002</v>
      </c>
      <c r="G6916" s="6">
        <v>28800.400000000001</v>
      </c>
      <c r="H6916" s="5">
        <v>10214</v>
      </c>
    </row>
    <row r="6917" spans="2:8" x14ac:dyDescent="0.4">
      <c r="B6917" s="3" t="s">
        <v>7</v>
      </c>
      <c r="C6917" s="3" t="s">
        <v>1001</v>
      </c>
      <c r="D6917" s="4">
        <f>DATE(2008,8,14)</f>
        <v>39674</v>
      </c>
      <c r="E6917" s="5">
        <f t="shared" si="113"/>
        <v>2008</v>
      </c>
      <c r="F6917" s="3" t="s">
        <v>1002</v>
      </c>
      <c r="G6917" s="6">
        <v>508</v>
      </c>
      <c r="H6917" s="5">
        <v>11110</v>
      </c>
    </row>
    <row r="6918" spans="2:8" x14ac:dyDescent="0.4">
      <c r="B6918" s="3" t="s">
        <v>7</v>
      </c>
      <c r="C6918" s="3" t="s">
        <v>1001</v>
      </c>
      <c r="D6918" s="4">
        <f>DATE(2008,10,16)</f>
        <v>39737</v>
      </c>
      <c r="E6918" s="5">
        <f t="shared" si="113"/>
        <v>2008</v>
      </c>
      <c r="F6918" s="3" t="s">
        <v>1002</v>
      </c>
      <c r="G6918" s="6">
        <v>240</v>
      </c>
      <c r="H6918" s="5">
        <v>11349</v>
      </c>
    </row>
    <row r="6919" spans="2:8" x14ac:dyDescent="0.4">
      <c r="B6919" s="3" t="s">
        <v>7</v>
      </c>
      <c r="C6919" s="3" t="s">
        <v>1001</v>
      </c>
      <c r="D6919" s="4">
        <f>DATE(2009,1,14)</f>
        <v>39827</v>
      </c>
      <c r="E6919" s="5">
        <f t="shared" si="113"/>
        <v>2009</v>
      </c>
      <c r="F6919" s="3" t="s">
        <v>1002</v>
      </c>
      <c r="G6919" s="6">
        <v>120</v>
      </c>
      <c r="H6919" s="5">
        <v>11799</v>
      </c>
    </row>
    <row r="6920" spans="2:8" x14ac:dyDescent="0.4">
      <c r="B6920" s="3" t="s">
        <v>7</v>
      </c>
      <c r="C6920" s="3" t="s">
        <v>1001</v>
      </c>
      <c r="D6920" s="4">
        <f>DATE(2009,1,23)</f>
        <v>39836</v>
      </c>
      <c r="E6920" s="5">
        <f t="shared" si="113"/>
        <v>2009</v>
      </c>
      <c r="F6920" s="3" t="s">
        <v>1002</v>
      </c>
      <c r="G6920" s="6">
        <v>240</v>
      </c>
      <c r="H6920" s="5">
        <v>11864</v>
      </c>
    </row>
    <row r="6921" spans="2:8" x14ac:dyDescent="0.4">
      <c r="B6921" s="3" t="s">
        <v>7</v>
      </c>
      <c r="C6921" s="3" t="s">
        <v>1001</v>
      </c>
      <c r="D6921" s="4">
        <f>DATE(2009,3,3)</f>
        <v>39875</v>
      </c>
      <c r="E6921" s="5">
        <f t="shared" si="113"/>
        <v>2009</v>
      </c>
      <c r="F6921" s="3" t="s">
        <v>1002</v>
      </c>
      <c r="G6921" s="6">
        <v>2550</v>
      </c>
      <c r="H6921" s="5">
        <v>12071</v>
      </c>
    </row>
    <row r="6922" spans="2:8" x14ac:dyDescent="0.4">
      <c r="B6922" s="3" t="s">
        <v>7</v>
      </c>
      <c r="C6922" s="3" t="s">
        <v>1001</v>
      </c>
      <c r="D6922" s="4">
        <f>DATE(2010,2,25)</f>
        <v>40234</v>
      </c>
      <c r="E6922" s="5">
        <f t="shared" si="113"/>
        <v>2010</v>
      </c>
      <c r="F6922" s="3" t="s">
        <v>1002</v>
      </c>
      <c r="G6922" s="6">
        <v>30465</v>
      </c>
      <c r="H6922" s="5">
        <v>13554</v>
      </c>
    </row>
    <row r="6923" spans="2:8" x14ac:dyDescent="0.4">
      <c r="B6923" s="3" t="s">
        <v>7</v>
      </c>
      <c r="C6923" s="3" t="s">
        <v>1001</v>
      </c>
      <c r="D6923" s="4">
        <f>DATE(2010,4,1)</f>
        <v>40269</v>
      </c>
      <c r="E6923" s="5">
        <f t="shared" si="113"/>
        <v>2010</v>
      </c>
      <c r="F6923" s="3" t="s">
        <v>1002</v>
      </c>
      <c r="G6923" s="6">
        <v>31481</v>
      </c>
      <c r="H6923" s="5">
        <v>13240</v>
      </c>
    </row>
    <row r="6924" spans="2:8" x14ac:dyDescent="0.4">
      <c r="B6924" s="3" t="s">
        <v>7</v>
      </c>
      <c r="C6924" s="3" t="s">
        <v>1001</v>
      </c>
      <c r="D6924" s="4">
        <f>DATE(2010,5,13)</f>
        <v>40311</v>
      </c>
      <c r="E6924" s="5">
        <f t="shared" si="113"/>
        <v>2010</v>
      </c>
      <c r="F6924" s="3" t="s">
        <v>1002</v>
      </c>
      <c r="G6924" s="6">
        <v>300</v>
      </c>
      <c r="H6924" s="5">
        <v>14046</v>
      </c>
    </row>
    <row r="6925" spans="2:8" x14ac:dyDescent="0.4">
      <c r="B6925" s="3" t="s">
        <v>7</v>
      </c>
      <c r="C6925" s="3" t="s">
        <v>1001</v>
      </c>
      <c r="D6925" s="4">
        <f>DATE(2011,11,11)</f>
        <v>40858</v>
      </c>
      <c r="E6925" s="5">
        <f t="shared" si="113"/>
        <v>2011</v>
      </c>
      <c r="F6925" s="3" t="s">
        <v>1002</v>
      </c>
      <c r="G6925" s="6">
        <v>45</v>
      </c>
      <c r="H6925" s="5">
        <v>16195</v>
      </c>
    </row>
    <row r="6926" spans="2:8" x14ac:dyDescent="0.4">
      <c r="B6926" s="3" t="s">
        <v>7</v>
      </c>
      <c r="C6926" s="3" t="s">
        <v>1001</v>
      </c>
      <c r="D6926" s="4">
        <f>DATE(2012,5,18)</f>
        <v>41047</v>
      </c>
      <c r="E6926" s="5">
        <f t="shared" si="113"/>
        <v>2012</v>
      </c>
      <c r="F6926" s="3" t="s">
        <v>1002</v>
      </c>
      <c r="G6926" s="6">
        <v>400</v>
      </c>
      <c r="H6926" s="5">
        <v>17164</v>
      </c>
    </row>
    <row r="6927" spans="2:8" x14ac:dyDescent="0.4">
      <c r="B6927" s="3" t="s">
        <v>7</v>
      </c>
      <c r="C6927" s="3" t="s">
        <v>1001</v>
      </c>
      <c r="D6927" s="4">
        <f>DATE(2012,7,13)</f>
        <v>41103</v>
      </c>
      <c r="E6927" s="5">
        <f t="shared" si="113"/>
        <v>2012</v>
      </c>
      <c r="F6927" s="3" t="s">
        <v>1002</v>
      </c>
      <c r="G6927" s="6">
        <v>400</v>
      </c>
      <c r="H6927" s="5">
        <v>17349</v>
      </c>
    </row>
    <row r="6928" spans="2:8" x14ac:dyDescent="0.4">
      <c r="B6928" s="3" t="s">
        <v>7</v>
      </c>
      <c r="C6928" s="3" t="s">
        <v>1001</v>
      </c>
      <c r="D6928" s="4">
        <f>DATE(2013,3,27)</f>
        <v>41360</v>
      </c>
      <c r="E6928" s="5">
        <f t="shared" si="113"/>
        <v>2013</v>
      </c>
      <c r="F6928" s="3" t="s">
        <v>1002</v>
      </c>
      <c r="G6928" s="6">
        <v>28759.95</v>
      </c>
      <c r="H6928" s="5">
        <v>17906</v>
      </c>
    </row>
    <row r="6929" spans="2:8" x14ac:dyDescent="0.4">
      <c r="B6929" t="s">
        <v>7</v>
      </c>
      <c r="C6929" t="s">
        <v>1003</v>
      </c>
      <c r="D6929" s="7">
        <f>DATE(2015,5,11)</f>
        <v>42135</v>
      </c>
      <c r="E6929" s="8">
        <f t="shared" si="113"/>
        <v>2015</v>
      </c>
      <c r="F6929" t="s">
        <v>1004</v>
      </c>
      <c r="G6929" s="9">
        <v>22822</v>
      </c>
      <c r="H6929" s="8">
        <v>285</v>
      </c>
    </row>
    <row r="6930" spans="2:8" x14ac:dyDescent="0.4">
      <c r="B6930" t="s">
        <v>7</v>
      </c>
      <c r="C6930" t="s">
        <v>1003</v>
      </c>
      <c r="D6930" s="7">
        <f>DATE(2015,6,1)</f>
        <v>42156</v>
      </c>
      <c r="E6930" s="8">
        <f t="shared" si="113"/>
        <v>2015</v>
      </c>
      <c r="F6930" t="s">
        <v>1004</v>
      </c>
      <c r="G6930" s="9">
        <v>22822</v>
      </c>
      <c r="H6930" s="8">
        <v>20113</v>
      </c>
    </row>
    <row r="6931" spans="2:8" x14ac:dyDescent="0.4">
      <c r="B6931" t="s">
        <v>7</v>
      </c>
      <c r="C6931" t="s">
        <v>1003</v>
      </c>
      <c r="D6931" s="7">
        <f>DATE(2017,4,26)</f>
        <v>42851</v>
      </c>
      <c r="E6931" s="8">
        <f t="shared" si="113"/>
        <v>2017</v>
      </c>
      <c r="F6931" t="s">
        <v>1004</v>
      </c>
      <c r="G6931" s="9">
        <v>19750</v>
      </c>
      <c r="H6931" s="8">
        <v>24554</v>
      </c>
    </row>
    <row r="6932" spans="2:8" x14ac:dyDescent="0.4">
      <c r="B6932" t="s">
        <v>7</v>
      </c>
      <c r="C6932" t="s">
        <v>1003</v>
      </c>
      <c r="D6932" s="7">
        <f>DATE(2017,5,1)</f>
        <v>42856</v>
      </c>
      <c r="E6932" s="8">
        <f t="shared" si="113"/>
        <v>2017</v>
      </c>
      <c r="F6932" t="s">
        <v>1004</v>
      </c>
      <c r="G6932" s="9">
        <v>19750</v>
      </c>
      <c r="H6932" s="8">
        <v>24556</v>
      </c>
    </row>
    <row r="6933" spans="2:8" x14ac:dyDescent="0.4">
      <c r="B6933" t="s">
        <v>7</v>
      </c>
      <c r="C6933" t="s">
        <v>1003</v>
      </c>
      <c r="D6933" s="7">
        <f>DATE(2015,5,21)</f>
        <v>42145</v>
      </c>
      <c r="E6933" s="8">
        <f t="shared" si="113"/>
        <v>2015</v>
      </c>
      <c r="F6933" t="s">
        <v>1004</v>
      </c>
      <c r="G6933" s="9">
        <v>1250</v>
      </c>
      <c r="H6933" s="8">
        <v>20595</v>
      </c>
    </row>
    <row r="6934" spans="2:8" x14ac:dyDescent="0.4">
      <c r="B6934" t="s">
        <v>7</v>
      </c>
      <c r="C6934" t="s">
        <v>1003</v>
      </c>
      <c r="D6934" s="7">
        <f>DATE(2015,12,3)</f>
        <v>42341</v>
      </c>
      <c r="E6934" s="8">
        <f t="shared" si="113"/>
        <v>2015</v>
      </c>
      <c r="F6934" t="s">
        <v>1004</v>
      </c>
      <c r="G6934" s="9">
        <v>1617</v>
      </c>
      <c r="H6934" s="8">
        <v>21698</v>
      </c>
    </row>
    <row r="6935" spans="2:8" x14ac:dyDescent="0.4">
      <c r="B6935" t="s">
        <v>7</v>
      </c>
      <c r="C6935" t="s">
        <v>1003</v>
      </c>
      <c r="D6935" s="7">
        <f>DATE(2015,12,9)</f>
        <v>42347</v>
      </c>
      <c r="E6935" s="8">
        <f t="shared" si="113"/>
        <v>2015</v>
      </c>
      <c r="F6935" t="s">
        <v>1004</v>
      </c>
      <c r="G6935" s="9">
        <v>323.39999999999998</v>
      </c>
      <c r="H6935" s="8">
        <v>21730</v>
      </c>
    </row>
    <row r="6936" spans="2:8" x14ac:dyDescent="0.4">
      <c r="B6936" t="s">
        <v>7</v>
      </c>
      <c r="C6936" t="s">
        <v>1003</v>
      </c>
      <c r="D6936" s="7">
        <f>DATE(2015,12,9)</f>
        <v>42347</v>
      </c>
      <c r="E6936" s="8">
        <f t="shared" si="113"/>
        <v>2015</v>
      </c>
      <c r="F6936" t="s">
        <v>1004</v>
      </c>
      <c r="G6936" s="9">
        <v>702.1</v>
      </c>
      <c r="H6936" s="8">
        <v>21741</v>
      </c>
    </row>
    <row r="6937" spans="2:8" x14ac:dyDescent="0.4">
      <c r="B6937" t="s">
        <v>7</v>
      </c>
      <c r="C6937" t="s">
        <v>1003</v>
      </c>
      <c r="D6937" s="7">
        <f>DATE(2015,12,9)</f>
        <v>42347</v>
      </c>
      <c r="E6937" s="8">
        <f t="shared" si="113"/>
        <v>2015</v>
      </c>
      <c r="F6937" t="s">
        <v>1004</v>
      </c>
      <c r="G6937" s="9">
        <v>176.5</v>
      </c>
      <c r="H6937" s="8">
        <v>21768</v>
      </c>
    </row>
    <row r="6938" spans="2:8" x14ac:dyDescent="0.4">
      <c r="B6938" t="s">
        <v>7</v>
      </c>
      <c r="C6938" t="s">
        <v>1003</v>
      </c>
      <c r="D6938" s="7">
        <f>DATE(2016,10,26)</f>
        <v>42669</v>
      </c>
      <c r="E6938" s="8">
        <f t="shared" si="113"/>
        <v>2016</v>
      </c>
      <c r="F6938" t="s">
        <v>1004</v>
      </c>
      <c r="G6938" s="9">
        <v>938</v>
      </c>
      <c r="H6938" s="8">
        <v>23728</v>
      </c>
    </row>
    <row r="6939" spans="2:8" x14ac:dyDescent="0.4">
      <c r="B6939" t="s">
        <v>7</v>
      </c>
      <c r="C6939" t="s">
        <v>1003</v>
      </c>
      <c r="D6939" s="7">
        <f>DATE(2015,2,19)</f>
        <v>42054</v>
      </c>
      <c r="E6939" s="8">
        <f t="shared" si="113"/>
        <v>2015</v>
      </c>
      <c r="F6939" t="s">
        <v>1004</v>
      </c>
      <c r="G6939" s="9">
        <v>4071.88</v>
      </c>
      <c r="H6939" s="8">
        <v>235</v>
      </c>
    </row>
    <row r="6940" spans="2:8" x14ac:dyDescent="0.4">
      <c r="B6940" t="s">
        <v>7</v>
      </c>
      <c r="C6940" t="s">
        <v>1003</v>
      </c>
      <c r="D6940" s="7">
        <f>DATE(2014,10,30)</f>
        <v>41942</v>
      </c>
      <c r="E6940" s="8">
        <f t="shared" si="113"/>
        <v>2014</v>
      </c>
      <c r="F6940" t="s">
        <v>1004</v>
      </c>
      <c r="G6940" s="9">
        <v>5950</v>
      </c>
      <c r="H6940" s="8">
        <v>13514</v>
      </c>
    </row>
    <row r="6941" spans="2:8" x14ac:dyDescent="0.4">
      <c r="B6941" t="s">
        <v>7</v>
      </c>
      <c r="C6941" t="s">
        <v>1003</v>
      </c>
      <c r="D6941" s="7">
        <f>DATE(2013,11,5)</f>
        <v>41583</v>
      </c>
      <c r="E6941" s="8">
        <f t="shared" si="113"/>
        <v>2013</v>
      </c>
      <c r="F6941" t="s">
        <v>1004</v>
      </c>
      <c r="G6941" s="9">
        <v>22990</v>
      </c>
      <c r="H6941" s="8">
        <v>12776</v>
      </c>
    </row>
    <row r="6942" spans="2:8" x14ac:dyDescent="0.4">
      <c r="B6942" t="s">
        <v>7</v>
      </c>
      <c r="C6942" t="s">
        <v>1003</v>
      </c>
      <c r="D6942" s="7">
        <f>DATE(2014,3,27)</f>
        <v>41725</v>
      </c>
      <c r="E6942" s="8">
        <f t="shared" si="113"/>
        <v>2014</v>
      </c>
      <c r="F6942" t="s">
        <v>1004</v>
      </c>
      <c r="G6942" s="9">
        <v>6504.19</v>
      </c>
      <c r="H6942" s="8">
        <v>13090</v>
      </c>
    </row>
    <row r="6943" spans="2:8" x14ac:dyDescent="0.4">
      <c r="B6943" t="s">
        <v>7</v>
      </c>
      <c r="C6943" t="s">
        <v>1003</v>
      </c>
      <c r="D6943" s="7">
        <f>DATE(2015,1,6)</f>
        <v>42010</v>
      </c>
      <c r="E6943" s="8">
        <f t="shared" si="113"/>
        <v>2015</v>
      </c>
      <c r="F6943" t="s">
        <v>1004</v>
      </c>
      <c r="G6943" s="9">
        <v>4524.71</v>
      </c>
      <c r="H6943" s="8">
        <v>13633</v>
      </c>
    </row>
    <row r="6944" spans="2:8" x14ac:dyDescent="0.4">
      <c r="B6944" s="3" t="s">
        <v>7</v>
      </c>
      <c r="C6944" s="3" t="s">
        <v>1003</v>
      </c>
      <c r="D6944" s="4">
        <f>DATE(2014,11,3)</f>
        <v>41946</v>
      </c>
      <c r="E6944" s="5">
        <f t="shared" si="113"/>
        <v>2014</v>
      </c>
      <c r="F6944" s="3" t="s">
        <v>1004</v>
      </c>
      <c r="G6944" s="6">
        <v>679</v>
      </c>
      <c r="H6944" s="5">
        <v>20583</v>
      </c>
    </row>
    <row r="6945" spans="2:8" x14ac:dyDescent="0.4">
      <c r="B6945" t="s">
        <v>7</v>
      </c>
      <c r="C6945" t="s">
        <v>1003</v>
      </c>
      <c r="D6945" s="7">
        <f>DATE(2018,5,14)</f>
        <v>43234</v>
      </c>
      <c r="E6945" s="8">
        <f t="shared" si="113"/>
        <v>2018</v>
      </c>
      <c r="F6945" t="s">
        <v>1005</v>
      </c>
      <c r="G6945" s="9">
        <v>36440</v>
      </c>
      <c r="H6945" s="8">
        <v>26417</v>
      </c>
    </row>
    <row r="6946" spans="2:8" x14ac:dyDescent="0.4">
      <c r="B6946" t="s">
        <v>7</v>
      </c>
      <c r="C6946" t="s">
        <v>1003</v>
      </c>
      <c r="D6946" s="7">
        <f>DATE(2018,6,29)</f>
        <v>43280</v>
      </c>
      <c r="E6946" s="8">
        <f t="shared" si="113"/>
        <v>2018</v>
      </c>
      <c r="F6946" t="s">
        <v>1005</v>
      </c>
      <c r="G6946" s="9">
        <v>22253</v>
      </c>
      <c r="H6946" s="8">
        <v>27188</v>
      </c>
    </row>
    <row r="6947" spans="2:8" x14ac:dyDescent="0.4">
      <c r="B6947" t="s">
        <v>7</v>
      </c>
      <c r="C6947" t="s">
        <v>1003</v>
      </c>
      <c r="D6947" s="7">
        <f>DATE(2018,5,15)</f>
        <v>43235</v>
      </c>
      <c r="E6947" s="8">
        <f t="shared" si="113"/>
        <v>2018</v>
      </c>
      <c r="F6947" t="s">
        <v>1005</v>
      </c>
      <c r="G6947" s="9">
        <v>4555</v>
      </c>
      <c r="H6947" s="8">
        <v>27012</v>
      </c>
    </row>
    <row r="6948" spans="2:8" x14ac:dyDescent="0.4">
      <c r="B6948" t="s">
        <v>7</v>
      </c>
      <c r="C6948" t="s">
        <v>1003</v>
      </c>
      <c r="D6948" s="7">
        <f>DATE(2018,5,31)</f>
        <v>43251</v>
      </c>
      <c r="E6948" s="8">
        <f t="shared" si="113"/>
        <v>2018</v>
      </c>
      <c r="F6948" t="s">
        <v>1005</v>
      </c>
      <c r="G6948" s="9">
        <v>6478.5</v>
      </c>
      <c r="H6948" s="8">
        <v>27088</v>
      </c>
    </row>
    <row r="6949" spans="2:8" x14ac:dyDescent="0.4">
      <c r="B6949" t="s">
        <v>7</v>
      </c>
      <c r="C6949" t="s">
        <v>1003</v>
      </c>
      <c r="D6949" s="7">
        <f>DATE(2018,6,6)</f>
        <v>43257</v>
      </c>
      <c r="E6949" s="8">
        <f t="shared" si="113"/>
        <v>2018</v>
      </c>
      <c r="F6949" t="s">
        <v>1005</v>
      </c>
      <c r="G6949" s="9">
        <v>441</v>
      </c>
      <c r="H6949" s="8">
        <v>27174</v>
      </c>
    </row>
    <row r="6950" spans="2:8" x14ac:dyDescent="0.4">
      <c r="B6950" t="s">
        <v>7</v>
      </c>
      <c r="C6950" t="s">
        <v>1003</v>
      </c>
      <c r="D6950" s="7">
        <f>DATE(2018,6,27)</f>
        <v>43278</v>
      </c>
      <c r="E6950" s="8">
        <f t="shared" si="113"/>
        <v>2018</v>
      </c>
      <c r="F6950" t="s">
        <v>1005</v>
      </c>
      <c r="G6950" s="9">
        <v>469</v>
      </c>
      <c r="H6950" s="8">
        <v>27244</v>
      </c>
    </row>
    <row r="6951" spans="2:8" x14ac:dyDescent="0.4">
      <c r="B6951" t="s">
        <v>7</v>
      </c>
      <c r="C6951" t="s">
        <v>1003</v>
      </c>
      <c r="D6951" s="7">
        <f>DATE(2019,2,18)</f>
        <v>43514</v>
      </c>
      <c r="E6951" s="8">
        <f t="shared" si="113"/>
        <v>2019</v>
      </c>
      <c r="F6951" t="s">
        <v>1005</v>
      </c>
      <c r="G6951" s="9">
        <v>1745.7</v>
      </c>
      <c r="H6951" s="8">
        <v>28406</v>
      </c>
    </row>
    <row r="6952" spans="2:8" x14ac:dyDescent="0.4">
      <c r="B6952" t="s">
        <v>7</v>
      </c>
      <c r="C6952" t="s">
        <v>1003</v>
      </c>
      <c r="D6952" s="7">
        <f>DATE(2017,9,25)</f>
        <v>43003</v>
      </c>
      <c r="E6952" s="8">
        <f t="shared" si="113"/>
        <v>2017</v>
      </c>
      <c r="F6952" t="s">
        <v>1005</v>
      </c>
      <c r="G6952" s="9">
        <v>2818.9</v>
      </c>
      <c r="H6952" s="8">
        <v>25537</v>
      </c>
    </row>
    <row r="6953" spans="2:8" x14ac:dyDescent="0.4">
      <c r="B6953" t="s">
        <v>7</v>
      </c>
      <c r="C6953" t="s">
        <v>1003</v>
      </c>
      <c r="D6953" s="7">
        <f>DATE(2019,1,15)</f>
        <v>43480</v>
      </c>
      <c r="E6953" s="8">
        <f t="shared" si="113"/>
        <v>2019</v>
      </c>
      <c r="F6953" t="s">
        <v>1005</v>
      </c>
      <c r="G6953" s="9">
        <v>4774.53</v>
      </c>
      <c r="H6953" s="8">
        <v>28206</v>
      </c>
    </row>
    <row r="6954" spans="2:8" x14ac:dyDescent="0.4">
      <c r="B6954" t="s">
        <v>7</v>
      </c>
      <c r="C6954" t="s">
        <v>1003</v>
      </c>
      <c r="D6954" s="7">
        <f>DATE(2018,5,15)</f>
        <v>43235</v>
      </c>
      <c r="E6954" s="8">
        <f t="shared" si="113"/>
        <v>2018</v>
      </c>
      <c r="F6954" t="s">
        <v>1005</v>
      </c>
      <c r="G6954" s="9">
        <v>46374.75</v>
      </c>
      <c r="H6954" s="8">
        <v>26752</v>
      </c>
    </row>
    <row r="6955" spans="2:8" x14ac:dyDescent="0.4">
      <c r="B6955" t="s">
        <v>7</v>
      </c>
      <c r="C6955" t="s">
        <v>1003</v>
      </c>
      <c r="D6955" s="7">
        <f>DATE(2004,4,23)</f>
        <v>38100</v>
      </c>
      <c r="E6955" s="8">
        <f t="shared" si="113"/>
        <v>2004</v>
      </c>
      <c r="F6955" t="s">
        <v>1005</v>
      </c>
      <c r="G6955" s="9">
        <v>35000</v>
      </c>
      <c r="H6955" s="8">
        <v>1625</v>
      </c>
    </row>
    <row r="6956" spans="2:8" x14ac:dyDescent="0.4">
      <c r="B6956" t="s">
        <v>7</v>
      </c>
      <c r="C6956" t="s">
        <v>1003</v>
      </c>
      <c r="D6956" s="7">
        <f>DATE(2005,5,25)</f>
        <v>38497</v>
      </c>
      <c r="E6956" s="8">
        <f t="shared" si="113"/>
        <v>2005</v>
      </c>
      <c r="F6956" t="s">
        <v>1005</v>
      </c>
      <c r="G6956" s="9">
        <v>9600</v>
      </c>
      <c r="H6956" s="8">
        <v>2615</v>
      </c>
    </row>
    <row r="6957" spans="2:8" x14ac:dyDescent="0.4">
      <c r="B6957" t="s">
        <v>7</v>
      </c>
      <c r="C6957" t="s">
        <v>1003</v>
      </c>
      <c r="D6957" s="7">
        <f>DATE(2005,5,25)</f>
        <v>38497</v>
      </c>
      <c r="E6957" s="8">
        <f t="shared" si="113"/>
        <v>2005</v>
      </c>
      <c r="F6957" t="s">
        <v>1005</v>
      </c>
      <c r="G6957" s="9">
        <v>4317.5</v>
      </c>
      <c r="H6957" s="8">
        <v>2618</v>
      </c>
    </row>
    <row r="6958" spans="2:8" x14ac:dyDescent="0.4">
      <c r="B6958" t="s">
        <v>7</v>
      </c>
      <c r="C6958" t="s">
        <v>1003</v>
      </c>
      <c r="D6958" s="7">
        <f>DATE(2006,4,6)</f>
        <v>38813</v>
      </c>
      <c r="E6958" s="8">
        <f t="shared" si="113"/>
        <v>2006</v>
      </c>
      <c r="F6958" t="s">
        <v>1005</v>
      </c>
      <c r="G6958" s="9">
        <v>6126.45</v>
      </c>
      <c r="H6958" s="8">
        <v>4331</v>
      </c>
    </row>
    <row r="6959" spans="2:8" x14ac:dyDescent="0.4">
      <c r="B6959" t="s">
        <v>7</v>
      </c>
      <c r="C6959" t="s">
        <v>1003</v>
      </c>
      <c r="D6959" s="7">
        <f>DATE(2007,6,28)</f>
        <v>39261</v>
      </c>
      <c r="E6959" s="8">
        <f t="shared" si="113"/>
        <v>2007</v>
      </c>
      <c r="F6959" t="s">
        <v>1005</v>
      </c>
      <c r="G6959" s="9">
        <v>5234.2299999999996</v>
      </c>
      <c r="H6959" s="8">
        <v>6127</v>
      </c>
    </row>
    <row r="6960" spans="2:8" x14ac:dyDescent="0.4">
      <c r="B6960" t="s">
        <v>7</v>
      </c>
      <c r="C6960" t="s">
        <v>1003</v>
      </c>
      <c r="D6960" s="7">
        <f>DATE(2007,10,28)</f>
        <v>39383</v>
      </c>
      <c r="E6960" s="8">
        <f t="shared" si="113"/>
        <v>2007</v>
      </c>
      <c r="F6960" t="s">
        <v>1005</v>
      </c>
      <c r="G6960" s="9">
        <v>2003.64</v>
      </c>
      <c r="H6960" s="8">
        <v>6552</v>
      </c>
    </row>
    <row r="6961" spans="2:8" x14ac:dyDescent="0.4">
      <c r="B6961" t="s">
        <v>7</v>
      </c>
      <c r="C6961" t="s">
        <v>1003</v>
      </c>
      <c r="D6961" s="7">
        <f>DATE(2007,12,20)</f>
        <v>39436</v>
      </c>
      <c r="E6961" s="8">
        <f t="shared" si="113"/>
        <v>2007</v>
      </c>
      <c r="F6961" t="s">
        <v>1005</v>
      </c>
      <c r="G6961" s="9">
        <v>5105.17</v>
      </c>
      <c r="H6961" s="8">
        <v>6711</v>
      </c>
    </row>
    <row r="6962" spans="2:8" x14ac:dyDescent="0.4">
      <c r="B6962" t="s">
        <v>7</v>
      </c>
      <c r="C6962" t="s">
        <v>1003</v>
      </c>
      <c r="D6962" s="7">
        <f>DATE(2009,9,10)</f>
        <v>40066</v>
      </c>
      <c r="E6962" s="8">
        <f t="shared" si="113"/>
        <v>2009</v>
      </c>
      <c r="F6962" t="s">
        <v>1005</v>
      </c>
      <c r="G6962" s="9">
        <v>9273.1299999999992</v>
      </c>
      <c r="H6962" s="8">
        <v>9014</v>
      </c>
    </row>
    <row r="6963" spans="2:8" x14ac:dyDescent="0.4">
      <c r="B6963" t="s">
        <v>7</v>
      </c>
      <c r="C6963" t="s">
        <v>1003</v>
      </c>
      <c r="D6963" s="7">
        <f>DATE(2011,5,26)</f>
        <v>40689</v>
      </c>
      <c r="E6963" s="8">
        <f t="shared" si="113"/>
        <v>2011</v>
      </c>
      <c r="F6963" t="s">
        <v>1005</v>
      </c>
      <c r="G6963" s="9">
        <v>24670</v>
      </c>
      <c r="H6963" s="8">
        <v>10774</v>
      </c>
    </row>
    <row r="6964" spans="2:8" x14ac:dyDescent="0.4">
      <c r="B6964" t="s">
        <v>7</v>
      </c>
      <c r="C6964" t="s">
        <v>1003</v>
      </c>
      <c r="D6964" s="7">
        <f>DATE(2011,6,24)</f>
        <v>40718</v>
      </c>
      <c r="E6964" s="8">
        <f t="shared" si="113"/>
        <v>2011</v>
      </c>
      <c r="F6964" t="s">
        <v>1005</v>
      </c>
      <c r="G6964" s="9">
        <v>25606</v>
      </c>
      <c r="H6964" s="8">
        <v>10791</v>
      </c>
    </row>
    <row r="6965" spans="2:8" x14ac:dyDescent="0.4">
      <c r="B6965" t="s">
        <v>7</v>
      </c>
      <c r="C6965" t="s">
        <v>1003</v>
      </c>
      <c r="D6965" s="7">
        <f>DATE(2011,9,15)</f>
        <v>40801</v>
      </c>
      <c r="E6965" s="8">
        <f t="shared" si="113"/>
        <v>2011</v>
      </c>
      <c r="F6965" t="s">
        <v>1005</v>
      </c>
      <c r="G6965" s="9">
        <v>2393.04</v>
      </c>
      <c r="H6965" s="8">
        <v>10962</v>
      </c>
    </row>
    <row r="6966" spans="2:8" x14ac:dyDescent="0.4">
      <c r="B6966" t="s">
        <v>7</v>
      </c>
      <c r="C6966" t="s">
        <v>1003</v>
      </c>
      <c r="D6966" s="7">
        <f>DATE(2011,9,20)</f>
        <v>40806</v>
      </c>
      <c r="E6966" s="8">
        <f t="shared" si="113"/>
        <v>2011</v>
      </c>
      <c r="F6966" t="s">
        <v>1005</v>
      </c>
      <c r="G6966" s="9">
        <v>62980</v>
      </c>
      <c r="H6966" s="8">
        <v>11018</v>
      </c>
    </row>
    <row r="6967" spans="2:8" x14ac:dyDescent="0.4">
      <c r="B6967" t="s">
        <v>7</v>
      </c>
      <c r="C6967" t="s">
        <v>1003</v>
      </c>
      <c r="D6967" s="7">
        <f>DATE(2013,11,5)</f>
        <v>41583</v>
      </c>
      <c r="E6967" s="8">
        <f t="shared" si="113"/>
        <v>2013</v>
      </c>
      <c r="F6967" t="s">
        <v>1005</v>
      </c>
      <c r="G6967" s="9">
        <v>22990</v>
      </c>
      <c r="H6967" s="8">
        <v>12621</v>
      </c>
    </row>
    <row r="6968" spans="2:8" x14ac:dyDescent="0.4">
      <c r="B6968" t="s">
        <v>7</v>
      </c>
      <c r="C6968" t="s">
        <v>1003</v>
      </c>
      <c r="D6968" s="7">
        <f>DATE(2010,6,14)</f>
        <v>40343</v>
      </c>
      <c r="E6968" s="8">
        <f t="shared" si="113"/>
        <v>2010</v>
      </c>
      <c r="F6968" t="s">
        <v>1005</v>
      </c>
      <c r="G6968" s="9">
        <v>7432.25</v>
      </c>
      <c r="H6968" s="8">
        <v>9911</v>
      </c>
    </row>
    <row r="6969" spans="2:8" x14ac:dyDescent="0.4">
      <c r="B6969" t="s">
        <v>7</v>
      </c>
      <c r="C6969" t="s">
        <v>1003</v>
      </c>
      <c r="D6969" s="7">
        <f>DATE(2010,10,6)</f>
        <v>40457</v>
      </c>
      <c r="E6969" s="8">
        <f t="shared" si="113"/>
        <v>2010</v>
      </c>
      <c r="F6969" t="s">
        <v>1005</v>
      </c>
      <c r="G6969" s="9">
        <v>9184.75</v>
      </c>
      <c r="H6969" s="8">
        <v>10176</v>
      </c>
    </row>
    <row r="6970" spans="2:8" x14ac:dyDescent="0.4">
      <c r="B6970" t="s">
        <v>7</v>
      </c>
      <c r="C6970" t="s">
        <v>1003</v>
      </c>
      <c r="D6970" s="7">
        <f>DATE(2010,10,28)</f>
        <v>40479</v>
      </c>
      <c r="E6970" s="8">
        <f t="shared" si="113"/>
        <v>2010</v>
      </c>
      <c r="F6970" t="s">
        <v>1005</v>
      </c>
      <c r="G6970" s="9">
        <v>5371.23</v>
      </c>
      <c r="H6970" s="8">
        <v>10211</v>
      </c>
    </row>
    <row r="6971" spans="2:8" x14ac:dyDescent="0.4">
      <c r="B6971" t="s">
        <v>7</v>
      </c>
      <c r="C6971" t="s">
        <v>1003</v>
      </c>
      <c r="D6971" s="7">
        <f>DATE(2010,11,10)</f>
        <v>40492</v>
      </c>
      <c r="E6971" s="8">
        <f t="shared" si="113"/>
        <v>2010</v>
      </c>
      <c r="F6971" t="s">
        <v>1005</v>
      </c>
      <c r="G6971" s="9">
        <v>4220.57</v>
      </c>
      <c r="H6971" s="8">
        <v>10238</v>
      </c>
    </row>
    <row r="6972" spans="2:8" x14ac:dyDescent="0.4">
      <c r="B6972" t="s">
        <v>7</v>
      </c>
      <c r="C6972" t="s">
        <v>1003</v>
      </c>
      <c r="D6972" s="7">
        <f>DATE(2010,11,18)</f>
        <v>40500</v>
      </c>
      <c r="E6972" s="8">
        <f t="shared" si="113"/>
        <v>2010</v>
      </c>
      <c r="F6972" t="s">
        <v>1005</v>
      </c>
      <c r="G6972" s="9">
        <v>9023.7900000000009</v>
      </c>
      <c r="H6972" s="8">
        <v>10270</v>
      </c>
    </row>
    <row r="6973" spans="2:8" x14ac:dyDescent="0.4">
      <c r="B6973" t="s">
        <v>7</v>
      </c>
      <c r="C6973" t="s">
        <v>1003</v>
      </c>
      <c r="D6973" s="7">
        <f>DATE(2010,12,13)</f>
        <v>40525</v>
      </c>
      <c r="E6973" s="8">
        <f t="shared" si="113"/>
        <v>2010</v>
      </c>
      <c r="F6973" t="s">
        <v>1005</v>
      </c>
      <c r="G6973" s="9">
        <v>5283.23</v>
      </c>
      <c r="H6973" s="8">
        <v>10297</v>
      </c>
    </row>
    <row r="6974" spans="2:8" x14ac:dyDescent="0.4">
      <c r="B6974" t="s">
        <v>7</v>
      </c>
      <c r="C6974" t="s">
        <v>1003</v>
      </c>
      <c r="D6974" s="7">
        <f>DATE(2011,6,17)</f>
        <v>40711</v>
      </c>
      <c r="E6974" s="8">
        <f t="shared" si="113"/>
        <v>2011</v>
      </c>
      <c r="F6974" t="s">
        <v>1005</v>
      </c>
      <c r="G6974" s="9">
        <v>9861.36</v>
      </c>
      <c r="H6974" s="8">
        <v>10812</v>
      </c>
    </row>
    <row r="6975" spans="2:8" x14ac:dyDescent="0.4">
      <c r="B6975" t="s">
        <v>7</v>
      </c>
      <c r="C6975" t="s">
        <v>1003</v>
      </c>
      <c r="D6975" s="7">
        <f>DATE(2011,12,1)</f>
        <v>40878</v>
      </c>
      <c r="E6975" s="8">
        <f t="shared" si="113"/>
        <v>2011</v>
      </c>
      <c r="F6975" t="s">
        <v>1005</v>
      </c>
      <c r="G6975" s="9">
        <v>4833.37</v>
      </c>
      <c r="H6975" s="8">
        <v>11147</v>
      </c>
    </row>
    <row r="6976" spans="2:8" x14ac:dyDescent="0.4">
      <c r="B6976" t="s">
        <v>7</v>
      </c>
      <c r="C6976" t="s">
        <v>1003</v>
      </c>
      <c r="D6976" s="7">
        <f>DATE(2012,3,22)</f>
        <v>40990</v>
      </c>
      <c r="E6976" s="8">
        <f t="shared" si="113"/>
        <v>2012</v>
      </c>
      <c r="F6976" t="s">
        <v>1005</v>
      </c>
      <c r="G6976" s="9">
        <v>8506.8799999999992</v>
      </c>
      <c r="H6976" s="8">
        <v>11464</v>
      </c>
    </row>
    <row r="6977" spans="2:8" x14ac:dyDescent="0.4">
      <c r="B6977" t="s">
        <v>7</v>
      </c>
      <c r="C6977" t="s">
        <v>1003</v>
      </c>
      <c r="D6977" s="7">
        <f>DATE(2012,8,2)</f>
        <v>41123</v>
      </c>
      <c r="E6977" s="8">
        <f t="shared" si="113"/>
        <v>2012</v>
      </c>
      <c r="F6977" t="s">
        <v>1005</v>
      </c>
      <c r="G6977" s="9">
        <v>6859.96</v>
      </c>
      <c r="H6977" s="8">
        <v>11774</v>
      </c>
    </row>
    <row r="6978" spans="2:8" x14ac:dyDescent="0.4">
      <c r="B6978" t="s">
        <v>7</v>
      </c>
      <c r="C6978" t="s">
        <v>1003</v>
      </c>
      <c r="D6978" s="7">
        <f>DATE(2013,10,10)</f>
        <v>41557</v>
      </c>
      <c r="E6978" s="8">
        <f t="shared" si="113"/>
        <v>2013</v>
      </c>
      <c r="F6978" t="s">
        <v>1005</v>
      </c>
      <c r="G6978" s="9">
        <v>10870.02</v>
      </c>
      <c r="H6978" s="8">
        <v>12710</v>
      </c>
    </row>
    <row r="6979" spans="2:8" x14ac:dyDescent="0.4">
      <c r="B6979" t="s">
        <v>7</v>
      </c>
      <c r="C6979" t="s">
        <v>1003</v>
      </c>
      <c r="D6979" s="7">
        <f>DATE(2013,10,23)</f>
        <v>41570</v>
      </c>
      <c r="E6979" s="8">
        <f t="shared" ref="E6979:E7042" si="114">YEAR(D6979)</f>
        <v>2013</v>
      </c>
      <c r="F6979" t="s">
        <v>1005</v>
      </c>
      <c r="G6979" s="9">
        <v>9628.8700000000008</v>
      </c>
      <c r="H6979" s="8">
        <v>12716</v>
      </c>
    </row>
    <row r="6980" spans="2:8" x14ac:dyDescent="0.4">
      <c r="B6980" s="3" t="s">
        <v>7</v>
      </c>
      <c r="C6980" s="3" t="s">
        <v>1003</v>
      </c>
      <c r="D6980" s="4">
        <f>DATE(2003,2,4)</f>
        <v>37656</v>
      </c>
      <c r="E6980" s="5">
        <f t="shared" si="114"/>
        <v>2003</v>
      </c>
      <c r="F6980" s="3" t="s">
        <v>1005</v>
      </c>
      <c r="G6980" s="6">
        <v>4603</v>
      </c>
      <c r="H6980" s="5">
        <v>22</v>
      </c>
    </row>
    <row r="6981" spans="2:8" x14ac:dyDescent="0.4">
      <c r="B6981" s="3" t="s">
        <v>7</v>
      </c>
      <c r="C6981" s="3" t="s">
        <v>1003</v>
      </c>
      <c r="D6981" s="4">
        <f>DATE(2003,2,14)</f>
        <v>37666</v>
      </c>
      <c r="E6981" s="5">
        <f t="shared" si="114"/>
        <v>2003</v>
      </c>
      <c r="F6981" s="3" t="s">
        <v>1005</v>
      </c>
      <c r="G6981" s="6">
        <v>413</v>
      </c>
      <c r="H6981" s="5">
        <v>281</v>
      </c>
    </row>
    <row r="6982" spans="2:8" x14ac:dyDescent="0.4">
      <c r="B6982" s="3" t="s">
        <v>7</v>
      </c>
      <c r="C6982" s="3" t="s">
        <v>1003</v>
      </c>
      <c r="D6982" s="4">
        <f>DATE(2003,3,11)</f>
        <v>37691</v>
      </c>
      <c r="E6982" s="5">
        <f t="shared" si="114"/>
        <v>2003</v>
      </c>
      <c r="F6982" s="3" t="s">
        <v>1005</v>
      </c>
      <c r="G6982" s="6">
        <v>413</v>
      </c>
      <c r="H6982" s="5">
        <v>445</v>
      </c>
    </row>
    <row r="6983" spans="2:8" x14ac:dyDescent="0.4">
      <c r="B6983" s="3" t="s">
        <v>7</v>
      </c>
      <c r="C6983" s="3" t="s">
        <v>1003</v>
      </c>
      <c r="D6983" s="4">
        <f>DATE(2004,7,15)</f>
        <v>38183</v>
      </c>
      <c r="E6983" s="5">
        <f t="shared" si="114"/>
        <v>2004</v>
      </c>
      <c r="F6983" s="3" t="s">
        <v>1005</v>
      </c>
      <c r="G6983" s="6">
        <v>250</v>
      </c>
      <c r="H6983" s="5">
        <v>3085</v>
      </c>
    </row>
    <row r="6984" spans="2:8" x14ac:dyDescent="0.4">
      <c r="B6984" s="3" t="s">
        <v>7</v>
      </c>
      <c r="C6984" s="3" t="s">
        <v>1003</v>
      </c>
      <c r="D6984" s="4">
        <f>DATE(2004,11,4)</f>
        <v>38295</v>
      </c>
      <c r="E6984" s="5">
        <f t="shared" si="114"/>
        <v>2004</v>
      </c>
      <c r="F6984" s="3" t="s">
        <v>1005</v>
      </c>
      <c r="G6984" s="6">
        <v>256</v>
      </c>
      <c r="H6984" s="5">
        <v>3665</v>
      </c>
    </row>
    <row r="6985" spans="2:8" x14ac:dyDescent="0.4">
      <c r="B6985" s="3" t="s">
        <v>7</v>
      </c>
      <c r="C6985" s="3" t="s">
        <v>1003</v>
      </c>
      <c r="D6985" s="4">
        <f>DATE(2006,4,20)</f>
        <v>38827</v>
      </c>
      <c r="E6985" s="5">
        <f t="shared" si="114"/>
        <v>2006</v>
      </c>
      <c r="F6985" s="3" t="s">
        <v>1005</v>
      </c>
      <c r="G6985" s="6">
        <v>938</v>
      </c>
      <c r="H6985" s="5">
        <v>6557</v>
      </c>
    </row>
    <row r="6986" spans="2:8" x14ac:dyDescent="0.4">
      <c r="B6986" s="3" t="s">
        <v>7</v>
      </c>
      <c r="C6986" s="3" t="s">
        <v>1003</v>
      </c>
      <c r="D6986" s="4">
        <f>DATE(2007,5,22)</f>
        <v>39224</v>
      </c>
      <c r="E6986" s="5">
        <f t="shared" si="114"/>
        <v>2007</v>
      </c>
      <c r="F6986" s="3" t="s">
        <v>1005</v>
      </c>
      <c r="G6986" s="6">
        <v>438</v>
      </c>
      <c r="H6986" s="5">
        <v>8611</v>
      </c>
    </row>
    <row r="6987" spans="2:8" x14ac:dyDescent="0.4">
      <c r="B6987" s="3" t="s">
        <v>7</v>
      </c>
      <c r="C6987" s="3" t="s">
        <v>1003</v>
      </c>
      <c r="D6987" s="4">
        <f>DATE(2008,8,8)</f>
        <v>39668</v>
      </c>
      <c r="E6987" s="5">
        <f t="shared" si="114"/>
        <v>2008</v>
      </c>
      <c r="F6987" s="3" t="s">
        <v>1005</v>
      </c>
      <c r="G6987" s="6">
        <v>827.78</v>
      </c>
      <c r="H6987" s="5">
        <v>11095</v>
      </c>
    </row>
    <row r="6988" spans="2:8" x14ac:dyDescent="0.4">
      <c r="B6988" s="3" t="s">
        <v>7</v>
      </c>
      <c r="C6988" s="3" t="s">
        <v>1003</v>
      </c>
      <c r="D6988" s="4">
        <f>DATE(2008,8,20)</f>
        <v>39680</v>
      </c>
      <c r="E6988" s="5">
        <f t="shared" si="114"/>
        <v>2008</v>
      </c>
      <c r="F6988" s="3" t="s">
        <v>1005</v>
      </c>
      <c r="G6988" s="6">
        <v>1000.93</v>
      </c>
      <c r="H6988" s="5">
        <v>11149</v>
      </c>
    </row>
    <row r="6989" spans="2:8" x14ac:dyDescent="0.4">
      <c r="B6989" s="3" t="s">
        <v>7</v>
      </c>
      <c r="C6989" s="3" t="s">
        <v>1003</v>
      </c>
      <c r="D6989" s="4">
        <f>DATE(2009,4,23)</f>
        <v>39926</v>
      </c>
      <c r="E6989" s="5">
        <f t="shared" si="114"/>
        <v>2009</v>
      </c>
      <c r="F6989" s="3" t="s">
        <v>1005</v>
      </c>
      <c r="G6989" s="6">
        <v>938</v>
      </c>
      <c r="H6989" s="5">
        <v>12417</v>
      </c>
    </row>
    <row r="6990" spans="2:8" x14ac:dyDescent="0.4">
      <c r="B6990" s="3" t="s">
        <v>7</v>
      </c>
      <c r="C6990" s="3" t="s">
        <v>1003</v>
      </c>
      <c r="D6990" s="4">
        <f>DATE(2009,5,1)</f>
        <v>39934</v>
      </c>
      <c r="E6990" s="5">
        <f t="shared" si="114"/>
        <v>2009</v>
      </c>
      <c r="F6990" s="3" t="s">
        <v>1005</v>
      </c>
      <c r="G6990" s="6">
        <v>950</v>
      </c>
      <c r="H6990" s="5">
        <v>12454</v>
      </c>
    </row>
    <row r="6991" spans="2:8" x14ac:dyDescent="0.4">
      <c r="B6991" s="3" t="s">
        <v>7</v>
      </c>
      <c r="C6991" s="3" t="s">
        <v>1003</v>
      </c>
      <c r="D6991" s="4">
        <f>DATE(2009,5,14)</f>
        <v>39947</v>
      </c>
      <c r="E6991" s="5">
        <f t="shared" si="114"/>
        <v>2009</v>
      </c>
      <c r="F6991" s="3" t="s">
        <v>1005</v>
      </c>
      <c r="G6991" s="6">
        <v>1195</v>
      </c>
      <c r="H6991" s="5">
        <v>12515</v>
      </c>
    </row>
    <row r="6992" spans="2:8" x14ac:dyDescent="0.4">
      <c r="B6992" s="3" t="s">
        <v>7</v>
      </c>
      <c r="C6992" s="3" t="s">
        <v>1003</v>
      </c>
      <c r="D6992" s="4">
        <f>DATE(2009,12,10)</f>
        <v>40157</v>
      </c>
      <c r="E6992" s="5">
        <f t="shared" si="114"/>
        <v>2009</v>
      </c>
      <c r="F6992" s="3" t="s">
        <v>1005</v>
      </c>
      <c r="G6992" s="6">
        <v>938</v>
      </c>
      <c r="H6992" s="5">
        <v>13327</v>
      </c>
    </row>
    <row r="6993" spans="2:8" x14ac:dyDescent="0.4">
      <c r="B6993" s="3" t="s">
        <v>7</v>
      </c>
      <c r="C6993" s="3" t="s">
        <v>1003</v>
      </c>
      <c r="D6993" s="4">
        <f>DATE(2010,8,4)</f>
        <v>40394</v>
      </c>
      <c r="E6993" s="5">
        <f t="shared" si="114"/>
        <v>2010</v>
      </c>
      <c r="F6993" s="3" t="s">
        <v>1005</v>
      </c>
      <c r="G6993" s="6">
        <v>847</v>
      </c>
      <c r="H6993" s="5">
        <v>14329</v>
      </c>
    </row>
    <row r="6994" spans="2:8" x14ac:dyDescent="0.4">
      <c r="B6994" s="3" t="s">
        <v>7</v>
      </c>
      <c r="C6994" s="3" t="s">
        <v>1003</v>
      </c>
      <c r="D6994" s="4">
        <f>DATE(2010,10,12)</f>
        <v>40463</v>
      </c>
      <c r="E6994" s="5">
        <f t="shared" si="114"/>
        <v>2010</v>
      </c>
      <c r="F6994" s="3" t="s">
        <v>1005</v>
      </c>
      <c r="G6994" s="6">
        <v>469</v>
      </c>
      <c r="H6994" s="5">
        <v>14580</v>
      </c>
    </row>
    <row r="6995" spans="2:8" x14ac:dyDescent="0.4">
      <c r="B6995" s="3" t="s">
        <v>7</v>
      </c>
      <c r="C6995" s="3" t="s">
        <v>1003</v>
      </c>
      <c r="D6995" s="4">
        <f>DATE(2010,11,11)</f>
        <v>40493</v>
      </c>
      <c r="E6995" s="5">
        <f t="shared" si="114"/>
        <v>2010</v>
      </c>
      <c r="F6995" s="3" t="s">
        <v>1005</v>
      </c>
      <c r="G6995" s="6">
        <v>1825.5</v>
      </c>
      <c r="H6995" s="5">
        <v>14724</v>
      </c>
    </row>
    <row r="6996" spans="2:8" x14ac:dyDescent="0.4">
      <c r="B6996" s="3" t="s">
        <v>7</v>
      </c>
      <c r="C6996" s="3" t="s">
        <v>1003</v>
      </c>
      <c r="D6996" s="4">
        <f>DATE(2011,1,14)</f>
        <v>40557</v>
      </c>
      <c r="E6996" s="5">
        <f t="shared" si="114"/>
        <v>2011</v>
      </c>
      <c r="F6996" s="3" t="s">
        <v>1005</v>
      </c>
      <c r="G6996" s="6">
        <v>1316</v>
      </c>
      <c r="H6996" s="5">
        <v>14868</v>
      </c>
    </row>
    <row r="6997" spans="2:8" x14ac:dyDescent="0.4">
      <c r="B6997" s="3" t="s">
        <v>7</v>
      </c>
      <c r="C6997" s="3" t="s">
        <v>1003</v>
      </c>
      <c r="D6997" s="4">
        <f>DATE(2011,5,12)</f>
        <v>40675</v>
      </c>
      <c r="E6997" s="5">
        <f t="shared" si="114"/>
        <v>2011</v>
      </c>
      <c r="F6997" s="3" t="s">
        <v>1005</v>
      </c>
      <c r="G6997" s="6">
        <v>1335</v>
      </c>
      <c r="H6997" s="5">
        <v>15575</v>
      </c>
    </row>
    <row r="6998" spans="2:8" x14ac:dyDescent="0.4">
      <c r="B6998" s="3" t="s">
        <v>7</v>
      </c>
      <c r="C6998" s="3" t="s">
        <v>1003</v>
      </c>
      <c r="D6998" s="4">
        <f>DATE(2011,12,8)</f>
        <v>40885</v>
      </c>
      <c r="E6998" s="5">
        <f t="shared" si="114"/>
        <v>2011</v>
      </c>
      <c r="F6998" s="3" t="s">
        <v>1005</v>
      </c>
      <c r="G6998" s="6">
        <v>3963</v>
      </c>
      <c r="H6998" s="5">
        <v>16279</v>
      </c>
    </row>
    <row r="6999" spans="2:8" x14ac:dyDescent="0.4">
      <c r="B6999" s="3" t="s">
        <v>7</v>
      </c>
      <c r="C6999" s="3" t="s">
        <v>1003</v>
      </c>
      <c r="D6999" s="4">
        <f>DATE(2012,5,25)</f>
        <v>41054</v>
      </c>
      <c r="E6999" s="5">
        <f t="shared" si="114"/>
        <v>2012</v>
      </c>
      <c r="F6999" s="3" t="s">
        <v>1005</v>
      </c>
      <c r="G6999" s="6">
        <v>210</v>
      </c>
      <c r="H6999" s="5">
        <v>17189</v>
      </c>
    </row>
    <row r="7000" spans="2:8" x14ac:dyDescent="0.4">
      <c r="B7000" s="3" t="s">
        <v>7</v>
      </c>
      <c r="C7000" s="3" t="s">
        <v>1003</v>
      </c>
      <c r="D7000" s="4">
        <f>DATE(2012,9,13)</f>
        <v>41165</v>
      </c>
      <c r="E7000" s="5">
        <f t="shared" si="114"/>
        <v>2012</v>
      </c>
      <c r="F7000" s="3" t="s">
        <v>1005</v>
      </c>
      <c r="G7000" s="6">
        <v>469</v>
      </c>
      <c r="H7000" s="5">
        <v>17586</v>
      </c>
    </row>
    <row r="7001" spans="2:8" x14ac:dyDescent="0.4">
      <c r="B7001" s="3" t="s">
        <v>7</v>
      </c>
      <c r="C7001" s="3" t="s">
        <v>1003</v>
      </c>
      <c r="D7001" s="4">
        <f>DATE(2013,10,10)</f>
        <v>41557</v>
      </c>
      <c r="E7001" s="5">
        <f t="shared" si="114"/>
        <v>2013</v>
      </c>
      <c r="F7001" s="3" t="s">
        <v>1005</v>
      </c>
      <c r="G7001" s="6">
        <v>1198.96</v>
      </c>
      <c r="H7001" s="5">
        <v>19066</v>
      </c>
    </row>
    <row r="7002" spans="2:8" x14ac:dyDescent="0.4">
      <c r="B7002" s="3" t="s">
        <v>16</v>
      </c>
      <c r="C7002" s="3" t="s">
        <v>1003</v>
      </c>
      <c r="D7002" s="4">
        <f>DATE(2003,2,24)</f>
        <v>37676</v>
      </c>
      <c r="E7002" s="5">
        <f t="shared" si="114"/>
        <v>2003</v>
      </c>
      <c r="F7002" s="3" t="s">
        <v>1005</v>
      </c>
      <c r="G7002" s="6">
        <v>800</v>
      </c>
      <c r="H7002" s="5">
        <v>282</v>
      </c>
    </row>
    <row r="7003" spans="2:8" x14ac:dyDescent="0.4">
      <c r="B7003" s="3" t="s">
        <v>16</v>
      </c>
      <c r="C7003" s="3" t="s">
        <v>1003</v>
      </c>
      <c r="D7003" s="4">
        <f>DATE(2003,3,11)</f>
        <v>37691</v>
      </c>
      <c r="E7003" s="5">
        <f t="shared" si="114"/>
        <v>2003</v>
      </c>
      <c r="F7003" s="3" t="s">
        <v>1005</v>
      </c>
      <c r="G7003" s="6">
        <v>26</v>
      </c>
      <c r="H7003" s="5">
        <v>641</v>
      </c>
    </row>
    <row r="7004" spans="2:8" x14ac:dyDescent="0.4">
      <c r="B7004" s="3" t="s">
        <v>7</v>
      </c>
      <c r="C7004" s="3" t="s">
        <v>1006</v>
      </c>
      <c r="D7004" s="4">
        <f>DATE(2003,6,17)</f>
        <v>37789</v>
      </c>
      <c r="E7004" s="5">
        <f t="shared" si="114"/>
        <v>2003</v>
      </c>
      <c r="F7004" s="3" t="s">
        <v>1007</v>
      </c>
      <c r="G7004" s="6">
        <v>6129.25</v>
      </c>
      <c r="H7004" s="5">
        <v>213</v>
      </c>
    </row>
    <row r="7005" spans="2:8" x14ac:dyDescent="0.4">
      <c r="B7005" t="s">
        <v>7</v>
      </c>
      <c r="C7005" t="s">
        <v>1008</v>
      </c>
      <c r="D7005" s="7">
        <f>DATE(2007,3,30)</f>
        <v>39171</v>
      </c>
      <c r="E7005" s="8">
        <f t="shared" si="114"/>
        <v>2007</v>
      </c>
      <c r="F7005" t="s">
        <v>1009</v>
      </c>
      <c r="G7005" s="9">
        <v>13500</v>
      </c>
      <c r="H7005" s="8">
        <v>5740</v>
      </c>
    </row>
    <row r="7006" spans="2:8" x14ac:dyDescent="0.4">
      <c r="B7006" t="s">
        <v>7</v>
      </c>
      <c r="C7006" t="s">
        <v>1008</v>
      </c>
      <c r="D7006" s="7">
        <f>DATE(2007,3,30)</f>
        <v>39171</v>
      </c>
      <c r="E7006" s="8">
        <f t="shared" si="114"/>
        <v>2007</v>
      </c>
      <c r="F7006" t="s">
        <v>1009</v>
      </c>
      <c r="G7006" s="9">
        <v>4990</v>
      </c>
      <c r="H7006" s="8">
        <v>5732</v>
      </c>
    </row>
    <row r="7007" spans="2:8" x14ac:dyDescent="0.4">
      <c r="B7007" t="s">
        <v>7</v>
      </c>
      <c r="C7007" t="s">
        <v>1008</v>
      </c>
      <c r="D7007" s="7">
        <f>DATE(2007,3,29)</f>
        <v>39170</v>
      </c>
      <c r="E7007" s="8">
        <f t="shared" si="114"/>
        <v>2007</v>
      </c>
      <c r="F7007" t="s">
        <v>1009</v>
      </c>
      <c r="G7007" s="9">
        <v>2702.19</v>
      </c>
      <c r="H7007" s="8">
        <v>5743</v>
      </c>
    </row>
    <row r="7008" spans="2:8" x14ac:dyDescent="0.4">
      <c r="B7008" s="3" t="s">
        <v>7</v>
      </c>
      <c r="C7008" s="3" t="s">
        <v>1008</v>
      </c>
      <c r="D7008" s="4">
        <f>DATE(2003,4,14)</f>
        <v>37725</v>
      </c>
      <c r="E7008" s="5">
        <f t="shared" si="114"/>
        <v>2003</v>
      </c>
      <c r="F7008" s="3" t="s">
        <v>1009</v>
      </c>
      <c r="G7008" s="6">
        <v>4963.5</v>
      </c>
      <c r="H7008" s="5">
        <v>696</v>
      </c>
    </row>
    <row r="7009" spans="2:8" x14ac:dyDescent="0.4">
      <c r="B7009" s="3" t="s">
        <v>7</v>
      </c>
      <c r="C7009" s="3" t="s">
        <v>1008</v>
      </c>
      <c r="D7009" s="4">
        <f>DATE(2003,4,16)</f>
        <v>37727</v>
      </c>
      <c r="E7009" s="5">
        <f t="shared" si="114"/>
        <v>2003</v>
      </c>
      <c r="F7009" s="3" t="s">
        <v>1009</v>
      </c>
      <c r="G7009" s="6">
        <v>4053</v>
      </c>
      <c r="H7009" s="5">
        <v>696</v>
      </c>
    </row>
    <row r="7010" spans="2:8" x14ac:dyDescent="0.4">
      <c r="B7010" s="3" t="s">
        <v>7</v>
      </c>
      <c r="C7010" s="3" t="s">
        <v>1008</v>
      </c>
      <c r="D7010" s="4">
        <f>DATE(2004,4,12)</f>
        <v>38089</v>
      </c>
      <c r="E7010" s="5">
        <f t="shared" si="114"/>
        <v>2004</v>
      </c>
      <c r="F7010" s="3" t="s">
        <v>1009</v>
      </c>
      <c r="G7010" s="6">
        <v>806</v>
      </c>
      <c r="H7010" s="5">
        <v>2640</v>
      </c>
    </row>
    <row r="7011" spans="2:8" x14ac:dyDescent="0.4">
      <c r="B7011" s="3" t="s">
        <v>7</v>
      </c>
      <c r="C7011" s="3" t="s">
        <v>1008</v>
      </c>
      <c r="D7011" s="4">
        <f>DATE(2004,5,6)</f>
        <v>38113</v>
      </c>
      <c r="E7011" s="5">
        <f t="shared" si="114"/>
        <v>2004</v>
      </c>
      <c r="F7011" s="3" t="s">
        <v>1009</v>
      </c>
      <c r="G7011" s="6">
        <v>1612</v>
      </c>
      <c r="H7011" s="5">
        <v>2831</v>
      </c>
    </row>
    <row r="7012" spans="2:8" x14ac:dyDescent="0.4">
      <c r="B7012" s="3" t="s">
        <v>7</v>
      </c>
      <c r="C7012" s="3" t="s">
        <v>1008</v>
      </c>
      <c r="D7012" s="4">
        <f>DATE(2004,8,12)</f>
        <v>38211</v>
      </c>
      <c r="E7012" s="5">
        <f t="shared" si="114"/>
        <v>2004</v>
      </c>
      <c r="F7012" s="3" t="s">
        <v>1009</v>
      </c>
      <c r="G7012" s="6">
        <v>814</v>
      </c>
      <c r="H7012" s="5">
        <v>3265</v>
      </c>
    </row>
    <row r="7013" spans="2:8" x14ac:dyDescent="0.4">
      <c r="B7013" s="3" t="s">
        <v>7</v>
      </c>
      <c r="C7013" s="3" t="s">
        <v>1008</v>
      </c>
      <c r="D7013" s="4">
        <f>DATE(2005,4,28)</f>
        <v>38470</v>
      </c>
      <c r="E7013" s="5">
        <f t="shared" si="114"/>
        <v>2005</v>
      </c>
      <c r="F7013" s="3" t="s">
        <v>1009</v>
      </c>
      <c r="G7013" s="6">
        <v>1269</v>
      </c>
      <c r="H7013" s="5">
        <v>4647</v>
      </c>
    </row>
    <row r="7014" spans="2:8" x14ac:dyDescent="0.4">
      <c r="B7014" s="3" t="s">
        <v>7</v>
      </c>
      <c r="C7014" s="3" t="s">
        <v>1008</v>
      </c>
      <c r="D7014" s="4">
        <f>DATE(2005,5,11)</f>
        <v>38483</v>
      </c>
      <c r="E7014" s="5">
        <f t="shared" si="114"/>
        <v>2005</v>
      </c>
      <c r="F7014" s="3" t="s">
        <v>1009</v>
      </c>
      <c r="G7014" s="6">
        <v>1269</v>
      </c>
      <c r="H7014" s="5">
        <v>4737</v>
      </c>
    </row>
    <row r="7015" spans="2:8" x14ac:dyDescent="0.4">
      <c r="B7015" s="3" t="s">
        <v>7</v>
      </c>
      <c r="C7015" s="3" t="s">
        <v>1008</v>
      </c>
      <c r="D7015" s="4">
        <f>DATE(2005,6,17)</f>
        <v>38520</v>
      </c>
      <c r="E7015" s="5">
        <f t="shared" si="114"/>
        <v>2005</v>
      </c>
      <c r="F7015" s="3" t="s">
        <v>1009</v>
      </c>
      <c r="G7015" s="6">
        <v>1269</v>
      </c>
      <c r="H7015" s="5">
        <v>4893</v>
      </c>
    </row>
    <row r="7016" spans="2:8" x14ac:dyDescent="0.4">
      <c r="B7016" s="3" t="s">
        <v>7</v>
      </c>
      <c r="C7016" s="3" t="s">
        <v>1008</v>
      </c>
      <c r="D7016" s="4">
        <f>DATE(2005,6,25)</f>
        <v>38528</v>
      </c>
      <c r="E7016" s="5">
        <f t="shared" si="114"/>
        <v>2005</v>
      </c>
      <c r="F7016" s="3" t="s">
        <v>1009</v>
      </c>
      <c r="G7016" s="6">
        <v>2115</v>
      </c>
      <c r="H7016" s="5">
        <v>4931</v>
      </c>
    </row>
    <row r="7017" spans="2:8" x14ac:dyDescent="0.4">
      <c r="B7017" s="3" t="s">
        <v>7</v>
      </c>
      <c r="C7017" s="3" t="s">
        <v>1008</v>
      </c>
      <c r="D7017" s="4">
        <f>DATE(2006,5,24)</f>
        <v>38861</v>
      </c>
      <c r="E7017" s="5">
        <f t="shared" si="114"/>
        <v>2006</v>
      </c>
      <c r="F7017" s="3" t="s">
        <v>1009</v>
      </c>
      <c r="G7017" s="6">
        <v>1269</v>
      </c>
      <c r="H7017" s="5">
        <v>6765</v>
      </c>
    </row>
    <row r="7018" spans="2:8" x14ac:dyDescent="0.4">
      <c r="B7018" s="3" t="s">
        <v>7</v>
      </c>
      <c r="C7018" s="3" t="s">
        <v>1008</v>
      </c>
      <c r="D7018" s="4">
        <f>DATE(2009,6,6)</f>
        <v>39970</v>
      </c>
      <c r="E7018" s="5">
        <f t="shared" si="114"/>
        <v>2009</v>
      </c>
      <c r="F7018" s="3" t="s">
        <v>1009</v>
      </c>
      <c r="G7018" s="6">
        <v>2538</v>
      </c>
      <c r="H7018" s="5">
        <v>6813</v>
      </c>
    </row>
    <row r="7019" spans="2:8" x14ac:dyDescent="0.4">
      <c r="B7019" s="3" t="s">
        <v>7</v>
      </c>
      <c r="C7019" s="3" t="s">
        <v>1008</v>
      </c>
      <c r="D7019" s="4">
        <f>DATE(2007,4,20)</f>
        <v>39192</v>
      </c>
      <c r="E7019" s="5">
        <f t="shared" si="114"/>
        <v>2007</v>
      </c>
      <c r="F7019" s="3" t="s">
        <v>1009</v>
      </c>
      <c r="G7019" s="6">
        <v>1704</v>
      </c>
      <c r="H7019" s="5">
        <v>8395</v>
      </c>
    </row>
    <row r="7020" spans="2:8" x14ac:dyDescent="0.4">
      <c r="B7020" s="3" t="s">
        <v>7</v>
      </c>
      <c r="C7020" s="3" t="s">
        <v>1008</v>
      </c>
      <c r="D7020" s="4">
        <f>DATE(2007,5,14)</f>
        <v>39216</v>
      </c>
      <c r="E7020" s="5">
        <f t="shared" si="114"/>
        <v>2007</v>
      </c>
      <c r="F7020" s="3" t="s">
        <v>1009</v>
      </c>
      <c r="G7020" s="6">
        <v>620</v>
      </c>
      <c r="H7020" s="5">
        <v>8530</v>
      </c>
    </row>
    <row r="7021" spans="2:8" x14ac:dyDescent="0.4">
      <c r="B7021" s="3" t="s">
        <v>7</v>
      </c>
      <c r="C7021" s="3" t="s">
        <v>1008</v>
      </c>
      <c r="D7021" s="4">
        <f>DATE(2003,4,4)</f>
        <v>37715</v>
      </c>
      <c r="E7021" s="5">
        <f t="shared" si="114"/>
        <v>2003</v>
      </c>
      <c r="F7021" s="3" t="s">
        <v>1010</v>
      </c>
      <c r="G7021" s="6">
        <v>3224</v>
      </c>
      <c r="H7021" s="5">
        <v>696</v>
      </c>
    </row>
    <row r="7022" spans="2:8" x14ac:dyDescent="0.4">
      <c r="B7022" s="3" t="s">
        <v>7</v>
      </c>
      <c r="C7022" s="3" t="s">
        <v>1008</v>
      </c>
      <c r="D7022" s="4">
        <f>DATE(2003,4,16)</f>
        <v>37727</v>
      </c>
      <c r="E7022" s="5">
        <f t="shared" si="114"/>
        <v>2003</v>
      </c>
      <c r="F7022" s="3" t="s">
        <v>1010</v>
      </c>
      <c r="G7022" s="6">
        <v>8060</v>
      </c>
      <c r="H7022" s="5">
        <v>696</v>
      </c>
    </row>
    <row r="7023" spans="2:8" x14ac:dyDescent="0.4">
      <c r="B7023" s="3" t="s">
        <v>7</v>
      </c>
      <c r="C7023" s="3" t="s">
        <v>1011</v>
      </c>
      <c r="D7023" s="4">
        <f>DATE(2009,4,27)</f>
        <v>39930</v>
      </c>
      <c r="E7023" s="5">
        <f t="shared" si="114"/>
        <v>2009</v>
      </c>
      <c r="F7023" s="3" t="s">
        <v>1012</v>
      </c>
      <c r="G7023" s="6">
        <v>28797.5</v>
      </c>
      <c r="H7023" s="5">
        <v>3350</v>
      </c>
    </row>
    <row r="7024" spans="2:8" x14ac:dyDescent="0.4">
      <c r="B7024" s="3" t="s">
        <v>7</v>
      </c>
      <c r="C7024" s="3" t="s">
        <v>1013</v>
      </c>
      <c r="D7024" s="4">
        <f>DATE(2011,6,27)</f>
        <v>40721</v>
      </c>
      <c r="E7024" s="5">
        <f t="shared" si="114"/>
        <v>2011</v>
      </c>
      <c r="F7024" s="3" t="s">
        <v>1014</v>
      </c>
      <c r="G7024" s="6">
        <v>9572</v>
      </c>
      <c r="H7024" s="5">
        <v>4480</v>
      </c>
    </row>
    <row r="7025" spans="2:8" x14ac:dyDescent="0.4">
      <c r="B7025" s="3" t="s">
        <v>7</v>
      </c>
      <c r="C7025" s="3" t="s">
        <v>1013</v>
      </c>
      <c r="D7025" s="4">
        <f>DATE(2011,8,31)</f>
        <v>40786</v>
      </c>
      <c r="E7025" s="5">
        <f t="shared" si="114"/>
        <v>2011</v>
      </c>
      <c r="F7025" s="3" t="s">
        <v>1014</v>
      </c>
      <c r="G7025" s="6">
        <v>8164.5</v>
      </c>
      <c r="H7025" s="5">
        <v>4620</v>
      </c>
    </row>
    <row r="7026" spans="2:8" x14ac:dyDescent="0.4">
      <c r="B7026" s="3" t="s">
        <v>16</v>
      </c>
      <c r="C7026" s="3" t="s">
        <v>1013</v>
      </c>
      <c r="D7026" s="4">
        <f>DATE(2011,8,1)</f>
        <v>40756</v>
      </c>
      <c r="E7026" s="5">
        <f t="shared" si="114"/>
        <v>2011</v>
      </c>
      <c r="F7026" s="3" t="s">
        <v>1014</v>
      </c>
      <c r="G7026" s="6">
        <v>9572</v>
      </c>
      <c r="H7026" s="5">
        <v>4621</v>
      </c>
    </row>
    <row r="7027" spans="2:8" x14ac:dyDescent="0.4">
      <c r="B7027" t="s">
        <v>7</v>
      </c>
      <c r="C7027" t="s">
        <v>1015</v>
      </c>
      <c r="D7027" s="7">
        <f>DATE(2017,10,2)</f>
        <v>43010</v>
      </c>
      <c r="E7027" s="8">
        <f t="shared" si="114"/>
        <v>2017</v>
      </c>
      <c r="F7027" t="s">
        <v>1016</v>
      </c>
      <c r="G7027" s="9">
        <v>57458.94</v>
      </c>
      <c r="H7027" s="8">
        <v>25464</v>
      </c>
    </row>
    <row r="7028" spans="2:8" x14ac:dyDescent="0.4">
      <c r="B7028" s="3" t="s">
        <v>7</v>
      </c>
      <c r="C7028" s="3" t="s">
        <v>1017</v>
      </c>
      <c r="D7028" s="4">
        <f>DATE(2006,3,27)</f>
        <v>38803</v>
      </c>
      <c r="E7028" s="5">
        <f t="shared" si="114"/>
        <v>2006</v>
      </c>
      <c r="F7028" s="3" t="s">
        <v>1018</v>
      </c>
      <c r="G7028" s="6">
        <v>122.8</v>
      </c>
      <c r="H7028" s="5">
        <v>6354</v>
      </c>
    </row>
    <row r="7029" spans="2:8" x14ac:dyDescent="0.4">
      <c r="B7029" s="3" t="s">
        <v>7</v>
      </c>
      <c r="C7029" s="3" t="s">
        <v>1017</v>
      </c>
      <c r="D7029" s="4">
        <f>DATE(2007,2,19)</f>
        <v>39132</v>
      </c>
      <c r="E7029" s="5">
        <f t="shared" si="114"/>
        <v>2007</v>
      </c>
      <c r="F7029" s="3" t="s">
        <v>1018</v>
      </c>
      <c r="G7029" s="6">
        <v>108.6</v>
      </c>
      <c r="H7029" s="5">
        <v>7972</v>
      </c>
    </row>
    <row r="7030" spans="2:8" x14ac:dyDescent="0.4">
      <c r="B7030" s="3" t="s">
        <v>7</v>
      </c>
      <c r="C7030" s="3" t="s">
        <v>1017</v>
      </c>
      <c r="D7030" s="4">
        <f>DATE(2007,3,12)</f>
        <v>39153</v>
      </c>
      <c r="E7030" s="5">
        <f t="shared" si="114"/>
        <v>2007</v>
      </c>
      <c r="F7030" s="3" t="s">
        <v>1018</v>
      </c>
      <c r="G7030" s="6">
        <v>175.2</v>
      </c>
      <c r="H7030" s="5">
        <v>8126</v>
      </c>
    </row>
    <row r="7031" spans="2:8" x14ac:dyDescent="0.4">
      <c r="B7031" s="3" t="s">
        <v>7</v>
      </c>
      <c r="C7031" s="3" t="s">
        <v>1017</v>
      </c>
      <c r="D7031" s="4">
        <f>DATE(2010,11,5)</f>
        <v>40487</v>
      </c>
      <c r="E7031" s="5">
        <f t="shared" si="114"/>
        <v>2010</v>
      </c>
      <c r="F7031" s="3" t="s">
        <v>1018</v>
      </c>
      <c r="G7031" s="6">
        <v>4365</v>
      </c>
      <c r="H7031" s="5">
        <v>14670</v>
      </c>
    </row>
    <row r="7032" spans="2:8" x14ac:dyDescent="0.4">
      <c r="B7032" s="3" t="s">
        <v>7</v>
      </c>
      <c r="C7032" s="3" t="s">
        <v>1019</v>
      </c>
      <c r="D7032" s="4">
        <f>DATE(2009,9,10)</f>
        <v>40066</v>
      </c>
      <c r="E7032" s="5">
        <f t="shared" si="114"/>
        <v>2009</v>
      </c>
      <c r="F7032" s="3" t="s">
        <v>1020</v>
      </c>
      <c r="G7032" s="6">
        <v>3670.29</v>
      </c>
      <c r="H7032" s="5">
        <v>12976</v>
      </c>
    </row>
    <row r="7033" spans="2:8" x14ac:dyDescent="0.4">
      <c r="B7033" s="3" t="s">
        <v>7</v>
      </c>
      <c r="C7033" s="3" t="s">
        <v>1019</v>
      </c>
      <c r="D7033" s="4">
        <f>DATE(2007,9,27)</f>
        <v>39352</v>
      </c>
      <c r="E7033" s="5">
        <f t="shared" si="114"/>
        <v>2007</v>
      </c>
      <c r="F7033" s="3" t="s">
        <v>1021</v>
      </c>
      <c r="G7033" s="6">
        <v>18890.55</v>
      </c>
      <c r="H7033" s="5">
        <v>9125</v>
      </c>
    </row>
    <row r="7034" spans="2:8" x14ac:dyDescent="0.4">
      <c r="B7034" s="3" t="s">
        <v>7</v>
      </c>
      <c r="C7034" s="3" t="s">
        <v>1019</v>
      </c>
      <c r="D7034" s="4">
        <f>DATE(2007,9,27)</f>
        <v>39352</v>
      </c>
      <c r="E7034" s="5">
        <f t="shared" si="114"/>
        <v>2007</v>
      </c>
      <c r="F7034" s="3" t="s">
        <v>1021</v>
      </c>
      <c r="G7034" s="6">
        <v>1523.24</v>
      </c>
      <c r="H7034" s="5">
        <v>9231</v>
      </c>
    </row>
    <row r="7035" spans="2:8" x14ac:dyDescent="0.4">
      <c r="B7035" s="3" t="s">
        <v>7</v>
      </c>
      <c r="C7035" s="3" t="s">
        <v>1019</v>
      </c>
      <c r="D7035" s="4">
        <f>DATE(2008,5,9)</f>
        <v>39577</v>
      </c>
      <c r="E7035" s="5">
        <f t="shared" si="114"/>
        <v>2008</v>
      </c>
      <c r="F7035" s="3" t="s">
        <v>1021</v>
      </c>
      <c r="G7035" s="6">
        <v>732.5</v>
      </c>
      <c r="H7035" s="5">
        <v>10626</v>
      </c>
    </row>
    <row r="7036" spans="2:8" x14ac:dyDescent="0.4">
      <c r="B7036" s="3" t="s">
        <v>7</v>
      </c>
      <c r="C7036" s="3" t="s">
        <v>1019</v>
      </c>
      <c r="D7036" s="4">
        <f>DATE(2008,7,24)</f>
        <v>39653</v>
      </c>
      <c r="E7036" s="5">
        <f t="shared" si="114"/>
        <v>2008</v>
      </c>
      <c r="F7036" s="3" t="s">
        <v>1021</v>
      </c>
      <c r="G7036" s="6">
        <v>658.14</v>
      </c>
      <c r="H7036" s="5">
        <v>10986</v>
      </c>
    </row>
    <row r="7037" spans="2:8" x14ac:dyDescent="0.4">
      <c r="B7037" s="3" t="s">
        <v>7</v>
      </c>
      <c r="C7037" s="3" t="s">
        <v>1019</v>
      </c>
      <c r="D7037" s="4">
        <f>DATE(2008,8,25)</f>
        <v>39685</v>
      </c>
      <c r="E7037" s="5">
        <f t="shared" si="114"/>
        <v>2008</v>
      </c>
      <c r="F7037" s="3" t="s">
        <v>1021</v>
      </c>
      <c r="G7037" s="6">
        <v>6387.46</v>
      </c>
      <c r="H7037" s="5">
        <v>11148</v>
      </c>
    </row>
    <row r="7038" spans="2:8" x14ac:dyDescent="0.4">
      <c r="B7038" s="3" t="s">
        <v>7</v>
      </c>
      <c r="C7038" s="3" t="s">
        <v>1019</v>
      </c>
      <c r="D7038" s="4">
        <f>DATE(2009,2,27)</f>
        <v>39871</v>
      </c>
      <c r="E7038" s="5">
        <f t="shared" si="114"/>
        <v>2009</v>
      </c>
      <c r="F7038" s="3" t="s">
        <v>1021</v>
      </c>
      <c r="G7038" s="6">
        <v>3082.58</v>
      </c>
      <c r="H7038" s="5">
        <v>12110</v>
      </c>
    </row>
    <row r="7039" spans="2:8" x14ac:dyDescent="0.4">
      <c r="B7039" s="3" t="s">
        <v>7</v>
      </c>
      <c r="C7039" s="3" t="s">
        <v>1019</v>
      </c>
      <c r="D7039" s="4">
        <f>DATE(2009,8,7)</f>
        <v>40032</v>
      </c>
      <c r="E7039" s="5">
        <f t="shared" si="114"/>
        <v>2009</v>
      </c>
      <c r="F7039" s="3" t="s">
        <v>1021</v>
      </c>
      <c r="G7039" s="6">
        <v>626.42999999999995</v>
      </c>
      <c r="H7039" s="5">
        <v>12882</v>
      </c>
    </row>
    <row r="7040" spans="2:8" x14ac:dyDescent="0.4">
      <c r="B7040" s="3" t="s">
        <v>7</v>
      </c>
      <c r="C7040" s="3" t="s">
        <v>1019</v>
      </c>
      <c r="D7040" s="4">
        <f>DATE(2009,8,13)</f>
        <v>40038</v>
      </c>
      <c r="E7040" s="5">
        <f t="shared" si="114"/>
        <v>2009</v>
      </c>
      <c r="F7040" s="3" t="s">
        <v>1021</v>
      </c>
      <c r="G7040" s="6">
        <v>856.28</v>
      </c>
      <c r="H7040" s="5">
        <v>12894</v>
      </c>
    </row>
    <row r="7041" spans="2:8" x14ac:dyDescent="0.4">
      <c r="B7041" s="3" t="s">
        <v>16</v>
      </c>
      <c r="C7041" s="3" t="s">
        <v>1019</v>
      </c>
      <c r="D7041" s="4">
        <f>DATE(2009,8,18)</f>
        <v>40043</v>
      </c>
      <c r="E7041" s="5">
        <f t="shared" si="114"/>
        <v>2009</v>
      </c>
      <c r="F7041" s="3" t="s">
        <v>1021</v>
      </c>
      <c r="G7041" s="6">
        <v>626.42999999999995</v>
      </c>
      <c r="H7041" s="5">
        <v>12935</v>
      </c>
    </row>
    <row r="7042" spans="2:8" x14ac:dyDescent="0.4">
      <c r="B7042" t="s">
        <v>7</v>
      </c>
      <c r="C7042" t="s">
        <v>1022</v>
      </c>
      <c r="D7042" s="7">
        <f>DATE(2010,12,16)</f>
        <v>40528</v>
      </c>
      <c r="E7042" s="8">
        <f t="shared" si="114"/>
        <v>2010</v>
      </c>
      <c r="F7042" t="s">
        <v>1023</v>
      </c>
      <c r="G7042" s="9">
        <v>3948.98</v>
      </c>
      <c r="H7042" s="8">
        <v>10308</v>
      </c>
    </row>
    <row r="7043" spans="2:8" x14ac:dyDescent="0.4">
      <c r="B7043" s="3" t="s">
        <v>7</v>
      </c>
      <c r="C7043" s="3" t="s">
        <v>1024</v>
      </c>
      <c r="D7043" s="4">
        <f>DATE(2009,10,21)</f>
        <v>40107</v>
      </c>
      <c r="E7043" s="5">
        <f t="shared" ref="E7043:E7106" si="115">YEAR(D7043)</f>
        <v>2009</v>
      </c>
      <c r="F7043" s="3" t="s">
        <v>1025</v>
      </c>
      <c r="G7043" s="6">
        <v>975</v>
      </c>
      <c r="H7043" s="5">
        <v>13147</v>
      </c>
    </row>
    <row r="7044" spans="2:8" x14ac:dyDescent="0.4">
      <c r="B7044" s="3" t="s">
        <v>7</v>
      </c>
      <c r="C7044" s="3" t="s">
        <v>1026</v>
      </c>
      <c r="D7044" s="4">
        <f>DATE(2008,4,21)</f>
        <v>39559</v>
      </c>
      <c r="E7044" s="5">
        <f t="shared" si="115"/>
        <v>2008</v>
      </c>
      <c r="F7044" s="3" t="s">
        <v>1027</v>
      </c>
      <c r="G7044" s="6">
        <v>77.58</v>
      </c>
      <c r="H7044" s="5">
        <v>10424</v>
      </c>
    </row>
    <row r="7045" spans="2:8" x14ac:dyDescent="0.4">
      <c r="B7045" t="s">
        <v>7</v>
      </c>
      <c r="C7045" t="s">
        <v>1028</v>
      </c>
      <c r="D7045" s="7">
        <f>DATE(2008,11,14)</f>
        <v>39766</v>
      </c>
      <c r="E7045" s="8">
        <f t="shared" si="115"/>
        <v>2008</v>
      </c>
      <c r="F7045" t="s">
        <v>1029</v>
      </c>
      <c r="G7045" s="9">
        <v>25998.5</v>
      </c>
      <c r="H7045" s="8">
        <v>7822</v>
      </c>
    </row>
    <row r="7046" spans="2:8" x14ac:dyDescent="0.4">
      <c r="B7046" t="s">
        <v>7</v>
      </c>
      <c r="C7046" t="s">
        <v>1028</v>
      </c>
      <c r="D7046" s="7">
        <f>DATE(2008,11,9)</f>
        <v>39761</v>
      </c>
      <c r="E7046" s="8">
        <f t="shared" si="115"/>
        <v>2008</v>
      </c>
      <c r="F7046" t="s">
        <v>1029</v>
      </c>
      <c r="G7046" s="9">
        <v>39619.18</v>
      </c>
      <c r="H7046" s="8">
        <v>7821</v>
      </c>
    </row>
    <row r="7047" spans="2:8" x14ac:dyDescent="0.4">
      <c r="B7047" s="3" t="s">
        <v>7</v>
      </c>
      <c r="C7047" s="3" t="s">
        <v>1028</v>
      </c>
      <c r="D7047" s="4">
        <f>DATE(2008,11,4)</f>
        <v>39756</v>
      </c>
      <c r="E7047" s="5">
        <f t="shared" si="115"/>
        <v>2008</v>
      </c>
      <c r="F7047" s="3" t="s">
        <v>1029</v>
      </c>
      <c r="G7047" s="6">
        <v>1202.6099999999999</v>
      </c>
      <c r="H7047" s="5">
        <v>11547</v>
      </c>
    </row>
    <row r="7048" spans="2:8" x14ac:dyDescent="0.4">
      <c r="B7048" s="3" t="s">
        <v>7</v>
      </c>
      <c r="C7048" s="3" t="s">
        <v>1028</v>
      </c>
      <c r="D7048" s="4">
        <f>DATE(2008,11,5)</f>
        <v>39757</v>
      </c>
      <c r="E7048" s="5">
        <f t="shared" si="115"/>
        <v>2008</v>
      </c>
      <c r="F7048" s="3" t="s">
        <v>1029</v>
      </c>
      <c r="G7048" s="6">
        <v>1718.67</v>
      </c>
      <c r="H7048" s="5">
        <v>11547</v>
      </c>
    </row>
    <row r="7049" spans="2:8" x14ac:dyDescent="0.4">
      <c r="B7049" t="s">
        <v>7</v>
      </c>
      <c r="C7049" t="s">
        <v>1028</v>
      </c>
      <c r="D7049" s="7">
        <f>DATE(2004,8,20)</f>
        <v>38219</v>
      </c>
      <c r="E7049" s="8">
        <f t="shared" si="115"/>
        <v>2004</v>
      </c>
      <c r="F7049" t="s">
        <v>1030</v>
      </c>
      <c r="G7049" s="9">
        <v>13385.16</v>
      </c>
      <c r="H7049" s="8">
        <v>2071</v>
      </c>
    </row>
    <row r="7050" spans="2:8" x14ac:dyDescent="0.4">
      <c r="B7050" s="3" t="s">
        <v>7</v>
      </c>
      <c r="C7050" s="3" t="s">
        <v>1028</v>
      </c>
      <c r="D7050" s="4">
        <f>DATE(2003,4,23)</f>
        <v>37734</v>
      </c>
      <c r="E7050" s="5">
        <f t="shared" si="115"/>
        <v>2003</v>
      </c>
      <c r="F7050" s="3" t="s">
        <v>1030</v>
      </c>
      <c r="G7050" s="6">
        <v>503.36</v>
      </c>
      <c r="H7050" s="5">
        <v>801</v>
      </c>
    </row>
    <row r="7051" spans="2:8" x14ac:dyDescent="0.4">
      <c r="B7051" s="3" t="s">
        <v>7</v>
      </c>
      <c r="C7051" s="3" t="s">
        <v>1028</v>
      </c>
      <c r="D7051" s="4">
        <f>DATE(2004,3,11)</f>
        <v>38057</v>
      </c>
      <c r="E7051" s="5">
        <f t="shared" si="115"/>
        <v>2004</v>
      </c>
      <c r="F7051" s="3" t="s">
        <v>1030</v>
      </c>
      <c r="G7051" s="6">
        <v>974.58</v>
      </c>
      <c r="H7051" s="5">
        <v>2360</v>
      </c>
    </row>
    <row r="7052" spans="2:8" x14ac:dyDescent="0.4">
      <c r="B7052" t="s">
        <v>7</v>
      </c>
      <c r="C7052" t="s">
        <v>1031</v>
      </c>
      <c r="D7052" s="7">
        <f>DATE(2005,5,31)</f>
        <v>38503</v>
      </c>
      <c r="E7052" s="8">
        <f t="shared" si="115"/>
        <v>2005</v>
      </c>
      <c r="F7052" t="s">
        <v>1032</v>
      </c>
      <c r="G7052" s="9">
        <v>732</v>
      </c>
      <c r="H7052" s="8">
        <v>3227</v>
      </c>
    </row>
    <row r="7053" spans="2:8" x14ac:dyDescent="0.4">
      <c r="B7053" t="s">
        <v>7</v>
      </c>
      <c r="C7053" t="s">
        <v>1031</v>
      </c>
      <c r="D7053" s="7">
        <f>DATE(2006,9,4)</f>
        <v>38964</v>
      </c>
      <c r="E7053" s="8">
        <f t="shared" si="115"/>
        <v>2006</v>
      </c>
      <c r="F7053" t="s">
        <v>1032</v>
      </c>
      <c r="G7053" s="9">
        <v>13796.39</v>
      </c>
      <c r="H7053" s="8">
        <v>4801</v>
      </c>
    </row>
    <row r="7054" spans="2:8" x14ac:dyDescent="0.4">
      <c r="B7054" t="s">
        <v>7</v>
      </c>
      <c r="C7054" t="s">
        <v>1031</v>
      </c>
      <c r="D7054" s="7">
        <f>DATE(2007,1,18)</f>
        <v>39100</v>
      </c>
      <c r="E7054" s="8">
        <f t="shared" si="115"/>
        <v>2007</v>
      </c>
      <c r="F7054" t="s">
        <v>1032</v>
      </c>
      <c r="G7054" s="9">
        <v>11004.57</v>
      </c>
      <c r="H7054" s="8">
        <v>5372</v>
      </c>
    </row>
    <row r="7055" spans="2:8" x14ac:dyDescent="0.4">
      <c r="B7055" s="3" t="s">
        <v>7</v>
      </c>
      <c r="C7055" s="3" t="s">
        <v>1031</v>
      </c>
      <c r="D7055" s="4">
        <f>DATE(2003,10,29)</f>
        <v>37923</v>
      </c>
      <c r="E7055" s="5">
        <f t="shared" si="115"/>
        <v>2003</v>
      </c>
      <c r="F7055" s="3" t="s">
        <v>1032</v>
      </c>
      <c r="G7055" s="6">
        <v>351.75</v>
      </c>
      <c r="H7055" s="5">
        <v>1728</v>
      </c>
    </row>
    <row r="7056" spans="2:8" x14ac:dyDescent="0.4">
      <c r="B7056" s="3" t="s">
        <v>7</v>
      </c>
      <c r="C7056" s="3" t="s">
        <v>1031</v>
      </c>
      <c r="D7056" s="4">
        <f>DATE(2004,10,15)</f>
        <v>38275</v>
      </c>
      <c r="E7056" s="5">
        <f t="shared" si="115"/>
        <v>2004</v>
      </c>
      <c r="F7056" s="3" t="s">
        <v>1032</v>
      </c>
      <c r="G7056" s="6">
        <v>316</v>
      </c>
      <c r="H7056" s="5">
        <v>3581</v>
      </c>
    </row>
    <row r="7057" spans="2:8" x14ac:dyDescent="0.4">
      <c r="B7057" t="s">
        <v>7</v>
      </c>
      <c r="C7057" t="s">
        <v>1033</v>
      </c>
      <c r="D7057" s="7">
        <f>DATE(2016,5,12)</f>
        <v>42502</v>
      </c>
      <c r="E7057" s="8">
        <f t="shared" si="115"/>
        <v>2016</v>
      </c>
      <c r="F7057" t="s">
        <v>1034</v>
      </c>
      <c r="G7057" s="9">
        <v>14326.87</v>
      </c>
      <c r="H7057" s="8">
        <v>22717</v>
      </c>
    </row>
    <row r="7058" spans="2:8" x14ac:dyDescent="0.4">
      <c r="B7058" t="s">
        <v>7</v>
      </c>
      <c r="C7058" t="s">
        <v>1033</v>
      </c>
      <c r="D7058" s="7">
        <f>DATE(2017,4,21)</f>
        <v>42846</v>
      </c>
      <c r="E7058" s="8">
        <f t="shared" si="115"/>
        <v>2017</v>
      </c>
      <c r="F7058" t="s">
        <v>1034</v>
      </c>
      <c r="G7058" s="9">
        <v>13958</v>
      </c>
      <c r="H7058" s="8">
        <v>23288</v>
      </c>
    </row>
    <row r="7059" spans="2:8" x14ac:dyDescent="0.4">
      <c r="B7059" t="s">
        <v>7</v>
      </c>
      <c r="C7059" t="s">
        <v>1033</v>
      </c>
      <c r="D7059" s="7">
        <f>DATE(2017,5,8)</f>
        <v>42863</v>
      </c>
      <c r="E7059" s="8">
        <f t="shared" si="115"/>
        <v>2017</v>
      </c>
      <c r="F7059" t="s">
        <v>1034</v>
      </c>
      <c r="G7059" s="9">
        <v>16859</v>
      </c>
      <c r="H7059" s="8">
        <v>23929</v>
      </c>
    </row>
    <row r="7060" spans="2:8" x14ac:dyDescent="0.4">
      <c r="B7060" t="s">
        <v>7</v>
      </c>
      <c r="C7060" t="s">
        <v>1033</v>
      </c>
      <c r="D7060" s="7">
        <f>DATE(2016,10,28)</f>
        <v>42671</v>
      </c>
      <c r="E7060" s="8">
        <f t="shared" si="115"/>
        <v>2016</v>
      </c>
      <c r="F7060" t="s">
        <v>1034</v>
      </c>
      <c r="G7060" s="9">
        <v>4502.75</v>
      </c>
      <c r="H7060" s="8">
        <v>23381</v>
      </c>
    </row>
    <row r="7061" spans="2:8" x14ac:dyDescent="0.4">
      <c r="B7061" t="s">
        <v>7</v>
      </c>
      <c r="C7061" t="s">
        <v>1033</v>
      </c>
      <c r="D7061" s="7">
        <f>DATE(2017,3,29)</f>
        <v>42823</v>
      </c>
      <c r="E7061" s="8">
        <f t="shared" si="115"/>
        <v>2017</v>
      </c>
      <c r="F7061" t="s">
        <v>1034</v>
      </c>
      <c r="G7061" s="9">
        <v>7678.93</v>
      </c>
      <c r="H7061" s="8">
        <v>24562</v>
      </c>
    </row>
    <row r="7062" spans="2:8" x14ac:dyDescent="0.4">
      <c r="B7062" t="s">
        <v>7</v>
      </c>
      <c r="C7062" t="s">
        <v>1035</v>
      </c>
      <c r="D7062" s="7">
        <f>DATE(2009,10,23)</f>
        <v>40109</v>
      </c>
      <c r="E7062" s="8">
        <f t="shared" si="115"/>
        <v>2009</v>
      </c>
      <c r="F7062" t="s">
        <v>1036</v>
      </c>
      <c r="G7062" s="9">
        <v>208458.63</v>
      </c>
      <c r="H7062" s="8">
        <v>8856</v>
      </c>
    </row>
    <row r="7063" spans="2:8" x14ac:dyDescent="0.4">
      <c r="B7063" t="s">
        <v>7</v>
      </c>
      <c r="C7063" t="s">
        <v>1035</v>
      </c>
      <c r="D7063" s="7">
        <f>DATE(2016,12,8)</f>
        <v>42712</v>
      </c>
      <c r="E7063" s="8">
        <f t="shared" si="115"/>
        <v>2016</v>
      </c>
      <c r="F7063" t="s">
        <v>1037</v>
      </c>
      <c r="G7063" s="9">
        <v>327188.15999999997</v>
      </c>
      <c r="H7063" s="8">
        <v>23194</v>
      </c>
    </row>
    <row r="7064" spans="2:8" x14ac:dyDescent="0.4">
      <c r="B7064" t="s">
        <v>7</v>
      </c>
      <c r="C7064" t="s">
        <v>1035</v>
      </c>
      <c r="D7064" s="7">
        <f>DATE(2018,10,31)</f>
        <v>43404</v>
      </c>
      <c r="E7064" s="8">
        <f t="shared" si="115"/>
        <v>2018</v>
      </c>
      <c r="F7064" t="s">
        <v>1037</v>
      </c>
      <c r="G7064" s="9">
        <v>165240.37</v>
      </c>
      <c r="H7064" s="8">
        <v>26379</v>
      </c>
    </row>
    <row r="7065" spans="2:8" x14ac:dyDescent="0.4">
      <c r="B7065" t="s">
        <v>7</v>
      </c>
      <c r="C7065" t="s">
        <v>1035</v>
      </c>
      <c r="D7065" s="7">
        <f>DATE(2015,3,4)</f>
        <v>42067</v>
      </c>
      <c r="E7065" s="8">
        <f t="shared" si="115"/>
        <v>2015</v>
      </c>
      <c r="F7065" t="s">
        <v>1037</v>
      </c>
      <c r="G7065" s="9">
        <v>23546.639999999999</v>
      </c>
      <c r="H7065" s="8">
        <v>86</v>
      </c>
    </row>
    <row r="7066" spans="2:8" x14ac:dyDescent="0.4">
      <c r="B7066" t="s">
        <v>7</v>
      </c>
      <c r="C7066" t="s">
        <v>1035</v>
      </c>
      <c r="D7066" s="7">
        <f>DATE(2015,4,23)</f>
        <v>42117</v>
      </c>
      <c r="E7066" s="8">
        <f t="shared" si="115"/>
        <v>2015</v>
      </c>
      <c r="F7066" t="s">
        <v>1037</v>
      </c>
      <c r="G7066" s="9">
        <v>11869.99</v>
      </c>
      <c r="H7066" s="8">
        <v>128</v>
      </c>
    </row>
    <row r="7067" spans="2:8" x14ac:dyDescent="0.4">
      <c r="B7067" t="s">
        <v>7</v>
      </c>
      <c r="C7067" t="s">
        <v>1035</v>
      </c>
      <c r="D7067" s="7">
        <f>DATE(2016,12,8)</f>
        <v>42712</v>
      </c>
      <c r="E7067" s="8">
        <f t="shared" si="115"/>
        <v>2016</v>
      </c>
      <c r="F7067" t="s">
        <v>1037</v>
      </c>
      <c r="G7067" s="9">
        <v>314859.33</v>
      </c>
      <c r="H7067" s="8">
        <v>23210</v>
      </c>
    </row>
    <row r="7068" spans="2:8" x14ac:dyDescent="0.4">
      <c r="B7068" t="s">
        <v>7</v>
      </c>
      <c r="C7068" t="s">
        <v>1035</v>
      </c>
      <c r="D7068" s="7">
        <f>DATE(2017,2,6)</f>
        <v>42772</v>
      </c>
      <c r="E7068" s="8">
        <f t="shared" si="115"/>
        <v>2017</v>
      </c>
      <c r="F7068" t="s">
        <v>1037</v>
      </c>
      <c r="G7068" s="9">
        <v>23926.6</v>
      </c>
      <c r="H7068" s="8">
        <v>24010</v>
      </c>
    </row>
    <row r="7069" spans="2:8" x14ac:dyDescent="0.4">
      <c r="B7069" t="s">
        <v>7</v>
      </c>
      <c r="C7069" t="s">
        <v>1035</v>
      </c>
      <c r="D7069" s="7">
        <f>DATE(2017,2,10)</f>
        <v>42776</v>
      </c>
      <c r="E7069" s="8">
        <f t="shared" si="115"/>
        <v>2017</v>
      </c>
      <c r="F7069" t="s">
        <v>1037</v>
      </c>
      <c r="G7069" s="9">
        <v>23521.89</v>
      </c>
      <c r="H7069" s="8">
        <v>24288</v>
      </c>
    </row>
    <row r="7070" spans="2:8" x14ac:dyDescent="0.4">
      <c r="B7070" t="s">
        <v>7</v>
      </c>
      <c r="C7070" t="s">
        <v>1035</v>
      </c>
      <c r="D7070" s="7">
        <f>DATE(2017,3,23)</f>
        <v>42817</v>
      </c>
      <c r="E7070" s="8">
        <f t="shared" si="115"/>
        <v>2017</v>
      </c>
      <c r="F7070" t="s">
        <v>1037</v>
      </c>
      <c r="G7070" s="9">
        <v>6718.95</v>
      </c>
      <c r="H7070" s="8">
        <v>24011</v>
      </c>
    </row>
    <row r="7071" spans="2:8" x14ac:dyDescent="0.4">
      <c r="B7071" t="s">
        <v>7</v>
      </c>
      <c r="C7071" t="s">
        <v>1035</v>
      </c>
      <c r="D7071" s="7">
        <f>DATE(2018,2,9)</f>
        <v>43140</v>
      </c>
      <c r="E7071" s="8">
        <f t="shared" si="115"/>
        <v>2018</v>
      </c>
      <c r="F7071" t="s">
        <v>1037</v>
      </c>
      <c r="G7071" s="9">
        <v>12977.64</v>
      </c>
      <c r="H7071" s="8">
        <v>26066</v>
      </c>
    </row>
    <row r="7072" spans="2:8" x14ac:dyDescent="0.4">
      <c r="B7072" t="s">
        <v>7</v>
      </c>
      <c r="C7072" t="s">
        <v>1035</v>
      </c>
      <c r="D7072" s="7">
        <f>DATE(2018,2,27)</f>
        <v>43158</v>
      </c>
      <c r="E7072" s="8">
        <f t="shared" si="115"/>
        <v>2018</v>
      </c>
      <c r="F7072" t="s">
        <v>1037</v>
      </c>
      <c r="G7072" s="9">
        <v>27347.759999999998</v>
      </c>
      <c r="H7072" s="8">
        <v>26069</v>
      </c>
    </row>
    <row r="7073" spans="2:8" x14ac:dyDescent="0.4">
      <c r="B7073" t="s">
        <v>7</v>
      </c>
      <c r="C7073" t="s">
        <v>1035</v>
      </c>
      <c r="D7073" s="7">
        <f>DATE(2018,5,25)</f>
        <v>43245</v>
      </c>
      <c r="E7073" s="8">
        <f t="shared" si="115"/>
        <v>2018</v>
      </c>
      <c r="F7073" t="s">
        <v>1037</v>
      </c>
      <c r="G7073" s="9">
        <v>5676.93</v>
      </c>
      <c r="H7073" s="8">
        <v>26151</v>
      </c>
    </row>
    <row r="7074" spans="2:8" x14ac:dyDescent="0.4">
      <c r="B7074" t="s">
        <v>7</v>
      </c>
      <c r="C7074" t="s">
        <v>1035</v>
      </c>
      <c r="D7074" s="7">
        <f>DATE(2018,10,1)</f>
        <v>43374</v>
      </c>
      <c r="E7074" s="8">
        <f t="shared" si="115"/>
        <v>2018</v>
      </c>
      <c r="F7074" t="s">
        <v>1037</v>
      </c>
      <c r="G7074" s="9">
        <v>8146.39</v>
      </c>
      <c r="H7074" s="8">
        <v>27183</v>
      </c>
    </row>
    <row r="7075" spans="2:8" x14ac:dyDescent="0.4">
      <c r="B7075" t="s">
        <v>7</v>
      </c>
      <c r="C7075" t="s">
        <v>1035</v>
      </c>
      <c r="D7075" s="7">
        <f>DATE(2018,10,31)</f>
        <v>43404</v>
      </c>
      <c r="E7075" s="8">
        <f t="shared" si="115"/>
        <v>2018</v>
      </c>
      <c r="F7075" t="s">
        <v>1037</v>
      </c>
      <c r="G7075" s="9">
        <v>527214.56000000006</v>
      </c>
      <c r="H7075" s="8">
        <v>26381</v>
      </c>
    </row>
    <row r="7076" spans="2:8" x14ac:dyDescent="0.4">
      <c r="B7076" t="s">
        <v>7</v>
      </c>
      <c r="C7076" t="s">
        <v>1035</v>
      </c>
      <c r="D7076" s="7">
        <f>DATE(2019,5,9)</f>
        <v>43594</v>
      </c>
      <c r="E7076" s="8">
        <f t="shared" si="115"/>
        <v>2019</v>
      </c>
      <c r="F7076" t="s">
        <v>1037</v>
      </c>
      <c r="G7076" s="9">
        <v>21710.79</v>
      </c>
      <c r="H7076" s="8">
        <v>27041</v>
      </c>
    </row>
    <row r="7077" spans="2:8" x14ac:dyDescent="0.4">
      <c r="B7077" t="s">
        <v>7</v>
      </c>
      <c r="C7077" t="s">
        <v>1035</v>
      </c>
      <c r="D7077" s="7">
        <f>DATE(2019,5,9)</f>
        <v>43594</v>
      </c>
      <c r="E7077" s="8">
        <f t="shared" si="115"/>
        <v>2019</v>
      </c>
      <c r="F7077" t="s">
        <v>1037</v>
      </c>
      <c r="G7077" s="9">
        <v>28117.96</v>
      </c>
      <c r="H7077" s="8">
        <v>28061</v>
      </c>
    </row>
    <row r="7078" spans="2:8" x14ac:dyDescent="0.4">
      <c r="B7078" t="s">
        <v>7</v>
      </c>
      <c r="C7078" t="s">
        <v>1035</v>
      </c>
      <c r="D7078" s="7">
        <f>DATE(2016,10,20)</f>
        <v>42663</v>
      </c>
      <c r="E7078" s="8">
        <f t="shared" si="115"/>
        <v>2016</v>
      </c>
      <c r="F7078" t="s">
        <v>1037</v>
      </c>
      <c r="G7078" s="9">
        <v>19280</v>
      </c>
      <c r="H7078" s="8">
        <v>23667</v>
      </c>
    </row>
    <row r="7079" spans="2:8" x14ac:dyDescent="0.4">
      <c r="B7079" t="s">
        <v>7</v>
      </c>
      <c r="C7079" t="s">
        <v>1035</v>
      </c>
      <c r="D7079" s="7">
        <f>DATE(2016,11,30)</f>
        <v>42704</v>
      </c>
      <c r="E7079" s="8">
        <f t="shared" si="115"/>
        <v>2016</v>
      </c>
      <c r="F7079" t="s">
        <v>1037</v>
      </c>
      <c r="G7079" s="9">
        <v>760</v>
      </c>
      <c r="H7079" s="8">
        <v>23863</v>
      </c>
    </row>
    <row r="7080" spans="2:8" x14ac:dyDescent="0.4">
      <c r="B7080" t="s">
        <v>7</v>
      </c>
      <c r="C7080" t="s">
        <v>1035</v>
      </c>
      <c r="D7080" s="7">
        <f>DATE(2017,7,17)</f>
        <v>42933</v>
      </c>
      <c r="E7080" s="8">
        <f t="shared" si="115"/>
        <v>2017</v>
      </c>
      <c r="F7080" t="s">
        <v>1037</v>
      </c>
      <c r="G7080" s="9">
        <v>1520</v>
      </c>
      <c r="H7080" s="8">
        <v>25224</v>
      </c>
    </row>
    <row r="7081" spans="2:8" x14ac:dyDescent="0.4">
      <c r="B7081" t="s">
        <v>7</v>
      </c>
      <c r="C7081" t="s">
        <v>1035</v>
      </c>
      <c r="D7081" s="7">
        <f>DATE(2018,3,28)</f>
        <v>43187</v>
      </c>
      <c r="E7081" s="8">
        <f t="shared" si="115"/>
        <v>2018</v>
      </c>
      <c r="F7081" t="s">
        <v>1037</v>
      </c>
      <c r="G7081" s="9">
        <v>3968</v>
      </c>
      <c r="H7081" s="8">
        <v>26626</v>
      </c>
    </row>
    <row r="7082" spans="2:8" x14ac:dyDescent="0.4">
      <c r="B7082" t="s">
        <v>7</v>
      </c>
      <c r="C7082" t="s">
        <v>1035</v>
      </c>
      <c r="D7082" s="7">
        <f>DATE(2018,8,1)</f>
        <v>43313</v>
      </c>
      <c r="E7082" s="8">
        <f t="shared" si="115"/>
        <v>2018</v>
      </c>
      <c r="F7082" t="s">
        <v>1037</v>
      </c>
      <c r="G7082" s="9">
        <v>3968</v>
      </c>
      <c r="H7082" s="8">
        <v>27240</v>
      </c>
    </row>
    <row r="7083" spans="2:8" x14ac:dyDescent="0.4">
      <c r="B7083" t="s">
        <v>7</v>
      </c>
      <c r="C7083" t="s">
        <v>1035</v>
      </c>
      <c r="D7083" s="7">
        <f>DATE(2018,9,18)</f>
        <v>43361</v>
      </c>
      <c r="E7083" s="8">
        <f t="shared" si="115"/>
        <v>2018</v>
      </c>
      <c r="F7083" t="s">
        <v>1037</v>
      </c>
      <c r="G7083" s="9">
        <v>3335</v>
      </c>
      <c r="H7083" s="8">
        <v>27634</v>
      </c>
    </row>
    <row r="7084" spans="2:8" x14ac:dyDescent="0.4">
      <c r="B7084" t="s">
        <v>7</v>
      </c>
      <c r="C7084" t="s">
        <v>1035</v>
      </c>
      <c r="D7084" s="7">
        <f>DATE(2018,9,25)</f>
        <v>43368</v>
      </c>
      <c r="E7084" s="8">
        <f t="shared" si="115"/>
        <v>2018</v>
      </c>
      <c r="F7084" t="s">
        <v>1037</v>
      </c>
      <c r="G7084" s="9">
        <v>29250</v>
      </c>
      <c r="H7084" s="8">
        <v>27670</v>
      </c>
    </row>
    <row r="7085" spans="2:8" x14ac:dyDescent="0.4">
      <c r="B7085" t="s">
        <v>7</v>
      </c>
      <c r="C7085" t="s">
        <v>1035</v>
      </c>
      <c r="D7085" s="7">
        <f>DATE(2018,10,30)</f>
        <v>43403</v>
      </c>
      <c r="E7085" s="8">
        <f t="shared" si="115"/>
        <v>2018</v>
      </c>
      <c r="F7085" t="s">
        <v>1037</v>
      </c>
      <c r="G7085" s="9">
        <v>63840</v>
      </c>
      <c r="H7085" s="8">
        <v>27861</v>
      </c>
    </row>
    <row r="7086" spans="2:8" x14ac:dyDescent="0.4">
      <c r="B7086" t="s">
        <v>7</v>
      </c>
      <c r="C7086" t="s">
        <v>1035</v>
      </c>
      <c r="D7086" s="7">
        <f>DATE(2018,11,8)</f>
        <v>43412</v>
      </c>
      <c r="E7086" s="8">
        <f t="shared" si="115"/>
        <v>2018</v>
      </c>
      <c r="F7086" t="s">
        <v>1037</v>
      </c>
      <c r="G7086" s="9">
        <v>1900</v>
      </c>
      <c r="H7086" s="8">
        <v>27948</v>
      </c>
    </row>
    <row r="7087" spans="2:8" x14ac:dyDescent="0.4">
      <c r="B7087" t="s">
        <v>7</v>
      </c>
      <c r="C7087" t="s">
        <v>1035</v>
      </c>
      <c r="D7087" s="7">
        <f>DATE(2016,6,9)</f>
        <v>42530</v>
      </c>
      <c r="E7087" s="8">
        <f t="shared" si="115"/>
        <v>2016</v>
      </c>
      <c r="F7087" t="s">
        <v>1037</v>
      </c>
      <c r="G7087" s="9">
        <v>14078.28</v>
      </c>
      <c r="H7087" s="8">
        <v>22913</v>
      </c>
    </row>
    <row r="7088" spans="2:8" x14ac:dyDescent="0.4">
      <c r="B7088" t="s">
        <v>7</v>
      </c>
      <c r="C7088" t="s">
        <v>1035</v>
      </c>
      <c r="D7088" s="7">
        <f>DATE(2017,4,21)</f>
        <v>42846</v>
      </c>
      <c r="E7088" s="8">
        <f t="shared" si="115"/>
        <v>2017</v>
      </c>
      <c r="F7088" t="s">
        <v>1037</v>
      </c>
      <c r="G7088" s="9">
        <v>11921.53</v>
      </c>
      <c r="H7088" s="8">
        <v>24605</v>
      </c>
    </row>
    <row r="7089" spans="2:8" x14ac:dyDescent="0.4">
      <c r="B7089" t="s">
        <v>7</v>
      </c>
      <c r="C7089" t="s">
        <v>1035</v>
      </c>
      <c r="D7089" s="7">
        <f>DATE(2017,6,1)</f>
        <v>42887</v>
      </c>
      <c r="E7089" s="8">
        <f t="shared" si="115"/>
        <v>2017</v>
      </c>
      <c r="F7089" t="s">
        <v>1037</v>
      </c>
      <c r="G7089" s="9">
        <v>6895.22</v>
      </c>
      <c r="H7089" s="8">
        <v>24710</v>
      </c>
    </row>
    <row r="7090" spans="2:8" x14ac:dyDescent="0.4">
      <c r="B7090" t="s">
        <v>7</v>
      </c>
      <c r="C7090" t="s">
        <v>1035</v>
      </c>
      <c r="D7090" s="7">
        <f>DATE(2017,11,27)</f>
        <v>43066</v>
      </c>
      <c r="E7090" s="8">
        <f t="shared" si="115"/>
        <v>2017</v>
      </c>
      <c r="F7090" t="s">
        <v>1037</v>
      </c>
      <c r="G7090" s="9">
        <v>16935.64</v>
      </c>
      <c r="H7090" s="8">
        <v>25571</v>
      </c>
    </row>
    <row r="7091" spans="2:8" x14ac:dyDescent="0.4">
      <c r="B7091" t="s">
        <v>16</v>
      </c>
      <c r="C7091" t="s">
        <v>1035</v>
      </c>
      <c r="D7091" s="7">
        <f>DATE(2017,2,10)</f>
        <v>42776</v>
      </c>
      <c r="E7091" s="8">
        <f t="shared" si="115"/>
        <v>2017</v>
      </c>
      <c r="F7091" t="s">
        <v>1037</v>
      </c>
      <c r="G7091" s="9">
        <v>23926.6</v>
      </c>
      <c r="H7091" s="8">
        <v>24289</v>
      </c>
    </row>
    <row r="7092" spans="2:8" x14ac:dyDescent="0.4">
      <c r="B7092" t="s">
        <v>16</v>
      </c>
      <c r="C7092" t="s">
        <v>1035</v>
      </c>
      <c r="D7092" s="7">
        <f>DATE(2018,11,7)</f>
        <v>43411</v>
      </c>
      <c r="E7092" s="8">
        <f t="shared" si="115"/>
        <v>2018</v>
      </c>
      <c r="F7092" t="s">
        <v>1037</v>
      </c>
      <c r="G7092" s="9">
        <v>1200</v>
      </c>
      <c r="H7092" s="8">
        <v>27953</v>
      </c>
    </row>
    <row r="7093" spans="2:8" x14ac:dyDescent="0.4">
      <c r="B7093" t="s">
        <v>7</v>
      </c>
      <c r="C7093" t="s">
        <v>1035</v>
      </c>
      <c r="D7093" s="7">
        <f>DATE(2004,5,17)</f>
        <v>38124</v>
      </c>
      <c r="E7093" s="8">
        <f t="shared" si="115"/>
        <v>2004</v>
      </c>
      <c r="F7093" t="s">
        <v>1037</v>
      </c>
      <c r="G7093" s="9">
        <v>1657</v>
      </c>
      <c r="H7093" s="8">
        <v>1593</v>
      </c>
    </row>
    <row r="7094" spans="2:8" x14ac:dyDescent="0.4">
      <c r="B7094" t="s">
        <v>7</v>
      </c>
      <c r="C7094" t="s">
        <v>1035</v>
      </c>
      <c r="D7094" s="7">
        <f>DATE(2011,2,14)</f>
        <v>40588</v>
      </c>
      <c r="E7094" s="8">
        <f t="shared" si="115"/>
        <v>2011</v>
      </c>
      <c r="F7094" t="s">
        <v>1037</v>
      </c>
      <c r="G7094" s="9">
        <v>31564.17</v>
      </c>
      <c r="H7094" s="8">
        <v>10372</v>
      </c>
    </row>
    <row r="7095" spans="2:8" x14ac:dyDescent="0.4">
      <c r="B7095" t="s">
        <v>7</v>
      </c>
      <c r="C7095" t="s">
        <v>1035</v>
      </c>
      <c r="D7095" s="7">
        <f>DATE(2011,7,22)</f>
        <v>40746</v>
      </c>
      <c r="E7095" s="8">
        <f t="shared" si="115"/>
        <v>2011</v>
      </c>
      <c r="F7095" t="s">
        <v>1037</v>
      </c>
      <c r="G7095" s="9">
        <v>8810.36</v>
      </c>
      <c r="H7095" s="8">
        <v>10651</v>
      </c>
    </row>
    <row r="7096" spans="2:8" x14ac:dyDescent="0.4">
      <c r="B7096" t="s">
        <v>7</v>
      </c>
      <c r="C7096" t="s">
        <v>1035</v>
      </c>
      <c r="D7096" s="7">
        <f>DATE(2012,11,6)</f>
        <v>41219</v>
      </c>
      <c r="E7096" s="8">
        <f t="shared" si="115"/>
        <v>2012</v>
      </c>
      <c r="F7096" t="s">
        <v>1037</v>
      </c>
      <c r="G7096" s="9">
        <v>226372.79</v>
      </c>
      <c r="H7096" s="8">
        <v>11780</v>
      </c>
    </row>
    <row r="7097" spans="2:8" x14ac:dyDescent="0.4">
      <c r="B7097" t="s">
        <v>7</v>
      </c>
      <c r="C7097" t="s">
        <v>1035</v>
      </c>
      <c r="D7097" s="7">
        <f>DATE(2013,2,4)</f>
        <v>41309</v>
      </c>
      <c r="E7097" s="8">
        <f t="shared" si="115"/>
        <v>2013</v>
      </c>
      <c r="F7097" t="s">
        <v>1037</v>
      </c>
      <c r="G7097" s="9">
        <v>7385.72</v>
      </c>
      <c r="H7097" s="8">
        <v>12145</v>
      </c>
    </row>
    <row r="7098" spans="2:8" x14ac:dyDescent="0.4">
      <c r="B7098" t="s">
        <v>7</v>
      </c>
      <c r="C7098" t="s">
        <v>1035</v>
      </c>
      <c r="D7098" s="7">
        <f>DATE(2014,2,17)</f>
        <v>41687</v>
      </c>
      <c r="E7098" s="8">
        <f t="shared" si="115"/>
        <v>2014</v>
      </c>
      <c r="F7098" t="s">
        <v>1037</v>
      </c>
      <c r="G7098" s="9">
        <v>59974.99</v>
      </c>
      <c r="H7098" s="8">
        <v>12749</v>
      </c>
    </row>
    <row r="7099" spans="2:8" x14ac:dyDescent="0.4">
      <c r="B7099" t="s">
        <v>7</v>
      </c>
      <c r="C7099" t="s">
        <v>1035</v>
      </c>
      <c r="D7099" s="7">
        <f>DATE(2014,2,4)</f>
        <v>41674</v>
      </c>
      <c r="E7099" s="8">
        <f t="shared" si="115"/>
        <v>2014</v>
      </c>
      <c r="F7099" t="s">
        <v>1037</v>
      </c>
      <c r="G7099" s="9">
        <v>17487.759999999998</v>
      </c>
      <c r="H7099" s="8">
        <v>12781</v>
      </c>
    </row>
    <row r="7100" spans="2:8" x14ac:dyDescent="0.4">
      <c r="B7100" t="s">
        <v>7</v>
      </c>
      <c r="C7100" t="s">
        <v>1035</v>
      </c>
      <c r="D7100" s="7">
        <f>DATE(2014,3,10)</f>
        <v>41708</v>
      </c>
      <c r="E7100" s="8">
        <f t="shared" si="115"/>
        <v>2014</v>
      </c>
      <c r="F7100" t="s">
        <v>1037</v>
      </c>
      <c r="G7100" s="9">
        <v>22144.98</v>
      </c>
      <c r="H7100" s="8">
        <v>12780</v>
      </c>
    </row>
    <row r="7101" spans="2:8" x14ac:dyDescent="0.4">
      <c r="B7101" t="s">
        <v>7</v>
      </c>
      <c r="C7101" t="s">
        <v>1035</v>
      </c>
      <c r="D7101" s="7">
        <f>DATE(2014,3,28)</f>
        <v>41726</v>
      </c>
      <c r="E7101" s="8">
        <f t="shared" si="115"/>
        <v>2014</v>
      </c>
      <c r="F7101" t="s">
        <v>1037</v>
      </c>
      <c r="G7101" s="9">
        <v>15952.38</v>
      </c>
      <c r="H7101" s="8">
        <v>12913</v>
      </c>
    </row>
    <row r="7102" spans="2:8" x14ac:dyDescent="0.4">
      <c r="B7102" t="s">
        <v>7</v>
      </c>
      <c r="C7102" t="s">
        <v>1035</v>
      </c>
      <c r="D7102" s="7">
        <f>DATE(2014,10,22)</f>
        <v>41934</v>
      </c>
      <c r="E7102" s="8">
        <f t="shared" si="115"/>
        <v>2014</v>
      </c>
      <c r="F7102" t="s">
        <v>1037</v>
      </c>
      <c r="G7102" s="9">
        <v>212592.64000000001</v>
      </c>
      <c r="H7102" s="8">
        <v>13206</v>
      </c>
    </row>
    <row r="7103" spans="2:8" x14ac:dyDescent="0.4">
      <c r="B7103" t="s">
        <v>7</v>
      </c>
      <c r="C7103" t="s">
        <v>1035</v>
      </c>
      <c r="D7103" s="7">
        <f>DATE(2003,4,29)</f>
        <v>37740</v>
      </c>
      <c r="E7103" s="8">
        <f t="shared" si="115"/>
        <v>2003</v>
      </c>
      <c r="F7103" t="s">
        <v>1037</v>
      </c>
      <c r="G7103" s="9">
        <v>243726</v>
      </c>
      <c r="H7103" s="8">
        <v>53</v>
      </c>
    </row>
    <row r="7104" spans="2:8" x14ac:dyDescent="0.4">
      <c r="B7104" t="s">
        <v>7</v>
      </c>
      <c r="C7104" t="s">
        <v>1035</v>
      </c>
      <c r="D7104" s="7">
        <f>DATE(2003,4,29)</f>
        <v>37740</v>
      </c>
      <c r="E7104" s="8">
        <f t="shared" si="115"/>
        <v>2003</v>
      </c>
      <c r="F7104" t="s">
        <v>1037</v>
      </c>
      <c r="G7104" s="9">
        <v>114223</v>
      </c>
      <c r="H7104" s="8">
        <v>51</v>
      </c>
    </row>
    <row r="7105" spans="2:8" x14ac:dyDescent="0.4">
      <c r="B7105" t="s">
        <v>7</v>
      </c>
      <c r="C7105" t="s">
        <v>1035</v>
      </c>
      <c r="D7105" s="7">
        <f>DATE(2003,5,7)</f>
        <v>37748</v>
      </c>
      <c r="E7105" s="8">
        <f t="shared" si="115"/>
        <v>2003</v>
      </c>
      <c r="F7105" t="s">
        <v>1037</v>
      </c>
      <c r="G7105" s="9">
        <v>37095.47</v>
      </c>
      <c r="H7105" s="8">
        <v>523</v>
      </c>
    </row>
    <row r="7106" spans="2:8" x14ac:dyDescent="0.4">
      <c r="B7106" t="s">
        <v>7</v>
      </c>
      <c r="C7106" t="s">
        <v>1035</v>
      </c>
      <c r="D7106" s="7">
        <f>DATE(2003,5,15)</f>
        <v>37756</v>
      </c>
      <c r="E7106" s="8">
        <f t="shared" si="115"/>
        <v>2003</v>
      </c>
      <c r="F7106" t="s">
        <v>1037</v>
      </c>
      <c r="G7106" s="9">
        <v>29826.6</v>
      </c>
      <c r="H7106" s="8">
        <v>611</v>
      </c>
    </row>
    <row r="7107" spans="2:8" x14ac:dyDescent="0.4">
      <c r="B7107" t="s">
        <v>7</v>
      </c>
      <c r="C7107" t="s">
        <v>1035</v>
      </c>
      <c r="D7107" s="7">
        <f>DATE(2003,5,15)</f>
        <v>37756</v>
      </c>
      <c r="E7107" s="8">
        <f t="shared" ref="E7107:E7170" si="116">YEAR(D7107)</f>
        <v>2003</v>
      </c>
      <c r="F7107" t="s">
        <v>1037</v>
      </c>
      <c r="G7107" s="9">
        <v>39461.07</v>
      </c>
      <c r="H7107" s="8">
        <v>612</v>
      </c>
    </row>
    <row r="7108" spans="2:8" x14ac:dyDescent="0.4">
      <c r="B7108" t="s">
        <v>7</v>
      </c>
      <c r="C7108" t="s">
        <v>1035</v>
      </c>
      <c r="D7108" s="7">
        <f>DATE(2003,5,16)</f>
        <v>37757</v>
      </c>
      <c r="E7108" s="8">
        <f t="shared" si="116"/>
        <v>2003</v>
      </c>
      <c r="F7108" t="s">
        <v>1037</v>
      </c>
      <c r="G7108" s="9">
        <v>24488.9</v>
      </c>
      <c r="H7108" s="8">
        <v>567</v>
      </c>
    </row>
    <row r="7109" spans="2:8" x14ac:dyDescent="0.4">
      <c r="B7109" t="s">
        <v>7</v>
      </c>
      <c r="C7109" t="s">
        <v>1035</v>
      </c>
      <c r="D7109" s="7">
        <f>DATE(2003,7,26)</f>
        <v>37828</v>
      </c>
      <c r="E7109" s="8">
        <f t="shared" si="116"/>
        <v>2003</v>
      </c>
      <c r="F7109" t="s">
        <v>1037</v>
      </c>
      <c r="G7109" s="9">
        <v>13067.77</v>
      </c>
      <c r="H7109" s="8">
        <v>753</v>
      </c>
    </row>
    <row r="7110" spans="2:8" x14ac:dyDescent="0.4">
      <c r="B7110" t="s">
        <v>7</v>
      </c>
      <c r="C7110" t="s">
        <v>1035</v>
      </c>
      <c r="D7110" s="7">
        <f>DATE(2003,9,14)</f>
        <v>37878</v>
      </c>
      <c r="E7110" s="8">
        <f t="shared" si="116"/>
        <v>2003</v>
      </c>
      <c r="F7110" t="s">
        <v>1037</v>
      </c>
      <c r="G7110" s="9">
        <v>16837.96</v>
      </c>
      <c r="H7110" s="8">
        <v>860</v>
      </c>
    </row>
    <row r="7111" spans="2:8" x14ac:dyDescent="0.4">
      <c r="B7111" t="s">
        <v>7</v>
      </c>
      <c r="C7111" t="s">
        <v>1035</v>
      </c>
      <c r="D7111" s="7">
        <f>DATE(2003,9,1)</f>
        <v>37865</v>
      </c>
      <c r="E7111" s="8">
        <f t="shared" si="116"/>
        <v>2003</v>
      </c>
      <c r="F7111" t="s">
        <v>1037</v>
      </c>
      <c r="G7111" s="9">
        <v>31461.07</v>
      </c>
      <c r="H7111" s="8">
        <v>904</v>
      </c>
    </row>
    <row r="7112" spans="2:8" x14ac:dyDescent="0.4">
      <c r="B7112" t="s">
        <v>7</v>
      </c>
      <c r="C7112" t="s">
        <v>1035</v>
      </c>
      <c r="D7112" s="7">
        <f>DATE(2003,9,1)</f>
        <v>37865</v>
      </c>
      <c r="E7112" s="8">
        <f t="shared" si="116"/>
        <v>2003</v>
      </c>
      <c r="F7112" t="s">
        <v>1037</v>
      </c>
      <c r="G7112" s="9">
        <v>22826.6</v>
      </c>
      <c r="H7112" s="8">
        <v>905</v>
      </c>
    </row>
    <row r="7113" spans="2:8" x14ac:dyDescent="0.4">
      <c r="B7113" t="s">
        <v>7</v>
      </c>
      <c r="C7113" t="s">
        <v>1035</v>
      </c>
      <c r="D7113" s="7">
        <f>DATE(2003,9,21)</f>
        <v>37885</v>
      </c>
      <c r="E7113" s="8">
        <f t="shared" si="116"/>
        <v>2003</v>
      </c>
      <c r="F7113" t="s">
        <v>1037</v>
      </c>
      <c r="G7113" s="9">
        <v>9828.3700000000008</v>
      </c>
      <c r="H7113" s="8">
        <v>891</v>
      </c>
    </row>
    <row r="7114" spans="2:8" x14ac:dyDescent="0.4">
      <c r="B7114" t="s">
        <v>7</v>
      </c>
      <c r="C7114" t="s">
        <v>1035</v>
      </c>
      <c r="D7114" s="7">
        <f>DATE(2003,9,28)</f>
        <v>37892</v>
      </c>
      <c r="E7114" s="8">
        <f t="shared" si="116"/>
        <v>2003</v>
      </c>
      <c r="F7114" t="s">
        <v>1037</v>
      </c>
      <c r="G7114" s="9">
        <v>8906.68</v>
      </c>
      <c r="H7114" s="8">
        <v>896</v>
      </c>
    </row>
    <row r="7115" spans="2:8" x14ac:dyDescent="0.4">
      <c r="B7115" t="s">
        <v>7</v>
      </c>
      <c r="C7115" t="s">
        <v>1035</v>
      </c>
      <c r="D7115" s="7">
        <f>DATE(2003,10,12)</f>
        <v>37906</v>
      </c>
      <c r="E7115" s="8">
        <f t="shared" si="116"/>
        <v>2003</v>
      </c>
      <c r="F7115" t="s">
        <v>1037</v>
      </c>
      <c r="G7115" s="9">
        <v>22366.27</v>
      </c>
      <c r="H7115" s="8">
        <v>930</v>
      </c>
    </row>
    <row r="7116" spans="2:8" x14ac:dyDescent="0.4">
      <c r="B7116" t="s">
        <v>7</v>
      </c>
      <c r="C7116" t="s">
        <v>1035</v>
      </c>
      <c r="D7116" s="7">
        <f>DATE(2004,5,7)</f>
        <v>38114</v>
      </c>
      <c r="E7116" s="8">
        <f t="shared" si="116"/>
        <v>2004</v>
      </c>
      <c r="F7116" t="s">
        <v>1037</v>
      </c>
      <c r="G7116" s="9">
        <v>27214.13</v>
      </c>
      <c r="H7116" s="8">
        <v>1741</v>
      </c>
    </row>
    <row r="7117" spans="2:8" x14ac:dyDescent="0.4">
      <c r="B7117" t="s">
        <v>7</v>
      </c>
      <c r="C7117" t="s">
        <v>1035</v>
      </c>
      <c r="D7117" s="7">
        <f>DATE(2004,11,11)</f>
        <v>38302</v>
      </c>
      <c r="E7117" s="8">
        <f t="shared" si="116"/>
        <v>2004</v>
      </c>
      <c r="F7117" t="s">
        <v>1037</v>
      </c>
      <c r="G7117" s="9">
        <v>15634.98</v>
      </c>
      <c r="H7117" s="8">
        <v>2361</v>
      </c>
    </row>
    <row r="7118" spans="2:8" x14ac:dyDescent="0.4">
      <c r="B7118" t="s">
        <v>7</v>
      </c>
      <c r="C7118" t="s">
        <v>1035</v>
      </c>
      <c r="D7118" s="7">
        <f>DATE(2005,1,31)</f>
        <v>38383</v>
      </c>
      <c r="E7118" s="8">
        <f t="shared" si="116"/>
        <v>2005</v>
      </c>
      <c r="F7118" t="s">
        <v>1037</v>
      </c>
      <c r="G7118" s="9">
        <v>142933.04</v>
      </c>
      <c r="H7118" s="8">
        <v>2252</v>
      </c>
    </row>
    <row r="7119" spans="2:8" x14ac:dyDescent="0.4">
      <c r="B7119" t="s">
        <v>7</v>
      </c>
      <c r="C7119" t="s">
        <v>1035</v>
      </c>
      <c r="D7119" s="7">
        <f>DATE(2005,1,31)</f>
        <v>38383</v>
      </c>
      <c r="E7119" s="8">
        <f t="shared" si="116"/>
        <v>2005</v>
      </c>
      <c r="F7119" t="s">
        <v>1037</v>
      </c>
      <c r="G7119" s="9">
        <v>225437.44</v>
      </c>
      <c r="H7119" s="8">
        <v>2253</v>
      </c>
    </row>
    <row r="7120" spans="2:8" x14ac:dyDescent="0.4">
      <c r="B7120" t="s">
        <v>7</v>
      </c>
      <c r="C7120" t="s">
        <v>1035</v>
      </c>
      <c r="D7120" s="7">
        <f>DATE(2005,2,21)</f>
        <v>38404</v>
      </c>
      <c r="E7120" s="8">
        <f t="shared" si="116"/>
        <v>2005</v>
      </c>
      <c r="F7120" t="s">
        <v>1037</v>
      </c>
      <c r="G7120" s="9">
        <v>20930.87</v>
      </c>
      <c r="H7120" s="8">
        <v>2746</v>
      </c>
    </row>
    <row r="7121" spans="2:8" x14ac:dyDescent="0.4">
      <c r="B7121" t="s">
        <v>7</v>
      </c>
      <c r="C7121" t="s">
        <v>1035</v>
      </c>
      <c r="D7121" s="7">
        <f>DATE(2005,4,29)</f>
        <v>38471</v>
      </c>
      <c r="E7121" s="8">
        <f t="shared" si="116"/>
        <v>2005</v>
      </c>
      <c r="F7121" t="s">
        <v>1037</v>
      </c>
      <c r="G7121" s="9">
        <v>3600</v>
      </c>
      <c r="H7121" s="8">
        <v>2546</v>
      </c>
    </row>
    <row r="7122" spans="2:8" x14ac:dyDescent="0.4">
      <c r="B7122" t="s">
        <v>7</v>
      </c>
      <c r="C7122" t="s">
        <v>1035</v>
      </c>
      <c r="D7122" s="7">
        <f>DATE(2005,9,27)</f>
        <v>38622</v>
      </c>
      <c r="E7122" s="8">
        <f t="shared" si="116"/>
        <v>2005</v>
      </c>
      <c r="F7122" t="s">
        <v>1037</v>
      </c>
      <c r="G7122" s="9">
        <v>10719.28</v>
      </c>
      <c r="H7122" s="8">
        <v>3626</v>
      </c>
    </row>
    <row r="7123" spans="2:8" x14ac:dyDescent="0.4">
      <c r="B7123" t="s">
        <v>7</v>
      </c>
      <c r="C7123" t="s">
        <v>1035</v>
      </c>
      <c r="D7123" s="7">
        <f>DATE(2005,12,4)</f>
        <v>38690</v>
      </c>
      <c r="E7123" s="8">
        <f t="shared" si="116"/>
        <v>2005</v>
      </c>
      <c r="F7123" t="s">
        <v>1037</v>
      </c>
      <c r="G7123" s="9">
        <v>4461.67</v>
      </c>
      <c r="H7123" s="8">
        <v>3821</v>
      </c>
    </row>
    <row r="7124" spans="2:8" x14ac:dyDescent="0.4">
      <c r="B7124" t="s">
        <v>7</v>
      </c>
      <c r="C7124" t="s">
        <v>1035</v>
      </c>
      <c r="D7124" s="7">
        <f>DATE(2005,12,11)</f>
        <v>38697</v>
      </c>
      <c r="E7124" s="8">
        <f t="shared" si="116"/>
        <v>2005</v>
      </c>
      <c r="F7124" t="s">
        <v>1037</v>
      </c>
      <c r="G7124" s="9">
        <v>11447.33</v>
      </c>
      <c r="H7124" s="8">
        <v>3830</v>
      </c>
    </row>
    <row r="7125" spans="2:8" x14ac:dyDescent="0.4">
      <c r="B7125" t="s">
        <v>7</v>
      </c>
      <c r="C7125" t="s">
        <v>1035</v>
      </c>
      <c r="D7125" s="7">
        <f>DATE(2006,1,12)</f>
        <v>38729</v>
      </c>
      <c r="E7125" s="8">
        <f t="shared" si="116"/>
        <v>2006</v>
      </c>
      <c r="F7125" t="s">
        <v>1037</v>
      </c>
      <c r="G7125" s="9">
        <v>6095.46</v>
      </c>
      <c r="H7125" s="8">
        <v>3908</v>
      </c>
    </row>
    <row r="7126" spans="2:8" x14ac:dyDescent="0.4">
      <c r="B7126" t="s">
        <v>7</v>
      </c>
      <c r="C7126" t="s">
        <v>1035</v>
      </c>
      <c r="D7126" s="7">
        <f>DATE(2006,2,12)</f>
        <v>38760</v>
      </c>
      <c r="E7126" s="8">
        <f t="shared" si="116"/>
        <v>2006</v>
      </c>
      <c r="F7126" t="s">
        <v>1037</v>
      </c>
      <c r="G7126" s="9">
        <v>21061.55</v>
      </c>
      <c r="H7126" s="8">
        <v>4093</v>
      </c>
    </row>
    <row r="7127" spans="2:8" x14ac:dyDescent="0.4">
      <c r="B7127" t="s">
        <v>7</v>
      </c>
      <c r="C7127" t="s">
        <v>1035</v>
      </c>
      <c r="D7127" s="7">
        <f>DATE(2006,10,19)</f>
        <v>39009</v>
      </c>
      <c r="E7127" s="8">
        <f t="shared" si="116"/>
        <v>2006</v>
      </c>
      <c r="F7127" t="s">
        <v>1037</v>
      </c>
      <c r="G7127" s="9">
        <v>9405.17</v>
      </c>
      <c r="H7127" s="8">
        <v>4942</v>
      </c>
    </row>
    <row r="7128" spans="2:8" x14ac:dyDescent="0.4">
      <c r="B7128" t="s">
        <v>7</v>
      </c>
      <c r="C7128" t="s">
        <v>1035</v>
      </c>
      <c r="D7128" s="7">
        <f>DATE(2006,11,8)</f>
        <v>39029</v>
      </c>
      <c r="E7128" s="8">
        <f t="shared" si="116"/>
        <v>2006</v>
      </c>
      <c r="F7128" t="s">
        <v>1037</v>
      </c>
      <c r="G7128" s="9">
        <v>155794.89000000001</v>
      </c>
      <c r="H7128" s="8">
        <v>4685</v>
      </c>
    </row>
    <row r="7129" spans="2:8" x14ac:dyDescent="0.4">
      <c r="B7129" t="s">
        <v>7</v>
      </c>
      <c r="C7129" t="s">
        <v>1035</v>
      </c>
      <c r="D7129" s="7">
        <f>DATE(2006,11,8)</f>
        <v>39029</v>
      </c>
      <c r="E7129" s="8">
        <f t="shared" si="116"/>
        <v>2006</v>
      </c>
      <c r="F7129" t="s">
        <v>1037</v>
      </c>
      <c r="G7129" s="9">
        <v>117639.88</v>
      </c>
      <c r="H7129" s="8">
        <v>4687</v>
      </c>
    </row>
    <row r="7130" spans="2:8" x14ac:dyDescent="0.4">
      <c r="B7130" t="s">
        <v>7</v>
      </c>
      <c r="C7130" t="s">
        <v>1035</v>
      </c>
      <c r="D7130" s="7">
        <f>DATE(2006,11,24)</f>
        <v>39045</v>
      </c>
      <c r="E7130" s="8">
        <f t="shared" si="116"/>
        <v>2006</v>
      </c>
      <c r="F7130" t="s">
        <v>1037</v>
      </c>
      <c r="G7130" s="9">
        <v>21499.96</v>
      </c>
      <c r="H7130" s="8">
        <v>5093</v>
      </c>
    </row>
    <row r="7131" spans="2:8" x14ac:dyDescent="0.4">
      <c r="B7131" t="s">
        <v>7</v>
      </c>
      <c r="C7131" t="s">
        <v>1035</v>
      </c>
      <c r="D7131" s="7">
        <f>DATE(2008,2,22)</f>
        <v>39500</v>
      </c>
      <c r="E7131" s="8">
        <f t="shared" si="116"/>
        <v>2008</v>
      </c>
      <c r="F7131" t="s">
        <v>1037</v>
      </c>
      <c r="G7131" s="9">
        <v>40150.71</v>
      </c>
      <c r="H7131" s="8">
        <v>6473</v>
      </c>
    </row>
    <row r="7132" spans="2:8" x14ac:dyDescent="0.4">
      <c r="B7132" t="s">
        <v>7</v>
      </c>
      <c r="C7132" t="s">
        <v>1035</v>
      </c>
      <c r="D7132" s="7">
        <f>DATE(2008,5,1)</f>
        <v>39569</v>
      </c>
      <c r="E7132" s="8">
        <f t="shared" si="116"/>
        <v>2008</v>
      </c>
      <c r="F7132" t="s">
        <v>1037</v>
      </c>
      <c r="G7132" s="9">
        <v>328717.7</v>
      </c>
      <c r="H7132" s="8">
        <v>6583</v>
      </c>
    </row>
    <row r="7133" spans="2:8" x14ac:dyDescent="0.4">
      <c r="B7133" t="s">
        <v>7</v>
      </c>
      <c r="C7133" t="s">
        <v>1035</v>
      </c>
      <c r="D7133" s="7">
        <f>DATE(2008,5,1)</f>
        <v>39569</v>
      </c>
      <c r="E7133" s="8">
        <f t="shared" si="116"/>
        <v>2008</v>
      </c>
      <c r="F7133" t="s">
        <v>1037</v>
      </c>
      <c r="G7133" s="9">
        <v>229910.33</v>
      </c>
      <c r="H7133" s="8">
        <v>6601</v>
      </c>
    </row>
    <row r="7134" spans="2:8" x14ac:dyDescent="0.4">
      <c r="B7134" t="s">
        <v>7</v>
      </c>
      <c r="C7134" t="s">
        <v>1035</v>
      </c>
      <c r="D7134" s="7">
        <f>DATE(2008,5,1)</f>
        <v>39569</v>
      </c>
      <c r="E7134" s="8">
        <f t="shared" si="116"/>
        <v>2008</v>
      </c>
      <c r="F7134" t="s">
        <v>1037</v>
      </c>
      <c r="G7134" s="9">
        <v>4355</v>
      </c>
      <c r="H7134" s="8">
        <v>7375</v>
      </c>
    </row>
    <row r="7135" spans="2:8" x14ac:dyDescent="0.4">
      <c r="B7135" t="s">
        <v>7</v>
      </c>
      <c r="C7135" t="s">
        <v>1035</v>
      </c>
      <c r="D7135" s="7">
        <f>DATE(2008,5,20)</f>
        <v>39588</v>
      </c>
      <c r="E7135" s="8">
        <f t="shared" si="116"/>
        <v>2008</v>
      </c>
      <c r="F7135" t="s">
        <v>1037</v>
      </c>
      <c r="G7135" s="9">
        <v>15564.98</v>
      </c>
      <c r="H7135" s="8">
        <v>7453</v>
      </c>
    </row>
    <row r="7136" spans="2:8" x14ac:dyDescent="0.4">
      <c r="B7136" t="s">
        <v>7</v>
      </c>
      <c r="C7136" t="s">
        <v>1035</v>
      </c>
      <c r="D7136" s="7">
        <f>DATE(2009,7,2)</f>
        <v>39996</v>
      </c>
      <c r="E7136" s="8">
        <f t="shared" si="116"/>
        <v>2009</v>
      </c>
      <c r="F7136" t="s">
        <v>1037</v>
      </c>
      <c r="G7136" s="9">
        <v>540</v>
      </c>
      <c r="H7136" s="8">
        <v>8791</v>
      </c>
    </row>
    <row r="7137" spans="2:8" x14ac:dyDescent="0.4">
      <c r="B7137" t="s">
        <v>7</v>
      </c>
      <c r="C7137" t="s">
        <v>1035</v>
      </c>
      <c r="D7137" s="7">
        <f>DATE(2009,7,2)</f>
        <v>39996</v>
      </c>
      <c r="E7137" s="8">
        <f t="shared" si="116"/>
        <v>2009</v>
      </c>
      <c r="F7137" t="s">
        <v>1037</v>
      </c>
      <c r="G7137" s="9">
        <v>5372.21</v>
      </c>
      <c r="H7137" s="8">
        <v>8790</v>
      </c>
    </row>
    <row r="7138" spans="2:8" x14ac:dyDescent="0.4">
      <c r="B7138" t="s">
        <v>7</v>
      </c>
      <c r="C7138" t="s">
        <v>1035</v>
      </c>
      <c r="D7138" s="7">
        <f>DATE(2009,9,9)</f>
        <v>40065</v>
      </c>
      <c r="E7138" s="8">
        <f t="shared" si="116"/>
        <v>2009</v>
      </c>
      <c r="F7138" t="s">
        <v>1037</v>
      </c>
      <c r="G7138" s="9">
        <v>2986.55</v>
      </c>
      <c r="H7138" s="8">
        <v>9019</v>
      </c>
    </row>
    <row r="7139" spans="2:8" x14ac:dyDescent="0.4">
      <c r="B7139" t="s">
        <v>7</v>
      </c>
      <c r="C7139" t="s">
        <v>1035</v>
      </c>
      <c r="D7139" s="7">
        <f>DATE(2009,9,18)</f>
        <v>40074</v>
      </c>
      <c r="E7139" s="8">
        <f t="shared" si="116"/>
        <v>2009</v>
      </c>
      <c r="F7139" t="s">
        <v>1037</v>
      </c>
      <c r="G7139" s="9">
        <v>1349.75</v>
      </c>
      <c r="H7139" s="8">
        <v>9062</v>
      </c>
    </row>
    <row r="7140" spans="2:8" x14ac:dyDescent="0.4">
      <c r="B7140" t="s">
        <v>7</v>
      </c>
      <c r="C7140" t="s">
        <v>1035</v>
      </c>
      <c r="D7140" s="7">
        <f>DATE(2009,10,23)</f>
        <v>40109</v>
      </c>
      <c r="E7140" s="8">
        <f t="shared" si="116"/>
        <v>2009</v>
      </c>
      <c r="F7140" t="s">
        <v>1037</v>
      </c>
      <c r="G7140" s="9">
        <v>225628.13</v>
      </c>
      <c r="H7140" s="8">
        <v>8855</v>
      </c>
    </row>
    <row r="7141" spans="2:8" x14ac:dyDescent="0.4">
      <c r="B7141" t="s">
        <v>7</v>
      </c>
      <c r="C7141" t="s">
        <v>1035</v>
      </c>
      <c r="D7141" s="7">
        <f>DATE(2010,2,2)</f>
        <v>40211</v>
      </c>
      <c r="E7141" s="8">
        <f t="shared" si="116"/>
        <v>2010</v>
      </c>
      <c r="F7141" t="s">
        <v>1037</v>
      </c>
      <c r="G7141" s="9">
        <v>8036.21</v>
      </c>
      <c r="H7141" s="8">
        <v>9323</v>
      </c>
    </row>
    <row r="7142" spans="2:8" x14ac:dyDescent="0.4">
      <c r="B7142" t="s">
        <v>7</v>
      </c>
      <c r="C7142" t="s">
        <v>1035</v>
      </c>
      <c r="D7142" s="7">
        <f>DATE(2010,2,2)</f>
        <v>40211</v>
      </c>
      <c r="E7142" s="8">
        <f t="shared" si="116"/>
        <v>2010</v>
      </c>
      <c r="F7142" t="s">
        <v>1037</v>
      </c>
      <c r="G7142" s="9">
        <v>24714.81</v>
      </c>
      <c r="H7142" s="8">
        <v>9382</v>
      </c>
    </row>
    <row r="7143" spans="2:8" x14ac:dyDescent="0.4">
      <c r="B7143" t="s">
        <v>7</v>
      </c>
      <c r="C7143" t="s">
        <v>1035</v>
      </c>
      <c r="D7143" s="7">
        <f>DATE(2010,2,2)</f>
        <v>40211</v>
      </c>
      <c r="E7143" s="8">
        <f t="shared" si="116"/>
        <v>2010</v>
      </c>
      <c r="F7143" t="s">
        <v>1037</v>
      </c>
      <c r="G7143" s="9">
        <v>14967.14</v>
      </c>
      <c r="H7143" s="8">
        <v>9383</v>
      </c>
    </row>
    <row r="7144" spans="2:8" x14ac:dyDescent="0.4">
      <c r="B7144" t="s">
        <v>7</v>
      </c>
      <c r="C7144" t="s">
        <v>1035</v>
      </c>
      <c r="D7144" s="7">
        <f>DATE(2010,5,12)</f>
        <v>40310</v>
      </c>
      <c r="E7144" s="8">
        <f t="shared" si="116"/>
        <v>2010</v>
      </c>
      <c r="F7144" t="s">
        <v>1037</v>
      </c>
      <c r="G7144" s="9">
        <v>3553.04</v>
      </c>
      <c r="H7144" s="8">
        <v>9584</v>
      </c>
    </row>
    <row r="7145" spans="2:8" x14ac:dyDescent="0.4">
      <c r="B7145" t="s">
        <v>7</v>
      </c>
      <c r="C7145" t="s">
        <v>1035</v>
      </c>
      <c r="D7145" s="7">
        <f>DATE(2010,5,12)</f>
        <v>40310</v>
      </c>
      <c r="E7145" s="8">
        <f t="shared" si="116"/>
        <v>2010</v>
      </c>
      <c r="F7145" t="s">
        <v>1037</v>
      </c>
      <c r="G7145" s="9">
        <v>3981.04</v>
      </c>
      <c r="H7145" s="8">
        <v>9452</v>
      </c>
    </row>
    <row r="7146" spans="2:8" x14ac:dyDescent="0.4">
      <c r="B7146" t="s">
        <v>7</v>
      </c>
      <c r="C7146" t="s">
        <v>1035</v>
      </c>
      <c r="D7146" s="7">
        <f>DATE(2011,4,8)</f>
        <v>40641</v>
      </c>
      <c r="E7146" s="8">
        <f t="shared" si="116"/>
        <v>2011</v>
      </c>
      <c r="F7146" t="s">
        <v>1037</v>
      </c>
      <c r="G7146" s="9">
        <v>226286.05</v>
      </c>
      <c r="H7146" s="8">
        <v>10397</v>
      </c>
    </row>
    <row r="7147" spans="2:8" x14ac:dyDescent="0.4">
      <c r="B7147" t="s">
        <v>7</v>
      </c>
      <c r="C7147" t="s">
        <v>1035</v>
      </c>
      <c r="D7147" s="7">
        <f>DATE(2011,4,8)</f>
        <v>40641</v>
      </c>
      <c r="E7147" s="8">
        <f t="shared" si="116"/>
        <v>2011</v>
      </c>
      <c r="F7147" t="s">
        <v>1037</v>
      </c>
      <c r="G7147" s="9">
        <v>204535.06</v>
      </c>
      <c r="H7147" s="8">
        <v>10396</v>
      </c>
    </row>
    <row r="7148" spans="2:8" x14ac:dyDescent="0.4">
      <c r="B7148" t="s">
        <v>7</v>
      </c>
      <c r="C7148" t="s">
        <v>1035</v>
      </c>
      <c r="D7148" s="7">
        <f>DATE(2012,11,6)</f>
        <v>41219</v>
      </c>
      <c r="E7148" s="8">
        <f t="shared" si="116"/>
        <v>2012</v>
      </c>
      <c r="F7148" t="s">
        <v>1037</v>
      </c>
      <c r="G7148" s="9">
        <v>224589.65</v>
      </c>
      <c r="H7148" s="8">
        <v>11779</v>
      </c>
    </row>
    <row r="7149" spans="2:8" x14ac:dyDescent="0.4">
      <c r="B7149" t="s">
        <v>7</v>
      </c>
      <c r="C7149" t="s">
        <v>1035</v>
      </c>
      <c r="D7149" s="7">
        <f>DATE(2014,10,22)</f>
        <v>41934</v>
      </c>
      <c r="E7149" s="8">
        <f t="shared" si="116"/>
        <v>2014</v>
      </c>
      <c r="F7149" t="s">
        <v>1037</v>
      </c>
      <c r="G7149" s="9">
        <v>182270.51</v>
      </c>
      <c r="H7149" s="8">
        <v>13199</v>
      </c>
    </row>
    <row r="7150" spans="2:8" x14ac:dyDescent="0.4">
      <c r="B7150" t="s">
        <v>7</v>
      </c>
      <c r="C7150" t="s">
        <v>1035</v>
      </c>
      <c r="D7150" s="7">
        <f>DATE(2010,9,20)</f>
        <v>40441</v>
      </c>
      <c r="E7150" s="8">
        <f t="shared" si="116"/>
        <v>2010</v>
      </c>
      <c r="F7150" t="s">
        <v>1037</v>
      </c>
      <c r="G7150" s="9">
        <v>14424.43</v>
      </c>
      <c r="H7150" s="8">
        <v>10111</v>
      </c>
    </row>
    <row r="7151" spans="2:8" x14ac:dyDescent="0.4">
      <c r="B7151" t="s">
        <v>7</v>
      </c>
      <c r="C7151" t="s">
        <v>1035</v>
      </c>
      <c r="D7151" s="7">
        <f>DATE(2010,10,11)</f>
        <v>40462</v>
      </c>
      <c r="E7151" s="8">
        <f t="shared" si="116"/>
        <v>2010</v>
      </c>
      <c r="F7151" t="s">
        <v>1037</v>
      </c>
      <c r="G7151" s="9">
        <v>11278.89</v>
      </c>
      <c r="H7151" s="8">
        <v>10127</v>
      </c>
    </row>
    <row r="7152" spans="2:8" x14ac:dyDescent="0.4">
      <c r="B7152" t="s">
        <v>7</v>
      </c>
      <c r="C7152" t="s">
        <v>1035</v>
      </c>
      <c r="D7152" s="7">
        <f>DATE(2012,12,10)</f>
        <v>41253</v>
      </c>
      <c r="E7152" s="8">
        <f t="shared" si="116"/>
        <v>2012</v>
      </c>
      <c r="F7152" t="s">
        <v>1037</v>
      </c>
      <c r="G7152" s="9">
        <v>21638.080000000002</v>
      </c>
      <c r="H7152" s="8">
        <v>12036</v>
      </c>
    </row>
    <row r="7153" spans="2:8" x14ac:dyDescent="0.4">
      <c r="B7153" t="s">
        <v>7</v>
      </c>
      <c r="C7153" t="s">
        <v>1035</v>
      </c>
      <c r="D7153" s="7">
        <f>DATE(2013,1,7)</f>
        <v>41281</v>
      </c>
      <c r="E7153" s="8">
        <f t="shared" si="116"/>
        <v>2013</v>
      </c>
      <c r="F7153" t="s">
        <v>1037</v>
      </c>
      <c r="G7153" s="9">
        <v>23670.71</v>
      </c>
      <c r="H7153" s="8">
        <v>12054</v>
      </c>
    </row>
    <row r="7154" spans="2:8" x14ac:dyDescent="0.4">
      <c r="B7154" t="s">
        <v>7</v>
      </c>
      <c r="C7154" t="s">
        <v>1035</v>
      </c>
      <c r="D7154" s="7">
        <f>DATE(2013,1,7)</f>
        <v>41281</v>
      </c>
      <c r="E7154" s="8">
        <f t="shared" si="116"/>
        <v>2013</v>
      </c>
      <c r="F7154" t="s">
        <v>1037</v>
      </c>
      <c r="G7154" s="9">
        <v>13266.41</v>
      </c>
      <c r="H7154" s="8">
        <v>12076</v>
      </c>
    </row>
    <row r="7155" spans="2:8" x14ac:dyDescent="0.4">
      <c r="B7155" t="s">
        <v>7</v>
      </c>
      <c r="C7155" t="s">
        <v>1035</v>
      </c>
      <c r="D7155" s="7">
        <f>DATE(2014,11,17)</f>
        <v>41960</v>
      </c>
      <c r="E7155" s="8">
        <f t="shared" si="116"/>
        <v>2014</v>
      </c>
      <c r="F7155" t="s">
        <v>1037</v>
      </c>
      <c r="G7155" s="9">
        <v>19994.86</v>
      </c>
      <c r="H7155" s="8">
        <v>13580</v>
      </c>
    </row>
    <row r="7156" spans="2:8" x14ac:dyDescent="0.4">
      <c r="B7156" t="s">
        <v>16</v>
      </c>
      <c r="C7156" t="s">
        <v>1035</v>
      </c>
      <c r="D7156" s="7">
        <f>DATE(2012,11,7)</f>
        <v>41220</v>
      </c>
      <c r="E7156" s="8">
        <f t="shared" si="116"/>
        <v>2012</v>
      </c>
      <c r="F7156" t="s">
        <v>1037</v>
      </c>
      <c r="G7156" s="9">
        <v>46.8</v>
      </c>
      <c r="H7156" s="8">
        <v>11996</v>
      </c>
    </row>
    <row r="7157" spans="2:8" x14ac:dyDescent="0.4">
      <c r="B7157" t="s">
        <v>16</v>
      </c>
      <c r="C7157" t="s">
        <v>1035</v>
      </c>
      <c r="D7157" s="7">
        <f>DATE(2010,11,10)</f>
        <v>40492</v>
      </c>
      <c r="E7157" s="8">
        <f t="shared" si="116"/>
        <v>2010</v>
      </c>
      <c r="F7157" t="s">
        <v>1037</v>
      </c>
      <c r="G7157" s="9">
        <v>730</v>
      </c>
      <c r="H7157" s="8">
        <v>10265</v>
      </c>
    </row>
    <row r="7158" spans="2:8" x14ac:dyDescent="0.4">
      <c r="B7158" t="s">
        <v>16</v>
      </c>
      <c r="C7158" t="s">
        <v>1035</v>
      </c>
      <c r="D7158" s="7">
        <f>DATE(2003,9,1)</f>
        <v>37865</v>
      </c>
      <c r="E7158" s="8">
        <f t="shared" si="116"/>
        <v>2003</v>
      </c>
      <c r="F7158" t="s">
        <v>1037</v>
      </c>
      <c r="G7158" s="9">
        <v>39461.07</v>
      </c>
      <c r="H7158" s="8">
        <v>898</v>
      </c>
    </row>
    <row r="7159" spans="2:8" x14ac:dyDescent="0.4">
      <c r="B7159" t="s">
        <v>16</v>
      </c>
      <c r="C7159" t="s">
        <v>1035</v>
      </c>
      <c r="D7159" s="7">
        <f>DATE(2003,9,1)</f>
        <v>37865</v>
      </c>
      <c r="E7159" s="8">
        <f t="shared" si="116"/>
        <v>2003</v>
      </c>
      <c r="F7159" t="s">
        <v>1037</v>
      </c>
      <c r="G7159" s="9">
        <v>29826.6</v>
      </c>
      <c r="H7159" s="8">
        <v>899</v>
      </c>
    </row>
    <row r="7160" spans="2:8" x14ac:dyDescent="0.4">
      <c r="B7160" t="s">
        <v>16</v>
      </c>
      <c r="C7160" t="s">
        <v>1035</v>
      </c>
      <c r="D7160" s="7">
        <f>DATE(2012,11,7)</f>
        <v>41220</v>
      </c>
      <c r="E7160" s="8">
        <f t="shared" si="116"/>
        <v>2012</v>
      </c>
      <c r="F7160" t="s">
        <v>1037</v>
      </c>
      <c r="G7160" s="9">
        <v>1734.7</v>
      </c>
      <c r="H7160" s="8">
        <v>11994</v>
      </c>
    </row>
    <row r="7161" spans="2:8" x14ac:dyDescent="0.4">
      <c r="B7161" s="3" t="s">
        <v>7</v>
      </c>
      <c r="C7161" s="3" t="s">
        <v>1035</v>
      </c>
      <c r="D7161" s="4">
        <f>DATE(2003,3,11)</f>
        <v>37691</v>
      </c>
      <c r="E7161" s="5">
        <f t="shared" si="116"/>
        <v>2003</v>
      </c>
      <c r="F7161" s="3" t="s">
        <v>1037</v>
      </c>
      <c r="G7161" s="6">
        <v>18000</v>
      </c>
      <c r="H7161" s="5">
        <v>132</v>
      </c>
    </row>
    <row r="7162" spans="2:8" x14ac:dyDescent="0.4">
      <c r="B7162" s="3" t="s">
        <v>7</v>
      </c>
      <c r="C7162" s="3" t="s">
        <v>1035</v>
      </c>
      <c r="D7162" s="4">
        <f>DATE(2003,7,30)</f>
        <v>37832</v>
      </c>
      <c r="E7162" s="5">
        <f t="shared" si="116"/>
        <v>2003</v>
      </c>
      <c r="F7162" s="3" t="s">
        <v>1037</v>
      </c>
      <c r="G7162" s="6">
        <v>807.2</v>
      </c>
      <c r="H7162" s="5">
        <v>1277</v>
      </c>
    </row>
    <row r="7163" spans="2:8" x14ac:dyDescent="0.4">
      <c r="B7163" s="3" t="s">
        <v>7</v>
      </c>
      <c r="C7163" s="3" t="s">
        <v>1035</v>
      </c>
      <c r="D7163" s="4">
        <f>DATE(2003,8,20)</f>
        <v>37853</v>
      </c>
      <c r="E7163" s="5">
        <f t="shared" si="116"/>
        <v>2003</v>
      </c>
      <c r="F7163" s="3" t="s">
        <v>1037</v>
      </c>
      <c r="G7163" s="6">
        <v>720</v>
      </c>
      <c r="H7163" s="5">
        <v>1382</v>
      </c>
    </row>
    <row r="7164" spans="2:8" x14ac:dyDescent="0.4">
      <c r="B7164" s="3" t="s">
        <v>7</v>
      </c>
      <c r="C7164" s="3" t="s">
        <v>1035</v>
      </c>
      <c r="D7164" s="4">
        <f>DATE(2003,10,9)</f>
        <v>37903</v>
      </c>
      <c r="E7164" s="5">
        <f t="shared" si="116"/>
        <v>2003</v>
      </c>
      <c r="F7164" s="3" t="s">
        <v>1037</v>
      </c>
      <c r="G7164" s="6">
        <v>9000</v>
      </c>
      <c r="H7164" s="5">
        <v>1612</v>
      </c>
    </row>
    <row r="7165" spans="2:8" x14ac:dyDescent="0.4">
      <c r="B7165" s="3" t="s">
        <v>7</v>
      </c>
      <c r="C7165" s="3" t="s">
        <v>1035</v>
      </c>
      <c r="D7165" s="4">
        <f>DATE(2004,2,4)</f>
        <v>38021</v>
      </c>
      <c r="E7165" s="5">
        <f t="shared" si="116"/>
        <v>2004</v>
      </c>
      <c r="F7165" s="3" t="s">
        <v>1037</v>
      </c>
      <c r="G7165" s="6">
        <v>89695.2</v>
      </c>
      <c r="H7165" s="5">
        <v>1998</v>
      </c>
    </row>
    <row r="7166" spans="2:8" x14ac:dyDescent="0.4">
      <c r="B7166" s="3" t="s">
        <v>7</v>
      </c>
      <c r="C7166" s="3" t="s">
        <v>1035</v>
      </c>
      <c r="D7166" s="4">
        <f>DATE(2004,3,31)</f>
        <v>38077</v>
      </c>
      <c r="E7166" s="5">
        <f t="shared" si="116"/>
        <v>2004</v>
      </c>
      <c r="F7166" s="3" t="s">
        <v>1037</v>
      </c>
      <c r="G7166" s="6">
        <v>1440</v>
      </c>
      <c r="H7166" s="5">
        <v>2522</v>
      </c>
    </row>
    <row r="7167" spans="2:8" x14ac:dyDescent="0.4">
      <c r="B7167" s="3" t="s">
        <v>7</v>
      </c>
      <c r="C7167" s="3" t="s">
        <v>1035</v>
      </c>
      <c r="D7167" s="4">
        <f>DATE(2004,10,18)</f>
        <v>38278</v>
      </c>
      <c r="E7167" s="5">
        <f t="shared" si="116"/>
        <v>2004</v>
      </c>
      <c r="F7167" s="3" t="s">
        <v>1037</v>
      </c>
      <c r="G7167" s="6">
        <v>720</v>
      </c>
      <c r="H7167" s="5">
        <v>3585</v>
      </c>
    </row>
    <row r="7168" spans="2:8" x14ac:dyDescent="0.4">
      <c r="B7168" s="3" t="s">
        <v>7</v>
      </c>
      <c r="C7168" s="3" t="s">
        <v>1035</v>
      </c>
      <c r="D7168" s="4">
        <f>DATE(2005,2,3)</f>
        <v>38386</v>
      </c>
      <c r="E7168" s="5">
        <f t="shared" si="116"/>
        <v>2005</v>
      </c>
      <c r="F7168" s="3" t="s">
        <v>1037</v>
      </c>
      <c r="G7168" s="6">
        <v>42378</v>
      </c>
      <c r="H7168" s="5">
        <v>4068</v>
      </c>
    </row>
    <row r="7169" spans="2:8" x14ac:dyDescent="0.4">
      <c r="B7169" s="3" t="s">
        <v>7</v>
      </c>
      <c r="C7169" s="3" t="s">
        <v>1035</v>
      </c>
      <c r="D7169" s="4">
        <f>DATE(2005,2,3)</f>
        <v>38386</v>
      </c>
      <c r="E7169" s="5">
        <f t="shared" si="116"/>
        <v>2005</v>
      </c>
      <c r="F7169" s="3" t="s">
        <v>1037</v>
      </c>
      <c r="G7169" s="6">
        <v>798</v>
      </c>
      <c r="H7169" s="5">
        <v>4062</v>
      </c>
    </row>
    <row r="7170" spans="2:8" x14ac:dyDescent="0.4">
      <c r="B7170" s="3" t="s">
        <v>7</v>
      </c>
      <c r="C7170" s="3" t="s">
        <v>1035</v>
      </c>
      <c r="D7170" s="4">
        <f>DATE(2005,2,10)</f>
        <v>38393</v>
      </c>
      <c r="E7170" s="5">
        <f t="shared" si="116"/>
        <v>2005</v>
      </c>
      <c r="F7170" s="3" t="s">
        <v>1037</v>
      </c>
      <c r="G7170" s="6">
        <v>1520</v>
      </c>
      <c r="H7170" s="5">
        <v>4116</v>
      </c>
    </row>
    <row r="7171" spans="2:8" x14ac:dyDescent="0.4">
      <c r="B7171" s="3" t="s">
        <v>7</v>
      </c>
      <c r="C7171" s="3" t="s">
        <v>1035</v>
      </c>
      <c r="D7171" s="4">
        <f>DATE(2005,8,26)</f>
        <v>38590</v>
      </c>
      <c r="E7171" s="5">
        <f t="shared" ref="E7171:E7234" si="117">YEAR(D7171)</f>
        <v>2005</v>
      </c>
      <c r="F7171" s="3" t="s">
        <v>1037</v>
      </c>
      <c r="G7171" s="6">
        <v>1520</v>
      </c>
      <c r="H7171" s="5">
        <v>5181</v>
      </c>
    </row>
    <row r="7172" spans="2:8" x14ac:dyDescent="0.4">
      <c r="B7172" s="3" t="s">
        <v>7</v>
      </c>
      <c r="C7172" s="3" t="s">
        <v>1035</v>
      </c>
      <c r="D7172" s="4">
        <f>DATE(2005,12,8)</f>
        <v>38694</v>
      </c>
      <c r="E7172" s="5">
        <f t="shared" si="117"/>
        <v>2005</v>
      </c>
      <c r="F7172" s="3" t="s">
        <v>1037</v>
      </c>
      <c r="G7172" s="6">
        <v>350</v>
      </c>
      <c r="H7172" s="5">
        <v>5712</v>
      </c>
    </row>
    <row r="7173" spans="2:8" x14ac:dyDescent="0.4">
      <c r="B7173" s="3" t="s">
        <v>7</v>
      </c>
      <c r="C7173" s="3" t="s">
        <v>1035</v>
      </c>
      <c r="D7173" s="4">
        <f>DATE(2006,1,9)</f>
        <v>38726</v>
      </c>
      <c r="E7173" s="5">
        <f t="shared" si="117"/>
        <v>2006</v>
      </c>
      <c r="F7173" s="3" t="s">
        <v>1037</v>
      </c>
      <c r="G7173" s="6">
        <v>350</v>
      </c>
      <c r="H7173" s="5">
        <v>5530</v>
      </c>
    </row>
    <row r="7174" spans="2:8" x14ac:dyDescent="0.4">
      <c r="B7174" s="3" t="s">
        <v>7</v>
      </c>
      <c r="C7174" s="3" t="s">
        <v>1035</v>
      </c>
      <c r="D7174" s="4">
        <f>DATE(2005,12,19)</f>
        <v>38705</v>
      </c>
      <c r="E7174" s="5">
        <f t="shared" si="117"/>
        <v>2005</v>
      </c>
      <c r="F7174" s="3" t="s">
        <v>1037</v>
      </c>
      <c r="G7174" s="6">
        <v>3878</v>
      </c>
      <c r="H7174" s="5">
        <v>5739</v>
      </c>
    </row>
    <row r="7175" spans="2:8" x14ac:dyDescent="0.4">
      <c r="B7175" s="3" t="s">
        <v>7</v>
      </c>
      <c r="C7175" s="3" t="s">
        <v>1035</v>
      </c>
      <c r="D7175" s="4">
        <f>DATE(2006,1,29)</f>
        <v>38746</v>
      </c>
      <c r="E7175" s="5">
        <f t="shared" si="117"/>
        <v>2006</v>
      </c>
      <c r="F7175" s="3" t="s">
        <v>1037</v>
      </c>
      <c r="G7175" s="6">
        <v>3470.1</v>
      </c>
      <c r="H7175" s="5">
        <v>5793</v>
      </c>
    </row>
    <row r="7176" spans="2:8" x14ac:dyDescent="0.4">
      <c r="B7176" s="3" t="s">
        <v>7</v>
      </c>
      <c r="C7176" s="3" t="s">
        <v>1035</v>
      </c>
      <c r="D7176" s="4">
        <f>DATE(2006,3,24)</f>
        <v>38800</v>
      </c>
      <c r="E7176" s="5">
        <f t="shared" si="117"/>
        <v>2006</v>
      </c>
      <c r="F7176" s="3" t="s">
        <v>1037</v>
      </c>
      <c r="G7176" s="6">
        <v>403.6</v>
      </c>
      <c r="H7176" s="5">
        <v>6379</v>
      </c>
    </row>
    <row r="7177" spans="2:8" x14ac:dyDescent="0.4">
      <c r="B7177" s="3" t="s">
        <v>7</v>
      </c>
      <c r="C7177" s="3" t="s">
        <v>1035</v>
      </c>
      <c r="D7177" s="4">
        <f>DATE(2006,4,11)</f>
        <v>38818</v>
      </c>
      <c r="E7177" s="5">
        <f t="shared" si="117"/>
        <v>2006</v>
      </c>
      <c r="F7177" s="3" t="s">
        <v>1037</v>
      </c>
      <c r="G7177" s="6">
        <v>760</v>
      </c>
      <c r="H7177" s="5">
        <v>6501</v>
      </c>
    </row>
    <row r="7178" spans="2:8" x14ac:dyDescent="0.4">
      <c r="B7178" s="3" t="s">
        <v>7</v>
      </c>
      <c r="C7178" s="3" t="s">
        <v>1035</v>
      </c>
      <c r="D7178" s="4">
        <f>DATE(2006,10,2)</f>
        <v>38992</v>
      </c>
      <c r="E7178" s="5">
        <f t="shared" si="117"/>
        <v>2006</v>
      </c>
      <c r="F7178" s="3" t="s">
        <v>1037</v>
      </c>
      <c r="G7178" s="6">
        <v>1536</v>
      </c>
      <c r="H7178" s="5">
        <v>7316</v>
      </c>
    </row>
    <row r="7179" spans="2:8" x14ac:dyDescent="0.4">
      <c r="B7179" s="3" t="s">
        <v>7</v>
      </c>
      <c r="C7179" s="3" t="s">
        <v>1035</v>
      </c>
      <c r="D7179" s="4">
        <f>DATE(2006,11,21)</f>
        <v>39042</v>
      </c>
      <c r="E7179" s="5">
        <f t="shared" si="117"/>
        <v>2006</v>
      </c>
      <c r="F7179" s="3" t="s">
        <v>1037</v>
      </c>
      <c r="G7179" s="6">
        <v>2287.5</v>
      </c>
      <c r="H7179" s="5">
        <v>7497</v>
      </c>
    </row>
    <row r="7180" spans="2:8" x14ac:dyDescent="0.4">
      <c r="B7180" s="3" t="s">
        <v>7</v>
      </c>
      <c r="C7180" s="3" t="s">
        <v>1035</v>
      </c>
      <c r="D7180" s="4">
        <f>DATE(2006,12,11)</f>
        <v>39062</v>
      </c>
      <c r="E7180" s="5">
        <f t="shared" si="117"/>
        <v>2006</v>
      </c>
      <c r="F7180" s="3" t="s">
        <v>1037</v>
      </c>
      <c r="G7180" s="6">
        <v>200</v>
      </c>
      <c r="H7180" s="5">
        <v>7626</v>
      </c>
    </row>
    <row r="7181" spans="2:8" x14ac:dyDescent="0.4">
      <c r="B7181" s="3" t="s">
        <v>7</v>
      </c>
      <c r="C7181" s="3" t="s">
        <v>1035</v>
      </c>
      <c r="D7181" s="4">
        <f>DATE(2007,3,29)</f>
        <v>39170</v>
      </c>
      <c r="E7181" s="5">
        <f t="shared" si="117"/>
        <v>2007</v>
      </c>
      <c r="F7181" s="3" t="s">
        <v>1037</v>
      </c>
      <c r="G7181" s="6">
        <v>4125</v>
      </c>
      <c r="H7181" s="5">
        <v>8245</v>
      </c>
    </row>
    <row r="7182" spans="2:8" x14ac:dyDescent="0.4">
      <c r="B7182" s="3" t="s">
        <v>7</v>
      </c>
      <c r="C7182" s="3" t="s">
        <v>1035</v>
      </c>
      <c r="D7182" s="4">
        <f>DATE(2007,4,17)</f>
        <v>39189</v>
      </c>
      <c r="E7182" s="5">
        <f t="shared" si="117"/>
        <v>2007</v>
      </c>
      <c r="F7182" s="3" t="s">
        <v>1037</v>
      </c>
      <c r="G7182" s="6">
        <v>811.15</v>
      </c>
      <c r="H7182" s="5">
        <v>8282</v>
      </c>
    </row>
    <row r="7183" spans="2:8" x14ac:dyDescent="0.4">
      <c r="B7183" s="3" t="s">
        <v>7</v>
      </c>
      <c r="C7183" s="3" t="s">
        <v>1035</v>
      </c>
      <c r="D7183" s="4">
        <f>DATE(2007,5,30)</f>
        <v>39232</v>
      </c>
      <c r="E7183" s="5">
        <f t="shared" si="117"/>
        <v>2007</v>
      </c>
      <c r="F7183" s="3" t="s">
        <v>1037</v>
      </c>
      <c r="G7183" s="6">
        <v>1140</v>
      </c>
      <c r="H7183" s="5">
        <v>8681</v>
      </c>
    </row>
    <row r="7184" spans="2:8" x14ac:dyDescent="0.4">
      <c r="B7184" s="3" t="s">
        <v>7</v>
      </c>
      <c r="C7184" s="3" t="s">
        <v>1035</v>
      </c>
      <c r="D7184" s="4">
        <f>DATE(2007,6,12)</f>
        <v>39245</v>
      </c>
      <c r="E7184" s="5">
        <f t="shared" si="117"/>
        <v>2007</v>
      </c>
      <c r="F7184" s="3" t="s">
        <v>1037</v>
      </c>
      <c r="G7184" s="6">
        <v>400</v>
      </c>
      <c r="H7184" s="5">
        <v>8739</v>
      </c>
    </row>
    <row r="7185" spans="2:8" x14ac:dyDescent="0.4">
      <c r="B7185" s="3" t="s">
        <v>7</v>
      </c>
      <c r="C7185" s="3" t="s">
        <v>1035</v>
      </c>
      <c r="D7185" s="4">
        <f>DATE(2008,1,29)</f>
        <v>39476</v>
      </c>
      <c r="E7185" s="5">
        <f t="shared" si="117"/>
        <v>2008</v>
      </c>
      <c r="F7185" s="3" t="s">
        <v>1037</v>
      </c>
      <c r="G7185" s="6">
        <v>950</v>
      </c>
      <c r="H7185" s="5">
        <v>9831</v>
      </c>
    </row>
    <row r="7186" spans="2:8" x14ac:dyDescent="0.4">
      <c r="B7186" s="3" t="s">
        <v>7</v>
      </c>
      <c r="C7186" s="3" t="s">
        <v>1035</v>
      </c>
      <c r="D7186" s="4">
        <f>DATE(2008,8,12)</f>
        <v>39672</v>
      </c>
      <c r="E7186" s="5">
        <f t="shared" si="117"/>
        <v>2008</v>
      </c>
      <c r="F7186" s="3" t="s">
        <v>1037</v>
      </c>
      <c r="G7186" s="6">
        <v>250</v>
      </c>
      <c r="H7186" s="5">
        <v>11078</v>
      </c>
    </row>
    <row r="7187" spans="2:8" x14ac:dyDescent="0.4">
      <c r="B7187" s="3" t="s">
        <v>7</v>
      </c>
      <c r="C7187" s="3" t="s">
        <v>1035</v>
      </c>
      <c r="D7187" s="4">
        <f>DATE(2008,10,2)</f>
        <v>39723</v>
      </c>
      <c r="E7187" s="5">
        <f t="shared" si="117"/>
        <v>2008</v>
      </c>
      <c r="F7187" s="3" t="s">
        <v>1037</v>
      </c>
      <c r="G7187" s="6">
        <v>760</v>
      </c>
      <c r="H7187" s="5">
        <v>11353</v>
      </c>
    </row>
    <row r="7188" spans="2:8" x14ac:dyDescent="0.4">
      <c r="B7188" s="3" t="s">
        <v>7</v>
      </c>
      <c r="C7188" s="3" t="s">
        <v>1035</v>
      </c>
      <c r="D7188" s="4">
        <f>DATE(2008,10,22)</f>
        <v>39743</v>
      </c>
      <c r="E7188" s="5">
        <f t="shared" si="117"/>
        <v>2008</v>
      </c>
      <c r="F7188" s="3" t="s">
        <v>1037</v>
      </c>
      <c r="G7188" s="6">
        <v>750</v>
      </c>
      <c r="H7188" s="5">
        <v>11438</v>
      </c>
    </row>
    <row r="7189" spans="2:8" x14ac:dyDescent="0.4">
      <c r="B7189" s="3" t="s">
        <v>7</v>
      </c>
      <c r="C7189" s="3" t="s">
        <v>1035</v>
      </c>
      <c r="D7189" s="4">
        <f>DATE(2008,12,9)</f>
        <v>39791</v>
      </c>
      <c r="E7189" s="5">
        <f t="shared" si="117"/>
        <v>2008</v>
      </c>
      <c r="F7189" s="3" t="s">
        <v>1037</v>
      </c>
      <c r="G7189" s="6">
        <v>1140</v>
      </c>
      <c r="H7189" s="5">
        <v>11658</v>
      </c>
    </row>
    <row r="7190" spans="2:8" x14ac:dyDescent="0.4">
      <c r="B7190" s="3" t="s">
        <v>7</v>
      </c>
      <c r="C7190" s="3" t="s">
        <v>1035</v>
      </c>
      <c r="D7190" s="4">
        <f>DATE(2009,2,4)</f>
        <v>39848</v>
      </c>
      <c r="E7190" s="5">
        <f t="shared" si="117"/>
        <v>2009</v>
      </c>
      <c r="F7190" s="3" t="s">
        <v>1037</v>
      </c>
      <c r="G7190" s="6">
        <v>850</v>
      </c>
      <c r="H7190" s="5">
        <v>11897</v>
      </c>
    </row>
    <row r="7191" spans="2:8" x14ac:dyDescent="0.4">
      <c r="B7191" s="3" t="s">
        <v>7</v>
      </c>
      <c r="C7191" s="3" t="s">
        <v>1035</v>
      </c>
      <c r="D7191" s="4">
        <f>DATE(2009,3,5)</f>
        <v>39877</v>
      </c>
      <c r="E7191" s="5">
        <f t="shared" si="117"/>
        <v>2009</v>
      </c>
      <c r="F7191" s="3" t="s">
        <v>1037</v>
      </c>
      <c r="G7191" s="6">
        <v>1330</v>
      </c>
      <c r="H7191" s="5">
        <v>12116</v>
      </c>
    </row>
    <row r="7192" spans="2:8" x14ac:dyDescent="0.4">
      <c r="B7192" s="3" t="s">
        <v>7</v>
      </c>
      <c r="C7192" s="3" t="s">
        <v>1035</v>
      </c>
      <c r="D7192" s="4">
        <f>DATE(2009,10,21)</f>
        <v>40107</v>
      </c>
      <c r="E7192" s="5">
        <f t="shared" si="117"/>
        <v>2009</v>
      </c>
      <c r="F7192" s="3" t="s">
        <v>1037</v>
      </c>
      <c r="G7192" s="6">
        <v>1203</v>
      </c>
      <c r="H7192" s="5">
        <v>13144</v>
      </c>
    </row>
    <row r="7193" spans="2:8" x14ac:dyDescent="0.4">
      <c r="B7193" s="3" t="s">
        <v>7</v>
      </c>
      <c r="C7193" s="3" t="s">
        <v>1035</v>
      </c>
      <c r="D7193" s="4">
        <f>DATE(2009,10,28)</f>
        <v>40114</v>
      </c>
      <c r="E7193" s="5">
        <f t="shared" si="117"/>
        <v>2009</v>
      </c>
      <c r="F7193" s="3" t="s">
        <v>1037</v>
      </c>
      <c r="G7193" s="6">
        <v>698.61</v>
      </c>
      <c r="H7193" s="5">
        <v>13109</v>
      </c>
    </row>
    <row r="7194" spans="2:8" x14ac:dyDescent="0.4">
      <c r="B7194" s="3" t="s">
        <v>7</v>
      </c>
      <c r="C7194" s="3" t="s">
        <v>1035</v>
      </c>
      <c r="D7194" s="4">
        <f>DATE(2009,10,28)</f>
        <v>40114</v>
      </c>
      <c r="E7194" s="5">
        <f t="shared" si="117"/>
        <v>2009</v>
      </c>
      <c r="F7194" s="3" t="s">
        <v>1037</v>
      </c>
      <c r="G7194" s="6">
        <v>2920</v>
      </c>
      <c r="H7194" s="5">
        <v>13110</v>
      </c>
    </row>
    <row r="7195" spans="2:8" x14ac:dyDescent="0.4">
      <c r="B7195" s="3" t="s">
        <v>7</v>
      </c>
      <c r="C7195" s="3" t="s">
        <v>1035</v>
      </c>
      <c r="D7195" s="4">
        <f>DATE(2010,2,25)</f>
        <v>40234</v>
      </c>
      <c r="E7195" s="5">
        <f t="shared" si="117"/>
        <v>2010</v>
      </c>
      <c r="F7195" s="3" t="s">
        <v>1037</v>
      </c>
      <c r="G7195" s="6">
        <v>1520</v>
      </c>
      <c r="H7195" s="5">
        <v>13655</v>
      </c>
    </row>
    <row r="7196" spans="2:8" x14ac:dyDescent="0.4">
      <c r="B7196" s="3" t="s">
        <v>7</v>
      </c>
      <c r="C7196" s="3" t="s">
        <v>1035</v>
      </c>
      <c r="D7196" s="4">
        <f>DATE(2010,4,15)</f>
        <v>40283</v>
      </c>
      <c r="E7196" s="5">
        <f t="shared" si="117"/>
        <v>2010</v>
      </c>
      <c r="F7196" s="3" t="s">
        <v>1037</v>
      </c>
      <c r="G7196" s="6">
        <v>250</v>
      </c>
      <c r="H7196" s="5">
        <v>13890</v>
      </c>
    </row>
    <row r="7197" spans="2:8" x14ac:dyDescent="0.4">
      <c r="B7197" s="3" t="s">
        <v>7</v>
      </c>
      <c r="C7197" s="3" t="s">
        <v>1035</v>
      </c>
      <c r="D7197" s="4">
        <f>DATE(2011,1,27)</f>
        <v>40570</v>
      </c>
      <c r="E7197" s="5">
        <f t="shared" si="117"/>
        <v>2011</v>
      </c>
      <c r="F7197" s="3" t="s">
        <v>1037</v>
      </c>
      <c r="G7197" s="6">
        <v>2280</v>
      </c>
      <c r="H7197" s="5">
        <v>14968</v>
      </c>
    </row>
    <row r="7198" spans="2:8" x14ac:dyDescent="0.4">
      <c r="B7198" s="3" t="s">
        <v>7</v>
      </c>
      <c r="C7198" s="3" t="s">
        <v>1035</v>
      </c>
      <c r="D7198" s="4">
        <f>DATE(2011,1,27)</f>
        <v>40570</v>
      </c>
      <c r="E7198" s="5">
        <f t="shared" si="117"/>
        <v>2011</v>
      </c>
      <c r="F7198" s="3" t="s">
        <v>1037</v>
      </c>
      <c r="G7198" s="6">
        <v>1105</v>
      </c>
      <c r="H7198" s="5">
        <v>14939</v>
      </c>
    </row>
    <row r="7199" spans="2:8" x14ac:dyDescent="0.4">
      <c r="B7199" s="3" t="s">
        <v>7</v>
      </c>
      <c r="C7199" s="3" t="s">
        <v>1035</v>
      </c>
      <c r="D7199" s="4">
        <f>DATE(2011,2,24)</f>
        <v>40598</v>
      </c>
      <c r="E7199" s="5">
        <f t="shared" si="117"/>
        <v>2011</v>
      </c>
      <c r="F7199" s="3" t="s">
        <v>1037</v>
      </c>
      <c r="G7199" s="6">
        <v>210</v>
      </c>
      <c r="H7199" s="5">
        <v>15123</v>
      </c>
    </row>
    <row r="7200" spans="2:8" x14ac:dyDescent="0.4">
      <c r="B7200" s="3" t="s">
        <v>7</v>
      </c>
      <c r="C7200" s="3" t="s">
        <v>1035</v>
      </c>
      <c r="D7200" s="4">
        <f>DATE(2011,4,11)</f>
        <v>40644</v>
      </c>
      <c r="E7200" s="5">
        <f t="shared" si="117"/>
        <v>2011</v>
      </c>
      <c r="F7200" s="3" t="s">
        <v>1037</v>
      </c>
      <c r="G7200" s="6">
        <v>8062.5</v>
      </c>
      <c r="H7200" s="5">
        <v>15357</v>
      </c>
    </row>
    <row r="7201" spans="2:8" x14ac:dyDescent="0.4">
      <c r="B7201" s="3" t="s">
        <v>7</v>
      </c>
      <c r="C7201" s="3" t="s">
        <v>1035</v>
      </c>
      <c r="D7201" s="4">
        <f>DATE(2011,4,11)</f>
        <v>40644</v>
      </c>
      <c r="E7201" s="5">
        <f t="shared" si="117"/>
        <v>2011</v>
      </c>
      <c r="F7201" s="3" t="s">
        <v>1037</v>
      </c>
      <c r="G7201" s="6">
        <v>2972</v>
      </c>
      <c r="H7201" s="5">
        <v>15346</v>
      </c>
    </row>
    <row r="7202" spans="2:8" x14ac:dyDescent="0.4">
      <c r="B7202" s="3" t="s">
        <v>7</v>
      </c>
      <c r="C7202" s="3" t="s">
        <v>1035</v>
      </c>
      <c r="D7202" s="4">
        <f>DATE(2011,6,15)</f>
        <v>40709</v>
      </c>
      <c r="E7202" s="5">
        <f t="shared" si="117"/>
        <v>2011</v>
      </c>
      <c r="F7202" s="3" t="s">
        <v>1037</v>
      </c>
      <c r="G7202" s="6">
        <v>191</v>
      </c>
      <c r="H7202" s="5">
        <v>15690</v>
      </c>
    </row>
    <row r="7203" spans="2:8" x14ac:dyDescent="0.4">
      <c r="B7203" s="3" t="s">
        <v>7</v>
      </c>
      <c r="C7203" s="3" t="s">
        <v>1035</v>
      </c>
      <c r="D7203" s="4">
        <f>DATE(2012,1,11)</f>
        <v>40919</v>
      </c>
      <c r="E7203" s="5">
        <f t="shared" si="117"/>
        <v>2012</v>
      </c>
      <c r="F7203" s="3" t="s">
        <v>1037</v>
      </c>
      <c r="G7203" s="6">
        <v>215.8</v>
      </c>
      <c r="H7203" s="5">
        <v>16364</v>
      </c>
    </row>
    <row r="7204" spans="2:8" x14ac:dyDescent="0.4">
      <c r="B7204" s="3" t="s">
        <v>7</v>
      </c>
      <c r="C7204" s="3" t="s">
        <v>1035</v>
      </c>
      <c r="D7204" s="4">
        <f>DATE(2012,7,12)</f>
        <v>41102</v>
      </c>
      <c r="E7204" s="5">
        <f t="shared" si="117"/>
        <v>2012</v>
      </c>
      <c r="F7204" s="3" t="s">
        <v>1037</v>
      </c>
      <c r="G7204" s="6">
        <v>760</v>
      </c>
      <c r="H7204" s="5">
        <v>17354</v>
      </c>
    </row>
    <row r="7205" spans="2:8" x14ac:dyDescent="0.4">
      <c r="B7205" s="3" t="s">
        <v>7</v>
      </c>
      <c r="C7205" s="3" t="s">
        <v>1035</v>
      </c>
      <c r="D7205" s="4">
        <f>DATE(2013,1,16)</f>
        <v>41290</v>
      </c>
      <c r="E7205" s="5">
        <f t="shared" si="117"/>
        <v>2013</v>
      </c>
      <c r="F7205" s="3" t="s">
        <v>1037</v>
      </c>
      <c r="G7205" s="6">
        <v>1520</v>
      </c>
      <c r="H7205" s="5">
        <v>17949</v>
      </c>
    </row>
    <row r="7206" spans="2:8" x14ac:dyDescent="0.4">
      <c r="B7206" s="3" t="s">
        <v>7</v>
      </c>
      <c r="C7206" s="3" t="s">
        <v>1035</v>
      </c>
      <c r="D7206" s="4">
        <f>DATE(2013,1,23)</f>
        <v>41297</v>
      </c>
      <c r="E7206" s="5">
        <f t="shared" si="117"/>
        <v>2013</v>
      </c>
      <c r="F7206" s="3" t="s">
        <v>1037</v>
      </c>
      <c r="G7206" s="6">
        <v>17800</v>
      </c>
      <c r="H7206" s="5">
        <v>17991</v>
      </c>
    </row>
    <row r="7207" spans="2:8" x14ac:dyDescent="0.4">
      <c r="B7207" s="3" t="s">
        <v>7</v>
      </c>
      <c r="C7207" s="3" t="s">
        <v>1035</v>
      </c>
      <c r="D7207" s="4">
        <f>DATE(2014,1,13)</f>
        <v>41652</v>
      </c>
      <c r="E7207" s="5">
        <f t="shared" si="117"/>
        <v>2014</v>
      </c>
      <c r="F7207" s="3" t="s">
        <v>1037</v>
      </c>
      <c r="G7207" s="6">
        <v>1520</v>
      </c>
      <c r="H7207" s="5">
        <v>19365</v>
      </c>
    </row>
    <row r="7208" spans="2:8" x14ac:dyDescent="0.4">
      <c r="B7208" s="3" t="s">
        <v>7</v>
      </c>
      <c r="C7208" s="3" t="s">
        <v>1035</v>
      </c>
      <c r="D7208" s="4">
        <f>DATE(2014,2,11)</f>
        <v>41681</v>
      </c>
      <c r="E7208" s="5">
        <f t="shared" si="117"/>
        <v>2014</v>
      </c>
      <c r="F7208" s="3" t="s">
        <v>1037</v>
      </c>
      <c r="G7208" s="6">
        <v>210</v>
      </c>
      <c r="H7208" s="5">
        <v>19500</v>
      </c>
    </row>
    <row r="7209" spans="2:8" x14ac:dyDescent="0.4">
      <c r="B7209" s="3" t="s">
        <v>7</v>
      </c>
      <c r="C7209" s="3" t="s">
        <v>1035</v>
      </c>
      <c r="D7209" s="4">
        <f>DATE(2014,2,18)</f>
        <v>41688</v>
      </c>
      <c r="E7209" s="5">
        <f t="shared" si="117"/>
        <v>2014</v>
      </c>
      <c r="F7209" s="3" t="s">
        <v>1037</v>
      </c>
      <c r="G7209" s="6">
        <v>605.4</v>
      </c>
      <c r="H7209" s="5">
        <v>19494</v>
      </c>
    </row>
    <row r="7210" spans="2:8" x14ac:dyDescent="0.4">
      <c r="B7210" s="3" t="s">
        <v>7</v>
      </c>
      <c r="C7210" s="3" t="s">
        <v>1035</v>
      </c>
      <c r="D7210" s="4">
        <f>DATE(2014,10,22)</f>
        <v>41934</v>
      </c>
      <c r="E7210" s="5">
        <f t="shared" si="117"/>
        <v>2014</v>
      </c>
      <c r="F7210" s="3" t="s">
        <v>1037</v>
      </c>
      <c r="G7210" s="6">
        <v>440</v>
      </c>
      <c r="H7210" s="5">
        <v>20547</v>
      </c>
    </row>
    <row r="7211" spans="2:8" x14ac:dyDescent="0.4">
      <c r="B7211" t="s">
        <v>7</v>
      </c>
      <c r="C7211" t="s">
        <v>1033</v>
      </c>
      <c r="D7211" s="7">
        <f>DATE(2016,4,22)</f>
        <v>42482</v>
      </c>
      <c r="E7211" s="8">
        <f t="shared" si="117"/>
        <v>2016</v>
      </c>
      <c r="F7211" t="s">
        <v>1038</v>
      </c>
      <c r="G7211" s="9">
        <v>16859</v>
      </c>
      <c r="H7211" s="8">
        <v>22565</v>
      </c>
    </row>
    <row r="7212" spans="2:8" x14ac:dyDescent="0.4">
      <c r="B7212" t="s">
        <v>7</v>
      </c>
      <c r="C7212" t="s">
        <v>1033</v>
      </c>
      <c r="D7212" s="7">
        <f>DATE(2018,4,26)</f>
        <v>43216</v>
      </c>
      <c r="E7212" s="8">
        <f t="shared" si="117"/>
        <v>2018</v>
      </c>
      <c r="F7212" t="s">
        <v>1038</v>
      </c>
      <c r="G7212" s="9">
        <v>14831.7</v>
      </c>
      <c r="H7212" s="8">
        <v>26102</v>
      </c>
    </row>
    <row r="7213" spans="2:8" x14ac:dyDescent="0.4">
      <c r="B7213" t="s">
        <v>7</v>
      </c>
      <c r="C7213" t="s">
        <v>1033</v>
      </c>
      <c r="D7213" s="7">
        <f>DATE(2018,4,26)</f>
        <v>43216</v>
      </c>
      <c r="E7213" s="8">
        <f t="shared" si="117"/>
        <v>2018</v>
      </c>
      <c r="F7213" t="s">
        <v>1038</v>
      </c>
      <c r="G7213" s="9">
        <v>12838.7</v>
      </c>
      <c r="H7213" s="8">
        <v>26098</v>
      </c>
    </row>
    <row r="7214" spans="2:8" x14ac:dyDescent="0.4">
      <c r="B7214" t="s">
        <v>7</v>
      </c>
      <c r="C7214" t="s">
        <v>1033</v>
      </c>
      <c r="D7214" s="7">
        <f>DATE(2019,3,25)</f>
        <v>43549</v>
      </c>
      <c r="E7214" s="8">
        <f t="shared" si="117"/>
        <v>2019</v>
      </c>
      <c r="F7214" t="s">
        <v>1038</v>
      </c>
      <c r="G7214" s="9">
        <v>14647</v>
      </c>
      <c r="H7214" s="8">
        <v>28091</v>
      </c>
    </row>
    <row r="7215" spans="2:8" x14ac:dyDescent="0.4">
      <c r="B7215" t="s">
        <v>7</v>
      </c>
      <c r="C7215" t="s">
        <v>1033</v>
      </c>
      <c r="D7215" s="7">
        <f>DATE(2019,3,25)</f>
        <v>43549</v>
      </c>
      <c r="E7215" s="8">
        <f t="shared" si="117"/>
        <v>2019</v>
      </c>
      <c r="F7215" t="s">
        <v>1038</v>
      </c>
      <c r="G7215" s="9">
        <v>11718</v>
      </c>
      <c r="H7215" s="8">
        <v>28090</v>
      </c>
    </row>
    <row r="7216" spans="2:8" x14ac:dyDescent="0.4">
      <c r="B7216" t="s">
        <v>7</v>
      </c>
      <c r="C7216" t="s">
        <v>1033</v>
      </c>
      <c r="D7216" s="7">
        <f>DATE(2017,5,18)</f>
        <v>42873</v>
      </c>
      <c r="E7216" s="8">
        <f t="shared" si="117"/>
        <v>2017</v>
      </c>
      <c r="F7216" t="s">
        <v>1038</v>
      </c>
      <c r="G7216" s="9">
        <v>3912</v>
      </c>
      <c r="H7216" s="8">
        <v>24898</v>
      </c>
    </row>
    <row r="7217" spans="2:8" x14ac:dyDescent="0.4">
      <c r="B7217" t="s">
        <v>7</v>
      </c>
      <c r="C7217" t="s">
        <v>1033</v>
      </c>
      <c r="D7217" s="7">
        <f>DATE(2017,9,7)</f>
        <v>42985</v>
      </c>
      <c r="E7217" s="8">
        <f t="shared" si="117"/>
        <v>2017</v>
      </c>
      <c r="F7217" t="s">
        <v>1038</v>
      </c>
      <c r="G7217" s="9">
        <v>5451.68</v>
      </c>
      <c r="H7217" s="8">
        <v>25455</v>
      </c>
    </row>
    <row r="7218" spans="2:8" x14ac:dyDescent="0.4">
      <c r="B7218" t="s">
        <v>7</v>
      </c>
      <c r="C7218" t="s">
        <v>1033</v>
      </c>
      <c r="D7218" s="7">
        <f>DATE(2018,8,13)</f>
        <v>43325</v>
      </c>
      <c r="E7218" s="8">
        <f t="shared" si="117"/>
        <v>2018</v>
      </c>
      <c r="F7218" t="s">
        <v>1038</v>
      </c>
      <c r="G7218" s="9">
        <v>6610.5</v>
      </c>
      <c r="H7218" s="8">
        <v>27158</v>
      </c>
    </row>
    <row r="7219" spans="2:8" x14ac:dyDescent="0.4">
      <c r="B7219" t="s">
        <v>7</v>
      </c>
      <c r="C7219" t="s">
        <v>1033</v>
      </c>
      <c r="D7219" s="7">
        <f>DATE(2008,6,18)</f>
        <v>39617</v>
      </c>
      <c r="E7219" s="8">
        <f t="shared" si="117"/>
        <v>2008</v>
      </c>
      <c r="F7219" t="s">
        <v>1038</v>
      </c>
      <c r="G7219" s="9">
        <v>6230.77</v>
      </c>
      <c r="H7219" s="8">
        <v>7536</v>
      </c>
    </row>
    <row r="7220" spans="2:8" x14ac:dyDescent="0.4">
      <c r="B7220" t="s">
        <v>7</v>
      </c>
      <c r="C7220" t="s">
        <v>1033</v>
      </c>
      <c r="D7220" s="7">
        <f>DATE(2014,1,30)</f>
        <v>41669</v>
      </c>
      <c r="E7220" s="8">
        <f t="shared" si="117"/>
        <v>2014</v>
      </c>
      <c r="F7220" t="s">
        <v>1038</v>
      </c>
      <c r="G7220" s="9">
        <v>7133.48</v>
      </c>
      <c r="H7220" s="8">
        <v>12892</v>
      </c>
    </row>
    <row r="7221" spans="2:8" x14ac:dyDescent="0.4">
      <c r="B7221" t="s">
        <v>7</v>
      </c>
      <c r="C7221" t="s">
        <v>1033</v>
      </c>
      <c r="D7221" s="7">
        <f>DATE(2014,3,13)</f>
        <v>41711</v>
      </c>
      <c r="E7221" s="8">
        <f t="shared" si="117"/>
        <v>2014</v>
      </c>
      <c r="F7221" t="s">
        <v>1038</v>
      </c>
      <c r="G7221" s="9">
        <v>5651.65</v>
      </c>
      <c r="H7221" s="8">
        <v>13046</v>
      </c>
    </row>
    <row r="7222" spans="2:8" x14ac:dyDescent="0.4">
      <c r="B7222" t="s">
        <v>7</v>
      </c>
      <c r="C7222" t="s">
        <v>1039</v>
      </c>
      <c r="D7222" s="7">
        <f>DATE(2017,5,22)</f>
        <v>42877</v>
      </c>
      <c r="E7222" s="8">
        <f t="shared" si="117"/>
        <v>2017</v>
      </c>
      <c r="F7222" t="s">
        <v>1040</v>
      </c>
      <c r="G7222" s="9">
        <v>19990</v>
      </c>
      <c r="H7222" s="8">
        <v>24938</v>
      </c>
    </row>
    <row r="7223" spans="2:8" x14ac:dyDescent="0.4">
      <c r="B7223" t="s">
        <v>7</v>
      </c>
      <c r="C7223" t="s">
        <v>1039</v>
      </c>
      <c r="D7223" s="7">
        <f>DATE(2016,6,1)</f>
        <v>42522</v>
      </c>
      <c r="E7223" s="8">
        <f t="shared" si="117"/>
        <v>2016</v>
      </c>
      <c r="F7223" t="s">
        <v>1040</v>
      </c>
      <c r="G7223" s="9">
        <v>478.47</v>
      </c>
      <c r="H7223" s="8">
        <v>22939</v>
      </c>
    </row>
    <row r="7224" spans="2:8" x14ac:dyDescent="0.4">
      <c r="B7224" t="s">
        <v>7</v>
      </c>
      <c r="C7224" t="s">
        <v>1039</v>
      </c>
      <c r="D7224" s="7">
        <f>DATE(2017,5,18)</f>
        <v>42873</v>
      </c>
      <c r="E7224" s="8">
        <f t="shared" si="117"/>
        <v>2017</v>
      </c>
      <c r="F7224" t="s">
        <v>1040</v>
      </c>
      <c r="G7224" s="9">
        <v>187.09</v>
      </c>
      <c r="H7224" s="8">
        <v>24955</v>
      </c>
    </row>
    <row r="7225" spans="2:8" x14ac:dyDescent="0.4">
      <c r="B7225" t="s">
        <v>7</v>
      </c>
      <c r="C7225" t="s">
        <v>1039</v>
      </c>
      <c r="D7225" s="7">
        <f>DATE(2017,6,7)</f>
        <v>42893</v>
      </c>
      <c r="E7225" s="8">
        <f t="shared" si="117"/>
        <v>2017</v>
      </c>
      <c r="F7225" t="s">
        <v>1040</v>
      </c>
      <c r="G7225" s="9">
        <v>135.80000000000001</v>
      </c>
      <c r="H7225" s="8">
        <v>25069</v>
      </c>
    </row>
    <row r="7226" spans="2:8" x14ac:dyDescent="0.4">
      <c r="B7226" s="3" t="s">
        <v>7</v>
      </c>
      <c r="C7226" s="3" t="s">
        <v>1039</v>
      </c>
      <c r="D7226" s="4">
        <f>DATE(2012,10,10)</f>
        <v>41192</v>
      </c>
      <c r="E7226" s="5">
        <f t="shared" si="117"/>
        <v>2012</v>
      </c>
      <c r="F7226" s="3" t="s">
        <v>1040</v>
      </c>
      <c r="G7226" s="6">
        <v>905.1</v>
      </c>
      <c r="H7226" s="5">
        <v>17619</v>
      </c>
    </row>
    <row r="7227" spans="2:8" x14ac:dyDescent="0.4">
      <c r="B7227" t="s">
        <v>7</v>
      </c>
      <c r="C7227" t="s">
        <v>1041</v>
      </c>
      <c r="D7227" s="7">
        <f>DATE(2008,5,16)</f>
        <v>39584</v>
      </c>
      <c r="E7227" s="8">
        <f t="shared" si="117"/>
        <v>2008</v>
      </c>
      <c r="F7227" t="s">
        <v>1042</v>
      </c>
      <c r="G7227" s="9">
        <v>6573.99</v>
      </c>
      <c r="H7227" s="8">
        <v>7437</v>
      </c>
    </row>
    <row r="7228" spans="2:8" x14ac:dyDescent="0.4">
      <c r="B7228" t="s">
        <v>7</v>
      </c>
      <c r="C7228" t="s">
        <v>1041</v>
      </c>
      <c r="D7228" s="7">
        <f>DATE(2009,3,24)</f>
        <v>39896</v>
      </c>
      <c r="E7228" s="8">
        <f t="shared" si="117"/>
        <v>2009</v>
      </c>
      <c r="F7228" t="s">
        <v>1042</v>
      </c>
      <c r="G7228" s="9">
        <v>6118.33</v>
      </c>
      <c r="H7228" s="8">
        <v>8467</v>
      </c>
    </row>
    <row r="7229" spans="2:8" x14ac:dyDescent="0.4">
      <c r="B7229" t="s">
        <v>7</v>
      </c>
      <c r="C7229" t="s">
        <v>1041</v>
      </c>
      <c r="D7229" s="7">
        <f>DATE(2010,4,29)</f>
        <v>40297</v>
      </c>
      <c r="E7229" s="8">
        <f t="shared" si="117"/>
        <v>2010</v>
      </c>
      <c r="F7229" t="s">
        <v>1042</v>
      </c>
      <c r="G7229" s="9">
        <v>5340.41</v>
      </c>
      <c r="H7229" s="8">
        <v>9716</v>
      </c>
    </row>
    <row r="7230" spans="2:8" x14ac:dyDescent="0.4">
      <c r="B7230" t="s">
        <v>7</v>
      </c>
      <c r="C7230" t="s">
        <v>1041</v>
      </c>
      <c r="D7230" s="7">
        <f>DATE(2011,9,23)</f>
        <v>40809</v>
      </c>
      <c r="E7230" s="8">
        <f t="shared" si="117"/>
        <v>2011</v>
      </c>
      <c r="F7230" t="s">
        <v>1042</v>
      </c>
      <c r="G7230" s="9">
        <v>6343.94</v>
      </c>
      <c r="H7230" s="8">
        <v>10993</v>
      </c>
    </row>
    <row r="7231" spans="2:8" x14ac:dyDescent="0.4">
      <c r="B7231" t="s">
        <v>7</v>
      </c>
      <c r="C7231" t="s">
        <v>1041</v>
      </c>
      <c r="D7231" s="7">
        <f>DATE(2013,10,11)</f>
        <v>41558</v>
      </c>
      <c r="E7231" s="8">
        <f t="shared" si="117"/>
        <v>2013</v>
      </c>
      <c r="F7231" t="s">
        <v>1042</v>
      </c>
      <c r="G7231" s="9">
        <v>3973.76</v>
      </c>
      <c r="H7231" s="8">
        <v>12697</v>
      </c>
    </row>
    <row r="7232" spans="2:8" x14ac:dyDescent="0.4">
      <c r="B7232" t="s">
        <v>7</v>
      </c>
      <c r="C7232" t="s">
        <v>1041</v>
      </c>
      <c r="D7232" s="7">
        <f>DATE(2011,7,6)</f>
        <v>40730</v>
      </c>
      <c r="E7232" s="8">
        <f t="shared" si="117"/>
        <v>2011</v>
      </c>
      <c r="F7232" t="s">
        <v>1042</v>
      </c>
      <c r="G7232" s="9">
        <v>142634.28</v>
      </c>
      <c r="H7232" s="8">
        <v>10750</v>
      </c>
    </row>
    <row r="7233" spans="2:8" x14ac:dyDescent="0.4">
      <c r="B7233" t="s">
        <v>16</v>
      </c>
      <c r="C7233" t="s">
        <v>1041</v>
      </c>
      <c r="D7233" s="7">
        <f>DATE(2011,9,14)</f>
        <v>40800</v>
      </c>
      <c r="E7233" s="8">
        <f t="shared" si="117"/>
        <v>2011</v>
      </c>
      <c r="F7233" t="s">
        <v>1042</v>
      </c>
      <c r="G7233" s="9">
        <v>15000</v>
      </c>
      <c r="H7233" s="8">
        <v>11028</v>
      </c>
    </row>
    <row r="7234" spans="2:8" x14ac:dyDescent="0.4">
      <c r="B7234" s="3" t="s">
        <v>7</v>
      </c>
      <c r="C7234" s="3" t="s">
        <v>1041</v>
      </c>
      <c r="D7234" s="4">
        <f>DATE(2010,11,11)</f>
        <v>40493</v>
      </c>
      <c r="E7234" s="5">
        <f t="shared" si="117"/>
        <v>2010</v>
      </c>
      <c r="F7234" s="3" t="s">
        <v>1042</v>
      </c>
      <c r="G7234" s="6">
        <v>121744.12</v>
      </c>
      <c r="H7234" s="5">
        <v>4179</v>
      </c>
    </row>
    <row r="7235" spans="2:8" x14ac:dyDescent="0.4">
      <c r="B7235" s="3" t="s">
        <v>16</v>
      </c>
      <c r="C7235" s="3" t="s">
        <v>1041</v>
      </c>
      <c r="D7235" s="4">
        <f>DATE(2011,6,1)</f>
        <v>40695</v>
      </c>
      <c r="E7235" s="5">
        <f t="shared" ref="E7235:E7298" si="118">YEAR(D7235)</f>
        <v>2011</v>
      </c>
      <c r="F7235" s="3" t="s">
        <v>1042</v>
      </c>
      <c r="G7235" s="6">
        <v>2500</v>
      </c>
      <c r="H7235" s="5">
        <v>4534</v>
      </c>
    </row>
    <row r="7236" spans="2:8" x14ac:dyDescent="0.4">
      <c r="B7236" t="s">
        <v>7</v>
      </c>
      <c r="C7236" t="s">
        <v>1043</v>
      </c>
      <c r="D7236" s="7">
        <f>DATE(2018,10,4)</f>
        <v>43377</v>
      </c>
      <c r="E7236" s="8">
        <f t="shared" si="118"/>
        <v>2018</v>
      </c>
      <c r="F7236" t="s">
        <v>1044</v>
      </c>
      <c r="G7236" s="9">
        <v>7633.61</v>
      </c>
      <c r="H7236" s="8">
        <v>27705</v>
      </c>
    </row>
    <row r="7237" spans="2:8" x14ac:dyDescent="0.4">
      <c r="B7237" t="s">
        <v>7</v>
      </c>
      <c r="C7237" t="s">
        <v>1043</v>
      </c>
      <c r="D7237" s="7">
        <f>DATE(2018,7,9)</f>
        <v>43290</v>
      </c>
      <c r="E7237" s="8">
        <f t="shared" si="118"/>
        <v>2018</v>
      </c>
      <c r="F7237" t="s">
        <v>1045</v>
      </c>
      <c r="G7237" s="9">
        <v>3416</v>
      </c>
      <c r="H7237" s="8">
        <v>27171</v>
      </c>
    </row>
    <row r="7238" spans="2:8" x14ac:dyDescent="0.4">
      <c r="B7238" t="s">
        <v>7</v>
      </c>
      <c r="C7238" t="s">
        <v>1046</v>
      </c>
      <c r="D7238" s="7">
        <f>DATE(2003,5,8)</f>
        <v>37749</v>
      </c>
      <c r="E7238" s="8">
        <f t="shared" si="118"/>
        <v>2003</v>
      </c>
      <c r="F7238" t="s">
        <v>1047</v>
      </c>
      <c r="G7238" s="9">
        <v>40935</v>
      </c>
      <c r="H7238" s="8">
        <v>55</v>
      </c>
    </row>
    <row r="7239" spans="2:8" x14ac:dyDescent="0.4">
      <c r="B7239" t="s">
        <v>7</v>
      </c>
      <c r="C7239" t="s">
        <v>1046</v>
      </c>
      <c r="D7239" s="7">
        <f>DATE(2006,5,25)</f>
        <v>38862</v>
      </c>
      <c r="E7239" s="8">
        <f t="shared" si="118"/>
        <v>2006</v>
      </c>
      <c r="F7239" t="s">
        <v>1047</v>
      </c>
      <c r="G7239" s="9">
        <v>29274.69</v>
      </c>
      <c r="H7239" s="8">
        <v>4635</v>
      </c>
    </row>
    <row r="7240" spans="2:8" x14ac:dyDescent="0.4">
      <c r="B7240" t="s">
        <v>7</v>
      </c>
      <c r="C7240" t="s">
        <v>1046</v>
      </c>
      <c r="D7240" s="7">
        <f>DATE(2006,5,22)</f>
        <v>38859</v>
      </c>
      <c r="E7240" s="8">
        <f t="shared" si="118"/>
        <v>2006</v>
      </c>
      <c r="F7240" t="s">
        <v>1047</v>
      </c>
      <c r="G7240" s="9">
        <v>40095.050000000003</v>
      </c>
      <c r="H7240" s="8">
        <v>4461</v>
      </c>
    </row>
    <row r="7241" spans="2:8" x14ac:dyDescent="0.4">
      <c r="B7241" t="s">
        <v>7</v>
      </c>
      <c r="C7241" t="s">
        <v>1046</v>
      </c>
      <c r="D7241" s="7">
        <f>DATE(2006,10,9)</f>
        <v>38999</v>
      </c>
      <c r="E7241" s="8">
        <f t="shared" si="118"/>
        <v>2006</v>
      </c>
      <c r="F7241" t="s">
        <v>1047</v>
      </c>
      <c r="G7241" s="9">
        <v>41370.5</v>
      </c>
      <c r="H7241" s="8">
        <v>5056</v>
      </c>
    </row>
    <row r="7242" spans="2:8" x14ac:dyDescent="0.4">
      <c r="B7242" t="s">
        <v>7</v>
      </c>
      <c r="C7242" t="s">
        <v>1046</v>
      </c>
      <c r="D7242" s="7">
        <f>DATE(2007,1,8)</f>
        <v>39090</v>
      </c>
      <c r="E7242" s="8">
        <f t="shared" si="118"/>
        <v>2007</v>
      </c>
      <c r="F7242" t="s">
        <v>1047</v>
      </c>
      <c r="G7242" s="9">
        <v>51897.53</v>
      </c>
      <c r="H7242" s="8">
        <v>5319</v>
      </c>
    </row>
    <row r="7243" spans="2:8" x14ac:dyDescent="0.4">
      <c r="B7243" t="s">
        <v>7</v>
      </c>
      <c r="C7243" t="s">
        <v>1046</v>
      </c>
      <c r="D7243" s="7">
        <f>DATE(2012,3,21)</f>
        <v>40989</v>
      </c>
      <c r="E7243" s="8">
        <f t="shared" si="118"/>
        <v>2012</v>
      </c>
      <c r="F7243" t="s">
        <v>1047</v>
      </c>
      <c r="G7243" s="9">
        <v>39949.97</v>
      </c>
      <c r="H7243" s="8">
        <v>11359</v>
      </c>
    </row>
    <row r="7244" spans="2:8" x14ac:dyDescent="0.4">
      <c r="B7244" t="s">
        <v>7</v>
      </c>
      <c r="C7244" t="s">
        <v>1046</v>
      </c>
      <c r="D7244" s="7">
        <f>DATE(2012,5,14)</f>
        <v>41043</v>
      </c>
      <c r="E7244" s="8">
        <f t="shared" si="118"/>
        <v>2012</v>
      </c>
      <c r="F7244" t="s">
        <v>1047</v>
      </c>
      <c r="G7244" s="9">
        <v>10913.44</v>
      </c>
      <c r="H7244" s="8">
        <v>11487</v>
      </c>
    </row>
    <row r="7245" spans="2:8" x14ac:dyDescent="0.4">
      <c r="B7245" t="s">
        <v>16</v>
      </c>
      <c r="C7245" t="s">
        <v>1046</v>
      </c>
      <c r="D7245" s="7">
        <f>DATE(2006,5,22)</f>
        <v>38859</v>
      </c>
      <c r="E7245" s="8">
        <f t="shared" si="118"/>
        <v>2006</v>
      </c>
      <c r="F7245" t="s">
        <v>1047</v>
      </c>
      <c r="G7245" s="9">
        <v>3760.05</v>
      </c>
      <c r="H7245" s="8">
        <v>4837</v>
      </c>
    </row>
    <row r="7246" spans="2:8" x14ac:dyDescent="0.4">
      <c r="B7246" s="3" t="s">
        <v>7</v>
      </c>
      <c r="C7246" s="3" t="s">
        <v>1046</v>
      </c>
      <c r="D7246" s="4">
        <f>DATE(2003,5,2)</f>
        <v>37743</v>
      </c>
      <c r="E7246" s="5">
        <f t="shared" si="118"/>
        <v>2003</v>
      </c>
      <c r="F7246" s="3" t="s">
        <v>1047</v>
      </c>
      <c r="G7246" s="6">
        <v>5840.64</v>
      </c>
      <c r="H7246" s="5">
        <v>884</v>
      </c>
    </row>
    <row r="7247" spans="2:8" x14ac:dyDescent="0.4">
      <c r="B7247" s="3" t="s">
        <v>7</v>
      </c>
      <c r="C7247" s="3" t="s">
        <v>1048</v>
      </c>
      <c r="D7247" s="4">
        <f>DATE(2010,1,29)</f>
        <v>40207</v>
      </c>
      <c r="E7247" s="5">
        <f t="shared" si="118"/>
        <v>2010</v>
      </c>
      <c r="F7247" s="3" t="s">
        <v>1049</v>
      </c>
      <c r="G7247" s="6">
        <v>616.97</v>
      </c>
      <c r="H7247" s="5">
        <v>13518</v>
      </c>
    </row>
    <row r="7248" spans="2:8" x14ac:dyDescent="0.4">
      <c r="B7248" s="3" t="s">
        <v>7</v>
      </c>
      <c r="C7248" s="3" t="s">
        <v>1048</v>
      </c>
      <c r="D7248" s="4">
        <f>DATE(2010,7,8)</f>
        <v>40367</v>
      </c>
      <c r="E7248" s="5">
        <f t="shared" si="118"/>
        <v>2010</v>
      </c>
      <c r="F7248" s="3" t="s">
        <v>1049</v>
      </c>
      <c r="G7248" s="6">
        <v>6864.74</v>
      </c>
      <c r="H7248" s="5">
        <v>14263</v>
      </c>
    </row>
    <row r="7249" spans="2:8" x14ac:dyDescent="0.4">
      <c r="B7249" s="3" t="s">
        <v>7</v>
      </c>
      <c r="C7249" s="3" t="s">
        <v>1048</v>
      </c>
      <c r="D7249" s="4">
        <f>DATE(2010,7,9)</f>
        <v>40368</v>
      </c>
      <c r="E7249" s="5">
        <f t="shared" si="118"/>
        <v>2010</v>
      </c>
      <c r="F7249" s="3" t="s">
        <v>1049</v>
      </c>
      <c r="G7249" s="6">
        <v>2311.7399999999998</v>
      </c>
      <c r="H7249" s="5">
        <v>14270</v>
      </c>
    </row>
    <row r="7250" spans="2:8" x14ac:dyDescent="0.4">
      <c r="B7250" s="3" t="s">
        <v>7</v>
      </c>
      <c r="C7250" s="3" t="s">
        <v>1048</v>
      </c>
      <c r="D7250" s="4">
        <f>DATE(2011,1,12)</f>
        <v>40555</v>
      </c>
      <c r="E7250" s="5">
        <f t="shared" si="118"/>
        <v>2011</v>
      </c>
      <c r="F7250" s="3" t="s">
        <v>1049</v>
      </c>
      <c r="G7250" s="6">
        <v>4650.13</v>
      </c>
      <c r="H7250" s="5">
        <v>14894</v>
      </c>
    </row>
    <row r="7251" spans="2:8" x14ac:dyDescent="0.4">
      <c r="B7251" t="s">
        <v>7</v>
      </c>
      <c r="C7251" t="s">
        <v>1050</v>
      </c>
      <c r="D7251" s="7">
        <f>DATE(2018,10,25)</f>
        <v>43398</v>
      </c>
      <c r="E7251" s="8">
        <f t="shared" si="118"/>
        <v>2018</v>
      </c>
      <c r="F7251" t="s">
        <v>1051</v>
      </c>
      <c r="G7251" s="9">
        <v>38791.64</v>
      </c>
      <c r="H7251" s="8">
        <v>27672</v>
      </c>
    </row>
    <row r="7252" spans="2:8" x14ac:dyDescent="0.4">
      <c r="B7252" t="s">
        <v>7</v>
      </c>
      <c r="C7252" t="s">
        <v>1050</v>
      </c>
      <c r="D7252" s="7">
        <f>DATE(2018,10,31)</f>
        <v>43404</v>
      </c>
      <c r="E7252" s="8">
        <f t="shared" si="118"/>
        <v>2018</v>
      </c>
      <c r="F7252" t="s">
        <v>1051</v>
      </c>
      <c r="G7252" s="9">
        <v>3760</v>
      </c>
      <c r="H7252" s="8">
        <v>27885</v>
      </c>
    </row>
    <row r="7253" spans="2:8" x14ac:dyDescent="0.4">
      <c r="B7253" t="s">
        <v>16</v>
      </c>
      <c r="C7253" t="s">
        <v>1050</v>
      </c>
      <c r="D7253" s="7">
        <f>DATE(2018,11,19)</f>
        <v>43423</v>
      </c>
      <c r="E7253" s="8">
        <f t="shared" si="118"/>
        <v>2018</v>
      </c>
      <c r="F7253" t="s">
        <v>1051</v>
      </c>
      <c r="G7253" s="9">
        <v>5765.3</v>
      </c>
      <c r="H7253" s="8">
        <v>28019</v>
      </c>
    </row>
    <row r="7254" spans="2:8" x14ac:dyDescent="0.4">
      <c r="B7254" t="s">
        <v>16</v>
      </c>
      <c r="C7254" t="s">
        <v>1050</v>
      </c>
      <c r="D7254" s="7">
        <f>DATE(2018,11,19)</f>
        <v>43423</v>
      </c>
      <c r="E7254" s="8">
        <f t="shared" si="118"/>
        <v>2018</v>
      </c>
      <c r="F7254" t="s">
        <v>1051</v>
      </c>
      <c r="G7254" s="9">
        <v>564</v>
      </c>
      <c r="H7254" s="8">
        <v>28020</v>
      </c>
    </row>
    <row r="7255" spans="2:8" x14ac:dyDescent="0.4">
      <c r="B7255" t="s">
        <v>7</v>
      </c>
      <c r="C7255" t="s">
        <v>1052</v>
      </c>
      <c r="D7255" s="7">
        <f>DATE(2017,6,30)</f>
        <v>42916</v>
      </c>
      <c r="E7255" s="8">
        <f t="shared" si="118"/>
        <v>2017</v>
      </c>
      <c r="F7255" t="s">
        <v>1053</v>
      </c>
      <c r="G7255" s="9">
        <v>16878.400000000001</v>
      </c>
      <c r="H7255" s="8">
        <v>25122</v>
      </c>
    </row>
    <row r="7256" spans="2:8" x14ac:dyDescent="0.4">
      <c r="B7256" t="s">
        <v>7</v>
      </c>
      <c r="C7256" t="s">
        <v>1054</v>
      </c>
      <c r="D7256" s="7">
        <f>DATE(2015,4,10)</f>
        <v>42104</v>
      </c>
      <c r="E7256" s="8">
        <f t="shared" si="118"/>
        <v>2015</v>
      </c>
      <c r="F7256" t="s">
        <v>1055</v>
      </c>
      <c r="G7256" s="9">
        <v>91691.88</v>
      </c>
      <c r="H7256" s="8">
        <v>275</v>
      </c>
    </row>
    <row r="7257" spans="2:8" x14ac:dyDescent="0.4">
      <c r="B7257" t="s">
        <v>7</v>
      </c>
      <c r="C7257" t="s">
        <v>1054</v>
      </c>
      <c r="D7257" s="7">
        <f>DATE(2015,4,10)</f>
        <v>42104</v>
      </c>
      <c r="E7257" s="8">
        <f t="shared" si="118"/>
        <v>2015</v>
      </c>
      <c r="F7257" t="s">
        <v>1055</v>
      </c>
      <c r="G7257" s="9">
        <v>38488.199999999997</v>
      </c>
      <c r="H7257" s="8">
        <v>277</v>
      </c>
    </row>
    <row r="7258" spans="2:8" x14ac:dyDescent="0.4">
      <c r="B7258" t="s">
        <v>7</v>
      </c>
      <c r="C7258" t="s">
        <v>1054</v>
      </c>
      <c r="D7258" s="7">
        <f>DATE(2017,5,22)</f>
        <v>42877</v>
      </c>
      <c r="E7258" s="8">
        <f t="shared" si="118"/>
        <v>2017</v>
      </c>
      <c r="F7258" t="s">
        <v>1055</v>
      </c>
      <c r="G7258" s="9">
        <v>18547.7</v>
      </c>
      <c r="H7258" s="8">
        <v>24344</v>
      </c>
    </row>
    <row r="7259" spans="2:8" x14ac:dyDescent="0.4">
      <c r="B7259" t="s">
        <v>7</v>
      </c>
      <c r="C7259" t="s">
        <v>1054</v>
      </c>
      <c r="D7259" s="7">
        <f>DATE(2005,2,9)</f>
        <v>38392</v>
      </c>
      <c r="E7259" s="8">
        <f t="shared" si="118"/>
        <v>2005</v>
      </c>
      <c r="F7259" t="s">
        <v>1055</v>
      </c>
      <c r="G7259" s="9">
        <v>6352.5</v>
      </c>
      <c r="H7259" s="8">
        <v>2713</v>
      </c>
    </row>
    <row r="7260" spans="2:8" x14ac:dyDescent="0.4">
      <c r="B7260" t="s">
        <v>7</v>
      </c>
      <c r="C7260" t="s">
        <v>1054</v>
      </c>
      <c r="D7260" s="7">
        <f>DATE(2005,5,7)</f>
        <v>38479</v>
      </c>
      <c r="E7260" s="8">
        <f t="shared" si="118"/>
        <v>2005</v>
      </c>
      <c r="F7260" t="s">
        <v>1055</v>
      </c>
      <c r="G7260" s="9">
        <v>11296.8</v>
      </c>
      <c r="H7260" s="8">
        <v>3152</v>
      </c>
    </row>
    <row r="7261" spans="2:8" x14ac:dyDescent="0.4">
      <c r="B7261" t="s">
        <v>7</v>
      </c>
      <c r="C7261" t="s">
        <v>1054</v>
      </c>
      <c r="D7261" s="7">
        <f>DATE(2005,5,17)</f>
        <v>38489</v>
      </c>
      <c r="E7261" s="8">
        <f t="shared" si="118"/>
        <v>2005</v>
      </c>
      <c r="F7261" t="s">
        <v>1055</v>
      </c>
      <c r="G7261" s="9">
        <v>49046.3</v>
      </c>
      <c r="H7261" s="8">
        <v>3046</v>
      </c>
    </row>
    <row r="7262" spans="2:8" x14ac:dyDescent="0.4">
      <c r="B7262" t="s">
        <v>7</v>
      </c>
      <c r="C7262" t="s">
        <v>1056</v>
      </c>
      <c r="D7262" s="7">
        <f>DATE(2003,4,30)</f>
        <v>37741</v>
      </c>
      <c r="E7262" s="8">
        <f t="shared" si="118"/>
        <v>2003</v>
      </c>
      <c r="F7262" t="s">
        <v>1057</v>
      </c>
      <c r="G7262" s="9">
        <v>34785.35</v>
      </c>
      <c r="H7262" s="8">
        <v>366</v>
      </c>
    </row>
    <row r="7263" spans="2:8" x14ac:dyDescent="0.4">
      <c r="B7263" t="s">
        <v>7</v>
      </c>
      <c r="C7263" t="s">
        <v>1056</v>
      </c>
      <c r="D7263" s="7">
        <f>DATE(2003,4,5)</f>
        <v>37716</v>
      </c>
      <c r="E7263" s="8">
        <f t="shared" si="118"/>
        <v>2003</v>
      </c>
      <c r="F7263" t="s">
        <v>1057</v>
      </c>
      <c r="G7263" s="9">
        <v>18245.21</v>
      </c>
      <c r="H7263" s="8">
        <v>450</v>
      </c>
    </row>
    <row r="7264" spans="2:8" x14ac:dyDescent="0.4">
      <c r="B7264" t="s">
        <v>7</v>
      </c>
      <c r="C7264" t="s">
        <v>1056</v>
      </c>
      <c r="D7264" s="7">
        <f>DATE(2003,5,10)</f>
        <v>37751</v>
      </c>
      <c r="E7264" s="8">
        <f t="shared" si="118"/>
        <v>2003</v>
      </c>
      <c r="F7264" t="s">
        <v>1057</v>
      </c>
      <c r="G7264" s="9">
        <v>10529.86</v>
      </c>
      <c r="H7264" s="8">
        <v>587</v>
      </c>
    </row>
    <row r="7265" spans="2:8" x14ac:dyDescent="0.4">
      <c r="B7265" t="s">
        <v>7</v>
      </c>
      <c r="C7265" t="s">
        <v>1056</v>
      </c>
      <c r="D7265" s="7">
        <f>DATE(2003,7,23)</f>
        <v>37825</v>
      </c>
      <c r="E7265" s="8">
        <f t="shared" si="118"/>
        <v>2003</v>
      </c>
      <c r="F7265" t="s">
        <v>1057</v>
      </c>
      <c r="G7265" s="9">
        <v>15467.5</v>
      </c>
      <c r="H7265" s="8">
        <v>740</v>
      </c>
    </row>
    <row r="7266" spans="2:8" x14ac:dyDescent="0.4">
      <c r="B7266" t="s">
        <v>7</v>
      </c>
      <c r="C7266" t="s">
        <v>1056</v>
      </c>
      <c r="D7266" s="7">
        <f>DATE(2004,4,17)</f>
        <v>38094</v>
      </c>
      <c r="E7266" s="8">
        <f t="shared" si="118"/>
        <v>2004</v>
      </c>
      <c r="F7266" t="s">
        <v>1057</v>
      </c>
      <c r="G7266" s="9">
        <v>54000</v>
      </c>
      <c r="H7266" s="8">
        <v>1555</v>
      </c>
    </row>
    <row r="7267" spans="2:8" x14ac:dyDescent="0.4">
      <c r="B7267" t="s">
        <v>7</v>
      </c>
      <c r="C7267" t="s">
        <v>1056</v>
      </c>
      <c r="D7267" s="7">
        <f>DATE(2004,4,21)</f>
        <v>38098</v>
      </c>
      <c r="E7267" s="8">
        <f t="shared" si="118"/>
        <v>2004</v>
      </c>
      <c r="F7267" t="s">
        <v>1057</v>
      </c>
      <c r="G7267" s="9">
        <v>21133</v>
      </c>
      <c r="H7267" s="8">
        <v>1557</v>
      </c>
    </row>
    <row r="7268" spans="2:8" x14ac:dyDescent="0.4">
      <c r="B7268" t="s">
        <v>7</v>
      </c>
      <c r="C7268" t="s">
        <v>1056</v>
      </c>
      <c r="D7268" s="7">
        <f>DATE(2004,10,22)</f>
        <v>38282</v>
      </c>
      <c r="E7268" s="8">
        <f t="shared" si="118"/>
        <v>2004</v>
      </c>
      <c r="F7268" t="s">
        <v>1057</v>
      </c>
      <c r="G7268" s="9">
        <v>17250</v>
      </c>
      <c r="H7268" s="8">
        <v>2184</v>
      </c>
    </row>
    <row r="7269" spans="2:8" x14ac:dyDescent="0.4">
      <c r="B7269" t="s">
        <v>7</v>
      </c>
      <c r="C7269" t="s">
        <v>1056</v>
      </c>
      <c r="D7269" s="7">
        <f>DATE(2004,10,25)</f>
        <v>38285</v>
      </c>
      <c r="E7269" s="8">
        <f t="shared" si="118"/>
        <v>2004</v>
      </c>
      <c r="F7269" t="s">
        <v>1057</v>
      </c>
      <c r="G7269" s="9">
        <v>8203.0499999999993</v>
      </c>
      <c r="H7269" s="8">
        <v>2224</v>
      </c>
    </row>
    <row r="7270" spans="2:8" x14ac:dyDescent="0.4">
      <c r="B7270" t="s">
        <v>7</v>
      </c>
      <c r="C7270" t="s">
        <v>1056</v>
      </c>
      <c r="D7270" s="7">
        <f>DATE(2004,11,5)</f>
        <v>38296</v>
      </c>
      <c r="E7270" s="8">
        <f t="shared" si="118"/>
        <v>2004</v>
      </c>
      <c r="F7270" t="s">
        <v>1057</v>
      </c>
      <c r="G7270" s="9">
        <v>10120.64</v>
      </c>
      <c r="H7270" s="8">
        <v>2340</v>
      </c>
    </row>
    <row r="7271" spans="2:8" x14ac:dyDescent="0.4">
      <c r="B7271" t="s">
        <v>7</v>
      </c>
      <c r="C7271" t="s">
        <v>1056</v>
      </c>
      <c r="D7271" s="7">
        <f>DATE(2004,11,8)</f>
        <v>38299</v>
      </c>
      <c r="E7271" s="8">
        <f t="shared" si="118"/>
        <v>2004</v>
      </c>
      <c r="F7271" t="s">
        <v>1057</v>
      </c>
      <c r="G7271" s="9">
        <v>2500</v>
      </c>
      <c r="H7271" s="8">
        <v>2363</v>
      </c>
    </row>
    <row r="7272" spans="2:8" x14ac:dyDescent="0.4">
      <c r="B7272" t="s">
        <v>7</v>
      </c>
      <c r="C7272" t="s">
        <v>1056</v>
      </c>
      <c r="D7272" s="7">
        <f>DATE(2005,1,8)</f>
        <v>38360</v>
      </c>
      <c r="E7272" s="8">
        <f t="shared" si="118"/>
        <v>2005</v>
      </c>
      <c r="F7272" t="s">
        <v>1057</v>
      </c>
      <c r="G7272" s="9">
        <v>5877.04</v>
      </c>
      <c r="H7272" s="8">
        <v>2542</v>
      </c>
    </row>
    <row r="7273" spans="2:8" x14ac:dyDescent="0.4">
      <c r="B7273" t="s">
        <v>7</v>
      </c>
      <c r="C7273" t="s">
        <v>1056</v>
      </c>
      <c r="D7273" s="7">
        <f>DATE(2005,6,10)</f>
        <v>38513</v>
      </c>
      <c r="E7273" s="8">
        <f t="shared" si="118"/>
        <v>2005</v>
      </c>
      <c r="F7273" t="s">
        <v>1057</v>
      </c>
      <c r="G7273" s="9">
        <v>4944.3999999999996</v>
      </c>
      <c r="H7273" s="8">
        <v>3271</v>
      </c>
    </row>
    <row r="7274" spans="2:8" x14ac:dyDescent="0.4">
      <c r="B7274" t="s">
        <v>7</v>
      </c>
      <c r="C7274" t="s">
        <v>1056</v>
      </c>
      <c r="D7274" s="7">
        <f>DATE(2005,7,21)</f>
        <v>38554</v>
      </c>
      <c r="E7274" s="8">
        <f t="shared" si="118"/>
        <v>2005</v>
      </c>
      <c r="F7274" t="s">
        <v>1057</v>
      </c>
      <c r="G7274" s="9">
        <v>8121.35</v>
      </c>
      <c r="H7274" s="8">
        <v>3391</v>
      </c>
    </row>
    <row r="7275" spans="2:8" x14ac:dyDescent="0.4">
      <c r="B7275" t="s">
        <v>7</v>
      </c>
      <c r="C7275" t="s">
        <v>1056</v>
      </c>
      <c r="D7275" s="7">
        <f>DATE(2005,8,25)</f>
        <v>38589</v>
      </c>
      <c r="E7275" s="8">
        <f t="shared" si="118"/>
        <v>2005</v>
      </c>
      <c r="F7275" t="s">
        <v>1057</v>
      </c>
      <c r="G7275" s="9">
        <v>56328.67</v>
      </c>
      <c r="H7275" s="8">
        <v>3501</v>
      </c>
    </row>
    <row r="7276" spans="2:8" x14ac:dyDescent="0.4">
      <c r="B7276" t="s">
        <v>7</v>
      </c>
      <c r="C7276" t="s">
        <v>1056</v>
      </c>
      <c r="D7276" s="7">
        <f>DATE(2005,10,22)</f>
        <v>38647</v>
      </c>
      <c r="E7276" s="8">
        <f t="shared" si="118"/>
        <v>2005</v>
      </c>
      <c r="F7276" t="s">
        <v>1057</v>
      </c>
      <c r="G7276" s="9">
        <v>18205.84</v>
      </c>
      <c r="H7276" s="8">
        <v>3699</v>
      </c>
    </row>
    <row r="7277" spans="2:8" x14ac:dyDescent="0.4">
      <c r="B7277" t="s">
        <v>7</v>
      </c>
      <c r="C7277" t="s">
        <v>1056</v>
      </c>
      <c r="D7277" s="7">
        <f>DATE(2005,10,19)</f>
        <v>38644</v>
      </c>
      <c r="E7277" s="8">
        <f t="shared" si="118"/>
        <v>2005</v>
      </c>
      <c r="F7277" t="s">
        <v>1057</v>
      </c>
      <c r="G7277" s="9">
        <v>1689.32</v>
      </c>
      <c r="H7277" s="8">
        <v>3545</v>
      </c>
    </row>
    <row r="7278" spans="2:8" x14ac:dyDescent="0.4">
      <c r="B7278" t="s">
        <v>7</v>
      </c>
      <c r="C7278" t="s">
        <v>1056</v>
      </c>
      <c r="D7278" s="7">
        <f>DATE(2006,5,22)</f>
        <v>38859</v>
      </c>
      <c r="E7278" s="8">
        <f t="shared" si="118"/>
        <v>2006</v>
      </c>
      <c r="F7278" t="s">
        <v>1057</v>
      </c>
      <c r="G7278" s="9">
        <v>19562.5</v>
      </c>
      <c r="H7278" s="8">
        <v>4595</v>
      </c>
    </row>
    <row r="7279" spans="2:8" x14ac:dyDescent="0.4">
      <c r="B7279" t="s">
        <v>7</v>
      </c>
      <c r="C7279" t="s">
        <v>1056</v>
      </c>
      <c r="D7279" s="7">
        <f>DATE(2006,6,19)</f>
        <v>38887</v>
      </c>
      <c r="E7279" s="8">
        <f t="shared" si="118"/>
        <v>2006</v>
      </c>
      <c r="F7279" t="s">
        <v>1057</v>
      </c>
      <c r="G7279" s="9">
        <v>61316.480000000003</v>
      </c>
      <c r="H7279" s="8">
        <v>4704</v>
      </c>
    </row>
    <row r="7280" spans="2:8" x14ac:dyDescent="0.4">
      <c r="B7280" t="s">
        <v>7</v>
      </c>
      <c r="C7280" t="s">
        <v>1056</v>
      </c>
      <c r="D7280" s="7">
        <f>DATE(2006,7,9)</f>
        <v>38907</v>
      </c>
      <c r="E7280" s="8">
        <f t="shared" si="118"/>
        <v>2006</v>
      </c>
      <c r="F7280" t="s">
        <v>1057</v>
      </c>
      <c r="G7280" s="9">
        <v>47839.46</v>
      </c>
      <c r="H7280" s="8">
        <v>4765</v>
      </c>
    </row>
    <row r="7281" spans="2:8" x14ac:dyDescent="0.4">
      <c r="B7281" t="s">
        <v>7</v>
      </c>
      <c r="C7281" t="s">
        <v>1056</v>
      </c>
      <c r="D7281" s="7">
        <f>DATE(2006,7,23)</f>
        <v>38921</v>
      </c>
      <c r="E7281" s="8">
        <f t="shared" si="118"/>
        <v>2006</v>
      </c>
      <c r="F7281" t="s">
        <v>1057</v>
      </c>
      <c r="G7281" s="9">
        <v>4664</v>
      </c>
      <c r="H7281" s="8">
        <v>4810</v>
      </c>
    </row>
    <row r="7282" spans="2:8" x14ac:dyDescent="0.4">
      <c r="B7282" t="s">
        <v>7</v>
      </c>
      <c r="C7282" t="s">
        <v>1056</v>
      </c>
      <c r="D7282" s="7">
        <f>DATE(2006,7,31)</f>
        <v>38929</v>
      </c>
      <c r="E7282" s="8">
        <f t="shared" si="118"/>
        <v>2006</v>
      </c>
      <c r="F7282" t="s">
        <v>1057</v>
      </c>
      <c r="G7282" s="9">
        <v>56771.040000000001</v>
      </c>
      <c r="H7282" s="8">
        <v>4814</v>
      </c>
    </row>
    <row r="7283" spans="2:8" x14ac:dyDescent="0.4">
      <c r="B7283" t="s">
        <v>7</v>
      </c>
      <c r="C7283" t="s">
        <v>1056</v>
      </c>
      <c r="D7283" s="7">
        <f>DATE(2006,9,23)</f>
        <v>38983</v>
      </c>
      <c r="E7283" s="8">
        <f t="shared" si="118"/>
        <v>2006</v>
      </c>
      <c r="F7283" t="s">
        <v>1057</v>
      </c>
      <c r="G7283" s="9">
        <v>31528.5</v>
      </c>
      <c r="H7283" s="8">
        <v>4891</v>
      </c>
    </row>
    <row r="7284" spans="2:8" x14ac:dyDescent="0.4">
      <c r="B7284" t="s">
        <v>7</v>
      </c>
      <c r="C7284" t="s">
        <v>1056</v>
      </c>
      <c r="D7284" s="7">
        <f>DATE(2006,9,19)</f>
        <v>38979</v>
      </c>
      <c r="E7284" s="8">
        <f t="shared" si="118"/>
        <v>2006</v>
      </c>
      <c r="F7284" t="s">
        <v>1057</v>
      </c>
      <c r="G7284" s="9">
        <v>77223.009999999995</v>
      </c>
      <c r="H7284" s="8">
        <v>4887</v>
      </c>
    </row>
    <row r="7285" spans="2:8" x14ac:dyDescent="0.4">
      <c r="B7285" t="s">
        <v>7</v>
      </c>
      <c r="C7285" t="s">
        <v>1056</v>
      </c>
      <c r="D7285" s="7">
        <f>DATE(2006,11,5)</f>
        <v>39026</v>
      </c>
      <c r="E7285" s="8">
        <f t="shared" si="118"/>
        <v>2006</v>
      </c>
      <c r="F7285" t="s">
        <v>1057</v>
      </c>
      <c r="G7285" s="9">
        <v>28616.560000000001</v>
      </c>
      <c r="H7285" s="8">
        <v>5064</v>
      </c>
    </row>
    <row r="7286" spans="2:8" x14ac:dyDescent="0.4">
      <c r="B7286" t="s">
        <v>7</v>
      </c>
      <c r="C7286" t="s">
        <v>1056</v>
      </c>
      <c r="D7286" s="7">
        <f>DATE(2007,4,12)</f>
        <v>39184</v>
      </c>
      <c r="E7286" s="8">
        <f t="shared" si="118"/>
        <v>2007</v>
      </c>
      <c r="F7286" t="s">
        <v>1057</v>
      </c>
      <c r="G7286" s="9">
        <v>2743.43</v>
      </c>
      <c r="H7286" s="8">
        <v>5842</v>
      </c>
    </row>
    <row r="7287" spans="2:8" x14ac:dyDescent="0.4">
      <c r="B7287" t="s">
        <v>7</v>
      </c>
      <c r="C7287" t="s">
        <v>1056</v>
      </c>
      <c r="D7287" s="7">
        <f>DATE(2007,4,16)</f>
        <v>39188</v>
      </c>
      <c r="E7287" s="8">
        <f t="shared" si="118"/>
        <v>2007</v>
      </c>
      <c r="F7287" t="s">
        <v>1057</v>
      </c>
      <c r="G7287" s="9">
        <v>18094.189999999999</v>
      </c>
      <c r="H7287" s="8">
        <v>5846</v>
      </c>
    </row>
    <row r="7288" spans="2:8" x14ac:dyDescent="0.4">
      <c r="B7288" t="s">
        <v>7</v>
      </c>
      <c r="C7288" t="s">
        <v>1056</v>
      </c>
      <c r="D7288" s="7">
        <f>DATE(2007,5,1)</f>
        <v>39203</v>
      </c>
      <c r="E7288" s="8">
        <f t="shared" si="118"/>
        <v>2007</v>
      </c>
      <c r="F7288" t="s">
        <v>1057</v>
      </c>
      <c r="G7288" s="9">
        <v>16705.349999999999</v>
      </c>
      <c r="H7288" s="8">
        <v>5927</v>
      </c>
    </row>
    <row r="7289" spans="2:8" x14ac:dyDescent="0.4">
      <c r="B7289" t="s">
        <v>7</v>
      </c>
      <c r="C7289" t="s">
        <v>1056</v>
      </c>
      <c r="D7289" s="7">
        <f>DATE(2007,6,10)</f>
        <v>39243</v>
      </c>
      <c r="E7289" s="8">
        <f t="shared" si="118"/>
        <v>2007</v>
      </c>
      <c r="F7289" t="s">
        <v>1057</v>
      </c>
      <c r="G7289" s="9">
        <v>26193.33</v>
      </c>
      <c r="H7289" s="8">
        <v>6050</v>
      </c>
    </row>
    <row r="7290" spans="2:8" x14ac:dyDescent="0.4">
      <c r="B7290" t="s">
        <v>7</v>
      </c>
      <c r="C7290" t="s">
        <v>1056</v>
      </c>
      <c r="D7290" s="7">
        <f>DATE(2007,7,6)</f>
        <v>39269</v>
      </c>
      <c r="E7290" s="8">
        <f t="shared" si="118"/>
        <v>2007</v>
      </c>
      <c r="F7290" t="s">
        <v>1057</v>
      </c>
      <c r="G7290" s="9">
        <v>9976.17</v>
      </c>
      <c r="H7290" s="8">
        <v>6140</v>
      </c>
    </row>
    <row r="7291" spans="2:8" x14ac:dyDescent="0.4">
      <c r="B7291" t="s">
        <v>7</v>
      </c>
      <c r="C7291" t="s">
        <v>1056</v>
      </c>
      <c r="D7291" s="7">
        <f>DATE(2007,10,10)</f>
        <v>39365</v>
      </c>
      <c r="E7291" s="8">
        <f t="shared" si="118"/>
        <v>2007</v>
      </c>
      <c r="F7291" t="s">
        <v>1057</v>
      </c>
      <c r="G7291" s="9">
        <v>5877.38</v>
      </c>
      <c r="H7291" s="8">
        <v>6463</v>
      </c>
    </row>
    <row r="7292" spans="2:8" x14ac:dyDescent="0.4">
      <c r="B7292" t="s">
        <v>7</v>
      </c>
      <c r="C7292" t="s">
        <v>1056</v>
      </c>
      <c r="D7292" s="7">
        <f>DATE(2008,5,1)</f>
        <v>39569</v>
      </c>
      <c r="E7292" s="8">
        <f t="shared" si="118"/>
        <v>2008</v>
      </c>
      <c r="F7292" t="s">
        <v>1057</v>
      </c>
      <c r="G7292" s="9">
        <v>11908.19</v>
      </c>
      <c r="H7292" s="8">
        <v>7333</v>
      </c>
    </row>
    <row r="7293" spans="2:8" x14ac:dyDescent="0.4">
      <c r="B7293" t="s">
        <v>7</v>
      </c>
      <c r="C7293" t="s">
        <v>1056</v>
      </c>
      <c r="D7293" s="7">
        <f>DATE(2008,5,1)</f>
        <v>39569</v>
      </c>
      <c r="E7293" s="8">
        <f t="shared" si="118"/>
        <v>2008</v>
      </c>
      <c r="F7293" t="s">
        <v>1057</v>
      </c>
      <c r="G7293" s="9">
        <v>11653.07</v>
      </c>
      <c r="H7293" s="8">
        <v>6617</v>
      </c>
    </row>
    <row r="7294" spans="2:8" x14ac:dyDescent="0.4">
      <c r="B7294" t="s">
        <v>7</v>
      </c>
      <c r="C7294" t="s">
        <v>1056</v>
      </c>
      <c r="D7294" s="7">
        <f>DATE(2008,5,14)</f>
        <v>39582</v>
      </c>
      <c r="E7294" s="8">
        <f t="shared" si="118"/>
        <v>2008</v>
      </c>
      <c r="F7294" t="s">
        <v>1057</v>
      </c>
      <c r="G7294" s="9">
        <v>6180.5</v>
      </c>
      <c r="H7294" s="8">
        <v>7427</v>
      </c>
    </row>
    <row r="7295" spans="2:8" x14ac:dyDescent="0.4">
      <c r="B7295" t="s">
        <v>7</v>
      </c>
      <c r="C7295" t="s">
        <v>1056</v>
      </c>
      <c r="D7295" s="7">
        <f>DATE(2008,5,15)</f>
        <v>39583</v>
      </c>
      <c r="E7295" s="8">
        <f t="shared" si="118"/>
        <v>2008</v>
      </c>
      <c r="F7295" t="s">
        <v>1057</v>
      </c>
      <c r="G7295" s="9">
        <v>6180.49</v>
      </c>
      <c r="H7295" s="8">
        <v>7428</v>
      </c>
    </row>
    <row r="7296" spans="2:8" x14ac:dyDescent="0.4">
      <c r="B7296" t="s">
        <v>7</v>
      </c>
      <c r="C7296" t="s">
        <v>1056</v>
      </c>
      <c r="D7296" s="7">
        <f>DATE(2008,10,19)</f>
        <v>39740</v>
      </c>
      <c r="E7296" s="8">
        <f t="shared" si="118"/>
        <v>2008</v>
      </c>
      <c r="F7296" t="s">
        <v>1057</v>
      </c>
      <c r="G7296" s="9">
        <v>22887.02</v>
      </c>
      <c r="H7296" s="8">
        <v>7683</v>
      </c>
    </row>
    <row r="7297" spans="2:8" x14ac:dyDescent="0.4">
      <c r="B7297" t="s">
        <v>7</v>
      </c>
      <c r="C7297" t="s">
        <v>1056</v>
      </c>
      <c r="D7297" s="7">
        <f>DATE(2009,2,26)</f>
        <v>39870</v>
      </c>
      <c r="E7297" s="8">
        <f t="shared" si="118"/>
        <v>2009</v>
      </c>
      <c r="F7297" t="s">
        <v>1057</v>
      </c>
      <c r="G7297" s="9">
        <v>5380.55</v>
      </c>
      <c r="H7297" s="8">
        <v>8398</v>
      </c>
    </row>
    <row r="7298" spans="2:8" x14ac:dyDescent="0.4">
      <c r="B7298" t="s">
        <v>7</v>
      </c>
      <c r="C7298" t="s">
        <v>1056</v>
      </c>
      <c r="D7298" s="7">
        <f>DATE(2009,4,17)</f>
        <v>39920</v>
      </c>
      <c r="E7298" s="8">
        <f t="shared" si="118"/>
        <v>2009</v>
      </c>
      <c r="F7298" t="s">
        <v>1057</v>
      </c>
      <c r="G7298" s="9">
        <v>37383.43</v>
      </c>
      <c r="H7298" s="8">
        <v>8233</v>
      </c>
    </row>
    <row r="7299" spans="2:8" x14ac:dyDescent="0.4">
      <c r="B7299" t="s">
        <v>7</v>
      </c>
      <c r="C7299" t="s">
        <v>1056</v>
      </c>
      <c r="D7299" s="7">
        <f>DATE(2009,5,28)</f>
        <v>39961</v>
      </c>
      <c r="E7299" s="8">
        <f t="shared" ref="E7299:E7362" si="119">YEAR(D7299)</f>
        <v>2009</v>
      </c>
      <c r="F7299" t="s">
        <v>1057</v>
      </c>
      <c r="G7299" s="9">
        <v>13765.89</v>
      </c>
      <c r="H7299" s="8">
        <v>8731</v>
      </c>
    </row>
    <row r="7300" spans="2:8" x14ac:dyDescent="0.4">
      <c r="B7300" t="s">
        <v>7</v>
      </c>
      <c r="C7300" t="s">
        <v>1056</v>
      </c>
      <c r="D7300" s="7">
        <f>DATE(2009,6,11)</f>
        <v>39975</v>
      </c>
      <c r="E7300" s="8">
        <f t="shared" si="119"/>
        <v>2009</v>
      </c>
      <c r="F7300" t="s">
        <v>1057</v>
      </c>
      <c r="G7300" s="9">
        <v>44107.42</v>
      </c>
      <c r="H7300" s="8">
        <v>7777</v>
      </c>
    </row>
    <row r="7301" spans="2:8" x14ac:dyDescent="0.4">
      <c r="B7301" t="s">
        <v>7</v>
      </c>
      <c r="C7301" t="s">
        <v>1056</v>
      </c>
      <c r="D7301" s="7">
        <f>DATE(2009,11,11)</f>
        <v>40128</v>
      </c>
      <c r="E7301" s="8">
        <f t="shared" si="119"/>
        <v>2009</v>
      </c>
      <c r="F7301" t="s">
        <v>1057</v>
      </c>
      <c r="G7301" s="9">
        <v>7252.22</v>
      </c>
      <c r="H7301" s="8">
        <v>9217</v>
      </c>
    </row>
    <row r="7302" spans="2:8" x14ac:dyDescent="0.4">
      <c r="B7302" s="3" t="s">
        <v>7</v>
      </c>
      <c r="C7302" s="3" t="s">
        <v>1056</v>
      </c>
      <c r="D7302" s="4">
        <f>DATE(2003,4,3)</f>
        <v>37714</v>
      </c>
      <c r="E7302" s="5">
        <f t="shared" si="119"/>
        <v>2003</v>
      </c>
      <c r="F7302" s="3" t="s">
        <v>1057</v>
      </c>
      <c r="G7302" s="6">
        <v>906.4</v>
      </c>
      <c r="H7302" s="5">
        <v>659</v>
      </c>
    </row>
    <row r="7303" spans="2:8" x14ac:dyDescent="0.4">
      <c r="B7303" s="3" t="s">
        <v>7</v>
      </c>
      <c r="C7303" s="3" t="s">
        <v>1056</v>
      </c>
      <c r="D7303" s="4">
        <f>DATE(2007,5,7)</f>
        <v>39209</v>
      </c>
      <c r="E7303" s="5">
        <f t="shared" si="119"/>
        <v>2007</v>
      </c>
      <c r="F7303" s="3" t="s">
        <v>1057</v>
      </c>
      <c r="G7303" s="6">
        <v>542.46</v>
      </c>
      <c r="H7303" s="5">
        <v>8497</v>
      </c>
    </row>
    <row r="7304" spans="2:8" x14ac:dyDescent="0.4">
      <c r="B7304" s="3" t="s">
        <v>7</v>
      </c>
      <c r="C7304" s="3" t="s">
        <v>1056</v>
      </c>
      <c r="D7304" s="4">
        <f>DATE(2009,5,1)</f>
        <v>39934</v>
      </c>
      <c r="E7304" s="5">
        <f t="shared" si="119"/>
        <v>2009</v>
      </c>
      <c r="F7304" s="3" t="s">
        <v>1057</v>
      </c>
      <c r="G7304" s="6">
        <v>1060</v>
      </c>
      <c r="H7304" s="5">
        <v>12435</v>
      </c>
    </row>
    <row r="7305" spans="2:8" x14ac:dyDescent="0.4">
      <c r="B7305" s="3" t="s">
        <v>7</v>
      </c>
      <c r="C7305" s="3" t="s">
        <v>1058</v>
      </c>
      <c r="D7305" s="4">
        <f>DATE(2009,3,5)</f>
        <v>39877</v>
      </c>
      <c r="E7305" s="5">
        <f t="shared" si="119"/>
        <v>2009</v>
      </c>
      <c r="F7305" s="3" t="s">
        <v>1059</v>
      </c>
      <c r="G7305" s="6">
        <v>4728.88</v>
      </c>
      <c r="H7305" s="5">
        <v>12109</v>
      </c>
    </row>
    <row r="7306" spans="2:8" x14ac:dyDescent="0.4">
      <c r="B7306" s="3" t="s">
        <v>7</v>
      </c>
      <c r="C7306" s="3" t="s">
        <v>1060</v>
      </c>
      <c r="D7306" s="4">
        <f>DATE(2005,1,7)</f>
        <v>38359</v>
      </c>
      <c r="E7306" s="5">
        <f t="shared" si="119"/>
        <v>2005</v>
      </c>
      <c r="F7306" s="3" t="s">
        <v>1061</v>
      </c>
      <c r="G7306" s="6">
        <v>223.5</v>
      </c>
      <c r="H7306" s="5">
        <v>3921</v>
      </c>
    </row>
    <row r="7307" spans="2:8" x14ac:dyDescent="0.4">
      <c r="B7307" s="3" t="s">
        <v>7</v>
      </c>
      <c r="C7307" s="3" t="s">
        <v>1060</v>
      </c>
      <c r="D7307" s="4">
        <f>DATE(2005,11,17)</f>
        <v>38673</v>
      </c>
      <c r="E7307" s="5">
        <f t="shared" si="119"/>
        <v>2005</v>
      </c>
      <c r="F7307" s="3" t="s">
        <v>1061</v>
      </c>
      <c r="G7307" s="6">
        <v>223.5</v>
      </c>
      <c r="H7307" s="5">
        <v>5597</v>
      </c>
    </row>
    <row r="7308" spans="2:8" x14ac:dyDescent="0.4">
      <c r="B7308" t="s">
        <v>7</v>
      </c>
      <c r="C7308" t="s">
        <v>1062</v>
      </c>
      <c r="D7308" s="7">
        <f>DATE(2010,3,10)</f>
        <v>40247</v>
      </c>
      <c r="E7308" s="8">
        <f t="shared" si="119"/>
        <v>2010</v>
      </c>
      <c r="F7308" t="s">
        <v>1063</v>
      </c>
      <c r="G7308" s="9">
        <v>4307.43</v>
      </c>
      <c r="H7308" s="8">
        <v>9601</v>
      </c>
    </row>
    <row r="7309" spans="2:8" x14ac:dyDescent="0.4">
      <c r="B7309" t="s">
        <v>7</v>
      </c>
      <c r="C7309" t="s">
        <v>1062</v>
      </c>
      <c r="D7309" s="7">
        <f>DATE(2010,12,16)</f>
        <v>40528</v>
      </c>
      <c r="E7309" s="8">
        <f t="shared" si="119"/>
        <v>2010</v>
      </c>
      <c r="F7309" t="s">
        <v>1063</v>
      </c>
      <c r="G7309" s="9">
        <v>4555.01</v>
      </c>
      <c r="H7309" s="8">
        <v>10307</v>
      </c>
    </row>
    <row r="7310" spans="2:8" x14ac:dyDescent="0.4">
      <c r="B7310" s="3" t="s">
        <v>7</v>
      </c>
      <c r="C7310" s="3" t="s">
        <v>1060</v>
      </c>
      <c r="D7310" s="4">
        <f>DATE(2004,6,18)</f>
        <v>38156</v>
      </c>
      <c r="E7310" s="5">
        <f t="shared" si="119"/>
        <v>2004</v>
      </c>
      <c r="F7310" s="3" t="s">
        <v>1064</v>
      </c>
      <c r="G7310" s="6">
        <v>223.5</v>
      </c>
      <c r="H7310" s="5">
        <v>3059</v>
      </c>
    </row>
    <row r="7311" spans="2:8" x14ac:dyDescent="0.4">
      <c r="B7311" t="s">
        <v>7</v>
      </c>
      <c r="C7311" t="s">
        <v>1065</v>
      </c>
      <c r="D7311" s="7">
        <f>DATE(2016,10,7)</f>
        <v>42650</v>
      </c>
      <c r="E7311" s="8">
        <f t="shared" si="119"/>
        <v>2016</v>
      </c>
      <c r="F7311" t="s">
        <v>1066</v>
      </c>
      <c r="G7311" s="9">
        <v>5700</v>
      </c>
      <c r="H7311" s="8">
        <v>23561</v>
      </c>
    </row>
    <row r="7312" spans="2:8" x14ac:dyDescent="0.4">
      <c r="B7312" t="s">
        <v>7</v>
      </c>
      <c r="C7312" t="s">
        <v>1065</v>
      </c>
      <c r="D7312" s="7">
        <f>DATE(2008,3,27)</f>
        <v>39534</v>
      </c>
      <c r="E7312" s="8">
        <f t="shared" si="119"/>
        <v>2008</v>
      </c>
      <c r="F7312" t="s">
        <v>1066</v>
      </c>
      <c r="G7312" s="9">
        <v>2863.25</v>
      </c>
      <c r="H7312" s="8">
        <v>7242</v>
      </c>
    </row>
    <row r="7313" spans="2:8" x14ac:dyDescent="0.4">
      <c r="B7313" t="s">
        <v>7</v>
      </c>
      <c r="C7313" t="s">
        <v>1065</v>
      </c>
      <c r="D7313" s="7">
        <f>DATE(2008,4,10)</f>
        <v>39548</v>
      </c>
      <c r="E7313" s="8">
        <f t="shared" si="119"/>
        <v>2008</v>
      </c>
      <c r="F7313" t="s">
        <v>1066</v>
      </c>
      <c r="G7313" s="9">
        <v>5983</v>
      </c>
      <c r="H7313" s="8">
        <v>7083</v>
      </c>
    </row>
    <row r="7314" spans="2:8" x14ac:dyDescent="0.4">
      <c r="B7314" t="s">
        <v>7</v>
      </c>
      <c r="C7314" t="s">
        <v>1065</v>
      </c>
      <c r="D7314" s="7">
        <f>DATE(2008,4,10)</f>
        <v>39548</v>
      </c>
      <c r="E7314" s="8">
        <f t="shared" si="119"/>
        <v>2008</v>
      </c>
      <c r="F7314" t="s">
        <v>1066</v>
      </c>
      <c r="G7314" s="9">
        <v>10562.18</v>
      </c>
      <c r="H7314" s="8">
        <v>7076</v>
      </c>
    </row>
    <row r="7315" spans="2:8" x14ac:dyDescent="0.4">
      <c r="B7315" t="s">
        <v>7</v>
      </c>
      <c r="C7315" t="s">
        <v>1065</v>
      </c>
      <c r="D7315" s="7">
        <f>DATE(2009,3,5)</f>
        <v>39877</v>
      </c>
      <c r="E7315" s="8">
        <f t="shared" si="119"/>
        <v>2009</v>
      </c>
      <c r="F7315" t="s">
        <v>1066</v>
      </c>
      <c r="G7315" s="9">
        <v>6849</v>
      </c>
      <c r="H7315" s="8">
        <v>8433</v>
      </c>
    </row>
    <row r="7316" spans="2:8" x14ac:dyDescent="0.4">
      <c r="B7316" t="s">
        <v>7</v>
      </c>
      <c r="C7316" t="s">
        <v>1065</v>
      </c>
      <c r="D7316" s="7">
        <f>DATE(2013,9,5)</f>
        <v>41522</v>
      </c>
      <c r="E7316" s="8">
        <f t="shared" si="119"/>
        <v>2013</v>
      </c>
      <c r="F7316" t="s">
        <v>1066</v>
      </c>
      <c r="G7316" s="9">
        <v>4470.5</v>
      </c>
      <c r="H7316" s="8">
        <v>12645</v>
      </c>
    </row>
    <row r="7317" spans="2:8" x14ac:dyDescent="0.4">
      <c r="B7317" t="s">
        <v>7</v>
      </c>
      <c r="C7317" t="s">
        <v>1067</v>
      </c>
      <c r="D7317" s="7">
        <f>DATE(2019,3,5)</f>
        <v>43529</v>
      </c>
      <c r="E7317" s="8">
        <f t="shared" si="119"/>
        <v>2019</v>
      </c>
      <c r="F7317" t="s">
        <v>1068</v>
      </c>
      <c r="G7317" s="9">
        <v>4835.9799999999996</v>
      </c>
      <c r="H7317" s="8">
        <v>28321</v>
      </c>
    </row>
    <row r="7318" spans="2:8" x14ac:dyDescent="0.4">
      <c r="B7318" t="s">
        <v>7</v>
      </c>
      <c r="C7318" t="s">
        <v>1067</v>
      </c>
      <c r="D7318" s="7">
        <f>DATE(2004,12,3)</f>
        <v>38324</v>
      </c>
      <c r="E7318" s="8">
        <f t="shared" si="119"/>
        <v>2004</v>
      </c>
      <c r="F7318" t="s">
        <v>1068</v>
      </c>
      <c r="G7318" s="9">
        <v>2955.22</v>
      </c>
      <c r="H7318" s="8">
        <v>2410</v>
      </c>
    </row>
    <row r="7319" spans="2:8" x14ac:dyDescent="0.4">
      <c r="B7319" t="s">
        <v>7</v>
      </c>
      <c r="C7319" t="s">
        <v>1067</v>
      </c>
      <c r="D7319" s="7">
        <f>DATE(2007,1,4)</f>
        <v>39086</v>
      </c>
      <c r="E7319" s="8">
        <f t="shared" si="119"/>
        <v>2007</v>
      </c>
      <c r="F7319" t="s">
        <v>1068</v>
      </c>
      <c r="G7319" s="9">
        <v>3064.49</v>
      </c>
      <c r="H7319" s="8">
        <v>5320</v>
      </c>
    </row>
    <row r="7320" spans="2:8" x14ac:dyDescent="0.4">
      <c r="B7320" t="s">
        <v>7</v>
      </c>
      <c r="C7320" t="s">
        <v>1067</v>
      </c>
      <c r="D7320" s="7">
        <f>DATE(2007,10,19)</f>
        <v>39374</v>
      </c>
      <c r="E7320" s="8">
        <f t="shared" si="119"/>
        <v>2007</v>
      </c>
      <c r="F7320" t="s">
        <v>1068</v>
      </c>
      <c r="G7320" s="9">
        <v>3209.48</v>
      </c>
      <c r="H7320" s="8">
        <v>6515</v>
      </c>
    </row>
    <row r="7321" spans="2:8" x14ac:dyDescent="0.4">
      <c r="B7321" t="s">
        <v>7</v>
      </c>
      <c r="C7321" t="s">
        <v>1067</v>
      </c>
      <c r="D7321" s="7">
        <f>DATE(2007,10,31)</f>
        <v>39386</v>
      </c>
      <c r="E7321" s="8">
        <f t="shared" si="119"/>
        <v>2007</v>
      </c>
      <c r="F7321" t="s">
        <v>1068</v>
      </c>
      <c r="G7321" s="9">
        <v>3407.78</v>
      </c>
      <c r="H7321" s="8">
        <v>6558</v>
      </c>
    </row>
    <row r="7322" spans="2:8" x14ac:dyDescent="0.4">
      <c r="B7322" t="s">
        <v>7</v>
      </c>
      <c r="C7322" t="s">
        <v>1067</v>
      </c>
      <c r="D7322" s="7">
        <f>DATE(2008,4,10)</f>
        <v>39548</v>
      </c>
      <c r="E7322" s="8">
        <f t="shared" si="119"/>
        <v>2008</v>
      </c>
      <c r="F7322" t="s">
        <v>1068</v>
      </c>
      <c r="G7322" s="9">
        <v>3554.3</v>
      </c>
      <c r="H7322" s="8">
        <v>7311</v>
      </c>
    </row>
    <row r="7323" spans="2:8" x14ac:dyDescent="0.4">
      <c r="B7323" t="s">
        <v>7</v>
      </c>
      <c r="C7323" t="s">
        <v>1067</v>
      </c>
      <c r="D7323" s="7">
        <f>DATE(2008,5,8)</f>
        <v>39576</v>
      </c>
      <c r="E7323" s="8">
        <f t="shared" si="119"/>
        <v>2008</v>
      </c>
      <c r="F7323" t="s">
        <v>1068</v>
      </c>
      <c r="G7323" s="9">
        <v>2501.64</v>
      </c>
      <c r="H7323" s="8">
        <v>7407</v>
      </c>
    </row>
    <row r="7324" spans="2:8" x14ac:dyDescent="0.4">
      <c r="B7324" t="s">
        <v>7</v>
      </c>
      <c r="C7324" t="s">
        <v>1067</v>
      </c>
      <c r="D7324" s="7">
        <f>DATE(2009,4,2)</f>
        <v>39905</v>
      </c>
      <c r="E7324" s="8">
        <f t="shared" si="119"/>
        <v>2009</v>
      </c>
      <c r="F7324" t="s">
        <v>1068</v>
      </c>
      <c r="G7324" s="9">
        <v>3090.61</v>
      </c>
      <c r="H7324" s="8">
        <v>8508</v>
      </c>
    </row>
    <row r="7325" spans="2:8" x14ac:dyDescent="0.4">
      <c r="B7325" t="s">
        <v>7</v>
      </c>
      <c r="C7325" t="s">
        <v>1067</v>
      </c>
      <c r="D7325" s="7">
        <f>DATE(2012,1,24)</f>
        <v>40932</v>
      </c>
      <c r="E7325" s="8">
        <f t="shared" si="119"/>
        <v>2012</v>
      </c>
      <c r="F7325" t="s">
        <v>1068</v>
      </c>
      <c r="G7325" s="9">
        <v>3264.96</v>
      </c>
      <c r="H7325" s="8">
        <v>11246</v>
      </c>
    </row>
    <row r="7326" spans="2:8" x14ac:dyDescent="0.4">
      <c r="B7326" t="s">
        <v>7</v>
      </c>
      <c r="C7326" t="s">
        <v>1067</v>
      </c>
      <c r="D7326" s="7">
        <f>DATE(2013,1,25)</f>
        <v>41299</v>
      </c>
      <c r="E7326" s="8">
        <f t="shared" si="119"/>
        <v>2013</v>
      </c>
      <c r="F7326" t="s">
        <v>1068</v>
      </c>
      <c r="G7326" s="9">
        <v>2268.7600000000002</v>
      </c>
      <c r="H7326" s="8">
        <v>12096</v>
      </c>
    </row>
    <row r="7327" spans="2:8" x14ac:dyDescent="0.4">
      <c r="B7327" t="s">
        <v>7</v>
      </c>
      <c r="C7327" t="s">
        <v>1067</v>
      </c>
      <c r="D7327" s="7">
        <f>DATE(2014,1,22)</f>
        <v>41661</v>
      </c>
      <c r="E7327" s="8">
        <f t="shared" si="119"/>
        <v>2014</v>
      </c>
      <c r="F7327" t="s">
        <v>1068</v>
      </c>
      <c r="G7327" s="9">
        <v>4537.29</v>
      </c>
      <c r="H7327" s="8">
        <v>12865</v>
      </c>
    </row>
    <row r="7328" spans="2:8" x14ac:dyDescent="0.4">
      <c r="B7328" t="s">
        <v>7</v>
      </c>
      <c r="C7328" t="s">
        <v>1067</v>
      </c>
      <c r="D7328" s="7">
        <f>DATE(2014,3,18)</f>
        <v>41716</v>
      </c>
      <c r="E7328" s="8">
        <f t="shared" si="119"/>
        <v>2014</v>
      </c>
      <c r="F7328" t="s">
        <v>1068</v>
      </c>
      <c r="G7328" s="9">
        <v>4026.27</v>
      </c>
      <c r="H7328" s="8">
        <v>13041</v>
      </c>
    </row>
    <row r="7329" spans="2:8" x14ac:dyDescent="0.4">
      <c r="B7329" t="s">
        <v>7</v>
      </c>
      <c r="C7329" t="s">
        <v>1069</v>
      </c>
      <c r="D7329" s="7">
        <f>DATE(2008,10,17)</f>
        <v>39738</v>
      </c>
      <c r="E7329" s="8">
        <f t="shared" si="119"/>
        <v>2008</v>
      </c>
      <c r="F7329" t="s">
        <v>1070</v>
      </c>
      <c r="G7329" s="9">
        <v>3625</v>
      </c>
      <c r="H7329" s="8">
        <v>7810</v>
      </c>
    </row>
    <row r="7330" spans="2:8" x14ac:dyDescent="0.4">
      <c r="B7330" t="s">
        <v>7</v>
      </c>
      <c r="C7330" t="s">
        <v>1071</v>
      </c>
      <c r="D7330" s="7">
        <f>DATE(2003,4,5)</f>
        <v>37716</v>
      </c>
      <c r="E7330" s="8">
        <f t="shared" si="119"/>
        <v>2003</v>
      </c>
      <c r="F7330" t="s">
        <v>1072</v>
      </c>
      <c r="G7330" s="9">
        <v>5850.4</v>
      </c>
      <c r="H7330" s="8">
        <v>309</v>
      </c>
    </row>
    <row r="7331" spans="2:8" x14ac:dyDescent="0.4">
      <c r="B7331" t="s">
        <v>7</v>
      </c>
      <c r="C7331" t="s">
        <v>1073</v>
      </c>
      <c r="D7331" s="7">
        <f>DATE(2007,4,27)</f>
        <v>39199</v>
      </c>
      <c r="E7331" s="8">
        <f t="shared" si="119"/>
        <v>2007</v>
      </c>
      <c r="F7331" t="s">
        <v>1074</v>
      </c>
      <c r="G7331" s="9">
        <v>3106.74</v>
      </c>
      <c r="H7331" s="8">
        <v>5859</v>
      </c>
    </row>
    <row r="7332" spans="2:8" x14ac:dyDescent="0.4">
      <c r="B7332" t="s">
        <v>7</v>
      </c>
      <c r="C7332" t="s">
        <v>1073</v>
      </c>
      <c r="D7332" s="7">
        <f>DATE(2008,4,10)</f>
        <v>39548</v>
      </c>
      <c r="E7332" s="8">
        <f t="shared" si="119"/>
        <v>2008</v>
      </c>
      <c r="F7332" t="s">
        <v>1075</v>
      </c>
      <c r="G7332" s="9">
        <v>3554.3</v>
      </c>
      <c r="H7332" s="8">
        <v>7289</v>
      </c>
    </row>
    <row r="7333" spans="2:8" x14ac:dyDescent="0.4">
      <c r="B7333" t="s">
        <v>7</v>
      </c>
      <c r="C7333" t="s">
        <v>1073</v>
      </c>
      <c r="D7333" s="7">
        <f>DATE(2008,4,15)</f>
        <v>39553</v>
      </c>
      <c r="E7333" s="8">
        <f t="shared" si="119"/>
        <v>2008</v>
      </c>
      <c r="F7333" t="s">
        <v>1075</v>
      </c>
      <c r="G7333" s="9">
        <v>3564.3</v>
      </c>
      <c r="H7333" s="8">
        <v>7361</v>
      </c>
    </row>
    <row r="7334" spans="2:8" x14ac:dyDescent="0.4">
      <c r="B7334" t="s">
        <v>7</v>
      </c>
      <c r="C7334" t="s">
        <v>1073</v>
      </c>
      <c r="D7334" s="7">
        <f>DATE(2008,5,30)</f>
        <v>39598</v>
      </c>
      <c r="E7334" s="8">
        <f t="shared" si="119"/>
        <v>2008</v>
      </c>
      <c r="F7334" t="s">
        <v>1075</v>
      </c>
      <c r="G7334" s="9">
        <v>3509.16</v>
      </c>
      <c r="H7334" s="8">
        <v>7462</v>
      </c>
    </row>
    <row r="7335" spans="2:8" x14ac:dyDescent="0.4">
      <c r="B7335" t="s">
        <v>7</v>
      </c>
      <c r="C7335" t="s">
        <v>1073</v>
      </c>
      <c r="D7335" s="7">
        <f>DATE(2010,3,10)</f>
        <v>40247</v>
      </c>
      <c r="E7335" s="8">
        <f t="shared" si="119"/>
        <v>2010</v>
      </c>
      <c r="F7335" t="s">
        <v>1075</v>
      </c>
      <c r="G7335" s="9">
        <v>4125.0200000000004</v>
      </c>
      <c r="H7335" s="8">
        <v>9581</v>
      </c>
    </row>
    <row r="7336" spans="2:8" x14ac:dyDescent="0.4">
      <c r="B7336" t="s">
        <v>7</v>
      </c>
      <c r="C7336" t="s">
        <v>1073</v>
      </c>
      <c r="D7336" s="7">
        <f>DATE(2012,3,15)</f>
        <v>40983</v>
      </c>
      <c r="E7336" s="8">
        <f t="shared" si="119"/>
        <v>2012</v>
      </c>
      <c r="F7336" t="s">
        <v>1075</v>
      </c>
      <c r="G7336" s="9">
        <v>4211.79</v>
      </c>
      <c r="H7336" s="8">
        <v>11435</v>
      </c>
    </row>
    <row r="7337" spans="2:8" x14ac:dyDescent="0.4">
      <c r="B7337" t="s">
        <v>7</v>
      </c>
      <c r="C7337" t="s">
        <v>1073</v>
      </c>
      <c r="D7337" s="7">
        <f>DATE(2012,10,16)</f>
        <v>41198</v>
      </c>
      <c r="E7337" s="8">
        <f t="shared" si="119"/>
        <v>2012</v>
      </c>
      <c r="F7337" t="s">
        <v>1075</v>
      </c>
      <c r="G7337" s="9">
        <v>4226.72</v>
      </c>
      <c r="H7337" s="8">
        <v>11911</v>
      </c>
    </row>
    <row r="7338" spans="2:8" x14ac:dyDescent="0.4">
      <c r="B7338" t="s">
        <v>16</v>
      </c>
      <c r="C7338" t="s">
        <v>1073</v>
      </c>
      <c r="D7338" s="7">
        <f>DATE(2008,4,10)</f>
        <v>39548</v>
      </c>
      <c r="E7338" s="8">
        <f t="shared" si="119"/>
        <v>2008</v>
      </c>
      <c r="F7338" t="s">
        <v>1075</v>
      </c>
      <c r="G7338" s="9">
        <v>3554.3</v>
      </c>
      <c r="H7338" s="8">
        <v>7360</v>
      </c>
    </row>
    <row r="7339" spans="2:8" x14ac:dyDescent="0.4">
      <c r="B7339" t="s">
        <v>7</v>
      </c>
      <c r="C7339" t="s">
        <v>1076</v>
      </c>
      <c r="D7339" s="7">
        <f>DATE(2015,4,9)</f>
        <v>42103</v>
      </c>
      <c r="E7339" s="8">
        <f t="shared" si="119"/>
        <v>2015</v>
      </c>
      <c r="F7339" t="s">
        <v>1077</v>
      </c>
      <c r="G7339" s="9">
        <v>3663.64</v>
      </c>
      <c r="H7339" s="8">
        <v>20292</v>
      </c>
    </row>
    <row r="7340" spans="2:8" x14ac:dyDescent="0.4">
      <c r="B7340" t="s">
        <v>7</v>
      </c>
      <c r="C7340" t="s">
        <v>1076</v>
      </c>
      <c r="D7340" s="7">
        <f>DATE(2013,1,25)</f>
        <v>41299</v>
      </c>
      <c r="E7340" s="8">
        <f t="shared" si="119"/>
        <v>2013</v>
      </c>
      <c r="F7340" t="s">
        <v>1077</v>
      </c>
      <c r="G7340" s="9">
        <v>2025.96</v>
      </c>
      <c r="H7340" s="8">
        <v>12122</v>
      </c>
    </row>
    <row r="7341" spans="2:8" x14ac:dyDescent="0.4">
      <c r="B7341" t="s">
        <v>7</v>
      </c>
      <c r="C7341" t="s">
        <v>1078</v>
      </c>
      <c r="D7341" s="7">
        <f>DATE(2015,4,14)</f>
        <v>42108</v>
      </c>
      <c r="E7341" s="8">
        <f t="shared" si="119"/>
        <v>2015</v>
      </c>
      <c r="F7341" t="s">
        <v>1079</v>
      </c>
      <c r="G7341" s="9">
        <v>7680.98</v>
      </c>
      <c r="H7341" s="8">
        <v>20291</v>
      </c>
    </row>
    <row r="7342" spans="2:8" x14ac:dyDescent="0.4">
      <c r="B7342" t="s">
        <v>7</v>
      </c>
      <c r="C7342" t="s">
        <v>1078</v>
      </c>
      <c r="D7342" s="7">
        <f>DATE(2016,5,23)</f>
        <v>42513</v>
      </c>
      <c r="E7342" s="8">
        <f t="shared" si="119"/>
        <v>2016</v>
      </c>
      <c r="F7342" t="s">
        <v>1079</v>
      </c>
      <c r="G7342" s="9">
        <v>4111.6499999999996</v>
      </c>
      <c r="H7342" s="8">
        <v>22839</v>
      </c>
    </row>
    <row r="7343" spans="2:8" x14ac:dyDescent="0.4">
      <c r="B7343" t="s">
        <v>7</v>
      </c>
      <c r="C7343" t="s">
        <v>1078</v>
      </c>
      <c r="D7343" s="7">
        <f>DATE(2018,10,30)</f>
        <v>43403</v>
      </c>
      <c r="E7343" s="8">
        <f t="shared" si="119"/>
        <v>2018</v>
      </c>
      <c r="F7343" t="s">
        <v>1079</v>
      </c>
      <c r="G7343" s="9">
        <v>8086.82</v>
      </c>
      <c r="H7343" s="8">
        <v>27818</v>
      </c>
    </row>
    <row r="7344" spans="2:8" x14ac:dyDescent="0.4">
      <c r="B7344" t="s">
        <v>7</v>
      </c>
      <c r="C7344" t="s">
        <v>1078</v>
      </c>
      <c r="D7344" s="7">
        <f>DATE(2018,11,19)</f>
        <v>43423</v>
      </c>
      <c r="E7344" s="8">
        <f t="shared" si="119"/>
        <v>2018</v>
      </c>
      <c r="F7344" t="s">
        <v>1079</v>
      </c>
      <c r="G7344" s="9">
        <v>1620.82</v>
      </c>
      <c r="H7344" s="8">
        <v>27995</v>
      </c>
    </row>
    <row r="7345" spans="2:8" x14ac:dyDescent="0.4">
      <c r="B7345" t="s">
        <v>7</v>
      </c>
      <c r="C7345" t="s">
        <v>1078</v>
      </c>
      <c r="D7345" s="7">
        <f>DATE(2018,12,10)</f>
        <v>43444</v>
      </c>
      <c r="E7345" s="8">
        <f t="shared" si="119"/>
        <v>2018</v>
      </c>
      <c r="F7345" t="s">
        <v>1079</v>
      </c>
      <c r="G7345" s="9">
        <v>6291.4</v>
      </c>
      <c r="H7345" s="8">
        <v>28032</v>
      </c>
    </row>
    <row r="7346" spans="2:8" x14ac:dyDescent="0.4">
      <c r="B7346" t="s">
        <v>7</v>
      </c>
      <c r="C7346" t="s">
        <v>1078</v>
      </c>
      <c r="D7346" s="7">
        <f>DATE(2010,9,20)</f>
        <v>40441</v>
      </c>
      <c r="E7346" s="8">
        <f t="shared" si="119"/>
        <v>2010</v>
      </c>
      <c r="F7346" t="s">
        <v>1079</v>
      </c>
      <c r="G7346" s="9">
        <v>7759.55</v>
      </c>
      <c r="H7346" s="8">
        <v>10132</v>
      </c>
    </row>
    <row r="7347" spans="2:8" x14ac:dyDescent="0.4">
      <c r="B7347" t="s">
        <v>7</v>
      </c>
      <c r="C7347" t="s">
        <v>1078</v>
      </c>
      <c r="D7347" s="7">
        <f>DATE(2011,5,4)</f>
        <v>40667</v>
      </c>
      <c r="E7347" s="8">
        <f t="shared" si="119"/>
        <v>2011</v>
      </c>
      <c r="F7347" t="s">
        <v>1079</v>
      </c>
      <c r="G7347" s="9">
        <v>12007.58</v>
      </c>
      <c r="H7347" s="8">
        <v>10697</v>
      </c>
    </row>
    <row r="7348" spans="2:8" x14ac:dyDescent="0.4">
      <c r="B7348" t="s">
        <v>7</v>
      </c>
      <c r="C7348" t="s">
        <v>1078</v>
      </c>
      <c r="D7348" s="7">
        <f>DATE(2014,2,10)</f>
        <v>41680</v>
      </c>
      <c r="E7348" s="8">
        <f t="shared" si="119"/>
        <v>2014</v>
      </c>
      <c r="F7348" t="s">
        <v>1079</v>
      </c>
      <c r="G7348" s="9">
        <v>6448.33</v>
      </c>
      <c r="H7348" s="8">
        <v>12918</v>
      </c>
    </row>
    <row r="7349" spans="2:8" x14ac:dyDescent="0.4">
      <c r="B7349" t="s">
        <v>7</v>
      </c>
      <c r="C7349" t="s">
        <v>1078</v>
      </c>
      <c r="D7349" s="7">
        <f>DATE(2014,6,4)</f>
        <v>41794</v>
      </c>
      <c r="E7349" s="8">
        <f t="shared" si="119"/>
        <v>2014</v>
      </c>
      <c r="F7349" t="s">
        <v>1079</v>
      </c>
      <c r="G7349" s="9">
        <v>5667.17</v>
      </c>
      <c r="H7349" s="8">
        <v>13236</v>
      </c>
    </row>
    <row r="7350" spans="2:8" x14ac:dyDescent="0.4">
      <c r="B7350" t="s">
        <v>7</v>
      </c>
      <c r="C7350" t="s">
        <v>1078</v>
      </c>
      <c r="D7350" s="7">
        <f>DATE(2017,12,14)</f>
        <v>43083</v>
      </c>
      <c r="E7350" s="8">
        <f t="shared" si="119"/>
        <v>2017</v>
      </c>
      <c r="F7350" t="s">
        <v>1080</v>
      </c>
      <c r="G7350" s="9">
        <v>7667.82</v>
      </c>
      <c r="H7350" s="8">
        <v>25884</v>
      </c>
    </row>
    <row r="7351" spans="2:8" x14ac:dyDescent="0.4">
      <c r="B7351" t="s">
        <v>7</v>
      </c>
      <c r="C7351" t="s">
        <v>1078</v>
      </c>
      <c r="D7351" s="7">
        <f>DATE(2018,5,4)</f>
        <v>43224</v>
      </c>
      <c r="E7351" s="8">
        <f t="shared" si="119"/>
        <v>2018</v>
      </c>
      <c r="F7351" t="s">
        <v>1080</v>
      </c>
      <c r="G7351" s="9">
        <v>8104.55</v>
      </c>
      <c r="H7351" s="8">
        <v>26938</v>
      </c>
    </row>
    <row r="7352" spans="2:8" x14ac:dyDescent="0.4">
      <c r="B7352" t="s">
        <v>7</v>
      </c>
      <c r="C7352" t="s">
        <v>1081</v>
      </c>
      <c r="D7352" s="7">
        <f>DATE(2018,7,18)</f>
        <v>43299</v>
      </c>
      <c r="E7352" s="8">
        <f t="shared" si="119"/>
        <v>2018</v>
      </c>
      <c r="F7352" t="s">
        <v>1082</v>
      </c>
      <c r="G7352" s="9">
        <v>7649.47</v>
      </c>
      <c r="H7352" s="8">
        <v>26855</v>
      </c>
    </row>
    <row r="7353" spans="2:8" x14ac:dyDescent="0.4">
      <c r="B7353" t="s">
        <v>7</v>
      </c>
      <c r="C7353" t="s">
        <v>1081</v>
      </c>
      <c r="D7353" s="7">
        <f>DATE(2018,10,4)</f>
        <v>43377</v>
      </c>
      <c r="E7353" s="8">
        <f t="shared" si="119"/>
        <v>2018</v>
      </c>
      <c r="F7353" t="s">
        <v>1083</v>
      </c>
      <c r="G7353" s="9">
        <v>2483.06</v>
      </c>
      <c r="H7353" s="8">
        <v>27734</v>
      </c>
    </row>
    <row r="7354" spans="2:8" x14ac:dyDescent="0.4">
      <c r="B7354" t="s">
        <v>7</v>
      </c>
      <c r="C7354" t="s">
        <v>1081</v>
      </c>
      <c r="D7354" s="7">
        <f>DATE(2018,10,30)</f>
        <v>43403</v>
      </c>
      <c r="E7354" s="8">
        <f t="shared" si="119"/>
        <v>2018</v>
      </c>
      <c r="F7354" t="s">
        <v>1083</v>
      </c>
      <c r="G7354" s="9">
        <v>8718.93</v>
      </c>
      <c r="H7354" s="8">
        <v>27854</v>
      </c>
    </row>
    <row r="7355" spans="2:8" x14ac:dyDescent="0.4">
      <c r="B7355" t="s">
        <v>7</v>
      </c>
      <c r="C7355" t="s">
        <v>1081</v>
      </c>
      <c r="D7355" s="7">
        <f>DATE(2019,2,11)</f>
        <v>43507</v>
      </c>
      <c r="E7355" s="8">
        <f t="shared" si="119"/>
        <v>2019</v>
      </c>
      <c r="F7355" t="s">
        <v>1083</v>
      </c>
      <c r="G7355" s="9">
        <v>2906.42</v>
      </c>
      <c r="H7355" s="8">
        <v>28381</v>
      </c>
    </row>
    <row r="7356" spans="2:8" x14ac:dyDescent="0.4">
      <c r="B7356" t="s">
        <v>7</v>
      </c>
      <c r="C7356" t="s">
        <v>1081</v>
      </c>
      <c r="D7356" s="7">
        <f>DATE(2019,2,15)</f>
        <v>43511</v>
      </c>
      <c r="E7356" s="8">
        <f t="shared" si="119"/>
        <v>2019</v>
      </c>
      <c r="F7356" t="s">
        <v>1083</v>
      </c>
      <c r="G7356" s="9">
        <v>2747.38</v>
      </c>
      <c r="H7356" s="8">
        <v>28425</v>
      </c>
    </row>
    <row r="7357" spans="2:8" x14ac:dyDescent="0.4">
      <c r="B7357" t="s">
        <v>16</v>
      </c>
      <c r="C7357" t="s">
        <v>1081</v>
      </c>
      <c r="D7357" s="7">
        <f>DATE(2019,2,15)</f>
        <v>43511</v>
      </c>
      <c r="E7357" s="8">
        <f t="shared" si="119"/>
        <v>2019</v>
      </c>
      <c r="F7357" t="s">
        <v>1083</v>
      </c>
      <c r="G7357" s="9">
        <v>2906.42</v>
      </c>
      <c r="H7357" s="8">
        <v>28424</v>
      </c>
    </row>
    <row r="7358" spans="2:8" x14ac:dyDescent="0.4">
      <c r="B7358" t="s">
        <v>7</v>
      </c>
      <c r="C7358" t="s">
        <v>1084</v>
      </c>
      <c r="D7358" s="7">
        <f>DATE(2015,12,9)</f>
        <v>42347</v>
      </c>
      <c r="E7358" s="8">
        <f t="shared" si="119"/>
        <v>2015</v>
      </c>
      <c r="F7358" t="s">
        <v>1085</v>
      </c>
      <c r="G7358" s="9">
        <v>2036.86</v>
      </c>
      <c r="H7358" s="8">
        <v>21738</v>
      </c>
    </row>
    <row r="7359" spans="2:8" x14ac:dyDescent="0.4">
      <c r="B7359" s="3" t="s">
        <v>7</v>
      </c>
      <c r="C7359" s="3" t="s">
        <v>1086</v>
      </c>
      <c r="D7359" s="4">
        <f>DATE(2012,8,8)</f>
        <v>41129</v>
      </c>
      <c r="E7359" s="5">
        <f t="shared" si="119"/>
        <v>2012</v>
      </c>
      <c r="F7359" s="3" t="s">
        <v>1087</v>
      </c>
      <c r="G7359" s="6">
        <v>27697.759999999998</v>
      </c>
      <c r="H7359" s="5">
        <v>5166</v>
      </c>
    </row>
    <row r="7360" spans="2:8" x14ac:dyDescent="0.4">
      <c r="B7360" t="s">
        <v>7</v>
      </c>
      <c r="C7360" t="s">
        <v>1088</v>
      </c>
      <c r="D7360" s="7">
        <f>DATE(2019,4,26)</f>
        <v>43581</v>
      </c>
      <c r="E7360" s="8">
        <f t="shared" si="119"/>
        <v>2019</v>
      </c>
      <c r="F7360" t="s">
        <v>1089</v>
      </c>
      <c r="G7360" s="9">
        <v>30444</v>
      </c>
      <c r="H7360" s="8">
        <v>28681</v>
      </c>
    </row>
    <row r="7361" spans="2:8" x14ac:dyDescent="0.4">
      <c r="B7361" t="s">
        <v>7</v>
      </c>
      <c r="C7361" t="s">
        <v>1088</v>
      </c>
      <c r="D7361" s="7">
        <f>DATE(2019,4,30)</f>
        <v>43585</v>
      </c>
      <c r="E7361" s="8">
        <f t="shared" si="119"/>
        <v>2019</v>
      </c>
      <c r="F7361" t="s">
        <v>1089</v>
      </c>
      <c r="G7361" s="9">
        <v>529.94000000000005</v>
      </c>
      <c r="H7361" s="8">
        <v>28898</v>
      </c>
    </row>
    <row r="7362" spans="2:8" x14ac:dyDescent="0.4">
      <c r="B7362" t="s">
        <v>7</v>
      </c>
      <c r="C7362" t="s">
        <v>1088</v>
      </c>
      <c r="D7362" s="7">
        <f>DATE(2019,5,8)</f>
        <v>43593</v>
      </c>
      <c r="E7362" s="8">
        <f t="shared" si="119"/>
        <v>2019</v>
      </c>
      <c r="F7362" t="s">
        <v>1089</v>
      </c>
      <c r="G7362" s="9">
        <v>845.06</v>
      </c>
      <c r="H7362" s="8">
        <v>28965</v>
      </c>
    </row>
    <row r="7363" spans="2:8" x14ac:dyDescent="0.4">
      <c r="B7363" t="s">
        <v>7</v>
      </c>
      <c r="C7363" t="s">
        <v>1088</v>
      </c>
      <c r="D7363" s="7">
        <f>DATE(2019,4,26)</f>
        <v>43581</v>
      </c>
      <c r="E7363" s="8">
        <f t="shared" ref="E7363:E7426" si="120">YEAR(D7363)</f>
        <v>2019</v>
      </c>
      <c r="F7363" t="s">
        <v>1089</v>
      </c>
      <c r="G7363" s="9">
        <v>5600</v>
      </c>
      <c r="H7363" s="8">
        <v>28682</v>
      </c>
    </row>
    <row r="7364" spans="2:8" x14ac:dyDescent="0.4">
      <c r="B7364" s="3" t="s">
        <v>7</v>
      </c>
      <c r="C7364" s="3" t="s">
        <v>1088</v>
      </c>
      <c r="D7364" s="4">
        <f>DATE(2006,3,21)</f>
        <v>38797</v>
      </c>
      <c r="E7364" s="5">
        <f t="shared" si="120"/>
        <v>2006</v>
      </c>
      <c r="F7364" s="3" t="s">
        <v>1089</v>
      </c>
      <c r="G7364" s="6">
        <v>1062</v>
      </c>
      <c r="H7364" s="5">
        <v>6332</v>
      </c>
    </row>
    <row r="7365" spans="2:8" x14ac:dyDescent="0.4">
      <c r="B7365" s="3" t="s">
        <v>7</v>
      </c>
      <c r="C7365" s="3" t="s">
        <v>1088</v>
      </c>
      <c r="D7365" s="4">
        <f>DATE(2006,3,30)</f>
        <v>38806</v>
      </c>
      <c r="E7365" s="5">
        <f t="shared" si="120"/>
        <v>2006</v>
      </c>
      <c r="F7365" s="3" t="s">
        <v>1089</v>
      </c>
      <c r="G7365" s="6">
        <v>38.5</v>
      </c>
      <c r="H7365" s="5">
        <v>6424</v>
      </c>
    </row>
    <row r="7366" spans="2:8" x14ac:dyDescent="0.4">
      <c r="B7366" s="3" t="s">
        <v>7</v>
      </c>
      <c r="C7366" s="3" t="s">
        <v>1088</v>
      </c>
      <c r="D7366" s="4">
        <f>DATE(2009,2,4)</f>
        <v>39848</v>
      </c>
      <c r="E7366" s="5">
        <f t="shared" si="120"/>
        <v>2009</v>
      </c>
      <c r="F7366" s="3" t="s">
        <v>1089</v>
      </c>
      <c r="G7366" s="6">
        <v>3510.13</v>
      </c>
      <c r="H7366" s="5">
        <v>11818</v>
      </c>
    </row>
    <row r="7367" spans="2:8" x14ac:dyDescent="0.4">
      <c r="B7367" s="3" t="s">
        <v>7</v>
      </c>
      <c r="C7367" s="3" t="s">
        <v>1088</v>
      </c>
      <c r="D7367" s="4">
        <f>DATE(2009,4,9)</f>
        <v>39912</v>
      </c>
      <c r="E7367" s="5">
        <f t="shared" si="120"/>
        <v>2009</v>
      </c>
      <c r="F7367" s="3" t="s">
        <v>1089</v>
      </c>
      <c r="G7367" s="6">
        <v>645</v>
      </c>
      <c r="H7367" s="5">
        <v>12353</v>
      </c>
    </row>
    <row r="7368" spans="2:8" x14ac:dyDescent="0.4">
      <c r="B7368" s="3" t="s">
        <v>7</v>
      </c>
      <c r="C7368" s="3" t="s">
        <v>1088</v>
      </c>
      <c r="D7368" s="4">
        <f>DATE(2009,6,17)</f>
        <v>39981</v>
      </c>
      <c r="E7368" s="5">
        <f t="shared" si="120"/>
        <v>2009</v>
      </c>
      <c r="F7368" s="3" t="s">
        <v>1089</v>
      </c>
      <c r="G7368" s="6">
        <v>125.43</v>
      </c>
      <c r="H7368" s="5">
        <v>12645</v>
      </c>
    </row>
    <row r="7369" spans="2:8" x14ac:dyDescent="0.4">
      <c r="B7369" s="3" t="s">
        <v>7</v>
      </c>
      <c r="C7369" s="3" t="s">
        <v>824</v>
      </c>
      <c r="D7369" s="4">
        <f>DATE(2008,5,1)</f>
        <v>39569</v>
      </c>
      <c r="E7369" s="5">
        <f t="shared" si="120"/>
        <v>2008</v>
      </c>
      <c r="F7369" s="3" t="s">
        <v>1090</v>
      </c>
      <c r="G7369" s="6">
        <v>6196.96</v>
      </c>
      <c r="H7369" s="5">
        <v>2761</v>
      </c>
    </row>
    <row r="7370" spans="2:8" x14ac:dyDescent="0.4">
      <c r="B7370" s="3" t="s">
        <v>7</v>
      </c>
      <c r="C7370" s="3" t="s">
        <v>824</v>
      </c>
      <c r="D7370" s="4">
        <f>DATE(2008,5,1)</f>
        <v>39569</v>
      </c>
      <c r="E7370" s="5">
        <f t="shared" si="120"/>
        <v>2008</v>
      </c>
      <c r="F7370" s="3" t="s">
        <v>1090</v>
      </c>
      <c r="G7370" s="6">
        <v>95816.22</v>
      </c>
      <c r="H7370" s="5">
        <v>2769</v>
      </c>
    </row>
    <row r="7371" spans="2:8" x14ac:dyDescent="0.4">
      <c r="B7371" s="3" t="s">
        <v>7</v>
      </c>
      <c r="C7371" s="3" t="s">
        <v>824</v>
      </c>
      <c r="D7371" s="4">
        <f>DATE(2008,5,1)</f>
        <v>39569</v>
      </c>
      <c r="E7371" s="5">
        <f t="shared" si="120"/>
        <v>2008</v>
      </c>
      <c r="F7371" s="3" t="s">
        <v>1090</v>
      </c>
      <c r="G7371" s="6">
        <v>102957.69</v>
      </c>
      <c r="H7371" s="5">
        <v>2771</v>
      </c>
    </row>
    <row r="7372" spans="2:8" x14ac:dyDescent="0.4">
      <c r="B7372" s="3" t="s">
        <v>7</v>
      </c>
      <c r="C7372" s="3" t="s">
        <v>824</v>
      </c>
      <c r="D7372" s="4">
        <f>DATE(2008,5,1)</f>
        <v>39569</v>
      </c>
      <c r="E7372" s="5">
        <f t="shared" si="120"/>
        <v>2008</v>
      </c>
      <c r="F7372" s="3" t="s">
        <v>1090</v>
      </c>
      <c r="G7372" s="6">
        <v>4306.25</v>
      </c>
      <c r="H7372" s="5">
        <v>2760</v>
      </c>
    </row>
    <row r="7373" spans="2:8" x14ac:dyDescent="0.4">
      <c r="B7373" s="3" t="s">
        <v>7</v>
      </c>
      <c r="C7373" s="3" t="s">
        <v>824</v>
      </c>
      <c r="D7373" s="4">
        <f>DATE(2008,5,1)</f>
        <v>39569</v>
      </c>
      <c r="E7373" s="5">
        <f t="shared" si="120"/>
        <v>2008</v>
      </c>
      <c r="F7373" s="3" t="s">
        <v>1090</v>
      </c>
      <c r="G7373" s="6">
        <v>2793.06</v>
      </c>
      <c r="H7373" s="5">
        <v>2801</v>
      </c>
    </row>
    <row r="7374" spans="2:8" x14ac:dyDescent="0.4">
      <c r="B7374" s="3" t="s">
        <v>7</v>
      </c>
      <c r="C7374" s="3" t="s">
        <v>824</v>
      </c>
      <c r="D7374" s="4">
        <f>DATE(2009,2,19)</f>
        <v>39863</v>
      </c>
      <c r="E7374" s="5">
        <f t="shared" si="120"/>
        <v>2009</v>
      </c>
      <c r="F7374" s="3" t="s">
        <v>1090</v>
      </c>
      <c r="G7374" s="6">
        <v>56026.3</v>
      </c>
      <c r="H7374" s="5">
        <v>3207</v>
      </c>
    </row>
    <row r="7375" spans="2:8" x14ac:dyDescent="0.4">
      <c r="B7375" s="3" t="s">
        <v>7</v>
      </c>
      <c r="C7375" s="3" t="s">
        <v>824</v>
      </c>
      <c r="D7375" s="4">
        <f>DATE(2009,10,16)</f>
        <v>40102</v>
      </c>
      <c r="E7375" s="5">
        <f t="shared" si="120"/>
        <v>2009</v>
      </c>
      <c r="F7375" s="3" t="s">
        <v>1090</v>
      </c>
      <c r="G7375" s="6">
        <v>11763.8</v>
      </c>
      <c r="H7375" s="5">
        <v>3604</v>
      </c>
    </row>
    <row r="7376" spans="2:8" x14ac:dyDescent="0.4">
      <c r="B7376" s="3" t="s">
        <v>7</v>
      </c>
      <c r="C7376" s="3" t="s">
        <v>824</v>
      </c>
      <c r="D7376" s="4">
        <f>DATE(2009,10,19)</f>
        <v>40105</v>
      </c>
      <c r="E7376" s="5">
        <f t="shared" si="120"/>
        <v>2009</v>
      </c>
      <c r="F7376" s="3" t="s">
        <v>1090</v>
      </c>
      <c r="G7376" s="6">
        <v>9793.56</v>
      </c>
      <c r="H7376" s="5">
        <v>3604</v>
      </c>
    </row>
    <row r="7377" spans="2:8" x14ac:dyDescent="0.4">
      <c r="B7377" s="3" t="s">
        <v>7</v>
      </c>
      <c r="C7377" s="3" t="s">
        <v>824</v>
      </c>
      <c r="D7377" s="4">
        <f>DATE(2009,10,20)</f>
        <v>40106</v>
      </c>
      <c r="E7377" s="5">
        <f t="shared" si="120"/>
        <v>2009</v>
      </c>
      <c r="F7377" s="3" t="s">
        <v>1090</v>
      </c>
      <c r="G7377" s="6">
        <v>3465.87</v>
      </c>
      <c r="H7377" s="5">
        <v>3604</v>
      </c>
    </row>
    <row r="7378" spans="2:8" x14ac:dyDescent="0.4">
      <c r="B7378" s="3" t="s">
        <v>7</v>
      </c>
      <c r="C7378" s="3" t="s">
        <v>824</v>
      </c>
      <c r="D7378" s="4">
        <f>DATE(2009,10,21)</f>
        <v>40107</v>
      </c>
      <c r="E7378" s="5">
        <f t="shared" si="120"/>
        <v>2009</v>
      </c>
      <c r="F7378" s="3" t="s">
        <v>1090</v>
      </c>
      <c r="G7378" s="6">
        <v>10195.200000000001</v>
      </c>
      <c r="H7378" s="5">
        <v>3642</v>
      </c>
    </row>
    <row r="7379" spans="2:8" x14ac:dyDescent="0.4">
      <c r="B7379" s="3" t="s">
        <v>7</v>
      </c>
      <c r="C7379" s="3" t="s">
        <v>824</v>
      </c>
      <c r="D7379" s="4">
        <f>DATE(2009,10,23)</f>
        <v>40109</v>
      </c>
      <c r="E7379" s="5">
        <f t="shared" si="120"/>
        <v>2009</v>
      </c>
      <c r="F7379" s="3" t="s">
        <v>1090</v>
      </c>
      <c r="G7379" s="6">
        <v>7327.55</v>
      </c>
      <c r="H7379" s="5">
        <v>3642</v>
      </c>
    </row>
    <row r="7380" spans="2:8" x14ac:dyDescent="0.4">
      <c r="B7380" s="3" t="s">
        <v>7</v>
      </c>
      <c r="C7380" s="3" t="s">
        <v>824</v>
      </c>
      <c r="D7380" s="4">
        <f>DATE(2009,10,23)</f>
        <v>40109</v>
      </c>
      <c r="E7380" s="5">
        <f t="shared" si="120"/>
        <v>2009</v>
      </c>
      <c r="F7380" s="3" t="s">
        <v>1090</v>
      </c>
      <c r="G7380" s="6">
        <v>7398.25</v>
      </c>
      <c r="H7380" s="5">
        <v>3642</v>
      </c>
    </row>
    <row r="7381" spans="2:8" x14ac:dyDescent="0.4">
      <c r="B7381" s="3" t="s">
        <v>7</v>
      </c>
      <c r="C7381" s="3" t="s">
        <v>824</v>
      </c>
      <c r="D7381" s="4">
        <f>DATE(2009,10,23)</f>
        <v>40109</v>
      </c>
      <c r="E7381" s="5">
        <f t="shared" si="120"/>
        <v>2009</v>
      </c>
      <c r="F7381" s="3" t="s">
        <v>1090</v>
      </c>
      <c r="G7381" s="6">
        <v>9492</v>
      </c>
      <c r="H7381" s="5">
        <v>3642</v>
      </c>
    </row>
    <row r="7382" spans="2:8" x14ac:dyDescent="0.4">
      <c r="B7382" s="3" t="s">
        <v>7</v>
      </c>
      <c r="C7382" s="3" t="s">
        <v>824</v>
      </c>
      <c r="D7382" s="4">
        <f>DATE(2009,10,23)</f>
        <v>40109</v>
      </c>
      <c r="E7382" s="5">
        <f t="shared" si="120"/>
        <v>2009</v>
      </c>
      <c r="F7382" s="3" t="s">
        <v>1090</v>
      </c>
      <c r="G7382" s="6">
        <v>12066.3</v>
      </c>
      <c r="H7382" s="5">
        <v>3642</v>
      </c>
    </row>
    <row r="7383" spans="2:8" x14ac:dyDescent="0.4">
      <c r="B7383" s="3" t="s">
        <v>7</v>
      </c>
      <c r="C7383" s="3" t="s">
        <v>824</v>
      </c>
      <c r="D7383" s="4">
        <f>DATE(2009,10,23)</f>
        <v>40109</v>
      </c>
      <c r="E7383" s="5">
        <f t="shared" si="120"/>
        <v>2009</v>
      </c>
      <c r="F7383" s="3" t="s">
        <v>1090</v>
      </c>
      <c r="G7383" s="6">
        <v>11392</v>
      </c>
      <c r="H7383" s="5">
        <v>3642</v>
      </c>
    </row>
    <row r="7384" spans="2:8" x14ac:dyDescent="0.4">
      <c r="B7384" s="3" t="s">
        <v>7</v>
      </c>
      <c r="C7384" s="3" t="s">
        <v>828</v>
      </c>
      <c r="D7384" s="4">
        <f>DATE(2008,6,1)</f>
        <v>39600</v>
      </c>
      <c r="E7384" s="5">
        <f t="shared" si="120"/>
        <v>2008</v>
      </c>
      <c r="F7384" s="3" t="s">
        <v>1091</v>
      </c>
      <c r="G7384" s="6">
        <v>2443.4</v>
      </c>
      <c r="H7384" s="5">
        <v>2807</v>
      </c>
    </row>
    <row r="7385" spans="2:8" x14ac:dyDescent="0.4">
      <c r="B7385" s="3" t="s">
        <v>7</v>
      </c>
      <c r="C7385" s="3" t="s">
        <v>828</v>
      </c>
      <c r="D7385" s="4">
        <f>DATE(2008,6,1)</f>
        <v>39600</v>
      </c>
      <c r="E7385" s="5">
        <f t="shared" si="120"/>
        <v>2008</v>
      </c>
      <c r="F7385" s="3" t="s">
        <v>1091</v>
      </c>
      <c r="G7385" s="6">
        <v>20410.599999999999</v>
      </c>
      <c r="H7385" s="5">
        <v>2818</v>
      </c>
    </row>
    <row r="7386" spans="2:8" x14ac:dyDescent="0.4">
      <c r="B7386" s="3" t="s">
        <v>7</v>
      </c>
      <c r="C7386" s="3" t="s">
        <v>1092</v>
      </c>
      <c r="D7386" s="4">
        <f>DATE(2005,8,5)</f>
        <v>38569</v>
      </c>
      <c r="E7386" s="5">
        <f t="shared" si="120"/>
        <v>2005</v>
      </c>
      <c r="F7386" s="3" t="s">
        <v>1093</v>
      </c>
      <c r="G7386" s="6">
        <v>260</v>
      </c>
      <c r="H7386" s="5">
        <v>1197</v>
      </c>
    </row>
    <row r="7387" spans="2:8" x14ac:dyDescent="0.4">
      <c r="B7387" t="s">
        <v>7</v>
      </c>
      <c r="C7387" t="s">
        <v>1094</v>
      </c>
      <c r="D7387" s="7">
        <f>DATE(2015,5,1)</f>
        <v>42125</v>
      </c>
      <c r="E7387" s="8">
        <f t="shared" si="120"/>
        <v>2015</v>
      </c>
      <c r="F7387" t="s">
        <v>1095</v>
      </c>
      <c r="G7387" s="9">
        <v>11915.36</v>
      </c>
      <c r="H7387" s="8">
        <v>20350</v>
      </c>
    </row>
    <row r="7388" spans="2:8" x14ac:dyDescent="0.4">
      <c r="B7388" t="s">
        <v>7</v>
      </c>
      <c r="C7388" t="s">
        <v>1094</v>
      </c>
      <c r="D7388" s="7">
        <f>DATE(2015,7,16)</f>
        <v>42201</v>
      </c>
      <c r="E7388" s="8">
        <f t="shared" si="120"/>
        <v>2015</v>
      </c>
      <c r="F7388" t="s">
        <v>1095</v>
      </c>
      <c r="G7388" s="9">
        <v>57971.9</v>
      </c>
      <c r="H7388" s="8">
        <v>20911</v>
      </c>
    </row>
    <row r="7389" spans="2:8" x14ac:dyDescent="0.4">
      <c r="B7389" t="s">
        <v>7</v>
      </c>
      <c r="C7389" t="s">
        <v>1094</v>
      </c>
      <c r="D7389" s="7">
        <f>DATE(2015,10,27)</f>
        <v>42304</v>
      </c>
      <c r="E7389" s="8">
        <f t="shared" si="120"/>
        <v>2015</v>
      </c>
      <c r="F7389" t="s">
        <v>1095</v>
      </c>
      <c r="G7389" s="9">
        <v>31075.759999999998</v>
      </c>
      <c r="H7389" s="8">
        <v>21306</v>
      </c>
    </row>
    <row r="7390" spans="2:8" x14ac:dyDescent="0.4">
      <c r="B7390" t="s">
        <v>7</v>
      </c>
      <c r="C7390" t="s">
        <v>1094</v>
      </c>
      <c r="D7390" s="7">
        <f>DATE(2016,9,20)</f>
        <v>42633</v>
      </c>
      <c r="E7390" s="8">
        <f t="shared" si="120"/>
        <v>2016</v>
      </c>
      <c r="F7390" t="s">
        <v>1095</v>
      </c>
      <c r="G7390" s="9">
        <v>40250</v>
      </c>
      <c r="H7390" s="8">
        <v>23188</v>
      </c>
    </row>
    <row r="7391" spans="2:8" x14ac:dyDescent="0.4">
      <c r="B7391" t="s">
        <v>7</v>
      </c>
      <c r="C7391" t="s">
        <v>1094</v>
      </c>
      <c r="D7391" s="7">
        <f>DATE(2017,4,3)</f>
        <v>42828</v>
      </c>
      <c r="E7391" s="8">
        <f t="shared" si="120"/>
        <v>2017</v>
      </c>
      <c r="F7391" t="s">
        <v>1095</v>
      </c>
      <c r="G7391" s="9">
        <v>35304.54</v>
      </c>
      <c r="H7391" s="8">
        <v>24302</v>
      </c>
    </row>
    <row r="7392" spans="2:8" x14ac:dyDescent="0.4">
      <c r="B7392" t="s">
        <v>7</v>
      </c>
      <c r="C7392" t="s">
        <v>1094</v>
      </c>
      <c r="D7392" s="7">
        <f>DATE(2017,7,3)</f>
        <v>42919</v>
      </c>
      <c r="E7392" s="8">
        <f t="shared" si="120"/>
        <v>2017</v>
      </c>
      <c r="F7392" t="s">
        <v>1095</v>
      </c>
      <c r="G7392" s="9">
        <v>34500</v>
      </c>
      <c r="H7392" s="8">
        <v>25190</v>
      </c>
    </row>
    <row r="7393" spans="2:8" x14ac:dyDescent="0.4">
      <c r="B7393" t="s">
        <v>7</v>
      </c>
      <c r="C7393" t="s">
        <v>1094</v>
      </c>
      <c r="D7393" s="7">
        <f>DATE(2017,7,31)</f>
        <v>42947</v>
      </c>
      <c r="E7393" s="8">
        <f t="shared" si="120"/>
        <v>2017</v>
      </c>
      <c r="F7393" t="s">
        <v>1095</v>
      </c>
      <c r="G7393" s="9">
        <v>43956.76</v>
      </c>
      <c r="H7393" s="8">
        <v>25316</v>
      </c>
    </row>
    <row r="7394" spans="2:8" x14ac:dyDescent="0.4">
      <c r="B7394" t="s">
        <v>7</v>
      </c>
      <c r="C7394" t="s">
        <v>1094</v>
      </c>
      <c r="D7394" s="7">
        <f>DATE(2016,9,28)</f>
        <v>42641</v>
      </c>
      <c r="E7394" s="8">
        <f t="shared" si="120"/>
        <v>2016</v>
      </c>
      <c r="F7394" t="s">
        <v>1095</v>
      </c>
      <c r="G7394" s="9">
        <v>14386.47</v>
      </c>
      <c r="H7394" s="8">
        <v>23507</v>
      </c>
    </row>
    <row r="7395" spans="2:8" x14ac:dyDescent="0.4">
      <c r="B7395" t="s">
        <v>7</v>
      </c>
      <c r="C7395" t="s">
        <v>1094</v>
      </c>
      <c r="D7395" s="7">
        <f>DATE(2003,3,16)</f>
        <v>37696</v>
      </c>
      <c r="E7395" s="8">
        <f t="shared" si="120"/>
        <v>2003</v>
      </c>
      <c r="F7395" t="s">
        <v>1095</v>
      </c>
      <c r="G7395" s="9">
        <v>11932.81</v>
      </c>
      <c r="H7395" s="8">
        <v>369</v>
      </c>
    </row>
    <row r="7396" spans="2:8" x14ac:dyDescent="0.4">
      <c r="B7396" t="s">
        <v>7</v>
      </c>
      <c r="C7396" t="s">
        <v>1094</v>
      </c>
      <c r="D7396" s="7">
        <f>DATE(2003,4,22)</f>
        <v>37733</v>
      </c>
      <c r="E7396" s="8">
        <f t="shared" si="120"/>
        <v>2003</v>
      </c>
      <c r="F7396" t="s">
        <v>1095</v>
      </c>
      <c r="G7396" s="9">
        <v>10232.58</v>
      </c>
      <c r="H7396" s="8">
        <v>483</v>
      </c>
    </row>
    <row r="7397" spans="2:8" x14ac:dyDescent="0.4">
      <c r="B7397" t="s">
        <v>7</v>
      </c>
      <c r="C7397" t="s">
        <v>1094</v>
      </c>
      <c r="D7397" s="7">
        <f>DATE(2003,4,24)</f>
        <v>37735</v>
      </c>
      <c r="E7397" s="8">
        <f t="shared" si="120"/>
        <v>2003</v>
      </c>
      <c r="F7397" t="s">
        <v>1095</v>
      </c>
      <c r="G7397" s="9">
        <v>22827.5</v>
      </c>
      <c r="H7397" s="8">
        <v>485</v>
      </c>
    </row>
    <row r="7398" spans="2:8" x14ac:dyDescent="0.4">
      <c r="B7398" t="s">
        <v>7</v>
      </c>
      <c r="C7398" t="s">
        <v>1094</v>
      </c>
      <c r="D7398" s="7">
        <f>DATE(2003,9,3)</f>
        <v>37867</v>
      </c>
      <c r="E7398" s="8">
        <f t="shared" si="120"/>
        <v>2003</v>
      </c>
      <c r="F7398" t="s">
        <v>1095</v>
      </c>
      <c r="G7398" s="9">
        <v>9993.4</v>
      </c>
      <c r="H7398" s="8">
        <v>845</v>
      </c>
    </row>
    <row r="7399" spans="2:8" x14ac:dyDescent="0.4">
      <c r="B7399" t="s">
        <v>7</v>
      </c>
      <c r="C7399" t="s">
        <v>1094</v>
      </c>
      <c r="D7399" s="7">
        <f>DATE(2003,9,20)</f>
        <v>37884</v>
      </c>
      <c r="E7399" s="8">
        <f t="shared" si="120"/>
        <v>2003</v>
      </c>
      <c r="F7399" t="s">
        <v>1095</v>
      </c>
      <c r="G7399" s="9">
        <v>10471.14</v>
      </c>
      <c r="H7399" s="8">
        <v>657</v>
      </c>
    </row>
    <row r="7400" spans="2:8" x14ac:dyDescent="0.4">
      <c r="B7400" t="s">
        <v>7</v>
      </c>
      <c r="C7400" t="s">
        <v>1094</v>
      </c>
      <c r="D7400" s="7">
        <f>DATE(2004,4,1)</f>
        <v>38078</v>
      </c>
      <c r="E7400" s="8">
        <f t="shared" si="120"/>
        <v>2004</v>
      </c>
      <c r="F7400" t="s">
        <v>1095</v>
      </c>
      <c r="G7400" s="9">
        <v>11716.77</v>
      </c>
      <c r="H7400" s="8">
        <v>1473</v>
      </c>
    </row>
    <row r="7401" spans="2:8" x14ac:dyDescent="0.4">
      <c r="B7401" t="s">
        <v>7</v>
      </c>
      <c r="C7401" t="s">
        <v>1094</v>
      </c>
      <c r="D7401" s="7">
        <f>DATE(2005,9,30)</f>
        <v>38625</v>
      </c>
      <c r="E7401" s="8">
        <f t="shared" si="120"/>
        <v>2005</v>
      </c>
      <c r="F7401" t="s">
        <v>1095</v>
      </c>
      <c r="G7401" s="9">
        <v>38085.620000000003</v>
      </c>
      <c r="H7401" s="8">
        <v>3198</v>
      </c>
    </row>
    <row r="7402" spans="2:8" x14ac:dyDescent="0.4">
      <c r="B7402" t="s">
        <v>7</v>
      </c>
      <c r="C7402" t="s">
        <v>1094</v>
      </c>
      <c r="D7402" s="7">
        <f>DATE(2006,2,2)</f>
        <v>38750</v>
      </c>
      <c r="E7402" s="8">
        <f t="shared" si="120"/>
        <v>2006</v>
      </c>
      <c r="F7402" t="s">
        <v>1095</v>
      </c>
      <c r="G7402" s="9">
        <v>34254.550000000003</v>
      </c>
      <c r="H7402" s="8">
        <v>4013</v>
      </c>
    </row>
    <row r="7403" spans="2:8" x14ac:dyDescent="0.4">
      <c r="B7403" t="s">
        <v>7</v>
      </c>
      <c r="C7403" t="s">
        <v>1094</v>
      </c>
      <c r="D7403" s="7">
        <f>DATE(2006,5,5)</f>
        <v>38842</v>
      </c>
      <c r="E7403" s="8">
        <f t="shared" si="120"/>
        <v>2006</v>
      </c>
      <c r="F7403" t="s">
        <v>1095</v>
      </c>
      <c r="G7403" s="9">
        <v>10392.549999999999</v>
      </c>
      <c r="H7403" s="8">
        <v>4538</v>
      </c>
    </row>
    <row r="7404" spans="2:8" x14ac:dyDescent="0.4">
      <c r="B7404" t="s">
        <v>7</v>
      </c>
      <c r="C7404" t="s">
        <v>1094</v>
      </c>
      <c r="D7404" s="7">
        <f>DATE(2007,3,11)</f>
        <v>39152</v>
      </c>
      <c r="E7404" s="8">
        <f t="shared" si="120"/>
        <v>2007</v>
      </c>
      <c r="F7404" t="s">
        <v>1095</v>
      </c>
      <c r="G7404" s="9">
        <v>41419.89</v>
      </c>
      <c r="H7404" s="8">
        <v>5538</v>
      </c>
    </row>
    <row r="7405" spans="2:8" x14ac:dyDescent="0.4">
      <c r="B7405" t="s">
        <v>7</v>
      </c>
      <c r="C7405" t="s">
        <v>1094</v>
      </c>
      <c r="D7405" s="7">
        <f>DATE(2008,3,27)</f>
        <v>39534</v>
      </c>
      <c r="E7405" s="8">
        <f t="shared" si="120"/>
        <v>2008</v>
      </c>
      <c r="F7405" t="s">
        <v>1095</v>
      </c>
      <c r="G7405" s="9">
        <v>40720</v>
      </c>
      <c r="H7405" s="8">
        <v>6814</v>
      </c>
    </row>
    <row r="7406" spans="2:8" x14ac:dyDescent="0.4">
      <c r="B7406" t="s">
        <v>7</v>
      </c>
      <c r="C7406" t="s">
        <v>1094</v>
      </c>
      <c r="D7406" s="7">
        <f>DATE(2008,4,17)</f>
        <v>39555</v>
      </c>
      <c r="E7406" s="8">
        <f t="shared" si="120"/>
        <v>2008</v>
      </c>
      <c r="F7406" t="s">
        <v>1095</v>
      </c>
      <c r="G7406" s="9">
        <v>36077</v>
      </c>
      <c r="H7406" s="8">
        <v>6616</v>
      </c>
    </row>
    <row r="7407" spans="2:8" x14ac:dyDescent="0.4">
      <c r="B7407" t="s">
        <v>7</v>
      </c>
      <c r="C7407" t="s">
        <v>1094</v>
      </c>
      <c r="D7407" s="7">
        <f>DATE(2009,4,21)</f>
        <v>39924</v>
      </c>
      <c r="E7407" s="8">
        <f t="shared" si="120"/>
        <v>2009</v>
      </c>
      <c r="F7407" t="s">
        <v>1095</v>
      </c>
      <c r="G7407" s="9">
        <v>36650.910000000003</v>
      </c>
      <c r="H7407" s="8">
        <v>8439</v>
      </c>
    </row>
    <row r="7408" spans="2:8" x14ac:dyDescent="0.4">
      <c r="B7408" t="s">
        <v>7</v>
      </c>
      <c r="C7408" t="s">
        <v>1094</v>
      </c>
      <c r="D7408" s="7">
        <f>DATE(2010,3,24)</f>
        <v>40261</v>
      </c>
      <c r="E7408" s="8">
        <f t="shared" si="120"/>
        <v>2010</v>
      </c>
      <c r="F7408" t="s">
        <v>1095</v>
      </c>
      <c r="G7408" s="9">
        <v>38421.050000000003</v>
      </c>
      <c r="H7408" s="8">
        <v>9157</v>
      </c>
    </row>
    <row r="7409" spans="2:8" x14ac:dyDescent="0.4">
      <c r="B7409" t="s">
        <v>7</v>
      </c>
      <c r="C7409" t="s">
        <v>1094</v>
      </c>
      <c r="D7409" s="7">
        <f>DATE(2010,4,13)</f>
        <v>40281</v>
      </c>
      <c r="E7409" s="8">
        <f t="shared" si="120"/>
        <v>2010</v>
      </c>
      <c r="F7409" t="s">
        <v>1095</v>
      </c>
      <c r="G7409" s="9">
        <v>5000</v>
      </c>
      <c r="H7409" s="8">
        <v>9687</v>
      </c>
    </row>
    <row r="7410" spans="2:8" x14ac:dyDescent="0.4">
      <c r="B7410" t="s">
        <v>7</v>
      </c>
      <c r="C7410" t="s">
        <v>1094</v>
      </c>
      <c r="D7410" s="7">
        <f>DATE(2010,5,13)</f>
        <v>40311</v>
      </c>
      <c r="E7410" s="8">
        <f t="shared" si="120"/>
        <v>2010</v>
      </c>
      <c r="F7410" t="s">
        <v>1095</v>
      </c>
      <c r="G7410" s="9">
        <v>6409.77</v>
      </c>
      <c r="H7410" s="8">
        <v>9844</v>
      </c>
    </row>
    <row r="7411" spans="2:8" x14ac:dyDescent="0.4">
      <c r="B7411" t="s">
        <v>7</v>
      </c>
      <c r="C7411" t="s">
        <v>1094</v>
      </c>
      <c r="D7411" s="7">
        <f>DATE(2010,9,21)</f>
        <v>40442</v>
      </c>
      <c r="E7411" s="8">
        <f t="shared" si="120"/>
        <v>2010</v>
      </c>
      <c r="F7411" t="s">
        <v>1095</v>
      </c>
      <c r="G7411" s="9">
        <v>8739.06</v>
      </c>
      <c r="H7411" s="8">
        <v>10106</v>
      </c>
    </row>
    <row r="7412" spans="2:8" x14ac:dyDescent="0.4">
      <c r="B7412" t="s">
        <v>7</v>
      </c>
      <c r="C7412" t="s">
        <v>1094</v>
      </c>
      <c r="D7412" s="7">
        <f>DATE(2010,10,27)</f>
        <v>40478</v>
      </c>
      <c r="E7412" s="8">
        <f t="shared" si="120"/>
        <v>2010</v>
      </c>
      <c r="F7412" t="s">
        <v>1095</v>
      </c>
      <c r="G7412" s="9">
        <v>2602.02</v>
      </c>
      <c r="H7412" s="8">
        <v>10226</v>
      </c>
    </row>
    <row r="7413" spans="2:8" x14ac:dyDescent="0.4">
      <c r="B7413" t="s">
        <v>7</v>
      </c>
      <c r="C7413" t="s">
        <v>1094</v>
      </c>
      <c r="D7413" s="7">
        <f>DATE(2011,4,21)</f>
        <v>40654</v>
      </c>
      <c r="E7413" s="8">
        <f t="shared" si="120"/>
        <v>2011</v>
      </c>
      <c r="F7413" t="s">
        <v>1095</v>
      </c>
      <c r="G7413" s="9">
        <v>10157.74</v>
      </c>
      <c r="H7413" s="8">
        <v>10683</v>
      </c>
    </row>
    <row r="7414" spans="2:8" x14ac:dyDescent="0.4">
      <c r="B7414" t="s">
        <v>7</v>
      </c>
      <c r="C7414" t="s">
        <v>1094</v>
      </c>
      <c r="D7414" s="7">
        <f>DATE(2012,5,8)</f>
        <v>41037</v>
      </c>
      <c r="E7414" s="8">
        <f t="shared" si="120"/>
        <v>2012</v>
      </c>
      <c r="F7414" t="s">
        <v>1095</v>
      </c>
      <c r="G7414" s="9">
        <v>37178.54</v>
      </c>
      <c r="H7414" s="8">
        <v>11523</v>
      </c>
    </row>
    <row r="7415" spans="2:8" x14ac:dyDescent="0.4">
      <c r="B7415" t="s">
        <v>7</v>
      </c>
      <c r="C7415" t="s">
        <v>1094</v>
      </c>
      <c r="D7415" s="7">
        <f>DATE(2012,5,23)</f>
        <v>41052</v>
      </c>
      <c r="E7415" s="8">
        <f t="shared" si="120"/>
        <v>2012</v>
      </c>
      <c r="F7415" t="s">
        <v>1095</v>
      </c>
      <c r="G7415" s="9">
        <v>12186.4</v>
      </c>
      <c r="H7415" s="8">
        <v>11608</v>
      </c>
    </row>
    <row r="7416" spans="2:8" x14ac:dyDescent="0.4">
      <c r="B7416" t="s">
        <v>7</v>
      </c>
      <c r="C7416" t="s">
        <v>1094</v>
      </c>
      <c r="D7416" s="7">
        <f>DATE(2013,4,8)</f>
        <v>41372</v>
      </c>
      <c r="E7416" s="8">
        <f t="shared" si="120"/>
        <v>2013</v>
      </c>
      <c r="F7416" t="s">
        <v>1095</v>
      </c>
      <c r="G7416" s="9">
        <v>38362.83</v>
      </c>
      <c r="H7416" s="8">
        <v>12118</v>
      </c>
    </row>
    <row r="7417" spans="2:8" x14ac:dyDescent="0.4">
      <c r="B7417" t="s">
        <v>7</v>
      </c>
      <c r="C7417" t="s">
        <v>1094</v>
      </c>
      <c r="D7417" s="7">
        <f>DATE(2013,10,9)</f>
        <v>41556</v>
      </c>
      <c r="E7417" s="8">
        <f t="shared" si="120"/>
        <v>2013</v>
      </c>
      <c r="F7417" t="s">
        <v>1095</v>
      </c>
      <c r="G7417" s="9">
        <v>38554.25</v>
      </c>
      <c r="H7417" s="8">
        <v>12671</v>
      </c>
    </row>
    <row r="7418" spans="2:8" x14ac:dyDescent="0.4">
      <c r="B7418" t="s">
        <v>7</v>
      </c>
      <c r="C7418" t="s">
        <v>1094</v>
      </c>
      <c r="D7418" s="7">
        <f>DATE(2014,7,31)</f>
        <v>41851</v>
      </c>
      <c r="E7418" s="8">
        <f t="shared" si="120"/>
        <v>2014</v>
      </c>
      <c r="F7418" t="s">
        <v>1095</v>
      </c>
      <c r="G7418" s="9">
        <v>17803.060000000001</v>
      </c>
      <c r="H7418" s="8">
        <v>13301</v>
      </c>
    </row>
    <row r="7419" spans="2:8" x14ac:dyDescent="0.4">
      <c r="B7419" t="s">
        <v>7</v>
      </c>
      <c r="C7419" t="s">
        <v>1094</v>
      </c>
      <c r="D7419" s="7">
        <f>DATE(2014,12,18)</f>
        <v>41991</v>
      </c>
      <c r="E7419" s="8">
        <f t="shared" si="120"/>
        <v>2014</v>
      </c>
      <c r="F7419" t="s">
        <v>1095</v>
      </c>
      <c r="G7419" s="9">
        <v>38427.550000000003</v>
      </c>
      <c r="H7419" s="8">
        <v>13618</v>
      </c>
    </row>
    <row r="7420" spans="2:8" x14ac:dyDescent="0.4">
      <c r="B7420" t="s">
        <v>16</v>
      </c>
      <c r="C7420" t="s">
        <v>1094</v>
      </c>
      <c r="D7420" s="7">
        <f>DATE(2009,7,9)</f>
        <v>40003</v>
      </c>
      <c r="E7420" s="8">
        <f t="shared" si="120"/>
        <v>2009</v>
      </c>
      <c r="F7420" t="s">
        <v>1095</v>
      </c>
      <c r="G7420" s="9">
        <v>2649.4</v>
      </c>
      <c r="H7420" s="8">
        <v>8876</v>
      </c>
    </row>
    <row r="7421" spans="2:8" x14ac:dyDescent="0.4">
      <c r="B7421" s="3" t="s">
        <v>7</v>
      </c>
      <c r="C7421" s="3" t="s">
        <v>1094</v>
      </c>
      <c r="D7421" s="4">
        <f>DATE(2007,3,14)</f>
        <v>39155</v>
      </c>
      <c r="E7421" s="5">
        <f t="shared" si="120"/>
        <v>2007</v>
      </c>
      <c r="F7421" s="3" t="s">
        <v>1095</v>
      </c>
      <c r="G7421" s="6">
        <v>1058.4000000000001</v>
      </c>
      <c r="H7421" s="5">
        <v>8160</v>
      </c>
    </row>
    <row r="7422" spans="2:8" x14ac:dyDescent="0.4">
      <c r="B7422" s="3" t="s">
        <v>7</v>
      </c>
      <c r="C7422" s="3" t="s">
        <v>1094</v>
      </c>
      <c r="D7422" s="4">
        <f>DATE(2009,5,29)</f>
        <v>39962</v>
      </c>
      <c r="E7422" s="5">
        <f t="shared" si="120"/>
        <v>2009</v>
      </c>
      <c r="F7422" s="3" t="s">
        <v>1095</v>
      </c>
      <c r="G7422" s="6">
        <v>375.2</v>
      </c>
      <c r="H7422" s="5">
        <v>12552</v>
      </c>
    </row>
    <row r="7423" spans="2:8" x14ac:dyDescent="0.4">
      <c r="B7423" s="3" t="s">
        <v>7</v>
      </c>
      <c r="C7423" s="3" t="s">
        <v>1094</v>
      </c>
      <c r="D7423" s="4">
        <f>DATE(2009,11,13)</f>
        <v>40130</v>
      </c>
      <c r="E7423" s="5">
        <f t="shared" si="120"/>
        <v>2009</v>
      </c>
      <c r="F7423" s="3" t="s">
        <v>1095</v>
      </c>
      <c r="G7423" s="6">
        <v>352.8</v>
      </c>
      <c r="H7423" s="5">
        <v>13230</v>
      </c>
    </row>
    <row r="7424" spans="2:8" x14ac:dyDescent="0.4">
      <c r="B7424" s="3" t="s">
        <v>7</v>
      </c>
      <c r="C7424" s="3" t="s">
        <v>1094</v>
      </c>
      <c r="D7424" s="4">
        <f>DATE(2010,10,28)</f>
        <v>40479</v>
      </c>
      <c r="E7424" s="5">
        <f t="shared" si="120"/>
        <v>2010</v>
      </c>
      <c r="F7424" s="3" t="s">
        <v>1095</v>
      </c>
      <c r="G7424" s="6">
        <v>389.2</v>
      </c>
      <c r="H7424" s="5">
        <v>14696</v>
      </c>
    </row>
    <row r="7425" spans="2:8" x14ac:dyDescent="0.4">
      <c r="B7425" s="3" t="s">
        <v>7</v>
      </c>
      <c r="C7425" s="3" t="s">
        <v>1094</v>
      </c>
      <c r="D7425" s="4">
        <f>DATE(2012,3,1)</f>
        <v>40969</v>
      </c>
      <c r="E7425" s="5">
        <f t="shared" si="120"/>
        <v>2012</v>
      </c>
      <c r="F7425" s="3" t="s">
        <v>1095</v>
      </c>
      <c r="G7425" s="6">
        <v>19.82</v>
      </c>
      <c r="H7425" s="5">
        <v>16680</v>
      </c>
    </row>
    <row r="7426" spans="2:8" x14ac:dyDescent="0.4">
      <c r="B7426" s="3" t="s">
        <v>7</v>
      </c>
      <c r="C7426" s="3" t="s">
        <v>1094</v>
      </c>
      <c r="D7426" s="4">
        <f>DATE(2013,3,7)</f>
        <v>41340</v>
      </c>
      <c r="E7426" s="5">
        <f t="shared" si="120"/>
        <v>2013</v>
      </c>
      <c r="F7426" s="3" t="s">
        <v>1095</v>
      </c>
      <c r="G7426" s="6">
        <v>8.82</v>
      </c>
      <c r="H7426" s="5">
        <v>18267</v>
      </c>
    </row>
    <row r="7427" spans="2:8" x14ac:dyDescent="0.4">
      <c r="B7427" t="s">
        <v>7</v>
      </c>
      <c r="C7427" t="s">
        <v>1096</v>
      </c>
      <c r="D7427" s="7">
        <f>DATE(2016,9,1)</f>
        <v>42614</v>
      </c>
      <c r="E7427" s="8">
        <f t="shared" ref="E7427:E7490" si="121">YEAR(D7427)</f>
        <v>2016</v>
      </c>
      <c r="F7427" t="s">
        <v>1097</v>
      </c>
      <c r="G7427" s="9">
        <v>900</v>
      </c>
      <c r="H7427" s="8">
        <v>23277</v>
      </c>
    </row>
    <row r="7428" spans="2:8" x14ac:dyDescent="0.4">
      <c r="B7428" t="s">
        <v>7</v>
      </c>
      <c r="C7428" t="s">
        <v>1096</v>
      </c>
      <c r="D7428" s="7">
        <f>DATE(2016,11,1)</f>
        <v>42675</v>
      </c>
      <c r="E7428" s="8">
        <f t="shared" si="121"/>
        <v>2016</v>
      </c>
      <c r="F7428" t="s">
        <v>1097</v>
      </c>
      <c r="G7428" s="9">
        <v>1842.5</v>
      </c>
      <c r="H7428" s="8">
        <v>23683</v>
      </c>
    </row>
    <row r="7429" spans="2:8" x14ac:dyDescent="0.4">
      <c r="B7429" t="s">
        <v>7</v>
      </c>
      <c r="C7429" t="s">
        <v>1096</v>
      </c>
      <c r="D7429" s="7">
        <f>DATE(2011,5,18)</f>
        <v>40681</v>
      </c>
      <c r="E7429" s="8">
        <f t="shared" si="121"/>
        <v>2011</v>
      </c>
      <c r="F7429" t="s">
        <v>1097</v>
      </c>
      <c r="G7429" s="9">
        <v>1952.63</v>
      </c>
      <c r="H7429" s="8">
        <v>10757</v>
      </c>
    </row>
    <row r="7430" spans="2:8" x14ac:dyDescent="0.4">
      <c r="B7430" s="3" t="s">
        <v>7</v>
      </c>
      <c r="C7430" s="3" t="s">
        <v>1096</v>
      </c>
      <c r="D7430" s="4">
        <f>DATE(2008,1,31)</f>
        <v>39478</v>
      </c>
      <c r="E7430" s="5">
        <f t="shared" si="121"/>
        <v>2008</v>
      </c>
      <c r="F7430" s="3" t="s">
        <v>1097</v>
      </c>
      <c r="G7430" s="6">
        <v>260</v>
      </c>
      <c r="H7430" s="5">
        <v>9812</v>
      </c>
    </row>
    <row r="7431" spans="2:8" x14ac:dyDescent="0.4">
      <c r="B7431" s="3" t="s">
        <v>7</v>
      </c>
      <c r="C7431" s="3" t="s">
        <v>1096</v>
      </c>
      <c r="D7431" s="4">
        <f>DATE(2008,5,20)</f>
        <v>39588</v>
      </c>
      <c r="E7431" s="5">
        <f t="shared" si="121"/>
        <v>2008</v>
      </c>
      <c r="F7431" s="3" t="s">
        <v>1097</v>
      </c>
      <c r="G7431" s="6">
        <v>2116</v>
      </c>
      <c r="H7431" s="5">
        <v>10700</v>
      </c>
    </row>
    <row r="7432" spans="2:8" x14ac:dyDescent="0.4">
      <c r="B7432" s="3" t="s">
        <v>7</v>
      </c>
      <c r="C7432" s="3" t="s">
        <v>1096</v>
      </c>
      <c r="D7432" s="4">
        <f>DATE(2011,3,23)</f>
        <v>40625</v>
      </c>
      <c r="E7432" s="5">
        <f t="shared" si="121"/>
        <v>2011</v>
      </c>
      <c r="F7432" s="3" t="s">
        <v>1097</v>
      </c>
      <c r="G7432" s="6">
        <v>166.8</v>
      </c>
      <c r="H7432" s="5">
        <v>15301</v>
      </c>
    </row>
    <row r="7433" spans="2:8" x14ac:dyDescent="0.4">
      <c r="B7433" s="3" t="s">
        <v>7</v>
      </c>
      <c r="C7433" s="3" t="s">
        <v>1096</v>
      </c>
      <c r="D7433" s="4">
        <f>DATE(2011,3,31)</f>
        <v>40633</v>
      </c>
      <c r="E7433" s="5">
        <f t="shared" si="121"/>
        <v>2011</v>
      </c>
      <c r="F7433" s="3" t="s">
        <v>1097</v>
      </c>
      <c r="G7433" s="6">
        <v>166.8</v>
      </c>
      <c r="H7433" s="5">
        <v>15348</v>
      </c>
    </row>
    <row r="7434" spans="2:8" x14ac:dyDescent="0.4">
      <c r="B7434" s="3" t="s">
        <v>7</v>
      </c>
      <c r="C7434" s="3" t="s">
        <v>1096</v>
      </c>
      <c r="D7434" s="4">
        <f>DATE(2012,3,31)</f>
        <v>40999</v>
      </c>
      <c r="E7434" s="5">
        <f t="shared" si="121"/>
        <v>2012</v>
      </c>
      <c r="F7434" s="3" t="s">
        <v>1097</v>
      </c>
      <c r="G7434" s="6">
        <v>278</v>
      </c>
      <c r="H7434" s="5">
        <v>16914</v>
      </c>
    </row>
    <row r="7435" spans="2:8" x14ac:dyDescent="0.4">
      <c r="B7435" s="3" t="s">
        <v>7</v>
      </c>
      <c r="C7435" s="3" t="s">
        <v>1096</v>
      </c>
      <c r="D7435" s="4">
        <f>DATE(2013,2,28)</f>
        <v>41333</v>
      </c>
      <c r="E7435" s="5">
        <f t="shared" si="121"/>
        <v>2013</v>
      </c>
      <c r="F7435" s="3" t="s">
        <v>1097</v>
      </c>
      <c r="G7435" s="6">
        <v>260</v>
      </c>
      <c r="H7435" s="5">
        <v>18230</v>
      </c>
    </row>
    <row r="7436" spans="2:8" x14ac:dyDescent="0.4">
      <c r="B7436" s="3" t="s">
        <v>7</v>
      </c>
      <c r="C7436" s="3" t="s">
        <v>1096</v>
      </c>
      <c r="D7436" s="4">
        <f>DATE(2014,4,2)</f>
        <v>41731</v>
      </c>
      <c r="E7436" s="5">
        <f t="shared" si="121"/>
        <v>2014</v>
      </c>
      <c r="F7436" s="3" t="s">
        <v>1097</v>
      </c>
      <c r="G7436" s="6">
        <v>107.6</v>
      </c>
      <c r="H7436" s="5">
        <v>19752</v>
      </c>
    </row>
    <row r="7437" spans="2:8" x14ac:dyDescent="0.4">
      <c r="B7437" t="s">
        <v>7</v>
      </c>
      <c r="C7437" t="s">
        <v>1098</v>
      </c>
      <c r="D7437" s="7">
        <f>DATE(2015,12,16)</f>
        <v>42354</v>
      </c>
      <c r="E7437" s="8">
        <f t="shared" si="121"/>
        <v>2015</v>
      </c>
      <c r="F7437" t="s">
        <v>1099</v>
      </c>
      <c r="G7437" s="9">
        <v>2282.56</v>
      </c>
      <c r="H7437" s="8">
        <v>21688</v>
      </c>
    </row>
    <row r="7438" spans="2:8" x14ac:dyDescent="0.4">
      <c r="B7438" t="s">
        <v>7</v>
      </c>
      <c r="C7438" t="s">
        <v>1098</v>
      </c>
      <c r="D7438" s="7">
        <f>DATE(2011,10,19)</f>
        <v>40835</v>
      </c>
      <c r="E7438" s="8">
        <f t="shared" si="121"/>
        <v>2011</v>
      </c>
      <c r="F7438" t="s">
        <v>1099</v>
      </c>
      <c r="G7438" s="9">
        <v>6624</v>
      </c>
      <c r="H7438" s="8">
        <v>11077</v>
      </c>
    </row>
    <row r="7439" spans="2:8" x14ac:dyDescent="0.4">
      <c r="B7439" t="s">
        <v>7</v>
      </c>
      <c r="C7439" t="s">
        <v>1098</v>
      </c>
      <c r="D7439" s="7">
        <f>DATE(2011,10,19)</f>
        <v>40835</v>
      </c>
      <c r="E7439" s="8">
        <f t="shared" si="121"/>
        <v>2011</v>
      </c>
      <c r="F7439" t="s">
        <v>1099</v>
      </c>
      <c r="G7439" s="9">
        <v>15427.82</v>
      </c>
      <c r="H7439" s="8">
        <v>11076</v>
      </c>
    </row>
    <row r="7440" spans="2:8" x14ac:dyDescent="0.4">
      <c r="B7440" t="s">
        <v>7</v>
      </c>
      <c r="C7440" t="s">
        <v>1098</v>
      </c>
      <c r="D7440" s="7">
        <f>DATE(2011,5,16)</f>
        <v>40679</v>
      </c>
      <c r="E7440" s="8">
        <f t="shared" si="121"/>
        <v>2011</v>
      </c>
      <c r="F7440" t="s">
        <v>1099</v>
      </c>
      <c r="G7440" s="9">
        <v>3836.21</v>
      </c>
      <c r="H7440" s="8">
        <v>10751</v>
      </c>
    </row>
    <row r="7441" spans="2:8" x14ac:dyDescent="0.4">
      <c r="B7441" t="s">
        <v>7</v>
      </c>
      <c r="C7441" t="s">
        <v>1098</v>
      </c>
      <c r="D7441" s="7">
        <f>DATE(2011,9,28)</f>
        <v>40814</v>
      </c>
      <c r="E7441" s="8">
        <f t="shared" si="121"/>
        <v>2011</v>
      </c>
      <c r="F7441" t="s">
        <v>1099</v>
      </c>
      <c r="G7441" s="9">
        <v>2897.98</v>
      </c>
      <c r="H7441" s="8">
        <v>11040</v>
      </c>
    </row>
    <row r="7442" spans="2:8" x14ac:dyDescent="0.4">
      <c r="B7442" t="s">
        <v>7</v>
      </c>
      <c r="C7442" t="s">
        <v>1098</v>
      </c>
      <c r="D7442" s="7">
        <f>DATE(2013,2,20)</f>
        <v>41325</v>
      </c>
      <c r="E7442" s="8">
        <f t="shared" si="121"/>
        <v>2013</v>
      </c>
      <c r="F7442" t="s">
        <v>1099</v>
      </c>
      <c r="G7442" s="9">
        <v>3182.18</v>
      </c>
      <c r="H7442" s="8">
        <v>12186</v>
      </c>
    </row>
    <row r="7443" spans="2:8" x14ac:dyDescent="0.4">
      <c r="B7443" t="s">
        <v>7</v>
      </c>
      <c r="C7443" t="s">
        <v>1100</v>
      </c>
      <c r="D7443" s="7">
        <f>DATE(2010,8,14)</f>
        <v>40404</v>
      </c>
      <c r="E7443" s="8">
        <f t="shared" si="121"/>
        <v>2010</v>
      </c>
      <c r="F7443" t="s">
        <v>1101</v>
      </c>
      <c r="G7443" s="9">
        <v>15005.69</v>
      </c>
      <c r="H7443" s="8">
        <v>10036</v>
      </c>
    </row>
    <row r="7444" spans="2:8" x14ac:dyDescent="0.4">
      <c r="B7444" t="s">
        <v>7</v>
      </c>
      <c r="C7444" t="s">
        <v>1100</v>
      </c>
      <c r="D7444" s="7">
        <f>DATE(2005,3,24)</f>
        <v>38435</v>
      </c>
      <c r="E7444" s="8">
        <f t="shared" si="121"/>
        <v>2005</v>
      </c>
      <c r="F7444" t="s">
        <v>1101</v>
      </c>
      <c r="G7444" s="9">
        <v>3731.8</v>
      </c>
      <c r="H7444" s="8">
        <v>2986</v>
      </c>
    </row>
    <row r="7445" spans="2:8" x14ac:dyDescent="0.4">
      <c r="B7445" t="s">
        <v>7</v>
      </c>
      <c r="C7445" t="s">
        <v>1100</v>
      </c>
      <c r="D7445" s="7">
        <f>DATE(2005,5,21)</f>
        <v>38493</v>
      </c>
      <c r="E7445" s="8">
        <f t="shared" si="121"/>
        <v>2005</v>
      </c>
      <c r="F7445" t="s">
        <v>1101</v>
      </c>
      <c r="G7445" s="9">
        <v>15480.1</v>
      </c>
      <c r="H7445" s="8">
        <v>3162</v>
      </c>
    </row>
    <row r="7446" spans="2:8" x14ac:dyDescent="0.4">
      <c r="B7446" t="s">
        <v>7</v>
      </c>
      <c r="C7446" t="s">
        <v>1100</v>
      </c>
      <c r="D7446" s="7">
        <f>DATE(2005,7,22)</f>
        <v>38555</v>
      </c>
      <c r="E7446" s="8">
        <f t="shared" si="121"/>
        <v>2005</v>
      </c>
      <c r="F7446" t="s">
        <v>1101</v>
      </c>
      <c r="G7446" s="9">
        <v>7838.79</v>
      </c>
      <c r="H7446" s="8">
        <v>3392</v>
      </c>
    </row>
    <row r="7447" spans="2:8" x14ac:dyDescent="0.4">
      <c r="B7447" t="s">
        <v>7</v>
      </c>
      <c r="C7447" t="s">
        <v>1100</v>
      </c>
      <c r="D7447" s="7">
        <f>DATE(2005,10,20)</f>
        <v>38645</v>
      </c>
      <c r="E7447" s="8">
        <f t="shared" si="121"/>
        <v>2005</v>
      </c>
      <c r="F7447" t="s">
        <v>1101</v>
      </c>
      <c r="G7447" s="9">
        <v>14794.8</v>
      </c>
      <c r="H7447" s="8">
        <v>3663</v>
      </c>
    </row>
    <row r="7448" spans="2:8" x14ac:dyDescent="0.4">
      <c r="B7448" t="s">
        <v>7</v>
      </c>
      <c r="C7448" t="s">
        <v>1100</v>
      </c>
      <c r="D7448" s="7">
        <f>DATE(2006,4,10)</f>
        <v>38817</v>
      </c>
      <c r="E7448" s="8">
        <f t="shared" si="121"/>
        <v>2006</v>
      </c>
      <c r="F7448" t="s">
        <v>1101</v>
      </c>
      <c r="G7448" s="9">
        <v>40000</v>
      </c>
      <c r="H7448" s="8">
        <v>3890</v>
      </c>
    </row>
    <row r="7449" spans="2:8" x14ac:dyDescent="0.4">
      <c r="B7449" t="s">
        <v>7</v>
      </c>
      <c r="C7449" t="s">
        <v>1100</v>
      </c>
      <c r="D7449" s="7">
        <f>DATE(2006,12,1)</f>
        <v>39052</v>
      </c>
      <c r="E7449" s="8">
        <f t="shared" si="121"/>
        <v>2006</v>
      </c>
      <c r="F7449" t="s">
        <v>1101</v>
      </c>
      <c r="G7449" s="9">
        <v>5222.9399999999996</v>
      </c>
      <c r="H7449" s="8">
        <v>5184</v>
      </c>
    </row>
    <row r="7450" spans="2:8" x14ac:dyDescent="0.4">
      <c r="B7450" t="s">
        <v>7</v>
      </c>
      <c r="C7450" t="s">
        <v>1100</v>
      </c>
      <c r="D7450" s="7">
        <f>DATE(2007,3,17)</f>
        <v>39158</v>
      </c>
      <c r="E7450" s="8">
        <f t="shared" si="121"/>
        <v>2007</v>
      </c>
      <c r="F7450" t="s">
        <v>1101</v>
      </c>
      <c r="G7450" s="9">
        <v>12211.41</v>
      </c>
      <c r="H7450" s="8">
        <v>5718</v>
      </c>
    </row>
    <row r="7451" spans="2:8" x14ac:dyDescent="0.4">
      <c r="B7451" t="s">
        <v>7</v>
      </c>
      <c r="C7451" t="s">
        <v>1100</v>
      </c>
      <c r="D7451" s="7">
        <f>DATE(2007,3,31)</f>
        <v>39172</v>
      </c>
      <c r="E7451" s="8">
        <f t="shared" si="121"/>
        <v>2007</v>
      </c>
      <c r="F7451" t="s">
        <v>1101</v>
      </c>
      <c r="G7451" s="9">
        <v>6848.22</v>
      </c>
      <c r="H7451" s="8">
        <v>5802</v>
      </c>
    </row>
    <row r="7452" spans="2:8" x14ac:dyDescent="0.4">
      <c r="B7452" t="s">
        <v>7</v>
      </c>
      <c r="C7452" t="s">
        <v>1100</v>
      </c>
      <c r="D7452" s="7">
        <f>DATE(2007,4,1)</f>
        <v>39173</v>
      </c>
      <c r="E7452" s="8">
        <f t="shared" si="121"/>
        <v>2007</v>
      </c>
      <c r="F7452" t="s">
        <v>1101</v>
      </c>
      <c r="G7452" s="9">
        <v>5378.58</v>
      </c>
      <c r="H7452" s="8">
        <v>5762</v>
      </c>
    </row>
    <row r="7453" spans="2:8" x14ac:dyDescent="0.4">
      <c r="B7453" t="s">
        <v>7</v>
      </c>
      <c r="C7453" t="s">
        <v>1100</v>
      </c>
      <c r="D7453" s="7">
        <f>DATE(2007,6,9)</f>
        <v>39242</v>
      </c>
      <c r="E7453" s="8">
        <f t="shared" si="121"/>
        <v>2007</v>
      </c>
      <c r="F7453" t="s">
        <v>1101</v>
      </c>
      <c r="G7453" s="9">
        <v>6991.18</v>
      </c>
      <c r="H7453" s="8">
        <v>6069</v>
      </c>
    </row>
    <row r="7454" spans="2:8" x14ac:dyDescent="0.4">
      <c r="B7454" t="s">
        <v>7</v>
      </c>
      <c r="C7454" t="s">
        <v>1100</v>
      </c>
      <c r="D7454" s="7">
        <f>DATE(2007,9,13)</f>
        <v>39338</v>
      </c>
      <c r="E7454" s="8">
        <f t="shared" si="121"/>
        <v>2007</v>
      </c>
      <c r="F7454" t="s">
        <v>1101</v>
      </c>
      <c r="G7454" s="9">
        <v>11039.13</v>
      </c>
      <c r="H7454" s="8">
        <v>6350</v>
      </c>
    </row>
    <row r="7455" spans="2:8" x14ac:dyDescent="0.4">
      <c r="B7455" t="s">
        <v>7</v>
      </c>
      <c r="C7455" t="s">
        <v>1100</v>
      </c>
      <c r="D7455" s="7">
        <f>DATE(2007,10,8)</f>
        <v>39363</v>
      </c>
      <c r="E7455" s="8">
        <f t="shared" si="121"/>
        <v>2007</v>
      </c>
      <c r="F7455" t="s">
        <v>1101</v>
      </c>
      <c r="G7455" s="9">
        <v>7070.64</v>
      </c>
      <c r="H7455" s="8">
        <v>6466</v>
      </c>
    </row>
    <row r="7456" spans="2:8" x14ac:dyDescent="0.4">
      <c r="B7456" t="s">
        <v>7</v>
      </c>
      <c r="C7456" t="s">
        <v>1100</v>
      </c>
      <c r="D7456" s="7">
        <f>DATE(2007,10,7)</f>
        <v>39362</v>
      </c>
      <c r="E7456" s="8">
        <f t="shared" si="121"/>
        <v>2007</v>
      </c>
      <c r="F7456" t="s">
        <v>1101</v>
      </c>
      <c r="G7456" s="9">
        <v>17975</v>
      </c>
      <c r="H7456" s="8">
        <v>6305</v>
      </c>
    </row>
    <row r="7457" spans="2:8" x14ac:dyDescent="0.4">
      <c r="B7457" t="s">
        <v>7</v>
      </c>
      <c r="C7457" t="s">
        <v>1100</v>
      </c>
      <c r="D7457" s="7">
        <f>DATE(2007,10,23)</f>
        <v>39378</v>
      </c>
      <c r="E7457" s="8">
        <f t="shared" si="121"/>
        <v>2007</v>
      </c>
      <c r="F7457" t="s">
        <v>1101</v>
      </c>
      <c r="G7457" s="9">
        <v>53192.22</v>
      </c>
      <c r="H7457" s="8">
        <v>6507</v>
      </c>
    </row>
    <row r="7458" spans="2:8" x14ac:dyDescent="0.4">
      <c r="B7458" t="s">
        <v>7</v>
      </c>
      <c r="C7458" t="s">
        <v>1100</v>
      </c>
      <c r="D7458" s="7">
        <f>DATE(2007,12,1)</f>
        <v>39417</v>
      </c>
      <c r="E7458" s="8">
        <f t="shared" si="121"/>
        <v>2007</v>
      </c>
      <c r="F7458" t="s">
        <v>1101</v>
      </c>
      <c r="G7458" s="9">
        <v>8211.68</v>
      </c>
      <c r="H7458" s="8">
        <v>6578</v>
      </c>
    </row>
    <row r="7459" spans="2:8" x14ac:dyDescent="0.4">
      <c r="B7459" t="s">
        <v>7</v>
      </c>
      <c r="C7459" t="s">
        <v>1100</v>
      </c>
      <c r="D7459" s="7">
        <f>DATE(2008,5,21)</f>
        <v>39589</v>
      </c>
      <c r="E7459" s="8">
        <f t="shared" si="121"/>
        <v>2008</v>
      </c>
      <c r="F7459" t="s">
        <v>1101</v>
      </c>
      <c r="G7459" s="9">
        <v>9196</v>
      </c>
      <c r="H7459" s="8">
        <v>7450</v>
      </c>
    </row>
    <row r="7460" spans="2:8" x14ac:dyDescent="0.4">
      <c r="B7460" t="s">
        <v>7</v>
      </c>
      <c r="C7460" t="s">
        <v>1100</v>
      </c>
      <c r="D7460" s="7">
        <f>DATE(2008,7,3)</f>
        <v>39632</v>
      </c>
      <c r="E7460" s="8">
        <f t="shared" si="121"/>
        <v>2008</v>
      </c>
      <c r="F7460" t="s">
        <v>1101</v>
      </c>
      <c r="G7460" s="9">
        <v>21984.880000000001</v>
      </c>
      <c r="H7460" s="8">
        <v>7583</v>
      </c>
    </row>
    <row r="7461" spans="2:8" x14ac:dyDescent="0.4">
      <c r="B7461" t="s">
        <v>7</v>
      </c>
      <c r="C7461" t="s">
        <v>1100</v>
      </c>
      <c r="D7461" s="7">
        <f>DATE(2008,10,30)</f>
        <v>39751</v>
      </c>
      <c r="E7461" s="8">
        <f t="shared" si="121"/>
        <v>2008</v>
      </c>
      <c r="F7461" t="s">
        <v>1101</v>
      </c>
      <c r="G7461" s="9">
        <v>10955</v>
      </c>
      <c r="H7461" s="8">
        <v>7975</v>
      </c>
    </row>
    <row r="7462" spans="2:8" x14ac:dyDescent="0.4">
      <c r="B7462" t="s">
        <v>7</v>
      </c>
      <c r="C7462" t="s">
        <v>1100</v>
      </c>
      <c r="D7462" s="7">
        <f>DATE(2008,11,21)</f>
        <v>39773</v>
      </c>
      <c r="E7462" s="8">
        <f t="shared" si="121"/>
        <v>2008</v>
      </c>
      <c r="F7462" t="s">
        <v>1101</v>
      </c>
      <c r="G7462" s="9">
        <v>9999.67</v>
      </c>
      <c r="H7462" s="8">
        <v>8044</v>
      </c>
    </row>
    <row r="7463" spans="2:8" x14ac:dyDescent="0.4">
      <c r="B7463" t="s">
        <v>7</v>
      </c>
      <c r="C7463" t="s">
        <v>1100</v>
      </c>
      <c r="D7463" s="7">
        <f>DATE(2008,12,5)</f>
        <v>39787</v>
      </c>
      <c r="E7463" s="8">
        <f t="shared" si="121"/>
        <v>2008</v>
      </c>
      <c r="F7463" t="s">
        <v>1101</v>
      </c>
      <c r="G7463" s="9">
        <v>21569.39</v>
      </c>
      <c r="H7463" s="8">
        <v>8066</v>
      </c>
    </row>
    <row r="7464" spans="2:8" x14ac:dyDescent="0.4">
      <c r="B7464" t="s">
        <v>7</v>
      </c>
      <c r="C7464" t="s">
        <v>1100</v>
      </c>
      <c r="D7464" s="7">
        <f>DATE(2009,11,6)</f>
        <v>40123</v>
      </c>
      <c r="E7464" s="8">
        <f t="shared" si="121"/>
        <v>2009</v>
      </c>
      <c r="F7464" t="s">
        <v>1101</v>
      </c>
      <c r="G7464" s="9">
        <v>22893.78</v>
      </c>
      <c r="H7464" s="8">
        <v>8957</v>
      </c>
    </row>
    <row r="7465" spans="2:8" x14ac:dyDescent="0.4">
      <c r="B7465" t="s">
        <v>7</v>
      </c>
      <c r="C7465" t="s">
        <v>1100</v>
      </c>
      <c r="D7465" s="7">
        <f>DATE(2010,3,23)</f>
        <v>40260</v>
      </c>
      <c r="E7465" s="8">
        <f t="shared" si="121"/>
        <v>2010</v>
      </c>
      <c r="F7465" t="s">
        <v>1101</v>
      </c>
      <c r="G7465" s="9">
        <v>17922</v>
      </c>
      <c r="H7465" s="8">
        <v>9425</v>
      </c>
    </row>
    <row r="7466" spans="2:8" x14ac:dyDescent="0.4">
      <c r="B7466" s="3" t="s">
        <v>7</v>
      </c>
      <c r="C7466" s="3" t="s">
        <v>1100</v>
      </c>
      <c r="D7466" s="4">
        <f>DATE(2003,12,5)</f>
        <v>37960</v>
      </c>
      <c r="E7466" s="5">
        <f t="shared" si="121"/>
        <v>2003</v>
      </c>
      <c r="F7466" s="3" t="s">
        <v>1101</v>
      </c>
      <c r="G7466" s="6">
        <v>3918.92</v>
      </c>
      <c r="H7466" s="5">
        <v>1796</v>
      </c>
    </row>
    <row r="7467" spans="2:8" x14ac:dyDescent="0.4">
      <c r="B7467" s="3" t="s">
        <v>7</v>
      </c>
      <c r="C7467" s="3" t="s">
        <v>1100</v>
      </c>
      <c r="D7467" s="4">
        <f>DATE(2003,12,31)</f>
        <v>37986</v>
      </c>
      <c r="E7467" s="5">
        <f t="shared" si="121"/>
        <v>2003</v>
      </c>
      <c r="F7467" s="3" t="s">
        <v>1101</v>
      </c>
      <c r="G7467" s="6">
        <v>472.5</v>
      </c>
      <c r="H7467" s="5">
        <v>1922</v>
      </c>
    </row>
    <row r="7468" spans="2:8" x14ac:dyDescent="0.4">
      <c r="B7468" s="3" t="s">
        <v>7</v>
      </c>
      <c r="C7468" s="3" t="s">
        <v>1100</v>
      </c>
      <c r="D7468" s="4">
        <f>DATE(2005,4,26)</f>
        <v>38468</v>
      </c>
      <c r="E7468" s="5">
        <f t="shared" si="121"/>
        <v>2005</v>
      </c>
      <c r="F7468" s="3" t="s">
        <v>1101</v>
      </c>
      <c r="G7468" s="6">
        <v>2418.69</v>
      </c>
      <c r="H7468" s="5">
        <v>4629</v>
      </c>
    </row>
    <row r="7469" spans="2:8" x14ac:dyDescent="0.4">
      <c r="B7469" s="3" t="s">
        <v>7</v>
      </c>
      <c r="C7469" s="3" t="s">
        <v>1100</v>
      </c>
      <c r="D7469" s="4">
        <f>DATE(2005,6,6)</f>
        <v>38509</v>
      </c>
      <c r="E7469" s="5">
        <f t="shared" si="121"/>
        <v>2005</v>
      </c>
      <c r="F7469" s="3" t="s">
        <v>1101</v>
      </c>
      <c r="G7469" s="6">
        <v>434.5</v>
      </c>
      <c r="H7469" s="5">
        <v>4630</v>
      </c>
    </row>
    <row r="7470" spans="2:8" x14ac:dyDescent="0.4">
      <c r="B7470" s="3" t="s">
        <v>7</v>
      </c>
      <c r="C7470" s="3" t="s">
        <v>1100</v>
      </c>
      <c r="D7470" s="4">
        <f>DATE(2005,6,6)</f>
        <v>38509</v>
      </c>
      <c r="E7470" s="5">
        <f t="shared" si="121"/>
        <v>2005</v>
      </c>
      <c r="F7470" s="3" t="s">
        <v>1101</v>
      </c>
      <c r="G7470" s="6">
        <v>495.92</v>
      </c>
      <c r="H7470" s="5">
        <v>4881</v>
      </c>
    </row>
    <row r="7471" spans="2:8" x14ac:dyDescent="0.4">
      <c r="B7471" s="3" t="s">
        <v>7</v>
      </c>
      <c r="C7471" s="3" t="s">
        <v>1100</v>
      </c>
      <c r="D7471" s="4">
        <f>DATE(2006,3,23)</f>
        <v>38799</v>
      </c>
      <c r="E7471" s="5">
        <f t="shared" si="121"/>
        <v>2006</v>
      </c>
      <c r="F7471" s="3" t="s">
        <v>1101</v>
      </c>
      <c r="G7471" s="6">
        <v>1057</v>
      </c>
      <c r="H7471" s="5">
        <v>6322</v>
      </c>
    </row>
    <row r="7472" spans="2:8" x14ac:dyDescent="0.4">
      <c r="B7472" s="3" t="s">
        <v>7</v>
      </c>
      <c r="C7472" s="3" t="s">
        <v>1100</v>
      </c>
      <c r="D7472" s="4">
        <f>DATE(2006,9,15)</f>
        <v>38975</v>
      </c>
      <c r="E7472" s="5">
        <f t="shared" si="121"/>
        <v>2006</v>
      </c>
      <c r="F7472" s="3" t="s">
        <v>1101</v>
      </c>
      <c r="G7472" s="6">
        <v>1158</v>
      </c>
      <c r="H7472" s="5">
        <v>7237</v>
      </c>
    </row>
    <row r="7473" spans="2:8" x14ac:dyDescent="0.4">
      <c r="B7473" s="3" t="s">
        <v>7</v>
      </c>
      <c r="C7473" s="3" t="s">
        <v>1100</v>
      </c>
      <c r="D7473" s="4">
        <f>DATE(2007,3,1)</f>
        <v>39142</v>
      </c>
      <c r="E7473" s="5">
        <f t="shared" si="121"/>
        <v>2007</v>
      </c>
      <c r="F7473" s="3" t="s">
        <v>1101</v>
      </c>
      <c r="G7473" s="6">
        <v>371.18</v>
      </c>
      <c r="H7473" s="5">
        <v>8055</v>
      </c>
    </row>
    <row r="7474" spans="2:8" x14ac:dyDescent="0.4">
      <c r="B7474" s="3" t="s">
        <v>7</v>
      </c>
      <c r="C7474" s="3" t="s">
        <v>1100</v>
      </c>
      <c r="D7474" s="4">
        <f>DATE(2007,3,30)</f>
        <v>39171</v>
      </c>
      <c r="E7474" s="5">
        <f t="shared" si="121"/>
        <v>2007</v>
      </c>
      <c r="F7474" s="3" t="s">
        <v>1101</v>
      </c>
      <c r="G7474" s="6">
        <v>6312.38</v>
      </c>
      <c r="H7474" s="5">
        <v>8280</v>
      </c>
    </row>
    <row r="7475" spans="2:8" x14ac:dyDescent="0.4">
      <c r="B7475" s="3" t="s">
        <v>7</v>
      </c>
      <c r="C7475" s="3" t="s">
        <v>1100</v>
      </c>
      <c r="D7475" s="4">
        <f>DATE(2007,6,5)</f>
        <v>39238</v>
      </c>
      <c r="E7475" s="5">
        <f t="shared" si="121"/>
        <v>2007</v>
      </c>
      <c r="F7475" s="3" t="s">
        <v>1101</v>
      </c>
      <c r="G7475" s="6">
        <v>4621.63</v>
      </c>
      <c r="H7475" s="5">
        <v>8719</v>
      </c>
    </row>
    <row r="7476" spans="2:8" x14ac:dyDescent="0.4">
      <c r="B7476" s="3" t="s">
        <v>7</v>
      </c>
      <c r="C7476" s="3" t="s">
        <v>1100</v>
      </c>
      <c r="D7476" s="4">
        <f>DATE(2007,7,12)</f>
        <v>39275</v>
      </c>
      <c r="E7476" s="5">
        <f t="shared" si="121"/>
        <v>2007</v>
      </c>
      <c r="F7476" s="3" t="s">
        <v>1101</v>
      </c>
      <c r="G7476" s="6">
        <v>1702.05</v>
      </c>
      <c r="H7476" s="5">
        <v>8790</v>
      </c>
    </row>
    <row r="7477" spans="2:8" x14ac:dyDescent="0.4">
      <c r="B7477" s="3" t="s">
        <v>7</v>
      </c>
      <c r="C7477" s="3" t="s">
        <v>1100</v>
      </c>
      <c r="D7477" s="4">
        <f>DATE(2007,8,6)</f>
        <v>39300</v>
      </c>
      <c r="E7477" s="5">
        <f t="shared" si="121"/>
        <v>2007</v>
      </c>
      <c r="F7477" s="3" t="s">
        <v>1101</v>
      </c>
      <c r="G7477" s="6">
        <v>2447</v>
      </c>
      <c r="H7477" s="5">
        <v>8980</v>
      </c>
    </row>
    <row r="7478" spans="2:8" x14ac:dyDescent="0.4">
      <c r="B7478" s="3" t="s">
        <v>7</v>
      </c>
      <c r="C7478" s="3" t="s">
        <v>1100</v>
      </c>
      <c r="D7478" s="4">
        <f>DATE(2007,9,12)</f>
        <v>39337</v>
      </c>
      <c r="E7478" s="5">
        <f t="shared" si="121"/>
        <v>2007</v>
      </c>
      <c r="F7478" s="3" t="s">
        <v>1101</v>
      </c>
      <c r="G7478" s="6">
        <v>3026.48</v>
      </c>
      <c r="H7478" s="5">
        <v>9063</v>
      </c>
    </row>
    <row r="7479" spans="2:8" x14ac:dyDescent="0.4">
      <c r="B7479" s="3" t="s">
        <v>7</v>
      </c>
      <c r="C7479" s="3" t="s">
        <v>1100</v>
      </c>
      <c r="D7479" s="4">
        <f>DATE(2007,10,1)</f>
        <v>39356</v>
      </c>
      <c r="E7479" s="5">
        <f t="shared" si="121"/>
        <v>2007</v>
      </c>
      <c r="F7479" s="3" t="s">
        <v>1101</v>
      </c>
      <c r="G7479" s="6">
        <v>3000</v>
      </c>
      <c r="H7479" s="5">
        <v>9234</v>
      </c>
    </row>
    <row r="7480" spans="2:8" x14ac:dyDescent="0.4">
      <c r="B7480" s="3" t="s">
        <v>7</v>
      </c>
      <c r="C7480" s="3" t="s">
        <v>1100</v>
      </c>
      <c r="D7480" s="4">
        <f>DATE(2007,10,19)</f>
        <v>39374</v>
      </c>
      <c r="E7480" s="5">
        <f t="shared" si="121"/>
        <v>2007</v>
      </c>
      <c r="F7480" s="3" t="s">
        <v>1101</v>
      </c>
      <c r="G7480" s="6">
        <v>1031</v>
      </c>
      <c r="H7480" s="5">
        <v>9292</v>
      </c>
    </row>
    <row r="7481" spans="2:8" x14ac:dyDescent="0.4">
      <c r="B7481" s="3" t="s">
        <v>7</v>
      </c>
      <c r="C7481" s="3" t="s">
        <v>1100</v>
      </c>
      <c r="D7481" s="4">
        <f>DATE(2007,10,22)</f>
        <v>39377</v>
      </c>
      <c r="E7481" s="5">
        <f t="shared" si="121"/>
        <v>2007</v>
      </c>
      <c r="F7481" s="3" t="s">
        <v>1101</v>
      </c>
      <c r="G7481" s="6">
        <v>2274.7399999999998</v>
      </c>
      <c r="H7481" s="5">
        <v>9372</v>
      </c>
    </row>
    <row r="7482" spans="2:8" x14ac:dyDescent="0.4">
      <c r="B7482" s="3" t="s">
        <v>7</v>
      </c>
      <c r="C7482" s="3" t="s">
        <v>1100</v>
      </c>
      <c r="D7482" s="4">
        <f>DATE(2008,2,18)</f>
        <v>39496</v>
      </c>
      <c r="E7482" s="5">
        <f t="shared" si="121"/>
        <v>2008</v>
      </c>
      <c r="F7482" s="3" t="s">
        <v>1101</v>
      </c>
      <c r="G7482" s="6">
        <v>1336.81</v>
      </c>
      <c r="H7482" s="5">
        <v>9979</v>
      </c>
    </row>
    <row r="7483" spans="2:8" x14ac:dyDescent="0.4">
      <c r="B7483" s="3" t="s">
        <v>7</v>
      </c>
      <c r="C7483" s="3" t="s">
        <v>1100</v>
      </c>
      <c r="D7483" s="4">
        <f>DATE(2008,4,1)</f>
        <v>39539</v>
      </c>
      <c r="E7483" s="5">
        <f t="shared" si="121"/>
        <v>2008</v>
      </c>
      <c r="F7483" s="3" t="s">
        <v>1101</v>
      </c>
      <c r="G7483" s="6">
        <v>1336.81</v>
      </c>
      <c r="H7483" s="5">
        <v>10599</v>
      </c>
    </row>
    <row r="7484" spans="2:8" x14ac:dyDescent="0.4">
      <c r="B7484" s="3" t="s">
        <v>7</v>
      </c>
      <c r="C7484" s="3" t="s">
        <v>1100</v>
      </c>
      <c r="D7484" s="4">
        <f>DATE(2008,5,11)</f>
        <v>39579</v>
      </c>
      <c r="E7484" s="5">
        <f t="shared" si="121"/>
        <v>2008</v>
      </c>
      <c r="F7484" s="3" t="s">
        <v>1101</v>
      </c>
      <c r="G7484" s="6">
        <v>1400</v>
      </c>
      <c r="H7484" s="5">
        <v>10645</v>
      </c>
    </row>
    <row r="7485" spans="2:8" x14ac:dyDescent="0.4">
      <c r="B7485" s="3" t="s">
        <v>7</v>
      </c>
      <c r="C7485" s="3" t="s">
        <v>1100</v>
      </c>
      <c r="D7485" s="4">
        <f>DATE(2008,7,15)</f>
        <v>39644</v>
      </c>
      <c r="E7485" s="5">
        <f t="shared" si="121"/>
        <v>2008</v>
      </c>
      <c r="F7485" s="3" t="s">
        <v>1101</v>
      </c>
      <c r="G7485" s="6">
        <v>424</v>
      </c>
      <c r="H7485" s="5">
        <v>10924</v>
      </c>
    </row>
    <row r="7486" spans="2:8" x14ac:dyDescent="0.4">
      <c r="B7486" s="3" t="s">
        <v>7</v>
      </c>
      <c r="C7486" s="3" t="s">
        <v>1100</v>
      </c>
      <c r="D7486" s="4">
        <f>DATE(2009,5,14)</f>
        <v>39947</v>
      </c>
      <c r="E7486" s="5">
        <f t="shared" si="121"/>
        <v>2009</v>
      </c>
      <c r="F7486" s="3" t="s">
        <v>1101</v>
      </c>
      <c r="G7486" s="6">
        <v>2250</v>
      </c>
      <c r="H7486" s="5">
        <v>12451</v>
      </c>
    </row>
    <row r="7487" spans="2:8" x14ac:dyDescent="0.4">
      <c r="B7487" s="3" t="s">
        <v>7</v>
      </c>
      <c r="C7487" s="3" t="s">
        <v>1100</v>
      </c>
      <c r="D7487" s="4">
        <f>DATE(2009,6,24)</f>
        <v>39988</v>
      </c>
      <c r="E7487" s="5">
        <f t="shared" si="121"/>
        <v>2009</v>
      </c>
      <c r="F7487" s="3" t="s">
        <v>1101</v>
      </c>
      <c r="G7487" s="6">
        <v>750</v>
      </c>
      <c r="H7487" s="5">
        <v>12696</v>
      </c>
    </row>
    <row r="7488" spans="2:8" x14ac:dyDescent="0.4">
      <c r="B7488" s="3" t="s">
        <v>7</v>
      </c>
      <c r="C7488" s="3" t="s">
        <v>1100</v>
      </c>
      <c r="D7488" s="4">
        <f>DATE(2011,3,10)</f>
        <v>40612</v>
      </c>
      <c r="E7488" s="5">
        <f t="shared" si="121"/>
        <v>2011</v>
      </c>
      <c r="F7488" s="3" t="s">
        <v>1101</v>
      </c>
      <c r="G7488" s="6">
        <v>1380</v>
      </c>
      <c r="H7488" s="5">
        <v>15217</v>
      </c>
    </row>
    <row r="7489" spans="2:8" x14ac:dyDescent="0.4">
      <c r="B7489" s="3" t="s">
        <v>16</v>
      </c>
      <c r="C7489" s="3" t="s">
        <v>1100</v>
      </c>
      <c r="D7489" s="4">
        <f>DATE(2008,2,18)</f>
        <v>39496</v>
      </c>
      <c r="E7489" s="5">
        <f t="shared" si="121"/>
        <v>2008</v>
      </c>
      <c r="F7489" s="3" t="s">
        <v>1101</v>
      </c>
      <c r="G7489" s="6">
        <v>1336.81</v>
      </c>
      <c r="H7489" s="5">
        <v>10595</v>
      </c>
    </row>
    <row r="7490" spans="2:8" x14ac:dyDescent="0.4">
      <c r="B7490" t="s">
        <v>7</v>
      </c>
      <c r="C7490" t="s">
        <v>1100</v>
      </c>
      <c r="D7490" s="7">
        <f>DATE(2004,3,26)</f>
        <v>38072</v>
      </c>
      <c r="E7490" s="8">
        <f t="shared" si="121"/>
        <v>2004</v>
      </c>
      <c r="F7490" t="s">
        <v>1101</v>
      </c>
      <c r="G7490" s="9">
        <v>18184</v>
      </c>
      <c r="H7490" s="8">
        <v>23</v>
      </c>
    </row>
    <row r="7491" spans="2:8" x14ac:dyDescent="0.4">
      <c r="B7491" t="s">
        <v>7</v>
      </c>
      <c r="C7491" t="s">
        <v>1100</v>
      </c>
      <c r="D7491" s="7">
        <f>DATE(2004,5,28)</f>
        <v>38135</v>
      </c>
      <c r="E7491" s="8">
        <f t="shared" ref="E7491:E7554" si="122">YEAR(D7491)</f>
        <v>2004</v>
      </c>
      <c r="F7491" t="s">
        <v>1101</v>
      </c>
      <c r="G7491" s="9">
        <v>17814.47</v>
      </c>
      <c r="H7491" s="8">
        <v>44</v>
      </c>
    </row>
    <row r="7492" spans="2:8" x14ac:dyDescent="0.4">
      <c r="B7492" t="s">
        <v>7</v>
      </c>
      <c r="C7492" t="s">
        <v>1100</v>
      </c>
      <c r="D7492" s="7">
        <f>DATE(2004,9,7)</f>
        <v>38237</v>
      </c>
      <c r="E7492" s="8">
        <f t="shared" si="122"/>
        <v>2004</v>
      </c>
      <c r="F7492" t="s">
        <v>1101</v>
      </c>
      <c r="G7492" s="9">
        <v>19004.02</v>
      </c>
      <c r="H7492" s="8">
        <v>49</v>
      </c>
    </row>
    <row r="7493" spans="2:8" x14ac:dyDescent="0.4">
      <c r="B7493" t="s">
        <v>7</v>
      </c>
      <c r="C7493" t="s">
        <v>1100</v>
      </c>
      <c r="D7493" s="7">
        <f>DATE(2005,5,18)</f>
        <v>38490</v>
      </c>
      <c r="E7493" s="8">
        <f t="shared" si="122"/>
        <v>2005</v>
      </c>
      <c r="F7493" t="s">
        <v>1101</v>
      </c>
      <c r="G7493" s="9">
        <v>39626.49</v>
      </c>
      <c r="H7493" s="8">
        <v>74</v>
      </c>
    </row>
    <row r="7494" spans="2:8" x14ac:dyDescent="0.4">
      <c r="B7494" t="s">
        <v>7</v>
      </c>
      <c r="C7494" t="s">
        <v>1100</v>
      </c>
      <c r="D7494" s="7">
        <f>DATE(2005,6,12)</f>
        <v>38515</v>
      </c>
      <c r="E7494" s="8">
        <f t="shared" si="122"/>
        <v>2005</v>
      </c>
      <c r="F7494" t="s">
        <v>1101</v>
      </c>
      <c r="G7494" s="9">
        <v>19161.22</v>
      </c>
      <c r="H7494" s="8">
        <v>83</v>
      </c>
    </row>
    <row r="7495" spans="2:8" x14ac:dyDescent="0.4">
      <c r="B7495" t="s">
        <v>7</v>
      </c>
      <c r="C7495" t="s">
        <v>1100</v>
      </c>
      <c r="D7495" s="7">
        <f>DATE(2005,10,18)</f>
        <v>38643</v>
      </c>
      <c r="E7495" s="8">
        <f t="shared" si="122"/>
        <v>2005</v>
      </c>
      <c r="F7495" t="s">
        <v>1101</v>
      </c>
      <c r="G7495" s="9">
        <v>30895.57</v>
      </c>
      <c r="H7495" s="8">
        <v>95</v>
      </c>
    </row>
    <row r="7496" spans="2:8" x14ac:dyDescent="0.4">
      <c r="B7496" t="s">
        <v>7</v>
      </c>
      <c r="C7496" t="s">
        <v>1100</v>
      </c>
      <c r="D7496" s="7">
        <f>DATE(2006,4,5)</f>
        <v>38812</v>
      </c>
      <c r="E7496" s="8">
        <f t="shared" si="122"/>
        <v>2006</v>
      </c>
      <c r="F7496" t="s">
        <v>1101</v>
      </c>
      <c r="G7496" s="9">
        <v>25000</v>
      </c>
      <c r="H7496" s="8">
        <v>113</v>
      </c>
    </row>
    <row r="7497" spans="2:8" x14ac:dyDescent="0.4">
      <c r="B7497" t="s">
        <v>7</v>
      </c>
      <c r="C7497" t="s">
        <v>1100</v>
      </c>
      <c r="D7497" s="7">
        <f>DATE(2007,4,1)</f>
        <v>39173</v>
      </c>
      <c r="E7497" s="8">
        <f t="shared" si="122"/>
        <v>2007</v>
      </c>
      <c r="F7497" t="s">
        <v>1101</v>
      </c>
      <c r="G7497" s="9">
        <v>1572.23</v>
      </c>
      <c r="H7497" s="8">
        <v>127</v>
      </c>
    </row>
    <row r="7498" spans="2:8" x14ac:dyDescent="0.4">
      <c r="B7498" t="s">
        <v>7</v>
      </c>
      <c r="C7498" t="s">
        <v>1100</v>
      </c>
      <c r="D7498" s="7">
        <f>DATE(2007,7,15)</f>
        <v>39278</v>
      </c>
      <c r="E7498" s="8">
        <f t="shared" si="122"/>
        <v>2007</v>
      </c>
      <c r="F7498" t="s">
        <v>1101</v>
      </c>
      <c r="G7498" s="9">
        <v>24366.29</v>
      </c>
      <c r="H7498" s="8">
        <v>140</v>
      </c>
    </row>
    <row r="7499" spans="2:8" x14ac:dyDescent="0.4">
      <c r="B7499" t="s">
        <v>7</v>
      </c>
      <c r="C7499" t="s">
        <v>1100</v>
      </c>
      <c r="D7499" s="7">
        <f>DATE(2007,10,5)</f>
        <v>39360</v>
      </c>
      <c r="E7499" s="8">
        <f t="shared" si="122"/>
        <v>2007</v>
      </c>
      <c r="F7499" t="s">
        <v>1101</v>
      </c>
      <c r="G7499" s="9">
        <v>7734.48</v>
      </c>
      <c r="H7499" s="8">
        <v>143</v>
      </c>
    </row>
    <row r="7500" spans="2:8" x14ac:dyDescent="0.4">
      <c r="B7500" t="s">
        <v>7</v>
      </c>
      <c r="C7500" t="s">
        <v>1100</v>
      </c>
      <c r="D7500" s="7">
        <f>DATE(2007,10,8)</f>
        <v>39363</v>
      </c>
      <c r="E7500" s="8">
        <f t="shared" si="122"/>
        <v>2007</v>
      </c>
      <c r="F7500" t="s">
        <v>1101</v>
      </c>
      <c r="G7500" s="9">
        <v>21523.11</v>
      </c>
      <c r="H7500" s="8">
        <v>145</v>
      </c>
    </row>
    <row r="7501" spans="2:8" x14ac:dyDescent="0.4">
      <c r="B7501" t="s">
        <v>7</v>
      </c>
      <c r="C7501" t="s">
        <v>1100</v>
      </c>
      <c r="D7501" s="7">
        <f>DATE(2007,10,21)</f>
        <v>39376</v>
      </c>
      <c r="E7501" s="8">
        <f t="shared" si="122"/>
        <v>2007</v>
      </c>
      <c r="F7501" t="s">
        <v>1101</v>
      </c>
      <c r="G7501" s="9">
        <v>9857</v>
      </c>
      <c r="H7501" s="8">
        <v>138</v>
      </c>
    </row>
    <row r="7502" spans="2:8" x14ac:dyDescent="0.4">
      <c r="B7502" t="s">
        <v>7</v>
      </c>
      <c r="C7502" t="s">
        <v>1100</v>
      </c>
      <c r="D7502" s="7">
        <f>DATE(2008,2,18)</f>
        <v>39496</v>
      </c>
      <c r="E7502" s="8">
        <f t="shared" si="122"/>
        <v>2008</v>
      </c>
      <c r="F7502" t="s">
        <v>1101</v>
      </c>
      <c r="G7502" s="9">
        <v>21814.87</v>
      </c>
      <c r="H7502" s="8">
        <v>151</v>
      </c>
    </row>
    <row r="7503" spans="2:8" x14ac:dyDescent="0.4">
      <c r="B7503" t="s">
        <v>7</v>
      </c>
      <c r="C7503" t="s">
        <v>1100</v>
      </c>
      <c r="D7503" s="7">
        <f>DATE(2008,2,21)</f>
        <v>39499</v>
      </c>
      <c r="E7503" s="8">
        <f t="shared" si="122"/>
        <v>2008</v>
      </c>
      <c r="F7503" t="s">
        <v>1101</v>
      </c>
      <c r="G7503" s="9">
        <v>12511.52</v>
      </c>
      <c r="H7503" s="8">
        <v>153</v>
      </c>
    </row>
    <row r="7504" spans="2:8" x14ac:dyDescent="0.4">
      <c r="B7504" t="s">
        <v>7</v>
      </c>
      <c r="C7504" t="s">
        <v>1100</v>
      </c>
      <c r="D7504" s="7">
        <f>DATE(2008,5,1)</f>
        <v>39569</v>
      </c>
      <c r="E7504" s="8">
        <f t="shared" si="122"/>
        <v>2008</v>
      </c>
      <c r="F7504" t="s">
        <v>1101</v>
      </c>
      <c r="G7504" s="9">
        <v>14417</v>
      </c>
      <c r="H7504" s="8">
        <v>171</v>
      </c>
    </row>
    <row r="7505" spans="2:8" x14ac:dyDescent="0.4">
      <c r="B7505" t="s">
        <v>7</v>
      </c>
      <c r="C7505" t="s">
        <v>1100</v>
      </c>
      <c r="D7505" s="7">
        <f>DATE(2008,5,12)</f>
        <v>39580</v>
      </c>
      <c r="E7505" s="8">
        <f t="shared" si="122"/>
        <v>2008</v>
      </c>
      <c r="F7505" t="s">
        <v>1101</v>
      </c>
      <c r="G7505" s="9">
        <v>29440.6</v>
      </c>
      <c r="H7505" s="8">
        <v>173</v>
      </c>
    </row>
    <row r="7506" spans="2:8" x14ac:dyDescent="0.4">
      <c r="B7506" t="s">
        <v>7</v>
      </c>
      <c r="C7506" t="s">
        <v>1100</v>
      </c>
      <c r="D7506" s="7">
        <f>DATE(2008,6,29)</f>
        <v>39628</v>
      </c>
      <c r="E7506" s="8">
        <f t="shared" si="122"/>
        <v>2008</v>
      </c>
      <c r="F7506" t="s">
        <v>1101</v>
      </c>
      <c r="G7506" s="9">
        <v>12958.26</v>
      </c>
      <c r="H7506" s="8">
        <v>174</v>
      </c>
    </row>
    <row r="7507" spans="2:8" x14ac:dyDescent="0.4">
      <c r="B7507" t="s">
        <v>7</v>
      </c>
      <c r="C7507" t="s">
        <v>1100</v>
      </c>
      <c r="D7507" s="7">
        <f>DATE(2008,8,3)</f>
        <v>39663</v>
      </c>
      <c r="E7507" s="8">
        <f t="shared" si="122"/>
        <v>2008</v>
      </c>
      <c r="F7507" t="s">
        <v>1101</v>
      </c>
      <c r="G7507" s="9">
        <v>25048.36</v>
      </c>
      <c r="H7507" s="8">
        <v>178</v>
      </c>
    </row>
    <row r="7508" spans="2:8" x14ac:dyDescent="0.4">
      <c r="B7508" t="s">
        <v>7</v>
      </c>
      <c r="C7508" t="s">
        <v>1100</v>
      </c>
      <c r="D7508" s="7">
        <f>DATE(2008,9,21)</f>
        <v>39712</v>
      </c>
      <c r="E7508" s="8">
        <f t="shared" si="122"/>
        <v>2008</v>
      </c>
      <c r="F7508" t="s">
        <v>1101</v>
      </c>
      <c r="G7508" s="9">
        <v>43241.66</v>
      </c>
      <c r="H7508" s="8">
        <v>182</v>
      </c>
    </row>
    <row r="7509" spans="2:8" x14ac:dyDescent="0.4">
      <c r="B7509" t="s">
        <v>7</v>
      </c>
      <c r="C7509" t="s">
        <v>1100</v>
      </c>
      <c r="D7509" s="7">
        <f>DATE(2009,5,12)</f>
        <v>39945</v>
      </c>
      <c r="E7509" s="8">
        <f t="shared" si="122"/>
        <v>2009</v>
      </c>
      <c r="F7509" t="s">
        <v>1101</v>
      </c>
      <c r="G7509" s="9">
        <v>18069.41</v>
      </c>
      <c r="H7509" s="8">
        <v>216</v>
      </c>
    </row>
    <row r="7510" spans="2:8" x14ac:dyDescent="0.4">
      <c r="B7510" t="s">
        <v>7</v>
      </c>
      <c r="C7510" t="s">
        <v>1100</v>
      </c>
      <c r="D7510" s="7">
        <f>DATE(2009,6,23)</f>
        <v>39987</v>
      </c>
      <c r="E7510" s="8">
        <f t="shared" si="122"/>
        <v>2009</v>
      </c>
      <c r="F7510" t="s">
        <v>1101</v>
      </c>
      <c r="G7510" s="9">
        <v>23416.46</v>
      </c>
      <c r="H7510" s="8">
        <v>224</v>
      </c>
    </row>
    <row r="7511" spans="2:8" x14ac:dyDescent="0.4">
      <c r="B7511" t="s">
        <v>7</v>
      </c>
      <c r="C7511" t="s">
        <v>1100</v>
      </c>
      <c r="D7511" s="7">
        <f>DATE(2009,7,14)</f>
        <v>40008</v>
      </c>
      <c r="E7511" s="8">
        <f t="shared" si="122"/>
        <v>2009</v>
      </c>
      <c r="F7511" t="s">
        <v>1101</v>
      </c>
      <c r="G7511" s="9">
        <v>23338.36</v>
      </c>
      <c r="H7511" s="8">
        <v>226</v>
      </c>
    </row>
    <row r="7512" spans="2:8" x14ac:dyDescent="0.4">
      <c r="B7512" t="s">
        <v>7</v>
      </c>
      <c r="C7512" t="s">
        <v>1100</v>
      </c>
      <c r="D7512" s="7">
        <f>DATE(2009,10,5)</f>
        <v>40091</v>
      </c>
      <c r="E7512" s="8">
        <f t="shared" si="122"/>
        <v>2009</v>
      </c>
      <c r="F7512" t="s">
        <v>1101</v>
      </c>
      <c r="G7512" s="9">
        <v>18999.3</v>
      </c>
      <c r="H7512" s="8">
        <v>234</v>
      </c>
    </row>
    <row r="7513" spans="2:8" x14ac:dyDescent="0.4">
      <c r="B7513" t="s">
        <v>7</v>
      </c>
      <c r="C7513" t="s">
        <v>1100</v>
      </c>
      <c r="D7513" s="7">
        <f>DATE(2009,11,5)</f>
        <v>40122</v>
      </c>
      <c r="E7513" s="8">
        <f t="shared" si="122"/>
        <v>2009</v>
      </c>
      <c r="F7513" t="s">
        <v>1101</v>
      </c>
      <c r="G7513" s="9">
        <v>32333.88</v>
      </c>
      <c r="H7513" s="8">
        <v>227</v>
      </c>
    </row>
    <row r="7514" spans="2:8" x14ac:dyDescent="0.4">
      <c r="B7514" t="s">
        <v>7</v>
      </c>
      <c r="C7514" t="s">
        <v>1100</v>
      </c>
      <c r="D7514" s="7">
        <f>DATE(2010,3,18)</f>
        <v>40255</v>
      </c>
      <c r="E7514" s="8">
        <f t="shared" si="122"/>
        <v>2010</v>
      </c>
      <c r="F7514" t="s">
        <v>1101</v>
      </c>
      <c r="G7514" s="9">
        <v>25605.51</v>
      </c>
      <c r="H7514" s="8">
        <v>242</v>
      </c>
    </row>
    <row r="7515" spans="2:8" x14ac:dyDescent="0.4">
      <c r="B7515" t="s">
        <v>7</v>
      </c>
      <c r="C7515" t="s">
        <v>1100</v>
      </c>
      <c r="D7515" s="7">
        <f>DATE(2010,8,20)</f>
        <v>40410</v>
      </c>
      <c r="E7515" s="8">
        <f t="shared" si="122"/>
        <v>2010</v>
      </c>
      <c r="F7515" t="s">
        <v>1101</v>
      </c>
      <c r="G7515" s="9">
        <v>9587.2900000000009</v>
      </c>
      <c r="H7515" s="8">
        <v>258</v>
      </c>
    </row>
    <row r="7516" spans="2:8" x14ac:dyDescent="0.4">
      <c r="B7516" t="s">
        <v>7</v>
      </c>
      <c r="C7516" t="s">
        <v>1100</v>
      </c>
      <c r="D7516" s="7">
        <f>DATE(2011,8,25)</f>
        <v>40780</v>
      </c>
      <c r="E7516" s="8">
        <f t="shared" si="122"/>
        <v>2011</v>
      </c>
      <c r="F7516" t="s">
        <v>1101</v>
      </c>
      <c r="G7516" s="9">
        <v>17552.939999999999</v>
      </c>
      <c r="H7516" s="8">
        <v>279</v>
      </c>
    </row>
    <row r="7517" spans="2:8" x14ac:dyDescent="0.4">
      <c r="B7517" s="3" t="s">
        <v>7</v>
      </c>
      <c r="C7517" s="3" t="s">
        <v>1102</v>
      </c>
      <c r="D7517" s="4">
        <f>DATE(2005,1,6)</f>
        <v>38358</v>
      </c>
      <c r="E7517" s="5">
        <f t="shared" si="122"/>
        <v>2005</v>
      </c>
      <c r="F7517" s="3" t="s">
        <v>1103</v>
      </c>
      <c r="G7517" s="6">
        <v>118.88</v>
      </c>
      <c r="H7517" s="5">
        <v>3907</v>
      </c>
    </row>
    <row r="7518" spans="2:8" x14ac:dyDescent="0.4">
      <c r="B7518" s="3" t="s">
        <v>7</v>
      </c>
      <c r="C7518" s="3" t="s">
        <v>1102</v>
      </c>
      <c r="D7518" s="4">
        <f>DATE(2005,1,19)</f>
        <v>38371</v>
      </c>
      <c r="E7518" s="5">
        <f t="shared" si="122"/>
        <v>2005</v>
      </c>
      <c r="F7518" s="3" t="s">
        <v>1103</v>
      </c>
      <c r="G7518" s="6">
        <v>118.88</v>
      </c>
      <c r="H7518" s="5">
        <v>3988</v>
      </c>
    </row>
    <row r="7519" spans="2:8" x14ac:dyDescent="0.4">
      <c r="B7519" s="3" t="s">
        <v>7</v>
      </c>
      <c r="C7519" s="3" t="s">
        <v>1102</v>
      </c>
      <c r="D7519" s="4">
        <f>DATE(2006,7,31)</f>
        <v>38929</v>
      </c>
      <c r="E7519" s="5">
        <f t="shared" si="122"/>
        <v>2006</v>
      </c>
      <c r="F7519" s="3" t="s">
        <v>1103</v>
      </c>
      <c r="G7519" s="6">
        <v>130.85</v>
      </c>
      <c r="H7519" s="5">
        <v>7017</v>
      </c>
    </row>
    <row r="7520" spans="2:8" x14ac:dyDescent="0.4">
      <c r="B7520" s="3" t="s">
        <v>7</v>
      </c>
      <c r="C7520" s="3" t="s">
        <v>1102</v>
      </c>
      <c r="D7520" s="4">
        <f>DATE(2007,3,19)</f>
        <v>39160</v>
      </c>
      <c r="E7520" s="5">
        <f t="shared" si="122"/>
        <v>2007</v>
      </c>
      <c r="F7520" s="3" t="s">
        <v>1103</v>
      </c>
      <c r="G7520" s="6">
        <v>299.32</v>
      </c>
      <c r="H7520" s="5">
        <v>8137</v>
      </c>
    </row>
    <row r="7521" spans="2:8" x14ac:dyDescent="0.4">
      <c r="B7521" s="3" t="s">
        <v>7</v>
      </c>
      <c r="C7521" s="3" t="s">
        <v>1102</v>
      </c>
      <c r="D7521" s="4">
        <f>DATE(2007,6,8)</f>
        <v>39241</v>
      </c>
      <c r="E7521" s="5">
        <f t="shared" si="122"/>
        <v>2007</v>
      </c>
      <c r="F7521" s="3" t="s">
        <v>1103</v>
      </c>
      <c r="G7521" s="6">
        <v>244.07</v>
      </c>
      <c r="H7521" s="5">
        <v>8732</v>
      </c>
    </row>
    <row r="7522" spans="2:8" x14ac:dyDescent="0.4">
      <c r="B7522" s="3" t="s">
        <v>7</v>
      </c>
      <c r="C7522" s="3" t="s">
        <v>1102</v>
      </c>
      <c r="D7522" s="4">
        <f>DATE(2007,6,11)</f>
        <v>39244</v>
      </c>
      <c r="E7522" s="5">
        <f t="shared" si="122"/>
        <v>2007</v>
      </c>
      <c r="F7522" s="3" t="s">
        <v>1103</v>
      </c>
      <c r="G7522" s="6">
        <v>229.88</v>
      </c>
      <c r="H7522" s="5">
        <v>8737</v>
      </c>
    </row>
    <row r="7523" spans="2:8" x14ac:dyDescent="0.4">
      <c r="B7523" s="3" t="s">
        <v>7</v>
      </c>
      <c r="C7523" s="3" t="s">
        <v>1102</v>
      </c>
      <c r="D7523" s="4">
        <f>DATE(2007,6,13)</f>
        <v>39246</v>
      </c>
      <c r="E7523" s="5">
        <f t="shared" si="122"/>
        <v>2007</v>
      </c>
      <c r="F7523" s="3" t="s">
        <v>1103</v>
      </c>
      <c r="G7523" s="6">
        <v>195</v>
      </c>
      <c r="H7523" s="5">
        <v>8757</v>
      </c>
    </row>
    <row r="7524" spans="2:8" x14ac:dyDescent="0.4">
      <c r="B7524" s="3" t="s">
        <v>7</v>
      </c>
      <c r="C7524" s="3" t="s">
        <v>1102</v>
      </c>
      <c r="D7524" s="4">
        <f>DATE(2007,6,27)</f>
        <v>39260</v>
      </c>
      <c r="E7524" s="5">
        <f t="shared" si="122"/>
        <v>2007</v>
      </c>
      <c r="F7524" s="3" t="s">
        <v>1103</v>
      </c>
      <c r="G7524" s="6">
        <v>108.5</v>
      </c>
      <c r="H7524" s="5">
        <v>8827</v>
      </c>
    </row>
    <row r="7525" spans="2:8" x14ac:dyDescent="0.4">
      <c r="B7525" t="s">
        <v>7</v>
      </c>
      <c r="C7525" t="s">
        <v>1104</v>
      </c>
      <c r="D7525" s="7">
        <f>DATE(2016,4,7)</f>
        <v>42467</v>
      </c>
      <c r="E7525" s="8">
        <f t="shared" si="122"/>
        <v>2016</v>
      </c>
      <c r="F7525" t="s">
        <v>1105</v>
      </c>
      <c r="G7525" s="9">
        <v>2153.33</v>
      </c>
      <c r="H7525" s="8">
        <v>22284</v>
      </c>
    </row>
    <row r="7526" spans="2:8" x14ac:dyDescent="0.4">
      <c r="B7526" t="s">
        <v>7</v>
      </c>
      <c r="C7526" t="s">
        <v>1104</v>
      </c>
      <c r="D7526" s="7">
        <f>DATE(2016,6,9)</f>
        <v>42530</v>
      </c>
      <c r="E7526" s="8">
        <f t="shared" si="122"/>
        <v>2016</v>
      </c>
      <c r="F7526" t="s">
        <v>1105</v>
      </c>
      <c r="G7526" s="9">
        <v>8319.5</v>
      </c>
      <c r="H7526" s="8">
        <v>22573</v>
      </c>
    </row>
    <row r="7527" spans="2:8" x14ac:dyDescent="0.4">
      <c r="B7527" s="3" t="s">
        <v>7</v>
      </c>
      <c r="C7527" s="3" t="s">
        <v>1104</v>
      </c>
      <c r="D7527" s="4">
        <f>DATE(2011,11,18)</f>
        <v>40865</v>
      </c>
      <c r="E7527" s="5">
        <f t="shared" si="122"/>
        <v>2011</v>
      </c>
      <c r="F7527" s="3" t="s">
        <v>1105</v>
      </c>
      <c r="G7527" s="6">
        <v>1748.25</v>
      </c>
      <c r="H7527" s="5">
        <v>4698</v>
      </c>
    </row>
    <row r="7528" spans="2:8" x14ac:dyDescent="0.4">
      <c r="B7528" s="3" t="s">
        <v>7</v>
      </c>
      <c r="C7528" s="3" t="s">
        <v>1104</v>
      </c>
      <c r="D7528" s="4">
        <f>DATE(2014,5,28)</f>
        <v>41787</v>
      </c>
      <c r="E7528" s="5">
        <f t="shared" si="122"/>
        <v>2014</v>
      </c>
      <c r="F7528" s="3" t="s">
        <v>1105</v>
      </c>
      <c r="G7528" s="6">
        <v>9240.1</v>
      </c>
      <c r="H7528" s="5">
        <v>6174</v>
      </c>
    </row>
    <row r="7529" spans="2:8" x14ac:dyDescent="0.4">
      <c r="B7529" s="3" t="s">
        <v>7</v>
      </c>
      <c r="C7529" s="3" t="s">
        <v>1104</v>
      </c>
      <c r="D7529" s="4">
        <f>DATE(2014,5,28)</f>
        <v>41787</v>
      </c>
      <c r="E7529" s="5">
        <f t="shared" si="122"/>
        <v>2014</v>
      </c>
      <c r="F7529" s="3" t="s">
        <v>1105</v>
      </c>
      <c r="G7529" s="6">
        <v>4472.7</v>
      </c>
      <c r="H7529" s="5">
        <v>6172</v>
      </c>
    </row>
    <row r="7530" spans="2:8" x14ac:dyDescent="0.4">
      <c r="B7530" s="3" t="s">
        <v>7</v>
      </c>
      <c r="C7530" s="3" t="s">
        <v>1104</v>
      </c>
      <c r="D7530" s="4">
        <f>DATE(2014,5,28)</f>
        <v>41787</v>
      </c>
      <c r="E7530" s="5">
        <f t="shared" si="122"/>
        <v>2014</v>
      </c>
      <c r="F7530" s="3" t="s">
        <v>1105</v>
      </c>
      <c r="G7530" s="6">
        <v>5797</v>
      </c>
      <c r="H7530" s="5">
        <v>6173</v>
      </c>
    </row>
    <row r="7531" spans="2:8" x14ac:dyDescent="0.4">
      <c r="B7531" t="s">
        <v>7</v>
      </c>
      <c r="C7531" t="s">
        <v>1106</v>
      </c>
      <c r="D7531" s="7">
        <f>DATE(2018,3,1)</f>
        <v>43160</v>
      </c>
      <c r="E7531" s="8">
        <f t="shared" si="122"/>
        <v>2018</v>
      </c>
      <c r="F7531" t="s">
        <v>1107</v>
      </c>
      <c r="G7531" s="9">
        <v>27318.46</v>
      </c>
      <c r="H7531" s="8">
        <v>26464</v>
      </c>
    </row>
    <row r="7532" spans="2:8" x14ac:dyDescent="0.4">
      <c r="B7532" t="s">
        <v>7</v>
      </c>
      <c r="C7532" t="s">
        <v>1106</v>
      </c>
      <c r="D7532" s="7">
        <f>DATE(2018,7,16)</f>
        <v>43297</v>
      </c>
      <c r="E7532" s="8">
        <f t="shared" si="122"/>
        <v>2018</v>
      </c>
      <c r="F7532" t="s">
        <v>1107</v>
      </c>
      <c r="G7532" s="9">
        <v>37221.040000000001</v>
      </c>
      <c r="H7532" s="8">
        <v>27330</v>
      </c>
    </row>
    <row r="7533" spans="2:8" x14ac:dyDescent="0.4">
      <c r="B7533" t="s">
        <v>7</v>
      </c>
      <c r="C7533" t="s">
        <v>1106</v>
      </c>
      <c r="D7533" s="7">
        <f>DATE(2015,10,27)</f>
        <v>42304</v>
      </c>
      <c r="E7533" s="8">
        <f t="shared" si="122"/>
        <v>2015</v>
      </c>
      <c r="F7533" t="s">
        <v>1107</v>
      </c>
      <c r="G7533" s="9">
        <v>9954.6</v>
      </c>
      <c r="H7533" s="8">
        <v>21445</v>
      </c>
    </row>
    <row r="7534" spans="2:8" x14ac:dyDescent="0.4">
      <c r="B7534" t="s">
        <v>16</v>
      </c>
      <c r="C7534" t="s">
        <v>1106</v>
      </c>
      <c r="D7534" s="7">
        <f>DATE(2018,6,20)</f>
        <v>43271</v>
      </c>
      <c r="E7534" s="8">
        <f t="shared" si="122"/>
        <v>2018</v>
      </c>
      <c r="F7534" t="s">
        <v>1107</v>
      </c>
      <c r="G7534" s="9">
        <v>10388.36</v>
      </c>
      <c r="H7534" s="8">
        <v>27247</v>
      </c>
    </row>
    <row r="7535" spans="2:8" x14ac:dyDescent="0.4">
      <c r="B7535" t="s">
        <v>7</v>
      </c>
      <c r="C7535" t="s">
        <v>1108</v>
      </c>
      <c r="D7535" s="7">
        <f>DATE(2008,1,26)</f>
        <v>39473</v>
      </c>
      <c r="E7535" s="8">
        <f t="shared" si="122"/>
        <v>2008</v>
      </c>
      <c r="F7535" t="s">
        <v>1109</v>
      </c>
      <c r="G7535" s="9">
        <v>16840.400000000001</v>
      </c>
      <c r="H7535" s="8">
        <v>6638</v>
      </c>
    </row>
    <row r="7536" spans="2:8" x14ac:dyDescent="0.4">
      <c r="B7536" t="s">
        <v>7</v>
      </c>
      <c r="C7536" t="s">
        <v>1108</v>
      </c>
      <c r="D7536" s="7">
        <f>DATE(2008,1,29)</f>
        <v>39476</v>
      </c>
      <c r="E7536" s="8">
        <f t="shared" si="122"/>
        <v>2008</v>
      </c>
      <c r="F7536" t="s">
        <v>1109</v>
      </c>
      <c r="G7536" s="9">
        <v>20616.75</v>
      </c>
      <c r="H7536" s="8">
        <v>6623</v>
      </c>
    </row>
    <row r="7537" spans="2:8" x14ac:dyDescent="0.4">
      <c r="B7537" t="s">
        <v>7</v>
      </c>
      <c r="C7537" t="s">
        <v>1108</v>
      </c>
      <c r="D7537" s="7">
        <f>DATE(2015,3,26)</f>
        <v>42089</v>
      </c>
      <c r="E7537" s="8">
        <f t="shared" si="122"/>
        <v>2015</v>
      </c>
      <c r="F7537" t="s">
        <v>1110</v>
      </c>
      <c r="G7537" s="9">
        <v>6180</v>
      </c>
      <c r="H7537" s="8">
        <v>20179</v>
      </c>
    </row>
    <row r="7538" spans="2:8" x14ac:dyDescent="0.4">
      <c r="B7538" t="s">
        <v>7</v>
      </c>
      <c r="C7538" t="s">
        <v>1108</v>
      </c>
      <c r="D7538" s="7">
        <f>DATE(2015,5,12)</f>
        <v>42136</v>
      </c>
      <c r="E7538" s="8">
        <f t="shared" si="122"/>
        <v>2015</v>
      </c>
      <c r="F7538" t="s">
        <v>1110</v>
      </c>
      <c r="G7538" s="9">
        <v>2201.7399999999998</v>
      </c>
      <c r="H7538" s="8">
        <v>20557</v>
      </c>
    </row>
    <row r="7539" spans="2:8" x14ac:dyDescent="0.4">
      <c r="B7539" t="s">
        <v>7</v>
      </c>
      <c r="C7539" t="s">
        <v>1108</v>
      </c>
      <c r="D7539" s="7">
        <f>DATE(2015,10,20)</f>
        <v>42297</v>
      </c>
      <c r="E7539" s="8">
        <f t="shared" si="122"/>
        <v>2015</v>
      </c>
      <c r="F7539" t="s">
        <v>1110</v>
      </c>
      <c r="G7539" s="9">
        <v>2662.5</v>
      </c>
      <c r="H7539" s="8">
        <v>21388</v>
      </c>
    </row>
    <row r="7540" spans="2:8" x14ac:dyDescent="0.4">
      <c r="B7540" t="s">
        <v>7</v>
      </c>
      <c r="C7540" t="s">
        <v>1108</v>
      </c>
      <c r="D7540" s="7">
        <f>DATE(2015,10,26)</f>
        <v>42303</v>
      </c>
      <c r="E7540" s="8">
        <f t="shared" si="122"/>
        <v>2015</v>
      </c>
      <c r="F7540" t="s">
        <v>1110</v>
      </c>
      <c r="G7540" s="9">
        <v>2250</v>
      </c>
      <c r="H7540" s="8">
        <v>21388</v>
      </c>
    </row>
    <row r="7541" spans="2:8" x14ac:dyDescent="0.4">
      <c r="B7541" t="s">
        <v>7</v>
      </c>
      <c r="C7541" t="s">
        <v>1108</v>
      </c>
      <c r="D7541" s="7">
        <f>DATE(2016,2,24)</f>
        <v>42424</v>
      </c>
      <c r="E7541" s="8">
        <f t="shared" si="122"/>
        <v>2016</v>
      </c>
      <c r="F7541" t="s">
        <v>1110</v>
      </c>
      <c r="G7541" s="9">
        <v>1650</v>
      </c>
      <c r="H7541" s="8">
        <v>22262</v>
      </c>
    </row>
    <row r="7542" spans="2:8" x14ac:dyDescent="0.4">
      <c r="B7542" t="s">
        <v>7</v>
      </c>
      <c r="C7542" t="s">
        <v>1108</v>
      </c>
      <c r="D7542" s="7">
        <f>DATE(2016,2,24)</f>
        <v>42424</v>
      </c>
      <c r="E7542" s="8">
        <f t="shared" si="122"/>
        <v>2016</v>
      </c>
      <c r="F7542" t="s">
        <v>1110</v>
      </c>
      <c r="G7542" s="9">
        <v>1650</v>
      </c>
      <c r="H7542" s="8">
        <v>22219</v>
      </c>
    </row>
    <row r="7543" spans="2:8" x14ac:dyDescent="0.4">
      <c r="B7543" t="s">
        <v>7</v>
      </c>
      <c r="C7543" t="s">
        <v>1108</v>
      </c>
      <c r="D7543" s="7">
        <f>DATE(2016,3,9)</f>
        <v>42438</v>
      </c>
      <c r="E7543" s="8">
        <f t="shared" si="122"/>
        <v>2016</v>
      </c>
      <c r="F7543" t="s">
        <v>1110</v>
      </c>
      <c r="G7543" s="9">
        <v>4912.5</v>
      </c>
      <c r="H7543" s="8">
        <v>22366</v>
      </c>
    </row>
    <row r="7544" spans="2:8" x14ac:dyDescent="0.4">
      <c r="B7544" t="s">
        <v>7</v>
      </c>
      <c r="C7544" t="s">
        <v>1108</v>
      </c>
      <c r="D7544" s="7">
        <f>DATE(2016,3,23)</f>
        <v>42452</v>
      </c>
      <c r="E7544" s="8">
        <f t="shared" si="122"/>
        <v>2016</v>
      </c>
      <c r="F7544" t="s">
        <v>1110</v>
      </c>
      <c r="G7544" s="9">
        <v>6150</v>
      </c>
      <c r="H7544" s="8">
        <v>22369</v>
      </c>
    </row>
    <row r="7545" spans="2:8" x14ac:dyDescent="0.4">
      <c r="B7545" t="s">
        <v>7</v>
      </c>
      <c r="C7545" t="s">
        <v>1108</v>
      </c>
      <c r="D7545" s="7">
        <f>DATE(2016,4,6)</f>
        <v>42466</v>
      </c>
      <c r="E7545" s="8">
        <f t="shared" si="122"/>
        <v>2016</v>
      </c>
      <c r="F7545" t="s">
        <v>1110</v>
      </c>
      <c r="G7545" s="9">
        <v>238</v>
      </c>
      <c r="H7545" s="8">
        <v>22576</v>
      </c>
    </row>
    <row r="7546" spans="2:8" x14ac:dyDescent="0.4">
      <c r="B7546" t="s">
        <v>7</v>
      </c>
      <c r="C7546" t="s">
        <v>1108</v>
      </c>
      <c r="D7546" s="7">
        <f>DATE(2016,4,20)</f>
        <v>42480</v>
      </c>
      <c r="E7546" s="8">
        <f t="shared" si="122"/>
        <v>2016</v>
      </c>
      <c r="F7546" t="s">
        <v>1110</v>
      </c>
      <c r="G7546" s="9">
        <v>820</v>
      </c>
      <c r="H7546" s="8">
        <v>22666</v>
      </c>
    </row>
    <row r="7547" spans="2:8" x14ac:dyDescent="0.4">
      <c r="B7547" t="s">
        <v>7</v>
      </c>
      <c r="C7547" t="s">
        <v>1108</v>
      </c>
      <c r="D7547" s="7">
        <f>DATE(2016,10,3)</f>
        <v>42646</v>
      </c>
      <c r="E7547" s="8">
        <f t="shared" si="122"/>
        <v>2016</v>
      </c>
      <c r="F7547" t="s">
        <v>1110</v>
      </c>
      <c r="G7547" s="9">
        <v>4895</v>
      </c>
      <c r="H7547" s="8">
        <v>23531</v>
      </c>
    </row>
    <row r="7548" spans="2:8" x14ac:dyDescent="0.4">
      <c r="B7548" t="s">
        <v>7</v>
      </c>
      <c r="C7548" t="s">
        <v>1108</v>
      </c>
      <c r="D7548" s="7">
        <f>DATE(2016,10,7)</f>
        <v>42650</v>
      </c>
      <c r="E7548" s="8">
        <f t="shared" si="122"/>
        <v>2016</v>
      </c>
      <c r="F7548" t="s">
        <v>1110</v>
      </c>
      <c r="G7548" s="9">
        <v>4715.8</v>
      </c>
      <c r="H7548" s="8">
        <v>23536</v>
      </c>
    </row>
    <row r="7549" spans="2:8" x14ac:dyDescent="0.4">
      <c r="B7549" t="s">
        <v>7</v>
      </c>
      <c r="C7549" t="s">
        <v>1108</v>
      </c>
      <c r="D7549" s="7">
        <f>DATE(2016,11,7)</f>
        <v>42681</v>
      </c>
      <c r="E7549" s="8">
        <f t="shared" si="122"/>
        <v>2016</v>
      </c>
      <c r="F7549" t="s">
        <v>1110</v>
      </c>
      <c r="G7549" s="9">
        <v>18467.5</v>
      </c>
      <c r="H7549" s="8">
        <v>23692</v>
      </c>
    </row>
    <row r="7550" spans="2:8" x14ac:dyDescent="0.4">
      <c r="B7550" t="s">
        <v>7</v>
      </c>
      <c r="C7550" t="s">
        <v>1108</v>
      </c>
      <c r="D7550" s="7">
        <f>DATE(2017,5,10)</f>
        <v>42865</v>
      </c>
      <c r="E7550" s="8">
        <f t="shared" si="122"/>
        <v>2017</v>
      </c>
      <c r="F7550" t="s">
        <v>1110</v>
      </c>
      <c r="G7550" s="9">
        <v>1089.93</v>
      </c>
      <c r="H7550" s="8">
        <v>24911</v>
      </c>
    </row>
    <row r="7551" spans="2:8" x14ac:dyDescent="0.4">
      <c r="B7551" t="s">
        <v>16</v>
      </c>
      <c r="C7551" t="s">
        <v>1108</v>
      </c>
      <c r="D7551" s="7">
        <f>DATE(2016,5,6)</f>
        <v>42496</v>
      </c>
      <c r="E7551" s="8">
        <f t="shared" si="122"/>
        <v>2016</v>
      </c>
      <c r="F7551" t="s">
        <v>1110</v>
      </c>
      <c r="G7551" s="9">
        <v>225</v>
      </c>
      <c r="H7551" s="8">
        <v>22798</v>
      </c>
    </row>
    <row r="7552" spans="2:8" x14ac:dyDescent="0.4">
      <c r="B7552" t="s">
        <v>16</v>
      </c>
      <c r="C7552" t="s">
        <v>1108</v>
      </c>
      <c r="D7552" s="7">
        <f>DATE(2016,5,6)</f>
        <v>42496</v>
      </c>
      <c r="E7552" s="8">
        <f t="shared" si="122"/>
        <v>2016</v>
      </c>
      <c r="F7552" t="s">
        <v>1110</v>
      </c>
      <c r="G7552" s="9">
        <v>225</v>
      </c>
      <c r="H7552" s="8">
        <v>22799</v>
      </c>
    </row>
    <row r="7553" spans="2:8" x14ac:dyDescent="0.4">
      <c r="B7553" t="s">
        <v>16</v>
      </c>
      <c r="C7553" t="s">
        <v>1108</v>
      </c>
      <c r="D7553" s="7">
        <f>DATE(2016,12,1)</f>
        <v>42705</v>
      </c>
      <c r="E7553" s="8">
        <f t="shared" si="122"/>
        <v>2016</v>
      </c>
      <c r="F7553" t="s">
        <v>1110</v>
      </c>
      <c r="G7553" s="9">
        <v>13416.75</v>
      </c>
      <c r="H7553" s="8">
        <v>23858</v>
      </c>
    </row>
    <row r="7554" spans="2:8" x14ac:dyDescent="0.4">
      <c r="B7554" t="s">
        <v>7</v>
      </c>
      <c r="C7554" t="s">
        <v>1108</v>
      </c>
      <c r="D7554" s="7">
        <f>DATE(2011,1,12)</f>
        <v>40555</v>
      </c>
      <c r="E7554" s="8">
        <f t="shared" si="122"/>
        <v>2011</v>
      </c>
      <c r="F7554" t="s">
        <v>1110</v>
      </c>
      <c r="G7554" s="9">
        <v>44157.82</v>
      </c>
      <c r="H7554" s="8">
        <v>10322</v>
      </c>
    </row>
    <row r="7555" spans="2:8" x14ac:dyDescent="0.4">
      <c r="B7555" t="s">
        <v>7</v>
      </c>
      <c r="C7555" t="s">
        <v>1108</v>
      </c>
      <c r="D7555" s="7">
        <f>DATE(2003,11,14)</f>
        <v>37939</v>
      </c>
      <c r="E7555" s="8">
        <f t="shared" ref="E7555:E7618" si="123">YEAR(D7555)</f>
        <v>2003</v>
      </c>
      <c r="F7555" t="s">
        <v>1110</v>
      </c>
      <c r="G7555" s="9">
        <v>7055.86</v>
      </c>
      <c r="H7555" s="8">
        <v>1015</v>
      </c>
    </row>
    <row r="7556" spans="2:8" x14ac:dyDescent="0.4">
      <c r="B7556" t="s">
        <v>7</v>
      </c>
      <c r="C7556" t="s">
        <v>1108</v>
      </c>
      <c r="D7556" s="7">
        <f>DATE(2004,7,21)</f>
        <v>38189</v>
      </c>
      <c r="E7556" s="8">
        <f t="shared" si="123"/>
        <v>2004</v>
      </c>
      <c r="F7556" t="s">
        <v>1110</v>
      </c>
      <c r="G7556" s="9">
        <v>41458</v>
      </c>
      <c r="H7556" s="8">
        <v>1979</v>
      </c>
    </row>
    <row r="7557" spans="2:8" x14ac:dyDescent="0.4">
      <c r="B7557" t="s">
        <v>7</v>
      </c>
      <c r="C7557" t="s">
        <v>1108</v>
      </c>
      <c r="D7557" s="7">
        <f>DATE(2004,8,5)</f>
        <v>38204</v>
      </c>
      <c r="E7557" s="8">
        <f t="shared" si="123"/>
        <v>2004</v>
      </c>
      <c r="F7557" t="s">
        <v>1110</v>
      </c>
      <c r="G7557" s="9">
        <v>49609.25</v>
      </c>
      <c r="H7557" s="8">
        <v>2020</v>
      </c>
    </row>
    <row r="7558" spans="2:8" x14ac:dyDescent="0.4">
      <c r="B7558" t="s">
        <v>7</v>
      </c>
      <c r="C7558" t="s">
        <v>1108</v>
      </c>
      <c r="D7558" s="7">
        <f>DATE(2004,8,30)</f>
        <v>38229</v>
      </c>
      <c r="E7558" s="8">
        <f t="shared" si="123"/>
        <v>2004</v>
      </c>
      <c r="F7558" t="s">
        <v>1110</v>
      </c>
      <c r="G7558" s="9">
        <v>22000</v>
      </c>
      <c r="H7558" s="8">
        <v>2118</v>
      </c>
    </row>
    <row r="7559" spans="2:8" x14ac:dyDescent="0.4">
      <c r="B7559" t="s">
        <v>7</v>
      </c>
      <c r="C7559" t="s">
        <v>1108</v>
      </c>
      <c r="D7559" s="7">
        <f>DATE(2004,9,27)</f>
        <v>38257</v>
      </c>
      <c r="E7559" s="8">
        <f t="shared" si="123"/>
        <v>2004</v>
      </c>
      <c r="F7559" t="s">
        <v>1110</v>
      </c>
      <c r="G7559" s="9">
        <v>47454.5</v>
      </c>
      <c r="H7559" s="8">
        <v>2225</v>
      </c>
    </row>
    <row r="7560" spans="2:8" x14ac:dyDescent="0.4">
      <c r="B7560" t="s">
        <v>7</v>
      </c>
      <c r="C7560" t="s">
        <v>1108</v>
      </c>
      <c r="D7560" s="7">
        <f>DATE(2004,10,15)</f>
        <v>38275</v>
      </c>
      <c r="E7560" s="8">
        <f t="shared" si="123"/>
        <v>2004</v>
      </c>
      <c r="F7560" t="s">
        <v>1110</v>
      </c>
      <c r="G7560" s="9">
        <v>23113.94</v>
      </c>
      <c r="H7560" s="8">
        <v>2282</v>
      </c>
    </row>
    <row r="7561" spans="2:8" x14ac:dyDescent="0.4">
      <c r="B7561" t="s">
        <v>7</v>
      </c>
      <c r="C7561" t="s">
        <v>1108</v>
      </c>
      <c r="D7561" s="7">
        <f>DATE(2005,11,23)</f>
        <v>38679</v>
      </c>
      <c r="E7561" s="8">
        <f t="shared" si="123"/>
        <v>2005</v>
      </c>
      <c r="F7561" t="s">
        <v>1110</v>
      </c>
      <c r="G7561" s="9">
        <v>9139.08</v>
      </c>
      <c r="H7561" s="8">
        <v>3784</v>
      </c>
    </row>
    <row r="7562" spans="2:8" x14ac:dyDescent="0.4">
      <c r="B7562" t="s">
        <v>7</v>
      </c>
      <c r="C7562" t="s">
        <v>1108</v>
      </c>
      <c r="D7562" s="7">
        <f>DATE(2009,1,9)</f>
        <v>39822</v>
      </c>
      <c r="E7562" s="8">
        <f t="shared" si="123"/>
        <v>2009</v>
      </c>
      <c r="F7562" t="s">
        <v>1110</v>
      </c>
      <c r="G7562" s="9">
        <v>13206</v>
      </c>
      <c r="H7562" s="8">
        <v>8170</v>
      </c>
    </row>
    <row r="7563" spans="2:8" x14ac:dyDescent="0.4">
      <c r="B7563" t="s">
        <v>7</v>
      </c>
      <c r="C7563" t="s">
        <v>1108</v>
      </c>
      <c r="D7563" s="7">
        <f>DATE(2009,1,12)</f>
        <v>39825</v>
      </c>
      <c r="E7563" s="8">
        <f t="shared" si="123"/>
        <v>2009</v>
      </c>
      <c r="F7563" t="s">
        <v>1110</v>
      </c>
      <c r="G7563" s="9">
        <v>31351.21</v>
      </c>
      <c r="H7563" s="8">
        <v>8165</v>
      </c>
    </row>
    <row r="7564" spans="2:8" x14ac:dyDescent="0.4">
      <c r="B7564" t="s">
        <v>7</v>
      </c>
      <c r="C7564" t="s">
        <v>1108</v>
      </c>
      <c r="D7564" s="7">
        <f>DATE(2009,7,14)</f>
        <v>40008</v>
      </c>
      <c r="E7564" s="8">
        <f t="shared" si="123"/>
        <v>2009</v>
      </c>
      <c r="F7564" t="s">
        <v>1110</v>
      </c>
      <c r="G7564" s="9">
        <v>17198.46</v>
      </c>
      <c r="H7564" s="8">
        <v>8827</v>
      </c>
    </row>
    <row r="7565" spans="2:8" x14ac:dyDescent="0.4">
      <c r="B7565" t="s">
        <v>7</v>
      </c>
      <c r="C7565" t="s">
        <v>1108</v>
      </c>
      <c r="D7565" s="7">
        <f>DATE(2009,10,22)</f>
        <v>40108</v>
      </c>
      <c r="E7565" s="8">
        <f t="shared" si="123"/>
        <v>2009</v>
      </c>
      <c r="F7565" t="s">
        <v>1110</v>
      </c>
      <c r="G7565" s="9">
        <v>24067.5</v>
      </c>
      <c r="H7565" s="8">
        <v>9080</v>
      </c>
    </row>
    <row r="7566" spans="2:8" x14ac:dyDescent="0.4">
      <c r="B7566" t="s">
        <v>7</v>
      </c>
      <c r="C7566" t="s">
        <v>1108</v>
      </c>
      <c r="D7566" s="7">
        <f>DATE(2009,12,1)</f>
        <v>40148</v>
      </c>
      <c r="E7566" s="8">
        <f t="shared" si="123"/>
        <v>2009</v>
      </c>
      <c r="F7566" t="s">
        <v>1110</v>
      </c>
      <c r="G7566" s="9">
        <v>30814</v>
      </c>
      <c r="H7566" s="8">
        <v>9260</v>
      </c>
    </row>
    <row r="7567" spans="2:8" x14ac:dyDescent="0.4">
      <c r="B7567" t="s">
        <v>7</v>
      </c>
      <c r="C7567" t="s">
        <v>1108</v>
      </c>
      <c r="D7567" s="7">
        <f>DATE(2009,12,4)</f>
        <v>40151</v>
      </c>
      <c r="E7567" s="8">
        <f t="shared" si="123"/>
        <v>2009</v>
      </c>
      <c r="F7567" t="s">
        <v>1110</v>
      </c>
      <c r="G7567" s="9">
        <v>10410</v>
      </c>
      <c r="H7567" s="8">
        <v>9275</v>
      </c>
    </row>
    <row r="7568" spans="2:8" x14ac:dyDescent="0.4">
      <c r="B7568" t="s">
        <v>7</v>
      </c>
      <c r="C7568" t="s">
        <v>1108</v>
      </c>
      <c r="D7568" s="7">
        <f>DATE(2010,3,23)</f>
        <v>40260</v>
      </c>
      <c r="E7568" s="8">
        <f t="shared" si="123"/>
        <v>2010</v>
      </c>
      <c r="F7568" t="s">
        <v>1110</v>
      </c>
      <c r="G7568" s="9">
        <v>10250</v>
      </c>
      <c r="H7568" s="8">
        <v>9503</v>
      </c>
    </row>
    <row r="7569" spans="2:8" x14ac:dyDescent="0.4">
      <c r="B7569" t="s">
        <v>7</v>
      </c>
      <c r="C7569" t="s">
        <v>1108</v>
      </c>
      <c r="D7569" s="7">
        <f>DATE(2010,12,21)</f>
        <v>40533</v>
      </c>
      <c r="E7569" s="8">
        <f t="shared" si="123"/>
        <v>2010</v>
      </c>
      <c r="F7569" t="s">
        <v>1110</v>
      </c>
      <c r="G7569" s="9">
        <v>12394.72</v>
      </c>
      <c r="H7569" s="8">
        <v>10306</v>
      </c>
    </row>
    <row r="7570" spans="2:8" x14ac:dyDescent="0.4">
      <c r="B7570" t="s">
        <v>7</v>
      </c>
      <c r="C7570" t="s">
        <v>1108</v>
      </c>
      <c r="D7570" s="7">
        <f>DATE(2010,12,21)</f>
        <v>40533</v>
      </c>
      <c r="E7570" s="8">
        <f t="shared" si="123"/>
        <v>2010</v>
      </c>
      <c r="F7570" t="s">
        <v>1110</v>
      </c>
      <c r="G7570" s="9">
        <v>10823</v>
      </c>
      <c r="H7570" s="8">
        <v>10317</v>
      </c>
    </row>
    <row r="7571" spans="2:8" x14ac:dyDescent="0.4">
      <c r="B7571" t="s">
        <v>7</v>
      </c>
      <c r="C7571" t="s">
        <v>1108</v>
      </c>
      <c r="D7571" s="7">
        <f>DATE(2011,1,28)</f>
        <v>40571</v>
      </c>
      <c r="E7571" s="8">
        <f t="shared" si="123"/>
        <v>2011</v>
      </c>
      <c r="F7571" t="s">
        <v>1110</v>
      </c>
      <c r="G7571" s="9">
        <v>23586.34</v>
      </c>
      <c r="H7571" s="8">
        <v>10233</v>
      </c>
    </row>
    <row r="7572" spans="2:8" x14ac:dyDescent="0.4">
      <c r="B7572" t="s">
        <v>7</v>
      </c>
      <c r="C7572" t="s">
        <v>1108</v>
      </c>
      <c r="D7572" s="7">
        <f>DATE(2011,2,26)</f>
        <v>40600</v>
      </c>
      <c r="E7572" s="8">
        <f t="shared" si="123"/>
        <v>2011</v>
      </c>
      <c r="F7572" t="s">
        <v>1110</v>
      </c>
      <c r="G7572" s="9">
        <v>29470</v>
      </c>
      <c r="H7572" s="8">
        <v>10313</v>
      </c>
    </row>
    <row r="7573" spans="2:8" x14ac:dyDescent="0.4">
      <c r="B7573" t="s">
        <v>7</v>
      </c>
      <c r="C7573" t="s">
        <v>1108</v>
      </c>
      <c r="D7573" s="7">
        <f>DATE(2011,2,26)</f>
        <v>40600</v>
      </c>
      <c r="E7573" s="8">
        <f t="shared" si="123"/>
        <v>2011</v>
      </c>
      <c r="F7573" t="s">
        <v>1110</v>
      </c>
      <c r="G7573" s="9">
        <v>28818.81</v>
      </c>
      <c r="H7573" s="8">
        <v>10618</v>
      </c>
    </row>
    <row r="7574" spans="2:8" x14ac:dyDescent="0.4">
      <c r="B7574" t="s">
        <v>7</v>
      </c>
      <c r="C7574" t="s">
        <v>1108</v>
      </c>
      <c r="D7574" s="7">
        <f>DATE(2011,10,13)</f>
        <v>40829</v>
      </c>
      <c r="E7574" s="8">
        <f t="shared" si="123"/>
        <v>2011</v>
      </c>
      <c r="F7574" t="s">
        <v>1110</v>
      </c>
      <c r="G7574" s="9">
        <v>9257.7000000000007</v>
      </c>
      <c r="H7574" s="8">
        <v>10881</v>
      </c>
    </row>
    <row r="7575" spans="2:8" x14ac:dyDescent="0.4">
      <c r="B7575" t="s">
        <v>7</v>
      </c>
      <c r="C7575" t="s">
        <v>1108</v>
      </c>
      <c r="D7575" s="7">
        <f>DATE(2011,10,13)</f>
        <v>40829</v>
      </c>
      <c r="E7575" s="8">
        <f t="shared" si="123"/>
        <v>2011</v>
      </c>
      <c r="F7575" t="s">
        <v>1110</v>
      </c>
      <c r="G7575" s="9">
        <v>9257.7000000000007</v>
      </c>
      <c r="H7575" s="8">
        <v>10966</v>
      </c>
    </row>
    <row r="7576" spans="2:8" x14ac:dyDescent="0.4">
      <c r="B7576" t="s">
        <v>7</v>
      </c>
      <c r="C7576" t="s">
        <v>1108</v>
      </c>
      <c r="D7576" s="7">
        <f>DATE(2012,1,6)</f>
        <v>40914</v>
      </c>
      <c r="E7576" s="8">
        <f t="shared" si="123"/>
        <v>2012</v>
      </c>
      <c r="F7576" t="s">
        <v>1110</v>
      </c>
      <c r="G7576" s="9">
        <v>51865.919999999998</v>
      </c>
      <c r="H7576" s="8">
        <v>11003</v>
      </c>
    </row>
    <row r="7577" spans="2:8" x14ac:dyDescent="0.4">
      <c r="B7577" t="s">
        <v>7</v>
      </c>
      <c r="C7577" t="s">
        <v>1108</v>
      </c>
      <c r="D7577" s="7">
        <f>DATE(2012,2,28)</f>
        <v>40967</v>
      </c>
      <c r="E7577" s="8">
        <f t="shared" si="123"/>
        <v>2012</v>
      </c>
      <c r="F7577" t="s">
        <v>1110</v>
      </c>
      <c r="G7577" s="9">
        <v>31683.7</v>
      </c>
      <c r="H7577" s="8">
        <v>10888</v>
      </c>
    </row>
    <row r="7578" spans="2:8" x14ac:dyDescent="0.4">
      <c r="B7578" t="s">
        <v>7</v>
      </c>
      <c r="C7578" t="s">
        <v>1108</v>
      </c>
      <c r="D7578" s="7">
        <f>DATE(2012,5,22)</f>
        <v>41051</v>
      </c>
      <c r="E7578" s="8">
        <f t="shared" si="123"/>
        <v>2012</v>
      </c>
      <c r="F7578" t="s">
        <v>1110</v>
      </c>
      <c r="G7578" s="9">
        <v>1037.6600000000001</v>
      </c>
      <c r="H7578" s="8">
        <v>11616</v>
      </c>
    </row>
    <row r="7579" spans="2:8" x14ac:dyDescent="0.4">
      <c r="B7579" t="s">
        <v>7</v>
      </c>
      <c r="C7579" t="s">
        <v>1108</v>
      </c>
      <c r="D7579" s="7">
        <f>DATE(2012,5,22)</f>
        <v>41051</v>
      </c>
      <c r="E7579" s="8">
        <f t="shared" si="123"/>
        <v>2012</v>
      </c>
      <c r="F7579" t="s">
        <v>1110</v>
      </c>
      <c r="G7579" s="9">
        <v>30500</v>
      </c>
      <c r="H7579" s="8">
        <v>11634</v>
      </c>
    </row>
    <row r="7580" spans="2:8" x14ac:dyDescent="0.4">
      <c r="B7580" t="s">
        <v>7</v>
      </c>
      <c r="C7580" t="s">
        <v>1108</v>
      </c>
      <c r="D7580" s="7">
        <f>DATE(2012,5,22)</f>
        <v>41051</v>
      </c>
      <c r="E7580" s="8">
        <f t="shared" si="123"/>
        <v>2012</v>
      </c>
      <c r="F7580" t="s">
        <v>1110</v>
      </c>
      <c r="G7580" s="9">
        <v>30500</v>
      </c>
      <c r="H7580" s="8">
        <v>11678</v>
      </c>
    </row>
    <row r="7581" spans="2:8" x14ac:dyDescent="0.4">
      <c r="B7581" t="s">
        <v>7</v>
      </c>
      <c r="C7581" t="s">
        <v>1108</v>
      </c>
      <c r="D7581" s="7">
        <f>DATE(2012,10,17)</f>
        <v>41199</v>
      </c>
      <c r="E7581" s="8">
        <f t="shared" si="123"/>
        <v>2012</v>
      </c>
      <c r="F7581" t="s">
        <v>1110</v>
      </c>
      <c r="G7581" s="9">
        <v>34640</v>
      </c>
      <c r="H7581" s="8">
        <v>11860</v>
      </c>
    </row>
    <row r="7582" spans="2:8" x14ac:dyDescent="0.4">
      <c r="B7582" t="s">
        <v>16</v>
      </c>
      <c r="C7582" t="s">
        <v>1108</v>
      </c>
      <c r="D7582" s="7">
        <f>DATE(2009,11,5)</f>
        <v>40122</v>
      </c>
      <c r="E7582" s="8">
        <f t="shared" si="123"/>
        <v>2009</v>
      </c>
      <c r="F7582" t="s">
        <v>1110</v>
      </c>
      <c r="G7582" s="9">
        <v>575</v>
      </c>
      <c r="H7582" s="8">
        <v>9226</v>
      </c>
    </row>
    <row r="7583" spans="2:8" x14ac:dyDescent="0.4">
      <c r="B7583" t="s">
        <v>16</v>
      </c>
      <c r="C7583" t="s">
        <v>1108</v>
      </c>
      <c r="D7583" s="7">
        <f>DATE(2011,2,26)</f>
        <v>40600</v>
      </c>
      <c r="E7583" s="8">
        <f t="shared" si="123"/>
        <v>2011</v>
      </c>
      <c r="F7583" t="s">
        <v>1110</v>
      </c>
      <c r="G7583" s="9">
        <v>29470</v>
      </c>
      <c r="H7583" s="8">
        <v>10617</v>
      </c>
    </row>
    <row r="7584" spans="2:8" x14ac:dyDescent="0.4">
      <c r="B7584" t="s">
        <v>16</v>
      </c>
      <c r="C7584" t="s">
        <v>1108</v>
      </c>
      <c r="D7584" s="7">
        <f>DATE(2012,5,31)</f>
        <v>41060</v>
      </c>
      <c r="E7584" s="8">
        <f t="shared" si="123"/>
        <v>2012</v>
      </c>
      <c r="F7584" t="s">
        <v>1110</v>
      </c>
      <c r="G7584" s="9">
        <v>30500</v>
      </c>
      <c r="H7584" s="8">
        <v>11677</v>
      </c>
    </row>
    <row r="7585" spans="2:8" x14ac:dyDescent="0.4">
      <c r="B7585" s="3" t="s">
        <v>7</v>
      </c>
      <c r="C7585" s="3" t="s">
        <v>1108</v>
      </c>
      <c r="D7585" s="4">
        <f>DATE(2004,10,7)</f>
        <v>38267</v>
      </c>
      <c r="E7585" s="5">
        <f t="shared" si="123"/>
        <v>2004</v>
      </c>
      <c r="F7585" s="3" t="s">
        <v>1110</v>
      </c>
      <c r="G7585" s="6">
        <v>7841.25</v>
      </c>
      <c r="H7585" s="5">
        <v>3548</v>
      </c>
    </row>
    <row r="7586" spans="2:8" x14ac:dyDescent="0.4">
      <c r="B7586" s="3" t="s">
        <v>7</v>
      </c>
      <c r="C7586" s="3" t="s">
        <v>1108</v>
      </c>
      <c r="D7586" s="4">
        <f>DATE(2008,1,29)</f>
        <v>39476</v>
      </c>
      <c r="E7586" s="5">
        <f t="shared" si="123"/>
        <v>2008</v>
      </c>
      <c r="F7586" s="3" t="s">
        <v>1110</v>
      </c>
      <c r="G7586" s="6">
        <v>5859.6</v>
      </c>
      <c r="H7586" s="5">
        <v>9728</v>
      </c>
    </row>
    <row r="7587" spans="2:8" x14ac:dyDescent="0.4">
      <c r="B7587" s="3" t="s">
        <v>7</v>
      </c>
      <c r="C7587" s="3" t="s">
        <v>1108</v>
      </c>
      <c r="D7587" s="4">
        <f>DATE(2008,9,17)</f>
        <v>39708</v>
      </c>
      <c r="E7587" s="5">
        <f t="shared" si="123"/>
        <v>2008</v>
      </c>
      <c r="F7587" s="3" t="s">
        <v>1110</v>
      </c>
      <c r="G7587" s="6">
        <v>22117.61</v>
      </c>
      <c r="H7587" s="5">
        <v>11061</v>
      </c>
    </row>
    <row r="7588" spans="2:8" x14ac:dyDescent="0.4">
      <c r="B7588" s="3" t="s">
        <v>7</v>
      </c>
      <c r="C7588" s="3" t="s">
        <v>1108</v>
      </c>
      <c r="D7588" s="4">
        <f>DATE(2008,10,23)</f>
        <v>39744</v>
      </c>
      <c r="E7588" s="5">
        <f t="shared" si="123"/>
        <v>2008</v>
      </c>
      <c r="F7588" s="3" t="s">
        <v>1110</v>
      </c>
      <c r="G7588" s="6">
        <v>21164.66</v>
      </c>
      <c r="H7588" s="5">
        <v>11436</v>
      </c>
    </row>
    <row r="7589" spans="2:8" x14ac:dyDescent="0.4">
      <c r="B7589" s="3" t="s">
        <v>7</v>
      </c>
      <c r="C7589" s="3" t="s">
        <v>1108</v>
      </c>
      <c r="D7589" s="4">
        <f>DATE(2009,9,29)</f>
        <v>40085</v>
      </c>
      <c r="E7589" s="5">
        <f t="shared" si="123"/>
        <v>2009</v>
      </c>
      <c r="F7589" s="3" t="s">
        <v>1110</v>
      </c>
      <c r="G7589" s="6">
        <v>8170</v>
      </c>
      <c r="H7589" s="5">
        <v>13020</v>
      </c>
    </row>
    <row r="7590" spans="2:8" x14ac:dyDescent="0.4">
      <c r="B7590" s="3" t="s">
        <v>7</v>
      </c>
      <c r="C7590" s="3" t="s">
        <v>1108</v>
      </c>
      <c r="D7590" s="4">
        <f>DATE(2009,11,27)</f>
        <v>40144</v>
      </c>
      <c r="E7590" s="5">
        <f t="shared" si="123"/>
        <v>2009</v>
      </c>
      <c r="F7590" s="3" t="s">
        <v>1110</v>
      </c>
      <c r="G7590" s="6">
        <v>11125</v>
      </c>
      <c r="H7590" s="5">
        <v>13272</v>
      </c>
    </row>
    <row r="7591" spans="2:8" x14ac:dyDescent="0.4">
      <c r="B7591" s="3" t="s">
        <v>7</v>
      </c>
      <c r="C7591" s="3" t="s">
        <v>1108</v>
      </c>
      <c r="D7591" s="4">
        <f>DATE(2009,12,10)</f>
        <v>40157</v>
      </c>
      <c r="E7591" s="5">
        <f t="shared" si="123"/>
        <v>2009</v>
      </c>
      <c r="F7591" s="3" t="s">
        <v>1110</v>
      </c>
      <c r="G7591" s="6">
        <v>2892.5</v>
      </c>
      <c r="H7591" s="5">
        <v>13307</v>
      </c>
    </row>
    <row r="7592" spans="2:8" x14ac:dyDescent="0.4">
      <c r="B7592" s="3" t="s">
        <v>7</v>
      </c>
      <c r="C7592" s="3" t="s">
        <v>1108</v>
      </c>
      <c r="D7592" s="4">
        <f>DATE(2010,10,21)</f>
        <v>40472</v>
      </c>
      <c r="E7592" s="5">
        <f t="shared" si="123"/>
        <v>2010</v>
      </c>
      <c r="F7592" s="3" t="s">
        <v>1110</v>
      </c>
      <c r="G7592" s="6">
        <v>2913.5</v>
      </c>
      <c r="H7592" s="5">
        <v>14654</v>
      </c>
    </row>
    <row r="7593" spans="2:8" x14ac:dyDescent="0.4">
      <c r="B7593" s="3" t="s">
        <v>7</v>
      </c>
      <c r="C7593" s="3" t="s">
        <v>1108</v>
      </c>
      <c r="D7593" s="4">
        <f>DATE(2011,1,28)</f>
        <v>40571</v>
      </c>
      <c r="E7593" s="5">
        <f t="shared" si="123"/>
        <v>2011</v>
      </c>
      <c r="F7593" s="3" t="s">
        <v>1110</v>
      </c>
      <c r="G7593" s="6">
        <v>9120</v>
      </c>
      <c r="H7593" s="5">
        <v>14690</v>
      </c>
    </row>
    <row r="7594" spans="2:8" x14ac:dyDescent="0.4">
      <c r="B7594" s="3" t="s">
        <v>7</v>
      </c>
      <c r="C7594" s="3" t="s">
        <v>1108</v>
      </c>
      <c r="D7594" s="4">
        <f>DATE(2011,3,8)</f>
        <v>40610</v>
      </c>
      <c r="E7594" s="5">
        <f t="shared" si="123"/>
        <v>2011</v>
      </c>
      <c r="F7594" s="3" t="s">
        <v>1110</v>
      </c>
      <c r="G7594" s="6">
        <v>10946</v>
      </c>
      <c r="H7594" s="5">
        <v>14825</v>
      </c>
    </row>
    <row r="7595" spans="2:8" x14ac:dyDescent="0.4">
      <c r="B7595" s="3" t="s">
        <v>7</v>
      </c>
      <c r="C7595" s="3" t="s">
        <v>1108</v>
      </c>
      <c r="D7595" s="4">
        <f>DATE(2011,9,22)</f>
        <v>40808</v>
      </c>
      <c r="E7595" s="5">
        <f t="shared" si="123"/>
        <v>2011</v>
      </c>
      <c r="F7595" s="3" t="s">
        <v>1110</v>
      </c>
      <c r="G7595" s="6">
        <v>3161.26</v>
      </c>
      <c r="H7595" s="5">
        <v>15738</v>
      </c>
    </row>
    <row r="7596" spans="2:8" x14ac:dyDescent="0.4">
      <c r="B7596" s="3" t="s">
        <v>7</v>
      </c>
      <c r="C7596" s="3" t="s">
        <v>1108</v>
      </c>
      <c r="D7596" s="4">
        <f>DATE(2011,9,22)</f>
        <v>40808</v>
      </c>
      <c r="E7596" s="5">
        <f t="shared" si="123"/>
        <v>2011</v>
      </c>
      <c r="F7596" s="3" t="s">
        <v>1110</v>
      </c>
      <c r="G7596" s="6">
        <v>3115</v>
      </c>
      <c r="H7596" s="5">
        <v>15917</v>
      </c>
    </row>
    <row r="7597" spans="2:8" x14ac:dyDescent="0.4">
      <c r="B7597" s="3" t="s">
        <v>7</v>
      </c>
      <c r="C7597" s="3" t="s">
        <v>1108</v>
      </c>
      <c r="D7597" s="4">
        <f>DATE(2012,2,20)</f>
        <v>40959</v>
      </c>
      <c r="E7597" s="5">
        <f t="shared" si="123"/>
        <v>2012</v>
      </c>
      <c r="F7597" s="3" t="s">
        <v>1110</v>
      </c>
      <c r="G7597" s="6">
        <v>11125</v>
      </c>
      <c r="H7597" s="5">
        <v>15739</v>
      </c>
    </row>
    <row r="7598" spans="2:8" x14ac:dyDescent="0.4">
      <c r="B7598" s="3" t="s">
        <v>7</v>
      </c>
      <c r="C7598" s="3" t="s">
        <v>1108</v>
      </c>
      <c r="D7598" s="4">
        <f>DATE(2012,6,4)</f>
        <v>41064</v>
      </c>
      <c r="E7598" s="5">
        <f t="shared" si="123"/>
        <v>2012</v>
      </c>
      <c r="F7598" s="3" t="s">
        <v>1110</v>
      </c>
      <c r="G7598" s="6">
        <v>7440</v>
      </c>
      <c r="H7598" s="5">
        <v>17171</v>
      </c>
    </row>
    <row r="7599" spans="2:8" x14ac:dyDescent="0.4">
      <c r="B7599" s="3" t="s">
        <v>7</v>
      </c>
      <c r="C7599" s="3" t="s">
        <v>1108</v>
      </c>
      <c r="D7599" s="4">
        <f>DATE(2012,10,17)</f>
        <v>41199</v>
      </c>
      <c r="E7599" s="5">
        <f t="shared" si="123"/>
        <v>2012</v>
      </c>
      <c r="F7599" s="3" t="s">
        <v>1110</v>
      </c>
      <c r="G7599" s="6">
        <v>8637.42</v>
      </c>
      <c r="H7599" s="5">
        <v>17566</v>
      </c>
    </row>
    <row r="7600" spans="2:8" x14ac:dyDescent="0.4">
      <c r="B7600" s="3" t="s">
        <v>7</v>
      </c>
      <c r="C7600" s="3" t="s">
        <v>1108</v>
      </c>
      <c r="D7600" s="4">
        <f>DATE(2012,11,2)</f>
        <v>41215</v>
      </c>
      <c r="E7600" s="5">
        <f t="shared" si="123"/>
        <v>2012</v>
      </c>
      <c r="F7600" s="3" t="s">
        <v>1110</v>
      </c>
      <c r="G7600" s="6">
        <v>478.89</v>
      </c>
      <c r="H7600" s="5">
        <v>17786</v>
      </c>
    </row>
    <row r="7601" spans="2:8" x14ac:dyDescent="0.4">
      <c r="B7601" s="3" t="s">
        <v>7</v>
      </c>
      <c r="C7601" s="3" t="s">
        <v>1108</v>
      </c>
      <c r="D7601" s="4">
        <f>DATE(2012,11,26)</f>
        <v>41239</v>
      </c>
      <c r="E7601" s="5">
        <f t="shared" si="123"/>
        <v>2012</v>
      </c>
      <c r="F7601" s="3" t="s">
        <v>1110</v>
      </c>
      <c r="G7601" s="6">
        <v>3335.7</v>
      </c>
      <c r="H7601" s="5">
        <v>17856</v>
      </c>
    </row>
    <row r="7602" spans="2:8" x14ac:dyDescent="0.4">
      <c r="B7602" s="3" t="s">
        <v>7</v>
      </c>
      <c r="C7602" s="3" t="s">
        <v>1108</v>
      </c>
      <c r="D7602" s="4">
        <f>DATE(2012,12,14)</f>
        <v>41257</v>
      </c>
      <c r="E7602" s="5">
        <f t="shared" si="123"/>
        <v>2012</v>
      </c>
      <c r="F7602" s="3" t="s">
        <v>1110</v>
      </c>
      <c r="G7602" s="6">
        <v>484.61</v>
      </c>
      <c r="H7602" s="5">
        <v>17836</v>
      </c>
    </row>
    <row r="7603" spans="2:8" x14ac:dyDescent="0.4">
      <c r="B7603" s="3" t="s">
        <v>7</v>
      </c>
      <c r="C7603" s="3" t="s">
        <v>1108</v>
      </c>
      <c r="D7603" s="4">
        <f>DATE(2013,1,31)</f>
        <v>41305</v>
      </c>
      <c r="E7603" s="5">
        <f t="shared" si="123"/>
        <v>2013</v>
      </c>
      <c r="F7603" s="3" t="s">
        <v>1110</v>
      </c>
      <c r="G7603" s="6">
        <v>300</v>
      </c>
      <c r="H7603" s="5">
        <v>18091</v>
      </c>
    </row>
    <row r="7604" spans="2:8" x14ac:dyDescent="0.4">
      <c r="B7604" s="3" t="s">
        <v>7</v>
      </c>
      <c r="C7604" s="3" t="s">
        <v>1108</v>
      </c>
      <c r="D7604" s="4">
        <f>DATE(2013,2,13)</f>
        <v>41318</v>
      </c>
      <c r="E7604" s="5">
        <f t="shared" si="123"/>
        <v>2013</v>
      </c>
      <c r="F7604" s="3" t="s">
        <v>1110</v>
      </c>
      <c r="G7604" s="6">
        <v>5850</v>
      </c>
      <c r="H7604" s="5">
        <v>18082</v>
      </c>
    </row>
    <row r="7605" spans="2:8" x14ac:dyDescent="0.4">
      <c r="B7605" s="3" t="s">
        <v>7</v>
      </c>
      <c r="C7605" s="3" t="s">
        <v>1108</v>
      </c>
      <c r="D7605" s="4">
        <f>DATE(2013,6,20)</f>
        <v>41445</v>
      </c>
      <c r="E7605" s="5">
        <f t="shared" si="123"/>
        <v>2013</v>
      </c>
      <c r="F7605" s="3" t="s">
        <v>1110</v>
      </c>
      <c r="G7605" s="6">
        <v>1742.88</v>
      </c>
      <c r="H7605" s="5">
        <v>18706</v>
      </c>
    </row>
    <row r="7606" spans="2:8" x14ac:dyDescent="0.4">
      <c r="B7606" s="3" t="s">
        <v>7</v>
      </c>
      <c r="C7606" s="3" t="s">
        <v>1108</v>
      </c>
      <c r="D7606" s="4">
        <f>DATE(2013,12,18)</f>
        <v>41626</v>
      </c>
      <c r="E7606" s="5">
        <f t="shared" si="123"/>
        <v>2013</v>
      </c>
      <c r="F7606" s="3" t="s">
        <v>1110</v>
      </c>
      <c r="G7606" s="6">
        <v>5996.95</v>
      </c>
      <c r="H7606" s="5">
        <v>19286</v>
      </c>
    </row>
    <row r="7607" spans="2:8" x14ac:dyDescent="0.4">
      <c r="B7607" s="3" t="s">
        <v>7</v>
      </c>
      <c r="C7607" s="3" t="s">
        <v>1108</v>
      </c>
      <c r="D7607" s="4">
        <f>DATE(2014,9,25)</f>
        <v>41907</v>
      </c>
      <c r="E7607" s="5">
        <f t="shared" si="123"/>
        <v>2014</v>
      </c>
      <c r="F7607" s="3" t="s">
        <v>1110</v>
      </c>
      <c r="G7607" s="6">
        <v>5960</v>
      </c>
      <c r="H7607" s="5">
        <v>20446</v>
      </c>
    </row>
    <row r="7608" spans="2:8" x14ac:dyDescent="0.4">
      <c r="B7608" s="3" t="s">
        <v>7</v>
      </c>
      <c r="C7608" s="3" t="s">
        <v>1108</v>
      </c>
      <c r="D7608" s="4">
        <f>DATE(2014,10,15)</f>
        <v>41927</v>
      </c>
      <c r="E7608" s="5">
        <f t="shared" si="123"/>
        <v>2014</v>
      </c>
      <c r="F7608" s="3" t="s">
        <v>1110</v>
      </c>
      <c r="G7608" s="6">
        <v>1025</v>
      </c>
      <c r="H7608" s="5">
        <v>20527</v>
      </c>
    </row>
    <row r="7609" spans="2:8" x14ac:dyDescent="0.4">
      <c r="B7609" s="3" t="s">
        <v>7</v>
      </c>
      <c r="C7609" s="3" t="s">
        <v>1108</v>
      </c>
      <c r="D7609" s="4">
        <f>DATE(2014,11,7)</f>
        <v>41950</v>
      </c>
      <c r="E7609" s="5">
        <f t="shared" si="123"/>
        <v>2014</v>
      </c>
      <c r="F7609" s="3" t="s">
        <v>1110</v>
      </c>
      <c r="G7609" s="6">
        <v>410</v>
      </c>
      <c r="H7609" s="5">
        <v>20478</v>
      </c>
    </row>
    <row r="7610" spans="2:8" x14ac:dyDescent="0.4">
      <c r="B7610" s="3" t="s">
        <v>7</v>
      </c>
      <c r="C7610" s="3" t="s">
        <v>1108</v>
      </c>
      <c r="D7610" s="4">
        <f>DATE(2014,11,14)</f>
        <v>41957</v>
      </c>
      <c r="E7610" s="5">
        <f t="shared" si="123"/>
        <v>2014</v>
      </c>
      <c r="F7610" s="3" t="s">
        <v>1110</v>
      </c>
      <c r="G7610" s="6">
        <v>4500</v>
      </c>
      <c r="H7610" s="5">
        <v>20631</v>
      </c>
    </row>
    <row r="7611" spans="2:8" x14ac:dyDescent="0.4">
      <c r="B7611" s="3" t="s">
        <v>16</v>
      </c>
      <c r="C7611" s="3" t="s">
        <v>1108</v>
      </c>
      <c r="D7611" s="4">
        <f>DATE(2012,12,4)</f>
        <v>41247</v>
      </c>
      <c r="E7611" s="5">
        <f t="shared" si="123"/>
        <v>2012</v>
      </c>
      <c r="F7611" s="3" t="s">
        <v>1110</v>
      </c>
      <c r="G7611" s="6">
        <v>478.89</v>
      </c>
      <c r="H7611" s="5">
        <v>17879</v>
      </c>
    </row>
    <row r="7612" spans="2:8" x14ac:dyDescent="0.4">
      <c r="B7612" s="3" t="s">
        <v>16</v>
      </c>
      <c r="C7612" s="3" t="s">
        <v>1108</v>
      </c>
      <c r="D7612" s="4">
        <f>DATE(2014,10,1)</f>
        <v>41913</v>
      </c>
      <c r="E7612" s="5">
        <f t="shared" si="123"/>
        <v>2014</v>
      </c>
      <c r="F7612" s="3" t="s">
        <v>1110</v>
      </c>
      <c r="G7612" s="6">
        <v>410</v>
      </c>
      <c r="H7612" s="5">
        <v>20546</v>
      </c>
    </row>
    <row r="7613" spans="2:8" x14ac:dyDescent="0.4">
      <c r="B7613" t="s">
        <v>7</v>
      </c>
      <c r="C7613" t="s">
        <v>1108</v>
      </c>
      <c r="D7613" s="7">
        <f>DATE(2003,10,21)</f>
        <v>37915</v>
      </c>
      <c r="E7613" s="8">
        <f t="shared" si="123"/>
        <v>2003</v>
      </c>
      <c r="F7613" t="s">
        <v>1111</v>
      </c>
      <c r="G7613" s="9">
        <v>4701</v>
      </c>
      <c r="H7613" s="8">
        <v>959</v>
      </c>
    </row>
    <row r="7614" spans="2:8" x14ac:dyDescent="0.4">
      <c r="B7614" t="s">
        <v>7</v>
      </c>
      <c r="C7614" t="s">
        <v>1108</v>
      </c>
      <c r="D7614" s="7">
        <f>DATE(2003,10,27)</f>
        <v>37921</v>
      </c>
      <c r="E7614" s="8">
        <f t="shared" si="123"/>
        <v>2003</v>
      </c>
      <c r="F7614" t="s">
        <v>1111</v>
      </c>
      <c r="G7614" s="9">
        <v>33199.51</v>
      </c>
      <c r="H7614" s="8">
        <v>953</v>
      </c>
    </row>
    <row r="7615" spans="2:8" x14ac:dyDescent="0.4">
      <c r="B7615" t="s">
        <v>7</v>
      </c>
      <c r="C7615" t="s">
        <v>1112</v>
      </c>
      <c r="D7615" s="7">
        <f>DATE(2015,5,14)</f>
        <v>42138</v>
      </c>
      <c r="E7615" s="8">
        <f t="shared" si="123"/>
        <v>2015</v>
      </c>
      <c r="F7615" t="s">
        <v>1113</v>
      </c>
      <c r="G7615" s="9">
        <v>25111</v>
      </c>
      <c r="H7615" s="8">
        <v>20033</v>
      </c>
    </row>
    <row r="7616" spans="2:8" x14ac:dyDescent="0.4">
      <c r="B7616" t="s">
        <v>7</v>
      </c>
      <c r="C7616" t="s">
        <v>1112</v>
      </c>
      <c r="D7616" s="7">
        <f>DATE(2016,5,31)</f>
        <v>42521</v>
      </c>
      <c r="E7616" s="8">
        <f t="shared" si="123"/>
        <v>2016</v>
      </c>
      <c r="F7616" t="s">
        <v>1113</v>
      </c>
      <c r="G7616" s="9">
        <v>30000</v>
      </c>
      <c r="H7616" s="8">
        <v>22865</v>
      </c>
    </row>
    <row r="7617" spans="2:8" x14ac:dyDescent="0.4">
      <c r="B7617" t="s">
        <v>7</v>
      </c>
      <c r="C7617" t="s">
        <v>1112</v>
      </c>
      <c r="D7617" s="7">
        <f>DATE(2017,5,16)</f>
        <v>42871</v>
      </c>
      <c r="E7617" s="8">
        <f t="shared" si="123"/>
        <v>2017</v>
      </c>
      <c r="F7617" t="s">
        <v>1113</v>
      </c>
      <c r="G7617" s="9">
        <v>32000</v>
      </c>
      <c r="H7617" s="8">
        <v>24526</v>
      </c>
    </row>
    <row r="7618" spans="2:8" x14ac:dyDescent="0.4">
      <c r="B7618" t="s">
        <v>7</v>
      </c>
      <c r="C7618" t="s">
        <v>1112</v>
      </c>
      <c r="D7618" s="7">
        <f>DATE(2018,5,31)</f>
        <v>43251</v>
      </c>
      <c r="E7618" s="8">
        <f t="shared" si="123"/>
        <v>2018</v>
      </c>
      <c r="F7618" t="s">
        <v>1113</v>
      </c>
      <c r="G7618" s="9">
        <v>36000</v>
      </c>
      <c r="H7618" s="8">
        <v>26702</v>
      </c>
    </row>
    <row r="7619" spans="2:8" x14ac:dyDescent="0.4">
      <c r="B7619" t="s">
        <v>7</v>
      </c>
      <c r="C7619" t="s">
        <v>1114</v>
      </c>
      <c r="D7619" s="7">
        <f>DATE(2003,1,29)</f>
        <v>37650</v>
      </c>
      <c r="E7619" s="8">
        <f t="shared" ref="E7619:E7682" si="124">YEAR(D7619)</f>
        <v>2003</v>
      </c>
      <c r="F7619" t="s">
        <v>1115</v>
      </c>
      <c r="G7619" s="9">
        <v>3861.1</v>
      </c>
      <c r="H7619" s="8">
        <v>107</v>
      </c>
    </row>
    <row r="7620" spans="2:8" x14ac:dyDescent="0.4">
      <c r="B7620" t="s">
        <v>7</v>
      </c>
      <c r="C7620" t="s">
        <v>1114</v>
      </c>
      <c r="D7620" s="7">
        <f>DATE(2010,1,8)</f>
        <v>40186</v>
      </c>
      <c r="E7620" s="8">
        <f t="shared" si="124"/>
        <v>2010</v>
      </c>
      <c r="F7620" t="s">
        <v>1115</v>
      </c>
      <c r="G7620" s="9">
        <v>3909.56</v>
      </c>
      <c r="H7620" s="8">
        <v>9316</v>
      </c>
    </row>
    <row r="7621" spans="2:8" x14ac:dyDescent="0.4">
      <c r="B7621" t="s">
        <v>7</v>
      </c>
      <c r="C7621" t="s">
        <v>1116</v>
      </c>
      <c r="D7621" s="7">
        <f>DATE(2015,12,8)</f>
        <v>42346</v>
      </c>
      <c r="E7621" s="8">
        <f t="shared" si="124"/>
        <v>2015</v>
      </c>
      <c r="F7621" t="s">
        <v>1117</v>
      </c>
      <c r="G7621" s="9">
        <v>4856.38</v>
      </c>
      <c r="H7621" s="8">
        <v>21714</v>
      </c>
    </row>
    <row r="7622" spans="2:8" x14ac:dyDescent="0.4">
      <c r="B7622" t="s">
        <v>7</v>
      </c>
      <c r="C7622" t="s">
        <v>1116</v>
      </c>
      <c r="D7622" s="7">
        <f>DATE(2016,3,16)</f>
        <v>42445</v>
      </c>
      <c r="E7622" s="8">
        <f t="shared" si="124"/>
        <v>2016</v>
      </c>
      <c r="F7622" t="s">
        <v>1117</v>
      </c>
      <c r="G7622" s="9">
        <v>6184.08</v>
      </c>
      <c r="H7622" s="8">
        <v>22363</v>
      </c>
    </row>
    <row r="7623" spans="2:8" x14ac:dyDescent="0.4">
      <c r="B7623" t="s">
        <v>7</v>
      </c>
      <c r="C7623" t="s">
        <v>1116</v>
      </c>
      <c r="D7623" s="7">
        <f>DATE(2016,4,12)</f>
        <v>42472</v>
      </c>
      <c r="E7623" s="8">
        <f t="shared" si="124"/>
        <v>2016</v>
      </c>
      <c r="F7623" t="s">
        <v>1117</v>
      </c>
      <c r="G7623" s="9">
        <v>4451.72</v>
      </c>
      <c r="H7623" s="8">
        <v>22579</v>
      </c>
    </row>
    <row r="7624" spans="2:8" x14ac:dyDescent="0.4">
      <c r="B7624" t="s">
        <v>7</v>
      </c>
      <c r="C7624" t="s">
        <v>1116</v>
      </c>
      <c r="D7624" s="7">
        <f>DATE(2016,7,15)</f>
        <v>42566</v>
      </c>
      <c r="E7624" s="8">
        <f t="shared" si="124"/>
        <v>2016</v>
      </c>
      <c r="F7624" t="s">
        <v>1117</v>
      </c>
      <c r="G7624" s="9">
        <v>9951.57</v>
      </c>
      <c r="H7624" s="8">
        <v>23055</v>
      </c>
    </row>
    <row r="7625" spans="2:8" x14ac:dyDescent="0.4">
      <c r="B7625" t="s">
        <v>7</v>
      </c>
      <c r="C7625" t="s">
        <v>1116</v>
      </c>
      <c r="D7625" s="7">
        <f>DATE(2017,6,1)</f>
        <v>42887</v>
      </c>
      <c r="E7625" s="8">
        <f t="shared" si="124"/>
        <v>2017</v>
      </c>
      <c r="F7625" t="s">
        <v>1117</v>
      </c>
      <c r="G7625" s="9">
        <v>4778.2299999999996</v>
      </c>
      <c r="H7625" s="8">
        <v>24970</v>
      </c>
    </row>
    <row r="7626" spans="2:8" x14ac:dyDescent="0.4">
      <c r="B7626" t="s">
        <v>7</v>
      </c>
      <c r="C7626" t="s">
        <v>1116</v>
      </c>
      <c r="D7626" s="7">
        <f>DATE(2019,1,10)</f>
        <v>43475</v>
      </c>
      <c r="E7626" s="8">
        <f t="shared" si="124"/>
        <v>2019</v>
      </c>
      <c r="F7626" t="s">
        <v>1117</v>
      </c>
      <c r="G7626" s="9">
        <v>8689.01</v>
      </c>
      <c r="H7626" s="8">
        <v>28188</v>
      </c>
    </row>
    <row r="7627" spans="2:8" x14ac:dyDescent="0.4">
      <c r="B7627" t="s">
        <v>7</v>
      </c>
      <c r="C7627" t="s">
        <v>1116</v>
      </c>
      <c r="D7627" s="7">
        <f>DATE(2019,3,31)</f>
        <v>43555</v>
      </c>
      <c r="E7627" s="8">
        <f t="shared" si="124"/>
        <v>2019</v>
      </c>
      <c r="F7627" t="s">
        <v>1117</v>
      </c>
      <c r="G7627" s="9">
        <v>10789.83</v>
      </c>
      <c r="H7627" s="8">
        <v>28695</v>
      </c>
    </row>
    <row r="7628" spans="2:8" x14ac:dyDescent="0.4">
      <c r="B7628" t="s">
        <v>7</v>
      </c>
      <c r="C7628" t="s">
        <v>1116</v>
      </c>
      <c r="D7628" s="7">
        <f>DATE(2007,8,14)</f>
        <v>39308</v>
      </c>
      <c r="E7628" s="8">
        <f t="shared" si="124"/>
        <v>2007</v>
      </c>
      <c r="F7628" t="s">
        <v>1117</v>
      </c>
      <c r="G7628" s="9">
        <v>28753.439999999999</v>
      </c>
      <c r="H7628" s="8">
        <v>6099</v>
      </c>
    </row>
    <row r="7629" spans="2:8" x14ac:dyDescent="0.4">
      <c r="B7629" t="s">
        <v>7</v>
      </c>
      <c r="C7629" t="s">
        <v>1116</v>
      </c>
      <c r="D7629" s="7">
        <f>DATE(2011,4,21)</f>
        <v>40654</v>
      </c>
      <c r="E7629" s="8">
        <f t="shared" si="124"/>
        <v>2011</v>
      </c>
      <c r="F7629" t="s">
        <v>1117</v>
      </c>
      <c r="G7629" s="9">
        <v>1779.63</v>
      </c>
      <c r="H7629" s="8">
        <v>10669</v>
      </c>
    </row>
    <row r="7630" spans="2:8" x14ac:dyDescent="0.4">
      <c r="B7630" t="s">
        <v>7</v>
      </c>
      <c r="C7630" t="s">
        <v>1116</v>
      </c>
      <c r="D7630" s="7">
        <f>DATE(2007,10,4)</f>
        <v>39359</v>
      </c>
      <c r="E7630" s="8">
        <f t="shared" si="124"/>
        <v>2007</v>
      </c>
      <c r="F7630" t="s">
        <v>1117</v>
      </c>
      <c r="G7630" s="9">
        <v>5200.54</v>
      </c>
      <c r="H7630" s="8">
        <v>6100</v>
      </c>
    </row>
    <row r="7631" spans="2:8" x14ac:dyDescent="0.4">
      <c r="B7631" t="s">
        <v>7</v>
      </c>
      <c r="C7631" t="s">
        <v>1116</v>
      </c>
      <c r="D7631" s="7">
        <f>DATE(2007,11,14)</f>
        <v>39400</v>
      </c>
      <c r="E7631" s="8">
        <f t="shared" si="124"/>
        <v>2007</v>
      </c>
      <c r="F7631" t="s">
        <v>1117</v>
      </c>
      <c r="G7631" s="9">
        <v>3741.63</v>
      </c>
      <c r="H7631" s="8">
        <v>6590</v>
      </c>
    </row>
    <row r="7632" spans="2:8" x14ac:dyDescent="0.4">
      <c r="B7632" t="s">
        <v>7</v>
      </c>
      <c r="C7632" t="s">
        <v>1116</v>
      </c>
      <c r="D7632" s="7">
        <f>DATE(2008,8,13)</f>
        <v>39673</v>
      </c>
      <c r="E7632" s="8">
        <f t="shared" si="124"/>
        <v>2008</v>
      </c>
      <c r="F7632" t="s">
        <v>1117</v>
      </c>
      <c r="G7632" s="9">
        <v>8199.08</v>
      </c>
      <c r="H7632" s="8">
        <v>7706</v>
      </c>
    </row>
    <row r="7633" spans="2:8" x14ac:dyDescent="0.4">
      <c r="B7633" t="s">
        <v>7</v>
      </c>
      <c r="C7633" t="s">
        <v>1116</v>
      </c>
      <c r="D7633" s="7">
        <f>DATE(2009,5,13)</f>
        <v>39946</v>
      </c>
      <c r="E7633" s="8">
        <f t="shared" si="124"/>
        <v>2009</v>
      </c>
      <c r="F7633" t="s">
        <v>1117</v>
      </c>
      <c r="G7633" s="9">
        <v>38241.370000000003</v>
      </c>
      <c r="H7633" s="8">
        <v>8354</v>
      </c>
    </row>
    <row r="7634" spans="2:8" x14ac:dyDescent="0.4">
      <c r="B7634" t="s">
        <v>7</v>
      </c>
      <c r="C7634" t="s">
        <v>1116</v>
      </c>
      <c r="D7634" s="7">
        <f>DATE(2010,2,4)</f>
        <v>40213</v>
      </c>
      <c r="E7634" s="8">
        <f t="shared" si="124"/>
        <v>2010</v>
      </c>
      <c r="F7634" t="s">
        <v>1117</v>
      </c>
      <c r="G7634" s="9">
        <v>14472.42</v>
      </c>
      <c r="H7634" s="8">
        <v>9496</v>
      </c>
    </row>
    <row r="7635" spans="2:8" x14ac:dyDescent="0.4">
      <c r="B7635" t="s">
        <v>7</v>
      </c>
      <c r="C7635" t="s">
        <v>1116</v>
      </c>
      <c r="D7635" s="7">
        <f>DATE(2010,6,8)</f>
        <v>40337</v>
      </c>
      <c r="E7635" s="8">
        <f t="shared" si="124"/>
        <v>2010</v>
      </c>
      <c r="F7635" t="s">
        <v>1117</v>
      </c>
      <c r="G7635" s="9">
        <v>9055.82</v>
      </c>
      <c r="H7635" s="8">
        <v>9880</v>
      </c>
    </row>
    <row r="7636" spans="2:8" x14ac:dyDescent="0.4">
      <c r="B7636" t="s">
        <v>7</v>
      </c>
      <c r="C7636" t="s">
        <v>1116</v>
      </c>
      <c r="D7636" s="7">
        <f>DATE(2011,1,11)</f>
        <v>40554</v>
      </c>
      <c r="E7636" s="8">
        <f t="shared" si="124"/>
        <v>2011</v>
      </c>
      <c r="F7636" t="s">
        <v>1117</v>
      </c>
      <c r="G7636" s="9">
        <v>5146.3900000000003</v>
      </c>
      <c r="H7636" s="8">
        <v>10334</v>
      </c>
    </row>
    <row r="7637" spans="2:8" x14ac:dyDescent="0.4">
      <c r="B7637" t="s">
        <v>7</v>
      </c>
      <c r="C7637" t="s">
        <v>1116</v>
      </c>
      <c r="D7637" s="7">
        <f>DATE(2011,2,10)</f>
        <v>40584</v>
      </c>
      <c r="E7637" s="8">
        <f t="shared" si="124"/>
        <v>2011</v>
      </c>
      <c r="F7637" t="s">
        <v>1117</v>
      </c>
      <c r="G7637" s="9">
        <v>14033.65</v>
      </c>
      <c r="H7637" s="8">
        <v>10414</v>
      </c>
    </row>
    <row r="7638" spans="2:8" x14ac:dyDescent="0.4">
      <c r="B7638" s="3" t="s">
        <v>7</v>
      </c>
      <c r="C7638" s="3" t="s">
        <v>1118</v>
      </c>
      <c r="D7638" s="4">
        <f>DATE(2005,4,1)</f>
        <v>38443</v>
      </c>
      <c r="E7638" s="5">
        <f t="shared" si="124"/>
        <v>2005</v>
      </c>
      <c r="F7638" s="3" t="s">
        <v>1119</v>
      </c>
      <c r="G7638" s="6">
        <v>1111.6500000000001</v>
      </c>
      <c r="H7638" s="5">
        <v>1015</v>
      </c>
    </row>
    <row r="7639" spans="2:8" x14ac:dyDescent="0.4">
      <c r="B7639" s="3" t="s">
        <v>7</v>
      </c>
      <c r="C7639" s="3" t="s">
        <v>1118</v>
      </c>
      <c r="D7639" s="4">
        <f>DATE(2005,4,1)</f>
        <v>38443</v>
      </c>
      <c r="E7639" s="5">
        <f t="shared" si="124"/>
        <v>2005</v>
      </c>
      <c r="F7639" s="3" t="s">
        <v>1119</v>
      </c>
      <c r="G7639" s="6">
        <v>91.71</v>
      </c>
      <c r="H7639" s="5">
        <v>1027</v>
      </c>
    </row>
    <row r="7640" spans="2:8" x14ac:dyDescent="0.4">
      <c r="B7640" s="3" t="s">
        <v>7</v>
      </c>
      <c r="C7640" s="3" t="s">
        <v>1118</v>
      </c>
      <c r="D7640" s="4">
        <f>DATE(2005,6,30)</f>
        <v>38533</v>
      </c>
      <c r="E7640" s="5">
        <f t="shared" si="124"/>
        <v>2005</v>
      </c>
      <c r="F7640" s="3" t="s">
        <v>1119</v>
      </c>
      <c r="G7640" s="6">
        <v>4819.17</v>
      </c>
      <c r="H7640" s="5">
        <v>1118</v>
      </c>
    </row>
    <row r="7641" spans="2:8" x14ac:dyDescent="0.4">
      <c r="B7641" s="3" t="s">
        <v>7</v>
      </c>
      <c r="C7641" s="3" t="s">
        <v>1120</v>
      </c>
      <c r="D7641" s="4">
        <f>DATE(2003,4,18)</f>
        <v>37729</v>
      </c>
      <c r="E7641" s="5">
        <f t="shared" si="124"/>
        <v>2003</v>
      </c>
      <c r="F7641" s="3" t="s">
        <v>1121</v>
      </c>
      <c r="G7641" s="6">
        <v>4300</v>
      </c>
      <c r="H7641" s="5">
        <v>100</v>
      </c>
    </row>
    <row r="7642" spans="2:8" x14ac:dyDescent="0.4">
      <c r="B7642" s="3" t="s">
        <v>7</v>
      </c>
      <c r="C7642" s="3" t="s">
        <v>1120</v>
      </c>
      <c r="D7642" s="4">
        <f>DATE(2003,3,28)</f>
        <v>37708</v>
      </c>
      <c r="E7642" s="5">
        <f t="shared" si="124"/>
        <v>2003</v>
      </c>
      <c r="F7642" s="3" t="s">
        <v>1122</v>
      </c>
      <c r="G7642" s="6">
        <v>1600</v>
      </c>
      <c r="H7642" s="5">
        <v>76</v>
      </c>
    </row>
    <row r="7643" spans="2:8" x14ac:dyDescent="0.4">
      <c r="B7643" s="3" t="s">
        <v>7</v>
      </c>
      <c r="C7643" s="3" t="s">
        <v>1120</v>
      </c>
      <c r="D7643" s="4">
        <f>DATE(2003,4,23)</f>
        <v>37734</v>
      </c>
      <c r="E7643" s="5">
        <f t="shared" si="124"/>
        <v>2003</v>
      </c>
      <c r="F7643" s="3" t="s">
        <v>1122</v>
      </c>
      <c r="G7643" s="6">
        <v>10200</v>
      </c>
      <c r="H7643" s="5">
        <v>118</v>
      </c>
    </row>
    <row r="7644" spans="2:8" x14ac:dyDescent="0.4">
      <c r="B7644" s="3" t="s">
        <v>7</v>
      </c>
      <c r="C7644" s="3" t="s">
        <v>1120</v>
      </c>
      <c r="D7644" s="4">
        <f>DATE(2003,6,25)</f>
        <v>37797</v>
      </c>
      <c r="E7644" s="5">
        <f t="shared" si="124"/>
        <v>2003</v>
      </c>
      <c r="F7644" s="3" t="s">
        <v>1122</v>
      </c>
      <c r="G7644" s="6">
        <v>3500</v>
      </c>
      <c r="H7644" s="5">
        <v>218</v>
      </c>
    </row>
    <row r="7645" spans="2:8" x14ac:dyDescent="0.4">
      <c r="B7645" s="3" t="s">
        <v>7</v>
      </c>
      <c r="C7645" s="3" t="s">
        <v>1120</v>
      </c>
      <c r="D7645" s="4">
        <f>DATE(2004,1,9)</f>
        <v>37995</v>
      </c>
      <c r="E7645" s="5">
        <f t="shared" si="124"/>
        <v>2004</v>
      </c>
      <c r="F7645" s="3" t="s">
        <v>1122</v>
      </c>
      <c r="G7645" s="6">
        <v>9083</v>
      </c>
      <c r="H7645" s="5">
        <v>500</v>
      </c>
    </row>
    <row r="7646" spans="2:8" x14ac:dyDescent="0.4">
      <c r="B7646" s="3" t="s">
        <v>7</v>
      </c>
      <c r="C7646" s="3" t="s">
        <v>1120</v>
      </c>
      <c r="D7646" s="4">
        <f>DATE(2004,4,13)</f>
        <v>38090</v>
      </c>
      <c r="E7646" s="5">
        <f t="shared" si="124"/>
        <v>2004</v>
      </c>
      <c r="F7646" s="3" t="s">
        <v>1122</v>
      </c>
      <c r="G7646" s="6">
        <v>9800</v>
      </c>
      <c r="H7646" s="5">
        <v>611</v>
      </c>
    </row>
    <row r="7647" spans="2:8" x14ac:dyDescent="0.4">
      <c r="B7647" t="s">
        <v>7</v>
      </c>
      <c r="C7647" t="s">
        <v>1123</v>
      </c>
      <c r="D7647" s="7">
        <f>DATE(2015,3,3)</f>
        <v>42066</v>
      </c>
      <c r="E7647" s="8">
        <f t="shared" si="124"/>
        <v>2015</v>
      </c>
      <c r="F7647" t="s">
        <v>1124</v>
      </c>
      <c r="G7647" s="9">
        <v>189</v>
      </c>
      <c r="H7647" s="8">
        <v>20037</v>
      </c>
    </row>
    <row r="7648" spans="2:8" x14ac:dyDescent="0.4">
      <c r="B7648" s="3" t="s">
        <v>7</v>
      </c>
      <c r="C7648" s="3" t="s">
        <v>1123</v>
      </c>
      <c r="D7648" s="4">
        <f>DATE(2009,6,18)</f>
        <v>39982</v>
      </c>
      <c r="E7648" s="5">
        <f t="shared" si="124"/>
        <v>2009</v>
      </c>
      <c r="F7648" s="3" t="s">
        <v>1124</v>
      </c>
      <c r="G7648" s="6">
        <v>114</v>
      </c>
      <c r="H7648" s="5">
        <v>3484</v>
      </c>
    </row>
    <row r="7649" spans="2:8" x14ac:dyDescent="0.4">
      <c r="B7649" t="s">
        <v>7</v>
      </c>
      <c r="C7649" t="s">
        <v>1125</v>
      </c>
      <c r="D7649" s="7">
        <f>DATE(2006,1,27)</f>
        <v>38744</v>
      </c>
      <c r="E7649" s="8">
        <f t="shared" si="124"/>
        <v>2006</v>
      </c>
      <c r="F7649" t="s">
        <v>1126</v>
      </c>
      <c r="G7649" s="9">
        <v>4405.84</v>
      </c>
      <c r="H7649" s="8">
        <v>3986</v>
      </c>
    </row>
    <row r="7650" spans="2:8" x14ac:dyDescent="0.4">
      <c r="B7650" t="s">
        <v>7</v>
      </c>
      <c r="C7650" t="s">
        <v>1125</v>
      </c>
      <c r="D7650" s="7">
        <f>DATE(2006,8,16)</f>
        <v>38945</v>
      </c>
      <c r="E7650" s="8">
        <f t="shared" si="124"/>
        <v>2006</v>
      </c>
      <c r="F7650" t="s">
        <v>1126</v>
      </c>
      <c r="G7650" s="9">
        <v>5367.69</v>
      </c>
      <c r="H7650" s="8">
        <v>4881</v>
      </c>
    </row>
    <row r="7651" spans="2:8" x14ac:dyDescent="0.4">
      <c r="B7651" s="3" t="s">
        <v>7</v>
      </c>
      <c r="C7651" s="3" t="s">
        <v>1125</v>
      </c>
      <c r="D7651" s="4">
        <f>DATE(2003,2,10)</f>
        <v>37662</v>
      </c>
      <c r="E7651" s="5">
        <f t="shared" si="124"/>
        <v>2003</v>
      </c>
      <c r="F7651" s="3" t="s">
        <v>1126</v>
      </c>
      <c r="G7651" s="6">
        <v>4691.34</v>
      </c>
      <c r="H7651" s="5">
        <v>234</v>
      </c>
    </row>
    <row r="7652" spans="2:8" x14ac:dyDescent="0.4">
      <c r="B7652" s="3" t="s">
        <v>7</v>
      </c>
      <c r="C7652" s="3" t="s">
        <v>1125</v>
      </c>
      <c r="D7652" s="4">
        <f>DATE(2003,4,22)</f>
        <v>37733</v>
      </c>
      <c r="E7652" s="5">
        <f t="shared" si="124"/>
        <v>2003</v>
      </c>
      <c r="F7652" s="3" t="s">
        <v>1126</v>
      </c>
      <c r="G7652" s="6">
        <v>473</v>
      </c>
      <c r="H7652" s="5">
        <v>792</v>
      </c>
    </row>
    <row r="7653" spans="2:8" x14ac:dyDescent="0.4">
      <c r="B7653" s="3" t="s">
        <v>7</v>
      </c>
      <c r="C7653" s="3" t="s">
        <v>1125</v>
      </c>
      <c r="D7653" s="4">
        <f>DATE(2003,5,30)</f>
        <v>37771</v>
      </c>
      <c r="E7653" s="5">
        <f t="shared" si="124"/>
        <v>2003</v>
      </c>
      <c r="F7653" s="3" t="s">
        <v>1126</v>
      </c>
      <c r="G7653" s="6">
        <v>8764.41</v>
      </c>
      <c r="H7653" s="5">
        <v>1032</v>
      </c>
    </row>
    <row r="7654" spans="2:8" x14ac:dyDescent="0.4">
      <c r="B7654" s="3" t="s">
        <v>7</v>
      </c>
      <c r="C7654" s="3" t="s">
        <v>1125</v>
      </c>
      <c r="D7654" s="4">
        <f>DATE(2003,9,9)</f>
        <v>37873</v>
      </c>
      <c r="E7654" s="5">
        <f t="shared" si="124"/>
        <v>2003</v>
      </c>
      <c r="F7654" s="3" t="s">
        <v>1126</v>
      </c>
      <c r="G7654" s="6">
        <v>3600</v>
      </c>
      <c r="H7654" s="5">
        <v>1486</v>
      </c>
    </row>
    <row r="7655" spans="2:8" x14ac:dyDescent="0.4">
      <c r="B7655" s="3" t="s">
        <v>7</v>
      </c>
      <c r="C7655" s="3" t="s">
        <v>1125</v>
      </c>
      <c r="D7655" s="4">
        <f>DATE(2003,10,28)</f>
        <v>37922</v>
      </c>
      <c r="E7655" s="5">
        <f t="shared" si="124"/>
        <v>2003</v>
      </c>
      <c r="F7655" s="3" t="s">
        <v>1126</v>
      </c>
      <c r="G7655" s="6">
        <v>7250</v>
      </c>
      <c r="H7655" s="5">
        <v>1715</v>
      </c>
    </row>
    <row r="7656" spans="2:8" x14ac:dyDescent="0.4">
      <c r="B7656" s="3" t="s">
        <v>7</v>
      </c>
      <c r="C7656" s="3" t="s">
        <v>1125</v>
      </c>
      <c r="D7656" s="4">
        <f>DATE(2004,3,24)</f>
        <v>38070</v>
      </c>
      <c r="E7656" s="5">
        <f t="shared" si="124"/>
        <v>2004</v>
      </c>
      <c r="F7656" s="3" t="s">
        <v>1126</v>
      </c>
      <c r="G7656" s="6">
        <v>435</v>
      </c>
      <c r="H7656" s="5">
        <v>2467</v>
      </c>
    </row>
    <row r="7657" spans="2:8" x14ac:dyDescent="0.4">
      <c r="B7657" s="3" t="s">
        <v>7</v>
      </c>
      <c r="C7657" s="3" t="s">
        <v>1125</v>
      </c>
      <c r="D7657" s="4">
        <f>DATE(2004,4,9)</f>
        <v>38086</v>
      </c>
      <c r="E7657" s="5">
        <f t="shared" si="124"/>
        <v>2004</v>
      </c>
      <c r="F7657" s="3" t="s">
        <v>1126</v>
      </c>
      <c r="G7657" s="6">
        <v>1440</v>
      </c>
      <c r="H7657" s="5">
        <v>2619</v>
      </c>
    </row>
    <row r="7658" spans="2:8" x14ac:dyDescent="0.4">
      <c r="B7658" s="3" t="s">
        <v>7</v>
      </c>
      <c r="C7658" s="3" t="s">
        <v>1125</v>
      </c>
      <c r="D7658" s="4">
        <f>DATE(2004,5,24)</f>
        <v>38131</v>
      </c>
      <c r="E7658" s="5">
        <f t="shared" si="124"/>
        <v>2004</v>
      </c>
      <c r="F7658" s="3" t="s">
        <v>1126</v>
      </c>
      <c r="G7658" s="6">
        <v>580</v>
      </c>
      <c r="H7658" s="5">
        <v>2937</v>
      </c>
    </row>
    <row r="7659" spans="2:8" x14ac:dyDescent="0.4">
      <c r="B7659" s="3" t="s">
        <v>7</v>
      </c>
      <c r="C7659" s="3" t="s">
        <v>1125</v>
      </c>
      <c r="D7659" s="4">
        <f>DATE(2005,4,4)</f>
        <v>38446</v>
      </c>
      <c r="E7659" s="5">
        <f t="shared" si="124"/>
        <v>2005</v>
      </c>
      <c r="F7659" s="3" t="s">
        <v>1126</v>
      </c>
      <c r="G7659" s="6">
        <v>150</v>
      </c>
      <c r="H7659" s="5">
        <v>4479</v>
      </c>
    </row>
    <row r="7660" spans="2:8" x14ac:dyDescent="0.4">
      <c r="B7660" s="3" t="s">
        <v>7</v>
      </c>
      <c r="C7660" s="3" t="s">
        <v>1125</v>
      </c>
      <c r="D7660" s="4">
        <f>DATE(2005,7,13)</f>
        <v>38546</v>
      </c>
      <c r="E7660" s="5">
        <f t="shared" si="124"/>
        <v>2005</v>
      </c>
      <c r="F7660" s="3" t="s">
        <v>1126</v>
      </c>
      <c r="G7660" s="6">
        <v>450</v>
      </c>
      <c r="H7660" s="5">
        <v>4977</v>
      </c>
    </row>
    <row r="7661" spans="2:8" x14ac:dyDescent="0.4">
      <c r="B7661" s="3" t="s">
        <v>7</v>
      </c>
      <c r="C7661" s="3" t="s">
        <v>1125</v>
      </c>
      <c r="D7661" s="4">
        <f>DATE(2006,4,19)</f>
        <v>38826</v>
      </c>
      <c r="E7661" s="5">
        <f t="shared" si="124"/>
        <v>2006</v>
      </c>
      <c r="F7661" s="3" t="s">
        <v>1126</v>
      </c>
      <c r="G7661" s="6">
        <v>3800</v>
      </c>
      <c r="H7661" s="5">
        <v>6547</v>
      </c>
    </row>
    <row r="7662" spans="2:8" x14ac:dyDescent="0.4">
      <c r="B7662" s="3" t="s">
        <v>7</v>
      </c>
      <c r="C7662" s="3" t="s">
        <v>1125</v>
      </c>
      <c r="D7662" s="4">
        <f>DATE(2006,12,20)</f>
        <v>39071</v>
      </c>
      <c r="E7662" s="5">
        <f t="shared" si="124"/>
        <v>2006</v>
      </c>
      <c r="F7662" s="3" t="s">
        <v>1126</v>
      </c>
      <c r="G7662" s="6">
        <v>1200</v>
      </c>
      <c r="H7662" s="5">
        <v>7655</v>
      </c>
    </row>
    <row r="7663" spans="2:8" x14ac:dyDescent="0.4">
      <c r="B7663" s="3" t="s">
        <v>7</v>
      </c>
      <c r="C7663" s="3" t="s">
        <v>1125</v>
      </c>
      <c r="D7663" s="4">
        <f>DATE(2007,2,16)</f>
        <v>39129</v>
      </c>
      <c r="E7663" s="5">
        <f t="shared" si="124"/>
        <v>2007</v>
      </c>
      <c r="F7663" s="3" t="s">
        <v>1126</v>
      </c>
      <c r="G7663" s="6">
        <v>294</v>
      </c>
      <c r="H7663" s="5">
        <v>7962</v>
      </c>
    </row>
    <row r="7664" spans="2:8" x14ac:dyDescent="0.4">
      <c r="B7664" t="s">
        <v>7</v>
      </c>
      <c r="C7664" t="s">
        <v>1127</v>
      </c>
      <c r="D7664" s="7">
        <f>DATE(2009,7,9)</f>
        <v>40003</v>
      </c>
      <c r="E7664" s="8">
        <f t="shared" si="124"/>
        <v>2009</v>
      </c>
      <c r="F7664" t="s">
        <v>1128</v>
      </c>
      <c r="G7664" s="9">
        <v>19695.189999999999</v>
      </c>
      <c r="H7664" s="8">
        <v>8814</v>
      </c>
    </row>
    <row r="7665" spans="2:8" x14ac:dyDescent="0.4">
      <c r="B7665" t="s">
        <v>7</v>
      </c>
      <c r="C7665" t="s">
        <v>1127</v>
      </c>
      <c r="D7665" s="7">
        <f>DATE(2011,2,25)</f>
        <v>40599</v>
      </c>
      <c r="E7665" s="8">
        <f t="shared" si="124"/>
        <v>2011</v>
      </c>
      <c r="F7665" t="s">
        <v>1128</v>
      </c>
      <c r="G7665" s="9">
        <v>24752</v>
      </c>
      <c r="H7665" s="8">
        <v>10490</v>
      </c>
    </row>
    <row r="7666" spans="2:8" x14ac:dyDescent="0.4">
      <c r="B7666" t="s">
        <v>7</v>
      </c>
      <c r="C7666" t="s">
        <v>1127</v>
      </c>
      <c r="D7666" s="7">
        <f>DATE(2012,4,11)</f>
        <v>41010</v>
      </c>
      <c r="E7666" s="8">
        <f t="shared" si="124"/>
        <v>2012</v>
      </c>
      <c r="F7666" t="s">
        <v>1128</v>
      </c>
      <c r="G7666" s="9">
        <v>13205.77</v>
      </c>
      <c r="H7666" s="8">
        <v>11465</v>
      </c>
    </row>
    <row r="7667" spans="2:8" x14ac:dyDescent="0.4">
      <c r="B7667" s="3" t="s">
        <v>7</v>
      </c>
      <c r="C7667" s="3" t="s">
        <v>1127</v>
      </c>
      <c r="D7667" s="4">
        <f>DATE(2003,10,28)</f>
        <v>37922</v>
      </c>
      <c r="E7667" s="5">
        <f t="shared" si="124"/>
        <v>2003</v>
      </c>
      <c r="F7667" s="3" t="s">
        <v>1128</v>
      </c>
      <c r="G7667" s="6">
        <v>617</v>
      </c>
      <c r="H7667" s="5">
        <v>1700</v>
      </c>
    </row>
    <row r="7668" spans="2:8" x14ac:dyDescent="0.4">
      <c r="B7668" s="3" t="s">
        <v>7</v>
      </c>
      <c r="C7668" s="3" t="s">
        <v>1127</v>
      </c>
      <c r="D7668" s="4">
        <f>DATE(2006,10,30)</f>
        <v>39020</v>
      </c>
      <c r="E7668" s="5">
        <f t="shared" si="124"/>
        <v>2006</v>
      </c>
      <c r="F7668" s="3" t="s">
        <v>1128</v>
      </c>
      <c r="G7668" s="6">
        <v>350</v>
      </c>
      <c r="H7668" s="5">
        <v>7455</v>
      </c>
    </row>
    <row r="7669" spans="2:8" x14ac:dyDescent="0.4">
      <c r="B7669" s="3" t="s">
        <v>7</v>
      </c>
      <c r="C7669" s="3" t="s">
        <v>1127</v>
      </c>
      <c r="D7669" s="4">
        <f>DATE(2008,1,16)</f>
        <v>39463</v>
      </c>
      <c r="E7669" s="5">
        <f t="shared" si="124"/>
        <v>2008</v>
      </c>
      <c r="F7669" s="3" t="s">
        <v>1128</v>
      </c>
      <c r="G7669" s="6">
        <v>175</v>
      </c>
      <c r="H7669" s="5">
        <v>9709</v>
      </c>
    </row>
    <row r="7670" spans="2:8" x14ac:dyDescent="0.4">
      <c r="B7670" s="3" t="s">
        <v>7</v>
      </c>
      <c r="C7670" s="3" t="s">
        <v>1127</v>
      </c>
      <c r="D7670" s="4">
        <f>DATE(2008,8,27)</f>
        <v>39687</v>
      </c>
      <c r="E7670" s="5">
        <f t="shared" si="124"/>
        <v>2008</v>
      </c>
      <c r="F7670" s="3" t="s">
        <v>1128</v>
      </c>
      <c r="G7670" s="6">
        <v>1301</v>
      </c>
      <c r="H7670" s="5">
        <v>10962</v>
      </c>
    </row>
    <row r="7671" spans="2:8" x14ac:dyDescent="0.4">
      <c r="B7671" s="3" t="s">
        <v>7</v>
      </c>
      <c r="C7671" s="3" t="s">
        <v>1127</v>
      </c>
      <c r="D7671" s="4">
        <f>DATE(2009,7,8)</f>
        <v>40002</v>
      </c>
      <c r="E7671" s="5">
        <f t="shared" si="124"/>
        <v>2009</v>
      </c>
      <c r="F7671" s="3" t="s">
        <v>1128</v>
      </c>
      <c r="G7671" s="6">
        <v>6000</v>
      </c>
      <c r="H7671" s="5">
        <v>12707</v>
      </c>
    </row>
    <row r="7672" spans="2:8" x14ac:dyDescent="0.4">
      <c r="B7672" s="3" t="s">
        <v>7</v>
      </c>
      <c r="C7672" s="3" t="s">
        <v>1127</v>
      </c>
      <c r="D7672" s="4">
        <f>DATE(2009,9,1)</f>
        <v>40057</v>
      </c>
      <c r="E7672" s="5">
        <f t="shared" si="124"/>
        <v>2009</v>
      </c>
      <c r="F7672" s="3" t="s">
        <v>1128</v>
      </c>
      <c r="G7672" s="6">
        <v>3980</v>
      </c>
      <c r="H7672" s="5">
        <v>12652</v>
      </c>
    </row>
    <row r="7673" spans="2:8" x14ac:dyDescent="0.4">
      <c r="B7673" s="3" t="s">
        <v>7</v>
      </c>
      <c r="C7673" s="3" t="s">
        <v>1127</v>
      </c>
      <c r="D7673" s="4">
        <f>DATE(2011,10,26)</f>
        <v>40842</v>
      </c>
      <c r="E7673" s="5">
        <f t="shared" si="124"/>
        <v>2011</v>
      </c>
      <c r="F7673" s="3" t="s">
        <v>1128</v>
      </c>
      <c r="G7673" s="6">
        <v>525</v>
      </c>
      <c r="H7673" s="5">
        <v>16128</v>
      </c>
    </row>
    <row r="7674" spans="2:8" x14ac:dyDescent="0.4">
      <c r="B7674" s="3" t="s">
        <v>7</v>
      </c>
      <c r="C7674" s="3" t="s">
        <v>1127</v>
      </c>
      <c r="D7674" s="4">
        <f>DATE(2012,8,31)</f>
        <v>41152</v>
      </c>
      <c r="E7674" s="5">
        <f t="shared" si="124"/>
        <v>2012</v>
      </c>
      <c r="F7674" s="3" t="s">
        <v>1128</v>
      </c>
      <c r="G7674" s="6">
        <v>9940</v>
      </c>
      <c r="H7674" s="5">
        <v>17484</v>
      </c>
    </row>
    <row r="7675" spans="2:8" x14ac:dyDescent="0.4">
      <c r="B7675" t="s">
        <v>7</v>
      </c>
      <c r="C7675" t="s">
        <v>1129</v>
      </c>
      <c r="D7675" s="7">
        <f>DATE(2004,5,12)</f>
        <v>38119</v>
      </c>
      <c r="E7675" s="8">
        <f t="shared" si="124"/>
        <v>2004</v>
      </c>
      <c r="F7675" t="s">
        <v>1130</v>
      </c>
      <c r="G7675" s="9">
        <v>828</v>
      </c>
      <c r="H7675" s="8">
        <v>1727</v>
      </c>
    </row>
    <row r="7676" spans="2:8" x14ac:dyDescent="0.4">
      <c r="B7676" t="s">
        <v>7</v>
      </c>
      <c r="C7676" t="s">
        <v>1129</v>
      </c>
      <c r="D7676" s="7">
        <f>DATE(2004,5,12)</f>
        <v>38119</v>
      </c>
      <c r="E7676" s="8">
        <f t="shared" si="124"/>
        <v>2004</v>
      </c>
      <c r="F7676" t="s">
        <v>1130</v>
      </c>
      <c r="G7676" s="9">
        <v>630</v>
      </c>
      <c r="H7676" s="8">
        <v>1773</v>
      </c>
    </row>
    <row r="7677" spans="2:8" x14ac:dyDescent="0.4">
      <c r="B7677" t="s">
        <v>7</v>
      </c>
      <c r="C7677" t="s">
        <v>1129</v>
      </c>
      <c r="D7677" s="7">
        <f>DATE(2004,7,20)</f>
        <v>38188</v>
      </c>
      <c r="E7677" s="8">
        <f t="shared" si="124"/>
        <v>2004</v>
      </c>
      <c r="F7677" t="s">
        <v>1130</v>
      </c>
      <c r="G7677" s="9">
        <v>761.29</v>
      </c>
      <c r="H7677" s="8">
        <v>1986</v>
      </c>
    </row>
    <row r="7678" spans="2:8" x14ac:dyDescent="0.4">
      <c r="B7678" t="s">
        <v>7</v>
      </c>
      <c r="C7678" t="s">
        <v>1129</v>
      </c>
      <c r="D7678" s="7">
        <f>DATE(2004,7,20)</f>
        <v>38188</v>
      </c>
      <c r="E7678" s="8">
        <f t="shared" si="124"/>
        <v>2004</v>
      </c>
      <c r="F7678" t="s">
        <v>1130</v>
      </c>
      <c r="G7678" s="9">
        <v>760</v>
      </c>
      <c r="H7678" s="8">
        <v>1987</v>
      </c>
    </row>
    <row r="7679" spans="2:8" x14ac:dyDescent="0.4">
      <c r="B7679" t="s">
        <v>7</v>
      </c>
      <c r="C7679" t="s">
        <v>1129</v>
      </c>
      <c r="D7679" s="7">
        <f>DATE(2007,6,1)</f>
        <v>39234</v>
      </c>
      <c r="E7679" s="8">
        <f t="shared" si="124"/>
        <v>2007</v>
      </c>
      <c r="F7679" t="s">
        <v>1130</v>
      </c>
      <c r="G7679" s="9">
        <v>81121.94</v>
      </c>
      <c r="H7679" s="8">
        <v>5867</v>
      </c>
    </row>
    <row r="7680" spans="2:8" x14ac:dyDescent="0.4">
      <c r="B7680" t="s">
        <v>7</v>
      </c>
      <c r="C7680" t="s">
        <v>1129</v>
      </c>
      <c r="D7680" s="7">
        <f>DATE(2008,4,3)</f>
        <v>39541</v>
      </c>
      <c r="E7680" s="8">
        <f t="shared" si="124"/>
        <v>2008</v>
      </c>
      <c r="F7680" t="s">
        <v>1130</v>
      </c>
      <c r="G7680" s="9">
        <v>6000</v>
      </c>
      <c r="H7680" s="8">
        <v>7256</v>
      </c>
    </row>
    <row r="7681" spans="2:8" x14ac:dyDescent="0.4">
      <c r="B7681" t="s">
        <v>7</v>
      </c>
      <c r="C7681" t="s">
        <v>1129</v>
      </c>
      <c r="D7681" s="7">
        <f>DATE(2008,8,1)</f>
        <v>39661</v>
      </c>
      <c r="E7681" s="8">
        <f t="shared" si="124"/>
        <v>2008</v>
      </c>
      <c r="F7681" t="s">
        <v>1130</v>
      </c>
      <c r="G7681" s="9">
        <v>2490</v>
      </c>
      <c r="H7681" s="8">
        <v>7321</v>
      </c>
    </row>
    <row r="7682" spans="2:8" x14ac:dyDescent="0.4">
      <c r="B7682" t="s">
        <v>7</v>
      </c>
      <c r="C7682" t="s">
        <v>1129</v>
      </c>
      <c r="D7682" s="7">
        <f>DATE(2009,6,10)</f>
        <v>39974</v>
      </c>
      <c r="E7682" s="8">
        <f t="shared" si="124"/>
        <v>2009</v>
      </c>
      <c r="F7682" t="s">
        <v>1130</v>
      </c>
      <c r="G7682" s="9">
        <v>5545.84</v>
      </c>
      <c r="H7682" s="8">
        <v>8773</v>
      </c>
    </row>
    <row r="7683" spans="2:8" x14ac:dyDescent="0.4">
      <c r="B7683" t="s">
        <v>7</v>
      </c>
      <c r="C7683" t="s">
        <v>1129</v>
      </c>
      <c r="D7683" s="7">
        <f>DATE(2009,7,27)</f>
        <v>40021</v>
      </c>
      <c r="E7683" s="8">
        <f t="shared" ref="E7683:E7746" si="125">YEAR(D7683)</f>
        <v>2009</v>
      </c>
      <c r="F7683" t="s">
        <v>1130</v>
      </c>
      <c r="G7683" s="9">
        <v>8495.48</v>
      </c>
      <c r="H7683" s="8">
        <v>8671</v>
      </c>
    </row>
    <row r="7684" spans="2:8" x14ac:dyDescent="0.4">
      <c r="B7684" t="s">
        <v>7</v>
      </c>
      <c r="C7684" t="s">
        <v>1129</v>
      </c>
      <c r="D7684" s="7">
        <f>DATE(2009,7,29)</f>
        <v>40023</v>
      </c>
      <c r="E7684" s="8">
        <f t="shared" si="125"/>
        <v>2009</v>
      </c>
      <c r="F7684" t="s">
        <v>1130</v>
      </c>
      <c r="G7684" s="9">
        <v>53057.42</v>
      </c>
      <c r="H7684" s="8">
        <v>8594</v>
      </c>
    </row>
    <row r="7685" spans="2:8" x14ac:dyDescent="0.4">
      <c r="B7685" t="s">
        <v>7</v>
      </c>
      <c r="C7685" t="s">
        <v>1129</v>
      </c>
      <c r="D7685" s="7">
        <f>DATE(2009,9,10)</f>
        <v>40066</v>
      </c>
      <c r="E7685" s="8">
        <f t="shared" si="125"/>
        <v>2009</v>
      </c>
      <c r="F7685" t="s">
        <v>1130</v>
      </c>
      <c r="G7685" s="9">
        <v>2490</v>
      </c>
      <c r="H7685" s="8">
        <v>9069</v>
      </c>
    </row>
    <row r="7686" spans="2:8" x14ac:dyDescent="0.4">
      <c r="B7686" t="s">
        <v>7</v>
      </c>
      <c r="C7686" t="s">
        <v>1129</v>
      </c>
      <c r="D7686" s="7">
        <f>DATE(2010,4,29)</f>
        <v>40297</v>
      </c>
      <c r="E7686" s="8">
        <f t="shared" si="125"/>
        <v>2010</v>
      </c>
      <c r="F7686" t="s">
        <v>1130</v>
      </c>
      <c r="G7686" s="9">
        <v>211.4</v>
      </c>
      <c r="H7686" s="8">
        <v>9830</v>
      </c>
    </row>
    <row r="7687" spans="2:8" x14ac:dyDescent="0.4">
      <c r="B7687" t="s">
        <v>7</v>
      </c>
      <c r="C7687" t="s">
        <v>1129</v>
      </c>
      <c r="D7687" s="7">
        <f>DATE(2013,4,12)</f>
        <v>41376</v>
      </c>
      <c r="E7687" s="8">
        <f t="shared" si="125"/>
        <v>2013</v>
      </c>
      <c r="F7687" t="s">
        <v>1130</v>
      </c>
      <c r="G7687" s="9">
        <v>7414.37</v>
      </c>
      <c r="H7687" s="8">
        <v>12328</v>
      </c>
    </row>
    <row r="7688" spans="2:8" x14ac:dyDescent="0.4">
      <c r="B7688" t="s">
        <v>16</v>
      </c>
      <c r="C7688" t="s">
        <v>1129</v>
      </c>
      <c r="D7688" s="7">
        <f>DATE(2009,7,11)</f>
        <v>40005</v>
      </c>
      <c r="E7688" s="8">
        <f t="shared" si="125"/>
        <v>2009</v>
      </c>
      <c r="F7688" t="s">
        <v>1130</v>
      </c>
      <c r="G7688" s="9">
        <v>2490</v>
      </c>
      <c r="H7688" s="8">
        <v>8885</v>
      </c>
    </row>
    <row r="7689" spans="2:8" x14ac:dyDescent="0.4">
      <c r="B7689" s="3" t="s">
        <v>7</v>
      </c>
      <c r="C7689" s="3" t="s">
        <v>1129</v>
      </c>
      <c r="D7689" s="4">
        <f>DATE(2008,4,3)</f>
        <v>39541</v>
      </c>
      <c r="E7689" s="5">
        <f t="shared" si="125"/>
        <v>2008</v>
      </c>
      <c r="F7689" s="3" t="s">
        <v>1130</v>
      </c>
      <c r="G7689" s="6">
        <v>7378</v>
      </c>
      <c r="H7689" s="5">
        <v>10142</v>
      </c>
    </row>
    <row r="7690" spans="2:8" x14ac:dyDescent="0.4">
      <c r="B7690" s="3" t="s">
        <v>7</v>
      </c>
      <c r="C7690" s="3" t="s">
        <v>1129</v>
      </c>
      <c r="D7690" s="4">
        <f>DATE(2008,4,11)</f>
        <v>39549</v>
      </c>
      <c r="E7690" s="5">
        <f t="shared" si="125"/>
        <v>2008</v>
      </c>
      <c r="F7690" s="3" t="s">
        <v>1130</v>
      </c>
      <c r="G7690" s="6">
        <v>6300</v>
      </c>
      <c r="H7690" s="5">
        <v>10429</v>
      </c>
    </row>
    <row r="7691" spans="2:8" x14ac:dyDescent="0.4">
      <c r="B7691" s="3" t="s">
        <v>7</v>
      </c>
      <c r="C7691" s="3" t="s">
        <v>1129</v>
      </c>
      <c r="D7691" s="4">
        <f>DATE(2008,8,8)</f>
        <v>39668</v>
      </c>
      <c r="E7691" s="5">
        <f t="shared" si="125"/>
        <v>2008</v>
      </c>
      <c r="F7691" s="3" t="s">
        <v>1130</v>
      </c>
      <c r="G7691" s="6">
        <v>525</v>
      </c>
      <c r="H7691" s="5">
        <v>11081</v>
      </c>
    </row>
    <row r="7692" spans="2:8" x14ac:dyDescent="0.4">
      <c r="B7692" s="3" t="s">
        <v>7</v>
      </c>
      <c r="C7692" s="3" t="s">
        <v>1129</v>
      </c>
      <c r="D7692" s="4">
        <f>DATE(2009,6,11)</f>
        <v>39975</v>
      </c>
      <c r="E7692" s="5">
        <f t="shared" si="125"/>
        <v>2009</v>
      </c>
      <c r="F7692" s="3" t="s">
        <v>1130</v>
      </c>
      <c r="G7692" s="6">
        <v>950</v>
      </c>
      <c r="H7692" s="5">
        <v>12635</v>
      </c>
    </row>
    <row r="7693" spans="2:8" x14ac:dyDescent="0.4">
      <c r="B7693" t="s">
        <v>7</v>
      </c>
      <c r="C7693" t="s">
        <v>1125</v>
      </c>
      <c r="D7693" s="7">
        <f>DATE(2007,12,19)</f>
        <v>39435</v>
      </c>
      <c r="E7693" s="8">
        <f t="shared" si="125"/>
        <v>2007</v>
      </c>
      <c r="F7693" t="s">
        <v>1131</v>
      </c>
      <c r="G7693" s="9">
        <v>5472.69</v>
      </c>
      <c r="H7693" s="8">
        <v>6689</v>
      </c>
    </row>
    <row r="7694" spans="2:8" x14ac:dyDescent="0.4">
      <c r="B7694" t="s">
        <v>7</v>
      </c>
      <c r="C7694" t="s">
        <v>1125</v>
      </c>
      <c r="D7694" s="7">
        <f>DATE(2008,10,29)</f>
        <v>39750</v>
      </c>
      <c r="E7694" s="8">
        <f t="shared" si="125"/>
        <v>2008</v>
      </c>
      <c r="F7694" t="s">
        <v>1131</v>
      </c>
      <c r="G7694" s="9">
        <v>3892.21</v>
      </c>
      <c r="H7694" s="8">
        <v>7979</v>
      </c>
    </row>
    <row r="7695" spans="2:8" x14ac:dyDescent="0.4">
      <c r="B7695" s="3" t="s">
        <v>7</v>
      </c>
      <c r="C7695" s="3" t="s">
        <v>1125</v>
      </c>
      <c r="D7695" s="4">
        <f>DATE(2007,11,5)</f>
        <v>39391</v>
      </c>
      <c r="E7695" s="5">
        <f t="shared" si="125"/>
        <v>2007</v>
      </c>
      <c r="F7695" s="3" t="s">
        <v>1131</v>
      </c>
      <c r="G7695" s="6">
        <v>4560</v>
      </c>
      <c r="H7695" s="5">
        <v>9435</v>
      </c>
    </row>
    <row r="7696" spans="2:8" x14ac:dyDescent="0.4">
      <c r="B7696" s="3" t="s">
        <v>7</v>
      </c>
      <c r="C7696" s="3" t="s">
        <v>1125</v>
      </c>
      <c r="D7696" s="4">
        <f>DATE(2007,11,9)</f>
        <v>39395</v>
      </c>
      <c r="E7696" s="5">
        <f t="shared" si="125"/>
        <v>2007</v>
      </c>
      <c r="F7696" s="3" t="s">
        <v>1131</v>
      </c>
      <c r="G7696" s="6">
        <v>630</v>
      </c>
      <c r="H7696" s="5">
        <v>9465</v>
      </c>
    </row>
    <row r="7697" spans="2:8" x14ac:dyDescent="0.4">
      <c r="B7697" s="3" t="s">
        <v>7</v>
      </c>
      <c r="C7697" s="3" t="s">
        <v>1125</v>
      </c>
      <c r="D7697" s="4">
        <f>DATE(2008,5,13)</f>
        <v>39581</v>
      </c>
      <c r="E7697" s="5">
        <f t="shared" si="125"/>
        <v>2008</v>
      </c>
      <c r="F7697" s="3" t="s">
        <v>1131</v>
      </c>
      <c r="G7697" s="6">
        <v>1500</v>
      </c>
      <c r="H7697" s="5">
        <v>10653</v>
      </c>
    </row>
    <row r="7698" spans="2:8" x14ac:dyDescent="0.4">
      <c r="B7698" s="3" t="s">
        <v>7</v>
      </c>
      <c r="C7698" s="3" t="s">
        <v>1125</v>
      </c>
      <c r="D7698" s="4">
        <f>DATE(2008,9,17)</f>
        <v>39708</v>
      </c>
      <c r="E7698" s="5">
        <f t="shared" si="125"/>
        <v>2008</v>
      </c>
      <c r="F7698" s="3" t="s">
        <v>1131</v>
      </c>
      <c r="G7698" s="6">
        <v>13920</v>
      </c>
      <c r="H7698" s="5">
        <v>11234</v>
      </c>
    </row>
    <row r="7699" spans="2:8" x14ac:dyDescent="0.4">
      <c r="B7699" s="3" t="s">
        <v>7</v>
      </c>
      <c r="C7699" s="3" t="s">
        <v>1125</v>
      </c>
      <c r="D7699" s="4">
        <f>DATE(2009,6,17)</f>
        <v>39981</v>
      </c>
      <c r="E7699" s="5">
        <f t="shared" si="125"/>
        <v>2009</v>
      </c>
      <c r="F7699" s="3" t="s">
        <v>1131</v>
      </c>
      <c r="G7699" s="6">
        <v>469.5</v>
      </c>
      <c r="H7699" s="5">
        <v>12698</v>
      </c>
    </row>
    <row r="7700" spans="2:8" x14ac:dyDescent="0.4">
      <c r="B7700" s="3" t="s">
        <v>7</v>
      </c>
      <c r="C7700" s="3" t="s">
        <v>1125</v>
      </c>
      <c r="D7700" s="4">
        <f>DATE(2009,7,9)</f>
        <v>40003</v>
      </c>
      <c r="E7700" s="5">
        <f t="shared" si="125"/>
        <v>2009</v>
      </c>
      <c r="F7700" s="3" t="s">
        <v>1131</v>
      </c>
      <c r="G7700" s="6">
        <v>1520</v>
      </c>
      <c r="H7700" s="5">
        <v>12778</v>
      </c>
    </row>
    <row r="7701" spans="2:8" x14ac:dyDescent="0.4">
      <c r="B7701" s="3" t="s">
        <v>7</v>
      </c>
      <c r="C7701" s="3" t="s">
        <v>1125</v>
      </c>
      <c r="D7701" s="4">
        <f>DATE(2009,9,29)</f>
        <v>40085</v>
      </c>
      <c r="E7701" s="5">
        <f t="shared" si="125"/>
        <v>2009</v>
      </c>
      <c r="F7701" s="3" t="s">
        <v>1131</v>
      </c>
      <c r="G7701" s="6">
        <v>575</v>
      </c>
      <c r="H7701" s="5">
        <v>13073</v>
      </c>
    </row>
    <row r="7702" spans="2:8" x14ac:dyDescent="0.4">
      <c r="B7702" s="3" t="s">
        <v>7</v>
      </c>
      <c r="C7702" s="3" t="s">
        <v>1125</v>
      </c>
      <c r="D7702" s="4">
        <f>DATE(2009,10,7)</f>
        <v>40093</v>
      </c>
      <c r="E7702" s="5">
        <f t="shared" si="125"/>
        <v>2009</v>
      </c>
      <c r="F7702" s="3" t="s">
        <v>1131</v>
      </c>
      <c r="G7702" s="6">
        <v>7600</v>
      </c>
      <c r="H7702" s="5">
        <v>13095</v>
      </c>
    </row>
    <row r="7703" spans="2:8" x14ac:dyDescent="0.4">
      <c r="B7703" s="3" t="s">
        <v>7</v>
      </c>
      <c r="C7703" s="3" t="s">
        <v>1125</v>
      </c>
      <c r="D7703" s="4">
        <f>DATE(2009,10,7)</f>
        <v>40093</v>
      </c>
      <c r="E7703" s="5">
        <f t="shared" si="125"/>
        <v>2009</v>
      </c>
      <c r="F7703" s="3" t="s">
        <v>1131</v>
      </c>
      <c r="G7703" s="6">
        <v>575</v>
      </c>
      <c r="H7703" s="5">
        <v>13111</v>
      </c>
    </row>
    <row r="7704" spans="2:8" x14ac:dyDescent="0.4">
      <c r="B7704" s="3" t="s">
        <v>7</v>
      </c>
      <c r="C7704" s="3" t="s">
        <v>1125</v>
      </c>
      <c r="D7704" s="4">
        <f>DATE(2009,10,21)</f>
        <v>40107</v>
      </c>
      <c r="E7704" s="5">
        <f t="shared" si="125"/>
        <v>2009</v>
      </c>
      <c r="F7704" s="3" t="s">
        <v>1131</v>
      </c>
      <c r="G7704" s="6">
        <v>1260</v>
      </c>
      <c r="H7704" s="5">
        <v>13179</v>
      </c>
    </row>
    <row r="7705" spans="2:8" x14ac:dyDescent="0.4">
      <c r="B7705" s="3" t="s">
        <v>7</v>
      </c>
      <c r="C7705" s="3" t="s">
        <v>1125</v>
      </c>
      <c r="D7705" s="4">
        <f>DATE(2009,10,21)</f>
        <v>40107</v>
      </c>
      <c r="E7705" s="5">
        <f t="shared" si="125"/>
        <v>2009</v>
      </c>
      <c r="F7705" s="3" t="s">
        <v>1131</v>
      </c>
      <c r="G7705" s="6">
        <v>4560</v>
      </c>
      <c r="H7705" s="5">
        <v>13156</v>
      </c>
    </row>
    <row r="7706" spans="2:8" x14ac:dyDescent="0.4">
      <c r="B7706" s="3" t="s">
        <v>7</v>
      </c>
      <c r="C7706" s="3" t="s">
        <v>1125</v>
      </c>
      <c r="D7706" s="4">
        <f>DATE(2009,10,22)</f>
        <v>40108</v>
      </c>
      <c r="E7706" s="5">
        <f t="shared" si="125"/>
        <v>2009</v>
      </c>
      <c r="F7706" s="3" t="s">
        <v>1131</v>
      </c>
      <c r="G7706" s="6">
        <v>630</v>
      </c>
      <c r="H7706" s="5">
        <v>13185</v>
      </c>
    </row>
    <row r="7707" spans="2:8" x14ac:dyDescent="0.4">
      <c r="B7707" s="3" t="s">
        <v>7</v>
      </c>
      <c r="C7707" s="3" t="s">
        <v>1125</v>
      </c>
      <c r="D7707" s="4">
        <f>DATE(2009,10,22)</f>
        <v>40108</v>
      </c>
      <c r="E7707" s="5">
        <f t="shared" si="125"/>
        <v>2009</v>
      </c>
      <c r="F7707" s="3" t="s">
        <v>1131</v>
      </c>
      <c r="G7707" s="6">
        <v>115</v>
      </c>
      <c r="H7707" s="5">
        <v>13186</v>
      </c>
    </row>
    <row r="7708" spans="2:8" x14ac:dyDescent="0.4">
      <c r="B7708" s="3" t="s">
        <v>7</v>
      </c>
      <c r="C7708" s="3" t="s">
        <v>1125</v>
      </c>
      <c r="D7708" s="4">
        <f>DATE(2010,6,24)</f>
        <v>40353</v>
      </c>
      <c r="E7708" s="5">
        <f t="shared" si="125"/>
        <v>2010</v>
      </c>
      <c r="F7708" s="3" t="s">
        <v>1131</v>
      </c>
      <c r="G7708" s="6">
        <v>4100</v>
      </c>
      <c r="H7708" s="5">
        <v>14199</v>
      </c>
    </row>
    <row r="7709" spans="2:8" x14ac:dyDescent="0.4">
      <c r="B7709" s="3" t="s">
        <v>7</v>
      </c>
      <c r="C7709" s="3" t="s">
        <v>1125</v>
      </c>
      <c r="D7709" s="4">
        <f>DATE(2010,8,23)</f>
        <v>40413</v>
      </c>
      <c r="E7709" s="5">
        <f t="shared" si="125"/>
        <v>2010</v>
      </c>
      <c r="F7709" s="3" t="s">
        <v>1131</v>
      </c>
      <c r="G7709" s="6">
        <v>4100</v>
      </c>
      <c r="H7709" s="5">
        <v>14400</v>
      </c>
    </row>
    <row r="7710" spans="2:8" x14ac:dyDescent="0.4">
      <c r="B7710" s="3" t="s">
        <v>7</v>
      </c>
      <c r="C7710" s="3" t="s">
        <v>1125</v>
      </c>
      <c r="D7710" s="4">
        <f>DATE(2010,10,8)</f>
        <v>40459</v>
      </c>
      <c r="E7710" s="5">
        <f t="shared" si="125"/>
        <v>2010</v>
      </c>
      <c r="F7710" s="3" t="s">
        <v>1131</v>
      </c>
      <c r="G7710" s="6">
        <v>4100</v>
      </c>
      <c r="H7710" s="5">
        <v>14577</v>
      </c>
    </row>
    <row r="7711" spans="2:8" x14ac:dyDescent="0.4">
      <c r="B7711" s="3" t="s">
        <v>7</v>
      </c>
      <c r="C7711" s="3" t="s">
        <v>1125</v>
      </c>
      <c r="D7711" s="4">
        <f>DATE(2010,10,8)</f>
        <v>40459</v>
      </c>
      <c r="E7711" s="5">
        <f t="shared" si="125"/>
        <v>2010</v>
      </c>
      <c r="F7711" s="3" t="s">
        <v>1131</v>
      </c>
      <c r="G7711" s="6">
        <v>252.28</v>
      </c>
      <c r="H7711" s="5">
        <v>14612</v>
      </c>
    </row>
    <row r="7712" spans="2:8" x14ac:dyDescent="0.4">
      <c r="B7712" s="3" t="s">
        <v>7</v>
      </c>
      <c r="C7712" s="3" t="s">
        <v>1125</v>
      </c>
      <c r="D7712" s="4">
        <f>DATE(2011,6,10)</f>
        <v>40704</v>
      </c>
      <c r="E7712" s="5">
        <f t="shared" si="125"/>
        <v>2011</v>
      </c>
      <c r="F7712" s="3" t="s">
        <v>1131</v>
      </c>
      <c r="G7712" s="6">
        <v>12348.6</v>
      </c>
      <c r="H7712" s="5">
        <v>15580</v>
      </c>
    </row>
    <row r="7713" spans="2:8" x14ac:dyDescent="0.4">
      <c r="B7713" s="3" t="s">
        <v>7</v>
      </c>
      <c r="C7713" s="3" t="s">
        <v>1125</v>
      </c>
      <c r="D7713" s="4">
        <f>DATE(2011,8,8)</f>
        <v>40763</v>
      </c>
      <c r="E7713" s="5">
        <f t="shared" si="125"/>
        <v>2011</v>
      </c>
      <c r="F7713" s="3" t="s">
        <v>1131</v>
      </c>
      <c r="G7713" s="6">
        <v>11600</v>
      </c>
      <c r="H7713" s="5">
        <v>15760</v>
      </c>
    </row>
    <row r="7714" spans="2:8" x14ac:dyDescent="0.4">
      <c r="B7714" s="3" t="s">
        <v>7</v>
      </c>
      <c r="C7714" s="3" t="s">
        <v>1125</v>
      </c>
      <c r="D7714" s="4">
        <f>DATE(2012,7,11)</f>
        <v>41101</v>
      </c>
      <c r="E7714" s="5">
        <f t="shared" si="125"/>
        <v>2012</v>
      </c>
      <c r="F7714" s="3" t="s">
        <v>1131</v>
      </c>
      <c r="G7714" s="6">
        <v>4606</v>
      </c>
      <c r="H7714" s="5">
        <v>17279</v>
      </c>
    </row>
    <row r="7715" spans="2:8" x14ac:dyDescent="0.4">
      <c r="B7715" s="3" t="s">
        <v>7</v>
      </c>
      <c r="C7715" s="3" t="s">
        <v>1125</v>
      </c>
      <c r="D7715" s="4">
        <f>DATE(2014,1,13)</f>
        <v>41652</v>
      </c>
      <c r="E7715" s="5">
        <f t="shared" si="125"/>
        <v>2014</v>
      </c>
      <c r="F7715" s="3" t="s">
        <v>1131</v>
      </c>
      <c r="G7715" s="6">
        <v>1150</v>
      </c>
      <c r="H7715" s="5">
        <v>19385</v>
      </c>
    </row>
    <row r="7716" spans="2:8" x14ac:dyDescent="0.4">
      <c r="B7716" t="s">
        <v>7</v>
      </c>
      <c r="C7716" t="s">
        <v>1132</v>
      </c>
      <c r="D7716" s="7">
        <f>DATE(2015,2,19)</f>
        <v>42054</v>
      </c>
      <c r="E7716" s="8">
        <f t="shared" si="125"/>
        <v>2015</v>
      </c>
      <c r="F7716" t="s">
        <v>1133</v>
      </c>
      <c r="G7716" s="9">
        <v>13071.52</v>
      </c>
      <c r="H7716" s="8">
        <v>262</v>
      </c>
    </row>
    <row r="7717" spans="2:8" x14ac:dyDescent="0.4">
      <c r="B7717" t="s">
        <v>7</v>
      </c>
      <c r="C7717" t="s">
        <v>1132</v>
      </c>
      <c r="D7717" s="7">
        <f>DATE(2015,2,23)</f>
        <v>42058</v>
      </c>
      <c r="E7717" s="8">
        <f t="shared" si="125"/>
        <v>2015</v>
      </c>
      <c r="F7717" t="s">
        <v>1133</v>
      </c>
      <c r="G7717" s="9">
        <v>241.5</v>
      </c>
      <c r="H7717" s="8">
        <v>20020</v>
      </c>
    </row>
    <row r="7718" spans="2:8" x14ac:dyDescent="0.4">
      <c r="B7718" t="s">
        <v>7</v>
      </c>
      <c r="C7718" t="s">
        <v>1132</v>
      </c>
      <c r="D7718" s="7">
        <f>DATE(2015,6,19)</f>
        <v>42174</v>
      </c>
      <c r="E7718" s="8">
        <f t="shared" si="125"/>
        <v>2015</v>
      </c>
      <c r="F7718" t="s">
        <v>1133</v>
      </c>
      <c r="G7718" s="9">
        <v>13005.74</v>
      </c>
      <c r="H7718" s="8">
        <v>20703</v>
      </c>
    </row>
    <row r="7719" spans="2:8" x14ac:dyDescent="0.4">
      <c r="B7719" t="s">
        <v>7</v>
      </c>
      <c r="C7719" t="s">
        <v>1132</v>
      </c>
      <c r="D7719" s="7">
        <f>DATE(2015,12,11)</f>
        <v>42349</v>
      </c>
      <c r="E7719" s="8">
        <f t="shared" si="125"/>
        <v>2015</v>
      </c>
      <c r="F7719" t="s">
        <v>1133</v>
      </c>
      <c r="G7719" s="9">
        <v>13076.32</v>
      </c>
      <c r="H7719" s="8">
        <v>21710</v>
      </c>
    </row>
    <row r="7720" spans="2:8" x14ac:dyDescent="0.4">
      <c r="B7720" t="s">
        <v>7</v>
      </c>
      <c r="C7720" t="s">
        <v>1132</v>
      </c>
      <c r="D7720" s="7">
        <f>DATE(2016,7,20)</f>
        <v>42571</v>
      </c>
      <c r="E7720" s="8">
        <f t="shared" si="125"/>
        <v>2016</v>
      </c>
      <c r="F7720" t="s">
        <v>1133</v>
      </c>
      <c r="G7720" s="9">
        <v>13082.57</v>
      </c>
      <c r="H7720" s="8">
        <v>23124</v>
      </c>
    </row>
    <row r="7721" spans="2:8" x14ac:dyDescent="0.4">
      <c r="B7721" t="s">
        <v>7</v>
      </c>
      <c r="C7721" t="s">
        <v>1132</v>
      </c>
      <c r="D7721" s="7">
        <f>DATE(2016,7,29)</f>
        <v>42580</v>
      </c>
      <c r="E7721" s="8">
        <f t="shared" si="125"/>
        <v>2016</v>
      </c>
      <c r="F7721" t="s">
        <v>1133</v>
      </c>
      <c r="G7721" s="9">
        <v>13082.57</v>
      </c>
      <c r="H7721" s="8">
        <v>23124</v>
      </c>
    </row>
    <row r="7722" spans="2:8" x14ac:dyDescent="0.4">
      <c r="B7722" t="s">
        <v>7</v>
      </c>
      <c r="C7722" t="s">
        <v>1132</v>
      </c>
      <c r="D7722" s="7">
        <f>DATE(2016,8,19)</f>
        <v>42601</v>
      </c>
      <c r="E7722" s="8">
        <f t="shared" si="125"/>
        <v>2016</v>
      </c>
      <c r="F7722" t="s">
        <v>1133</v>
      </c>
      <c r="G7722" s="9">
        <v>451.47</v>
      </c>
      <c r="H7722" s="8">
        <v>23293</v>
      </c>
    </row>
    <row r="7723" spans="2:8" x14ac:dyDescent="0.4">
      <c r="B7723" t="s">
        <v>7</v>
      </c>
      <c r="C7723" t="s">
        <v>1132</v>
      </c>
      <c r="D7723" s="7">
        <f>DATE(2016,12,14)</f>
        <v>42718</v>
      </c>
      <c r="E7723" s="8">
        <f t="shared" si="125"/>
        <v>2016</v>
      </c>
      <c r="F7723" t="s">
        <v>1133</v>
      </c>
      <c r="G7723" s="9">
        <v>1365.79</v>
      </c>
      <c r="H7723" s="8">
        <v>23949</v>
      </c>
    </row>
    <row r="7724" spans="2:8" x14ac:dyDescent="0.4">
      <c r="B7724" t="s">
        <v>7</v>
      </c>
      <c r="C7724" t="s">
        <v>1132</v>
      </c>
      <c r="D7724" s="7">
        <f>DATE(2006,4,25)</f>
        <v>38832</v>
      </c>
      <c r="E7724" s="8">
        <f t="shared" si="125"/>
        <v>2006</v>
      </c>
      <c r="F7724" t="s">
        <v>1133</v>
      </c>
      <c r="G7724" s="9">
        <v>6250</v>
      </c>
      <c r="H7724" s="8">
        <v>3969</v>
      </c>
    </row>
    <row r="7725" spans="2:8" x14ac:dyDescent="0.4">
      <c r="B7725" t="s">
        <v>7</v>
      </c>
      <c r="C7725" t="s">
        <v>1132</v>
      </c>
      <c r="D7725" s="7">
        <f>DATE(2007,10,3)</f>
        <v>39358</v>
      </c>
      <c r="E7725" s="8">
        <f t="shared" si="125"/>
        <v>2007</v>
      </c>
      <c r="F7725" t="s">
        <v>1133</v>
      </c>
      <c r="G7725" s="9">
        <v>1594.24</v>
      </c>
      <c r="H7725" s="8">
        <v>6489</v>
      </c>
    </row>
    <row r="7726" spans="2:8" x14ac:dyDescent="0.4">
      <c r="B7726" t="s">
        <v>7</v>
      </c>
      <c r="C7726" t="s">
        <v>1132</v>
      </c>
      <c r="D7726" s="7">
        <f>DATE(2007,11,1)</f>
        <v>39387</v>
      </c>
      <c r="E7726" s="8">
        <f t="shared" si="125"/>
        <v>2007</v>
      </c>
      <c r="F7726" t="s">
        <v>1133</v>
      </c>
      <c r="G7726" s="9">
        <v>1250</v>
      </c>
      <c r="H7726" s="8">
        <v>6562</v>
      </c>
    </row>
    <row r="7727" spans="2:8" x14ac:dyDescent="0.4">
      <c r="B7727" s="3" t="s">
        <v>7</v>
      </c>
      <c r="C7727" s="3" t="s">
        <v>1132</v>
      </c>
      <c r="D7727" s="4">
        <f>DATE(2005,10,27)</f>
        <v>38652</v>
      </c>
      <c r="E7727" s="5">
        <f t="shared" si="125"/>
        <v>2005</v>
      </c>
      <c r="F7727" s="3" t="s">
        <v>1133</v>
      </c>
      <c r="G7727" s="6">
        <v>5910.5</v>
      </c>
      <c r="H7727" s="5">
        <v>5485</v>
      </c>
    </row>
    <row r="7728" spans="2:8" x14ac:dyDescent="0.4">
      <c r="B7728" s="3" t="s">
        <v>7</v>
      </c>
      <c r="C7728" s="3" t="s">
        <v>1132</v>
      </c>
      <c r="D7728" s="4">
        <f>DATE(2005,12,1)</f>
        <v>38687</v>
      </c>
      <c r="E7728" s="5">
        <f t="shared" si="125"/>
        <v>2005</v>
      </c>
      <c r="F7728" s="3" t="s">
        <v>1133</v>
      </c>
      <c r="G7728" s="6">
        <v>641.85</v>
      </c>
      <c r="H7728" s="5">
        <v>5668</v>
      </c>
    </row>
    <row r="7729" spans="2:8" x14ac:dyDescent="0.4">
      <c r="B7729" s="3" t="s">
        <v>7</v>
      </c>
      <c r="C7729" s="3" t="s">
        <v>1132</v>
      </c>
      <c r="D7729" s="4">
        <f>DATE(2005,12,1)</f>
        <v>38687</v>
      </c>
      <c r="E7729" s="5">
        <f t="shared" si="125"/>
        <v>2005</v>
      </c>
      <c r="F7729" s="3" t="s">
        <v>1133</v>
      </c>
      <c r="G7729" s="6">
        <v>1909</v>
      </c>
      <c r="H7729" s="5">
        <v>5666</v>
      </c>
    </row>
    <row r="7730" spans="2:8" x14ac:dyDescent="0.4">
      <c r="B7730" s="3" t="s">
        <v>7</v>
      </c>
      <c r="C7730" s="3" t="s">
        <v>1132</v>
      </c>
      <c r="D7730" s="4">
        <f>DATE(2005,12,7)</f>
        <v>38693</v>
      </c>
      <c r="E7730" s="5">
        <f t="shared" si="125"/>
        <v>2005</v>
      </c>
      <c r="F7730" s="3" t="s">
        <v>1133</v>
      </c>
      <c r="G7730" s="6">
        <v>1959.25</v>
      </c>
      <c r="H7730" s="5">
        <v>5706</v>
      </c>
    </row>
    <row r="7731" spans="2:8" x14ac:dyDescent="0.4">
      <c r="B7731" s="3" t="s">
        <v>7</v>
      </c>
      <c r="C7731" s="3" t="s">
        <v>1132</v>
      </c>
      <c r="D7731" s="4">
        <f>DATE(2005,12,27)</f>
        <v>38713</v>
      </c>
      <c r="E7731" s="5">
        <f t="shared" si="125"/>
        <v>2005</v>
      </c>
      <c r="F7731" s="3" t="s">
        <v>1133</v>
      </c>
      <c r="G7731" s="6">
        <v>17736.900000000001</v>
      </c>
      <c r="H7731" s="5">
        <v>5664</v>
      </c>
    </row>
    <row r="7732" spans="2:8" x14ac:dyDescent="0.4">
      <c r="B7732" s="3" t="s">
        <v>7</v>
      </c>
      <c r="C7732" s="3" t="s">
        <v>1132</v>
      </c>
      <c r="D7732" s="4">
        <f>DATE(2006,1,18)</f>
        <v>38735</v>
      </c>
      <c r="E7732" s="5">
        <f t="shared" si="125"/>
        <v>2006</v>
      </c>
      <c r="F7732" s="3" t="s">
        <v>1133</v>
      </c>
      <c r="G7732" s="6">
        <v>989.05</v>
      </c>
      <c r="H7732" s="5">
        <v>5812</v>
      </c>
    </row>
    <row r="7733" spans="2:8" x14ac:dyDescent="0.4">
      <c r="B7733" s="3" t="s">
        <v>7</v>
      </c>
      <c r="C7733" s="3" t="s">
        <v>1132</v>
      </c>
      <c r="D7733" s="4">
        <f>DATE(2006,1,19)</f>
        <v>38736</v>
      </c>
      <c r="E7733" s="5">
        <f t="shared" si="125"/>
        <v>2006</v>
      </c>
      <c r="F7733" s="3" t="s">
        <v>1133</v>
      </c>
      <c r="G7733" s="6">
        <v>11816.83</v>
      </c>
      <c r="H7733" s="5">
        <v>5751</v>
      </c>
    </row>
    <row r="7734" spans="2:8" x14ac:dyDescent="0.4">
      <c r="B7734" s="3" t="s">
        <v>7</v>
      </c>
      <c r="C7734" s="3" t="s">
        <v>1132</v>
      </c>
      <c r="D7734" s="4">
        <f>DATE(2006,2,2)</f>
        <v>38750</v>
      </c>
      <c r="E7734" s="5">
        <f t="shared" si="125"/>
        <v>2006</v>
      </c>
      <c r="F7734" s="3" t="s">
        <v>1133</v>
      </c>
      <c r="G7734" s="6">
        <v>5911.5</v>
      </c>
      <c r="H7734" s="5">
        <v>5578</v>
      </c>
    </row>
    <row r="7735" spans="2:8" x14ac:dyDescent="0.4">
      <c r="B7735" s="3" t="s">
        <v>7</v>
      </c>
      <c r="C7735" s="3" t="s">
        <v>1132</v>
      </c>
      <c r="D7735" s="4">
        <f>DATE(2006,2,2)</f>
        <v>38750</v>
      </c>
      <c r="E7735" s="5">
        <f t="shared" si="125"/>
        <v>2006</v>
      </c>
      <c r="F7735" s="3" t="s">
        <v>1133</v>
      </c>
      <c r="G7735" s="6">
        <v>5911.5</v>
      </c>
      <c r="H7735" s="5">
        <v>5864</v>
      </c>
    </row>
    <row r="7736" spans="2:8" x14ac:dyDescent="0.4">
      <c r="B7736" s="3" t="s">
        <v>7</v>
      </c>
      <c r="C7736" s="3" t="s">
        <v>1132</v>
      </c>
      <c r="D7736" s="4">
        <f>DATE(2006,5,8)</f>
        <v>38845</v>
      </c>
      <c r="E7736" s="5">
        <f t="shared" si="125"/>
        <v>2006</v>
      </c>
      <c r="F7736" s="3" t="s">
        <v>1133</v>
      </c>
      <c r="G7736" s="6">
        <v>4040.65</v>
      </c>
      <c r="H7736" s="5">
        <v>6673</v>
      </c>
    </row>
    <row r="7737" spans="2:8" x14ac:dyDescent="0.4">
      <c r="B7737" s="3" t="s">
        <v>7</v>
      </c>
      <c r="C7737" s="3" t="s">
        <v>1132</v>
      </c>
      <c r="D7737" s="4">
        <f>DATE(2006,8,23)</f>
        <v>38952</v>
      </c>
      <c r="E7737" s="5">
        <f t="shared" si="125"/>
        <v>2006</v>
      </c>
      <c r="F7737" s="3" t="s">
        <v>1133</v>
      </c>
      <c r="G7737" s="6">
        <v>2482</v>
      </c>
      <c r="H7737" s="5">
        <v>7141</v>
      </c>
    </row>
    <row r="7738" spans="2:8" x14ac:dyDescent="0.4">
      <c r="B7738" s="3" t="s">
        <v>7</v>
      </c>
      <c r="C7738" s="3" t="s">
        <v>1132</v>
      </c>
      <c r="D7738" s="4">
        <f>DATE(2006,9,25)</f>
        <v>38985</v>
      </c>
      <c r="E7738" s="5">
        <f t="shared" si="125"/>
        <v>2006</v>
      </c>
      <c r="F7738" s="3" t="s">
        <v>1133</v>
      </c>
      <c r="G7738" s="6">
        <v>1909</v>
      </c>
      <c r="H7738" s="5">
        <v>7290</v>
      </c>
    </row>
    <row r="7739" spans="2:8" x14ac:dyDescent="0.4">
      <c r="B7739" s="3" t="s">
        <v>7</v>
      </c>
      <c r="C7739" s="3" t="s">
        <v>1132</v>
      </c>
      <c r="D7739" s="4">
        <f>DATE(2006,10,20)</f>
        <v>39010</v>
      </c>
      <c r="E7739" s="5">
        <f t="shared" si="125"/>
        <v>2006</v>
      </c>
      <c r="F7739" s="3" t="s">
        <v>1133</v>
      </c>
      <c r="G7739" s="6">
        <v>1973.63</v>
      </c>
      <c r="H7739" s="5">
        <v>7425</v>
      </c>
    </row>
    <row r="7740" spans="2:8" x14ac:dyDescent="0.4">
      <c r="B7740" s="3" t="s">
        <v>7</v>
      </c>
      <c r="C7740" s="3" t="s">
        <v>1132</v>
      </c>
      <c r="D7740" s="4">
        <f>DATE(2006,12,11)</f>
        <v>39062</v>
      </c>
      <c r="E7740" s="5">
        <f t="shared" si="125"/>
        <v>2006</v>
      </c>
      <c r="F7740" s="3" t="s">
        <v>1133</v>
      </c>
      <c r="G7740" s="6">
        <v>3943</v>
      </c>
      <c r="H7740" s="5">
        <v>7627</v>
      </c>
    </row>
    <row r="7741" spans="2:8" x14ac:dyDescent="0.4">
      <c r="B7741" s="3" t="s">
        <v>7</v>
      </c>
      <c r="C7741" s="3" t="s">
        <v>1132</v>
      </c>
      <c r="D7741" s="4">
        <f>DATE(2007,5,7)</f>
        <v>39209</v>
      </c>
      <c r="E7741" s="5">
        <f t="shared" si="125"/>
        <v>2007</v>
      </c>
      <c r="F7741" s="3" t="s">
        <v>1133</v>
      </c>
      <c r="G7741" s="6">
        <v>5913.5</v>
      </c>
      <c r="H7741" s="5">
        <v>8469</v>
      </c>
    </row>
    <row r="7742" spans="2:8" x14ac:dyDescent="0.4">
      <c r="B7742" s="3" t="s">
        <v>7</v>
      </c>
      <c r="C7742" s="3" t="s">
        <v>1132</v>
      </c>
      <c r="D7742" s="4">
        <f>DATE(2007,6,1)</f>
        <v>39234</v>
      </c>
      <c r="E7742" s="5">
        <f t="shared" si="125"/>
        <v>2007</v>
      </c>
      <c r="F7742" s="3" t="s">
        <v>1133</v>
      </c>
      <c r="G7742" s="6">
        <v>5911.95</v>
      </c>
      <c r="H7742" s="5">
        <v>8657</v>
      </c>
    </row>
    <row r="7743" spans="2:8" x14ac:dyDescent="0.4">
      <c r="B7743" s="3" t="s">
        <v>7</v>
      </c>
      <c r="C7743" s="3" t="s">
        <v>1132</v>
      </c>
      <c r="D7743" s="4">
        <f>DATE(2007,6,19)</f>
        <v>39252</v>
      </c>
      <c r="E7743" s="5">
        <f t="shared" si="125"/>
        <v>2007</v>
      </c>
      <c r="F7743" s="3" t="s">
        <v>1133</v>
      </c>
      <c r="G7743" s="6">
        <v>5912.07</v>
      </c>
      <c r="H7743" s="5">
        <v>8695</v>
      </c>
    </row>
    <row r="7744" spans="2:8" x14ac:dyDescent="0.4">
      <c r="B7744" s="3" t="s">
        <v>7</v>
      </c>
      <c r="C7744" s="3" t="s">
        <v>1132</v>
      </c>
      <c r="D7744" s="4">
        <f>DATE(2007,6,27)</f>
        <v>39260</v>
      </c>
      <c r="E7744" s="5">
        <f t="shared" si="125"/>
        <v>2007</v>
      </c>
      <c r="F7744" s="3" t="s">
        <v>1133</v>
      </c>
      <c r="G7744" s="6">
        <v>7885.94</v>
      </c>
      <c r="H7744" s="5">
        <v>8805</v>
      </c>
    </row>
    <row r="7745" spans="2:8" x14ac:dyDescent="0.4">
      <c r="B7745" s="3" t="s">
        <v>7</v>
      </c>
      <c r="C7745" s="3" t="s">
        <v>1132</v>
      </c>
      <c r="D7745" s="4">
        <f>DATE(2007,6,28)</f>
        <v>39261</v>
      </c>
      <c r="E7745" s="5">
        <f t="shared" si="125"/>
        <v>2007</v>
      </c>
      <c r="F7745" s="3" t="s">
        <v>1133</v>
      </c>
      <c r="G7745" s="6">
        <v>87</v>
      </c>
      <c r="H7745" s="5">
        <v>8843</v>
      </c>
    </row>
    <row r="7746" spans="2:8" x14ac:dyDescent="0.4">
      <c r="B7746" s="3" t="s">
        <v>7</v>
      </c>
      <c r="C7746" s="3" t="s">
        <v>1132</v>
      </c>
      <c r="D7746" s="4">
        <f>DATE(2007,8,23)</f>
        <v>39317</v>
      </c>
      <c r="E7746" s="5">
        <f t="shared" si="125"/>
        <v>2007</v>
      </c>
      <c r="F7746" s="3" t="s">
        <v>1133</v>
      </c>
      <c r="G7746" s="6">
        <v>3945</v>
      </c>
      <c r="H7746" s="5">
        <v>9015</v>
      </c>
    </row>
    <row r="7747" spans="2:8" x14ac:dyDescent="0.4">
      <c r="B7747" s="3" t="s">
        <v>7</v>
      </c>
      <c r="C7747" s="3" t="s">
        <v>1132</v>
      </c>
      <c r="D7747" s="4">
        <f>DATE(2007,10,3)</f>
        <v>39358</v>
      </c>
      <c r="E7747" s="5">
        <f t="shared" ref="E7747:E7810" si="126">YEAR(D7747)</f>
        <v>2007</v>
      </c>
      <c r="F7747" s="3" t="s">
        <v>1133</v>
      </c>
      <c r="G7747" s="6">
        <v>2704.5</v>
      </c>
      <c r="H7747" s="5">
        <v>9323</v>
      </c>
    </row>
    <row r="7748" spans="2:8" x14ac:dyDescent="0.4">
      <c r="B7748" s="3" t="s">
        <v>7</v>
      </c>
      <c r="C7748" s="3" t="s">
        <v>1132</v>
      </c>
      <c r="D7748" s="4">
        <f>DATE(2007,10,26)</f>
        <v>39381</v>
      </c>
      <c r="E7748" s="5">
        <f t="shared" si="126"/>
        <v>2007</v>
      </c>
      <c r="F7748" s="3" t="s">
        <v>1133</v>
      </c>
      <c r="G7748" s="6">
        <v>1973</v>
      </c>
      <c r="H7748" s="5">
        <v>9395</v>
      </c>
    </row>
    <row r="7749" spans="2:8" x14ac:dyDescent="0.4">
      <c r="B7749" s="3" t="s">
        <v>7</v>
      </c>
      <c r="C7749" s="3" t="s">
        <v>1132</v>
      </c>
      <c r="D7749" s="4">
        <f>DATE(2007,11,1)</f>
        <v>39387</v>
      </c>
      <c r="E7749" s="5">
        <f t="shared" si="126"/>
        <v>2007</v>
      </c>
      <c r="F7749" s="3" t="s">
        <v>1133</v>
      </c>
      <c r="G7749" s="6">
        <v>589.75</v>
      </c>
      <c r="H7749" s="5">
        <v>9415</v>
      </c>
    </row>
    <row r="7750" spans="2:8" x14ac:dyDescent="0.4">
      <c r="B7750" s="3" t="s">
        <v>7</v>
      </c>
      <c r="C7750" s="3" t="s">
        <v>1132</v>
      </c>
      <c r="D7750" s="4">
        <f>DATE(2007,11,26)</f>
        <v>39412</v>
      </c>
      <c r="E7750" s="5">
        <f t="shared" si="126"/>
        <v>2007</v>
      </c>
      <c r="F7750" s="3" t="s">
        <v>1133</v>
      </c>
      <c r="G7750" s="6">
        <v>3945</v>
      </c>
      <c r="H7750" s="5">
        <v>9402</v>
      </c>
    </row>
    <row r="7751" spans="2:8" x14ac:dyDescent="0.4">
      <c r="B7751" s="3" t="s">
        <v>7</v>
      </c>
      <c r="C7751" s="3" t="s">
        <v>1132</v>
      </c>
      <c r="D7751" s="4">
        <f>DATE(2013,4,16)</f>
        <v>41380</v>
      </c>
      <c r="E7751" s="5">
        <f t="shared" si="126"/>
        <v>2013</v>
      </c>
      <c r="F7751" s="3" t="s">
        <v>1133</v>
      </c>
      <c r="G7751" s="6">
        <v>13000.25</v>
      </c>
      <c r="H7751" s="5">
        <v>18438</v>
      </c>
    </row>
    <row r="7752" spans="2:8" x14ac:dyDescent="0.4">
      <c r="B7752" s="3" t="s">
        <v>7</v>
      </c>
      <c r="C7752" s="3" t="s">
        <v>1132</v>
      </c>
      <c r="D7752" s="4">
        <f>DATE(2013,4,29)</f>
        <v>41393</v>
      </c>
      <c r="E7752" s="5">
        <f t="shared" si="126"/>
        <v>2013</v>
      </c>
      <c r="F7752" s="3" t="s">
        <v>1133</v>
      </c>
      <c r="G7752" s="6">
        <v>26016.53</v>
      </c>
      <c r="H7752" s="5">
        <v>18470</v>
      </c>
    </row>
    <row r="7753" spans="2:8" x14ac:dyDescent="0.4">
      <c r="B7753" s="3" t="s">
        <v>7</v>
      </c>
      <c r="C7753" s="3" t="s">
        <v>1132</v>
      </c>
      <c r="D7753" s="4">
        <f>DATE(2013,5,9)</f>
        <v>41403</v>
      </c>
      <c r="E7753" s="5">
        <f t="shared" si="126"/>
        <v>2013</v>
      </c>
      <c r="F7753" s="3" t="s">
        <v>1133</v>
      </c>
      <c r="G7753" s="6">
        <v>1692.97</v>
      </c>
      <c r="H7753" s="5">
        <v>18547</v>
      </c>
    </row>
    <row r="7754" spans="2:8" x14ac:dyDescent="0.4">
      <c r="B7754" s="3" t="s">
        <v>7</v>
      </c>
      <c r="C7754" s="3" t="s">
        <v>1132</v>
      </c>
      <c r="D7754" s="4">
        <f>DATE(2013,7,18)</f>
        <v>41473</v>
      </c>
      <c r="E7754" s="5">
        <f t="shared" si="126"/>
        <v>2013</v>
      </c>
      <c r="F7754" s="3" t="s">
        <v>1133</v>
      </c>
      <c r="G7754" s="6">
        <v>13065.99</v>
      </c>
      <c r="H7754" s="5">
        <v>18666</v>
      </c>
    </row>
    <row r="7755" spans="2:8" x14ac:dyDescent="0.4">
      <c r="B7755" s="3" t="s">
        <v>7</v>
      </c>
      <c r="C7755" s="3" t="s">
        <v>1132</v>
      </c>
      <c r="D7755" s="4">
        <f>DATE(2014,2,3)</f>
        <v>41673</v>
      </c>
      <c r="E7755" s="5">
        <f t="shared" si="126"/>
        <v>2014</v>
      </c>
      <c r="F7755" s="3" t="s">
        <v>1133</v>
      </c>
      <c r="G7755" s="6">
        <v>6500.81</v>
      </c>
      <c r="H7755" s="5">
        <v>19362</v>
      </c>
    </row>
    <row r="7756" spans="2:8" x14ac:dyDescent="0.4">
      <c r="B7756" s="3" t="s">
        <v>7</v>
      </c>
      <c r="C7756" s="3" t="s">
        <v>1132</v>
      </c>
      <c r="D7756" s="4">
        <f>DATE(2014,5,15)</f>
        <v>41774</v>
      </c>
      <c r="E7756" s="5">
        <f t="shared" si="126"/>
        <v>2014</v>
      </c>
      <c r="F7756" s="3" t="s">
        <v>1133</v>
      </c>
      <c r="G7756" s="6">
        <v>614</v>
      </c>
      <c r="H7756" s="5">
        <v>19842</v>
      </c>
    </row>
    <row r="7757" spans="2:8" x14ac:dyDescent="0.4">
      <c r="B7757" t="s">
        <v>7</v>
      </c>
      <c r="C7757" t="s">
        <v>1134</v>
      </c>
      <c r="D7757" s="7">
        <f>DATE(2018,4,12)</f>
        <v>43202</v>
      </c>
      <c r="E7757" s="8">
        <f t="shared" si="126"/>
        <v>2018</v>
      </c>
      <c r="F7757" t="s">
        <v>1135</v>
      </c>
      <c r="G7757" s="9">
        <v>11138.05</v>
      </c>
      <c r="H7757" s="8">
        <v>26731</v>
      </c>
    </row>
    <row r="7758" spans="2:8" x14ac:dyDescent="0.4">
      <c r="B7758" t="s">
        <v>7</v>
      </c>
      <c r="C7758" t="s">
        <v>1134</v>
      </c>
      <c r="D7758" s="7">
        <f>DATE(2005,11,19)</f>
        <v>38675</v>
      </c>
      <c r="E7758" s="8">
        <f t="shared" si="126"/>
        <v>2005</v>
      </c>
      <c r="F7758" t="s">
        <v>1135</v>
      </c>
      <c r="G7758" s="9">
        <v>4716.21</v>
      </c>
      <c r="H7758" s="8">
        <v>3779</v>
      </c>
    </row>
    <row r="7759" spans="2:8" x14ac:dyDescent="0.4">
      <c r="B7759" t="s">
        <v>7</v>
      </c>
      <c r="C7759" t="s">
        <v>1134</v>
      </c>
      <c r="D7759" s="7">
        <f>DATE(2006,4,30)</f>
        <v>38837</v>
      </c>
      <c r="E7759" s="8">
        <f t="shared" si="126"/>
        <v>2006</v>
      </c>
      <c r="F7759" t="s">
        <v>1135</v>
      </c>
      <c r="G7759" s="9">
        <v>6341.6</v>
      </c>
      <c r="H7759" s="8">
        <v>4564</v>
      </c>
    </row>
    <row r="7760" spans="2:8" x14ac:dyDescent="0.4">
      <c r="B7760" t="s">
        <v>7</v>
      </c>
      <c r="C7760" t="s">
        <v>1134</v>
      </c>
      <c r="D7760" s="7">
        <f>DATE(2007,1,11)</f>
        <v>39093</v>
      </c>
      <c r="E7760" s="8">
        <f t="shared" si="126"/>
        <v>2007</v>
      </c>
      <c r="F7760" t="s">
        <v>1135</v>
      </c>
      <c r="G7760" s="9">
        <v>4047.29</v>
      </c>
      <c r="H7760" s="8">
        <v>5354</v>
      </c>
    </row>
    <row r="7761" spans="2:8" x14ac:dyDescent="0.4">
      <c r="B7761" t="s">
        <v>7</v>
      </c>
      <c r="C7761" t="s">
        <v>1134</v>
      </c>
      <c r="D7761" s="7">
        <f>DATE(2008,5,23)</f>
        <v>39591</v>
      </c>
      <c r="E7761" s="8">
        <f t="shared" si="126"/>
        <v>2008</v>
      </c>
      <c r="F7761" t="s">
        <v>1135</v>
      </c>
      <c r="G7761" s="9">
        <v>19061</v>
      </c>
      <c r="H7761" s="8">
        <v>7414</v>
      </c>
    </row>
    <row r="7762" spans="2:8" x14ac:dyDescent="0.4">
      <c r="B7762" t="s">
        <v>7</v>
      </c>
      <c r="C7762" t="s">
        <v>1134</v>
      </c>
      <c r="D7762" s="7">
        <f>DATE(2008,5,1)</f>
        <v>39569</v>
      </c>
      <c r="E7762" s="8">
        <f t="shared" si="126"/>
        <v>2008</v>
      </c>
      <c r="F7762" t="s">
        <v>1135</v>
      </c>
      <c r="G7762" s="9">
        <v>78453.16</v>
      </c>
      <c r="H7762" s="8">
        <v>6553</v>
      </c>
    </row>
    <row r="7763" spans="2:8" x14ac:dyDescent="0.4">
      <c r="B7763" t="s">
        <v>7</v>
      </c>
      <c r="C7763" t="s">
        <v>1134</v>
      </c>
      <c r="D7763" s="7">
        <f>DATE(2008,6,12)</f>
        <v>39611</v>
      </c>
      <c r="E7763" s="8">
        <f t="shared" si="126"/>
        <v>2008</v>
      </c>
      <c r="F7763" t="s">
        <v>1135</v>
      </c>
      <c r="G7763" s="9">
        <v>12575.24</v>
      </c>
      <c r="H7763" s="8">
        <v>7517</v>
      </c>
    </row>
    <row r="7764" spans="2:8" x14ac:dyDescent="0.4">
      <c r="B7764" t="s">
        <v>7</v>
      </c>
      <c r="C7764" t="s">
        <v>1134</v>
      </c>
      <c r="D7764" s="7">
        <f>DATE(2008,6,26)</f>
        <v>39625</v>
      </c>
      <c r="E7764" s="8">
        <f t="shared" si="126"/>
        <v>2008</v>
      </c>
      <c r="F7764" t="s">
        <v>1135</v>
      </c>
      <c r="G7764" s="9">
        <v>21052.74</v>
      </c>
      <c r="H7764" s="8">
        <v>7542</v>
      </c>
    </row>
    <row r="7765" spans="2:8" x14ac:dyDescent="0.4">
      <c r="B7765" t="s">
        <v>7</v>
      </c>
      <c r="C7765" t="s">
        <v>1134</v>
      </c>
      <c r="D7765" s="7">
        <f>DATE(2008,12,31)</f>
        <v>39813</v>
      </c>
      <c r="E7765" s="8">
        <f t="shared" si="126"/>
        <v>2008</v>
      </c>
      <c r="F7765" t="s">
        <v>1135</v>
      </c>
      <c r="G7765" s="9">
        <v>7243.97</v>
      </c>
      <c r="H7765" s="8">
        <v>8150</v>
      </c>
    </row>
    <row r="7766" spans="2:8" x14ac:dyDescent="0.4">
      <c r="B7766" t="s">
        <v>7</v>
      </c>
      <c r="C7766" t="s">
        <v>1134</v>
      </c>
      <c r="D7766" s="7">
        <f>DATE(2011,7,27)</f>
        <v>40751</v>
      </c>
      <c r="E7766" s="8">
        <f t="shared" si="126"/>
        <v>2011</v>
      </c>
      <c r="F7766" t="s">
        <v>1135</v>
      </c>
      <c r="G7766" s="9">
        <v>9722.84</v>
      </c>
      <c r="H7766" s="8">
        <v>10904</v>
      </c>
    </row>
    <row r="7767" spans="2:8" x14ac:dyDescent="0.4">
      <c r="B7767" s="3" t="s">
        <v>7</v>
      </c>
      <c r="C7767" s="3" t="s">
        <v>1134</v>
      </c>
      <c r="D7767" s="4">
        <f>DATE(2008,9,1)</f>
        <v>39692</v>
      </c>
      <c r="E7767" s="5">
        <f t="shared" si="126"/>
        <v>2008</v>
      </c>
      <c r="F7767" s="3" t="s">
        <v>1135</v>
      </c>
      <c r="G7767" s="6">
        <v>171.3</v>
      </c>
      <c r="H7767" s="5">
        <v>11396</v>
      </c>
    </row>
    <row r="7768" spans="2:8" x14ac:dyDescent="0.4">
      <c r="B7768" s="3" t="s">
        <v>7</v>
      </c>
      <c r="C7768" s="3" t="s">
        <v>1134</v>
      </c>
      <c r="D7768" s="4">
        <f>DATE(2011,4,7)</f>
        <v>40640</v>
      </c>
      <c r="E7768" s="5">
        <f t="shared" si="126"/>
        <v>2011</v>
      </c>
      <c r="F7768" s="3" t="s">
        <v>1135</v>
      </c>
      <c r="G7768" s="6">
        <v>533</v>
      </c>
      <c r="H7768" s="5">
        <v>15354</v>
      </c>
    </row>
    <row r="7769" spans="2:8" x14ac:dyDescent="0.4">
      <c r="B7769" t="s">
        <v>7</v>
      </c>
      <c r="C7769" t="s">
        <v>1136</v>
      </c>
      <c r="D7769" s="7">
        <f>DATE(2017,3,6)</f>
        <v>42800</v>
      </c>
      <c r="E7769" s="8">
        <f t="shared" si="126"/>
        <v>2017</v>
      </c>
      <c r="F7769" t="s">
        <v>1137</v>
      </c>
      <c r="G7769" s="9">
        <v>3000</v>
      </c>
      <c r="H7769" s="8">
        <v>24410</v>
      </c>
    </row>
    <row r="7770" spans="2:8" x14ac:dyDescent="0.4">
      <c r="B7770" t="s">
        <v>7</v>
      </c>
      <c r="C7770" t="s">
        <v>1136</v>
      </c>
      <c r="D7770" s="7">
        <f>DATE(2017,9,19)</f>
        <v>42997</v>
      </c>
      <c r="E7770" s="8">
        <f t="shared" si="126"/>
        <v>2017</v>
      </c>
      <c r="F7770" t="s">
        <v>1137</v>
      </c>
      <c r="G7770" s="9">
        <v>3000</v>
      </c>
      <c r="H7770" s="8">
        <v>25561</v>
      </c>
    </row>
    <row r="7771" spans="2:8" x14ac:dyDescent="0.4">
      <c r="B7771" t="s">
        <v>7</v>
      </c>
      <c r="C7771" t="s">
        <v>1136</v>
      </c>
      <c r="D7771" s="7">
        <f>DATE(2018,5,23)</f>
        <v>43243</v>
      </c>
      <c r="E7771" s="8">
        <f t="shared" si="126"/>
        <v>2018</v>
      </c>
      <c r="F7771" t="s">
        <v>1137</v>
      </c>
      <c r="G7771" s="9">
        <v>187.5</v>
      </c>
      <c r="H7771" s="8">
        <v>27104</v>
      </c>
    </row>
    <row r="7772" spans="2:8" x14ac:dyDescent="0.4">
      <c r="B7772" t="s">
        <v>7</v>
      </c>
      <c r="C7772" t="s">
        <v>1136</v>
      </c>
      <c r="D7772" s="7">
        <f>DATE(2004,9,20)</f>
        <v>38250</v>
      </c>
      <c r="E7772" s="8">
        <f t="shared" si="126"/>
        <v>2004</v>
      </c>
      <c r="F7772" t="s">
        <v>1137</v>
      </c>
      <c r="G7772" s="9">
        <v>1035</v>
      </c>
      <c r="H7772" s="8">
        <v>2197</v>
      </c>
    </row>
    <row r="7773" spans="2:8" x14ac:dyDescent="0.4">
      <c r="B7773" t="s">
        <v>7</v>
      </c>
      <c r="C7773" t="s">
        <v>1136</v>
      </c>
      <c r="D7773" s="7">
        <f>DATE(2008,5,14)</f>
        <v>39582</v>
      </c>
      <c r="E7773" s="8">
        <f t="shared" si="126"/>
        <v>2008</v>
      </c>
      <c r="F7773" t="s">
        <v>1137</v>
      </c>
      <c r="G7773" s="9">
        <v>550</v>
      </c>
      <c r="H7773" s="8">
        <v>7440</v>
      </c>
    </row>
    <row r="7774" spans="2:8" x14ac:dyDescent="0.4">
      <c r="B7774" s="3" t="s">
        <v>7</v>
      </c>
      <c r="C7774" s="3" t="s">
        <v>1136</v>
      </c>
      <c r="D7774" s="4">
        <f>DATE(2004,2,24)</f>
        <v>38041</v>
      </c>
      <c r="E7774" s="5">
        <f t="shared" si="126"/>
        <v>2004</v>
      </c>
      <c r="F7774" s="3" t="s">
        <v>1137</v>
      </c>
      <c r="G7774" s="6">
        <v>2000</v>
      </c>
      <c r="H7774" s="5">
        <v>2229</v>
      </c>
    </row>
    <row r="7775" spans="2:8" x14ac:dyDescent="0.4">
      <c r="B7775" s="3" t="s">
        <v>7</v>
      </c>
      <c r="C7775" s="3" t="s">
        <v>1136</v>
      </c>
      <c r="D7775" s="4">
        <f>DATE(2004,3,31)</f>
        <v>38077</v>
      </c>
      <c r="E7775" s="5">
        <f t="shared" si="126"/>
        <v>2004</v>
      </c>
      <c r="F7775" s="3" t="s">
        <v>1137</v>
      </c>
      <c r="G7775" s="6">
        <v>1000</v>
      </c>
      <c r="H7775" s="5">
        <v>2511</v>
      </c>
    </row>
    <row r="7776" spans="2:8" x14ac:dyDescent="0.4">
      <c r="B7776" s="3" t="s">
        <v>7</v>
      </c>
      <c r="C7776" s="3" t="s">
        <v>1136</v>
      </c>
      <c r="D7776" s="4">
        <f>DATE(2005,1,13)</f>
        <v>38365</v>
      </c>
      <c r="E7776" s="5">
        <f t="shared" si="126"/>
        <v>2005</v>
      </c>
      <c r="F7776" s="3" t="s">
        <v>1137</v>
      </c>
      <c r="G7776" s="6">
        <v>3450</v>
      </c>
      <c r="H7776" s="5">
        <v>3857</v>
      </c>
    </row>
    <row r="7777" spans="2:8" x14ac:dyDescent="0.4">
      <c r="B7777" s="3" t="s">
        <v>7</v>
      </c>
      <c r="C7777" s="3" t="s">
        <v>1136</v>
      </c>
      <c r="D7777" s="4">
        <f>DATE(2005,3,4)</f>
        <v>38415</v>
      </c>
      <c r="E7777" s="5">
        <f t="shared" si="126"/>
        <v>2005</v>
      </c>
      <c r="F7777" s="3" t="s">
        <v>1137</v>
      </c>
      <c r="G7777" s="6">
        <v>508</v>
      </c>
      <c r="H7777" s="5">
        <v>4260</v>
      </c>
    </row>
    <row r="7778" spans="2:8" x14ac:dyDescent="0.4">
      <c r="B7778" s="3" t="s">
        <v>7</v>
      </c>
      <c r="C7778" s="3" t="s">
        <v>1136</v>
      </c>
      <c r="D7778" s="4">
        <f>DATE(2005,9,22)</f>
        <v>38617</v>
      </c>
      <c r="E7778" s="5">
        <f t="shared" si="126"/>
        <v>2005</v>
      </c>
      <c r="F7778" s="3" t="s">
        <v>1137</v>
      </c>
      <c r="G7778" s="6">
        <v>3000</v>
      </c>
      <c r="H7778" s="5">
        <v>5249</v>
      </c>
    </row>
    <row r="7779" spans="2:8" x14ac:dyDescent="0.4">
      <c r="B7779" s="3" t="s">
        <v>7</v>
      </c>
      <c r="C7779" s="3" t="s">
        <v>1136</v>
      </c>
      <c r="D7779" s="4">
        <f>DATE(2005,10,31)</f>
        <v>38656</v>
      </c>
      <c r="E7779" s="5">
        <f t="shared" si="126"/>
        <v>2005</v>
      </c>
      <c r="F7779" s="3" t="s">
        <v>1137</v>
      </c>
      <c r="G7779" s="6">
        <v>1500</v>
      </c>
      <c r="H7779" s="5">
        <v>5494</v>
      </c>
    </row>
    <row r="7780" spans="2:8" x14ac:dyDescent="0.4">
      <c r="B7780" s="3" t="s">
        <v>7</v>
      </c>
      <c r="C7780" s="3" t="s">
        <v>1136</v>
      </c>
      <c r="D7780" s="4">
        <f>DATE(2007,6,21)</f>
        <v>39254</v>
      </c>
      <c r="E7780" s="5">
        <f t="shared" si="126"/>
        <v>2007</v>
      </c>
      <c r="F7780" s="3" t="s">
        <v>1137</v>
      </c>
      <c r="G7780" s="6">
        <v>1500</v>
      </c>
      <c r="H7780" s="5">
        <v>8735</v>
      </c>
    </row>
    <row r="7781" spans="2:8" x14ac:dyDescent="0.4">
      <c r="B7781" s="3" t="s">
        <v>7</v>
      </c>
      <c r="C7781" s="3" t="s">
        <v>1136</v>
      </c>
      <c r="D7781" s="4">
        <f>DATE(2008,4,11)</f>
        <v>39549</v>
      </c>
      <c r="E7781" s="5">
        <f t="shared" si="126"/>
        <v>2008</v>
      </c>
      <c r="F7781" s="3" t="s">
        <v>1137</v>
      </c>
      <c r="G7781" s="6">
        <v>3000</v>
      </c>
      <c r="H7781" s="5">
        <v>10236</v>
      </c>
    </row>
    <row r="7782" spans="2:8" x14ac:dyDescent="0.4">
      <c r="B7782" s="3" t="s">
        <v>7</v>
      </c>
      <c r="C7782" s="3" t="s">
        <v>1136</v>
      </c>
      <c r="D7782" s="4">
        <f>DATE(2009,4,2)</f>
        <v>39905</v>
      </c>
      <c r="E7782" s="5">
        <f t="shared" si="126"/>
        <v>2009</v>
      </c>
      <c r="F7782" s="3" t="s">
        <v>1137</v>
      </c>
      <c r="G7782" s="6">
        <v>1500</v>
      </c>
      <c r="H7782" s="5">
        <v>12190</v>
      </c>
    </row>
    <row r="7783" spans="2:8" x14ac:dyDescent="0.4">
      <c r="B7783" s="3" t="s">
        <v>7</v>
      </c>
      <c r="C7783" s="3" t="s">
        <v>1136</v>
      </c>
      <c r="D7783" s="4">
        <f>DATE(2010,4,23)</f>
        <v>40291</v>
      </c>
      <c r="E7783" s="5">
        <f t="shared" si="126"/>
        <v>2010</v>
      </c>
      <c r="F7783" s="3" t="s">
        <v>1137</v>
      </c>
      <c r="G7783" s="6">
        <v>2994</v>
      </c>
      <c r="H7783" s="5">
        <v>13950</v>
      </c>
    </row>
    <row r="7784" spans="2:8" x14ac:dyDescent="0.4">
      <c r="B7784" s="3" t="s">
        <v>16</v>
      </c>
      <c r="C7784" s="3" t="s">
        <v>1136</v>
      </c>
      <c r="D7784" s="4">
        <f>DATE(2004,8,5)</f>
        <v>38204</v>
      </c>
      <c r="E7784" s="5">
        <f t="shared" si="126"/>
        <v>2004</v>
      </c>
      <c r="F7784" s="3" t="s">
        <v>1137</v>
      </c>
      <c r="G7784" s="6">
        <v>1000</v>
      </c>
      <c r="H7784" s="5">
        <v>3266</v>
      </c>
    </row>
    <row r="7785" spans="2:8" x14ac:dyDescent="0.4">
      <c r="B7785" t="s">
        <v>7</v>
      </c>
      <c r="C7785" t="s">
        <v>1138</v>
      </c>
      <c r="D7785" s="7">
        <f>DATE(2019,3,25)</f>
        <v>43549</v>
      </c>
      <c r="E7785" s="8">
        <f t="shared" si="126"/>
        <v>2019</v>
      </c>
      <c r="F7785" t="s">
        <v>1139</v>
      </c>
      <c r="G7785" s="9">
        <v>816.86</v>
      </c>
      <c r="H7785" s="8">
        <v>28684</v>
      </c>
    </row>
    <row r="7786" spans="2:8" x14ac:dyDescent="0.4">
      <c r="B7786" s="3" t="s">
        <v>7</v>
      </c>
      <c r="C7786" s="3" t="s">
        <v>1138</v>
      </c>
      <c r="D7786" s="4">
        <f>DATE(2012,3,13)</f>
        <v>40981</v>
      </c>
      <c r="E7786" s="5">
        <f t="shared" si="126"/>
        <v>2012</v>
      </c>
      <c r="F7786" s="3" t="s">
        <v>1139</v>
      </c>
      <c r="G7786" s="6">
        <v>741.83</v>
      </c>
      <c r="H7786" s="5">
        <v>16739</v>
      </c>
    </row>
    <row r="7787" spans="2:8" x14ac:dyDescent="0.4">
      <c r="B7787" s="3" t="s">
        <v>7</v>
      </c>
      <c r="C7787" s="3" t="s">
        <v>1138</v>
      </c>
      <c r="D7787" s="4">
        <f>DATE(2012,10,10)</f>
        <v>41192</v>
      </c>
      <c r="E7787" s="5">
        <f t="shared" si="126"/>
        <v>2012</v>
      </c>
      <c r="F7787" s="3" t="s">
        <v>1139</v>
      </c>
      <c r="G7787" s="6">
        <v>83.72</v>
      </c>
      <c r="H7787" s="5">
        <v>17702</v>
      </c>
    </row>
    <row r="7788" spans="2:8" x14ac:dyDescent="0.4">
      <c r="B7788" s="3" t="s">
        <v>7</v>
      </c>
      <c r="C7788" s="3" t="s">
        <v>1138</v>
      </c>
      <c r="D7788" s="4">
        <f>DATE(2013,7,18)</f>
        <v>41473</v>
      </c>
      <c r="E7788" s="5">
        <f t="shared" si="126"/>
        <v>2013</v>
      </c>
      <c r="F7788" s="3" t="s">
        <v>1139</v>
      </c>
      <c r="G7788" s="6">
        <v>2430</v>
      </c>
      <c r="H7788" s="5">
        <v>18770</v>
      </c>
    </row>
    <row r="7789" spans="2:8" x14ac:dyDescent="0.4">
      <c r="B7789" s="3" t="s">
        <v>7</v>
      </c>
      <c r="C7789" s="3" t="s">
        <v>1138</v>
      </c>
      <c r="D7789" s="4">
        <f>DATE(2013,8,5)</f>
        <v>41491</v>
      </c>
      <c r="E7789" s="5">
        <f t="shared" si="126"/>
        <v>2013</v>
      </c>
      <c r="F7789" s="3" t="s">
        <v>1139</v>
      </c>
      <c r="G7789" s="6">
        <v>4860</v>
      </c>
      <c r="H7789" s="5">
        <v>18836</v>
      </c>
    </row>
    <row r="7790" spans="2:8" x14ac:dyDescent="0.4">
      <c r="B7790" t="s">
        <v>7</v>
      </c>
      <c r="C7790" t="s">
        <v>1140</v>
      </c>
      <c r="D7790" s="7">
        <f>DATE(2009,10,28)</f>
        <v>40114</v>
      </c>
      <c r="E7790" s="8">
        <f t="shared" si="126"/>
        <v>2009</v>
      </c>
      <c r="F7790" t="s">
        <v>1141</v>
      </c>
      <c r="G7790" s="9">
        <v>64980</v>
      </c>
      <c r="H7790" s="8">
        <v>8706</v>
      </c>
    </row>
    <row r="7791" spans="2:8" x14ac:dyDescent="0.4">
      <c r="B7791" t="s">
        <v>7</v>
      </c>
      <c r="C7791" t="s">
        <v>1140</v>
      </c>
      <c r="D7791" s="7">
        <f>DATE(2012,4,11)</f>
        <v>41010</v>
      </c>
      <c r="E7791" s="8">
        <f t="shared" si="126"/>
        <v>2012</v>
      </c>
      <c r="F7791" t="s">
        <v>1142</v>
      </c>
      <c r="G7791" s="9">
        <v>11908</v>
      </c>
      <c r="H7791" s="8">
        <v>11454</v>
      </c>
    </row>
    <row r="7792" spans="2:8" x14ac:dyDescent="0.4">
      <c r="B7792" t="s">
        <v>7</v>
      </c>
      <c r="C7792" t="s">
        <v>1143</v>
      </c>
      <c r="D7792" s="7">
        <f>DATE(2016,5,3)</f>
        <v>42493</v>
      </c>
      <c r="E7792" s="8">
        <f t="shared" si="126"/>
        <v>2016</v>
      </c>
      <c r="F7792" t="s">
        <v>1144</v>
      </c>
      <c r="G7792" s="9">
        <v>19</v>
      </c>
      <c r="H7792" s="8">
        <v>22763</v>
      </c>
    </row>
    <row r="7793" spans="2:8" x14ac:dyDescent="0.4">
      <c r="B7793" t="s">
        <v>7</v>
      </c>
      <c r="C7793" t="s">
        <v>1143</v>
      </c>
      <c r="D7793" s="7">
        <f>DATE(2016,5,6)</f>
        <v>42496</v>
      </c>
      <c r="E7793" s="8">
        <f t="shared" si="126"/>
        <v>2016</v>
      </c>
      <c r="F7793" t="s">
        <v>1144</v>
      </c>
      <c r="G7793" s="9">
        <v>20.329999999999998</v>
      </c>
      <c r="H7793" s="8">
        <v>22805</v>
      </c>
    </row>
    <row r="7794" spans="2:8" x14ac:dyDescent="0.4">
      <c r="B7794" t="s">
        <v>16</v>
      </c>
      <c r="C7794" t="s">
        <v>1143</v>
      </c>
      <c r="D7794" s="7">
        <f>DATE(2016,5,6)</f>
        <v>42496</v>
      </c>
      <c r="E7794" s="8">
        <f t="shared" si="126"/>
        <v>2016</v>
      </c>
      <c r="F7794" t="s">
        <v>1144</v>
      </c>
      <c r="G7794" s="9">
        <v>19</v>
      </c>
      <c r="H7794" s="8">
        <v>22807</v>
      </c>
    </row>
    <row r="7795" spans="2:8" x14ac:dyDescent="0.4">
      <c r="B7795" s="3" t="s">
        <v>7</v>
      </c>
      <c r="C7795" s="3" t="s">
        <v>1143</v>
      </c>
      <c r="D7795" s="4">
        <f>DATE(2009,7,9)</f>
        <v>40003</v>
      </c>
      <c r="E7795" s="5">
        <f t="shared" si="126"/>
        <v>2009</v>
      </c>
      <c r="F7795" s="3" t="s">
        <v>1144</v>
      </c>
      <c r="G7795" s="6">
        <v>81000</v>
      </c>
      <c r="H7795" s="5">
        <v>3504</v>
      </c>
    </row>
    <row r="7796" spans="2:8" x14ac:dyDescent="0.4">
      <c r="B7796" s="3" t="s">
        <v>7</v>
      </c>
      <c r="C7796" s="3" t="s">
        <v>1145</v>
      </c>
      <c r="D7796" s="4">
        <f>DATE(2003,6,26)</f>
        <v>37798</v>
      </c>
      <c r="E7796" s="5">
        <f t="shared" si="126"/>
        <v>2003</v>
      </c>
      <c r="F7796" s="3" t="s">
        <v>1146</v>
      </c>
      <c r="G7796" s="6">
        <v>3100</v>
      </c>
      <c r="H7796" s="5">
        <v>1125</v>
      </c>
    </row>
    <row r="7797" spans="2:8" x14ac:dyDescent="0.4">
      <c r="B7797" s="3" t="s">
        <v>7</v>
      </c>
      <c r="C7797" s="3" t="s">
        <v>1145</v>
      </c>
      <c r="D7797" s="4">
        <f>DATE(2003,9,9)</f>
        <v>37873</v>
      </c>
      <c r="E7797" s="5">
        <f t="shared" si="126"/>
        <v>2003</v>
      </c>
      <c r="F7797" s="3" t="s">
        <v>1146</v>
      </c>
      <c r="G7797" s="6">
        <v>420</v>
      </c>
      <c r="H7797" s="5">
        <v>1492</v>
      </c>
    </row>
    <row r="7798" spans="2:8" x14ac:dyDescent="0.4">
      <c r="B7798" s="3" t="s">
        <v>7</v>
      </c>
      <c r="C7798" s="3" t="s">
        <v>1145</v>
      </c>
      <c r="D7798" s="4">
        <f>DATE(2003,9,16)</f>
        <v>37880</v>
      </c>
      <c r="E7798" s="5">
        <f t="shared" si="126"/>
        <v>2003</v>
      </c>
      <c r="F7798" s="3" t="s">
        <v>1146</v>
      </c>
      <c r="G7798" s="6">
        <v>840</v>
      </c>
      <c r="H7798" s="5">
        <v>1494</v>
      </c>
    </row>
    <row r="7799" spans="2:8" x14ac:dyDescent="0.4">
      <c r="B7799" s="3" t="s">
        <v>7</v>
      </c>
      <c r="C7799" s="3" t="s">
        <v>1145</v>
      </c>
      <c r="D7799" s="4">
        <f>DATE(2003,9,30)</f>
        <v>37894</v>
      </c>
      <c r="E7799" s="5">
        <f t="shared" si="126"/>
        <v>2003</v>
      </c>
      <c r="F7799" s="3" t="s">
        <v>1146</v>
      </c>
      <c r="G7799" s="6">
        <v>4650</v>
      </c>
      <c r="H7799" s="5">
        <v>1597</v>
      </c>
    </row>
    <row r="7800" spans="2:8" x14ac:dyDescent="0.4">
      <c r="B7800" s="3" t="s">
        <v>7</v>
      </c>
      <c r="C7800" s="3" t="s">
        <v>1145</v>
      </c>
      <c r="D7800" s="4">
        <f>DATE(2004,3,15)</f>
        <v>38061</v>
      </c>
      <c r="E7800" s="5">
        <f t="shared" si="126"/>
        <v>2004</v>
      </c>
      <c r="F7800" s="3" t="s">
        <v>1146</v>
      </c>
      <c r="G7800" s="6">
        <v>1260</v>
      </c>
      <c r="H7800" s="5">
        <v>2394</v>
      </c>
    </row>
    <row r="7801" spans="2:8" x14ac:dyDescent="0.4">
      <c r="B7801" s="3" t="s">
        <v>7</v>
      </c>
      <c r="C7801" s="3" t="s">
        <v>1145</v>
      </c>
      <c r="D7801" s="4">
        <f>DATE(2005,4,11)</f>
        <v>38453</v>
      </c>
      <c r="E7801" s="5">
        <f t="shared" si="126"/>
        <v>2005</v>
      </c>
      <c r="F7801" s="3" t="s">
        <v>1146</v>
      </c>
      <c r="G7801" s="6">
        <v>775</v>
      </c>
      <c r="H7801" s="5">
        <v>4542</v>
      </c>
    </row>
    <row r="7802" spans="2:8" x14ac:dyDescent="0.4">
      <c r="B7802" s="3" t="s">
        <v>7</v>
      </c>
      <c r="C7802" s="3" t="s">
        <v>1145</v>
      </c>
      <c r="D7802" s="4">
        <f>DATE(2005,7,15)</f>
        <v>38548</v>
      </c>
      <c r="E7802" s="5">
        <f t="shared" si="126"/>
        <v>2005</v>
      </c>
      <c r="F7802" s="3" t="s">
        <v>1146</v>
      </c>
      <c r="G7802" s="6">
        <v>7497</v>
      </c>
      <c r="H7802" s="5">
        <v>4955</v>
      </c>
    </row>
    <row r="7803" spans="2:8" x14ac:dyDescent="0.4">
      <c r="B7803" s="3" t="s">
        <v>7</v>
      </c>
      <c r="C7803" s="3" t="s">
        <v>1145</v>
      </c>
      <c r="D7803" s="4">
        <f>DATE(2005,7,26)</f>
        <v>38559</v>
      </c>
      <c r="E7803" s="5">
        <f t="shared" si="126"/>
        <v>2005</v>
      </c>
      <c r="F7803" s="3" t="s">
        <v>1146</v>
      </c>
      <c r="G7803" s="6">
        <v>3750</v>
      </c>
      <c r="H7803" s="5">
        <v>5029</v>
      </c>
    </row>
    <row r="7804" spans="2:8" x14ac:dyDescent="0.4">
      <c r="B7804" s="3" t="s">
        <v>7</v>
      </c>
      <c r="C7804" s="3" t="s">
        <v>1145</v>
      </c>
      <c r="D7804" s="4">
        <f>DATE(2005,8,1)</f>
        <v>38565</v>
      </c>
      <c r="E7804" s="5">
        <f t="shared" si="126"/>
        <v>2005</v>
      </c>
      <c r="F7804" s="3" t="s">
        <v>1146</v>
      </c>
      <c r="G7804" s="6">
        <v>3000</v>
      </c>
      <c r="H7804" s="5">
        <v>5034</v>
      </c>
    </row>
    <row r="7805" spans="2:8" x14ac:dyDescent="0.4">
      <c r="B7805" s="3" t="s">
        <v>7</v>
      </c>
      <c r="C7805" s="3" t="s">
        <v>1145</v>
      </c>
      <c r="D7805" s="4">
        <f>DATE(2006,8,9)</f>
        <v>38938</v>
      </c>
      <c r="E7805" s="5">
        <f t="shared" si="126"/>
        <v>2006</v>
      </c>
      <c r="F7805" s="3" t="s">
        <v>1146</v>
      </c>
      <c r="G7805" s="6">
        <v>450</v>
      </c>
      <c r="H7805" s="5">
        <v>7063</v>
      </c>
    </row>
    <row r="7806" spans="2:8" x14ac:dyDescent="0.4">
      <c r="B7806" s="3" t="s">
        <v>7</v>
      </c>
      <c r="C7806" s="3" t="s">
        <v>1145</v>
      </c>
      <c r="D7806" s="4">
        <f>DATE(2006,9,6)</f>
        <v>38966</v>
      </c>
      <c r="E7806" s="5">
        <f t="shared" si="126"/>
        <v>2006</v>
      </c>
      <c r="F7806" s="3" t="s">
        <v>1146</v>
      </c>
      <c r="G7806" s="6">
        <v>3000</v>
      </c>
      <c r="H7806" s="5">
        <v>7185</v>
      </c>
    </row>
    <row r="7807" spans="2:8" x14ac:dyDescent="0.4">
      <c r="B7807" s="3" t="s">
        <v>7</v>
      </c>
      <c r="C7807" s="3" t="s">
        <v>1145</v>
      </c>
      <c r="D7807" s="4">
        <f>DATE(2006,9,13)</f>
        <v>38973</v>
      </c>
      <c r="E7807" s="5">
        <f t="shared" si="126"/>
        <v>2006</v>
      </c>
      <c r="F7807" s="3" t="s">
        <v>1146</v>
      </c>
      <c r="G7807" s="6">
        <v>210</v>
      </c>
      <c r="H7807" s="5">
        <v>7051</v>
      </c>
    </row>
    <row r="7808" spans="2:8" x14ac:dyDescent="0.4">
      <c r="B7808" s="3" t="s">
        <v>7</v>
      </c>
      <c r="C7808" s="3" t="s">
        <v>1145</v>
      </c>
      <c r="D7808" s="4">
        <f>DATE(2007,8,9)</f>
        <v>39303</v>
      </c>
      <c r="E7808" s="5">
        <f t="shared" si="126"/>
        <v>2007</v>
      </c>
      <c r="F7808" s="3" t="s">
        <v>1146</v>
      </c>
      <c r="G7808" s="6">
        <v>3000</v>
      </c>
      <c r="H7808" s="5">
        <v>8997</v>
      </c>
    </row>
    <row r="7809" spans="2:8" x14ac:dyDescent="0.4">
      <c r="B7809" s="3" t="s">
        <v>7</v>
      </c>
      <c r="C7809" s="3" t="s">
        <v>1145</v>
      </c>
      <c r="D7809" s="4">
        <f>DATE(2007,8,28)</f>
        <v>39322</v>
      </c>
      <c r="E7809" s="5">
        <f t="shared" si="126"/>
        <v>2007</v>
      </c>
      <c r="F7809" s="3" t="s">
        <v>1146</v>
      </c>
      <c r="G7809" s="6">
        <v>2400</v>
      </c>
      <c r="H7809" s="5">
        <v>9076</v>
      </c>
    </row>
    <row r="7810" spans="2:8" x14ac:dyDescent="0.4">
      <c r="B7810" s="3" t="s">
        <v>7</v>
      </c>
      <c r="C7810" s="3" t="s">
        <v>1145</v>
      </c>
      <c r="D7810" s="4">
        <f>DATE(2007,9,21)</f>
        <v>39346</v>
      </c>
      <c r="E7810" s="5">
        <f t="shared" si="126"/>
        <v>2007</v>
      </c>
      <c r="F7810" s="3" t="s">
        <v>1146</v>
      </c>
      <c r="G7810" s="6">
        <v>450</v>
      </c>
      <c r="H7810" s="5">
        <v>9210</v>
      </c>
    </row>
    <row r="7811" spans="2:8" x14ac:dyDescent="0.4">
      <c r="B7811" s="3" t="s">
        <v>7</v>
      </c>
      <c r="C7811" s="3" t="s">
        <v>1145</v>
      </c>
      <c r="D7811" s="4">
        <f>DATE(2008,5,22)</f>
        <v>39590</v>
      </c>
      <c r="E7811" s="5">
        <f t="shared" ref="E7811:E7874" si="127">YEAR(D7811)</f>
        <v>2008</v>
      </c>
      <c r="F7811" s="3" t="s">
        <v>1146</v>
      </c>
      <c r="G7811" s="6">
        <v>450</v>
      </c>
      <c r="H7811" s="5">
        <v>10702</v>
      </c>
    </row>
    <row r="7812" spans="2:8" x14ac:dyDescent="0.4">
      <c r="B7812" s="3" t="s">
        <v>7</v>
      </c>
      <c r="C7812" s="3" t="s">
        <v>1145</v>
      </c>
      <c r="D7812" s="4">
        <f>DATE(2008,6,17)</f>
        <v>39616</v>
      </c>
      <c r="E7812" s="5">
        <f t="shared" si="127"/>
        <v>2008</v>
      </c>
      <c r="F7812" s="3" t="s">
        <v>1146</v>
      </c>
      <c r="G7812" s="6">
        <v>3000</v>
      </c>
      <c r="H7812" s="5">
        <v>10851</v>
      </c>
    </row>
    <row r="7813" spans="2:8" x14ac:dyDescent="0.4">
      <c r="B7813" s="3" t="s">
        <v>7</v>
      </c>
      <c r="C7813" s="3" t="s">
        <v>1145</v>
      </c>
      <c r="D7813" s="4">
        <f>DATE(2010,6,4)</f>
        <v>40333</v>
      </c>
      <c r="E7813" s="5">
        <f t="shared" si="127"/>
        <v>2010</v>
      </c>
      <c r="F7813" s="3" t="s">
        <v>1146</v>
      </c>
      <c r="G7813" s="6">
        <v>3081.24</v>
      </c>
      <c r="H7813" s="5">
        <v>14099</v>
      </c>
    </row>
    <row r="7814" spans="2:8" x14ac:dyDescent="0.4">
      <c r="B7814" s="3" t="s">
        <v>16</v>
      </c>
      <c r="C7814" s="3" t="s">
        <v>1145</v>
      </c>
      <c r="D7814" s="4">
        <f>DATE(2009,7,11)</f>
        <v>40005</v>
      </c>
      <c r="E7814" s="5">
        <f t="shared" si="127"/>
        <v>2009</v>
      </c>
      <c r="F7814" s="3" t="s">
        <v>1146</v>
      </c>
      <c r="G7814" s="6">
        <v>450</v>
      </c>
      <c r="H7814" s="5">
        <v>12796</v>
      </c>
    </row>
    <row r="7815" spans="2:8" x14ac:dyDescent="0.4">
      <c r="B7815" t="s">
        <v>7</v>
      </c>
      <c r="C7815" t="s">
        <v>1147</v>
      </c>
      <c r="D7815" s="7">
        <f>DATE(2017,9,21)</f>
        <v>42999</v>
      </c>
      <c r="E7815" s="8">
        <f t="shared" si="127"/>
        <v>2017</v>
      </c>
      <c r="F7815" t="s">
        <v>1148</v>
      </c>
      <c r="G7815" s="9">
        <v>713.35</v>
      </c>
      <c r="H7815" s="8">
        <v>25599</v>
      </c>
    </row>
    <row r="7816" spans="2:8" x14ac:dyDescent="0.4">
      <c r="B7816" t="s">
        <v>7</v>
      </c>
      <c r="C7816" t="s">
        <v>1147</v>
      </c>
      <c r="D7816" s="7">
        <f>DATE(2018,5,3)</f>
        <v>43223</v>
      </c>
      <c r="E7816" s="8">
        <f t="shared" si="127"/>
        <v>2018</v>
      </c>
      <c r="F7816" t="s">
        <v>1148</v>
      </c>
      <c r="G7816" s="9">
        <v>1140</v>
      </c>
      <c r="H7816" s="8">
        <v>26993</v>
      </c>
    </row>
    <row r="7817" spans="2:8" x14ac:dyDescent="0.4">
      <c r="B7817" t="s">
        <v>7</v>
      </c>
      <c r="C7817" t="s">
        <v>1147</v>
      </c>
      <c r="D7817" s="7">
        <f>DATE(2018,5,7)</f>
        <v>43227</v>
      </c>
      <c r="E7817" s="8">
        <f t="shared" si="127"/>
        <v>2018</v>
      </c>
      <c r="F7817" t="s">
        <v>1148</v>
      </c>
      <c r="G7817" s="9">
        <v>1018.5</v>
      </c>
      <c r="H7817" s="8">
        <v>26999</v>
      </c>
    </row>
    <row r="7818" spans="2:8" x14ac:dyDescent="0.4">
      <c r="B7818" t="s">
        <v>7</v>
      </c>
      <c r="C7818" t="s">
        <v>1147</v>
      </c>
      <c r="D7818" s="7">
        <f>DATE(2016,6,1)</f>
        <v>42522</v>
      </c>
      <c r="E7818" s="8">
        <f t="shared" si="127"/>
        <v>2016</v>
      </c>
      <c r="F7818" t="s">
        <v>1148</v>
      </c>
      <c r="G7818" s="9">
        <v>7794.26</v>
      </c>
      <c r="H7818" s="8">
        <v>22909</v>
      </c>
    </row>
    <row r="7819" spans="2:8" x14ac:dyDescent="0.4">
      <c r="B7819" t="s">
        <v>7</v>
      </c>
      <c r="C7819" t="s">
        <v>1147</v>
      </c>
      <c r="D7819" s="7">
        <f>DATE(2016,6,2)</f>
        <v>42523</v>
      </c>
      <c r="E7819" s="8">
        <f t="shared" si="127"/>
        <v>2016</v>
      </c>
      <c r="F7819" t="s">
        <v>1148</v>
      </c>
      <c r="G7819" s="9">
        <v>4001.71</v>
      </c>
      <c r="H7819" s="8">
        <v>22946</v>
      </c>
    </row>
    <row r="7820" spans="2:8" x14ac:dyDescent="0.4">
      <c r="B7820" t="s">
        <v>7</v>
      </c>
      <c r="C7820" t="s">
        <v>1147</v>
      </c>
      <c r="D7820" s="7">
        <f>DATE(2016,6,9)</f>
        <v>42530</v>
      </c>
      <c r="E7820" s="8">
        <f t="shared" si="127"/>
        <v>2016</v>
      </c>
      <c r="F7820" t="s">
        <v>1148</v>
      </c>
      <c r="G7820" s="9">
        <v>12637.66</v>
      </c>
      <c r="H7820" s="8">
        <v>22910</v>
      </c>
    </row>
    <row r="7821" spans="2:8" x14ac:dyDescent="0.4">
      <c r="B7821" t="s">
        <v>7</v>
      </c>
      <c r="C7821" t="s">
        <v>1147</v>
      </c>
      <c r="D7821" s="7">
        <f>DATE(2017,3,7)</f>
        <v>42801</v>
      </c>
      <c r="E7821" s="8">
        <f t="shared" si="127"/>
        <v>2017</v>
      </c>
      <c r="F7821" t="s">
        <v>1148</v>
      </c>
      <c r="G7821" s="9">
        <v>4445.2</v>
      </c>
      <c r="H7821" s="8">
        <v>24456</v>
      </c>
    </row>
    <row r="7822" spans="2:8" x14ac:dyDescent="0.4">
      <c r="B7822" t="s">
        <v>7</v>
      </c>
      <c r="C7822" t="s">
        <v>1147</v>
      </c>
      <c r="D7822" s="7">
        <f>DATE(2017,4,13)</f>
        <v>42838</v>
      </c>
      <c r="E7822" s="8">
        <f t="shared" si="127"/>
        <v>2017</v>
      </c>
      <c r="F7822" t="s">
        <v>1148</v>
      </c>
      <c r="G7822" s="9">
        <v>11796.29</v>
      </c>
      <c r="H7822" s="8">
        <v>24761</v>
      </c>
    </row>
    <row r="7823" spans="2:8" x14ac:dyDescent="0.4">
      <c r="B7823" t="s">
        <v>7</v>
      </c>
      <c r="C7823" t="s">
        <v>1147</v>
      </c>
      <c r="D7823" s="7">
        <f>DATE(2017,6,14)</f>
        <v>42900</v>
      </c>
      <c r="E7823" s="8">
        <f t="shared" si="127"/>
        <v>2017</v>
      </c>
      <c r="F7823" t="s">
        <v>1148</v>
      </c>
      <c r="G7823" s="9">
        <v>615.12</v>
      </c>
      <c r="H7823" s="8">
        <v>25099</v>
      </c>
    </row>
    <row r="7824" spans="2:8" x14ac:dyDescent="0.4">
      <c r="B7824" t="s">
        <v>7</v>
      </c>
      <c r="C7824" t="s">
        <v>1147</v>
      </c>
      <c r="D7824" s="7">
        <f>DATE(2017,6,29)</f>
        <v>42915</v>
      </c>
      <c r="E7824" s="8">
        <f t="shared" si="127"/>
        <v>2017</v>
      </c>
      <c r="F7824" t="s">
        <v>1148</v>
      </c>
      <c r="G7824" s="9">
        <v>25.66</v>
      </c>
      <c r="H7824" s="8">
        <v>25201</v>
      </c>
    </row>
    <row r="7825" spans="2:8" x14ac:dyDescent="0.4">
      <c r="B7825" t="s">
        <v>7</v>
      </c>
      <c r="C7825" t="s">
        <v>1147</v>
      </c>
      <c r="D7825" s="7">
        <f>DATE(2017,7,3)</f>
        <v>42919</v>
      </c>
      <c r="E7825" s="8">
        <f t="shared" si="127"/>
        <v>2017</v>
      </c>
      <c r="F7825" t="s">
        <v>1148</v>
      </c>
      <c r="G7825" s="9">
        <v>2298.77</v>
      </c>
      <c r="H7825" s="8">
        <v>25202</v>
      </c>
    </row>
    <row r="7826" spans="2:8" x14ac:dyDescent="0.4">
      <c r="B7826" t="s">
        <v>7</v>
      </c>
      <c r="C7826" t="s">
        <v>1147</v>
      </c>
      <c r="D7826" s="7">
        <f>DATE(2017,8,31)</f>
        <v>42978</v>
      </c>
      <c r="E7826" s="8">
        <f t="shared" si="127"/>
        <v>2017</v>
      </c>
      <c r="F7826" t="s">
        <v>1148</v>
      </c>
      <c r="G7826" s="9">
        <v>1159.24</v>
      </c>
      <c r="H7826" s="8">
        <v>25486</v>
      </c>
    </row>
    <row r="7827" spans="2:8" x14ac:dyDescent="0.4">
      <c r="B7827" t="s">
        <v>7</v>
      </c>
      <c r="C7827" t="s">
        <v>1147</v>
      </c>
      <c r="D7827" s="7">
        <f>DATE(2017,10,30)</f>
        <v>43038</v>
      </c>
      <c r="E7827" s="8">
        <f t="shared" si="127"/>
        <v>2017</v>
      </c>
      <c r="F7827" t="s">
        <v>1148</v>
      </c>
      <c r="G7827" s="9">
        <v>12412.08</v>
      </c>
      <c r="H7827" s="8">
        <v>25825</v>
      </c>
    </row>
    <row r="7828" spans="2:8" x14ac:dyDescent="0.4">
      <c r="B7828" t="s">
        <v>7</v>
      </c>
      <c r="C7828" t="s">
        <v>1147</v>
      </c>
      <c r="D7828" s="7">
        <f>DATE(2017,12,6)</f>
        <v>43075</v>
      </c>
      <c r="E7828" s="8">
        <f t="shared" si="127"/>
        <v>2017</v>
      </c>
      <c r="F7828" t="s">
        <v>1148</v>
      </c>
      <c r="G7828" s="9">
        <v>9628.4699999999993</v>
      </c>
      <c r="H7828" s="8">
        <v>25997</v>
      </c>
    </row>
    <row r="7829" spans="2:8" x14ac:dyDescent="0.4">
      <c r="B7829" t="s">
        <v>7</v>
      </c>
      <c r="C7829" t="s">
        <v>1147</v>
      </c>
      <c r="D7829" s="7">
        <f>DATE(2017,12,13)</f>
        <v>43082</v>
      </c>
      <c r="E7829" s="8">
        <f t="shared" si="127"/>
        <v>2017</v>
      </c>
      <c r="F7829" t="s">
        <v>1148</v>
      </c>
      <c r="G7829" s="9">
        <v>154.44999999999999</v>
      </c>
      <c r="H7829" s="8">
        <v>26026</v>
      </c>
    </row>
    <row r="7830" spans="2:8" x14ac:dyDescent="0.4">
      <c r="B7830" t="s">
        <v>7</v>
      </c>
      <c r="C7830" t="s">
        <v>1147</v>
      </c>
      <c r="D7830" s="7">
        <f>DATE(2012,7,12)</f>
        <v>41102</v>
      </c>
      <c r="E7830" s="8">
        <f t="shared" si="127"/>
        <v>2012</v>
      </c>
      <c r="F7830" t="s">
        <v>1148</v>
      </c>
      <c r="G7830" s="9">
        <v>15000</v>
      </c>
      <c r="H7830" s="8">
        <v>11747</v>
      </c>
    </row>
    <row r="7831" spans="2:8" x14ac:dyDescent="0.4">
      <c r="B7831" t="s">
        <v>7</v>
      </c>
      <c r="C7831" t="s">
        <v>1147</v>
      </c>
      <c r="D7831" s="7">
        <f>DATE(2012,5,14)</f>
        <v>41043</v>
      </c>
      <c r="E7831" s="8">
        <f t="shared" si="127"/>
        <v>2012</v>
      </c>
      <c r="F7831" t="s">
        <v>1148</v>
      </c>
      <c r="G7831" s="9">
        <v>16817.34</v>
      </c>
      <c r="H7831" s="8">
        <v>11621</v>
      </c>
    </row>
    <row r="7832" spans="2:8" x14ac:dyDescent="0.4">
      <c r="B7832" t="s">
        <v>7</v>
      </c>
      <c r="C7832" t="s">
        <v>1147</v>
      </c>
      <c r="D7832" s="7">
        <f>DATE(2012,6,5)</f>
        <v>41065</v>
      </c>
      <c r="E7832" s="8">
        <f t="shared" si="127"/>
        <v>2012</v>
      </c>
      <c r="F7832" t="s">
        <v>1148</v>
      </c>
      <c r="G7832" s="9">
        <v>16506.669999999998</v>
      </c>
      <c r="H7832" s="8">
        <v>11661</v>
      </c>
    </row>
    <row r="7833" spans="2:8" x14ac:dyDescent="0.4">
      <c r="B7833" t="s">
        <v>7</v>
      </c>
      <c r="C7833" t="s">
        <v>1147</v>
      </c>
      <c r="D7833" s="7">
        <f>DATE(2012,7,19)</f>
        <v>41109</v>
      </c>
      <c r="E7833" s="8">
        <f t="shared" si="127"/>
        <v>2012</v>
      </c>
      <c r="F7833" t="s">
        <v>1148</v>
      </c>
      <c r="G7833" s="9">
        <v>16392.490000000002</v>
      </c>
      <c r="H7833" s="8">
        <v>11713</v>
      </c>
    </row>
    <row r="7834" spans="2:8" x14ac:dyDescent="0.4">
      <c r="B7834" t="s">
        <v>7</v>
      </c>
      <c r="C7834" t="s">
        <v>1147</v>
      </c>
      <c r="D7834" s="7">
        <f>DATE(2012,8,16)</f>
        <v>41137</v>
      </c>
      <c r="E7834" s="8">
        <f t="shared" si="127"/>
        <v>2012</v>
      </c>
      <c r="F7834" t="s">
        <v>1148</v>
      </c>
      <c r="G7834" s="9">
        <v>29250.82</v>
      </c>
      <c r="H7834" s="8">
        <v>11778</v>
      </c>
    </row>
    <row r="7835" spans="2:8" x14ac:dyDescent="0.4">
      <c r="B7835" s="3" t="s">
        <v>7</v>
      </c>
      <c r="C7835" s="3" t="s">
        <v>1147</v>
      </c>
      <c r="D7835" s="4">
        <f>DATE(2012,9,14)</f>
        <v>41166</v>
      </c>
      <c r="E7835" s="5">
        <f t="shared" si="127"/>
        <v>2012</v>
      </c>
      <c r="F7835" s="3" t="s">
        <v>1148</v>
      </c>
      <c r="G7835" s="6">
        <v>7150.63</v>
      </c>
      <c r="H7835" s="5">
        <v>5190</v>
      </c>
    </row>
    <row r="7836" spans="2:8" x14ac:dyDescent="0.4">
      <c r="B7836" s="3" t="s">
        <v>7</v>
      </c>
      <c r="C7836" s="3" t="s">
        <v>1147</v>
      </c>
      <c r="D7836" s="4">
        <f>DATE(2013,2,8)</f>
        <v>41313</v>
      </c>
      <c r="E7836" s="5">
        <f t="shared" si="127"/>
        <v>2013</v>
      </c>
      <c r="F7836" s="3" t="s">
        <v>1148</v>
      </c>
      <c r="G7836" s="6">
        <v>36303.230000000003</v>
      </c>
      <c r="H7836" s="5">
        <v>5021</v>
      </c>
    </row>
    <row r="7837" spans="2:8" x14ac:dyDescent="0.4">
      <c r="B7837" s="3" t="s">
        <v>7</v>
      </c>
      <c r="C7837" s="3" t="s">
        <v>1147</v>
      </c>
      <c r="D7837" s="4">
        <f>DATE(2012,7,18)</f>
        <v>41108</v>
      </c>
      <c r="E7837" s="5">
        <f t="shared" si="127"/>
        <v>2012</v>
      </c>
      <c r="F7837" s="3" t="s">
        <v>1148</v>
      </c>
      <c r="G7837" s="6">
        <v>4742.8</v>
      </c>
      <c r="H7837" s="5">
        <v>17017</v>
      </c>
    </row>
    <row r="7838" spans="2:8" x14ac:dyDescent="0.4">
      <c r="B7838" s="3" t="s">
        <v>7</v>
      </c>
      <c r="C7838" s="3" t="s">
        <v>1147</v>
      </c>
      <c r="D7838" s="4">
        <f>DATE(2012,8,8)</f>
        <v>41129</v>
      </c>
      <c r="E7838" s="5">
        <f t="shared" si="127"/>
        <v>2012</v>
      </c>
      <c r="F7838" s="3" t="s">
        <v>1148</v>
      </c>
      <c r="G7838" s="6">
        <v>1588.43</v>
      </c>
      <c r="H7838" s="5">
        <v>17435</v>
      </c>
    </row>
    <row r="7839" spans="2:8" x14ac:dyDescent="0.4">
      <c r="B7839" s="3" t="s">
        <v>7</v>
      </c>
      <c r="C7839" s="3" t="s">
        <v>1147</v>
      </c>
      <c r="D7839" s="4">
        <f>DATE(2012,7,18)</f>
        <v>41108</v>
      </c>
      <c r="E7839" s="5">
        <f t="shared" si="127"/>
        <v>2012</v>
      </c>
      <c r="F7839" s="3" t="s">
        <v>1149</v>
      </c>
      <c r="G7839" s="6">
        <v>23888.5</v>
      </c>
      <c r="H7839" s="5">
        <v>16737</v>
      </c>
    </row>
    <row r="7840" spans="2:8" x14ac:dyDescent="0.4">
      <c r="B7840" s="3" t="s">
        <v>7</v>
      </c>
      <c r="C7840" s="3" t="s">
        <v>1147</v>
      </c>
      <c r="D7840" s="4">
        <f>DATE(2013,8,5)</f>
        <v>41491</v>
      </c>
      <c r="E7840" s="5">
        <f t="shared" si="127"/>
        <v>2013</v>
      </c>
      <c r="F7840" s="3" t="s">
        <v>1150</v>
      </c>
      <c r="G7840" s="6">
        <v>3952.09</v>
      </c>
      <c r="H7840" s="5">
        <v>18840</v>
      </c>
    </row>
    <row r="7841" spans="2:8" x14ac:dyDescent="0.4">
      <c r="B7841" t="s">
        <v>7</v>
      </c>
      <c r="C7841" t="s">
        <v>1147</v>
      </c>
      <c r="D7841" s="7">
        <f>DATE(2016,1,12)</f>
        <v>42381</v>
      </c>
      <c r="E7841" s="8">
        <f t="shared" si="127"/>
        <v>2016</v>
      </c>
      <c r="F7841" t="s">
        <v>1151</v>
      </c>
      <c r="G7841" s="9">
        <v>457.76</v>
      </c>
      <c r="H7841" s="8">
        <v>21961</v>
      </c>
    </row>
    <row r="7842" spans="2:8" x14ac:dyDescent="0.4">
      <c r="B7842" t="s">
        <v>7</v>
      </c>
      <c r="C7842" t="s">
        <v>1147</v>
      </c>
      <c r="D7842" s="7">
        <f>DATE(2016,8,11)</f>
        <v>42593</v>
      </c>
      <c r="E7842" s="8">
        <f t="shared" si="127"/>
        <v>2016</v>
      </c>
      <c r="F7842" t="s">
        <v>1151</v>
      </c>
      <c r="G7842" s="9">
        <v>143.61000000000001</v>
      </c>
      <c r="H7842" s="8">
        <v>23279</v>
      </c>
    </row>
    <row r="7843" spans="2:8" x14ac:dyDescent="0.4">
      <c r="B7843" t="s">
        <v>7</v>
      </c>
      <c r="C7843" t="s">
        <v>1147</v>
      </c>
      <c r="D7843" s="7">
        <f>DATE(2015,12,10)</f>
        <v>42348</v>
      </c>
      <c r="E7843" s="8">
        <f t="shared" si="127"/>
        <v>2015</v>
      </c>
      <c r="F7843" t="s">
        <v>1151</v>
      </c>
      <c r="G7843" s="9">
        <v>3277.23</v>
      </c>
      <c r="H7843" s="8">
        <v>21800</v>
      </c>
    </row>
    <row r="7844" spans="2:8" x14ac:dyDescent="0.4">
      <c r="B7844" t="s">
        <v>7</v>
      </c>
      <c r="C7844" t="s">
        <v>1147</v>
      </c>
      <c r="D7844" s="7">
        <f>DATE(2016,2,3)</f>
        <v>42403</v>
      </c>
      <c r="E7844" s="8">
        <f t="shared" si="127"/>
        <v>2016</v>
      </c>
      <c r="F7844" t="s">
        <v>1151</v>
      </c>
      <c r="G7844" s="9">
        <v>6493.33</v>
      </c>
      <c r="H7844" s="8">
        <v>22107</v>
      </c>
    </row>
    <row r="7845" spans="2:8" x14ac:dyDescent="0.4">
      <c r="B7845" t="s">
        <v>7</v>
      </c>
      <c r="C7845" t="s">
        <v>1147</v>
      </c>
      <c r="D7845" s="7">
        <f>DATE(2016,4,5)</f>
        <v>42465</v>
      </c>
      <c r="E7845" s="8">
        <f t="shared" si="127"/>
        <v>2016</v>
      </c>
      <c r="F7845" t="s">
        <v>1151</v>
      </c>
      <c r="G7845" s="9">
        <v>891.6</v>
      </c>
      <c r="H7845" s="8">
        <v>22600</v>
      </c>
    </row>
    <row r="7846" spans="2:8" x14ac:dyDescent="0.4">
      <c r="B7846" t="s">
        <v>7</v>
      </c>
      <c r="C7846" t="s">
        <v>1147</v>
      </c>
      <c r="D7846" s="7">
        <f>DATE(2016,7,20)</f>
        <v>42571</v>
      </c>
      <c r="E7846" s="8">
        <f t="shared" si="127"/>
        <v>2016</v>
      </c>
      <c r="F7846" t="s">
        <v>1151</v>
      </c>
      <c r="G7846" s="9">
        <v>2141.1999999999998</v>
      </c>
      <c r="H7846" s="8">
        <v>23168</v>
      </c>
    </row>
    <row r="7847" spans="2:8" x14ac:dyDescent="0.4">
      <c r="B7847" t="s">
        <v>7</v>
      </c>
      <c r="C7847" t="s">
        <v>1147</v>
      </c>
      <c r="D7847" s="7">
        <f>DATE(2016,8,11)</f>
        <v>42593</v>
      </c>
      <c r="E7847" s="8">
        <f t="shared" si="127"/>
        <v>2016</v>
      </c>
      <c r="F7847" t="s">
        <v>1151</v>
      </c>
      <c r="G7847" s="9">
        <v>11400</v>
      </c>
      <c r="H7847" s="8">
        <v>23187</v>
      </c>
    </row>
    <row r="7848" spans="2:8" x14ac:dyDescent="0.4">
      <c r="B7848" t="s">
        <v>7</v>
      </c>
      <c r="C7848" t="s">
        <v>1147</v>
      </c>
      <c r="D7848" s="7">
        <f>DATE(2016,8,23)</f>
        <v>42605</v>
      </c>
      <c r="E7848" s="8">
        <f t="shared" si="127"/>
        <v>2016</v>
      </c>
      <c r="F7848" t="s">
        <v>1151</v>
      </c>
      <c r="G7848" s="9">
        <v>891.94</v>
      </c>
      <c r="H7848" s="8">
        <v>23329</v>
      </c>
    </row>
    <row r="7849" spans="2:8" x14ac:dyDescent="0.4">
      <c r="B7849" t="s">
        <v>16</v>
      </c>
      <c r="C7849" t="s">
        <v>1147</v>
      </c>
      <c r="D7849" s="7">
        <f>DATE(2016,8,26)</f>
        <v>42608</v>
      </c>
      <c r="E7849" s="8">
        <f t="shared" si="127"/>
        <v>2016</v>
      </c>
      <c r="F7849" t="s">
        <v>1151</v>
      </c>
      <c r="G7849" s="9">
        <v>143.61000000000001</v>
      </c>
      <c r="H7849" s="8">
        <v>23370</v>
      </c>
    </row>
    <row r="7850" spans="2:8" x14ac:dyDescent="0.4">
      <c r="B7850" t="s">
        <v>7</v>
      </c>
      <c r="C7850" t="s">
        <v>1147</v>
      </c>
      <c r="D7850" s="7">
        <f>DATE(2013,3,28)</f>
        <v>41361</v>
      </c>
      <c r="E7850" s="8">
        <f t="shared" si="127"/>
        <v>2013</v>
      </c>
      <c r="F7850" t="s">
        <v>1151</v>
      </c>
      <c r="G7850" s="9">
        <v>5360</v>
      </c>
      <c r="H7850" s="8">
        <v>12203</v>
      </c>
    </row>
    <row r="7851" spans="2:8" x14ac:dyDescent="0.4">
      <c r="B7851" t="s">
        <v>7</v>
      </c>
      <c r="C7851" t="s">
        <v>1147</v>
      </c>
      <c r="D7851" s="7">
        <f>DATE(2013,3,1)</f>
        <v>41334</v>
      </c>
      <c r="E7851" s="8">
        <f t="shared" si="127"/>
        <v>2013</v>
      </c>
      <c r="F7851" t="s">
        <v>1151</v>
      </c>
      <c r="G7851" s="9">
        <v>7308.07</v>
      </c>
      <c r="H7851" s="8">
        <v>12249</v>
      </c>
    </row>
    <row r="7852" spans="2:8" x14ac:dyDescent="0.4">
      <c r="B7852" t="s">
        <v>7</v>
      </c>
      <c r="C7852" t="s">
        <v>1147</v>
      </c>
      <c r="D7852" s="7">
        <f>DATE(2013,3,1)</f>
        <v>41334</v>
      </c>
      <c r="E7852" s="8">
        <f t="shared" si="127"/>
        <v>2013</v>
      </c>
      <c r="F7852" t="s">
        <v>1151</v>
      </c>
      <c r="G7852" s="9">
        <v>4000</v>
      </c>
      <c r="H7852" s="8">
        <v>12249</v>
      </c>
    </row>
    <row r="7853" spans="2:8" x14ac:dyDescent="0.4">
      <c r="B7853" t="s">
        <v>7</v>
      </c>
      <c r="C7853" t="s">
        <v>1147</v>
      </c>
      <c r="D7853" s="7">
        <f>DATE(2013,4,16)</f>
        <v>41380</v>
      </c>
      <c r="E7853" s="8">
        <f t="shared" si="127"/>
        <v>2013</v>
      </c>
      <c r="F7853" t="s">
        <v>1151</v>
      </c>
      <c r="G7853" s="9">
        <v>3270</v>
      </c>
      <c r="H7853" s="8">
        <v>12373</v>
      </c>
    </row>
    <row r="7854" spans="2:8" x14ac:dyDescent="0.4">
      <c r="B7854" t="s">
        <v>7</v>
      </c>
      <c r="C7854" t="s">
        <v>1147</v>
      </c>
      <c r="D7854" s="7">
        <f>DATE(2013,4,16)</f>
        <v>41380</v>
      </c>
      <c r="E7854" s="8">
        <f t="shared" si="127"/>
        <v>2013</v>
      </c>
      <c r="F7854" t="s">
        <v>1151</v>
      </c>
      <c r="G7854" s="9">
        <v>8456.36</v>
      </c>
      <c r="H7854" s="8">
        <v>12373</v>
      </c>
    </row>
    <row r="7855" spans="2:8" x14ac:dyDescent="0.4">
      <c r="B7855" s="3" t="s">
        <v>7</v>
      </c>
      <c r="C7855" s="3" t="s">
        <v>1147</v>
      </c>
      <c r="D7855" s="4">
        <f>DATE(2013,2,18)</f>
        <v>41323</v>
      </c>
      <c r="E7855" s="5">
        <f t="shared" si="127"/>
        <v>2013</v>
      </c>
      <c r="F7855" s="3" t="s">
        <v>1151</v>
      </c>
      <c r="G7855" s="6">
        <v>2858.8</v>
      </c>
      <c r="H7855" s="5">
        <v>5446</v>
      </c>
    </row>
    <row r="7856" spans="2:8" x14ac:dyDescent="0.4">
      <c r="B7856" s="3" t="s">
        <v>7</v>
      </c>
      <c r="C7856" s="3" t="s">
        <v>1147</v>
      </c>
      <c r="D7856" s="4">
        <f>DATE(2014,2,21)</f>
        <v>41691</v>
      </c>
      <c r="E7856" s="5">
        <f t="shared" si="127"/>
        <v>2014</v>
      </c>
      <c r="F7856" s="3" t="s">
        <v>1151</v>
      </c>
      <c r="G7856" s="6">
        <v>252.09</v>
      </c>
      <c r="H7856" s="5">
        <v>6062</v>
      </c>
    </row>
    <row r="7857" spans="2:8" x14ac:dyDescent="0.4">
      <c r="B7857" s="3" t="s">
        <v>7</v>
      </c>
      <c r="C7857" s="3" t="s">
        <v>1147</v>
      </c>
      <c r="D7857" s="4">
        <f>DATE(2014,8,21)</f>
        <v>41872</v>
      </c>
      <c r="E7857" s="5">
        <f t="shared" si="127"/>
        <v>2014</v>
      </c>
      <c r="F7857" s="3" t="s">
        <v>1151</v>
      </c>
      <c r="G7857" s="6">
        <v>411</v>
      </c>
      <c r="H7857" s="5">
        <v>6344</v>
      </c>
    </row>
    <row r="7858" spans="2:8" x14ac:dyDescent="0.4">
      <c r="B7858" s="3" t="s">
        <v>7</v>
      </c>
      <c r="C7858" s="3" t="s">
        <v>1147</v>
      </c>
      <c r="D7858" s="4">
        <f>DATE(2014,9,29)</f>
        <v>41911</v>
      </c>
      <c r="E7858" s="5">
        <f t="shared" si="127"/>
        <v>2014</v>
      </c>
      <c r="F7858" s="3" t="s">
        <v>1151</v>
      </c>
      <c r="G7858" s="6">
        <v>4322.8599999999997</v>
      </c>
      <c r="H7858" s="5">
        <v>6387</v>
      </c>
    </row>
    <row r="7859" spans="2:8" x14ac:dyDescent="0.4">
      <c r="B7859" s="3" t="s">
        <v>7</v>
      </c>
      <c r="C7859" s="3" t="s">
        <v>1147</v>
      </c>
      <c r="D7859" s="4">
        <f>DATE(2013,8,5)</f>
        <v>41491</v>
      </c>
      <c r="E7859" s="5">
        <f t="shared" si="127"/>
        <v>2013</v>
      </c>
      <c r="F7859" s="3" t="s">
        <v>1151</v>
      </c>
      <c r="G7859" s="6">
        <v>2352</v>
      </c>
      <c r="H7859" s="5">
        <v>18847</v>
      </c>
    </row>
    <row r="7860" spans="2:8" x14ac:dyDescent="0.4">
      <c r="B7860" s="3" t="s">
        <v>7</v>
      </c>
      <c r="C7860" s="3" t="s">
        <v>1147</v>
      </c>
      <c r="D7860" s="4">
        <f>DATE(2013,8,19)</f>
        <v>41505</v>
      </c>
      <c r="E7860" s="5">
        <f t="shared" si="127"/>
        <v>2013</v>
      </c>
      <c r="F7860" s="3" t="s">
        <v>1151</v>
      </c>
      <c r="G7860" s="6">
        <v>5632</v>
      </c>
      <c r="H7860" s="5">
        <v>18877</v>
      </c>
    </row>
    <row r="7861" spans="2:8" x14ac:dyDescent="0.4">
      <c r="B7861" s="3" t="s">
        <v>7</v>
      </c>
      <c r="C7861" s="3" t="s">
        <v>1147</v>
      </c>
      <c r="D7861" s="4">
        <f>DATE(2013,8,19)</f>
        <v>41505</v>
      </c>
      <c r="E7861" s="5">
        <f t="shared" si="127"/>
        <v>2013</v>
      </c>
      <c r="F7861" s="3" t="s">
        <v>1151</v>
      </c>
      <c r="G7861" s="6">
        <v>13901.61</v>
      </c>
      <c r="H7861" s="5">
        <v>18751</v>
      </c>
    </row>
    <row r="7862" spans="2:8" x14ac:dyDescent="0.4">
      <c r="B7862" s="3" t="s">
        <v>7</v>
      </c>
      <c r="C7862" s="3" t="s">
        <v>1147</v>
      </c>
      <c r="D7862" s="4">
        <f>DATE(2013,8,20)</f>
        <v>41506</v>
      </c>
      <c r="E7862" s="5">
        <f t="shared" si="127"/>
        <v>2013</v>
      </c>
      <c r="F7862" s="3" t="s">
        <v>1151</v>
      </c>
      <c r="G7862" s="6">
        <v>494.11</v>
      </c>
      <c r="H7862" s="5">
        <v>18903</v>
      </c>
    </row>
    <row r="7863" spans="2:8" x14ac:dyDescent="0.4">
      <c r="B7863" s="3" t="s">
        <v>7</v>
      </c>
      <c r="C7863" s="3" t="s">
        <v>1147</v>
      </c>
      <c r="D7863" s="4">
        <f>DATE(2013,9,12)</f>
        <v>41529</v>
      </c>
      <c r="E7863" s="5">
        <f t="shared" si="127"/>
        <v>2013</v>
      </c>
      <c r="F7863" s="3" t="s">
        <v>1151</v>
      </c>
      <c r="G7863" s="6">
        <v>4221.18</v>
      </c>
      <c r="H7863" s="5">
        <v>18971</v>
      </c>
    </row>
    <row r="7864" spans="2:8" x14ac:dyDescent="0.4">
      <c r="B7864" s="3" t="s">
        <v>7</v>
      </c>
      <c r="C7864" s="3" t="s">
        <v>1147</v>
      </c>
      <c r="D7864" s="4">
        <f>DATE(2013,9,13)</f>
        <v>41530</v>
      </c>
      <c r="E7864" s="5">
        <f t="shared" si="127"/>
        <v>2013</v>
      </c>
      <c r="F7864" s="3" t="s">
        <v>1151</v>
      </c>
      <c r="G7864" s="6">
        <v>250.14</v>
      </c>
      <c r="H7864" s="5">
        <v>18979</v>
      </c>
    </row>
    <row r="7865" spans="2:8" x14ac:dyDescent="0.4">
      <c r="B7865" s="3" t="s">
        <v>7</v>
      </c>
      <c r="C7865" s="3" t="s">
        <v>1147</v>
      </c>
      <c r="D7865" s="4">
        <f>DATE(2013,10,16)</f>
        <v>41563</v>
      </c>
      <c r="E7865" s="5">
        <f t="shared" si="127"/>
        <v>2013</v>
      </c>
      <c r="F7865" s="3" t="s">
        <v>1151</v>
      </c>
      <c r="G7865" s="6">
        <v>628.16</v>
      </c>
      <c r="H7865" s="5">
        <v>19099</v>
      </c>
    </row>
    <row r="7866" spans="2:8" x14ac:dyDescent="0.4">
      <c r="B7866" s="3" t="s">
        <v>7</v>
      </c>
      <c r="C7866" s="3" t="s">
        <v>1147</v>
      </c>
      <c r="D7866" s="4">
        <f>DATE(2014,7,24)</f>
        <v>41844</v>
      </c>
      <c r="E7866" s="5">
        <f t="shared" si="127"/>
        <v>2014</v>
      </c>
      <c r="F7866" s="3" t="s">
        <v>1151</v>
      </c>
      <c r="G7866" s="6">
        <v>1843.38</v>
      </c>
      <c r="H7866" s="5">
        <v>20230</v>
      </c>
    </row>
    <row r="7867" spans="2:8" x14ac:dyDescent="0.4">
      <c r="B7867" s="3" t="s">
        <v>7</v>
      </c>
      <c r="C7867" s="3" t="s">
        <v>1147</v>
      </c>
      <c r="D7867" s="4">
        <f>DATE(2014,7,30)</f>
        <v>41850</v>
      </c>
      <c r="E7867" s="5">
        <f t="shared" si="127"/>
        <v>2014</v>
      </c>
      <c r="F7867" s="3" t="s">
        <v>1151</v>
      </c>
      <c r="G7867" s="6">
        <v>318</v>
      </c>
      <c r="H7867" s="5">
        <v>20257</v>
      </c>
    </row>
    <row r="7868" spans="2:8" x14ac:dyDescent="0.4">
      <c r="B7868" s="3" t="s">
        <v>7</v>
      </c>
      <c r="C7868" s="3" t="s">
        <v>1147</v>
      </c>
      <c r="D7868" s="4">
        <f>DATE(2014,8,21)</f>
        <v>41872</v>
      </c>
      <c r="E7868" s="5">
        <f t="shared" si="127"/>
        <v>2014</v>
      </c>
      <c r="F7868" s="3" t="s">
        <v>1151</v>
      </c>
      <c r="G7868" s="6">
        <v>1849.23</v>
      </c>
      <c r="H7868" s="5">
        <v>20307</v>
      </c>
    </row>
    <row r="7869" spans="2:8" x14ac:dyDescent="0.4">
      <c r="B7869" s="3" t="s">
        <v>7</v>
      </c>
      <c r="C7869" s="3" t="s">
        <v>1147</v>
      </c>
      <c r="D7869" s="4">
        <f>DATE(2014,8,21)</f>
        <v>41872</v>
      </c>
      <c r="E7869" s="5">
        <f t="shared" si="127"/>
        <v>2014</v>
      </c>
      <c r="F7869" s="3" t="s">
        <v>1151</v>
      </c>
      <c r="G7869" s="6">
        <v>1760</v>
      </c>
      <c r="H7869" s="5">
        <v>20323</v>
      </c>
    </row>
    <row r="7870" spans="2:8" x14ac:dyDescent="0.4">
      <c r="B7870" s="3" t="s">
        <v>7</v>
      </c>
      <c r="C7870" s="3" t="s">
        <v>1152</v>
      </c>
      <c r="D7870" s="4">
        <f>DATE(2008,7,30)</f>
        <v>39659</v>
      </c>
      <c r="E7870" s="5">
        <f t="shared" si="127"/>
        <v>2008</v>
      </c>
      <c r="F7870" s="3" t="s">
        <v>1153</v>
      </c>
      <c r="G7870" s="6">
        <v>255</v>
      </c>
      <c r="H7870" s="5">
        <v>11030</v>
      </c>
    </row>
    <row r="7871" spans="2:8" x14ac:dyDescent="0.4">
      <c r="B7871" s="3" t="s">
        <v>7</v>
      </c>
      <c r="C7871" s="3" t="s">
        <v>1154</v>
      </c>
      <c r="D7871" s="4">
        <f>DATE(2011,11,18)</f>
        <v>40865</v>
      </c>
      <c r="E7871" s="5">
        <f t="shared" si="127"/>
        <v>2011</v>
      </c>
      <c r="F7871" s="3" t="s">
        <v>1155</v>
      </c>
      <c r="G7871" s="6">
        <v>685</v>
      </c>
      <c r="H7871" s="5">
        <v>4706</v>
      </c>
    </row>
    <row r="7872" spans="2:8" x14ac:dyDescent="0.4">
      <c r="B7872" s="3" t="s">
        <v>7</v>
      </c>
      <c r="C7872" s="3" t="s">
        <v>1154</v>
      </c>
      <c r="D7872" s="4">
        <f>DATE(2011,9,21)</f>
        <v>40807</v>
      </c>
      <c r="E7872" s="5">
        <f t="shared" si="127"/>
        <v>2011</v>
      </c>
      <c r="F7872" s="3" t="s">
        <v>1155</v>
      </c>
      <c r="G7872" s="6">
        <v>20411.37</v>
      </c>
      <c r="H7872" s="5">
        <v>16000</v>
      </c>
    </row>
    <row r="7873" spans="2:8" x14ac:dyDescent="0.4">
      <c r="B7873" s="3" t="s">
        <v>7</v>
      </c>
      <c r="C7873" s="3" t="s">
        <v>1154</v>
      </c>
      <c r="D7873" s="4">
        <f>DATE(2011,11,8)</f>
        <v>40855</v>
      </c>
      <c r="E7873" s="5">
        <f t="shared" si="127"/>
        <v>2011</v>
      </c>
      <c r="F7873" s="3" t="s">
        <v>1155</v>
      </c>
      <c r="G7873" s="6">
        <v>6273.95</v>
      </c>
      <c r="H7873" s="5">
        <v>16121</v>
      </c>
    </row>
    <row r="7874" spans="2:8" x14ac:dyDescent="0.4">
      <c r="B7874" s="3" t="s">
        <v>7</v>
      </c>
      <c r="C7874" s="3" t="s">
        <v>1154</v>
      </c>
      <c r="D7874" s="4">
        <f>DATE(2012,2,28)</f>
        <v>40967</v>
      </c>
      <c r="E7874" s="5">
        <f t="shared" si="127"/>
        <v>2012</v>
      </c>
      <c r="F7874" s="3" t="s">
        <v>1155</v>
      </c>
      <c r="G7874" s="6">
        <v>95.8</v>
      </c>
      <c r="H7874" s="5">
        <v>16656</v>
      </c>
    </row>
    <row r="7875" spans="2:8" x14ac:dyDescent="0.4">
      <c r="B7875" s="3" t="s">
        <v>7</v>
      </c>
      <c r="C7875" s="3" t="s">
        <v>1154</v>
      </c>
      <c r="D7875" s="4">
        <f>DATE(2012,7,3)</f>
        <v>41093</v>
      </c>
      <c r="E7875" s="5">
        <f t="shared" ref="E7875:E7938" si="128">YEAR(D7875)</f>
        <v>2012</v>
      </c>
      <c r="F7875" s="3" t="s">
        <v>1155</v>
      </c>
      <c r="G7875" s="6">
        <v>2780.31</v>
      </c>
      <c r="H7875" s="5">
        <v>17323</v>
      </c>
    </row>
    <row r="7876" spans="2:8" x14ac:dyDescent="0.4">
      <c r="B7876" s="3" t="s">
        <v>7</v>
      </c>
      <c r="C7876" s="3" t="s">
        <v>1154</v>
      </c>
      <c r="D7876" s="4">
        <f>DATE(2012,7,3)</f>
        <v>41093</v>
      </c>
      <c r="E7876" s="5">
        <f t="shared" si="128"/>
        <v>2012</v>
      </c>
      <c r="F7876" s="3" t="s">
        <v>1155</v>
      </c>
      <c r="G7876" s="6">
        <v>1936</v>
      </c>
      <c r="H7876" s="5">
        <v>17322</v>
      </c>
    </row>
    <row r="7877" spans="2:8" x14ac:dyDescent="0.4">
      <c r="B7877" t="s">
        <v>7</v>
      </c>
      <c r="C7877" t="s">
        <v>1156</v>
      </c>
      <c r="D7877" s="7">
        <f>DATE(2018,10,16)</f>
        <v>43389</v>
      </c>
      <c r="E7877" s="8">
        <f t="shared" si="128"/>
        <v>2018</v>
      </c>
      <c r="F7877" t="s">
        <v>1157</v>
      </c>
      <c r="G7877" s="9">
        <v>26900</v>
      </c>
      <c r="H7877" s="8">
        <v>27396</v>
      </c>
    </row>
    <row r="7878" spans="2:8" x14ac:dyDescent="0.4">
      <c r="B7878" t="s">
        <v>7</v>
      </c>
      <c r="C7878" t="s">
        <v>1156</v>
      </c>
      <c r="D7878" s="7">
        <f>DATE(2004,10,31)</f>
        <v>38291</v>
      </c>
      <c r="E7878" s="8">
        <f t="shared" si="128"/>
        <v>2004</v>
      </c>
      <c r="F7878" t="s">
        <v>1157</v>
      </c>
      <c r="G7878" s="9">
        <v>5271</v>
      </c>
      <c r="H7878" s="8">
        <v>2329</v>
      </c>
    </row>
    <row r="7879" spans="2:8" x14ac:dyDescent="0.4">
      <c r="B7879" t="s">
        <v>7</v>
      </c>
      <c r="C7879" t="s">
        <v>1156</v>
      </c>
      <c r="D7879" s="7">
        <f>DATE(2006,3,8)</f>
        <v>38784</v>
      </c>
      <c r="E7879" s="8">
        <f t="shared" si="128"/>
        <v>2006</v>
      </c>
      <c r="F7879" t="s">
        <v>1157</v>
      </c>
      <c r="G7879" s="9">
        <v>28210</v>
      </c>
      <c r="H7879" s="8">
        <v>3953</v>
      </c>
    </row>
    <row r="7880" spans="2:8" x14ac:dyDescent="0.4">
      <c r="B7880" t="s">
        <v>7</v>
      </c>
      <c r="C7880" t="s">
        <v>1156</v>
      </c>
      <c r="D7880" s="7">
        <f>DATE(2007,5,1)</f>
        <v>39203</v>
      </c>
      <c r="E7880" s="8">
        <f t="shared" si="128"/>
        <v>2007</v>
      </c>
      <c r="F7880" t="s">
        <v>1157</v>
      </c>
      <c r="G7880" s="9">
        <v>4200.55</v>
      </c>
      <c r="H7880" s="8">
        <v>5998</v>
      </c>
    </row>
    <row r="7881" spans="2:8" x14ac:dyDescent="0.4">
      <c r="B7881" t="s">
        <v>7</v>
      </c>
      <c r="C7881" t="s">
        <v>1156</v>
      </c>
      <c r="D7881" s="7">
        <f>DATE(2007,5,1)</f>
        <v>39203</v>
      </c>
      <c r="E7881" s="8">
        <f t="shared" si="128"/>
        <v>2007</v>
      </c>
      <c r="F7881" t="s">
        <v>1157</v>
      </c>
      <c r="G7881" s="9">
        <v>29305</v>
      </c>
      <c r="H7881" s="8">
        <v>5512</v>
      </c>
    </row>
    <row r="7882" spans="2:8" x14ac:dyDescent="0.4">
      <c r="B7882" t="s">
        <v>7</v>
      </c>
      <c r="C7882" t="s">
        <v>1156</v>
      </c>
      <c r="D7882" s="7">
        <f>DATE(2012,3,14)</f>
        <v>40982</v>
      </c>
      <c r="E7882" s="8">
        <f t="shared" si="128"/>
        <v>2012</v>
      </c>
      <c r="F7882" t="s">
        <v>1157</v>
      </c>
      <c r="G7882" s="9">
        <v>35667</v>
      </c>
      <c r="H7882" s="8">
        <v>11289</v>
      </c>
    </row>
    <row r="7883" spans="2:8" x14ac:dyDescent="0.4">
      <c r="B7883" t="s">
        <v>7</v>
      </c>
      <c r="C7883" t="s">
        <v>1156</v>
      </c>
      <c r="D7883" s="7">
        <f>DATE(2014,5,29)</f>
        <v>41788</v>
      </c>
      <c r="E7883" s="8">
        <f t="shared" si="128"/>
        <v>2014</v>
      </c>
      <c r="F7883" t="s">
        <v>1157</v>
      </c>
      <c r="G7883" s="9">
        <v>33519</v>
      </c>
      <c r="H7883" s="8">
        <v>13186</v>
      </c>
    </row>
    <row r="7884" spans="2:8" x14ac:dyDescent="0.4">
      <c r="B7884" t="s">
        <v>7</v>
      </c>
      <c r="C7884" t="s">
        <v>1156</v>
      </c>
      <c r="D7884" s="7">
        <f>DATE(2011,3,29)</f>
        <v>40631</v>
      </c>
      <c r="E7884" s="8">
        <f t="shared" si="128"/>
        <v>2011</v>
      </c>
      <c r="F7884" t="s">
        <v>1157</v>
      </c>
      <c r="G7884" s="9">
        <v>7093.92</v>
      </c>
      <c r="H7884" s="8">
        <v>10610</v>
      </c>
    </row>
    <row r="7885" spans="2:8" x14ac:dyDescent="0.4">
      <c r="B7885" s="3" t="s">
        <v>7</v>
      </c>
      <c r="C7885" s="3" t="s">
        <v>1156</v>
      </c>
      <c r="D7885" s="4">
        <f>DATE(2013,6,21)</f>
        <v>41446</v>
      </c>
      <c r="E7885" s="5">
        <f t="shared" si="128"/>
        <v>2013</v>
      </c>
      <c r="F7885" s="3" t="s">
        <v>1157</v>
      </c>
      <c r="G7885" s="6">
        <v>4993.53</v>
      </c>
      <c r="H7885" s="5">
        <v>18655</v>
      </c>
    </row>
    <row r="7886" spans="2:8" x14ac:dyDescent="0.4">
      <c r="B7886" s="3" t="s">
        <v>7</v>
      </c>
      <c r="C7886" s="3" t="s">
        <v>1156</v>
      </c>
      <c r="D7886" s="4">
        <f>DATE(2013,10,9)</f>
        <v>41556</v>
      </c>
      <c r="E7886" s="5">
        <f t="shared" si="128"/>
        <v>2013</v>
      </c>
      <c r="F7886" s="3" t="s">
        <v>1157</v>
      </c>
      <c r="G7886" s="6">
        <v>247.5</v>
      </c>
      <c r="H7886" s="5">
        <v>19068</v>
      </c>
    </row>
    <row r="7887" spans="2:8" x14ac:dyDescent="0.4">
      <c r="B7887" s="3" t="s">
        <v>7</v>
      </c>
      <c r="C7887" s="3" t="s">
        <v>1156</v>
      </c>
      <c r="D7887" s="4">
        <f>DATE(2013,11,21)</f>
        <v>41599</v>
      </c>
      <c r="E7887" s="5">
        <f t="shared" si="128"/>
        <v>2013</v>
      </c>
      <c r="F7887" s="3" t="s">
        <v>1157</v>
      </c>
      <c r="G7887" s="6">
        <v>1382</v>
      </c>
      <c r="H7887" s="5">
        <v>19217</v>
      </c>
    </row>
    <row r="7888" spans="2:8" x14ac:dyDescent="0.4">
      <c r="B7888" t="s">
        <v>7</v>
      </c>
      <c r="C7888" t="s">
        <v>1158</v>
      </c>
      <c r="D7888" s="7">
        <f>DATE(2017,11,6)</f>
        <v>43045</v>
      </c>
      <c r="E7888" s="8">
        <f t="shared" si="128"/>
        <v>2017</v>
      </c>
      <c r="F7888" t="s">
        <v>1159</v>
      </c>
      <c r="G7888" s="9">
        <v>470.2</v>
      </c>
      <c r="H7888" s="8">
        <v>25780</v>
      </c>
    </row>
    <row r="7889" spans="2:8" x14ac:dyDescent="0.4">
      <c r="B7889" t="s">
        <v>7</v>
      </c>
      <c r="C7889" t="s">
        <v>1158</v>
      </c>
      <c r="D7889" s="7">
        <f>DATE(2015,7,28)</f>
        <v>42213</v>
      </c>
      <c r="E7889" s="8">
        <f t="shared" si="128"/>
        <v>2015</v>
      </c>
      <c r="F7889" t="s">
        <v>1159</v>
      </c>
      <c r="G7889" s="9">
        <v>5188.53</v>
      </c>
      <c r="H7889" s="8">
        <v>20931</v>
      </c>
    </row>
    <row r="7890" spans="2:8" x14ac:dyDescent="0.4">
      <c r="B7890" t="s">
        <v>7</v>
      </c>
      <c r="C7890" t="s">
        <v>1158</v>
      </c>
      <c r="D7890" s="7">
        <f>DATE(2008,3,19)</f>
        <v>39526</v>
      </c>
      <c r="E7890" s="8">
        <f t="shared" si="128"/>
        <v>2008</v>
      </c>
      <c r="F7890" t="s">
        <v>1159</v>
      </c>
      <c r="G7890" s="9">
        <v>7795.73</v>
      </c>
      <c r="H7890" s="8">
        <v>7216</v>
      </c>
    </row>
    <row r="7891" spans="2:8" x14ac:dyDescent="0.4">
      <c r="B7891" t="s">
        <v>7</v>
      </c>
      <c r="C7891" t="s">
        <v>1158</v>
      </c>
      <c r="D7891" s="7">
        <f>DATE(2010,2,9)</f>
        <v>40218</v>
      </c>
      <c r="E7891" s="8">
        <f t="shared" si="128"/>
        <v>2010</v>
      </c>
      <c r="F7891" t="s">
        <v>1159</v>
      </c>
      <c r="G7891" s="9">
        <v>7379</v>
      </c>
      <c r="H7891" s="8">
        <v>9470</v>
      </c>
    </row>
    <row r="7892" spans="2:8" x14ac:dyDescent="0.4">
      <c r="B7892" t="s">
        <v>7</v>
      </c>
      <c r="C7892" t="s">
        <v>1158</v>
      </c>
      <c r="D7892" s="7">
        <f>DATE(2012,2,1)</f>
        <v>40940</v>
      </c>
      <c r="E7892" s="8">
        <f t="shared" si="128"/>
        <v>2012</v>
      </c>
      <c r="F7892" t="s">
        <v>1159</v>
      </c>
      <c r="G7892" s="9">
        <v>4546.43</v>
      </c>
      <c r="H7892" s="8">
        <v>11259</v>
      </c>
    </row>
    <row r="7893" spans="2:8" x14ac:dyDescent="0.4">
      <c r="B7893" t="s">
        <v>7</v>
      </c>
      <c r="C7893" t="s">
        <v>1158</v>
      </c>
      <c r="D7893" s="7">
        <f>DATE(2012,3,13)</f>
        <v>40981</v>
      </c>
      <c r="E7893" s="8">
        <f t="shared" si="128"/>
        <v>2012</v>
      </c>
      <c r="F7893" t="s">
        <v>1159</v>
      </c>
      <c r="G7893" s="9">
        <v>4826.76</v>
      </c>
      <c r="H7893" s="8">
        <v>11419</v>
      </c>
    </row>
    <row r="7894" spans="2:8" x14ac:dyDescent="0.4">
      <c r="B7894" t="s">
        <v>7</v>
      </c>
      <c r="C7894" t="s">
        <v>1158</v>
      </c>
      <c r="D7894" s="7">
        <f>DATE(2012,11,6)</f>
        <v>41219</v>
      </c>
      <c r="E7894" s="8">
        <f t="shared" si="128"/>
        <v>2012</v>
      </c>
      <c r="F7894" t="s">
        <v>1159</v>
      </c>
      <c r="G7894" s="9">
        <v>5303.1</v>
      </c>
      <c r="H7894" s="8">
        <v>11886</v>
      </c>
    </row>
    <row r="7895" spans="2:8" x14ac:dyDescent="0.4">
      <c r="B7895" t="s">
        <v>7</v>
      </c>
      <c r="C7895" t="s">
        <v>1158</v>
      </c>
      <c r="D7895" s="7">
        <f>DATE(2013,4,19)</f>
        <v>41383</v>
      </c>
      <c r="E7895" s="8">
        <f t="shared" si="128"/>
        <v>2013</v>
      </c>
      <c r="F7895" t="s">
        <v>1159</v>
      </c>
      <c r="G7895" s="9">
        <v>4526.24</v>
      </c>
      <c r="H7895" s="8">
        <v>12360</v>
      </c>
    </row>
    <row r="7896" spans="2:8" x14ac:dyDescent="0.4">
      <c r="B7896" t="s">
        <v>7</v>
      </c>
      <c r="C7896" t="s">
        <v>1158</v>
      </c>
      <c r="D7896" s="7">
        <f>DATE(2014,8,27)</f>
        <v>41878</v>
      </c>
      <c r="E7896" s="8">
        <f t="shared" si="128"/>
        <v>2014</v>
      </c>
      <c r="F7896" t="s">
        <v>1159</v>
      </c>
      <c r="G7896" s="9">
        <v>5291.05</v>
      </c>
      <c r="H7896" s="8">
        <v>13423</v>
      </c>
    </row>
    <row r="7897" spans="2:8" x14ac:dyDescent="0.4">
      <c r="B7897" s="3" t="s">
        <v>7</v>
      </c>
      <c r="C7897" s="3" t="s">
        <v>1158</v>
      </c>
      <c r="D7897" s="4">
        <f>DATE(2007,11,14)</f>
        <v>39400</v>
      </c>
      <c r="E7897" s="5">
        <f t="shared" si="128"/>
        <v>2007</v>
      </c>
      <c r="F7897" s="3" t="s">
        <v>1159</v>
      </c>
      <c r="G7897" s="6">
        <v>328.97</v>
      </c>
      <c r="H7897" s="5">
        <v>9466</v>
      </c>
    </row>
    <row r="7898" spans="2:8" x14ac:dyDescent="0.4">
      <c r="B7898" s="3" t="s">
        <v>7</v>
      </c>
      <c r="C7898" s="3" t="s">
        <v>1158</v>
      </c>
      <c r="D7898" s="4">
        <f>DATE(2009,2,27)</f>
        <v>39871</v>
      </c>
      <c r="E7898" s="5">
        <f t="shared" si="128"/>
        <v>2009</v>
      </c>
      <c r="F7898" s="3" t="s">
        <v>1159</v>
      </c>
      <c r="G7898" s="6">
        <v>400.05</v>
      </c>
      <c r="H7898" s="5">
        <v>12083</v>
      </c>
    </row>
    <row r="7899" spans="2:8" x14ac:dyDescent="0.4">
      <c r="B7899" s="3" t="s">
        <v>7</v>
      </c>
      <c r="C7899" s="3" t="s">
        <v>1158</v>
      </c>
      <c r="D7899" s="4">
        <f>DATE(2010,3,18)</f>
        <v>40255</v>
      </c>
      <c r="E7899" s="5">
        <f t="shared" si="128"/>
        <v>2010</v>
      </c>
      <c r="F7899" s="3" t="s">
        <v>1159</v>
      </c>
      <c r="G7899" s="6">
        <v>374.76</v>
      </c>
      <c r="H7899" s="5">
        <v>13707</v>
      </c>
    </row>
    <row r="7900" spans="2:8" x14ac:dyDescent="0.4">
      <c r="B7900" s="3" t="s">
        <v>7</v>
      </c>
      <c r="C7900" s="3" t="s">
        <v>1158</v>
      </c>
      <c r="D7900" s="4">
        <f>DATE(2010,11,22)</f>
        <v>40504</v>
      </c>
      <c r="E7900" s="5">
        <f t="shared" si="128"/>
        <v>2010</v>
      </c>
      <c r="F7900" s="3" t="s">
        <v>1159</v>
      </c>
      <c r="G7900" s="6">
        <v>640.08000000000004</v>
      </c>
      <c r="H7900" s="5">
        <v>14745</v>
      </c>
    </row>
    <row r="7901" spans="2:8" x14ac:dyDescent="0.4">
      <c r="B7901" s="3" t="s">
        <v>7</v>
      </c>
      <c r="C7901" s="3" t="s">
        <v>1158</v>
      </c>
      <c r="D7901" s="4">
        <f>DATE(2011,1,27)</f>
        <v>40570</v>
      </c>
      <c r="E7901" s="5">
        <f t="shared" si="128"/>
        <v>2011</v>
      </c>
      <c r="F7901" s="3" t="s">
        <v>1159</v>
      </c>
      <c r="G7901" s="6">
        <v>3429</v>
      </c>
      <c r="H7901" s="5">
        <v>14963</v>
      </c>
    </row>
    <row r="7902" spans="2:8" x14ac:dyDescent="0.4">
      <c r="B7902" s="3" t="s">
        <v>7</v>
      </c>
      <c r="C7902" s="3" t="s">
        <v>1158</v>
      </c>
      <c r="D7902" s="4">
        <f>DATE(2011,2,21)</f>
        <v>40595</v>
      </c>
      <c r="E7902" s="5">
        <f t="shared" si="128"/>
        <v>2011</v>
      </c>
      <c r="F7902" s="3" t="s">
        <v>1159</v>
      </c>
      <c r="G7902" s="6">
        <v>640.08000000000004</v>
      </c>
      <c r="H7902" s="5">
        <v>14938</v>
      </c>
    </row>
    <row r="7903" spans="2:8" x14ac:dyDescent="0.4">
      <c r="B7903" s="3" t="s">
        <v>7</v>
      </c>
      <c r="C7903" s="3" t="s">
        <v>1158</v>
      </c>
      <c r="D7903" s="4">
        <f>DATE(2011,4,1)</f>
        <v>40634</v>
      </c>
      <c r="E7903" s="5">
        <f t="shared" si="128"/>
        <v>2011</v>
      </c>
      <c r="F7903" s="3" t="s">
        <v>1159</v>
      </c>
      <c r="G7903" s="6">
        <v>640.08000000000004</v>
      </c>
      <c r="H7903" s="5">
        <v>15326</v>
      </c>
    </row>
    <row r="7904" spans="2:8" x14ac:dyDescent="0.4">
      <c r="B7904" s="3" t="s">
        <v>7</v>
      </c>
      <c r="C7904" s="3" t="s">
        <v>1158</v>
      </c>
      <c r="D7904" s="4">
        <f>DATE(2011,8,24)</f>
        <v>40779</v>
      </c>
      <c r="E7904" s="5">
        <f t="shared" si="128"/>
        <v>2011</v>
      </c>
      <c r="F7904" s="3" t="s">
        <v>1159</v>
      </c>
      <c r="G7904" s="6">
        <v>1107.03</v>
      </c>
      <c r="H7904" s="5">
        <v>15886</v>
      </c>
    </row>
    <row r="7905" spans="2:8" x14ac:dyDescent="0.4">
      <c r="B7905" s="3" t="s">
        <v>7</v>
      </c>
      <c r="C7905" s="3" t="s">
        <v>1158</v>
      </c>
      <c r="D7905" s="4">
        <f>DATE(2011,8,30)</f>
        <v>40785</v>
      </c>
      <c r="E7905" s="5">
        <f t="shared" si="128"/>
        <v>2011</v>
      </c>
      <c r="F7905" s="3" t="s">
        <v>1159</v>
      </c>
      <c r="G7905" s="6">
        <v>1143</v>
      </c>
      <c r="H7905" s="5">
        <v>15833</v>
      </c>
    </row>
    <row r="7906" spans="2:8" x14ac:dyDescent="0.4">
      <c r="B7906" s="3" t="s">
        <v>7</v>
      </c>
      <c r="C7906" s="3" t="s">
        <v>1158</v>
      </c>
      <c r="D7906" s="4">
        <f>DATE(2011,9,29)</f>
        <v>40815</v>
      </c>
      <c r="E7906" s="5">
        <f t="shared" si="128"/>
        <v>2011</v>
      </c>
      <c r="F7906" s="3" t="s">
        <v>1159</v>
      </c>
      <c r="G7906" s="6">
        <v>451.5</v>
      </c>
      <c r="H7906" s="5">
        <v>16015</v>
      </c>
    </row>
    <row r="7907" spans="2:8" x14ac:dyDescent="0.4">
      <c r="B7907" s="3" t="s">
        <v>7</v>
      </c>
      <c r="C7907" s="3" t="s">
        <v>1158</v>
      </c>
      <c r="D7907" s="4">
        <f>DATE(2011,10,21)</f>
        <v>40837</v>
      </c>
      <c r="E7907" s="5">
        <f t="shared" si="128"/>
        <v>2011</v>
      </c>
      <c r="F7907" s="3" t="s">
        <v>1159</v>
      </c>
      <c r="G7907" s="6">
        <v>3937.5</v>
      </c>
      <c r="H7907" s="5">
        <v>16101</v>
      </c>
    </row>
    <row r="7908" spans="2:8" x14ac:dyDescent="0.4">
      <c r="B7908" s="3" t="s">
        <v>7</v>
      </c>
      <c r="C7908" s="3" t="s">
        <v>1158</v>
      </c>
      <c r="D7908" s="4">
        <f>DATE(2014,9,18)</f>
        <v>41900</v>
      </c>
      <c r="E7908" s="5">
        <f t="shared" si="128"/>
        <v>2014</v>
      </c>
      <c r="F7908" s="3" t="s">
        <v>1159</v>
      </c>
      <c r="G7908" s="6">
        <v>672.37</v>
      </c>
      <c r="H7908" s="5">
        <v>20426</v>
      </c>
    </row>
    <row r="7909" spans="2:8" x14ac:dyDescent="0.4">
      <c r="B7909" t="s">
        <v>7</v>
      </c>
      <c r="C7909" t="s">
        <v>363</v>
      </c>
      <c r="D7909" s="7">
        <f>DATE(2003,1,31)</f>
        <v>37652</v>
      </c>
      <c r="E7909" s="8">
        <f t="shared" si="128"/>
        <v>2003</v>
      </c>
      <c r="F7909" t="s">
        <v>1160</v>
      </c>
      <c r="G7909" s="9">
        <v>4580.6000000000004</v>
      </c>
      <c r="H7909" s="8">
        <v>148</v>
      </c>
    </row>
    <row r="7910" spans="2:8" x14ac:dyDescent="0.4">
      <c r="B7910" t="s">
        <v>7</v>
      </c>
      <c r="C7910" t="s">
        <v>1161</v>
      </c>
      <c r="D7910" s="7">
        <f>DATE(2011,3,22)</f>
        <v>40624</v>
      </c>
      <c r="E7910" s="8">
        <f t="shared" si="128"/>
        <v>2011</v>
      </c>
      <c r="F7910" t="s">
        <v>1162</v>
      </c>
      <c r="G7910" s="9">
        <v>24963</v>
      </c>
      <c r="H7910" s="8">
        <v>10559</v>
      </c>
    </row>
    <row r="7911" spans="2:8" x14ac:dyDescent="0.4">
      <c r="B7911" s="3" t="s">
        <v>7</v>
      </c>
      <c r="C7911" s="3" t="s">
        <v>1163</v>
      </c>
      <c r="D7911" s="4">
        <f>DATE(2003,9,16)</f>
        <v>37880</v>
      </c>
      <c r="E7911" s="5">
        <f t="shared" si="128"/>
        <v>2003</v>
      </c>
      <c r="F7911" s="3" t="s">
        <v>1164</v>
      </c>
      <c r="G7911" s="6">
        <v>87</v>
      </c>
      <c r="H7911" s="5">
        <v>1514</v>
      </c>
    </row>
    <row r="7912" spans="2:8" x14ac:dyDescent="0.4">
      <c r="B7912" s="3" t="s">
        <v>7</v>
      </c>
      <c r="C7912" s="3" t="s">
        <v>1163</v>
      </c>
      <c r="D7912" s="4">
        <f>DATE(2007,6,6)</f>
        <v>39239</v>
      </c>
      <c r="E7912" s="5">
        <f t="shared" si="128"/>
        <v>2007</v>
      </c>
      <c r="F7912" s="3" t="s">
        <v>1164</v>
      </c>
      <c r="G7912" s="6">
        <v>345.06</v>
      </c>
      <c r="H7912" s="5">
        <v>8724</v>
      </c>
    </row>
    <row r="7913" spans="2:8" x14ac:dyDescent="0.4">
      <c r="B7913" s="3" t="s">
        <v>7</v>
      </c>
      <c r="C7913" s="3" t="s">
        <v>1165</v>
      </c>
      <c r="D7913" s="4">
        <f>DATE(2003,3,28)</f>
        <v>37708</v>
      </c>
      <c r="E7913" s="5">
        <f t="shared" si="128"/>
        <v>2003</v>
      </c>
      <c r="F7913" s="3" t="s">
        <v>1166</v>
      </c>
      <c r="G7913" s="6">
        <v>4680</v>
      </c>
      <c r="H7913" s="5">
        <v>631</v>
      </c>
    </row>
    <row r="7914" spans="2:8" x14ac:dyDescent="0.4">
      <c r="B7914" s="3" t="s">
        <v>7</v>
      </c>
      <c r="C7914" s="3" t="s">
        <v>1165</v>
      </c>
      <c r="D7914" s="4">
        <f>DATE(2003,5,28)</f>
        <v>37769</v>
      </c>
      <c r="E7914" s="5">
        <f t="shared" si="128"/>
        <v>2003</v>
      </c>
      <c r="F7914" s="3" t="s">
        <v>1166</v>
      </c>
      <c r="G7914" s="6">
        <v>1117.5</v>
      </c>
      <c r="H7914" s="5">
        <v>1014</v>
      </c>
    </row>
    <row r="7915" spans="2:8" x14ac:dyDescent="0.4">
      <c r="B7915" s="3" t="s">
        <v>7</v>
      </c>
      <c r="C7915" s="3" t="s">
        <v>1165</v>
      </c>
      <c r="D7915" s="4">
        <f>DATE(2003,6,3)</f>
        <v>37775</v>
      </c>
      <c r="E7915" s="5">
        <f t="shared" si="128"/>
        <v>2003</v>
      </c>
      <c r="F7915" s="3" t="s">
        <v>1166</v>
      </c>
      <c r="G7915" s="6">
        <v>4680</v>
      </c>
      <c r="H7915" s="5">
        <v>993</v>
      </c>
    </row>
    <row r="7916" spans="2:8" x14ac:dyDescent="0.4">
      <c r="B7916" s="3" t="s">
        <v>7</v>
      </c>
      <c r="C7916" s="3" t="s">
        <v>1165</v>
      </c>
      <c r="D7916" s="4">
        <f>DATE(2004,7,16)</f>
        <v>38184</v>
      </c>
      <c r="E7916" s="5">
        <f t="shared" si="128"/>
        <v>2004</v>
      </c>
      <c r="F7916" s="3" t="s">
        <v>1166</v>
      </c>
      <c r="G7916" s="6">
        <v>9360</v>
      </c>
      <c r="H7916" s="5">
        <v>3158</v>
      </c>
    </row>
    <row r="7917" spans="2:8" x14ac:dyDescent="0.4">
      <c r="B7917" s="3" t="s">
        <v>7</v>
      </c>
      <c r="C7917" s="3" t="s">
        <v>1165</v>
      </c>
      <c r="D7917" s="4">
        <f>DATE(2005,1,7)</f>
        <v>38359</v>
      </c>
      <c r="E7917" s="5">
        <f t="shared" si="128"/>
        <v>2005</v>
      </c>
      <c r="F7917" s="3" t="s">
        <v>1166</v>
      </c>
      <c r="G7917" s="6">
        <v>178.8</v>
      </c>
      <c r="H7917" s="5">
        <v>3920</v>
      </c>
    </row>
    <row r="7918" spans="2:8" x14ac:dyDescent="0.4">
      <c r="B7918" s="3" t="s">
        <v>7</v>
      </c>
      <c r="C7918" s="3" t="s">
        <v>1165</v>
      </c>
      <c r="D7918" s="4">
        <f>DATE(2005,6,3)</f>
        <v>38506</v>
      </c>
      <c r="E7918" s="5">
        <f t="shared" si="128"/>
        <v>2005</v>
      </c>
      <c r="F7918" s="3" t="s">
        <v>1166</v>
      </c>
      <c r="G7918" s="6">
        <v>9360</v>
      </c>
      <c r="H7918" s="5">
        <v>4845</v>
      </c>
    </row>
    <row r="7919" spans="2:8" x14ac:dyDescent="0.4">
      <c r="B7919" s="3" t="s">
        <v>7</v>
      </c>
      <c r="C7919" s="3" t="s">
        <v>1165</v>
      </c>
      <c r="D7919" s="4">
        <f>DATE(2006,9,13)</f>
        <v>38973</v>
      </c>
      <c r="E7919" s="5">
        <f t="shared" si="128"/>
        <v>2006</v>
      </c>
      <c r="F7919" s="3" t="s">
        <v>1166</v>
      </c>
      <c r="G7919" s="6">
        <v>9360</v>
      </c>
      <c r="H7919" s="5">
        <v>7205</v>
      </c>
    </row>
    <row r="7920" spans="2:8" x14ac:dyDescent="0.4">
      <c r="B7920" s="3" t="s">
        <v>7</v>
      </c>
      <c r="C7920" s="3" t="s">
        <v>1165</v>
      </c>
      <c r="D7920" s="4">
        <f>DATE(2009,5,27)</f>
        <v>39960</v>
      </c>
      <c r="E7920" s="5">
        <f t="shared" si="128"/>
        <v>2009</v>
      </c>
      <c r="F7920" s="3" t="s">
        <v>1166</v>
      </c>
      <c r="G7920" s="6">
        <v>19680</v>
      </c>
      <c r="H7920" s="5">
        <v>12586</v>
      </c>
    </row>
    <row r="7921" spans="2:8" x14ac:dyDescent="0.4">
      <c r="B7921" s="3" t="s">
        <v>7</v>
      </c>
      <c r="C7921" s="3" t="s">
        <v>1167</v>
      </c>
      <c r="D7921" s="4">
        <f>DATE(2005,11,9)</f>
        <v>38665</v>
      </c>
      <c r="E7921" s="5">
        <f t="shared" si="128"/>
        <v>2005</v>
      </c>
      <c r="F7921" s="3" t="s">
        <v>1168</v>
      </c>
      <c r="G7921" s="6">
        <v>3148.76</v>
      </c>
      <c r="H7921" s="5">
        <v>1295</v>
      </c>
    </row>
    <row r="7922" spans="2:8" x14ac:dyDescent="0.4">
      <c r="B7922" s="3" t="s">
        <v>7</v>
      </c>
      <c r="C7922" s="3" t="s">
        <v>1167</v>
      </c>
      <c r="D7922" s="4">
        <f>DATE(2005,12,22)</f>
        <v>38708</v>
      </c>
      <c r="E7922" s="5">
        <f t="shared" si="128"/>
        <v>2005</v>
      </c>
      <c r="F7922" s="3" t="s">
        <v>1168</v>
      </c>
      <c r="G7922" s="6">
        <v>678.06</v>
      </c>
      <c r="H7922" s="5">
        <v>1314</v>
      </c>
    </row>
    <row r="7923" spans="2:8" x14ac:dyDescent="0.4">
      <c r="B7923" s="3" t="s">
        <v>7</v>
      </c>
      <c r="C7923" s="3" t="s">
        <v>1167</v>
      </c>
      <c r="D7923" s="4">
        <f>DATE(2006,1,6)</f>
        <v>38723</v>
      </c>
      <c r="E7923" s="5">
        <f t="shared" si="128"/>
        <v>2006</v>
      </c>
      <c r="F7923" s="3" t="s">
        <v>1168</v>
      </c>
      <c r="G7923" s="6">
        <v>278.85000000000002</v>
      </c>
      <c r="H7923" s="5">
        <v>1391</v>
      </c>
    </row>
    <row r="7924" spans="2:8" x14ac:dyDescent="0.4">
      <c r="B7924" s="3" t="s">
        <v>7</v>
      </c>
      <c r="C7924" s="3" t="s">
        <v>1167</v>
      </c>
      <c r="D7924" s="4">
        <f>DATE(2006,1,17)</f>
        <v>38734</v>
      </c>
      <c r="E7924" s="5">
        <f t="shared" si="128"/>
        <v>2006</v>
      </c>
      <c r="F7924" s="3" t="s">
        <v>1169</v>
      </c>
      <c r="G7924" s="6">
        <v>466.97</v>
      </c>
      <c r="H7924" s="5">
        <v>1407</v>
      </c>
    </row>
    <row r="7925" spans="2:8" x14ac:dyDescent="0.4">
      <c r="B7925" s="3" t="s">
        <v>7</v>
      </c>
      <c r="C7925" s="3" t="s">
        <v>1167</v>
      </c>
      <c r="D7925" s="4">
        <f>DATE(2006,5,31)</f>
        <v>38868</v>
      </c>
      <c r="E7925" s="5">
        <f t="shared" si="128"/>
        <v>2006</v>
      </c>
      <c r="F7925" s="3" t="s">
        <v>1169</v>
      </c>
      <c r="G7925" s="6">
        <v>610.9</v>
      </c>
      <c r="H7925" s="5">
        <v>1580</v>
      </c>
    </row>
    <row r="7926" spans="2:8" x14ac:dyDescent="0.4">
      <c r="B7926" s="3" t="s">
        <v>7</v>
      </c>
      <c r="C7926" s="3" t="s">
        <v>1167</v>
      </c>
      <c r="D7926" s="4">
        <f>DATE(2006,6,28)</f>
        <v>38896</v>
      </c>
      <c r="E7926" s="5">
        <f t="shared" si="128"/>
        <v>2006</v>
      </c>
      <c r="F7926" s="3" t="s">
        <v>1169</v>
      </c>
      <c r="G7926" s="6">
        <v>822.29</v>
      </c>
      <c r="H7926" s="5">
        <v>1655</v>
      </c>
    </row>
    <row r="7927" spans="2:8" x14ac:dyDescent="0.4">
      <c r="B7927" s="3" t="s">
        <v>7</v>
      </c>
      <c r="C7927" s="3" t="s">
        <v>1167</v>
      </c>
      <c r="D7927" s="4">
        <f>DATE(2006,6,29)</f>
        <v>38897</v>
      </c>
      <c r="E7927" s="5">
        <f t="shared" si="128"/>
        <v>2006</v>
      </c>
      <c r="F7927" s="3" t="s">
        <v>1169</v>
      </c>
      <c r="G7927" s="6">
        <v>262.76</v>
      </c>
      <c r="H7927" s="5">
        <v>1658</v>
      </c>
    </row>
    <row r="7928" spans="2:8" x14ac:dyDescent="0.4">
      <c r="B7928" s="3" t="s">
        <v>7</v>
      </c>
      <c r="C7928" s="3" t="s">
        <v>1167</v>
      </c>
      <c r="D7928" s="4">
        <f>DATE(2007,11,29)</f>
        <v>39415</v>
      </c>
      <c r="E7928" s="5">
        <f t="shared" si="128"/>
        <v>2007</v>
      </c>
      <c r="F7928" s="3" t="s">
        <v>1169</v>
      </c>
      <c r="G7928" s="6">
        <v>961.63</v>
      </c>
      <c r="H7928" s="5">
        <v>2520</v>
      </c>
    </row>
    <row r="7929" spans="2:8" x14ac:dyDescent="0.4">
      <c r="B7929" s="3" t="s">
        <v>7</v>
      </c>
      <c r="C7929" s="3" t="s">
        <v>1167</v>
      </c>
      <c r="D7929" s="4">
        <f>DATE(2007,11,30)</f>
        <v>39416</v>
      </c>
      <c r="E7929" s="5">
        <f t="shared" si="128"/>
        <v>2007</v>
      </c>
      <c r="F7929" s="3" t="s">
        <v>1169</v>
      </c>
      <c r="G7929" s="6">
        <v>494.43</v>
      </c>
      <c r="H7929" s="5">
        <v>2528</v>
      </c>
    </row>
    <row r="7930" spans="2:8" x14ac:dyDescent="0.4">
      <c r="B7930" s="3" t="s">
        <v>7</v>
      </c>
      <c r="C7930" s="3" t="s">
        <v>1167</v>
      </c>
      <c r="D7930" s="4">
        <f>DATE(2008,7,9)</f>
        <v>39638</v>
      </c>
      <c r="E7930" s="5">
        <f t="shared" si="128"/>
        <v>2008</v>
      </c>
      <c r="F7930" s="3" t="s">
        <v>1169</v>
      </c>
      <c r="G7930" s="6">
        <v>279.58</v>
      </c>
      <c r="H7930" s="5">
        <v>2913</v>
      </c>
    </row>
    <row r="7931" spans="2:8" x14ac:dyDescent="0.4">
      <c r="B7931" s="3" t="s">
        <v>7</v>
      </c>
      <c r="C7931" s="3" t="s">
        <v>1167</v>
      </c>
      <c r="D7931" s="4">
        <f>DATE(2008,9,25)</f>
        <v>39716</v>
      </c>
      <c r="E7931" s="5">
        <f t="shared" si="128"/>
        <v>2008</v>
      </c>
      <c r="F7931" s="3" t="s">
        <v>1169</v>
      </c>
      <c r="G7931" s="6">
        <v>210.99</v>
      </c>
      <c r="H7931" s="5">
        <v>3014</v>
      </c>
    </row>
    <row r="7932" spans="2:8" x14ac:dyDescent="0.4">
      <c r="B7932" s="3" t="s">
        <v>7</v>
      </c>
      <c r="C7932" s="3" t="s">
        <v>1167</v>
      </c>
      <c r="D7932" s="4">
        <f>DATE(2008,10,14)</f>
        <v>39735</v>
      </c>
      <c r="E7932" s="5">
        <f t="shared" si="128"/>
        <v>2008</v>
      </c>
      <c r="F7932" s="3" t="s">
        <v>1169</v>
      </c>
      <c r="G7932" s="6">
        <v>151.22999999999999</v>
      </c>
      <c r="H7932" s="5">
        <v>2914</v>
      </c>
    </row>
    <row r="7933" spans="2:8" x14ac:dyDescent="0.4">
      <c r="B7933" s="3" t="s">
        <v>7</v>
      </c>
      <c r="C7933" s="3" t="s">
        <v>1167</v>
      </c>
      <c r="D7933" s="4">
        <f>DATE(2008,10,23)</f>
        <v>39744</v>
      </c>
      <c r="E7933" s="5">
        <f t="shared" si="128"/>
        <v>2008</v>
      </c>
      <c r="F7933" s="3" t="s">
        <v>1169</v>
      </c>
      <c r="G7933" s="6">
        <v>181.05</v>
      </c>
      <c r="H7933" s="5">
        <v>3122</v>
      </c>
    </row>
    <row r="7934" spans="2:8" x14ac:dyDescent="0.4">
      <c r="B7934" s="3" t="s">
        <v>7</v>
      </c>
      <c r="C7934" s="3" t="s">
        <v>1167</v>
      </c>
      <c r="D7934" s="4">
        <f>DATE(2008,11,21)</f>
        <v>39773</v>
      </c>
      <c r="E7934" s="5">
        <f t="shared" si="128"/>
        <v>2008</v>
      </c>
      <c r="F7934" s="3" t="s">
        <v>1169</v>
      </c>
      <c r="G7934" s="6">
        <v>112.18</v>
      </c>
      <c r="H7934" s="5">
        <v>3121</v>
      </c>
    </row>
    <row r="7935" spans="2:8" x14ac:dyDescent="0.4">
      <c r="B7935" s="3" t="s">
        <v>7</v>
      </c>
      <c r="C7935" s="3" t="s">
        <v>1167</v>
      </c>
      <c r="D7935" s="4">
        <f>DATE(2009,2,6)</f>
        <v>39850</v>
      </c>
      <c r="E7935" s="5">
        <f t="shared" si="128"/>
        <v>2009</v>
      </c>
      <c r="F7935" s="3" t="s">
        <v>1169</v>
      </c>
      <c r="G7935" s="6">
        <v>378.6</v>
      </c>
      <c r="H7935" s="5">
        <v>3268</v>
      </c>
    </row>
    <row r="7936" spans="2:8" x14ac:dyDescent="0.4">
      <c r="B7936" s="3" t="s">
        <v>7</v>
      </c>
      <c r="C7936" s="3" t="s">
        <v>1167</v>
      </c>
      <c r="D7936" s="4">
        <f>DATE(2009,3,27)</f>
        <v>39899</v>
      </c>
      <c r="E7936" s="5">
        <f t="shared" si="128"/>
        <v>2009</v>
      </c>
      <c r="F7936" s="3" t="s">
        <v>1169</v>
      </c>
      <c r="G7936" s="6">
        <v>454.74</v>
      </c>
      <c r="H7936" s="5">
        <v>3346</v>
      </c>
    </row>
    <row r="7937" spans="2:8" x14ac:dyDescent="0.4">
      <c r="B7937" s="3" t="s">
        <v>7</v>
      </c>
      <c r="C7937" s="3" t="s">
        <v>1167</v>
      </c>
      <c r="D7937" s="4">
        <f>DATE(2009,3,27)</f>
        <v>39899</v>
      </c>
      <c r="E7937" s="5">
        <f t="shared" si="128"/>
        <v>2009</v>
      </c>
      <c r="F7937" s="3" t="s">
        <v>1169</v>
      </c>
      <c r="G7937" s="6">
        <v>310.89999999999998</v>
      </c>
      <c r="H7937" s="5">
        <v>3347</v>
      </c>
    </row>
    <row r="7938" spans="2:8" x14ac:dyDescent="0.4">
      <c r="B7938" s="3" t="s">
        <v>7</v>
      </c>
      <c r="C7938" s="3" t="s">
        <v>1167</v>
      </c>
      <c r="D7938" s="4">
        <f>DATE(2009,4,30)</f>
        <v>39933</v>
      </c>
      <c r="E7938" s="5">
        <f t="shared" si="128"/>
        <v>2009</v>
      </c>
      <c r="F7938" s="3" t="s">
        <v>1169</v>
      </c>
      <c r="G7938" s="6">
        <v>167.32</v>
      </c>
      <c r="H7938" s="5">
        <v>3401</v>
      </c>
    </row>
    <row r="7939" spans="2:8" x14ac:dyDescent="0.4">
      <c r="B7939" s="3" t="s">
        <v>7</v>
      </c>
      <c r="C7939" s="3" t="s">
        <v>1167</v>
      </c>
      <c r="D7939" s="4">
        <f>DATE(2009,5,11)</f>
        <v>39944</v>
      </c>
      <c r="E7939" s="5">
        <f t="shared" ref="E7939:E8002" si="129">YEAR(D7939)</f>
        <v>2009</v>
      </c>
      <c r="F7939" s="3" t="s">
        <v>1169</v>
      </c>
      <c r="G7939" s="6">
        <v>598.46</v>
      </c>
      <c r="H7939" s="5">
        <v>3419</v>
      </c>
    </row>
    <row r="7940" spans="2:8" x14ac:dyDescent="0.4">
      <c r="B7940" s="3" t="s">
        <v>7</v>
      </c>
      <c r="C7940" s="3" t="s">
        <v>1167</v>
      </c>
      <c r="D7940" s="4">
        <f>DATE(2009,8,7)</f>
        <v>40032</v>
      </c>
      <c r="E7940" s="5">
        <f t="shared" si="129"/>
        <v>2009</v>
      </c>
      <c r="F7940" s="3" t="s">
        <v>1169</v>
      </c>
      <c r="G7940" s="6">
        <v>276.06</v>
      </c>
      <c r="H7940" s="5">
        <v>3536</v>
      </c>
    </row>
    <row r="7941" spans="2:8" x14ac:dyDescent="0.4">
      <c r="B7941" s="3" t="s">
        <v>16</v>
      </c>
      <c r="C7941" s="3" t="s">
        <v>1167</v>
      </c>
      <c r="D7941" s="4">
        <f>DATE(2006,6,28)</f>
        <v>38896</v>
      </c>
      <c r="E7941" s="5">
        <f t="shared" si="129"/>
        <v>2006</v>
      </c>
      <c r="F7941" s="3" t="s">
        <v>1169</v>
      </c>
      <c r="G7941" s="6">
        <v>423.64</v>
      </c>
      <c r="H7941" s="5">
        <v>1657</v>
      </c>
    </row>
    <row r="7942" spans="2:8" x14ac:dyDescent="0.4">
      <c r="B7942" t="s">
        <v>7</v>
      </c>
      <c r="C7942" t="s">
        <v>1170</v>
      </c>
      <c r="D7942" s="7">
        <f>DATE(2015,5,1)</f>
        <v>42125</v>
      </c>
      <c r="E7942" s="8">
        <f t="shared" si="129"/>
        <v>2015</v>
      </c>
      <c r="F7942" t="s">
        <v>1171</v>
      </c>
      <c r="G7942" s="9">
        <v>8360</v>
      </c>
      <c r="H7942" s="8">
        <v>20500</v>
      </c>
    </row>
    <row r="7943" spans="2:8" x14ac:dyDescent="0.4">
      <c r="B7943" t="s">
        <v>7</v>
      </c>
      <c r="C7943" t="s">
        <v>1170</v>
      </c>
      <c r="D7943" s="7">
        <f>DATE(2015,9,4)</f>
        <v>42251</v>
      </c>
      <c r="E7943" s="8">
        <f t="shared" si="129"/>
        <v>2015</v>
      </c>
      <c r="F7943" t="s">
        <v>1171</v>
      </c>
      <c r="G7943" s="9">
        <v>6460</v>
      </c>
      <c r="H7943" s="8">
        <v>21141</v>
      </c>
    </row>
    <row r="7944" spans="2:8" x14ac:dyDescent="0.4">
      <c r="B7944" t="s">
        <v>7</v>
      </c>
      <c r="C7944" t="s">
        <v>1170</v>
      </c>
      <c r="D7944" s="7">
        <f>DATE(2015,9,24)</f>
        <v>42271</v>
      </c>
      <c r="E7944" s="8">
        <f t="shared" si="129"/>
        <v>2015</v>
      </c>
      <c r="F7944" t="s">
        <v>1171</v>
      </c>
      <c r="G7944" s="9">
        <v>5320</v>
      </c>
      <c r="H7944" s="8">
        <v>21251</v>
      </c>
    </row>
    <row r="7945" spans="2:8" x14ac:dyDescent="0.4">
      <c r="B7945" t="s">
        <v>7</v>
      </c>
      <c r="C7945" t="s">
        <v>1170</v>
      </c>
      <c r="D7945" s="7">
        <f>DATE(2015,10,1)</f>
        <v>42278</v>
      </c>
      <c r="E7945" s="8">
        <f t="shared" si="129"/>
        <v>2015</v>
      </c>
      <c r="F7945" t="s">
        <v>1171</v>
      </c>
      <c r="G7945" s="9">
        <v>3800</v>
      </c>
      <c r="H7945" s="8">
        <v>21327</v>
      </c>
    </row>
    <row r="7946" spans="2:8" x14ac:dyDescent="0.4">
      <c r="B7946" t="s">
        <v>7</v>
      </c>
      <c r="C7946" t="s">
        <v>1170</v>
      </c>
      <c r="D7946" s="7">
        <f>DATE(2016,3,9)</f>
        <v>42438</v>
      </c>
      <c r="E7946" s="8">
        <f t="shared" si="129"/>
        <v>2016</v>
      </c>
      <c r="F7946" t="s">
        <v>1171</v>
      </c>
      <c r="G7946" s="9">
        <v>5320</v>
      </c>
      <c r="H7946" s="8">
        <v>22240</v>
      </c>
    </row>
    <row r="7947" spans="2:8" x14ac:dyDescent="0.4">
      <c r="B7947" t="s">
        <v>7</v>
      </c>
      <c r="C7947" t="s">
        <v>1170</v>
      </c>
      <c r="D7947" s="7">
        <f>DATE(2016,3,30)</f>
        <v>42459</v>
      </c>
      <c r="E7947" s="8">
        <f t="shared" si="129"/>
        <v>2016</v>
      </c>
      <c r="F7947" t="s">
        <v>1171</v>
      </c>
      <c r="G7947" s="9">
        <v>9500</v>
      </c>
      <c r="H7947" s="8">
        <v>22522</v>
      </c>
    </row>
    <row r="7948" spans="2:8" x14ac:dyDescent="0.4">
      <c r="B7948" t="s">
        <v>7</v>
      </c>
      <c r="C7948" t="s">
        <v>1170</v>
      </c>
      <c r="D7948" s="7">
        <f>DATE(2016,4,13)</f>
        <v>42473</v>
      </c>
      <c r="E7948" s="8">
        <f t="shared" si="129"/>
        <v>2016</v>
      </c>
      <c r="F7948" t="s">
        <v>1171</v>
      </c>
      <c r="G7948" s="9">
        <v>3800</v>
      </c>
      <c r="H7948" s="8">
        <v>22574</v>
      </c>
    </row>
    <row r="7949" spans="2:8" x14ac:dyDescent="0.4">
      <c r="B7949" t="s">
        <v>7</v>
      </c>
      <c r="C7949" t="s">
        <v>1170</v>
      </c>
      <c r="D7949" s="7">
        <f>DATE(2017,2,7)</f>
        <v>42773</v>
      </c>
      <c r="E7949" s="8">
        <f t="shared" si="129"/>
        <v>2017</v>
      </c>
      <c r="F7949" t="s">
        <v>1171</v>
      </c>
      <c r="G7949" s="9">
        <v>8360</v>
      </c>
      <c r="H7949" s="8">
        <v>24158</v>
      </c>
    </row>
    <row r="7950" spans="2:8" x14ac:dyDescent="0.4">
      <c r="B7950" t="s">
        <v>7</v>
      </c>
      <c r="C7950" t="s">
        <v>1170</v>
      </c>
      <c r="D7950" s="7">
        <f>DATE(2017,4,10)</f>
        <v>42835</v>
      </c>
      <c r="E7950" s="8">
        <f t="shared" si="129"/>
        <v>2017</v>
      </c>
      <c r="F7950" t="s">
        <v>1171</v>
      </c>
      <c r="G7950" s="9">
        <v>11400</v>
      </c>
      <c r="H7950" s="8">
        <v>24692</v>
      </c>
    </row>
    <row r="7951" spans="2:8" x14ac:dyDescent="0.4">
      <c r="B7951" t="s">
        <v>7</v>
      </c>
      <c r="C7951" t="s">
        <v>1170</v>
      </c>
      <c r="D7951" s="7">
        <f>DATE(2017,5,1)</f>
        <v>42856</v>
      </c>
      <c r="E7951" s="8">
        <f t="shared" si="129"/>
        <v>2017</v>
      </c>
      <c r="F7951" t="s">
        <v>1171</v>
      </c>
      <c r="G7951" s="9">
        <v>1140</v>
      </c>
      <c r="H7951" s="8">
        <v>24807</v>
      </c>
    </row>
    <row r="7952" spans="2:8" x14ac:dyDescent="0.4">
      <c r="B7952" t="s">
        <v>7</v>
      </c>
      <c r="C7952" t="s">
        <v>1170</v>
      </c>
      <c r="D7952" s="7">
        <f>DATE(2017,5,19)</f>
        <v>42874</v>
      </c>
      <c r="E7952" s="8">
        <f t="shared" si="129"/>
        <v>2017</v>
      </c>
      <c r="F7952" t="s">
        <v>1171</v>
      </c>
      <c r="G7952" s="9">
        <v>760</v>
      </c>
      <c r="H7952" s="8">
        <v>24960</v>
      </c>
    </row>
    <row r="7953" spans="2:8" x14ac:dyDescent="0.4">
      <c r="B7953" t="s">
        <v>7</v>
      </c>
      <c r="C7953" t="s">
        <v>1170</v>
      </c>
      <c r="D7953" s="7">
        <f>DATE(2017,11,22)</f>
        <v>43061</v>
      </c>
      <c r="E7953" s="8">
        <f t="shared" si="129"/>
        <v>2017</v>
      </c>
      <c r="F7953" t="s">
        <v>1171</v>
      </c>
      <c r="G7953" s="9">
        <v>6460</v>
      </c>
      <c r="H7953" s="8">
        <v>25893</v>
      </c>
    </row>
    <row r="7954" spans="2:8" x14ac:dyDescent="0.4">
      <c r="B7954" t="s">
        <v>7</v>
      </c>
      <c r="C7954" t="s">
        <v>1170</v>
      </c>
      <c r="D7954" s="7">
        <f>DATE(2017,12,7)</f>
        <v>43076</v>
      </c>
      <c r="E7954" s="8">
        <f t="shared" si="129"/>
        <v>2017</v>
      </c>
      <c r="F7954" t="s">
        <v>1171</v>
      </c>
      <c r="G7954" s="9">
        <v>3800</v>
      </c>
      <c r="H7954" s="8">
        <v>25962</v>
      </c>
    </row>
    <row r="7955" spans="2:8" x14ac:dyDescent="0.4">
      <c r="B7955" t="s">
        <v>7</v>
      </c>
      <c r="C7955" t="s">
        <v>1170</v>
      </c>
      <c r="D7955" s="7">
        <f>DATE(2017,12,13)</f>
        <v>43082</v>
      </c>
      <c r="E7955" s="8">
        <f t="shared" si="129"/>
        <v>2017</v>
      </c>
      <c r="F7955" t="s">
        <v>1171</v>
      </c>
      <c r="G7955" s="9">
        <v>13300</v>
      </c>
      <c r="H7955" s="8">
        <v>25977</v>
      </c>
    </row>
    <row r="7956" spans="2:8" x14ac:dyDescent="0.4">
      <c r="B7956" t="s">
        <v>7</v>
      </c>
      <c r="C7956" t="s">
        <v>1170</v>
      </c>
      <c r="D7956" s="7">
        <f>DATE(2018,4,23)</f>
        <v>43213</v>
      </c>
      <c r="E7956" s="8">
        <f t="shared" si="129"/>
        <v>2018</v>
      </c>
      <c r="F7956" t="s">
        <v>1171</v>
      </c>
      <c r="G7956" s="9">
        <v>7600</v>
      </c>
      <c r="H7956" s="8">
        <v>26882</v>
      </c>
    </row>
    <row r="7957" spans="2:8" x14ac:dyDescent="0.4">
      <c r="B7957" t="s">
        <v>7</v>
      </c>
      <c r="C7957" t="s">
        <v>1170</v>
      </c>
      <c r="D7957" s="7">
        <f>DATE(2018,5,1)</f>
        <v>43221</v>
      </c>
      <c r="E7957" s="8">
        <f t="shared" si="129"/>
        <v>2018</v>
      </c>
      <c r="F7957" t="s">
        <v>1171</v>
      </c>
      <c r="G7957" s="9">
        <v>11400</v>
      </c>
      <c r="H7957" s="8">
        <v>26967</v>
      </c>
    </row>
    <row r="7958" spans="2:8" x14ac:dyDescent="0.4">
      <c r="B7958" t="s">
        <v>7</v>
      </c>
      <c r="C7958" t="s">
        <v>1170</v>
      </c>
      <c r="D7958" s="7">
        <f>DATE(2018,5,7)</f>
        <v>43227</v>
      </c>
      <c r="E7958" s="8">
        <f t="shared" si="129"/>
        <v>2018</v>
      </c>
      <c r="F7958" t="s">
        <v>1171</v>
      </c>
      <c r="G7958" s="9">
        <v>7600</v>
      </c>
      <c r="H7958" s="8">
        <v>27011</v>
      </c>
    </row>
    <row r="7959" spans="2:8" x14ac:dyDescent="0.4">
      <c r="B7959" t="s">
        <v>7</v>
      </c>
      <c r="C7959" t="s">
        <v>1170</v>
      </c>
      <c r="D7959" s="7">
        <f>DATE(2018,8,27)</f>
        <v>43339</v>
      </c>
      <c r="E7959" s="8">
        <f t="shared" si="129"/>
        <v>2018</v>
      </c>
      <c r="F7959" t="s">
        <v>1171</v>
      </c>
      <c r="G7959" s="9">
        <v>14440</v>
      </c>
      <c r="H7959" s="8">
        <v>27483</v>
      </c>
    </row>
    <row r="7960" spans="2:8" x14ac:dyDescent="0.4">
      <c r="B7960" t="s">
        <v>7</v>
      </c>
      <c r="C7960" t="s">
        <v>1170</v>
      </c>
      <c r="D7960" s="7">
        <f>DATE(2018,9,4)</f>
        <v>43347</v>
      </c>
      <c r="E7960" s="8">
        <f t="shared" si="129"/>
        <v>2018</v>
      </c>
      <c r="F7960" t="s">
        <v>1171</v>
      </c>
      <c r="G7960" s="9">
        <v>14440</v>
      </c>
      <c r="H7960" s="8">
        <v>27484</v>
      </c>
    </row>
    <row r="7961" spans="2:8" x14ac:dyDescent="0.4">
      <c r="B7961" t="s">
        <v>7</v>
      </c>
      <c r="C7961" t="s">
        <v>1170</v>
      </c>
      <c r="D7961" s="7">
        <f>DATE(2018,10,8)</f>
        <v>43381</v>
      </c>
      <c r="E7961" s="8">
        <f t="shared" si="129"/>
        <v>2018</v>
      </c>
      <c r="F7961" t="s">
        <v>1171</v>
      </c>
      <c r="G7961" s="9">
        <v>14440</v>
      </c>
      <c r="H7961" s="8">
        <v>27690</v>
      </c>
    </row>
    <row r="7962" spans="2:8" x14ac:dyDescent="0.4">
      <c r="B7962" t="s">
        <v>7</v>
      </c>
      <c r="C7962" t="s">
        <v>1170</v>
      </c>
      <c r="D7962" s="7">
        <f>DATE(2019,2,27)</f>
        <v>43523</v>
      </c>
      <c r="E7962" s="8">
        <f t="shared" si="129"/>
        <v>2019</v>
      </c>
      <c r="F7962" t="s">
        <v>1171</v>
      </c>
      <c r="G7962" s="9">
        <v>7600</v>
      </c>
      <c r="H7962" s="8">
        <v>28463</v>
      </c>
    </row>
    <row r="7963" spans="2:8" x14ac:dyDescent="0.4">
      <c r="B7963" t="s">
        <v>7</v>
      </c>
      <c r="C7963" t="s">
        <v>1170</v>
      </c>
      <c r="D7963" s="7">
        <f>DATE(2019,4,29)</f>
        <v>43584</v>
      </c>
      <c r="E7963" s="8">
        <f t="shared" si="129"/>
        <v>2019</v>
      </c>
      <c r="F7963" t="s">
        <v>1171</v>
      </c>
      <c r="G7963" s="9">
        <v>4560</v>
      </c>
      <c r="H7963" s="8">
        <v>28853</v>
      </c>
    </row>
    <row r="7964" spans="2:8" x14ac:dyDescent="0.4">
      <c r="B7964" t="s">
        <v>7</v>
      </c>
      <c r="C7964" t="s">
        <v>1170</v>
      </c>
      <c r="D7964" s="7">
        <f>DATE(2015,5,26)</f>
        <v>42150</v>
      </c>
      <c r="E7964" s="8">
        <f t="shared" si="129"/>
        <v>2015</v>
      </c>
      <c r="F7964" t="s">
        <v>1171</v>
      </c>
      <c r="G7964" s="9">
        <v>8451.02</v>
      </c>
      <c r="H7964" s="8">
        <v>20576</v>
      </c>
    </row>
    <row r="7965" spans="2:8" x14ac:dyDescent="0.4">
      <c r="B7965" t="s">
        <v>16</v>
      </c>
      <c r="C7965" t="s">
        <v>1170</v>
      </c>
      <c r="D7965" s="7">
        <f>DATE(2017,5,1)</f>
        <v>42856</v>
      </c>
      <c r="E7965" s="8">
        <f t="shared" si="129"/>
        <v>2017</v>
      </c>
      <c r="F7965" t="s">
        <v>1171</v>
      </c>
      <c r="G7965" s="9">
        <v>16.239999999999998</v>
      </c>
      <c r="H7965" s="8">
        <v>24866</v>
      </c>
    </row>
    <row r="7966" spans="2:8" x14ac:dyDescent="0.4">
      <c r="B7966" t="s">
        <v>7</v>
      </c>
      <c r="C7966" t="s">
        <v>1170</v>
      </c>
      <c r="D7966" s="7">
        <f>DATE(2003,3,27)</f>
        <v>37707</v>
      </c>
      <c r="E7966" s="8">
        <f t="shared" si="129"/>
        <v>2003</v>
      </c>
      <c r="F7966" t="s">
        <v>1171</v>
      </c>
      <c r="G7966" s="9">
        <v>12613.2</v>
      </c>
      <c r="H7966" s="8">
        <v>206</v>
      </c>
    </row>
    <row r="7967" spans="2:8" x14ac:dyDescent="0.4">
      <c r="B7967" t="s">
        <v>7</v>
      </c>
      <c r="C7967" t="s">
        <v>1170</v>
      </c>
      <c r="D7967" s="7">
        <f>DATE(2003,8,25)</f>
        <v>37858</v>
      </c>
      <c r="E7967" s="8">
        <f t="shared" si="129"/>
        <v>2003</v>
      </c>
      <c r="F7967" t="s">
        <v>1171</v>
      </c>
      <c r="G7967" s="9">
        <v>13300</v>
      </c>
      <c r="H7967" s="8">
        <v>819</v>
      </c>
    </row>
    <row r="7968" spans="2:8" x14ac:dyDescent="0.4">
      <c r="B7968" t="s">
        <v>7</v>
      </c>
      <c r="C7968" t="s">
        <v>1170</v>
      </c>
      <c r="D7968" s="7">
        <f>DATE(2004,3,31)</f>
        <v>38077</v>
      </c>
      <c r="E7968" s="8">
        <f t="shared" si="129"/>
        <v>2004</v>
      </c>
      <c r="F7968" t="s">
        <v>1171</v>
      </c>
      <c r="G7968" s="9">
        <v>12613.2</v>
      </c>
      <c r="H7968" s="8">
        <v>1138</v>
      </c>
    </row>
    <row r="7969" spans="2:8" x14ac:dyDescent="0.4">
      <c r="B7969" s="3" t="s">
        <v>7</v>
      </c>
      <c r="C7969" s="3" t="s">
        <v>1170</v>
      </c>
      <c r="D7969" s="4">
        <f>DATE(2003,2,25)</f>
        <v>37677</v>
      </c>
      <c r="E7969" s="5">
        <f t="shared" si="129"/>
        <v>2003</v>
      </c>
      <c r="F7969" s="3" t="s">
        <v>1171</v>
      </c>
      <c r="G7969" s="6">
        <v>4346.0600000000004</v>
      </c>
      <c r="H7969" s="5">
        <v>377</v>
      </c>
    </row>
    <row r="7970" spans="2:8" x14ac:dyDescent="0.4">
      <c r="B7970" s="3" t="s">
        <v>7</v>
      </c>
      <c r="C7970" s="3" t="s">
        <v>1170</v>
      </c>
      <c r="D7970" s="4">
        <f>DATE(2003,3,25)</f>
        <v>37705</v>
      </c>
      <c r="E7970" s="5">
        <f t="shared" si="129"/>
        <v>2003</v>
      </c>
      <c r="F7970" s="3" t="s">
        <v>1171</v>
      </c>
      <c r="G7970" s="6">
        <v>3352.5</v>
      </c>
      <c r="H7970" s="5">
        <v>483</v>
      </c>
    </row>
    <row r="7971" spans="2:8" x14ac:dyDescent="0.4">
      <c r="B7971" s="3" t="s">
        <v>7</v>
      </c>
      <c r="C7971" s="3" t="s">
        <v>1170</v>
      </c>
      <c r="D7971" s="4">
        <f>DATE(2003,4,4)</f>
        <v>37715</v>
      </c>
      <c r="E7971" s="5">
        <f t="shared" si="129"/>
        <v>2003</v>
      </c>
      <c r="F7971" s="3" t="s">
        <v>1171</v>
      </c>
      <c r="G7971" s="6">
        <v>4346.4799999999996</v>
      </c>
      <c r="H7971" s="5">
        <v>687</v>
      </c>
    </row>
    <row r="7972" spans="2:8" x14ac:dyDescent="0.4">
      <c r="B7972" s="3" t="s">
        <v>7</v>
      </c>
      <c r="C7972" s="3" t="s">
        <v>1170</v>
      </c>
      <c r="D7972" s="4">
        <f>DATE(2003,4,23)</f>
        <v>37734</v>
      </c>
      <c r="E7972" s="5">
        <f t="shared" si="129"/>
        <v>2003</v>
      </c>
      <c r="F7972" s="3" t="s">
        <v>1171</v>
      </c>
      <c r="G7972" s="6">
        <v>4346.4799999999996</v>
      </c>
      <c r="H7972" s="5">
        <v>815</v>
      </c>
    </row>
    <row r="7973" spans="2:8" x14ac:dyDescent="0.4">
      <c r="B7973" s="3" t="s">
        <v>7</v>
      </c>
      <c r="C7973" s="3" t="s">
        <v>1170</v>
      </c>
      <c r="D7973" s="4">
        <f>DATE(2003,9,3)</f>
        <v>37867</v>
      </c>
      <c r="E7973" s="5">
        <f t="shared" si="129"/>
        <v>2003</v>
      </c>
      <c r="F7973" s="3" t="s">
        <v>1171</v>
      </c>
      <c r="G7973" s="6">
        <v>4650</v>
      </c>
      <c r="H7973" s="5">
        <v>1454</v>
      </c>
    </row>
    <row r="7974" spans="2:8" x14ac:dyDescent="0.4">
      <c r="B7974" s="3" t="s">
        <v>7</v>
      </c>
      <c r="C7974" s="3" t="s">
        <v>1170</v>
      </c>
      <c r="D7974" s="4">
        <f>DATE(2003,9,16)</f>
        <v>37880</v>
      </c>
      <c r="E7974" s="5">
        <f t="shared" si="129"/>
        <v>2003</v>
      </c>
      <c r="F7974" s="3" t="s">
        <v>1171</v>
      </c>
      <c r="G7974" s="6">
        <v>4696.2</v>
      </c>
      <c r="H7974" s="5">
        <v>1506</v>
      </c>
    </row>
    <row r="7975" spans="2:8" x14ac:dyDescent="0.4">
      <c r="B7975" s="3" t="s">
        <v>7</v>
      </c>
      <c r="C7975" s="3" t="s">
        <v>1170</v>
      </c>
      <c r="D7975" s="4">
        <f>DATE(2004,3,15)</f>
        <v>38061</v>
      </c>
      <c r="E7975" s="5">
        <f t="shared" si="129"/>
        <v>2004</v>
      </c>
      <c r="F7975" s="3" t="s">
        <v>1171</v>
      </c>
      <c r="G7975" s="6">
        <v>4346.9799999999996</v>
      </c>
      <c r="H7975" s="5">
        <v>2260</v>
      </c>
    </row>
    <row r="7976" spans="2:8" x14ac:dyDescent="0.4">
      <c r="B7976" s="3" t="s">
        <v>7</v>
      </c>
      <c r="C7976" s="3" t="s">
        <v>1170</v>
      </c>
      <c r="D7976" s="4">
        <f>DATE(2004,4,12)</f>
        <v>38089</v>
      </c>
      <c r="E7976" s="5">
        <f t="shared" si="129"/>
        <v>2004</v>
      </c>
      <c r="F7976" s="3" t="s">
        <v>1171</v>
      </c>
      <c r="G7976" s="6">
        <v>791</v>
      </c>
      <c r="H7976" s="5">
        <v>2631</v>
      </c>
    </row>
    <row r="7977" spans="2:8" x14ac:dyDescent="0.4">
      <c r="B7977" s="3" t="s">
        <v>7</v>
      </c>
      <c r="C7977" s="3" t="s">
        <v>1170</v>
      </c>
      <c r="D7977" s="4">
        <f>DATE(2004,5,20)</f>
        <v>38127</v>
      </c>
      <c r="E7977" s="5">
        <f t="shared" si="129"/>
        <v>2004</v>
      </c>
      <c r="F7977" s="3" t="s">
        <v>1171</v>
      </c>
      <c r="G7977" s="6">
        <v>4346.9799999999996</v>
      </c>
      <c r="H7977" s="5">
        <v>2887</v>
      </c>
    </row>
    <row r="7978" spans="2:8" x14ac:dyDescent="0.4">
      <c r="B7978" s="3" t="s">
        <v>7</v>
      </c>
      <c r="C7978" s="3" t="s">
        <v>1170</v>
      </c>
      <c r="D7978" s="4">
        <f>DATE(2004,8,6)</f>
        <v>38205</v>
      </c>
      <c r="E7978" s="5">
        <f t="shared" si="129"/>
        <v>2004</v>
      </c>
      <c r="F7978" s="3" t="s">
        <v>1171</v>
      </c>
      <c r="G7978" s="6">
        <v>4346.9799999999996</v>
      </c>
      <c r="H7978" s="5">
        <v>3200</v>
      </c>
    </row>
    <row r="7979" spans="2:8" x14ac:dyDescent="0.4">
      <c r="B7979" s="3" t="s">
        <v>7</v>
      </c>
      <c r="C7979" s="3" t="s">
        <v>1170</v>
      </c>
      <c r="D7979" s="4">
        <f>DATE(2005,2,16)</f>
        <v>38399</v>
      </c>
      <c r="E7979" s="5">
        <f t="shared" si="129"/>
        <v>2005</v>
      </c>
      <c r="F7979" s="3" t="s">
        <v>1171</v>
      </c>
      <c r="G7979" s="6">
        <v>4587.88</v>
      </c>
      <c r="H7979" s="5">
        <v>4087</v>
      </c>
    </row>
    <row r="7980" spans="2:8" x14ac:dyDescent="0.4">
      <c r="B7980" s="3" t="s">
        <v>7</v>
      </c>
      <c r="C7980" s="3" t="s">
        <v>1170</v>
      </c>
      <c r="D7980" s="4">
        <f>DATE(2005,3,15)</f>
        <v>38426</v>
      </c>
      <c r="E7980" s="5">
        <f t="shared" si="129"/>
        <v>2005</v>
      </c>
      <c r="F7980" s="3" t="s">
        <v>1171</v>
      </c>
      <c r="G7980" s="6">
        <v>4560</v>
      </c>
      <c r="H7980" s="5">
        <v>4330</v>
      </c>
    </row>
    <row r="7981" spans="2:8" x14ac:dyDescent="0.4">
      <c r="B7981" s="3" t="s">
        <v>7</v>
      </c>
      <c r="C7981" s="3" t="s">
        <v>1170</v>
      </c>
      <c r="D7981" s="4">
        <f>DATE(2005,3,29)</f>
        <v>38440</v>
      </c>
      <c r="E7981" s="5">
        <f t="shared" si="129"/>
        <v>2005</v>
      </c>
      <c r="F7981" s="3" t="s">
        <v>1171</v>
      </c>
      <c r="G7981" s="6">
        <v>4560</v>
      </c>
      <c r="H7981" s="5">
        <v>4425</v>
      </c>
    </row>
    <row r="7982" spans="2:8" x14ac:dyDescent="0.4">
      <c r="B7982" s="3" t="s">
        <v>7</v>
      </c>
      <c r="C7982" s="3" t="s">
        <v>1170</v>
      </c>
      <c r="D7982" s="4">
        <f>DATE(2005,4,11)</f>
        <v>38453</v>
      </c>
      <c r="E7982" s="5">
        <f t="shared" si="129"/>
        <v>2005</v>
      </c>
      <c r="F7982" s="3" t="s">
        <v>1171</v>
      </c>
      <c r="G7982" s="6">
        <v>4587.88</v>
      </c>
      <c r="H7982" s="5">
        <v>4465</v>
      </c>
    </row>
    <row r="7983" spans="2:8" x14ac:dyDescent="0.4">
      <c r="B7983" s="3" t="s">
        <v>7</v>
      </c>
      <c r="C7983" s="3" t="s">
        <v>1170</v>
      </c>
      <c r="D7983" s="4">
        <f>DATE(2005,4,20)</f>
        <v>38462</v>
      </c>
      <c r="E7983" s="5">
        <f t="shared" si="129"/>
        <v>2005</v>
      </c>
      <c r="F7983" s="3" t="s">
        <v>1171</v>
      </c>
      <c r="G7983" s="6">
        <v>4560</v>
      </c>
      <c r="H7983" s="5">
        <v>4591</v>
      </c>
    </row>
    <row r="7984" spans="2:8" x14ac:dyDescent="0.4">
      <c r="B7984" s="3" t="s">
        <v>7</v>
      </c>
      <c r="C7984" s="3" t="s">
        <v>1170</v>
      </c>
      <c r="D7984" s="4">
        <f>DATE(2005,10,24)</f>
        <v>38649</v>
      </c>
      <c r="E7984" s="5">
        <f t="shared" si="129"/>
        <v>2005</v>
      </c>
      <c r="F7984" s="3" t="s">
        <v>1171</v>
      </c>
      <c r="G7984" s="6">
        <v>1914</v>
      </c>
      <c r="H7984" s="5">
        <v>5472</v>
      </c>
    </row>
    <row r="7985" spans="2:8" x14ac:dyDescent="0.4">
      <c r="B7985" s="3" t="s">
        <v>7</v>
      </c>
      <c r="C7985" s="3" t="s">
        <v>1170</v>
      </c>
      <c r="D7985" s="4">
        <f>DATE(2006,4,4)</f>
        <v>38811</v>
      </c>
      <c r="E7985" s="5">
        <f t="shared" si="129"/>
        <v>2006</v>
      </c>
      <c r="F7985" s="3" t="s">
        <v>1171</v>
      </c>
      <c r="G7985" s="6">
        <v>4590.32</v>
      </c>
      <c r="H7985" s="5">
        <v>6447</v>
      </c>
    </row>
    <row r="7986" spans="2:8" x14ac:dyDescent="0.4">
      <c r="B7986" s="3" t="s">
        <v>7</v>
      </c>
      <c r="C7986" s="3" t="s">
        <v>1170</v>
      </c>
      <c r="D7986" s="4">
        <f>DATE(2006,4,17)</f>
        <v>38824</v>
      </c>
      <c r="E7986" s="5">
        <f t="shared" si="129"/>
        <v>2006</v>
      </c>
      <c r="F7986" s="3" t="s">
        <v>1171</v>
      </c>
      <c r="G7986" s="6">
        <v>4589.88</v>
      </c>
      <c r="H7986" s="5">
        <v>6535</v>
      </c>
    </row>
    <row r="7987" spans="2:8" x14ac:dyDescent="0.4">
      <c r="B7987" s="3" t="s">
        <v>7</v>
      </c>
      <c r="C7987" s="3" t="s">
        <v>1170</v>
      </c>
      <c r="D7987" s="4">
        <f>DATE(2006,5,26)</f>
        <v>38863</v>
      </c>
      <c r="E7987" s="5">
        <f t="shared" si="129"/>
        <v>2006</v>
      </c>
      <c r="F7987" s="3" t="s">
        <v>1171</v>
      </c>
      <c r="G7987" s="6">
        <v>4589.9399999999996</v>
      </c>
      <c r="H7987" s="5">
        <v>6780</v>
      </c>
    </row>
    <row r="7988" spans="2:8" x14ac:dyDescent="0.4">
      <c r="B7988" s="3" t="s">
        <v>7</v>
      </c>
      <c r="C7988" s="3" t="s">
        <v>1170</v>
      </c>
      <c r="D7988" s="4">
        <f>DATE(2006,5,26)</f>
        <v>38863</v>
      </c>
      <c r="E7988" s="5">
        <f t="shared" si="129"/>
        <v>2006</v>
      </c>
      <c r="F7988" s="3" t="s">
        <v>1171</v>
      </c>
      <c r="G7988" s="6">
        <v>2019.36</v>
      </c>
      <c r="H7988" s="5">
        <v>6696</v>
      </c>
    </row>
    <row r="7989" spans="2:8" x14ac:dyDescent="0.4">
      <c r="B7989" s="3" t="s">
        <v>7</v>
      </c>
      <c r="C7989" s="3" t="s">
        <v>1170</v>
      </c>
      <c r="D7989" s="4">
        <f>DATE(2006,6,21)</f>
        <v>38889</v>
      </c>
      <c r="E7989" s="5">
        <f t="shared" si="129"/>
        <v>2006</v>
      </c>
      <c r="F7989" s="3" t="s">
        <v>1171</v>
      </c>
      <c r="G7989" s="6">
        <v>3800</v>
      </c>
      <c r="H7989" s="5">
        <v>6884</v>
      </c>
    </row>
    <row r="7990" spans="2:8" x14ac:dyDescent="0.4">
      <c r="B7990" s="3" t="s">
        <v>7</v>
      </c>
      <c r="C7990" s="3" t="s">
        <v>1170</v>
      </c>
      <c r="D7990" s="4">
        <f>DATE(2007,4,16)</f>
        <v>39188</v>
      </c>
      <c r="E7990" s="5">
        <f t="shared" si="129"/>
        <v>2007</v>
      </c>
      <c r="F7990" s="3" t="s">
        <v>1171</v>
      </c>
      <c r="G7990" s="6">
        <v>4560</v>
      </c>
      <c r="H7990" s="5">
        <v>8307</v>
      </c>
    </row>
    <row r="7991" spans="2:8" x14ac:dyDescent="0.4">
      <c r="B7991" s="3" t="s">
        <v>7</v>
      </c>
      <c r="C7991" s="3" t="s">
        <v>1170</v>
      </c>
      <c r="D7991" s="4">
        <f>DATE(2007,6,12)</f>
        <v>39245</v>
      </c>
      <c r="E7991" s="5">
        <f t="shared" si="129"/>
        <v>2007</v>
      </c>
      <c r="F7991" s="3" t="s">
        <v>1171</v>
      </c>
      <c r="G7991" s="6">
        <v>4592.42</v>
      </c>
      <c r="H7991" s="5">
        <v>8740</v>
      </c>
    </row>
    <row r="7992" spans="2:8" x14ac:dyDescent="0.4">
      <c r="B7992" s="3" t="s">
        <v>7</v>
      </c>
      <c r="C7992" s="3" t="s">
        <v>1170</v>
      </c>
      <c r="D7992" s="4">
        <f>DATE(2007,6,12)</f>
        <v>39245</v>
      </c>
      <c r="E7992" s="5">
        <f t="shared" si="129"/>
        <v>2007</v>
      </c>
      <c r="F7992" s="3" t="s">
        <v>1171</v>
      </c>
      <c r="G7992" s="6">
        <v>3065</v>
      </c>
      <c r="H7992" s="5">
        <v>8697</v>
      </c>
    </row>
    <row r="7993" spans="2:8" x14ac:dyDescent="0.4">
      <c r="B7993" s="3" t="s">
        <v>7</v>
      </c>
      <c r="C7993" s="3" t="s">
        <v>1170</v>
      </c>
      <c r="D7993" s="4">
        <f>DATE(2007,10,17)</f>
        <v>39372</v>
      </c>
      <c r="E7993" s="5">
        <f t="shared" si="129"/>
        <v>2007</v>
      </c>
      <c r="F7993" s="3" t="s">
        <v>1171</v>
      </c>
      <c r="G7993" s="6">
        <v>769</v>
      </c>
      <c r="H7993" s="5">
        <v>9349</v>
      </c>
    </row>
    <row r="7994" spans="2:8" x14ac:dyDescent="0.4">
      <c r="B7994" s="3" t="s">
        <v>7</v>
      </c>
      <c r="C7994" s="3" t="s">
        <v>1170</v>
      </c>
      <c r="D7994" s="4">
        <f>DATE(2007,11,6)</f>
        <v>39392</v>
      </c>
      <c r="E7994" s="5">
        <f t="shared" si="129"/>
        <v>2007</v>
      </c>
      <c r="F7994" s="3" t="s">
        <v>1171</v>
      </c>
      <c r="G7994" s="6">
        <v>4592.58</v>
      </c>
      <c r="H7994" s="5">
        <v>9441</v>
      </c>
    </row>
    <row r="7995" spans="2:8" x14ac:dyDescent="0.4">
      <c r="B7995" s="3" t="s">
        <v>7</v>
      </c>
      <c r="C7995" s="3" t="s">
        <v>1170</v>
      </c>
      <c r="D7995" s="4">
        <f>DATE(2007,11,8)</f>
        <v>39394</v>
      </c>
      <c r="E7995" s="5">
        <f t="shared" si="129"/>
        <v>2007</v>
      </c>
      <c r="F7995" s="3" t="s">
        <v>1171</v>
      </c>
      <c r="G7995" s="6">
        <v>4560</v>
      </c>
      <c r="H7995" s="5">
        <v>9458</v>
      </c>
    </row>
    <row r="7996" spans="2:8" x14ac:dyDescent="0.4">
      <c r="B7996" s="3" t="s">
        <v>7</v>
      </c>
      <c r="C7996" s="3" t="s">
        <v>1170</v>
      </c>
      <c r="D7996" s="4">
        <f>DATE(2008,10,17)</f>
        <v>39738</v>
      </c>
      <c r="E7996" s="5">
        <f t="shared" si="129"/>
        <v>2008</v>
      </c>
      <c r="F7996" s="3" t="s">
        <v>1171</v>
      </c>
      <c r="G7996" s="6">
        <v>1254.55</v>
      </c>
      <c r="H7996" s="5">
        <v>11365</v>
      </c>
    </row>
    <row r="7997" spans="2:8" x14ac:dyDescent="0.4">
      <c r="B7997" s="3" t="s">
        <v>7</v>
      </c>
      <c r="C7997" s="3" t="s">
        <v>1170</v>
      </c>
      <c r="D7997" s="4">
        <f>DATE(2008,12,23)</f>
        <v>39805</v>
      </c>
      <c r="E7997" s="5">
        <f t="shared" si="129"/>
        <v>2008</v>
      </c>
      <c r="F7997" s="3" t="s">
        <v>1171</v>
      </c>
      <c r="G7997" s="6">
        <v>4594.22</v>
      </c>
      <c r="H7997" s="5">
        <v>11662</v>
      </c>
    </row>
    <row r="7998" spans="2:8" x14ac:dyDescent="0.4">
      <c r="B7998" s="3" t="s">
        <v>7</v>
      </c>
      <c r="C7998" s="3" t="s">
        <v>1170</v>
      </c>
      <c r="D7998" s="4">
        <f>DATE(2009,10,21)</f>
        <v>40107</v>
      </c>
      <c r="E7998" s="5">
        <f t="shared" si="129"/>
        <v>2009</v>
      </c>
      <c r="F7998" s="3" t="s">
        <v>1171</v>
      </c>
      <c r="G7998" s="6">
        <v>4560</v>
      </c>
      <c r="H7998" s="5">
        <v>13121</v>
      </c>
    </row>
    <row r="7999" spans="2:8" x14ac:dyDescent="0.4">
      <c r="B7999" s="3" t="s">
        <v>7</v>
      </c>
      <c r="C7999" s="3" t="s">
        <v>1170</v>
      </c>
      <c r="D7999" s="4">
        <f>DATE(2009,11,13)</f>
        <v>40130</v>
      </c>
      <c r="E7999" s="5">
        <f t="shared" si="129"/>
        <v>2009</v>
      </c>
      <c r="F7999" s="3" t="s">
        <v>1171</v>
      </c>
      <c r="G7999" s="6">
        <v>5005.9399999999996</v>
      </c>
      <c r="H7999" s="5">
        <v>13253</v>
      </c>
    </row>
    <row r="8000" spans="2:8" x14ac:dyDescent="0.4">
      <c r="B8000" s="3" t="s">
        <v>7</v>
      </c>
      <c r="C8000" s="3" t="s">
        <v>1170</v>
      </c>
      <c r="D8000" s="4">
        <f>DATE(2010,7,22)</f>
        <v>40381</v>
      </c>
      <c r="E8000" s="5">
        <f t="shared" si="129"/>
        <v>2010</v>
      </c>
      <c r="F8000" s="3" t="s">
        <v>1171</v>
      </c>
      <c r="G8000" s="6">
        <v>5769.54</v>
      </c>
      <c r="H8000" s="5">
        <v>14214</v>
      </c>
    </row>
    <row r="8001" spans="2:8" x14ac:dyDescent="0.4">
      <c r="B8001" s="3" t="s">
        <v>7</v>
      </c>
      <c r="C8001" s="3" t="s">
        <v>1170</v>
      </c>
      <c r="D8001" s="4">
        <f>DATE(2011,4,4)</f>
        <v>40637</v>
      </c>
      <c r="E8001" s="5">
        <f t="shared" si="129"/>
        <v>2011</v>
      </c>
      <c r="F8001" s="3" t="s">
        <v>1171</v>
      </c>
      <c r="G8001" s="6">
        <v>4560</v>
      </c>
      <c r="H8001" s="5">
        <v>15262</v>
      </c>
    </row>
    <row r="8002" spans="2:8" x14ac:dyDescent="0.4">
      <c r="B8002" s="3" t="s">
        <v>7</v>
      </c>
      <c r="C8002" s="3" t="s">
        <v>1170</v>
      </c>
      <c r="D8002" s="4">
        <f>DATE(2011,11,1)</f>
        <v>40848</v>
      </c>
      <c r="E8002" s="5">
        <f t="shared" si="129"/>
        <v>2011</v>
      </c>
      <c r="F8002" s="3" t="s">
        <v>1171</v>
      </c>
      <c r="G8002" s="6">
        <v>4601.8</v>
      </c>
      <c r="H8002" s="5">
        <v>16130</v>
      </c>
    </row>
    <row r="8003" spans="2:8" x14ac:dyDescent="0.4">
      <c r="B8003" s="3" t="s">
        <v>7</v>
      </c>
      <c r="C8003" s="3" t="s">
        <v>1170</v>
      </c>
      <c r="D8003" s="4">
        <f>DATE(2012,4,19)</f>
        <v>41018</v>
      </c>
      <c r="E8003" s="5">
        <f t="shared" ref="E8003:E8066" si="130">YEAR(D8003)</f>
        <v>2012</v>
      </c>
      <c r="F8003" s="3" t="s">
        <v>1171</v>
      </c>
      <c r="G8003" s="6">
        <v>5320</v>
      </c>
      <c r="H8003" s="5">
        <v>16990</v>
      </c>
    </row>
    <row r="8004" spans="2:8" x14ac:dyDescent="0.4">
      <c r="B8004" s="3" t="s">
        <v>7</v>
      </c>
      <c r="C8004" s="3" t="s">
        <v>1170</v>
      </c>
      <c r="D8004" s="4">
        <f>DATE(2013,5,3)</f>
        <v>41397</v>
      </c>
      <c r="E8004" s="5">
        <f t="shared" si="130"/>
        <v>2013</v>
      </c>
      <c r="F8004" s="3" t="s">
        <v>1171</v>
      </c>
      <c r="G8004" s="6">
        <v>7600</v>
      </c>
      <c r="H8004" s="5">
        <v>18485</v>
      </c>
    </row>
    <row r="8005" spans="2:8" x14ac:dyDescent="0.4">
      <c r="B8005" s="3" t="s">
        <v>7</v>
      </c>
      <c r="C8005" s="3" t="s">
        <v>1170</v>
      </c>
      <c r="D8005" s="4">
        <f>DATE(2013,10,23)</f>
        <v>41570</v>
      </c>
      <c r="E8005" s="5">
        <f t="shared" si="130"/>
        <v>2013</v>
      </c>
      <c r="F8005" s="3" t="s">
        <v>1171</v>
      </c>
      <c r="G8005" s="6">
        <v>7600</v>
      </c>
      <c r="H8005" s="5">
        <v>19125</v>
      </c>
    </row>
    <row r="8006" spans="2:8" x14ac:dyDescent="0.4">
      <c r="B8006" s="3" t="s">
        <v>7</v>
      </c>
      <c r="C8006" s="3" t="s">
        <v>1170</v>
      </c>
      <c r="D8006" s="4">
        <f>DATE(2013,10,28)</f>
        <v>41575</v>
      </c>
      <c r="E8006" s="5">
        <f t="shared" si="130"/>
        <v>2013</v>
      </c>
      <c r="F8006" s="3" t="s">
        <v>1171</v>
      </c>
      <c r="G8006" s="6">
        <v>3876</v>
      </c>
      <c r="H8006" s="5">
        <v>19127</v>
      </c>
    </row>
    <row r="8007" spans="2:8" x14ac:dyDescent="0.4">
      <c r="B8007" s="3" t="s">
        <v>7</v>
      </c>
      <c r="C8007" s="3" t="s">
        <v>1170</v>
      </c>
      <c r="D8007" s="4">
        <f>DATE(2013,12,5)</f>
        <v>41613</v>
      </c>
      <c r="E8007" s="5">
        <f t="shared" si="130"/>
        <v>2013</v>
      </c>
      <c r="F8007" s="3" t="s">
        <v>1171</v>
      </c>
      <c r="G8007" s="6">
        <v>4560</v>
      </c>
      <c r="H8007" s="5">
        <v>19268</v>
      </c>
    </row>
    <row r="8008" spans="2:8" x14ac:dyDescent="0.4">
      <c r="B8008" s="3" t="s">
        <v>7</v>
      </c>
      <c r="C8008" s="3" t="s">
        <v>1170</v>
      </c>
      <c r="D8008" s="4">
        <f>DATE(2014,3,21)</f>
        <v>41719</v>
      </c>
      <c r="E8008" s="5">
        <f t="shared" si="130"/>
        <v>2014</v>
      </c>
      <c r="F8008" s="3" t="s">
        <v>1171</v>
      </c>
      <c r="G8008" s="6">
        <v>3800</v>
      </c>
      <c r="H8008" s="5">
        <v>19719</v>
      </c>
    </row>
    <row r="8009" spans="2:8" x14ac:dyDescent="0.4">
      <c r="B8009" s="3" t="s">
        <v>7</v>
      </c>
      <c r="C8009" s="3" t="s">
        <v>1170</v>
      </c>
      <c r="D8009" s="4">
        <f>DATE(2014,10,28)</f>
        <v>41940</v>
      </c>
      <c r="E8009" s="5">
        <f t="shared" si="130"/>
        <v>2014</v>
      </c>
      <c r="F8009" s="3" t="s">
        <v>1171</v>
      </c>
      <c r="G8009" s="6">
        <v>7600</v>
      </c>
      <c r="H8009" s="5">
        <v>20567</v>
      </c>
    </row>
    <row r="8010" spans="2:8" x14ac:dyDescent="0.4">
      <c r="B8010" s="3" t="s">
        <v>7</v>
      </c>
      <c r="C8010" s="3" t="s">
        <v>1170</v>
      </c>
      <c r="D8010" s="4">
        <f>DATE(2014,11,14)</f>
        <v>41957</v>
      </c>
      <c r="E8010" s="5">
        <f t="shared" si="130"/>
        <v>2014</v>
      </c>
      <c r="F8010" s="3" t="s">
        <v>1171</v>
      </c>
      <c r="G8010" s="6">
        <v>4180</v>
      </c>
      <c r="H8010" s="5">
        <v>20616</v>
      </c>
    </row>
    <row r="8011" spans="2:8" x14ac:dyDescent="0.4">
      <c r="B8011" t="s">
        <v>7</v>
      </c>
      <c r="C8011" t="s">
        <v>1172</v>
      </c>
      <c r="D8011" s="7">
        <f>DATE(2003,4,28)</f>
        <v>37739</v>
      </c>
      <c r="E8011" s="8">
        <f t="shared" si="130"/>
        <v>2003</v>
      </c>
      <c r="F8011" t="s">
        <v>1173</v>
      </c>
      <c r="G8011" s="9">
        <v>1229.31</v>
      </c>
      <c r="H8011" s="8">
        <v>517</v>
      </c>
    </row>
    <row r="8012" spans="2:8" x14ac:dyDescent="0.4">
      <c r="B8012" t="s">
        <v>7</v>
      </c>
      <c r="C8012" t="s">
        <v>1172</v>
      </c>
      <c r="D8012" s="7">
        <f>DATE(2003,10,4)</f>
        <v>37898</v>
      </c>
      <c r="E8012" s="8">
        <f t="shared" si="130"/>
        <v>2003</v>
      </c>
      <c r="F8012" t="s">
        <v>1173</v>
      </c>
      <c r="G8012" s="9">
        <v>12406.68</v>
      </c>
      <c r="H8012" s="8">
        <v>880</v>
      </c>
    </row>
    <row r="8013" spans="2:8" x14ac:dyDescent="0.4">
      <c r="B8013" s="3" t="s">
        <v>7</v>
      </c>
      <c r="C8013" s="3" t="s">
        <v>1172</v>
      </c>
      <c r="D8013" s="4">
        <f>DATE(2003,4,28)</f>
        <v>37739</v>
      </c>
      <c r="E8013" s="5">
        <f t="shared" si="130"/>
        <v>2003</v>
      </c>
      <c r="F8013" s="3" t="s">
        <v>1173</v>
      </c>
      <c r="G8013" s="6">
        <v>1144</v>
      </c>
      <c r="H8013" s="5">
        <v>802</v>
      </c>
    </row>
    <row r="8014" spans="2:8" x14ac:dyDescent="0.4">
      <c r="B8014" s="3" t="s">
        <v>7</v>
      </c>
      <c r="C8014" s="3" t="s">
        <v>1172</v>
      </c>
      <c r="D8014" s="4">
        <f>DATE(2003,9,4)</f>
        <v>37868</v>
      </c>
      <c r="E8014" s="5">
        <f t="shared" si="130"/>
        <v>2003</v>
      </c>
      <c r="F8014" s="3" t="s">
        <v>1173</v>
      </c>
      <c r="G8014" s="6">
        <v>201.75</v>
      </c>
      <c r="H8014" s="5">
        <v>1469</v>
      </c>
    </row>
    <row r="8015" spans="2:8" x14ac:dyDescent="0.4">
      <c r="B8015" t="s">
        <v>7</v>
      </c>
      <c r="C8015" t="s">
        <v>1172</v>
      </c>
      <c r="D8015" s="7">
        <f>DATE(2003,9,15)</f>
        <v>37879</v>
      </c>
      <c r="E8015" s="8">
        <f t="shared" si="130"/>
        <v>2003</v>
      </c>
      <c r="F8015" t="s">
        <v>1174</v>
      </c>
      <c r="G8015" s="9">
        <v>17933.36</v>
      </c>
      <c r="H8015" s="8">
        <v>870</v>
      </c>
    </row>
    <row r="8016" spans="2:8" x14ac:dyDescent="0.4">
      <c r="B8016" t="s">
        <v>7</v>
      </c>
      <c r="C8016" t="s">
        <v>1172</v>
      </c>
      <c r="D8016" s="7">
        <f>DATE(2005,4,7)</f>
        <v>38449</v>
      </c>
      <c r="E8016" s="8">
        <f t="shared" si="130"/>
        <v>2005</v>
      </c>
      <c r="F8016" t="s">
        <v>1174</v>
      </c>
      <c r="G8016" s="9">
        <v>18780</v>
      </c>
      <c r="H8016" s="8">
        <v>2994</v>
      </c>
    </row>
    <row r="8017" spans="2:8" x14ac:dyDescent="0.4">
      <c r="B8017" t="s">
        <v>7</v>
      </c>
      <c r="C8017" t="s">
        <v>1172</v>
      </c>
      <c r="D8017" s="7">
        <f>DATE(2005,5,15)</f>
        <v>38487</v>
      </c>
      <c r="E8017" s="8">
        <f t="shared" si="130"/>
        <v>2005</v>
      </c>
      <c r="F8017" t="s">
        <v>1174</v>
      </c>
      <c r="G8017" s="9">
        <v>16876.59</v>
      </c>
      <c r="H8017" s="8">
        <v>2996</v>
      </c>
    </row>
    <row r="8018" spans="2:8" x14ac:dyDescent="0.4">
      <c r="B8018" t="s">
        <v>7</v>
      </c>
      <c r="C8018" t="s">
        <v>1172</v>
      </c>
      <c r="D8018" s="7">
        <f>DATE(2006,5,8)</f>
        <v>38845</v>
      </c>
      <c r="E8018" s="8">
        <f t="shared" si="130"/>
        <v>2006</v>
      </c>
      <c r="F8018" t="s">
        <v>1174</v>
      </c>
      <c r="G8018" s="9">
        <v>19819</v>
      </c>
      <c r="H8018" s="8">
        <v>4556</v>
      </c>
    </row>
    <row r="8019" spans="2:8" x14ac:dyDescent="0.4">
      <c r="B8019" t="s">
        <v>7</v>
      </c>
      <c r="C8019" t="s">
        <v>1172</v>
      </c>
      <c r="D8019" s="7">
        <f>DATE(2006,5,17)</f>
        <v>38854</v>
      </c>
      <c r="E8019" s="8">
        <f t="shared" si="130"/>
        <v>2006</v>
      </c>
      <c r="F8019" t="s">
        <v>1174</v>
      </c>
      <c r="G8019" s="9">
        <v>14248</v>
      </c>
      <c r="H8019" s="8">
        <v>4557</v>
      </c>
    </row>
    <row r="8020" spans="2:8" x14ac:dyDescent="0.4">
      <c r="B8020" t="s">
        <v>7</v>
      </c>
      <c r="C8020" t="s">
        <v>1172</v>
      </c>
      <c r="D8020" s="7">
        <f>DATE(2007,5,16)</f>
        <v>39218</v>
      </c>
      <c r="E8020" s="8">
        <f t="shared" si="130"/>
        <v>2007</v>
      </c>
      <c r="F8020" t="s">
        <v>1174</v>
      </c>
      <c r="G8020" s="9">
        <v>33394</v>
      </c>
      <c r="H8020" s="8">
        <v>5863</v>
      </c>
    </row>
    <row r="8021" spans="2:8" x14ac:dyDescent="0.4">
      <c r="B8021" t="s">
        <v>7</v>
      </c>
      <c r="C8021" t="s">
        <v>1172</v>
      </c>
      <c r="D8021" s="7">
        <f>DATE(2008,5,31)</f>
        <v>39599</v>
      </c>
      <c r="E8021" s="8">
        <f t="shared" si="130"/>
        <v>2008</v>
      </c>
      <c r="F8021" t="s">
        <v>1174</v>
      </c>
      <c r="G8021" s="9">
        <v>35442</v>
      </c>
      <c r="H8021" s="8">
        <v>7399</v>
      </c>
    </row>
    <row r="8022" spans="2:8" x14ac:dyDescent="0.4">
      <c r="B8022" s="3" t="s">
        <v>7</v>
      </c>
      <c r="C8022" s="3" t="s">
        <v>1172</v>
      </c>
      <c r="D8022" s="4">
        <f>DATE(2003,10,16)</f>
        <v>37910</v>
      </c>
      <c r="E8022" s="5">
        <f t="shared" si="130"/>
        <v>2003</v>
      </c>
      <c r="F8022" s="3" t="s">
        <v>1174</v>
      </c>
      <c r="G8022" s="6">
        <v>231.75</v>
      </c>
      <c r="H8022" s="5">
        <v>1665</v>
      </c>
    </row>
    <row r="8023" spans="2:8" x14ac:dyDescent="0.4">
      <c r="B8023" s="3" t="s">
        <v>7</v>
      </c>
      <c r="C8023" s="3" t="s">
        <v>1175</v>
      </c>
      <c r="D8023" s="4">
        <f>DATE(2003,10,28)</f>
        <v>37922</v>
      </c>
      <c r="E8023" s="5">
        <f t="shared" si="130"/>
        <v>2003</v>
      </c>
      <c r="F8023" s="3" t="s">
        <v>1176</v>
      </c>
      <c r="G8023" s="6">
        <v>1000</v>
      </c>
      <c r="H8023" s="5">
        <v>1714</v>
      </c>
    </row>
    <row r="8024" spans="2:8" x14ac:dyDescent="0.4">
      <c r="B8024" t="s">
        <v>7</v>
      </c>
      <c r="C8024" t="s">
        <v>1177</v>
      </c>
      <c r="D8024" s="7">
        <f>DATE(2005,3,29)</f>
        <v>38440</v>
      </c>
      <c r="E8024" s="8">
        <f t="shared" si="130"/>
        <v>2005</v>
      </c>
      <c r="F8024" t="s">
        <v>1178</v>
      </c>
      <c r="G8024" s="9">
        <v>7454.68</v>
      </c>
      <c r="H8024" s="8">
        <v>2709</v>
      </c>
    </row>
    <row r="8025" spans="2:8" x14ac:dyDescent="0.4">
      <c r="B8025" t="s">
        <v>16</v>
      </c>
      <c r="C8025" t="s">
        <v>1177</v>
      </c>
      <c r="D8025" s="7">
        <f>DATE(2005,3,29)</f>
        <v>38440</v>
      </c>
      <c r="E8025" s="8">
        <f t="shared" si="130"/>
        <v>2005</v>
      </c>
      <c r="F8025" t="s">
        <v>1178</v>
      </c>
      <c r="G8025" s="9">
        <v>7454.68</v>
      </c>
      <c r="H8025" s="8">
        <v>3601</v>
      </c>
    </row>
    <row r="8026" spans="2:8" x14ac:dyDescent="0.4">
      <c r="B8026" t="s">
        <v>7</v>
      </c>
      <c r="C8026" t="s">
        <v>1179</v>
      </c>
      <c r="D8026" s="7">
        <f>DATE(2004,6,16)</f>
        <v>38154</v>
      </c>
      <c r="E8026" s="8">
        <f t="shared" si="130"/>
        <v>2004</v>
      </c>
      <c r="F8026" t="s">
        <v>1180</v>
      </c>
      <c r="G8026" s="9">
        <v>4772.38</v>
      </c>
      <c r="H8026" s="8">
        <v>1899</v>
      </c>
    </row>
    <row r="8027" spans="2:8" x14ac:dyDescent="0.4">
      <c r="B8027" t="s">
        <v>7</v>
      </c>
      <c r="C8027" t="s">
        <v>1179</v>
      </c>
      <c r="D8027" s="7">
        <f>DATE(2004,12,14)</f>
        <v>38335</v>
      </c>
      <c r="E8027" s="8">
        <f t="shared" si="130"/>
        <v>2004</v>
      </c>
      <c r="F8027" t="s">
        <v>1180</v>
      </c>
      <c r="G8027" s="9">
        <v>2579.21</v>
      </c>
      <c r="H8027" s="8">
        <v>2441</v>
      </c>
    </row>
    <row r="8028" spans="2:8" x14ac:dyDescent="0.4">
      <c r="B8028" t="s">
        <v>7</v>
      </c>
      <c r="C8028" t="s">
        <v>1179</v>
      </c>
      <c r="D8028" s="7">
        <f>DATE(2004,12,22)</f>
        <v>38343</v>
      </c>
      <c r="E8028" s="8">
        <f t="shared" si="130"/>
        <v>2004</v>
      </c>
      <c r="F8028" t="s">
        <v>1180</v>
      </c>
      <c r="G8028" s="9">
        <v>3554.55</v>
      </c>
      <c r="H8028" s="8">
        <v>2481</v>
      </c>
    </row>
    <row r="8029" spans="2:8" x14ac:dyDescent="0.4">
      <c r="B8029" t="s">
        <v>7</v>
      </c>
      <c r="C8029" t="s">
        <v>1179</v>
      </c>
      <c r="D8029" s="7">
        <f>DATE(2005,1,22)</f>
        <v>38374</v>
      </c>
      <c r="E8029" s="8">
        <f t="shared" si="130"/>
        <v>2005</v>
      </c>
      <c r="F8029" t="s">
        <v>1180</v>
      </c>
      <c r="G8029" s="9">
        <v>3264.95</v>
      </c>
      <c r="H8029" s="8">
        <v>2612</v>
      </c>
    </row>
    <row r="8030" spans="2:8" x14ac:dyDescent="0.4">
      <c r="B8030" t="s">
        <v>7</v>
      </c>
      <c r="C8030" t="s">
        <v>1179</v>
      </c>
      <c r="D8030" s="7">
        <f>DATE(2005,5,3)</f>
        <v>38475</v>
      </c>
      <c r="E8030" s="8">
        <f t="shared" si="130"/>
        <v>2005</v>
      </c>
      <c r="F8030" t="s">
        <v>1180</v>
      </c>
      <c r="G8030" s="9">
        <v>2803.55</v>
      </c>
      <c r="H8030" s="8">
        <v>3114</v>
      </c>
    </row>
    <row r="8031" spans="2:8" x14ac:dyDescent="0.4">
      <c r="B8031" t="s">
        <v>7</v>
      </c>
      <c r="C8031" t="s">
        <v>1179</v>
      </c>
      <c r="D8031" s="7">
        <f>DATE(2005,6,24)</f>
        <v>38527</v>
      </c>
      <c r="E8031" s="8">
        <f t="shared" si="130"/>
        <v>2005</v>
      </c>
      <c r="F8031" t="s">
        <v>1180</v>
      </c>
      <c r="G8031" s="9">
        <v>3668.83</v>
      </c>
      <c r="H8031" s="8">
        <v>3324</v>
      </c>
    </row>
    <row r="8032" spans="2:8" x14ac:dyDescent="0.4">
      <c r="B8032" t="s">
        <v>7</v>
      </c>
      <c r="C8032" t="s">
        <v>1179</v>
      </c>
      <c r="D8032" s="7">
        <f>DATE(2005,6,30)</f>
        <v>38533</v>
      </c>
      <c r="E8032" s="8">
        <f t="shared" si="130"/>
        <v>2005</v>
      </c>
      <c r="F8032" t="s">
        <v>1180</v>
      </c>
      <c r="G8032" s="9">
        <v>2136.86</v>
      </c>
      <c r="H8032" s="8">
        <v>3343</v>
      </c>
    </row>
    <row r="8033" spans="2:8" x14ac:dyDescent="0.4">
      <c r="B8033" t="s">
        <v>7</v>
      </c>
      <c r="C8033" t="s">
        <v>1179</v>
      </c>
      <c r="D8033" s="7">
        <f>DATE(2005,8,4)</f>
        <v>38568</v>
      </c>
      <c r="E8033" s="8">
        <f t="shared" si="130"/>
        <v>2005</v>
      </c>
      <c r="F8033" t="s">
        <v>1180</v>
      </c>
      <c r="G8033" s="9">
        <v>4543.6099999999997</v>
      </c>
      <c r="H8033" s="8">
        <v>3411</v>
      </c>
    </row>
    <row r="8034" spans="2:8" x14ac:dyDescent="0.4">
      <c r="B8034" t="s">
        <v>7</v>
      </c>
      <c r="C8034" t="s">
        <v>1179</v>
      </c>
      <c r="D8034" s="7">
        <f>DATE(2005,12,7)</f>
        <v>38693</v>
      </c>
      <c r="E8034" s="8">
        <f t="shared" si="130"/>
        <v>2005</v>
      </c>
      <c r="F8034" t="s">
        <v>1180</v>
      </c>
      <c r="G8034" s="9">
        <v>4026.97</v>
      </c>
      <c r="H8034" s="8">
        <v>3770</v>
      </c>
    </row>
    <row r="8035" spans="2:8" x14ac:dyDescent="0.4">
      <c r="B8035" t="s">
        <v>7</v>
      </c>
      <c r="C8035" t="s">
        <v>1179</v>
      </c>
      <c r="D8035" s="7">
        <f>DATE(2006,3,24)</f>
        <v>38800</v>
      </c>
      <c r="E8035" s="8">
        <f t="shared" si="130"/>
        <v>2006</v>
      </c>
      <c r="F8035" t="s">
        <v>1180</v>
      </c>
      <c r="G8035" s="9">
        <v>3031.78</v>
      </c>
      <c r="H8035" s="8">
        <v>4375</v>
      </c>
    </row>
    <row r="8036" spans="2:8" x14ac:dyDescent="0.4">
      <c r="B8036" t="s">
        <v>7</v>
      </c>
      <c r="C8036" t="s">
        <v>1179</v>
      </c>
      <c r="D8036" s="7">
        <f>DATE(2006,7,19)</f>
        <v>38917</v>
      </c>
      <c r="E8036" s="8">
        <f t="shared" si="130"/>
        <v>2006</v>
      </c>
      <c r="F8036" t="s">
        <v>1180</v>
      </c>
      <c r="G8036" s="9">
        <v>5099.46</v>
      </c>
      <c r="H8036" s="8">
        <v>4722</v>
      </c>
    </row>
    <row r="8037" spans="2:8" x14ac:dyDescent="0.4">
      <c r="B8037" t="s">
        <v>7</v>
      </c>
      <c r="C8037" t="s">
        <v>1179</v>
      </c>
      <c r="D8037" s="7">
        <f>DATE(2006,12,12)</f>
        <v>39063</v>
      </c>
      <c r="E8037" s="8">
        <f t="shared" si="130"/>
        <v>2006</v>
      </c>
      <c r="F8037" t="s">
        <v>1180</v>
      </c>
      <c r="G8037" s="9">
        <v>3325.58</v>
      </c>
      <c r="H8037" s="8">
        <v>5268</v>
      </c>
    </row>
    <row r="8038" spans="2:8" x14ac:dyDescent="0.4">
      <c r="B8038" t="s">
        <v>7</v>
      </c>
      <c r="C8038" t="s">
        <v>1179</v>
      </c>
      <c r="D8038" s="7">
        <f>DATE(2007,1,27)</f>
        <v>39109</v>
      </c>
      <c r="E8038" s="8">
        <f t="shared" si="130"/>
        <v>2007</v>
      </c>
      <c r="F8038" t="s">
        <v>1180</v>
      </c>
      <c r="G8038" s="9">
        <v>4204.34</v>
      </c>
      <c r="H8038" s="8">
        <v>5470</v>
      </c>
    </row>
    <row r="8039" spans="2:8" x14ac:dyDescent="0.4">
      <c r="B8039" t="s">
        <v>7</v>
      </c>
      <c r="C8039" t="s">
        <v>1179</v>
      </c>
      <c r="D8039" s="7">
        <f>DATE(2007,3,29)</f>
        <v>39170</v>
      </c>
      <c r="E8039" s="8">
        <f t="shared" si="130"/>
        <v>2007</v>
      </c>
      <c r="F8039" t="s">
        <v>1180</v>
      </c>
      <c r="G8039" s="9">
        <v>6605.2</v>
      </c>
      <c r="H8039" s="8">
        <v>5758</v>
      </c>
    </row>
    <row r="8040" spans="2:8" x14ac:dyDescent="0.4">
      <c r="B8040" t="s">
        <v>7</v>
      </c>
      <c r="C8040" t="s">
        <v>1179</v>
      </c>
      <c r="D8040" s="7">
        <f>DATE(2007,4,24)</f>
        <v>39196</v>
      </c>
      <c r="E8040" s="8">
        <f t="shared" si="130"/>
        <v>2007</v>
      </c>
      <c r="F8040" t="s">
        <v>1180</v>
      </c>
      <c r="G8040" s="9">
        <v>1840.29</v>
      </c>
      <c r="H8040" s="8">
        <v>5908</v>
      </c>
    </row>
    <row r="8041" spans="2:8" x14ac:dyDescent="0.4">
      <c r="B8041" t="s">
        <v>7</v>
      </c>
      <c r="C8041" t="s">
        <v>1179</v>
      </c>
      <c r="D8041" s="7">
        <f>DATE(2007,5,9)</f>
        <v>39211</v>
      </c>
      <c r="E8041" s="8">
        <f t="shared" si="130"/>
        <v>2007</v>
      </c>
      <c r="F8041" t="s">
        <v>1180</v>
      </c>
      <c r="G8041" s="9">
        <v>5330.44</v>
      </c>
      <c r="H8041" s="8">
        <v>5972</v>
      </c>
    </row>
    <row r="8042" spans="2:8" x14ac:dyDescent="0.4">
      <c r="B8042" t="s">
        <v>7</v>
      </c>
      <c r="C8042" t="s">
        <v>1179</v>
      </c>
      <c r="D8042" s="7">
        <f>DATE(2007,8,9)</f>
        <v>39303</v>
      </c>
      <c r="E8042" s="8">
        <f t="shared" si="130"/>
        <v>2007</v>
      </c>
      <c r="F8042" t="s">
        <v>1180</v>
      </c>
      <c r="G8042" s="9">
        <v>8355.1299999999992</v>
      </c>
      <c r="H8042" s="8">
        <v>6256</v>
      </c>
    </row>
    <row r="8043" spans="2:8" x14ac:dyDescent="0.4">
      <c r="B8043" t="s">
        <v>7</v>
      </c>
      <c r="C8043" t="s">
        <v>1179</v>
      </c>
      <c r="D8043" s="7">
        <f>DATE(2007,9,26)</f>
        <v>39351</v>
      </c>
      <c r="E8043" s="8">
        <f t="shared" si="130"/>
        <v>2007</v>
      </c>
      <c r="F8043" t="s">
        <v>1180</v>
      </c>
      <c r="G8043" s="9">
        <v>3355.22</v>
      </c>
      <c r="H8043" s="8">
        <v>6416</v>
      </c>
    </row>
    <row r="8044" spans="2:8" x14ac:dyDescent="0.4">
      <c r="B8044" t="s">
        <v>7</v>
      </c>
      <c r="C8044" t="s">
        <v>1179</v>
      </c>
      <c r="D8044" s="7">
        <f>DATE(2008,1,15)</f>
        <v>39462</v>
      </c>
      <c r="E8044" s="8">
        <f t="shared" si="130"/>
        <v>2008</v>
      </c>
      <c r="F8044" t="s">
        <v>1180</v>
      </c>
      <c r="G8044" s="9">
        <v>5694.53</v>
      </c>
      <c r="H8044" s="8">
        <v>6781</v>
      </c>
    </row>
    <row r="8045" spans="2:8" x14ac:dyDescent="0.4">
      <c r="B8045" t="s">
        <v>7</v>
      </c>
      <c r="C8045" t="s">
        <v>1179</v>
      </c>
      <c r="D8045" s="7">
        <f>DATE(2008,4,8)</f>
        <v>39546</v>
      </c>
      <c r="E8045" s="8">
        <f t="shared" si="130"/>
        <v>2008</v>
      </c>
      <c r="F8045" t="s">
        <v>1180</v>
      </c>
      <c r="G8045" s="9">
        <v>4079.66</v>
      </c>
      <c r="H8045" s="8">
        <v>7304</v>
      </c>
    </row>
    <row r="8046" spans="2:8" x14ac:dyDescent="0.4">
      <c r="B8046" t="s">
        <v>7</v>
      </c>
      <c r="C8046" t="s">
        <v>1179</v>
      </c>
      <c r="D8046" s="7">
        <f>DATE(2008,10,31)</f>
        <v>39752</v>
      </c>
      <c r="E8046" s="8">
        <f t="shared" si="130"/>
        <v>2008</v>
      </c>
      <c r="F8046" t="s">
        <v>1180</v>
      </c>
      <c r="G8046" s="9">
        <v>8396.6299999999992</v>
      </c>
      <c r="H8046" s="8">
        <v>7985</v>
      </c>
    </row>
    <row r="8047" spans="2:8" x14ac:dyDescent="0.4">
      <c r="B8047" t="s">
        <v>7</v>
      </c>
      <c r="C8047" t="s">
        <v>1179</v>
      </c>
      <c r="D8047" s="7">
        <f>DATE(2010,1,8)</f>
        <v>40186</v>
      </c>
      <c r="E8047" s="8">
        <f t="shared" si="130"/>
        <v>2010</v>
      </c>
      <c r="F8047" t="s">
        <v>1180</v>
      </c>
      <c r="G8047" s="9">
        <v>4416.8599999999997</v>
      </c>
      <c r="H8047" s="8">
        <v>9318</v>
      </c>
    </row>
    <row r="8048" spans="2:8" x14ac:dyDescent="0.4">
      <c r="B8048" t="s">
        <v>7</v>
      </c>
      <c r="C8048" t="s">
        <v>1179</v>
      </c>
      <c r="D8048" s="7">
        <f>DATE(2010,9,9)</f>
        <v>40430</v>
      </c>
      <c r="E8048" s="8">
        <f t="shared" si="130"/>
        <v>2010</v>
      </c>
      <c r="F8048" t="s">
        <v>1180</v>
      </c>
      <c r="G8048" s="9">
        <v>9556.6</v>
      </c>
      <c r="H8048" s="8">
        <v>10088</v>
      </c>
    </row>
    <row r="8049" spans="2:8" x14ac:dyDescent="0.4">
      <c r="B8049" t="s">
        <v>7</v>
      </c>
      <c r="C8049" t="s">
        <v>1179</v>
      </c>
      <c r="D8049" s="7">
        <f>DATE(2012,8,29)</f>
        <v>41150</v>
      </c>
      <c r="E8049" s="8">
        <f t="shared" si="130"/>
        <v>2012</v>
      </c>
      <c r="F8049" t="s">
        <v>1180</v>
      </c>
      <c r="G8049" s="9">
        <v>7179.5</v>
      </c>
      <c r="H8049" s="8">
        <v>11809</v>
      </c>
    </row>
    <row r="8050" spans="2:8" x14ac:dyDescent="0.4">
      <c r="B8050" t="s">
        <v>7</v>
      </c>
      <c r="C8050" t="s">
        <v>1181</v>
      </c>
      <c r="D8050" s="7">
        <f>DATE(2018,7,17)</f>
        <v>43298</v>
      </c>
      <c r="E8050" s="8">
        <f t="shared" si="130"/>
        <v>2018</v>
      </c>
      <c r="F8050" t="s">
        <v>1182</v>
      </c>
      <c r="G8050" s="9">
        <v>6115.59</v>
      </c>
      <c r="H8050" s="8">
        <v>27363</v>
      </c>
    </row>
    <row r="8051" spans="2:8" x14ac:dyDescent="0.4">
      <c r="B8051" t="s">
        <v>7</v>
      </c>
      <c r="C8051" t="s">
        <v>1181</v>
      </c>
      <c r="D8051" s="7">
        <f>DATE(2009,7,29)</f>
        <v>40023</v>
      </c>
      <c r="E8051" s="8">
        <f t="shared" si="130"/>
        <v>2009</v>
      </c>
      <c r="F8051" t="s">
        <v>1182</v>
      </c>
      <c r="G8051" s="9">
        <v>4314.96</v>
      </c>
      <c r="H8051" s="8">
        <v>8905</v>
      </c>
    </row>
    <row r="8052" spans="2:8" x14ac:dyDescent="0.4">
      <c r="B8052" t="s">
        <v>7</v>
      </c>
      <c r="C8052" t="s">
        <v>1183</v>
      </c>
      <c r="D8052" s="7">
        <f>DATE(2008,2,21)</f>
        <v>39499</v>
      </c>
      <c r="E8052" s="8">
        <f t="shared" si="130"/>
        <v>2008</v>
      </c>
      <c r="F8052" t="s">
        <v>1184</v>
      </c>
      <c r="G8052" s="9">
        <v>270</v>
      </c>
      <c r="H8052" s="8">
        <v>6960</v>
      </c>
    </row>
    <row r="8053" spans="2:8" x14ac:dyDescent="0.4">
      <c r="B8053" t="s">
        <v>7</v>
      </c>
      <c r="C8053" t="s">
        <v>1183</v>
      </c>
      <c r="D8053" s="7">
        <f>DATE(2003,5,2)</f>
        <v>37743</v>
      </c>
      <c r="E8053" s="8">
        <f t="shared" si="130"/>
        <v>2003</v>
      </c>
      <c r="F8053" t="s">
        <v>1184</v>
      </c>
      <c r="G8053" s="9">
        <v>843.05</v>
      </c>
      <c r="H8053" s="8">
        <v>569</v>
      </c>
    </row>
    <row r="8054" spans="2:8" x14ac:dyDescent="0.4">
      <c r="B8054" t="s">
        <v>7</v>
      </c>
      <c r="C8054" t="s">
        <v>1183</v>
      </c>
      <c r="D8054" s="7">
        <f>DATE(2003,4,16)</f>
        <v>37727</v>
      </c>
      <c r="E8054" s="8">
        <f t="shared" si="130"/>
        <v>2003</v>
      </c>
      <c r="F8054" t="s">
        <v>1184</v>
      </c>
      <c r="G8054" s="9">
        <v>80</v>
      </c>
      <c r="H8054" s="8">
        <v>508</v>
      </c>
    </row>
    <row r="8055" spans="2:8" x14ac:dyDescent="0.4">
      <c r="B8055" t="s">
        <v>7</v>
      </c>
      <c r="C8055" t="s">
        <v>1185</v>
      </c>
      <c r="D8055" s="7">
        <f>DATE(2014,5,19)</f>
        <v>41778</v>
      </c>
      <c r="E8055" s="8">
        <f t="shared" si="130"/>
        <v>2014</v>
      </c>
      <c r="F8055" t="s">
        <v>1186</v>
      </c>
      <c r="G8055" s="9">
        <v>18796.439999999999</v>
      </c>
      <c r="H8055" s="8">
        <v>13118</v>
      </c>
    </row>
    <row r="8056" spans="2:8" x14ac:dyDescent="0.4">
      <c r="B8056" t="s">
        <v>7</v>
      </c>
      <c r="C8056" t="s">
        <v>1187</v>
      </c>
      <c r="D8056" s="7">
        <f>DATE(2014,10,9)</f>
        <v>41921</v>
      </c>
      <c r="E8056" s="8">
        <f t="shared" si="130"/>
        <v>2014</v>
      </c>
      <c r="F8056" t="s">
        <v>1188</v>
      </c>
      <c r="G8056" s="9">
        <v>60803.02</v>
      </c>
      <c r="H8056" s="8">
        <v>13485</v>
      </c>
    </row>
    <row r="8057" spans="2:8" x14ac:dyDescent="0.4">
      <c r="B8057" t="s">
        <v>7</v>
      </c>
      <c r="C8057" t="s">
        <v>1187</v>
      </c>
      <c r="D8057" s="7">
        <f>DATE(2015,4,27)</f>
        <v>42121</v>
      </c>
      <c r="E8057" s="8">
        <f t="shared" si="130"/>
        <v>2015</v>
      </c>
      <c r="F8057" t="s">
        <v>1189</v>
      </c>
      <c r="G8057" s="9">
        <v>25461.84</v>
      </c>
      <c r="H8057" s="8">
        <v>20416</v>
      </c>
    </row>
    <row r="8058" spans="2:8" x14ac:dyDescent="0.4">
      <c r="B8058" t="s">
        <v>7</v>
      </c>
      <c r="C8058" t="s">
        <v>1187</v>
      </c>
      <c r="D8058" s="7">
        <f>DATE(2015,5,7)</f>
        <v>42131</v>
      </c>
      <c r="E8058" s="8">
        <f t="shared" si="130"/>
        <v>2015</v>
      </c>
      <c r="F8058" t="s">
        <v>1189</v>
      </c>
      <c r="G8058" s="9">
        <v>19080.36</v>
      </c>
      <c r="H8058" s="8">
        <v>311</v>
      </c>
    </row>
    <row r="8059" spans="2:8" x14ac:dyDescent="0.4">
      <c r="B8059" t="s">
        <v>7</v>
      </c>
      <c r="C8059" t="s">
        <v>1187</v>
      </c>
      <c r="D8059" s="7">
        <f>DATE(2015,5,11)</f>
        <v>42135</v>
      </c>
      <c r="E8059" s="8">
        <f t="shared" si="130"/>
        <v>2015</v>
      </c>
      <c r="F8059" t="s">
        <v>1189</v>
      </c>
      <c r="G8059" s="9">
        <v>2816.53</v>
      </c>
      <c r="H8059" s="8">
        <v>20298</v>
      </c>
    </row>
    <row r="8060" spans="2:8" x14ac:dyDescent="0.4">
      <c r="B8060" t="s">
        <v>7</v>
      </c>
      <c r="C8060" t="s">
        <v>1187</v>
      </c>
      <c r="D8060" s="7">
        <f>DATE(2016,3,30)</f>
        <v>42459</v>
      </c>
      <c r="E8060" s="8">
        <f t="shared" si="130"/>
        <v>2016</v>
      </c>
      <c r="F8060" t="s">
        <v>1189</v>
      </c>
      <c r="G8060" s="9">
        <v>57504</v>
      </c>
      <c r="H8060" s="8">
        <v>22452</v>
      </c>
    </row>
    <row r="8061" spans="2:8" x14ac:dyDescent="0.4">
      <c r="B8061" t="s">
        <v>7</v>
      </c>
      <c r="C8061" t="s">
        <v>1187</v>
      </c>
      <c r="D8061" s="7">
        <f>DATE(2016,3,30)</f>
        <v>42459</v>
      </c>
      <c r="E8061" s="8">
        <f t="shared" si="130"/>
        <v>2016</v>
      </c>
      <c r="F8061" t="s">
        <v>1189</v>
      </c>
      <c r="G8061" s="9">
        <v>15211.84</v>
      </c>
      <c r="H8061" s="8">
        <v>22207</v>
      </c>
    </row>
    <row r="8062" spans="2:8" x14ac:dyDescent="0.4">
      <c r="B8062" t="s">
        <v>7</v>
      </c>
      <c r="C8062" t="s">
        <v>1187</v>
      </c>
      <c r="D8062" s="7">
        <f>DATE(2016,3,30)</f>
        <v>42459</v>
      </c>
      <c r="E8062" s="8">
        <f t="shared" si="130"/>
        <v>2016</v>
      </c>
      <c r="F8062" t="s">
        <v>1189</v>
      </c>
      <c r="G8062" s="9">
        <v>10244.379999999999</v>
      </c>
      <c r="H8062" s="8">
        <v>22448</v>
      </c>
    </row>
    <row r="8063" spans="2:8" x14ac:dyDescent="0.4">
      <c r="B8063" t="s">
        <v>7</v>
      </c>
      <c r="C8063" t="s">
        <v>1187</v>
      </c>
      <c r="D8063" s="7">
        <f>DATE(2016,3,30)</f>
        <v>42459</v>
      </c>
      <c r="E8063" s="8">
        <f t="shared" si="130"/>
        <v>2016</v>
      </c>
      <c r="F8063" t="s">
        <v>1189</v>
      </c>
      <c r="G8063" s="9">
        <v>10469.82</v>
      </c>
      <c r="H8063" s="8">
        <v>22449</v>
      </c>
    </row>
    <row r="8064" spans="2:8" x14ac:dyDescent="0.4">
      <c r="B8064" t="s">
        <v>7</v>
      </c>
      <c r="C8064" t="s">
        <v>1187</v>
      </c>
      <c r="D8064" s="7">
        <f>DATE(2017,11,20)</f>
        <v>43059</v>
      </c>
      <c r="E8064" s="8">
        <f t="shared" si="130"/>
        <v>2017</v>
      </c>
      <c r="F8064" t="s">
        <v>1189</v>
      </c>
      <c r="G8064" s="9">
        <v>9100</v>
      </c>
      <c r="H8064" s="8">
        <v>25876</v>
      </c>
    </row>
    <row r="8065" spans="2:8" x14ac:dyDescent="0.4">
      <c r="B8065" t="s">
        <v>7</v>
      </c>
      <c r="C8065" t="s">
        <v>1187</v>
      </c>
      <c r="D8065" s="7">
        <f>DATE(2017,11,27)</f>
        <v>43066</v>
      </c>
      <c r="E8065" s="8">
        <f t="shared" si="130"/>
        <v>2017</v>
      </c>
      <c r="F8065" t="s">
        <v>1189</v>
      </c>
      <c r="G8065" s="9">
        <v>27527.47</v>
      </c>
      <c r="H8065" s="8">
        <v>25877</v>
      </c>
    </row>
    <row r="8066" spans="2:8" x14ac:dyDescent="0.4">
      <c r="B8066" t="s">
        <v>7</v>
      </c>
      <c r="C8066" t="s">
        <v>1187</v>
      </c>
      <c r="D8066" s="7">
        <f>DATE(2018,4,17)</f>
        <v>43207</v>
      </c>
      <c r="E8066" s="8">
        <f t="shared" si="130"/>
        <v>2018</v>
      </c>
      <c r="F8066" t="s">
        <v>1189</v>
      </c>
      <c r="G8066" s="9">
        <v>21477.22</v>
      </c>
      <c r="H8066" s="8">
        <v>26519</v>
      </c>
    </row>
    <row r="8067" spans="2:8" x14ac:dyDescent="0.4">
      <c r="B8067" t="s">
        <v>7</v>
      </c>
      <c r="C8067" t="s">
        <v>1187</v>
      </c>
      <c r="D8067" s="7">
        <f>DATE(2018,8,22)</f>
        <v>43334</v>
      </c>
      <c r="E8067" s="8">
        <f t="shared" ref="E8067:E8130" si="131">YEAR(D8067)</f>
        <v>2018</v>
      </c>
      <c r="F8067" t="s">
        <v>1189</v>
      </c>
      <c r="G8067" s="9">
        <v>45200</v>
      </c>
      <c r="H8067" s="8">
        <v>27498</v>
      </c>
    </row>
    <row r="8068" spans="2:8" x14ac:dyDescent="0.4">
      <c r="B8068" t="s">
        <v>7</v>
      </c>
      <c r="C8068" t="s">
        <v>1187</v>
      </c>
      <c r="D8068" s="7">
        <f>DATE(2015,5,12)</f>
        <v>42136</v>
      </c>
      <c r="E8068" s="8">
        <f t="shared" si="131"/>
        <v>2015</v>
      </c>
      <c r="F8068" t="s">
        <v>1189</v>
      </c>
      <c r="G8068" s="9">
        <v>4940</v>
      </c>
      <c r="H8068" s="8">
        <v>20558</v>
      </c>
    </row>
    <row r="8069" spans="2:8" x14ac:dyDescent="0.4">
      <c r="B8069" t="s">
        <v>7</v>
      </c>
      <c r="C8069" t="s">
        <v>1187</v>
      </c>
      <c r="D8069" s="7">
        <f>DATE(2015,5,12)</f>
        <v>42136</v>
      </c>
      <c r="E8069" s="8">
        <f t="shared" si="131"/>
        <v>2015</v>
      </c>
      <c r="F8069" t="s">
        <v>1189</v>
      </c>
      <c r="G8069" s="9">
        <v>11089.4</v>
      </c>
      <c r="H8069" s="8">
        <v>20523</v>
      </c>
    </row>
    <row r="8070" spans="2:8" x14ac:dyDescent="0.4">
      <c r="B8070" t="s">
        <v>7</v>
      </c>
      <c r="C8070" t="s">
        <v>1187</v>
      </c>
      <c r="D8070" s="7">
        <f>DATE(2015,5,12)</f>
        <v>42136</v>
      </c>
      <c r="E8070" s="8">
        <f t="shared" si="131"/>
        <v>2015</v>
      </c>
      <c r="F8070" t="s">
        <v>1189</v>
      </c>
      <c r="G8070" s="9">
        <v>424.45</v>
      </c>
      <c r="H8070" s="8">
        <v>20365</v>
      </c>
    </row>
    <row r="8071" spans="2:8" x14ac:dyDescent="0.4">
      <c r="B8071" t="s">
        <v>7</v>
      </c>
      <c r="C8071" t="s">
        <v>1187</v>
      </c>
      <c r="D8071" s="7">
        <f>DATE(2016,3,4)</f>
        <v>42433</v>
      </c>
      <c r="E8071" s="8">
        <f t="shared" si="131"/>
        <v>2016</v>
      </c>
      <c r="F8071" t="s">
        <v>1189</v>
      </c>
      <c r="G8071" s="9">
        <v>380</v>
      </c>
      <c r="H8071" s="8">
        <v>22337</v>
      </c>
    </row>
    <row r="8072" spans="2:8" x14ac:dyDescent="0.4">
      <c r="B8072" t="s">
        <v>7</v>
      </c>
      <c r="C8072" t="s">
        <v>1187</v>
      </c>
      <c r="D8072" s="7">
        <f>DATE(2016,3,23)</f>
        <v>42452</v>
      </c>
      <c r="E8072" s="8">
        <f t="shared" si="131"/>
        <v>2016</v>
      </c>
      <c r="F8072" t="s">
        <v>1189</v>
      </c>
      <c r="G8072" s="9">
        <v>6240.74</v>
      </c>
      <c r="H8072" s="8">
        <v>22418</v>
      </c>
    </row>
    <row r="8073" spans="2:8" x14ac:dyDescent="0.4">
      <c r="B8073" t="s">
        <v>7</v>
      </c>
      <c r="C8073" t="s">
        <v>1187</v>
      </c>
      <c r="D8073" s="7">
        <f>DATE(2016,3,23)</f>
        <v>42452</v>
      </c>
      <c r="E8073" s="8">
        <f t="shared" si="131"/>
        <v>2016</v>
      </c>
      <c r="F8073" t="s">
        <v>1189</v>
      </c>
      <c r="G8073" s="9">
        <v>5496.25</v>
      </c>
      <c r="H8073" s="8">
        <v>22481</v>
      </c>
    </row>
    <row r="8074" spans="2:8" x14ac:dyDescent="0.4">
      <c r="B8074" t="s">
        <v>7</v>
      </c>
      <c r="C8074" t="s">
        <v>1187</v>
      </c>
      <c r="D8074" s="7">
        <f>DATE(2016,4,6)</f>
        <v>42466</v>
      </c>
      <c r="E8074" s="8">
        <f t="shared" si="131"/>
        <v>2016</v>
      </c>
      <c r="F8074" t="s">
        <v>1189</v>
      </c>
      <c r="G8074" s="9">
        <v>2190</v>
      </c>
      <c r="H8074" s="8">
        <v>22501</v>
      </c>
    </row>
    <row r="8075" spans="2:8" x14ac:dyDescent="0.4">
      <c r="B8075" t="s">
        <v>7</v>
      </c>
      <c r="C8075" t="s">
        <v>1187</v>
      </c>
      <c r="D8075" s="7">
        <f>DATE(2017,4,10)</f>
        <v>42835</v>
      </c>
      <c r="E8075" s="8">
        <f t="shared" si="131"/>
        <v>2017</v>
      </c>
      <c r="F8075" t="s">
        <v>1189</v>
      </c>
      <c r="G8075" s="9">
        <v>4940</v>
      </c>
      <c r="H8075" s="8">
        <v>24723</v>
      </c>
    </row>
    <row r="8076" spans="2:8" x14ac:dyDescent="0.4">
      <c r="B8076" t="s">
        <v>7</v>
      </c>
      <c r="C8076" t="s">
        <v>1187</v>
      </c>
      <c r="D8076" s="7">
        <f>DATE(2017,4,18)</f>
        <v>42843</v>
      </c>
      <c r="E8076" s="8">
        <f t="shared" si="131"/>
        <v>2017</v>
      </c>
      <c r="F8076" t="s">
        <v>1189</v>
      </c>
      <c r="G8076" s="9">
        <v>11089.4</v>
      </c>
      <c r="H8076" s="8">
        <v>24764</v>
      </c>
    </row>
    <row r="8077" spans="2:8" x14ac:dyDescent="0.4">
      <c r="B8077" t="s">
        <v>7</v>
      </c>
      <c r="C8077" t="s">
        <v>1187</v>
      </c>
      <c r="D8077" s="7">
        <f>DATE(2017,11,22)</f>
        <v>43061</v>
      </c>
      <c r="E8077" s="8">
        <f t="shared" si="131"/>
        <v>2017</v>
      </c>
      <c r="F8077" t="s">
        <v>1189</v>
      </c>
      <c r="G8077" s="9">
        <v>16029.4</v>
      </c>
      <c r="H8077" s="8">
        <v>25923</v>
      </c>
    </row>
    <row r="8078" spans="2:8" x14ac:dyDescent="0.4">
      <c r="B8078" t="s">
        <v>7</v>
      </c>
      <c r="C8078" t="s">
        <v>1187</v>
      </c>
      <c r="D8078" s="7">
        <f>DATE(2018,10,25)</f>
        <v>43398</v>
      </c>
      <c r="E8078" s="8">
        <f t="shared" si="131"/>
        <v>2018</v>
      </c>
      <c r="F8078" t="s">
        <v>1189</v>
      </c>
      <c r="G8078" s="9">
        <v>4940</v>
      </c>
      <c r="H8078" s="8">
        <v>27859</v>
      </c>
    </row>
    <row r="8079" spans="2:8" x14ac:dyDescent="0.4">
      <c r="B8079" t="s">
        <v>7</v>
      </c>
      <c r="C8079" t="s">
        <v>1187</v>
      </c>
      <c r="D8079" s="7">
        <f>DATE(2015,3,3)</f>
        <v>42066</v>
      </c>
      <c r="E8079" s="8">
        <f t="shared" si="131"/>
        <v>2015</v>
      </c>
      <c r="F8079" t="s">
        <v>1189</v>
      </c>
      <c r="G8079" s="9">
        <v>6749.94</v>
      </c>
      <c r="H8079" s="8">
        <v>20011</v>
      </c>
    </row>
    <row r="8080" spans="2:8" x14ac:dyDescent="0.4">
      <c r="B8080" t="s">
        <v>7</v>
      </c>
      <c r="C8080" t="s">
        <v>1187</v>
      </c>
      <c r="D8080" s="7">
        <f>DATE(2015,7,16)</f>
        <v>42201</v>
      </c>
      <c r="E8080" s="8">
        <f t="shared" si="131"/>
        <v>2015</v>
      </c>
      <c r="F8080" t="s">
        <v>1189</v>
      </c>
      <c r="G8080" s="9">
        <v>5478.12</v>
      </c>
      <c r="H8080" s="8">
        <v>20865</v>
      </c>
    </row>
    <row r="8081" spans="2:8" x14ac:dyDescent="0.4">
      <c r="B8081" t="s">
        <v>7</v>
      </c>
      <c r="C8081" t="s">
        <v>1187</v>
      </c>
      <c r="D8081" s="7">
        <f>DATE(2015,10,6)</f>
        <v>42283</v>
      </c>
      <c r="E8081" s="8">
        <f t="shared" si="131"/>
        <v>2015</v>
      </c>
      <c r="F8081" t="s">
        <v>1189</v>
      </c>
      <c r="G8081" s="9">
        <v>33400</v>
      </c>
      <c r="H8081" s="8">
        <v>21157</v>
      </c>
    </row>
    <row r="8082" spans="2:8" x14ac:dyDescent="0.4">
      <c r="B8082" t="s">
        <v>7</v>
      </c>
      <c r="C8082" t="s">
        <v>1187</v>
      </c>
      <c r="D8082" s="7">
        <f>DATE(2015,11,4)</f>
        <v>42312</v>
      </c>
      <c r="E8082" s="8">
        <f t="shared" si="131"/>
        <v>2015</v>
      </c>
      <c r="F8082" t="s">
        <v>1189</v>
      </c>
      <c r="G8082" s="9">
        <v>5597.28</v>
      </c>
      <c r="H8082" s="8">
        <v>21158</v>
      </c>
    </row>
    <row r="8083" spans="2:8" x14ac:dyDescent="0.4">
      <c r="B8083" t="s">
        <v>7</v>
      </c>
      <c r="C8083" t="s">
        <v>1187</v>
      </c>
      <c r="D8083" s="7">
        <f>DATE(2003,1,29)</f>
        <v>37650</v>
      </c>
      <c r="E8083" s="8">
        <f t="shared" si="131"/>
        <v>2003</v>
      </c>
      <c r="F8083" t="s">
        <v>1189</v>
      </c>
      <c r="G8083" s="9">
        <v>69484.509999999995</v>
      </c>
      <c r="H8083" s="8">
        <v>31</v>
      </c>
    </row>
    <row r="8084" spans="2:8" x14ac:dyDescent="0.4">
      <c r="B8084" t="s">
        <v>7</v>
      </c>
      <c r="C8084" t="s">
        <v>1187</v>
      </c>
      <c r="D8084" s="7">
        <f>DATE(2003,3,3)</f>
        <v>37683</v>
      </c>
      <c r="E8084" s="8">
        <f t="shared" si="131"/>
        <v>2003</v>
      </c>
      <c r="F8084" t="s">
        <v>1189</v>
      </c>
      <c r="G8084" s="9">
        <v>32457.23</v>
      </c>
      <c r="H8084" s="8">
        <v>132</v>
      </c>
    </row>
    <row r="8085" spans="2:8" x14ac:dyDescent="0.4">
      <c r="B8085" t="s">
        <v>7</v>
      </c>
      <c r="C8085" t="s">
        <v>1187</v>
      </c>
      <c r="D8085" s="7">
        <f>DATE(2003,4,22)</f>
        <v>37733</v>
      </c>
      <c r="E8085" s="8">
        <f t="shared" si="131"/>
        <v>2003</v>
      </c>
      <c r="F8085" t="s">
        <v>1189</v>
      </c>
      <c r="G8085" s="9">
        <v>23395.8</v>
      </c>
      <c r="H8085" s="8">
        <v>130</v>
      </c>
    </row>
    <row r="8086" spans="2:8" x14ac:dyDescent="0.4">
      <c r="B8086" t="s">
        <v>7</v>
      </c>
      <c r="C8086" t="s">
        <v>1187</v>
      </c>
      <c r="D8086" s="7">
        <f>DATE(2003,10,9)</f>
        <v>37903</v>
      </c>
      <c r="E8086" s="8">
        <f t="shared" si="131"/>
        <v>2003</v>
      </c>
      <c r="F8086" t="s">
        <v>1189</v>
      </c>
      <c r="G8086" s="9">
        <v>11467.5</v>
      </c>
      <c r="H8086" s="8">
        <v>844</v>
      </c>
    </row>
    <row r="8087" spans="2:8" x14ac:dyDescent="0.4">
      <c r="B8087" t="s">
        <v>7</v>
      </c>
      <c r="C8087" t="s">
        <v>1187</v>
      </c>
      <c r="D8087" s="7">
        <f>DATE(2003,12,31)</f>
        <v>37986</v>
      </c>
      <c r="E8087" s="8">
        <f t="shared" si="131"/>
        <v>2003</v>
      </c>
      <c r="F8087" t="s">
        <v>1189</v>
      </c>
      <c r="G8087" s="9">
        <v>50489</v>
      </c>
      <c r="H8087" s="8">
        <v>1096</v>
      </c>
    </row>
    <row r="8088" spans="2:8" x14ac:dyDescent="0.4">
      <c r="B8088" t="s">
        <v>7</v>
      </c>
      <c r="C8088" t="s">
        <v>1187</v>
      </c>
      <c r="D8088" s="7">
        <f>DATE(2004,1,12)</f>
        <v>37998</v>
      </c>
      <c r="E8088" s="8">
        <f t="shared" si="131"/>
        <v>2004</v>
      </c>
      <c r="F8088" t="s">
        <v>1189</v>
      </c>
      <c r="G8088" s="9">
        <v>25921.8</v>
      </c>
      <c r="H8088" s="8">
        <v>1096</v>
      </c>
    </row>
    <row r="8089" spans="2:8" x14ac:dyDescent="0.4">
      <c r="B8089" t="s">
        <v>7</v>
      </c>
      <c r="C8089" t="s">
        <v>1187</v>
      </c>
      <c r="D8089" s="7">
        <f>DATE(2004,3,11)</f>
        <v>38057</v>
      </c>
      <c r="E8089" s="8">
        <f t="shared" si="131"/>
        <v>2004</v>
      </c>
      <c r="F8089" t="s">
        <v>1189</v>
      </c>
      <c r="G8089" s="9">
        <v>15013.3</v>
      </c>
      <c r="H8089" s="8">
        <v>1435</v>
      </c>
    </row>
    <row r="8090" spans="2:8" x14ac:dyDescent="0.4">
      <c r="B8090" t="s">
        <v>7</v>
      </c>
      <c r="C8090" t="s">
        <v>1187</v>
      </c>
      <c r="D8090" s="7">
        <f>DATE(2004,4,16)</f>
        <v>38093</v>
      </c>
      <c r="E8090" s="8">
        <f t="shared" si="131"/>
        <v>2004</v>
      </c>
      <c r="F8090" t="s">
        <v>1189</v>
      </c>
      <c r="G8090" s="9">
        <v>20797.400000000001</v>
      </c>
      <c r="H8090" s="8">
        <v>1559</v>
      </c>
    </row>
    <row r="8091" spans="2:8" x14ac:dyDescent="0.4">
      <c r="B8091" t="s">
        <v>7</v>
      </c>
      <c r="C8091" t="s">
        <v>1187</v>
      </c>
      <c r="D8091" s="7">
        <f>DATE(2004,6,29)</f>
        <v>38167</v>
      </c>
      <c r="E8091" s="8">
        <f t="shared" si="131"/>
        <v>2004</v>
      </c>
      <c r="F8091" t="s">
        <v>1189</v>
      </c>
      <c r="G8091" s="9">
        <v>33401.14</v>
      </c>
      <c r="H8091" s="8">
        <v>1915</v>
      </c>
    </row>
    <row r="8092" spans="2:8" x14ac:dyDescent="0.4">
      <c r="B8092" t="s">
        <v>7</v>
      </c>
      <c r="C8092" t="s">
        <v>1187</v>
      </c>
      <c r="D8092" s="7">
        <f>DATE(2004,10,14)</f>
        <v>38274</v>
      </c>
      <c r="E8092" s="8">
        <f t="shared" si="131"/>
        <v>2004</v>
      </c>
      <c r="F8092" t="s">
        <v>1189</v>
      </c>
      <c r="G8092" s="9">
        <v>22938.33</v>
      </c>
      <c r="H8092" s="8">
        <v>2276</v>
      </c>
    </row>
    <row r="8093" spans="2:8" x14ac:dyDescent="0.4">
      <c r="B8093" t="s">
        <v>7</v>
      </c>
      <c r="C8093" t="s">
        <v>1187</v>
      </c>
      <c r="D8093" s="7">
        <f>DATE(2005,5,6)</f>
        <v>38478</v>
      </c>
      <c r="E8093" s="8">
        <f t="shared" si="131"/>
        <v>2005</v>
      </c>
      <c r="F8093" t="s">
        <v>1189</v>
      </c>
      <c r="G8093" s="9">
        <v>86197.2</v>
      </c>
      <c r="H8093" s="8">
        <v>2998</v>
      </c>
    </row>
    <row r="8094" spans="2:8" x14ac:dyDescent="0.4">
      <c r="B8094" t="s">
        <v>7</v>
      </c>
      <c r="C8094" t="s">
        <v>1187</v>
      </c>
      <c r="D8094" s="7">
        <f>DATE(2005,5,30)</f>
        <v>38502</v>
      </c>
      <c r="E8094" s="8">
        <f t="shared" si="131"/>
        <v>2005</v>
      </c>
      <c r="F8094" t="s">
        <v>1189</v>
      </c>
      <c r="G8094" s="9">
        <v>55149.27</v>
      </c>
      <c r="H8094" s="8">
        <v>3226</v>
      </c>
    </row>
    <row r="8095" spans="2:8" x14ac:dyDescent="0.4">
      <c r="B8095" t="s">
        <v>7</v>
      </c>
      <c r="C8095" t="s">
        <v>1187</v>
      </c>
      <c r="D8095" s="7">
        <f>DATE(2005,6,6)</f>
        <v>38509</v>
      </c>
      <c r="E8095" s="8">
        <f t="shared" si="131"/>
        <v>2005</v>
      </c>
      <c r="F8095" t="s">
        <v>1189</v>
      </c>
      <c r="G8095" s="9">
        <v>14813.4</v>
      </c>
      <c r="H8095" s="8">
        <v>3251</v>
      </c>
    </row>
    <row r="8096" spans="2:8" x14ac:dyDescent="0.4">
      <c r="B8096" t="s">
        <v>7</v>
      </c>
      <c r="C8096" t="s">
        <v>1187</v>
      </c>
      <c r="D8096" s="7">
        <f>DATE(2005,9,12)</f>
        <v>38607</v>
      </c>
      <c r="E8096" s="8">
        <f t="shared" si="131"/>
        <v>2005</v>
      </c>
      <c r="F8096" t="s">
        <v>1189</v>
      </c>
      <c r="G8096" s="9">
        <v>24052.36</v>
      </c>
      <c r="H8096" s="8">
        <v>3572</v>
      </c>
    </row>
    <row r="8097" spans="2:8" x14ac:dyDescent="0.4">
      <c r="B8097" t="s">
        <v>7</v>
      </c>
      <c r="C8097" t="s">
        <v>1187</v>
      </c>
      <c r="D8097" s="7">
        <f>DATE(2005,11,7)</f>
        <v>38663</v>
      </c>
      <c r="E8097" s="8">
        <f t="shared" si="131"/>
        <v>2005</v>
      </c>
      <c r="F8097" t="s">
        <v>1189</v>
      </c>
      <c r="G8097" s="9">
        <v>44025.01</v>
      </c>
      <c r="H8097" s="8">
        <v>3713</v>
      </c>
    </row>
    <row r="8098" spans="2:8" x14ac:dyDescent="0.4">
      <c r="B8098" t="s">
        <v>7</v>
      </c>
      <c r="C8098" t="s">
        <v>1187</v>
      </c>
      <c r="D8098" s="7">
        <f>DATE(2006,3,27)</f>
        <v>38803</v>
      </c>
      <c r="E8098" s="8">
        <f t="shared" si="131"/>
        <v>2006</v>
      </c>
      <c r="F8098" t="s">
        <v>1189</v>
      </c>
      <c r="G8098" s="9">
        <v>45902.26</v>
      </c>
      <c r="H8098" s="8">
        <v>4381</v>
      </c>
    </row>
    <row r="8099" spans="2:8" x14ac:dyDescent="0.4">
      <c r="B8099" t="s">
        <v>7</v>
      </c>
      <c r="C8099" t="s">
        <v>1187</v>
      </c>
      <c r="D8099" s="7">
        <f>DATE(2006,5,27)</f>
        <v>38864</v>
      </c>
      <c r="E8099" s="8">
        <f t="shared" si="131"/>
        <v>2006</v>
      </c>
      <c r="F8099" t="s">
        <v>1189</v>
      </c>
      <c r="G8099" s="9">
        <v>85086.68</v>
      </c>
      <c r="H8099" s="8">
        <v>4631</v>
      </c>
    </row>
    <row r="8100" spans="2:8" x14ac:dyDescent="0.4">
      <c r="B8100" t="s">
        <v>7</v>
      </c>
      <c r="C8100" t="s">
        <v>1187</v>
      </c>
      <c r="D8100" s="7">
        <f>DATE(2006,8,29)</f>
        <v>38958</v>
      </c>
      <c r="E8100" s="8">
        <f t="shared" si="131"/>
        <v>2006</v>
      </c>
      <c r="F8100" t="s">
        <v>1189</v>
      </c>
      <c r="G8100" s="9">
        <v>45493.98</v>
      </c>
      <c r="H8100" s="8">
        <v>4933</v>
      </c>
    </row>
    <row r="8101" spans="2:8" x14ac:dyDescent="0.4">
      <c r="B8101" t="s">
        <v>7</v>
      </c>
      <c r="C8101" t="s">
        <v>1187</v>
      </c>
      <c r="D8101" s="7">
        <f>DATE(2007,3,9)</f>
        <v>39150</v>
      </c>
      <c r="E8101" s="8">
        <f t="shared" si="131"/>
        <v>2007</v>
      </c>
      <c r="F8101" t="s">
        <v>1189</v>
      </c>
      <c r="G8101" s="9">
        <v>13443.22</v>
      </c>
      <c r="H8101" s="8">
        <v>5364</v>
      </c>
    </row>
    <row r="8102" spans="2:8" x14ac:dyDescent="0.4">
      <c r="B8102" t="s">
        <v>7</v>
      </c>
      <c r="C8102" t="s">
        <v>1187</v>
      </c>
      <c r="D8102" s="7">
        <f>DATE(2007,5,14)</f>
        <v>39216</v>
      </c>
      <c r="E8102" s="8">
        <f t="shared" si="131"/>
        <v>2007</v>
      </c>
      <c r="F8102" t="s">
        <v>1189</v>
      </c>
      <c r="G8102" s="9">
        <v>140692.34</v>
      </c>
      <c r="H8102" s="8">
        <v>5945</v>
      </c>
    </row>
    <row r="8103" spans="2:8" x14ac:dyDescent="0.4">
      <c r="B8103" t="s">
        <v>7</v>
      </c>
      <c r="C8103" t="s">
        <v>1187</v>
      </c>
      <c r="D8103" s="7">
        <f>DATE(2007,9,24)</f>
        <v>39349</v>
      </c>
      <c r="E8103" s="8">
        <f t="shared" si="131"/>
        <v>2007</v>
      </c>
      <c r="F8103" t="s">
        <v>1189</v>
      </c>
      <c r="G8103" s="9">
        <v>48089.9</v>
      </c>
      <c r="H8103" s="8">
        <v>6310</v>
      </c>
    </row>
    <row r="8104" spans="2:8" x14ac:dyDescent="0.4">
      <c r="B8104" t="s">
        <v>7</v>
      </c>
      <c r="C8104" t="s">
        <v>1187</v>
      </c>
      <c r="D8104" s="7">
        <f>DATE(2008,3,25)</f>
        <v>39532</v>
      </c>
      <c r="E8104" s="8">
        <f t="shared" si="131"/>
        <v>2008</v>
      </c>
      <c r="F8104" t="s">
        <v>1189</v>
      </c>
      <c r="G8104" s="9">
        <v>98672.5</v>
      </c>
      <c r="H8104" s="8">
        <v>7030</v>
      </c>
    </row>
    <row r="8105" spans="2:8" x14ac:dyDescent="0.4">
      <c r="B8105" t="s">
        <v>7</v>
      </c>
      <c r="C8105" t="s">
        <v>1187</v>
      </c>
      <c r="D8105" s="7">
        <f>DATE(2008,4,23)</f>
        <v>39561</v>
      </c>
      <c r="E8105" s="8">
        <f t="shared" si="131"/>
        <v>2008</v>
      </c>
      <c r="F8105" t="s">
        <v>1189</v>
      </c>
      <c r="G8105" s="9">
        <v>14407.5</v>
      </c>
      <c r="H8105" s="8">
        <v>6744</v>
      </c>
    </row>
    <row r="8106" spans="2:8" x14ac:dyDescent="0.4">
      <c r="B8106" t="s">
        <v>7</v>
      </c>
      <c r="C8106" t="s">
        <v>1187</v>
      </c>
      <c r="D8106" s="7">
        <f>DATE(2008,6,3)</f>
        <v>39602</v>
      </c>
      <c r="E8106" s="8">
        <f t="shared" si="131"/>
        <v>2008</v>
      </c>
      <c r="F8106" t="s">
        <v>1189</v>
      </c>
      <c r="G8106" s="9">
        <v>52866.5</v>
      </c>
      <c r="H8106" s="8">
        <v>7459</v>
      </c>
    </row>
    <row r="8107" spans="2:8" x14ac:dyDescent="0.4">
      <c r="B8107" t="s">
        <v>7</v>
      </c>
      <c r="C8107" t="s">
        <v>1187</v>
      </c>
      <c r="D8107" s="7">
        <f>DATE(2008,9,23)</f>
        <v>39714</v>
      </c>
      <c r="E8107" s="8">
        <f t="shared" si="131"/>
        <v>2008</v>
      </c>
      <c r="F8107" t="s">
        <v>1189</v>
      </c>
      <c r="G8107" s="9">
        <v>13712.75</v>
      </c>
      <c r="H8107" s="8">
        <v>7210</v>
      </c>
    </row>
    <row r="8108" spans="2:8" x14ac:dyDescent="0.4">
      <c r="B8108" t="s">
        <v>7</v>
      </c>
      <c r="C8108" t="s">
        <v>1187</v>
      </c>
      <c r="D8108" s="7">
        <f>DATE(2008,10,24)</f>
        <v>39745</v>
      </c>
      <c r="E8108" s="8">
        <f t="shared" si="131"/>
        <v>2008</v>
      </c>
      <c r="F8108" t="s">
        <v>1189</v>
      </c>
      <c r="G8108" s="9">
        <v>85615</v>
      </c>
      <c r="H8108" s="8">
        <v>7731</v>
      </c>
    </row>
    <row r="8109" spans="2:8" x14ac:dyDescent="0.4">
      <c r="B8109" t="s">
        <v>7</v>
      </c>
      <c r="C8109" t="s">
        <v>1187</v>
      </c>
      <c r="D8109" s="7">
        <f>DATE(2009,3,30)</f>
        <v>39902</v>
      </c>
      <c r="E8109" s="8">
        <f t="shared" si="131"/>
        <v>2009</v>
      </c>
      <c r="F8109" t="s">
        <v>1189</v>
      </c>
      <c r="G8109" s="9">
        <v>29322</v>
      </c>
      <c r="H8109" s="8">
        <v>8455</v>
      </c>
    </row>
    <row r="8110" spans="2:8" x14ac:dyDescent="0.4">
      <c r="B8110" t="s">
        <v>7</v>
      </c>
      <c r="C8110" t="s">
        <v>1187</v>
      </c>
      <c r="D8110" s="7">
        <f>DATE(2009,3,30)</f>
        <v>39902</v>
      </c>
      <c r="E8110" s="8">
        <f t="shared" si="131"/>
        <v>2009</v>
      </c>
      <c r="F8110" t="s">
        <v>1189</v>
      </c>
      <c r="G8110" s="9">
        <v>46183.24</v>
      </c>
      <c r="H8110" s="8">
        <v>8245</v>
      </c>
    </row>
    <row r="8111" spans="2:8" x14ac:dyDescent="0.4">
      <c r="B8111" t="s">
        <v>7</v>
      </c>
      <c r="C8111" t="s">
        <v>1187</v>
      </c>
      <c r="D8111" s="7">
        <f>DATE(2009,6,25)</f>
        <v>39989</v>
      </c>
      <c r="E8111" s="8">
        <f t="shared" si="131"/>
        <v>2009</v>
      </c>
      <c r="F8111" t="s">
        <v>1189</v>
      </c>
      <c r="G8111" s="9">
        <v>25742.27</v>
      </c>
      <c r="H8111" s="8">
        <v>8799</v>
      </c>
    </row>
    <row r="8112" spans="2:8" x14ac:dyDescent="0.4">
      <c r="B8112" t="s">
        <v>7</v>
      </c>
      <c r="C8112" t="s">
        <v>1187</v>
      </c>
      <c r="D8112" s="7">
        <f>DATE(2009,9,10)</f>
        <v>40066</v>
      </c>
      <c r="E8112" s="8">
        <f t="shared" si="131"/>
        <v>2009</v>
      </c>
      <c r="F8112" t="s">
        <v>1189</v>
      </c>
      <c r="G8112" s="9">
        <v>32944.5</v>
      </c>
      <c r="H8112" s="8">
        <v>9044</v>
      </c>
    </row>
    <row r="8113" spans="2:8" x14ac:dyDescent="0.4">
      <c r="B8113" t="s">
        <v>7</v>
      </c>
      <c r="C8113" t="s">
        <v>1187</v>
      </c>
      <c r="D8113" s="7">
        <f>DATE(2009,9,16)</f>
        <v>40072</v>
      </c>
      <c r="E8113" s="8">
        <f t="shared" si="131"/>
        <v>2009</v>
      </c>
      <c r="F8113" t="s">
        <v>1189</v>
      </c>
      <c r="G8113" s="9">
        <v>8382.4</v>
      </c>
      <c r="H8113" s="8">
        <v>9066</v>
      </c>
    </row>
    <row r="8114" spans="2:8" x14ac:dyDescent="0.4">
      <c r="B8114" t="s">
        <v>7</v>
      </c>
      <c r="C8114" t="s">
        <v>1187</v>
      </c>
      <c r="D8114" s="7">
        <f>DATE(2009,10,29)</f>
        <v>40115</v>
      </c>
      <c r="E8114" s="8">
        <f t="shared" si="131"/>
        <v>2009</v>
      </c>
      <c r="F8114" t="s">
        <v>1189</v>
      </c>
      <c r="G8114" s="9">
        <v>56737.18</v>
      </c>
      <c r="H8114" s="8">
        <v>9175</v>
      </c>
    </row>
    <row r="8115" spans="2:8" x14ac:dyDescent="0.4">
      <c r="B8115" t="s">
        <v>7</v>
      </c>
      <c r="C8115" t="s">
        <v>1187</v>
      </c>
      <c r="D8115" s="7">
        <f>DATE(2010,2,8)</f>
        <v>40217</v>
      </c>
      <c r="E8115" s="8">
        <f t="shared" si="131"/>
        <v>2010</v>
      </c>
      <c r="F8115" t="s">
        <v>1189</v>
      </c>
      <c r="G8115" s="9">
        <v>11289.32</v>
      </c>
      <c r="H8115" s="8">
        <v>9427</v>
      </c>
    </row>
    <row r="8116" spans="2:8" x14ac:dyDescent="0.4">
      <c r="B8116" t="s">
        <v>7</v>
      </c>
      <c r="C8116" t="s">
        <v>1187</v>
      </c>
      <c r="D8116" s="7">
        <f>DATE(2010,3,9)</f>
        <v>40246</v>
      </c>
      <c r="E8116" s="8">
        <f t="shared" si="131"/>
        <v>2010</v>
      </c>
      <c r="F8116" t="s">
        <v>1189</v>
      </c>
      <c r="G8116" s="9">
        <v>56318.6</v>
      </c>
      <c r="H8116" s="8">
        <v>9523</v>
      </c>
    </row>
    <row r="8117" spans="2:8" x14ac:dyDescent="0.4">
      <c r="B8117" t="s">
        <v>7</v>
      </c>
      <c r="C8117" t="s">
        <v>1187</v>
      </c>
      <c r="D8117" s="7">
        <f>DATE(2010,3,26)</f>
        <v>40263</v>
      </c>
      <c r="E8117" s="8">
        <f t="shared" si="131"/>
        <v>2010</v>
      </c>
      <c r="F8117" t="s">
        <v>1189</v>
      </c>
      <c r="G8117" s="9">
        <v>48067.64</v>
      </c>
      <c r="H8117" s="8">
        <v>9578</v>
      </c>
    </row>
    <row r="8118" spans="2:8" x14ac:dyDescent="0.4">
      <c r="B8118" t="s">
        <v>7</v>
      </c>
      <c r="C8118" t="s">
        <v>1187</v>
      </c>
      <c r="D8118" s="7">
        <f>DATE(2012,2,13)</f>
        <v>40952</v>
      </c>
      <c r="E8118" s="8">
        <f t="shared" si="131"/>
        <v>2012</v>
      </c>
      <c r="F8118" t="s">
        <v>1189</v>
      </c>
      <c r="G8118" s="9">
        <v>38532.6</v>
      </c>
      <c r="H8118" s="8">
        <v>11307</v>
      </c>
    </row>
    <row r="8119" spans="2:8" x14ac:dyDescent="0.4">
      <c r="B8119" t="s">
        <v>7</v>
      </c>
      <c r="C8119" t="s">
        <v>1187</v>
      </c>
      <c r="D8119" s="7">
        <f>DATE(2012,4,4)</f>
        <v>41003</v>
      </c>
      <c r="E8119" s="8">
        <f t="shared" si="131"/>
        <v>2012</v>
      </c>
      <c r="F8119" t="s">
        <v>1189</v>
      </c>
      <c r="G8119" s="9">
        <v>46429.16</v>
      </c>
      <c r="H8119" s="8">
        <v>11386</v>
      </c>
    </row>
    <row r="8120" spans="2:8" x14ac:dyDescent="0.4">
      <c r="B8120" t="s">
        <v>7</v>
      </c>
      <c r="C8120" t="s">
        <v>1187</v>
      </c>
      <c r="D8120" s="7">
        <f>DATE(2012,4,13)</f>
        <v>41012</v>
      </c>
      <c r="E8120" s="8">
        <f t="shared" si="131"/>
        <v>2012</v>
      </c>
      <c r="F8120" t="s">
        <v>1189</v>
      </c>
      <c r="G8120" s="9">
        <v>6640.6</v>
      </c>
      <c r="H8120" s="8">
        <v>11530</v>
      </c>
    </row>
    <row r="8121" spans="2:8" x14ac:dyDescent="0.4">
      <c r="B8121" t="s">
        <v>7</v>
      </c>
      <c r="C8121" t="s">
        <v>1187</v>
      </c>
      <c r="D8121" s="7">
        <f>DATE(2012,6,8)</f>
        <v>41068</v>
      </c>
      <c r="E8121" s="8">
        <f t="shared" si="131"/>
        <v>2012</v>
      </c>
      <c r="F8121" t="s">
        <v>1189</v>
      </c>
      <c r="G8121" s="9">
        <v>35000</v>
      </c>
      <c r="H8121" s="8">
        <v>11663</v>
      </c>
    </row>
    <row r="8122" spans="2:8" x14ac:dyDescent="0.4">
      <c r="B8122" t="s">
        <v>7</v>
      </c>
      <c r="C8122" t="s">
        <v>1187</v>
      </c>
      <c r="D8122" s="7">
        <f>DATE(2013,4,23)</f>
        <v>41387</v>
      </c>
      <c r="E8122" s="8">
        <f t="shared" si="131"/>
        <v>2013</v>
      </c>
      <c r="F8122" t="s">
        <v>1189</v>
      </c>
      <c r="G8122" s="9">
        <v>61168.75</v>
      </c>
      <c r="H8122" s="8">
        <v>12342</v>
      </c>
    </row>
    <row r="8123" spans="2:8" x14ac:dyDescent="0.4">
      <c r="B8123" t="s">
        <v>7</v>
      </c>
      <c r="C8123" t="s">
        <v>1187</v>
      </c>
      <c r="D8123" s="7">
        <f>DATE(2013,10,23)</f>
        <v>41570</v>
      </c>
      <c r="E8123" s="8">
        <f t="shared" si="131"/>
        <v>2013</v>
      </c>
      <c r="F8123" t="s">
        <v>1189</v>
      </c>
      <c r="G8123" s="9">
        <v>28529.54</v>
      </c>
      <c r="H8123" s="8">
        <v>12662</v>
      </c>
    </row>
    <row r="8124" spans="2:8" x14ac:dyDescent="0.4">
      <c r="B8124" t="s">
        <v>7</v>
      </c>
      <c r="C8124" t="s">
        <v>1187</v>
      </c>
      <c r="D8124" s="7">
        <f>DATE(2014,3,25)</f>
        <v>41723</v>
      </c>
      <c r="E8124" s="8">
        <f t="shared" si="131"/>
        <v>2014</v>
      </c>
      <c r="F8124" t="s">
        <v>1189</v>
      </c>
      <c r="G8124" s="9">
        <v>25939.74</v>
      </c>
      <c r="H8124" s="8">
        <v>13021</v>
      </c>
    </row>
    <row r="8125" spans="2:8" x14ac:dyDescent="0.4">
      <c r="B8125" t="s">
        <v>7</v>
      </c>
      <c r="C8125" t="s">
        <v>1187</v>
      </c>
      <c r="D8125" s="7">
        <f>DATE(2014,5,9)</f>
        <v>41768</v>
      </c>
      <c r="E8125" s="8">
        <f t="shared" si="131"/>
        <v>2014</v>
      </c>
      <c r="F8125" t="s">
        <v>1189</v>
      </c>
      <c r="G8125" s="9">
        <v>14379.44</v>
      </c>
      <c r="H8125" s="8">
        <v>13091</v>
      </c>
    </row>
    <row r="8126" spans="2:8" x14ac:dyDescent="0.4">
      <c r="B8126" t="s">
        <v>7</v>
      </c>
      <c r="C8126" t="s">
        <v>1187</v>
      </c>
      <c r="D8126" s="7">
        <f>DATE(2014,5,9)</f>
        <v>41768</v>
      </c>
      <c r="E8126" s="8">
        <f t="shared" si="131"/>
        <v>2014</v>
      </c>
      <c r="F8126" t="s">
        <v>1189</v>
      </c>
      <c r="G8126" s="9">
        <v>49752.28</v>
      </c>
      <c r="H8126" s="8">
        <v>13185</v>
      </c>
    </row>
    <row r="8127" spans="2:8" x14ac:dyDescent="0.4">
      <c r="B8127" t="s">
        <v>7</v>
      </c>
      <c r="C8127" t="s">
        <v>1187</v>
      </c>
      <c r="D8127" s="7">
        <f>DATE(2014,11,5)</f>
        <v>41948</v>
      </c>
      <c r="E8127" s="8">
        <f t="shared" si="131"/>
        <v>2014</v>
      </c>
      <c r="F8127" t="s">
        <v>1189</v>
      </c>
      <c r="G8127" s="9">
        <v>31866.799999999999</v>
      </c>
      <c r="H8127" s="8">
        <v>13544</v>
      </c>
    </row>
    <row r="8128" spans="2:8" x14ac:dyDescent="0.4">
      <c r="B8128" t="s">
        <v>7</v>
      </c>
      <c r="C8128" t="s">
        <v>1187</v>
      </c>
      <c r="D8128" s="7">
        <f>DATE(2011,3,25)</f>
        <v>40627</v>
      </c>
      <c r="E8128" s="8">
        <f t="shared" si="131"/>
        <v>2011</v>
      </c>
      <c r="F8128" t="s">
        <v>1189</v>
      </c>
      <c r="G8128" s="9">
        <v>6329.74</v>
      </c>
      <c r="H8128" s="8">
        <v>10586</v>
      </c>
    </row>
    <row r="8129" spans="2:8" x14ac:dyDescent="0.4">
      <c r="B8129" t="s">
        <v>7</v>
      </c>
      <c r="C8129" t="s">
        <v>1187</v>
      </c>
      <c r="D8129" s="7">
        <f>DATE(2011,9,23)</f>
        <v>40809</v>
      </c>
      <c r="E8129" s="8">
        <f t="shared" si="131"/>
        <v>2011</v>
      </c>
      <c r="F8129" t="s">
        <v>1189</v>
      </c>
      <c r="G8129" s="9">
        <v>3541.19</v>
      </c>
      <c r="H8129" s="8">
        <v>11031</v>
      </c>
    </row>
    <row r="8130" spans="2:8" x14ac:dyDescent="0.4">
      <c r="B8130" t="s">
        <v>7</v>
      </c>
      <c r="C8130" t="s">
        <v>1187</v>
      </c>
      <c r="D8130" s="7">
        <f>DATE(2011,12,15)</f>
        <v>40892</v>
      </c>
      <c r="E8130" s="8">
        <f t="shared" si="131"/>
        <v>2011</v>
      </c>
      <c r="F8130" t="s">
        <v>1189</v>
      </c>
      <c r="G8130" s="9">
        <v>4467.54</v>
      </c>
      <c r="H8130" s="8">
        <v>11186</v>
      </c>
    </row>
    <row r="8131" spans="2:8" x14ac:dyDescent="0.4">
      <c r="B8131" t="s">
        <v>7</v>
      </c>
      <c r="C8131" t="s">
        <v>1187</v>
      </c>
      <c r="D8131" s="7">
        <f>DATE(2012,10,5)</f>
        <v>41187</v>
      </c>
      <c r="E8131" s="8">
        <f t="shared" ref="E8131:E8194" si="132">YEAR(D8131)</f>
        <v>2012</v>
      </c>
      <c r="F8131" t="s">
        <v>1189</v>
      </c>
      <c r="G8131" s="9">
        <v>5205.3900000000003</v>
      </c>
      <c r="H8131" s="8">
        <v>11900</v>
      </c>
    </row>
    <row r="8132" spans="2:8" x14ac:dyDescent="0.4">
      <c r="B8132" t="s">
        <v>7</v>
      </c>
      <c r="C8132" t="s">
        <v>1187</v>
      </c>
      <c r="D8132" s="7">
        <f>DATE(2012,12,10)</f>
        <v>41253</v>
      </c>
      <c r="E8132" s="8">
        <f t="shared" si="132"/>
        <v>2012</v>
      </c>
      <c r="F8132" t="s">
        <v>1189</v>
      </c>
      <c r="G8132" s="9">
        <v>5458.3</v>
      </c>
      <c r="H8132" s="8">
        <v>12017</v>
      </c>
    </row>
    <row r="8133" spans="2:8" x14ac:dyDescent="0.4">
      <c r="B8133" t="s">
        <v>16</v>
      </c>
      <c r="C8133" t="s">
        <v>1187</v>
      </c>
      <c r="D8133" s="7">
        <f>DATE(2005,5,30)</f>
        <v>38502</v>
      </c>
      <c r="E8133" s="8">
        <f t="shared" si="132"/>
        <v>2005</v>
      </c>
      <c r="F8133" t="s">
        <v>1189</v>
      </c>
      <c r="G8133" s="9">
        <v>1596.78</v>
      </c>
      <c r="H8133" s="8">
        <v>3313</v>
      </c>
    </row>
    <row r="8134" spans="2:8" x14ac:dyDescent="0.4">
      <c r="B8134" s="3" t="s">
        <v>7</v>
      </c>
      <c r="C8134" s="3" t="s">
        <v>1187</v>
      </c>
      <c r="D8134" s="4">
        <f>DATE(2003,2,10)</f>
        <v>37662</v>
      </c>
      <c r="E8134" s="5">
        <f t="shared" si="132"/>
        <v>2003</v>
      </c>
      <c r="F8134" s="3" t="s">
        <v>1189</v>
      </c>
      <c r="G8134" s="6">
        <v>9577.7999999999993</v>
      </c>
      <c r="H8134" s="5">
        <v>133</v>
      </c>
    </row>
    <row r="8135" spans="2:8" x14ac:dyDescent="0.4">
      <c r="B8135" s="3" t="s">
        <v>7</v>
      </c>
      <c r="C8135" s="3" t="s">
        <v>1187</v>
      </c>
      <c r="D8135" s="4">
        <f>DATE(2004,4,29)</f>
        <v>38106</v>
      </c>
      <c r="E8135" s="5">
        <f t="shared" si="132"/>
        <v>2004</v>
      </c>
      <c r="F8135" s="3" t="s">
        <v>1189</v>
      </c>
      <c r="G8135" s="6">
        <v>1020</v>
      </c>
      <c r="H8135" s="5">
        <v>2708</v>
      </c>
    </row>
    <row r="8136" spans="2:8" x14ac:dyDescent="0.4">
      <c r="B8136" s="3" t="s">
        <v>7</v>
      </c>
      <c r="C8136" s="3" t="s">
        <v>1187</v>
      </c>
      <c r="D8136" s="4">
        <f>DATE(2004,6,30)</f>
        <v>38168</v>
      </c>
      <c r="E8136" s="5">
        <f t="shared" si="132"/>
        <v>2004</v>
      </c>
      <c r="F8136" s="3" t="s">
        <v>1189</v>
      </c>
      <c r="G8136" s="6">
        <v>233.5</v>
      </c>
      <c r="H8136" s="5">
        <v>3086</v>
      </c>
    </row>
    <row r="8137" spans="2:8" x14ac:dyDescent="0.4">
      <c r="B8137" s="3" t="s">
        <v>7</v>
      </c>
      <c r="C8137" s="3" t="s">
        <v>1187</v>
      </c>
      <c r="D8137" s="4">
        <f>DATE(2010,7,22)</f>
        <v>40381</v>
      </c>
      <c r="E8137" s="5">
        <f t="shared" si="132"/>
        <v>2010</v>
      </c>
      <c r="F8137" s="3" t="s">
        <v>1189</v>
      </c>
      <c r="G8137" s="6">
        <v>1422</v>
      </c>
      <c r="H8137" s="5">
        <v>14281</v>
      </c>
    </row>
    <row r="8138" spans="2:8" x14ac:dyDescent="0.4">
      <c r="B8138" s="3" t="s">
        <v>7</v>
      </c>
      <c r="C8138" s="3" t="s">
        <v>1187</v>
      </c>
      <c r="D8138" s="4">
        <f>DATE(2010,8,9)</f>
        <v>40399</v>
      </c>
      <c r="E8138" s="5">
        <f t="shared" si="132"/>
        <v>2010</v>
      </c>
      <c r="F8138" s="3" t="s">
        <v>1189</v>
      </c>
      <c r="G8138" s="6">
        <v>16687.5</v>
      </c>
      <c r="H8138" s="5">
        <v>14330</v>
      </c>
    </row>
    <row r="8139" spans="2:8" x14ac:dyDescent="0.4">
      <c r="B8139" s="3" t="s">
        <v>7</v>
      </c>
      <c r="C8139" s="3" t="s">
        <v>1187</v>
      </c>
      <c r="D8139" s="4">
        <f>DATE(2011,2,24)</f>
        <v>40598</v>
      </c>
      <c r="E8139" s="5">
        <f t="shared" si="132"/>
        <v>2011</v>
      </c>
      <c r="F8139" s="3" t="s">
        <v>1189</v>
      </c>
      <c r="G8139" s="6">
        <v>17800</v>
      </c>
      <c r="H8139" s="5">
        <v>15145</v>
      </c>
    </row>
    <row r="8140" spans="2:8" x14ac:dyDescent="0.4">
      <c r="B8140" s="3" t="s">
        <v>7</v>
      </c>
      <c r="C8140" s="3" t="s">
        <v>1187</v>
      </c>
      <c r="D8140" s="4">
        <f>DATE(2012,2,9)</f>
        <v>40948</v>
      </c>
      <c r="E8140" s="5">
        <f t="shared" si="132"/>
        <v>2012</v>
      </c>
      <c r="F8140" s="3" t="s">
        <v>1189</v>
      </c>
      <c r="G8140" s="6">
        <v>11089.4</v>
      </c>
      <c r="H8140" s="5">
        <v>16498</v>
      </c>
    </row>
    <row r="8141" spans="2:8" x14ac:dyDescent="0.4">
      <c r="B8141" s="3" t="s">
        <v>7</v>
      </c>
      <c r="C8141" s="3" t="s">
        <v>1187</v>
      </c>
      <c r="D8141" s="4">
        <f>DATE(2012,2,14)</f>
        <v>40953</v>
      </c>
      <c r="E8141" s="5">
        <f t="shared" si="132"/>
        <v>2012</v>
      </c>
      <c r="F8141" s="3" t="s">
        <v>1189</v>
      </c>
      <c r="G8141" s="6">
        <v>11089.4</v>
      </c>
      <c r="H8141" s="5">
        <v>16487</v>
      </c>
    </row>
    <row r="8142" spans="2:8" x14ac:dyDescent="0.4">
      <c r="B8142" s="3" t="s">
        <v>7</v>
      </c>
      <c r="C8142" s="3" t="s">
        <v>1187</v>
      </c>
      <c r="D8142" s="4">
        <f>DATE(2012,3,9)</f>
        <v>40977</v>
      </c>
      <c r="E8142" s="5">
        <f t="shared" si="132"/>
        <v>2012</v>
      </c>
      <c r="F8142" s="3" t="s">
        <v>1189</v>
      </c>
      <c r="G8142" s="6">
        <v>4940</v>
      </c>
      <c r="H8142" s="5">
        <v>16724</v>
      </c>
    </row>
    <row r="8143" spans="2:8" x14ac:dyDescent="0.4">
      <c r="B8143" s="3" t="s">
        <v>7</v>
      </c>
      <c r="C8143" s="3" t="s">
        <v>1187</v>
      </c>
      <c r="D8143" s="4">
        <f>DATE(2012,6,6)</f>
        <v>41066</v>
      </c>
      <c r="E8143" s="5">
        <f t="shared" si="132"/>
        <v>2012</v>
      </c>
      <c r="F8143" s="3" t="s">
        <v>1189</v>
      </c>
      <c r="G8143" s="6">
        <v>4940</v>
      </c>
      <c r="H8143" s="5">
        <v>17222</v>
      </c>
    </row>
    <row r="8144" spans="2:8" x14ac:dyDescent="0.4">
      <c r="B8144" s="3" t="s">
        <v>7</v>
      </c>
      <c r="C8144" s="3" t="s">
        <v>1187</v>
      </c>
      <c r="D8144" s="4">
        <f>DATE(2013,4,11)</f>
        <v>41375</v>
      </c>
      <c r="E8144" s="5">
        <f t="shared" si="132"/>
        <v>2013</v>
      </c>
      <c r="F8144" s="3" t="s">
        <v>1189</v>
      </c>
      <c r="G8144" s="6">
        <v>11089.4</v>
      </c>
      <c r="H8144" s="5">
        <v>18418</v>
      </c>
    </row>
    <row r="8145" spans="2:8" x14ac:dyDescent="0.4">
      <c r="B8145" s="3" t="s">
        <v>7</v>
      </c>
      <c r="C8145" s="3" t="s">
        <v>1187</v>
      </c>
      <c r="D8145" s="4">
        <f>DATE(2013,4,11)</f>
        <v>41375</v>
      </c>
      <c r="E8145" s="5">
        <f t="shared" si="132"/>
        <v>2013</v>
      </c>
      <c r="F8145" s="3" t="s">
        <v>1189</v>
      </c>
      <c r="G8145" s="6">
        <v>4940</v>
      </c>
      <c r="H8145" s="5">
        <v>18433</v>
      </c>
    </row>
    <row r="8146" spans="2:8" x14ac:dyDescent="0.4">
      <c r="B8146" s="3" t="s">
        <v>7</v>
      </c>
      <c r="C8146" s="3" t="s">
        <v>1187</v>
      </c>
      <c r="D8146" s="4">
        <f>DATE(2013,10,30)</f>
        <v>41577</v>
      </c>
      <c r="E8146" s="5">
        <f t="shared" si="132"/>
        <v>2013</v>
      </c>
      <c r="F8146" s="3" t="s">
        <v>1189</v>
      </c>
      <c r="G8146" s="6">
        <v>4940</v>
      </c>
      <c r="H8146" s="5">
        <v>19114</v>
      </c>
    </row>
    <row r="8147" spans="2:8" x14ac:dyDescent="0.4">
      <c r="B8147" s="3" t="s">
        <v>7</v>
      </c>
      <c r="C8147" s="3" t="s">
        <v>1187</v>
      </c>
      <c r="D8147" s="4">
        <f>DATE(2014,3,18)</f>
        <v>41716</v>
      </c>
      <c r="E8147" s="5">
        <f t="shared" si="132"/>
        <v>2014</v>
      </c>
      <c r="F8147" s="3" t="s">
        <v>1189</v>
      </c>
      <c r="G8147" s="6">
        <v>4940</v>
      </c>
      <c r="H8147" s="5">
        <v>19685</v>
      </c>
    </row>
    <row r="8148" spans="2:8" x14ac:dyDescent="0.4">
      <c r="B8148" s="3" t="s">
        <v>7</v>
      </c>
      <c r="C8148" s="3" t="s">
        <v>1187</v>
      </c>
      <c r="D8148" s="4">
        <f>DATE(2014,3,27)</f>
        <v>41725</v>
      </c>
      <c r="E8148" s="5">
        <f t="shared" si="132"/>
        <v>2014</v>
      </c>
      <c r="F8148" s="3" t="s">
        <v>1189</v>
      </c>
      <c r="G8148" s="6">
        <v>2850</v>
      </c>
      <c r="H8148" s="5">
        <v>19662</v>
      </c>
    </row>
    <row r="8149" spans="2:8" x14ac:dyDescent="0.4">
      <c r="B8149" s="3" t="s">
        <v>7</v>
      </c>
      <c r="C8149" s="3" t="s">
        <v>1187</v>
      </c>
      <c r="D8149" s="4">
        <f>DATE(2014,10,10)</f>
        <v>41922</v>
      </c>
      <c r="E8149" s="5">
        <f t="shared" si="132"/>
        <v>2014</v>
      </c>
      <c r="F8149" s="3" t="s">
        <v>1189</v>
      </c>
      <c r="G8149" s="6">
        <v>4940</v>
      </c>
      <c r="H8149" s="5">
        <v>20503</v>
      </c>
    </row>
    <row r="8150" spans="2:8" x14ac:dyDescent="0.4">
      <c r="B8150" s="3" t="s">
        <v>7</v>
      </c>
      <c r="C8150" s="3" t="s">
        <v>1187</v>
      </c>
      <c r="D8150" s="4">
        <f>DATE(2014,10,22)</f>
        <v>41934</v>
      </c>
      <c r="E8150" s="5">
        <f t="shared" si="132"/>
        <v>2014</v>
      </c>
      <c r="F8150" s="3" t="s">
        <v>1189</v>
      </c>
      <c r="G8150" s="6">
        <v>11089.4</v>
      </c>
      <c r="H8150" s="5">
        <v>20545</v>
      </c>
    </row>
    <row r="8151" spans="2:8" x14ac:dyDescent="0.4">
      <c r="B8151" s="3" t="s">
        <v>7</v>
      </c>
      <c r="C8151" s="3" t="s">
        <v>1187</v>
      </c>
      <c r="D8151" s="4">
        <f>DATE(2014,10,30)</f>
        <v>41942</v>
      </c>
      <c r="E8151" s="5">
        <f t="shared" si="132"/>
        <v>2014</v>
      </c>
      <c r="F8151" s="3" t="s">
        <v>1189</v>
      </c>
      <c r="G8151" s="6">
        <v>11089.4</v>
      </c>
      <c r="H8151" s="5">
        <v>20573</v>
      </c>
    </row>
    <row r="8152" spans="2:8" x14ac:dyDescent="0.4">
      <c r="B8152" t="s">
        <v>7</v>
      </c>
      <c r="C8152" t="s">
        <v>1190</v>
      </c>
      <c r="D8152" s="7">
        <f>DATE(2016,4,14)</f>
        <v>42474</v>
      </c>
      <c r="E8152" s="8">
        <f t="shared" si="132"/>
        <v>2016</v>
      </c>
      <c r="F8152" t="s">
        <v>1191</v>
      </c>
      <c r="G8152" s="9">
        <v>48128</v>
      </c>
      <c r="H8152" s="8">
        <v>22671</v>
      </c>
    </row>
    <row r="8153" spans="2:8" x14ac:dyDescent="0.4">
      <c r="B8153" t="s">
        <v>7</v>
      </c>
      <c r="C8153" t="s">
        <v>1190</v>
      </c>
      <c r="D8153" s="7">
        <f>DATE(2016,4,29)</f>
        <v>42489</v>
      </c>
      <c r="E8153" s="8">
        <f t="shared" si="132"/>
        <v>2016</v>
      </c>
      <c r="F8153" t="s">
        <v>1191</v>
      </c>
      <c r="G8153" s="9">
        <v>176096.5</v>
      </c>
      <c r="H8153" s="8">
        <v>20097</v>
      </c>
    </row>
    <row r="8154" spans="2:8" x14ac:dyDescent="0.4">
      <c r="B8154" t="s">
        <v>7</v>
      </c>
      <c r="C8154" t="s">
        <v>1190</v>
      </c>
      <c r="D8154" s="7">
        <f>DATE(2016,4,29)</f>
        <v>42489</v>
      </c>
      <c r="E8154" s="8">
        <f t="shared" si="132"/>
        <v>2016</v>
      </c>
      <c r="F8154" t="s">
        <v>1191</v>
      </c>
      <c r="G8154" s="9">
        <v>7880</v>
      </c>
      <c r="H8154" s="8">
        <v>20883</v>
      </c>
    </row>
    <row r="8155" spans="2:8" x14ac:dyDescent="0.4">
      <c r="B8155" t="s">
        <v>7</v>
      </c>
      <c r="C8155" t="s">
        <v>1190</v>
      </c>
      <c r="D8155" s="7">
        <f>DATE(2016,4,29)</f>
        <v>42489</v>
      </c>
      <c r="E8155" s="8">
        <f t="shared" si="132"/>
        <v>2016</v>
      </c>
      <c r="F8155" t="s">
        <v>1191</v>
      </c>
      <c r="G8155" s="9">
        <v>5663</v>
      </c>
      <c r="H8155" s="8">
        <v>21810</v>
      </c>
    </row>
    <row r="8156" spans="2:8" x14ac:dyDescent="0.4">
      <c r="B8156" t="s">
        <v>7</v>
      </c>
      <c r="C8156" t="s">
        <v>1190</v>
      </c>
      <c r="D8156" s="7">
        <f>DATE(2018,3,22)</f>
        <v>43181</v>
      </c>
      <c r="E8156" s="8">
        <f t="shared" si="132"/>
        <v>2018</v>
      </c>
      <c r="F8156" t="s">
        <v>1191</v>
      </c>
      <c r="G8156" s="9">
        <v>245751.15</v>
      </c>
      <c r="H8156" s="8">
        <v>26187</v>
      </c>
    </row>
    <row r="8157" spans="2:8" x14ac:dyDescent="0.4">
      <c r="B8157" t="s">
        <v>7</v>
      </c>
      <c r="C8157" t="s">
        <v>1190</v>
      </c>
      <c r="D8157" s="7">
        <f>DATE(2016,4,29)</f>
        <v>42489</v>
      </c>
      <c r="E8157" s="8">
        <f t="shared" si="132"/>
        <v>2016</v>
      </c>
      <c r="F8157" t="s">
        <v>1191</v>
      </c>
      <c r="G8157" s="9">
        <v>178225.25</v>
      </c>
      <c r="H8157" s="8">
        <v>20098</v>
      </c>
    </row>
    <row r="8158" spans="2:8" x14ac:dyDescent="0.4">
      <c r="B8158" t="s">
        <v>7</v>
      </c>
      <c r="C8158" t="s">
        <v>1190</v>
      </c>
      <c r="D8158" s="7">
        <f>DATE(2016,4,29)</f>
        <v>42489</v>
      </c>
      <c r="E8158" s="8">
        <f t="shared" si="132"/>
        <v>2016</v>
      </c>
      <c r="F8158" t="s">
        <v>1191</v>
      </c>
      <c r="G8158" s="9">
        <v>22055</v>
      </c>
      <c r="H8158" s="8">
        <v>20885</v>
      </c>
    </row>
    <row r="8159" spans="2:8" x14ac:dyDescent="0.4">
      <c r="B8159" t="s">
        <v>7</v>
      </c>
      <c r="C8159" t="s">
        <v>1190</v>
      </c>
      <c r="D8159" s="7">
        <f>DATE(2016,4,29)</f>
        <v>42489</v>
      </c>
      <c r="E8159" s="8">
        <f t="shared" si="132"/>
        <v>2016</v>
      </c>
      <c r="F8159" t="s">
        <v>1191</v>
      </c>
      <c r="G8159" s="9">
        <v>29092</v>
      </c>
      <c r="H8159" s="8">
        <v>21813</v>
      </c>
    </row>
    <row r="8160" spans="2:8" x14ac:dyDescent="0.4">
      <c r="B8160" t="s">
        <v>7</v>
      </c>
      <c r="C8160" t="s">
        <v>1190</v>
      </c>
      <c r="D8160" s="7">
        <f>DATE(2016,4,29)</f>
        <v>42489</v>
      </c>
      <c r="E8160" s="8">
        <f t="shared" si="132"/>
        <v>2016</v>
      </c>
      <c r="F8160" t="s">
        <v>1191</v>
      </c>
      <c r="G8160" s="9">
        <v>160600</v>
      </c>
      <c r="H8160" s="8">
        <v>22299</v>
      </c>
    </row>
    <row r="8161" spans="2:8" x14ac:dyDescent="0.4">
      <c r="B8161" t="s">
        <v>7</v>
      </c>
      <c r="C8161" t="s">
        <v>1190</v>
      </c>
      <c r="D8161" s="7">
        <f>DATE(2018,3,22)</f>
        <v>43181</v>
      </c>
      <c r="E8161" s="8">
        <f t="shared" si="132"/>
        <v>2018</v>
      </c>
      <c r="F8161" t="s">
        <v>1191</v>
      </c>
      <c r="G8161" s="9">
        <v>98487.47</v>
      </c>
      <c r="H8161" s="8">
        <v>26091</v>
      </c>
    </row>
    <row r="8162" spans="2:8" x14ac:dyDescent="0.4">
      <c r="B8162" t="s">
        <v>7</v>
      </c>
      <c r="C8162" t="s">
        <v>1190</v>
      </c>
      <c r="D8162" s="7">
        <f>DATE(2018,9,14)</f>
        <v>43357</v>
      </c>
      <c r="E8162" s="8">
        <f t="shared" si="132"/>
        <v>2018</v>
      </c>
      <c r="F8162" t="s">
        <v>1191</v>
      </c>
      <c r="G8162" s="9">
        <v>4011.76</v>
      </c>
      <c r="H8162" s="8">
        <v>27166</v>
      </c>
    </row>
    <row r="8163" spans="2:8" x14ac:dyDescent="0.4">
      <c r="B8163" t="s">
        <v>7</v>
      </c>
      <c r="C8163" t="s">
        <v>1190</v>
      </c>
      <c r="D8163" s="7">
        <f>DATE(2015,5,28)</f>
        <v>42152</v>
      </c>
      <c r="E8163" s="8">
        <f t="shared" si="132"/>
        <v>2015</v>
      </c>
      <c r="F8163" t="s">
        <v>1191</v>
      </c>
      <c r="G8163" s="9">
        <v>30400</v>
      </c>
      <c r="H8163" s="8">
        <v>20511</v>
      </c>
    </row>
    <row r="8164" spans="2:8" x14ac:dyDescent="0.4">
      <c r="B8164" t="s">
        <v>7</v>
      </c>
      <c r="C8164" t="s">
        <v>1190</v>
      </c>
      <c r="D8164" s="7">
        <f>DATE(2016,8,3)</f>
        <v>42585</v>
      </c>
      <c r="E8164" s="8">
        <f t="shared" si="132"/>
        <v>2016</v>
      </c>
      <c r="F8164" t="s">
        <v>1191</v>
      </c>
      <c r="G8164" s="9">
        <v>2600</v>
      </c>
      <c r="H8164" s="8">
        <v>23132</v>
      </c>
    </row>
    <row r="8165" spans="2:8" x14ac:dyDescent="0.4">
      <c r="B8165" t="s">
        <v>7</v>
      </c>
      <c r="C8165" t="s">
        <v>1190</v>
      </c>
      <c r="D8165" s="7">
        <f>DATE(2016,9,15)</f>
        <v>42628</v>
      </c>
      <c r="E8165" s="8">
        <f t="shared" si="132"/>
        <v>2016</v>
      </c>
      <c r="F8165" t="s">
        <v>1191</v>
      </c>
      <c r="G8165" s="9">
        <v>5500</v>
      </c>
      <c r="H8165" s="8">
        <v>23479</v>
      </c>
    </row>
    <row r="8166" spans="2:8" x14ac:dyDescent="0.4">
      <c r="B8166" t="s">
        <v>7</v>
      </c>
      <c r="C8166" t="s">
        <v>1190</v>
      </c>
      <c r="D8166" s="7">
        <f>DATE(2017,1,19)</f>
        <v>42754</v>
      </c>
      <c r="E8166" s="8">
        <f t="shared" si="132"/>
        <v>2017</v>
      </c>
      <c r="F8166" t="s">
        <v>1191</v>
      </c>
      <c r="G8166" s="9">
        <v>3900</v>
      </c>
      <c r="H8166" s="8">
        <v>24061</v>
      </c>
    </row>
    <row r="8167" spans="2:8" x14ac:dyDescent="0.4">
      <c r="B8167" t="s">
        <v>7</v>
      </c>
      <c r="C8167" t="s">
        <v>1190</v>
      </c>
      <c r="D8167" s="7">
        <f>DATE(2017,2,21)</f>
        <v>42787</v>
      </c>
      <c r="E8167" s="8">
        <f t="shared" si="132"/>
        <v>2017</v>
      </c>
      <c r="F8167" t="s">
        <v>1191</v>
      </c>
      <c r="G8167" s="9">
        <v>14755</v>
      </c>
      <c r="H8167" s="8">
        <v>24219</v>
      </c>
    </row>
    <row r="8168" spans="2:8" x14ac:dyDescent="0.4">
      <c r="B8168" t="s">
        <v>7</v>
      </c>
      <c r="C8168" t="s">
        <v>1190</v>
      </c>
      <c r="D8168" s="7">
        <f>DATE(2017,7,26)</f>
        <v>42942</v>
      </c>
      <c r="E8168" s="8">
        <f t="shared" si="132"/>
        <v>2017</v>
      </c>
      <c r="F8168" t="s">
        <v>1191</v>
      </c>
      <c r="G8168" s="9">
        <v>1195.5</v>
      </c>
      <c r="H8168" s="8">
        <v>25188</v>
      </c>
    </row>
    <row r="8169" spans="2:8" x14ac:dyDescent="0.4">
      <c r="B8169" t="s">
        <v>7</v>
      </c>
      <c r="C8169" t="s">
        <v>1190</v>
      </c>
      <c r="D8169" s="7">
        <f>DATE(2017,7,26)</f>
        <v>42942</v>
      </c>
      <c r="E8169" s="8">
        <f t="shared" si="132"/>
        <v>2017</v>
      </c>
      <c r="F8169" t="s">
        <v>1191</v>
      </c>
      <c r="G8169" s="9">
        <v>52</v>
      </c>
      <c r="H8169" s="8">
        <v>25283</v>
      </c>
    </row>
    <row r="8170" spans="2:8" x14ac:dyDescent="0.4">
      <c r="B8170" t="s">
        <v>7</v>
      </c>
      <c r="C8170" t="s">
        <v>1190</v>
      </c>
      <c r="D8170" s="7">
        <f>DATE(2017,8,10)</f>
        <v>42957</v>
      </c>
      <c r="E8170" s="8">
        <f t="shared" si="132"/>
        <v>2017</v>
      </c>
      <c r="F8170" t="s">
        <v>1191</v>
      </c>
      <c r="G8170" s="9">
        <v>30400</v>
      </c>
      <c r="H8170" s="8">
        <v>25318</v>
      </c>
    </row>
    <row r="8171" spans="2:8" x14ac:dyDescent="0.4">
      <c r="B8171" t="s">
        <v>7</v>
      </c>
      <c r="C8171" t="s">
        <v>1190</v>
      </c>
      <c r="D8171" s="7">
        <f>DATE(2017,10,2)</f>
        <v>43010</v>
      </c>
      <c r="E8171" s="8">
        <f t="shared" si="132"/>
        <v>2017</v>
      </c>
      <c r="F8171" t="s">
        <v>1191</v>
      </c>
      <c r="G8171" s="9">
        <v>2200</v>
      </c>
      <c r="H8171" s="8">
        <v>25483</v>
      </c>
    </row>
    <row r="8172" spans="2:8" x14ac:dyDescent="0.4">
      <c r="B8172" t="s">
        <v>7</v>
      </c>
      <c r="C8172" t="s">
        <v>1190</v>
      </c>
      <c r="D8172" s="7">
        <f>DATE(2018,6,13)</f>
        <v>43264</v>
      </c>
      <c r="E8172" s="8">
        <f t="shared" si="132"/>
        <v>2018</v>
      </c>
      <c r="F8172" t="s">
        <v>1191</v>
      </c>
      <c r="G8172" s="9">
        <v>408</v>
      </c>
      <c r="H8172" s="8">
        <v>27208</v>
      </c>
    </row>
    <row r="8173" spans="2:8" x14ac:dyDescent="0.4">
      <c r="B8173" t="s">
        <v>7</v>
      </c>
      <c r="C8173" t="s">
        <v>1190</v>
      </c>
      <c r="D8173" s="7">
        <f>DATE(2019,1,31)</f>
        <v>43496</v>
      </c>
      <c r="E8173" s="8">
        <f t="shared" si="132"/>
        <v>2019</v>
      </c>
      <c r="F8173" t="s">
        <v>1191</v>
      </c>
      <c r="G8173" s="9">
        <v>7175</v>
      </c>
      <c r="H8173" s="8">
        <v>28308</v>
      </c>
    </row>
    <row r="8174" spans="2:8" x14ac:dyDescent="0.4">
      <c r="B8174" t="s">
        <v>7</v>
      </c>
      <c r="C8174" t="s">
        <v>1190</v>
      </c>
      <c r="D8174" s="7">
        <f>DATE(2017,1,11)</f>
        <v>42746</v>
      </c>
      <c r="E8174" s="8">
        <f t="shared" si="132"/>
        <v>2017</v>
      </c>
      <c r="F8174" t="s">
        <v>1191</v>
      </c>
      <c r="G8174" s="9">
        <v>6786.51</v>
      </c>
      <c r="H8174" s="8">
        <v>23925</v>
      </c>
    </row>
    <row r="8175" spans="2:8" x14ac:dyDescent="0.4">
      <c r="B8175" t="s">
        <v>7</v>
      </c>
      <c r="C8175" t="s">
        <v>1190</v>
      </c>
      <c r="D8175" s="7">
        <f>DATE(2017,3,3)</f>
        <v>42797</v>
      </c>
      <c r="E8175" s="8">
        <f t="shared" si="132"/>
        <v>2017</v>
      </c>
      <c r="F8175" t="s">
        <v>1191</v>
      </c>
      <c r="G8175" s="9">
        <v>25181.49</v>
      </c>
      <c r="H8175" s="8">
        <v>24331</v>
      </c>
    </row>
    <row r="8176" spans="2:8" x14ac:dyDescent="0.4">
      <c r="B8176" t="s">
        <v>7</v>
      </c>
      <c r="C8176" t="s">
        <v>1190</v>
      </c>
      <c r="D8176" s="7">
        <f>DATE(2018,2,16)</f>
        <v>43147</v>
      </c>
      <c r="E8176" s="8">
        <f t="shared" si="132"/>
        <v>2018</v>
      </c>
      <c r="F8176" t="s">
        <v>1191</v>
      </c>
      <c r="G8176" s="9">
        <v>7056.33</v>
      </c>
      <c r="H8176" s="8">
        <v>26408</v>
      </c>
    </row>
    <row r="8177" spans="2:8" x14ac:dyDescent="0.4">
      <c r="B8177" t="s">
        <v>7</v>
      </c>
      <c r="C8177" t="s">
        <v>1190</v>
      </c>
      <c r="D8177" s="7">
        <f>DATE(2018,4,4)</f>
        <v>43194</v>
      </c>
      <c r="E8177" s="8">
        <f t="shared" si="132"/>
        <v>2018</v>
      </c>
      <c r="F8177" t="s">
        <v>1191</v>
      </c>
      <c r="G8177" s="9">
        <v>19095.73</v>
      </c>
      <c r="H8177" s="8">
        <v>26569</v>
      </c>
    </row>
    <row r="8178" spans="2:8" x14ac:dyDescent="0.4">
      <c r="B8178" t="s">
        <v>7</v>
      </c>
      <c r="C8178" t="s">
        <v>1190</v>
      </c>
      <c r="D8178" s="7">
        <f>DATE(2007,3,29)</f>
        <v>39170</v>
      </c>
      <c r="E8178" s="8">
        <f t="shared" si="132"/>
        <v>2007</v>
      </c>
      <c r="F8178" t="s">
        <v>1191</v>
      </c>
      <c r="G8178" s="9">
        <v>1299</v>
      </c>
      <c r="H8178" s="8">
        <v>5655</v>
      </c>
    </row>
    <row r="8179" spans="2:8" x14ac:dyDescent="0.4">
      <c r="B8179" t="s">
        <v>7</v>
      </c>
      <c r="C8179" t="s">
        <v>1190</v>
      </c>
      <c r="D8179" s="7">
        <f>DATE(2011,11,15)</f>
        <v>40862</v>
      </c>
      <c r="E8179" s="8">
        <f t="shared" si="132"/>
        <v>2011</v>
      </c>
      <c r="F8179" t="s">
        <v>1191</v>
      </c>
      <c r="G8179" s="9">
        <v>353808.79</v>
      </c>
      <c r="H8179" s="8">
        <v>10542</v>
      </c>
    </row>
    <row r="8180" spans="2:8" x14ac:dyDescent="0.4">
      <c r="B8180" t="s">
        <v>7</v>
      </c>
      <c r="C8180" t="s">
        <v>1190</v>
      </c>
      <c r="D8180" s="7">
        <f>DATE(2012,2,22)</f>
        <v>40961</v>
      </c>
      <c r="E8180" s="8">
        <f t="shared" si="132"/>
        <v>2012</v>
      </c>
      <c r="F8180" t="s">
        <v>1191</v>
      </c>
      <c r="G8180" s="9">
        <v>15203</v>
      </c>
      <c r="H8180" s="8">
        <v>11214</v>
      </c>
    </row>
    <row r="8181" spans="2:8" x14ac:dyDescent="0.4">
      <c r="B8181" t="s">
        <v>7</v>
      </c>
      <c r="C8181" t="s">
        <v>1190</v>
      </c>
      <c r="D8181" s="7">
        <f>DATE(2012,3,26)</f>
        <v>40994</v>
      </c>
      <c r="E8181" s="8">
        <f t="shared" si="132"/>
        <v>2012</v>
      </c>
      <c r="F8181" t="s">
        <v>1191</v>
      </c>
      <c r="G8181" s="9">
        <v>15203</v>
      </c>
      <c r="H8181" s="8">
        <v>11215</v>
      </c>
    </row>
    <row r="8182" spans="2:8" x14ac:dyDescent="0.4">
      <c r="B8182" t="s">
        <v>7</v>
      </c>
      <c r="C8182" t="s">
        <v>1190</v>
      </c>
      <c r="D8182" s="7">
        <f>DATE(2012,4,10)</f>
        <v>41009</v>
      </c>
      <c r="E8182" s="8">
        <f t="shared" si="132"/>
        <v>2012</v>
      </c>
      <c r="F8182" t="s">
        <v>1191</v>
      </c>
      <c r="G8182" s="9">
        <v>15203</v>
      </c>
      <c r="H8182" s="8">
        <v>11216</v>
      </c>
    </row>
    <row r="8183" spans="2:8" x14ac:dyDescent="0.4">
      <c r="B8183" t="s">
        <v>7</v>
      </c>
      <c r="C8183" t="s">
        <v>1190</v>
      </c>
      <c r="D8183" s="7">
        <f>DATE(2013,10,9)</f>
        <v>41556</v>
      </c>
      <c r="E8183" s="8">
        <f t="shared" si="132"/>
        <v>2013</v>
      </c>
      <c r="F8183" t="s">
        <v>1191</v>
      </c>
      <c r="G8183" s="9">
        <v>26280.63</v>
      </c>
      <c r="H8183" s="8">
        <v>12615</v>
      </c>
    </row>
    <row r="8184" spans="2:8" x14ac:dyDescent="0.4">
      <c r="B8184" t="s">
        <v>7</v>
      </c>
      <c r="C8184" t="s">
        <v>1190</v>
      </c>
      <c r="D8184" s="7">
        <f>DATE(2014,1,14)</f>
        <v>41653</v>
      </c>
      <c r="E8184" s="8">
        <f t="shared" si="132"/>
        <v>2014</v>
      </c>
      <c r="F8184" t="s">
        <v>1191</v>
      </c>
      <c r="G8184" s="9">
        <v>16389</v>
      </c>
      <c r="H8184" s="8">
        <v>12849</v>
      </c>
    </row>
    <row r="8185" spans="2:8" x14ac:dyDescent="0.4">
      <c r="B8185" t="s">
        <v>7</v>
      </c>
      <c r="C8185" t="s">
        <v>1190</v>
      </c>
      <c r="D8185" s="7">
        <f>DATE(2014,3,21)</f>
        <v>41719</v>
      </c>
      <c r="E8185" s="8">
        <f t="shared" si="132"/>
        <v>2014</v>
      </c>
      <c r="F8185" t="s">
        <v>1191</v>
      </c>
      <c r="G8185" s="9">
        <v>382327.78</v>
      </c>
      <c r="H8185" s="8">
        <v>12787</v>
      </c>
    </row>
    <row r="8186" spans="2:8" x14ac:dyDescent="0.4">
      <c r="B8186" t="s">
        <v>7</v>
      </c>
      <c r="C8186" t="s">
        <v>1190</v>
      </c>
      <c r="D8186" s="7">
        <f>DATE(2014,9,9)</f>
        <v>41891</v>
      </c>
      <c r="E8186" s="8">
        <f t="shared" si="132"/>
        <v>2014</v>
      </c>
      <c r="F8186" t="s">
        <v>1191</v>
      </c>
      <c r="G8186" s="9">
        <v>24786.5</v>
      </c>
      <c r="H8186" s="8">
        <v>13131</v>
      </c>
    </row>
    <row r="8187" spans="2:8" x14ac:dyDescent="0.4">
      <c r="B8187" t="s">
        <v>7</v>
      </c>
      <c r="C8187" t="s">
        <v>1190</v>
      </c>
      <c r="D8187" s="7">
        <f>DATE(2006,3,15)</f>
        <v>38791</v>
      </c>
      <c r="E8187" s="8">
        <f t="shared" si="132"/>
        <v>2006</v>
      </c>
      <c r="F8187" t="s">
        <v>1191</v>
      </c>
      <c r="G8187" s="9">
        <v>17128.45</v>
      </c>
      <c r="H8187" s="8">
        <v>4132</v>
      </c>
    </row>
    <row r="8188" spans="2:8" x14ac:dyDescent="0.4">
      <c r="B8188" t="s">
        <v>7</v>
      </c>
      <c r="C8188" t="s">
        <v>1190</v>
      </c>
      <c r="D8188" s="7">
        <f>DATE(2006,3,31)</f>
        <v>38807</v>
      </c>
      <c r="E8188" s="8">
        <f t="shared" si="132"/>
        <v>2006</v>
      </c>
      <c r="F8188" t="s">
        <v>1191</v>
      </c>
      <c r="G8188" s="9">
        <v>6500</v>
      </c>
      <c r="H8188" s="8">
        <v>4385</v>
      </c>
    </row>
    <row r="8189" spans="2:8" x14ac:dyDescent="0.4">
      <c r="B8189" t="s">
        <v>7</v>
      </c>
      <c r="C8189" t="s">
        <v>1190</v>
      </c>
      <c r="D8189" s="7">
        <f>DATE(2006,7,26)</f>
        <v>38924</v>
      </c>
      <c r="E8189" s="8">
        <f t="shared" si="132"/>
        <v>2006</v>
      </c>
      <c r="F8189" t="s">
        <v>1191</v>
      </c>
      <c r="G8189" s="9">
        <v>2844.46</v>
      </c>
      <c r="H8189" s="8">
        <v>4800</v>
      </c>
    </row>
    <row r="8190" spans="2:8" x14ac:dyDescent="0.4">
      <c r="B8190" t="s">
        <v>7</v>
      </c>
      <c r="C8190" t="s">
        <v>1190</v>
      </c>
      <c r="D8190" s="7">
        <f>DATE(2007,3,29)</f>
        <v>39170</v>
      </c>
      <c r="E8190" s="8">
        <f t="shared" si="132"/>
        <v>2007</v>
      </c>
      <c r="F8190" t="s">
        <v>1191</v>
      </c>
      <c r="G8190" s="9">
        <v>1338.6</v>
      </c>
      <c r="H8190" s="8">
        <v>5686</v>
      </c>
    </row>
    <row r="8191" spans="2:8" x14ac:dyDescent="0.4">
      <c r="B8191" t="s">
        <v>7</v>
      </c>
      <c r="C8191" t="s">
        <v>1190</v>
      </c>
      <c r="D8191" s="7">
        <f>DATE(2007,5,1)</f>
        <v>39203</v>
      </c>
      <c r="E8191" s="8">
        <f t="shared" si="132"/>
        <v>2007</v>
      </c>
      <c r="F8191" t="s">
        <v>1191</v>
      </c>
      <c r="G8191" s="9">
        <v>10900</v>
      </c>
      <c r="H8191" s="8">
        <v>5904</v>
      </c>
    </row>
    <row r="8192" spans="2:8" x14ac:dyDescent="0.4">
      <c r="B8192" t="s">
        <v>7</v>
      </c>
      <c r="C8192" t="s">
        <v>1190</v>
      </c>
      <c r="D8192" s="7">
        <f>DATE(2007,5,4)</f>
        <v>39206</v>
      </c>
      <c r="E8192" s="8">
        <f t="shared" si="132"/>
        <v>2007</v>
      </c>
      <c r="F8192" t="s">
        <v>1191</v>
      </c>
      <c r="G8192" s="9">
        <v>2634.5</v>
      </c>
      <c r="H8192" s="8">
        <v>5936</v>
      </c>
    </row>
    <row r="8193" spans="2:8" x14ac:dyDescent="0.4">
      <c r="B8193" t="s">
        <v>7</v>
      </c>
      <c r="C8193" t="s">
        <v>1190</v>
      </c>
      <c r="D8193" s="7">
        <f>DATE(2007,6,21)</f>
        <v>39254</v>
      </c>
      <c r="E8193" s="8">
        <f t="shared" si="132"/>
        <v>2007</v>
      </c>
      <c r="F8193" t="s">
        <v>1191</v>
      </c>
      <c r="G8193" s="9">
        <v>13482.6</v>
      </c>
      <c r="H8193" s="8">
        <v>5981</v>
      </c>
    </row>
    <row r="8194" spans="2:8" x14ac:dyDescent="0.4">
      <c r="B8194" t="s">
        <v>7</v>
      </c>
      <c r="C8194" t="s">
        <v>1190</v>
      </c>
      <c r="D8194" s="7">
        <f>DATE(2007,7,31)</f>
        <v>39294</v>
      </c>
      <c r="E8194" s="8">
        <f t="shared" si="132"/>
        <v>2007</v>
      </c>
      <c r="F8194" t="s">
        <v>1191</v>
      </c>
      <c r="G8194" s="9">
        <v>10900</v>
      </c>
      <c r="H8194" s="8">
        <v>6161</v>
      </c>
    </row>
    <row r="8195" spans="2:8" x14ac:dyDescent="0.4">
      <c r="B8195" t="s">
        <v>7</v>
      </c>
      <c r="C8195" t="s">
        <v>1190</v>
      </c>
      <c r="D8195" s="7">
        <f>DATE(2007,12,7)</f>
        <v>39423</v>
      </c>
      <c r="E8195" s="8">
        <f t="shared" ref="E8195:E8258" si="133">YEAR(D8195)</f>
        <v>2007</v>
      </c>
      <c r="F8195" t="s">
        <v>1191</v>
      </c>
      <c r="G8195" s="9">
        <v>15617.64</v>
      </c>
      <c r="H8195" s="8">
        <v>6676</v>
      </c>
    </row>
    <row r="8196" spans="2:8" x14ac:dyDescent="0.4">
      <c r="B8196" t="s">
        <v>7</v>
      </c>
      <c r="C8196" t="s">
        <v>1190</v>
      </c>
      <c r="D8196" s="7">
        <f>DATE(2008,1,1)</f>
        <v>39448</v>
      </c>
      <c r="E8196" s="8">
        <f t="shared" si="133"/>
        <v>2008</v>
      </c>
      <c r="F8196" t="s">
        <v>1191</v>
      </c>
      <c r="G8196" s="9">
        <v>1980</v>
      </c>
      <c r="H8196" s="8">
        <v>7062</v>
      </c>
    </row>
    <row r="8197" spans="2:8" x14ac:dyDescent="0.4">
      <c r="B8197" t="s">
        <v>7</v>
      </c>
      <c r="C8197" t="s">
        <v>1190</v>
      </c>
      <c r="D8197" s="7">
        <f>DATE(2008,2,1)</f>
        <v>39479</v>
      </c>
      <c r="E8197" s="8">
        <f t="shared" si="133"/>
        <v>2008</v>
      </c>
      <c r="F8197" t="s">
        <v>1191</v>
      </c>
      <c r="G8197" s="9">
        <v>18045.97</v>
      </c>
      <c r="H8197" s="8">
        <v>6592</v>
      </c>
    </row>
    <row r="8198" spans="2:8" x14ac:dyDescent="0.4">
      <c r="B8198" t="s">
        <v>7</v>
      </c>
      <c r="C8198" t="s">
        <v>1190</v>
      </c>
      <c r="D8198" s="7">
        <f>DATE(2008,2,1)</f>
        <v>39479</v>
      </c>
      <c r="E8198" s="8">
        <f t="shared" si="133"/>
        <v>2008</v>
      </c>
      <c r="F8198" t="s">
        <v>1191</v>
      </c>
      <c r="G8198" s="9">
        <v>317836.11</v>
      </c>
      <c r="H8198" s="8">
        <v>6593</v>
      </c>
    </row>
    <row r="8199" spans="2:8" x14ac:dyDescent="0.4">
      <c r="B8199" t="s">
        <v>7</v>
      </c>
      <c r="C8199" t="s">
        <v>1190</v>
      </c>
      <c r="D8199" s="7">
        <f>DATE(2009,5,26)</f>
        <v>39959</v>
      </c>
      <c r="E8199" s="8">
        <f t="shared" si="133"/>
        <v>2009</v>
      </c>
      <c r="F8199" t="s">
        <v>1191</v>
      </c>
      <c r="G8199" s="9">
        <v>14578</v>
      </c>
      <c r="H8199" s="8">
        <v>8545</v>
      </c>
    </row>
    <row r="8200" spans="2:8" x14ac:dyDescent="0.4">
      <c r="B8200" t="s">
        <v>7</v>
      </c>
      <c r="C8200" t="s">
        <v>1190</v>
      </c>
      <c r="D8200" s="7">
        <f>DATE(2009,6,10)</f>
        <v>39974</v>
      </c>
      <c r="E8200" s="8">
        <f t="shared" si="133"/>
        <v>2009</v>
      </c>
      <c r="F8200" t="s">
        <v>1191</v>
      </c>
      <c r="G8200" s="9">
        <v>14578</v>
      </c>
      <c r="H8200" s="8">
        <v>8613</v>
      </c>
    </row>
    <row r="8201" spans="2:8" x14ac:dyDescent="0.4">
      <c r="B8201" t="s">
        <v>7</v>
      </c>
      <c r="C8201" t="s">
        <v>1190</v>
      </c>
      <c r="D8201" s="7">
        <f>DATE(2009,6,23)</f>
        <v>39987</v>
      </c>
      <c r="E8201" s="8">
        <f t="shared" si="133"/>
        <v>2009</v>
      </c>
      <c r="F8201" t="s">
        <v>1191</v>
      </c>
      <c r="G8201" s="9">
        <v>14578</v>
      </c>
      <c r="H8201" s="8">
        <v>8614</v>
      </c>
    </row>
    <row r="8202" spans="2:8" x14ac:dyDescent="0.4">
      <c r="B8202" t="s">
        <v>7</v>
      </c>
      <c r="C8202" t="s">
        <v>1190</v>
      </c>
      <c r="D8202" s="7">
        <f>DATE(2010,4,12)</f>
        <v>40280</v>
      </c>
      <c r="E8202" s="8">
        <f t="shared" si="133"/>
        <v>2010</v>
      </c>
      <c r="F8202" t="s">
        <v>1191</v>
      </c>
      <c r="G8202" s="9">
        <v>476514.07</v>
      </c>
      <c r="H8202" s="8">
        <v>8920</v>
      </c>
    </row>
    <row r="8203" spans="2:8" x14ac:dyDescent="0.4">
      <c r="B8203" t="s">
        <v>7</v>
      </c>
      <c r="C8203" t="s">
        <v>1190</v>
      </c>
      <c r="D8203" s="7">
        <f>DATE(2010,4,12)</f>
        <v>40280</v>
      </c>
      <c r="E8203" s="8">
        <f t="shared" si="133"/>
        <v>2010</v>
      </c>
      <c r="F8203" t="s">
        <v>1191</v>
      </c>
      <c r="G8203" s="9">
        <v>147552.47</v>
      </c>
      <c r="H8203" s="8">
        <v>9002</v>
      </c>
    </row>
    <row r="8204" spans="2:8" x14ac:dyDescent="0.4">
      <c r="B8204" t="s">
        <v>7</v>
      </c>
      <c r="C8204" t="s">
        <v>1190</v>
      </c>
      <c r="D8204" s="7">
        <f>DATE(2011,11,15)</f>
        <v>40862</v>
      </c>
      <c r="E8204" s="8">
        <f t="shared" si="133"/>
        <v>2011</v>
      </c>
      <c r="F8204" t="s">
        <v>1191</v>
      </c>
      <c r="G8204" s="9">
        <v>406564.91</v>
      </c>
      <c r="H8204" s="8">
        <v>10541</v>
      </c>
    </row>
    <row r="8205" spans="2:8" x14ac:dyDescent="0.4">
      <c r="B8205" t="s">
        <v>7</v>
      </c>
      <c r="C8205" t="s">
        <v>1190</v>
      </c>
      <c r="D8205" s="7">
        <f>DATE(2014,3,21)</f>
        <v>41719</v>
      </c>
      <c r="E8205" s="8">
        <f t="shared" si="133"/>
        <v>2014</v>
      </c>
      <c r="F8205" t="s">
        <v>1191</v>
      </c>
      <c r="G8205" s="9">
        <v>147115.91</v>
      </c>
      <c r="H8205" s="8">
        <v>12793</v>
      </c>
    </row>
    <row r="8206" spans="2:8" x14ac:dyDescent="0.4">
      <c r="B8206" t="s">
        <v>16</v>
      </c>
      <c r="C8206" t="s">
        <v>1190</v>
      </c>
      <c r="D8206" s="7">
        <f>DATE(2010,6,21)</f>
        <v>40350</v>
      </c>
      <c r="E8206" s="8">
        <f t="shared" si="133"/>
        <v>2010</v>
      </c>
      <c r="F8206" t="s">
        <v>1191</v>
      </c>
      <c r="G8206" s="9">
        <v>6346.83</v>
      </c>
      <c r="H8206" s="8">
        <v>9945</v>
      </c>
    </row>
    <row r="8207" spans="2:8" x14ac:dyDescent="0.4">
      <c r="B8207" t="s">
        <v>16</v>
      </c>
      <c r="C8207" t="s">
        <v>1190</v>
      </c>
      <c r="D8207" s="7">
        <f>DATE(2008,1,1)</f>
        <v>39448</v>
      </c>
      <c r="E8207" s="8">
        <f t="shared" si="133"/>
        <v>2008</v>
      </c>
      <c r="F8207" t="s">
        <v>1191</v>
      </c>
      <c r="G8207" s="9">
        <v>1980</v>
      </c>
      <c r="H8207" s="8">
        <v>6849</v>
      </c>
    </row>
    <row r="8208" spans="2:8" x14ac:dyDescent="0.4">
      <c r="B8208" t="s">
        <v>16</v>
      </c>
      <c r="C8208" t="s">
        <v>1190</v>
      </c>
      <c r="D8208" s="7">
        <f>DATE(2008,1,1)</f>
        <v>39448</v>
      </c>
      <c r="E8208" s="8">
        <f t="shared" si="133"/>
        <v>2008</v>
      </c>
      <c r="F8208" t="s">
        <v>1191</v>
      </c>
      <c r="G8208" s="9">
        <v>1980</v>
      </c>
      <c r="H8208" s="8">
        <v>7063</v>
      </c>
    </row>
    <row r="8209" spans="2:8" x14ac:dyDescent="0.4">
      <c r="B8209" s="3" t="s">
        <v>7</v>
      </c>
      <c r="C8209" s="3" t="s">
        <v>1190</v>
      </c>
      <c r="D8209" s="4">
        <f>DATE(2003,5,30)</f>
        <v>37771</v>
      </c>
      <c r="E8209" s="5">
        <f t="shared" si="133"/>
        <v>2003</v>
      </c>
      <c r="F8209" s="3" t="s">
        <v>1191</v>
      </c>
      <c r="G8209" s="6">
        <v>1901.25</v>
      </c>
      <c r="H8209" s="5">
        <v>1010</v>
      </c>
    </row>
    <row r="8210" spans="2:8" x14ac:dyDescent="0.4">
      <c r="B8210" s="3" t="s">
        <v>7</v>
      </c>
      <c r="C8210" s="3" t="s">
        <v>1190</v>
      </c>
      <c r="D8210" s="4">
        <f>DATE(2004,8,23)</f>
        <v>38222</v>
      </c>
      <c r="E8210" s="5">
        <f t="shared" si="133"/>
        <v>2004</v>
      </c>
      <c r="F8210" s="3" t="s">
        <v>1191</v>
      </c>
      <c r="G8210" s="6">
        <v>726</v>
      </c>
      <c r="H8210" s="5">
        <v>3304</v>
      </c>
    </row>
    <row r="8211" spans="2:8" x14ac:dyDescent="0.4">
      <c r="B8211" s="3" t="s">
        <v>7</v>
      </c>
      <c r="C8211" s="3" t="s">
        <v>1190</v>
      </c>
      <c r="D8211" s="4">
        <f>DATE(2004,10,6)</f>
        <v>38266</v>
      </c>
      <c r="E8211" s="5">
        <f t="shared" si="133"/>
        <v>2004</v>
      </c>
      <c r="F8211" s="3" t="s">
        <v>1191</v>
      </c>
      <c r="G8211" s="6">
        <v>2200</v>
      </c>
      <c r="H8211" s="5">
        <v>3524</v>
      </c>
    </row>
    <row r="8212" spans="2:8" x14ac:dyDescent="0.4">
      <c r="B8212" s="3" t="s">
        <v>7</v>
      </c>
      <c r="C8212" s="3" t="s">
        <v>1190</v>
      </c>
      <c r="D8212" s="4">
        <f>DATE(2004,10,20)</f>
        <v>38280</v>
      </c>
      <c r="E8212" s="5">
        <f t="shared" si="133"/>
        <v>2004</v>
      </c>
      <c r="F8212" s="3" t="s">
        <v>1191</v>
      </c>
      <c r="G8212" s="6">
        <v>840</v>
      </c>
      <c r="H8212" s="5">
        <v>3597</v>
      </c>
    </row>
    <row r="8213" spans="2:8" x14ac:dyDescent="0.4">
      <c r="B8213" s="3" t="s">
        <v>7</v>
      </c>
      <c r="C8213" s="3" t="s">
        <v>1190</v>
      </c>
      <c r="D8213" s="4">
        <f>DATE(2005,8,15)</f>
        <v>38579</v>
      </c>
      <c r="E8213" s="5">
        <f t="shared" si="133"/>
        <v>2005</v>
      </c>
      <c r="F8213" s="3" t="s">
        <v>1191</v>
      </c>
      <c r="G8213" s="6">
        <v>136</v>
      </c>
      <c r="H8213" s="5">
        <v>5110</v>
      </c>
    </row>
    <row r="8214" spans="2:8" x14ac:dyDescent="0.4">
      <c r="B8214" s="3" t="s">
        <v>7</v>
      </c>
      <c r="C8214" s="3" t="s">
        <v>1190</v>
      </c>
      <c r="D8214" s="4">
        <f>DATE(2005,8,24)</f>
        <v>38588</v>
      </c>
      <c r="E8214" s="5">
        <f t="shared" si="133"/>
        <v>2005</v>
      </c>
      <c r="F8214" s="3" t="s">
        <v>1191</v>
      </c>
      <c r="G8214" s="6">
        <v>68</v>
      </c>
      <c r="H8214" s="5">
        <v>5164</v>
      </c>
    </row>
    <row r="8215" spans="2:8" x14ac:dyDescent="0.4">
      <c r="B8215" s="3" t="s">
        <v>7</v>
      </c>
      <c r="C8215" s="3" t="s">
        <v>1190</v>
      </c>
      <c r="D8215" s="4">
        <f>DATE(2006,1,13)</f>
        <v>38730</v>
      </c>
      <c r="E8215" s="5">
        <f t="shared" si="133"/>
        <v>2006</v>
      </c>
      <c r="F8215" s="3" t="s">
        <v>1191</v>
      </c>
      <c r="G8215" s="6">
        <v>20150</v>
      </c>
      <c r="H8215" s="5">
        <v>5826</v>
      </c>
    </row>
    <row r="8216" spans="2:8" x14ac:dyDescent="0.4">
      <c r="B8216" s="3" t="s">
        <v>7</v>
      </c>
      <c r="C8216" s="3" t="s">
        <v>1190</v>
      </c>
      <c r="D8216" s="4">
        <f>DATE(2006,2,8)</f>
        <v>38756</v>
      </c>
      <c r="E8216" s="5">
        <f t="shared" si="133"/>
        <v>2006</v>
      </c>
      <c r="F8216" s="3" t="s">
        <v>1191</v>
      </c>
      <c r="G8216" s="6">
        <v>700</v>
      </c>
      <c r="H8216" s="5">
        <v>5943</v>
      </c>
    </row>
    <row r="8217" spans="2:8" x14ac:dyDescent="0.4">
      <c r="B8217" s="3" t="s">
        <v>7</v>
      </c>
      <c r="C8217" s="3" t="s">
        <v>1190</v>
      </c>
      <c r="D8217" s="4">
        <f>DATE(2006,2,28)</f>
        <v>38776</v>
      </c>
      <c r="E8217" s="5">
        <f t="shared" si="133"/>
        <v>2006</v>
      </c>
      <c r="F8217" s="3" t="s">
        <v>1191</v>
      </c>
      <c r="G8217" s="6">
        <v>40300</v>
      </c>
      <c r="H8217" s="5">
        <v>6108</v>
      </c>
    </row>
    <row r="8218" spans="2:8" x14ac:dyDescent="0.4">
      <c r="B8218" s="3" t="s">
        <v>7</v>
      </c>
      <c r="C8218" s="3" t="s">
        <v>1190</v>
      </c>
      <c r="D8218" s="4">
        <f>DATE(2006,3,17)</f>
        <v>38793</v>
      </c>
      <c r="E8218" s="5">
        <f t="shared" si="133"/>
        <v>2006</v>
      </c>
      <c r="F8218" s="3" t="s">
        <v>1191</v>
      </c>
      <c r="G8218" s="6">
        <v>1150</v>
      </c>
      <c r="H8218" s="5">
        <v>6306</v>
      </c>
    </row>
    <row r="8219" spans="2:8" x14ac:dyDescent="0.4">
      <c r="B8219" s="3" t="s">
        <v>7</v>
      </c>
      <c r="C8219" s="3" t="s">
        <v>1190</v>
      </c>
      <c r="D8219" s="4">
        <f>DATE(2006,3,24)</f>
        <v>38800</v>
      </c>
      <c r="E8219" s="5">
        <f t="shared" si="133"/>
        <v>2006</v>
      </c>
      <c r="F8219" s="3" t="s">
        <v>1191</v>
      </c>
      <c r="G8219" s="6">
        <v>945</v>
      </c>
      <c r="H8219" s="5">
        <v>6380</v>
      </c>
    </row>
    <row r="8220" spans="2:8" x14ac:dyDescent="0.4">
      <c r="B8220" s="3" t="s">
        <v>7</v>
      </c>
      <c r="C8220" s="3" t="s">
        <v>1190</v>
      </c>
      <c r="D8220" s="4">
        <f>DATE(2007,5,4)</f>
        <v>39206</v>
      </c>
      <c r="E8220" s="5">
        <f t="shared" si="133"/>
        <v>2007</v>
      </c>
      <c r="F8220" s="3" t="s">
        <v>1191</v>
      </c>
      <c r="G8220" s="6">
        <v>30295</v>
      </c>
      <c r="H8220" s="5">
        <v>8461</v>
      </c>
    </row>
    <row r="8221" spans="2:8" x14ac:dyDescent="0.4">
      <c r="B8221" s="3" t="s">
        <v>7</v>
      </c>
      <c r="C8221" s="3" t="s">
        <v>1190</v>
      </c>
      <c r="D8221" s="4">
        <f>DATE(2007,5,9)</f>
        <v>39211</v>
      </c>
      <c r="E8221" s="5">
        <f t="shared" si="133"/>
        <v>2007</v>
      </c>
      <c r="F8221" s="3" t="s">
        <v>1191</v>
      </c>
      <c r="G8221" s="6">
        <v>5025</v>
      </c>
      <c r="H8221" s="5">
        <v>8526</v>
      </c>
    </row>
    <row r="8222" spans="2:8" x14ac:dyDescent="0.4">
      <c r="B8222" s="3" t="s">
        <v>7</v>
      </c>
      <c r="C8222" s="3" t="s">
        <v>1190</v>
      </c>
      <c r="D8222" s="4">
        <f>DATE(2007,5,15)</f>
        <v>39217</v>
      </c>
      <c r="E8222" s="5">
        <f t="shared" si="133"/>
        <v>2007</v>
      </c>
      <c r="F8222" s="3" t="s">
        <v>1191</v>
      </c>
      <c r="G8222" s="6">
        <v>203</v>
      </c>
      <c r="H8222" s="5">
        <v>8575</v>
      </c>
    </row>
    <row r="8223" spans="2:8" x14ac:dyDescent="0.4">
      <c r="B8223" s="3" t="s">
        <v>7</v>
      </c>
      <c r="C8223" s="3" t="s">
        <v>1190</v>
      </c>
      <c r="D8223" s="4">
        <f>DATE(2007,5,23)</f>
        <v>39225</v>
      </c>
      <c r="E8223" s="5">
        <f t="shared" si="133"/>
        <v>2007</v>
      </c>
      <c r="F8223" s="3" t="s">
        <v>1191</v>
      </c>
      <c r="G8223" s="6">
        <v>203</v>
      </c>
      <c r="H8223" s="5">
        <v>8603</v>
      </c>
    </row>
    <row r="8224" spans="2:8" x14ac:dyDescent="0.4">
      <c r="B8224" s="3" t="s">
        <v>7</v>
      </c>
      <c r="C8224" s="3" t="s">
        <v>1190</v>
      </c>
      <c r="D8224" s="4">
        <f>DATE(2007,12,7)</f>
        <v>39423</v>
      </c>
      <c r="E8224" s="5">
        <f t="shared" si="133"/>
        <v>2007</v>
      </c>
      <c r="F8224" s="3" t="s">
        <v>1191</v>
      </c>
      <c r="G8224" s="6">
        <v>491.5</v>
      </c>
      <c r="H8224" s="5">
        <v>9531</v>
      </c>
    </row>
    <row r="8225" spans="2:8" x14ac:dyDescent="0.4">
      <c r="B8225" s="3" t="s">
        <v>7</v>
      </c>
      <c r="C8225" s="3" t="s">
        <v>1190</v>
      </c>
      <c r="D8225" s="4">
        <f>DATE(2008,1,10)</f>
        <v>39457</v>
      </c>
      <c r="E8225" s="5">
        <f t="shared" si="133"/>
        <v>2008</v>
      </c>
      <c r="F8225" s="3" t="s">
        <v>1191</v>
      </c>
      <c r="G8225" s="6">
        <v>18413.830000000002</v>
      </c>
      <c r="H8225" s="5">
        <v>9701</v>
      </c>
    </row>
    <row r="8226" spans="2:8" x14ac:dyDescent="0.4">
      <c r="B8226" s="3" t="s">
        <v>7</v>
      </c>
      <c r="C8226" s="3" t="s">
        <v>1190</v>
      </c>
      <c r="D8226" s="4">
        <f>DATE(2008,1,21)</f>
        <v>39468</v>
      </c>
      <c r="E8226" s="5">
        <f t="shared" si="133"/>
        <v>2008</v>
      </c>
      <c r="F8226" s="3" t="s">
        <v>1191</v>
      </c>
      <c r="G8226" s="6">
        <v>1016</v>
      </c>
      <c r="H8226" s="5">
        <v>9776</v>
      </c>
    </row>
    <row r="8227" spans="2:8" x14ac:dyDescent="0.4">
      <c r="B8227" s="3" t="s">
        <v>7</v>
      </c>
      <c r="C8227" s="3" t="s">
        <v>1190</v>
      </c>
      <c r="D8227" s="4">
        <f>DATE(2009,5,6)</f>
        <v>39939</v>
      </c>
      <c r="E8227" s="5">
        <f t="shared" si="133"/>
        <v>2009</v>
      </c>
      <c r="F8227" s="3" t="s">
        <v>1191</v>
      </c>
      <c r="G8227" s="6">
        <v>1675</v>
      </c>
      <c r="H8227" s="5">
        <v>12498</v>
      </c>
    </row>
    <row r="8228" spans="2:8" x14ac:dyDescent="0.4">
      <c r="B8228" s="3" t="s">
        <v>7</v>
      </c>
      <c r="C8228" s="3" t="s">
        <v>1190</v>
      </c>
      <c r="D8228" s="4">
        <f>DATE(2009,8,3)</f>
        <v>40028</v>
      </c>
      <c r="E8228" s="5">
        <f t="shared" si="133"/>
        <v>2009</v>
      </c>
      <c r="F8228" s="3" t="s">
        <v>1191</v>
      </c>
      <c r="G8228" s="6">
        <v>30044</v>
      </c>
      <c r="H8228" s="5">
        <v>12849</v>
      </c>
    </row>
    <row r="8229" spans="2:8" x14ac:dyDescent="0.4">
      <c r="B8229" s="3" t="s">
        <v>7</v>
      </c>
      <c r="C8229" s="3" t="s">
        <v>1190</v>
      </c>
      <c r="D8229" s="4">
        <f>DATE(2010,3,24)</f>
        <v>40261</v>
      </c>
      <c r="E8229" s="5">
        <f t="shared" si="133"/>
        <v>2010</v>
      </c>
      <c r="F8229" s="3" t="s">
        <v>1191</v>
      </c>
      <c r="G8229" s="6">
        <v>2540</v>
      </c>
      <c r="H8229" s="5">
        <v>13789</v>
      </c>
    </row>
    <row r="8230" spans="2:8" x14ac:dyDescent="0.4">
      <c r="B8230" s="3" t="s">
        <v>7</v>
      </c>
      <c r="C8230" s="3" t="s">
        <v>1190</v>
      </c>
      <c r="D8230" s="4">
        <f>DATE(2010,7,22)</f>
        <v>40381</v>
      </c>
      <c r="E8230" s="5">
        <f t="shared" si="133"/>
        <v>2010</v>
      </c>
      <c r="F8230" s="3" t="s">
        <v>1191</v>
      </c>
      <c r="G8230" s="6">
        <v>5100</v>
      </c>
      <c r="H8230" s="5">
        <v>14282</v>
      </c>
    </row>
    <row r="8231" spans="2:8" x14ac:dyDescent="0.4">
      <c r="B8231" s="3" t="s">
        <v>7</v>
      </c>
      <c r="C8231" s="3" t="s">
        <v>1190</v>
      </c>
      <c r="D8231" s="4">
        <f>DATE(2010,7,27)</f>
        <v>40386</v>
      </c>
      <c r="E8231" s="5">
        <f t="shared" si="133"/>
        <v>2010</v>
      </c>
      <c r="F8231" s="3" t="s">
        <v>1191</v>
      </c>
      <c r="G8231" s="6">
        <v>787.5</v>
      </c>
      <c r="H8231" s="5">
        <v>14302</v>
      </c>
    </row>
    <row r="8232" spans="2:8" x14ac:dyDescent="0.4">
      <c r="B8232" s="3" t="s">
        <v>7</v>
      </c>
      <c r="C8232" s="3" t="s">
        <v>1190</v>
      </c>
      <c r="D8232" s="4">
        <f>DATE(2010,7,27)</f>
        <v>40386</v>
      </c>
      <c r="E8232" s="5">
        <f t="shared" si="133"/>
        <v>2010</v>
      </c>
      <c r="F8232" s="3" t="s">
        <v>1191</v>
      </c>
      <c r="G8232" s="6">
        <v>1677</v>
      </c>
      <c r="H8232" s="5">
        <v>14319</v>
      </c>
    </row>
    <row r="8233" spans="2:8" x14ac:dyDescent="0.4">
      <c r="B8233" s="3" t="s">
        <v>7</v>
      </c>
      <c r="C8233" s="3" t="s">
        <v>1190</v>
      </c>
      <c r="D8233" s="4">
        <f>DATE(2010,8,9)</f>
        <v>40399</v>
      </c>
      <c r="E8233" s="5">
        <f t="shared" si="133"/>
        <v>2010</v>
      </c>
      <c r="F8233" s="3" t="s">
        <v>1191</v>
      </c>
      <c r="G8233" s="6">
        <v>5100</v>
      </c>
      <c r="H8233" s="5">
        <v>14354</v>
      </c>
    </row>
    <row r="8234" spans="2:8" x14ac:dyDescent="0.4">
      <c r="B8234" s="3" t="s">
        <v>7</v>
      </c>
      <c r="C8234" s="3" t="s">
        <v>1190</v>
      </c>
      <c r="D8234" s="4">
        <f>DATE(2010,9,27)</f>
        <v>40448</v>
      </c>
      <c r="E8234" s="5">
        <f t="shared" si="133"/>
        <v>2010</v>
      </c>
      <c r="F8234" s="3" t="s">
        <v>1191</v>
      </c>
      <c r="G8234" s="6">
        <v>304.8</v>
      </c>
      <c r="H8234" s="5">
        <v>14553</v>
      </c>
    </row>
    <row r="8235" spans="2:8" x14ac:dyDescent="0.4">
      <c r="B8235" s="3" t="s">
        <v>7</v>
      </c>
      <c r="C8235" s="3" t="s">
        <v>1190</v>
      </c>
      <c r="D8235" s="4">
        <f>DATE(2011,2,2)</f>
        <v>40576</v>
      </c>
      <c r="E8235" s="5">
        <f t="shared" si="133"/>
        <v>2011</v>
      </c>
      <c r="F8235" s="3" t="s">
        <v>1191</v>
      </c>
      <c r="G8235" s="6">
        <v>304.8</v>
      </c>
      <c r="H8235" s="5">
        <v>15001</v>
      </c>
    </row>
    <row r="8236" spans="2:8" x14ac:dyDescent="0.4">
      <c r="B8236" s="3" t="s">
        <v>7</v>
      </c>
      <c r="C8236" s="3" t="s">
        <v>1190</v>
      </c>
      <c r="D8236" s="4">
        <f>DATE(2011,3,21)</f>
        <v>40623</v>
      </c>
      <c r="E8236" s="5">
        <f t="shared" si="133"/>
        <v>2011</v>
      </c>
      <c r="F8236" s="3" t="s">
        <v>1191</v>
      </c>
      <c r="G8236" s="6">
        <v>8500</v>
      </c>
      <c r="H8236" s="5">
        <v>15285</v>
      </c>
    </row>
    <row r="8237" spans="2:8" x14ac:dyDescent="0.4">
      <c r="B8237" s="3" t="s">
        <v>7</v>
      </c>
      <c r="C8237" s="3" t="s">
        <v>1190</v>
      </c>
      <c r="D8237" s="4">
        <f>DATE(2011,4,11)</f>
        <v>40644</v>
      </c>
      <c r="E8237" s="5">
        <f t="shared" si="133"/>
        <v>2011</v>
      </c>
      <c r="F8237" s="3" t="s">
        <v>1191</v>
      </c>
      <c r="G8237" s="6">
        <v>204</v>
      </c>
      <c r="H8237" s="5">
        <v>15374</v>
      </c>
    </row>
    <row r="8238" spans="2:8" x14ac:dyDescent="0.4">
      <c r="B8238" s="3" t="s">
        <v>7</v>
      </c>
      <c r="C8238" s="3" t="s">
        <v>1190</v>
      </c>
      <c r="D8238" s="4">
        <f>DATE(2011,4,14)</f>
        <v>40647</v>
      </c>
      <c r="E8238" s="5">
        <f t="shared" si="133"/>
        <v>2011</v>
      </c>
      <c r="F8238" s="3" t="s">
        <v>1191</v>
      </c>
      <c r="G8238" s="6">
        <v>26180</v>
      </c>
      <c r="H8238" s="5">
        <v>15317</v>
      </c>
    </row>
    <row r="8239" spans="2:8" x14ac:dyDescent="0.4">
      <c r="B8239" s="3" t="s">
        <v>7</v>
      </c>
      <c r="C8239" s="3" t="s">
        <v>1190</v>
      </c>
      <c r="D8239" s="4">
        <f>DATE(2011,5,26)</f>
        <v>40689</v>
      </c>
      <c r="E8239" s="5">
        <f t="shared" si="133"/>
        <v>2011</v>
      </c>
      <c r="F8239" s="3" t="s">
        <v>1191</v>
      </c>
      <c r="G8239" s="6">
        <v>3145</v>
      </c>
      <c r="H8239" s="5">
        <v>15624</v>
      </c>
    </row>
    <row r="8240" spans="2:8" x14ac:dyDescent="0.4">
      <c r="B8240" s="3" t="s">
        <v>7</v>
      </c>
      <c r="C8240" s="3" t="s">
        <v>1190</v>
      </c>
      <c r="D8240" s="4">
        <f>DATE(2011,6,6)</f>
        <v>40700</v>
      </c>
      <c r="E8240" s="5">
        <f t="shared" si="133"/>
        <v>2011</v>
      </c>
      <c r="F8240" s="3" t="s">
        <v>1191</v>
      </c>
      <c r="G8240" s="6">
        <v>3995</v>
      </c>
      <c r="H8240" s="5">
        <v>15640</v>
      </c>
    </row>
    <row r="8241" spans="2:8" x14ac:dyDescent="0.4">
      <c r="B8241" s="3" t="s">
        <v>7</v>
      </c>
      <c r="C8241" s="3" t="s">
        <v>1190</v>
      </c>
      <c r="D8241" s="4">
        <f>DATE(2011,12,6)</f>
        <v>40883</v>
      </c>
      <c r="E8241" s="5">
        <f t="shared" si="133"/>
        <v>2011</v>
      </c>
      <c r="F8241" s="3" t="s">
        <v>1191</v>
      </c>
      <c r="G8241" s="6">
        <v>31142</v>
      </c>
      <c r="H8241" s="5">
        <v>16254</v>
      </c>
    </row>
    <row r="8242" spans="2:8" x14ac:dyDescent="0.4">
      <c r="B8242" s="3" t="s">
        <v>7</v>
      </c>
      <c r="C8242" s="3" t="s">
        <v>1190</v>
      </c>
      <c r="D8242" s="4">
        <f>DATE(2013,9,6)</f>
        <v>41523</v>
      </c>
      <c r="E8242" s="5">
        <f t="shared" si="133"/>
        <v>2013</v>
      </c>
      <c r="F8242" s="3" t="s">
        <v>1191</v>
      </c>
      <c r="G8242" s="6">
        <v>787.5</v>
      </c>
      <c r="H8242" s="5">
        <v>18900</v>
      </c>
    </row>
    <row r="8243" spans="2:8" x14ac:dyDescent="0.4">
      <c r="B8243" s="3" t="s">
        <v>7</v>
      </c>
      <c r="C8243" s="3" t="s">
        <v>1190</v>
      </c>
      <c r="D8243" s="4">
        <f>DATE(2013,9,18)</f>
        <v>41535</v>
      </c>
      <c r="E8243" s="5">
        <f t="shared" si="133"/>
        <v>2013</v>
      </c>
      <c r="F8243" s="3" t="s">
        <v>1191</v>
      </c>
      <c r="G8243" s="6">
        <v>408</v>
      </c>
      <c r="H8243" s="5">
        <v>18988</v>
      </c>
    </row>
    <row r="8244" spans="2:8" x14ac:dyDescent="0.4">
      <c r="B8244" s="3" t="s">
        <v>7</v>
      </c>
      <c r="C8244" s="3" t="s">
        <v>1190</v>
      </c>
      <c r="D8244" s="4">
        <f>DATE(2013,11,7)</f>
        <v>41585</v>
      </c>
      <c r="E8244" s="5">
        <f t="shared" si="133"/>
        <v>2013</v>
      </c>
      <c r="F8244" s="3" t="s">
        <v>1191</v>
      </c>
      <c r="G8244" s="6">
        <v>408</v>
      </c>
      <c r="H8244" s="5">
        <v>19157</v>
      </c>
    </row>
    <row r="8245" spans="2:8" x14ac:dyDescent="0.4">
      <c r="B8245" s="3" t="s">
        <v>7</v>
      </c>
      <c r="C8245" s="3" t="s">
        <v>1190</v>
      </c>
      <c r="D8245" s="4">
        <f>DATE(2014,6,30)</f>
        <v>41820</v>
      </c>
      <c r="E8245" s="5">
        <f t="shared" si="133"/>
        <v>2014</v>
      </c>
      <c r="F8245" s="3" t="s">
        <v>1191</v>
      </c>
      <c r="G8245" s="6">
        <v>1195.5</v>
      </c>
      <c r="H8245" s="5">
        <v>20060</v>
      </c>
    </row>
    <row r="8246" spans="2:8" x14ac:dyDescent="0.4">
      <c r="B8246" s="3" t="s">
        <v>7</v>
      </c>
      <c r="C8246" s="3" t="s">
        <v>1190</v>
      </c>
      <c r="D8246" s="4">
        <f>DATE(2014,9,2)</f>
        <v>41884</v>
      </c>
      <c r="E8246" s="5">
        <f t="shared" si="133"/>
        <v>2014</v>
      </c>
      <c r="F8246" s="3" t="s">
        <v>1191</v>
      </c>
      <c r="G8246" s="6">
        <v>4715</v>
      </c>
      <c r="H8246" s="5">
        <v>20362</v>
      </c>
    </row>
    <row r="8247" spans="2:8" x14ac:dyDescent="0.4">
      <c r="B8247" s="3" t="s">
        <v>16</v>
      </c>
      <c r="C8247" s="3" t="s">
        <v>1190</v>
      </c>
      <c r="D8247" s="4">
        <f>DATE(2010,3,26)</f>
        <v>40263</v>
      </c>
      <c r="E8247" s="5">
        <f t="shared" si="133"/>
        <v>2010</v>
      </c>
      <c r="F8247" s="3" t="s">
        <v>1191</v>
      </c>
      <c r="G8247" s="6">
        <v>1270</v>
      </c>
      <c r="H8247" s="5">
        <v>13821</v>
      </c>
    </row>
    <row r="8248" spans="2:8" x14ac:dyDescent="0.4">
      <c r="B8248" t="s">
        <v>7</v>
      </c>
      <c r="C8248" t="s">
        <v>1192</v>
      </c>
      <c r="D8248" s="7">
        <f>DATE(2003,9,26)</f>
        <v>37890</v>
      </c>
      <c r="E8248" s="8">
        <f t="shared" si="133"/>
        <v>2003</v>
      </c>
      <c r="F8248" t="s">
        <v>1193</v>
      </c>
      <c r="G8248" s="9">
        <v>3245</v>
      </c>
      <c r="H8248" s="8">
        <v>914</v>
      </c>
    </row>
    <row r="8249" spans="2:8" x14ac:dyDescent="0.4">
      <c r="B8249" t="s">
        <v>7</v>
      </c>
      <c r="C8249" t="s">
        <v>1192</v>
      </c>
      <c r="D8249" s="7">
        <f>DATE(2003,10,15)</f>
        <v>37909</v>
      </c>
      <c r="E8249" s="8">
        <f t="shared" si="133"/>
        <v>2003</v>
      </c>
      <c r="F8249" t="s">
        <v>1193</v>
      </c>
      <c r="G8249" s="9">
        <v>353.1</v>
      </c>
      <c r="H8249" s="8">
        <v>973</v>
      </c>
    </row>
    <row r="8250" spans="2:8" x14ac:dyDescent="0.4">
      <c r="B8250" t="s">
        <v>7</v>
      </c>
      <c r="C8250" t="s">
        <v>1031</v>
      </c>
      <c r="D8250" s="7">
        <f>DATE(2015,8,4)</f>
        <v>42220</v>
      </c>
      <c r="E8250" s="8">
        <f t="shared" si="133"/>
        <v>2015</v>
      </c>
      <c r="F8250" t="s">
        <v>1194</v>
      </c>
      <c r="G8250" s="9">
        <v>1618</v>
      </c>
      <c r="H8250" s="8">
        <v>20969</v>
      </c>
    </row>
    <row r="8251" spans="2:8" x14ac:dyDescent="0.4">
      <c r="B8251" t="s">
        <v>7</v>
      </c>
      <c r="C8251" t="s">
        <v>1031</v>
      </c>
      <c r="D8251" s="7">
        <f>DATE(2016,3,1)</f>
        <v>42430</v>
      </c>
      <c r="E8251" s="8">
        <f t="shared" si="133"/>
        <v>2016</v>
      </c>
      <c r="F8251" t="s">
        <v>1194</v>
      </c>
      <c r="G8251" s="9">
        <v>9128.7099999999991</v>
      </c>
      <c r="H8251" s="8">
        <v>22210</v>
      </c>
    </row>
    <row r="8252" spans="2:8" x14ac:dyDescent="0.4">
      <c r="B8252" t="s">
        <v>7</v>
      </c>
      <c r="C8252" t="s">
        <v>1031</v>
      </c>
      <c r="D8252" s="7">
        <f>DATE(2019,2,27)</f>
        <v>43523</v>
      </c>
      <c r="E8252" s="8">
        <f t="shared" si="133"/>
        <v>2019</v>
      </c>
      <c r="F8252" t="s">
        <v>1194</v>
      </c>
      <c r="G8252" s="9">
        <v>7820.7</v>
      </c>
      <c r="H8252" s="8">
        <v>28412</v>
      </c>
    </row>
    <row r="8253" spans="2:8" x14ac:dyDescent="0.4">
      <c r="B8253" t="s">
        <v>7</v>
      </c>
      <c r="C8253" t="s">
        <v>1031</v>
      </c>
      <c r="D8253" s="7">
        <f>DATE(2011,3,11)</f>
        <v>40613</v>
      </c>
      <c r="E8253" s="8">
        <f t="shared" si="133"/>
        <v>2011</v>
      </c>
      <c r="F8253" t="s">
        <v>1194</v>
      </c>
      <c r="G8253" s="9">
        <v>3800</v>
      </c>
      <c r="H8253" s="8">
        <v>10546</v>
      </c>
    </row>
    <row r="8254" spans="2:8" x14ac:dyDescent="0.4">
      <c r="B8254" t="s">
        <v>7</v>
      </c>
      <c r="C8254" t="s">
        <v>1031</v>
      </c>
      <c r="D8254" s="7">
        <f>DATE(2011,3,25)</f>
        <v>40627</v>
      </c>
      <c r="E8254" s="8">
        <f t="shared" si="133"/>
        <v>2011</v>
      </c>
      <c r="F8254" t="s">
        <v>1194</v>
      </c>
      <c r="G8254" s="9">
        <v>4250</v>
      </c>
      <c r="H8254" s="8">
        <v>10433</v>
      </c>
    </row>
    <row r="8255" spans="2:8" x14ac:dyDescent="0.4">
      <c r="B8255" s="3" t="s">
        <v>7</v>
      </c>
      <c r="C8255" s="3" t="s">
        <v>1031</v>
      </c>
      <c r="D8255" s="4">
        <f>DATE(2007,10,2)</f>
        <v>39357</v>
      </c>
      <c r="E8255" s="5">
        <f t="shared" si="133"/>
        <v>2007</v>
      </c>
      <c r="F8255" s="3" t="s">
        <v>1194</v>
      </c>
      <c r="G8255" s="6">
        <v>525</v>
      </c>
      <c r="H8255" s="5">
        <v>9263</v>
      </c>
    </row>
    <row r="8256" spans="2:8" x14ac:dyDescent="0.4">
      <c r="B8256" s="3" t="s">
        <v>7</v>
      </c>
      <c r="C8256" s="3" t="s">
        <v>1195</v>
      </c>
      <c r="D8256" s="4">
        <f>DATE(2009,4,22)</f>
        <v>39925</v>
      </c>
      <c r="E8256" s="5">
        <f t="shared" si="133"/>
        <v>2009</v>
      </c>
      <c r="F8256" s="3" t="s">
        <v>1196</v>
      </c>
      <c r="G8256" s="6">
        <v>12750.95</v>
      </c>
      <c r="H8256" s="5">
        <v>12325</v>
      </c>
    </row>
    <row r="8257" spans="2:8" x14ac:dyDescent="0.4">
      <c r="B8257" s="3" t="s">
        <v>7</v>
      </c>
      <c r="C8257" s="3" t="s">
        <v>1195</v>
      </c>
      <c r="D8257" s="4">
        <f>DATE(2009,4,22)</f>
        <v>39925</v>
      </c>
      <c r="E8257" s="5">
        <f t="shared" si="133"/>
        <v>2009</v>
      </c>
      <c r="F8257" s="3" t="s">
        <v>1196</v>
      </c>
      <c r="G8257" s="6">
        <v>83.03</v>
      </c>
      <c r="H8257" s="5">
        <v>12480</v>
      </c>
    </row>
    <row r="8258" spans="2:8" x14ac:dyDescent="0.4">
      <c r="B8258" t="s">
        <v>7</v>
      </c>
      <c r="C8258" t="s">
        <v>1197</v>
      </c>
      <c r="D8258" s="7">
        <f>DATE(2016,6,16)</f>
        <v>42537</v>
      </c>
      <c r="E8258" s="8">
        <f t="shared" si="133"/>
        <v>2016</v>
      </c>
      <c r="F8258" t="s">
        <v>1198</v>
      </c>
      <c r="G8258" s="9">
        <v>7533.3</v>
      </c>
      <c r="H8258" s="8">
        <v>22502</v>
      </c>
    </row>
    <row r="8259" spans="2:8" x14ac:dyDescent="0.4">
      <c r="B8259" t="s">
        <v>7</v>
      </c>
      <c r="C8259" t="s">
        <v>1197</v>
      </c>
      <c r="D8259" s="7">
        <f>DATE(2017,6,8)</f>
        <v>42894</v>
      </c>
      <c r="E8259" s="8">
        <f t="shared" ref="E8259:E8322" si="134">YEAR(D8259)</f>
        <v>2017</v>
      </c>
      <c r="F8259" t="s">
        <v>1198</v>
      </c>
      <c r="G8259" s="9">
        <v>9181.6</v>
      </c>
      <c r="H8259" s="8">
        <v>25048</v>
      </c>
    </row>
    <row r="8260" spans="2:8" x14ac:dyDescent="0.4">
      <c r="B8260" t="s">
        <v>7</v>
      </c>
      <c r="C8260" t="s">
        <v>1197</v>
      </c>
      <c r="D8260" s="7">
        <f>DATE(2015,5,4)</f>
        <v>42128</v>
      </c>
      <c r="E8260" s="8">
        <f t="shared" si="134"/>
        <v>2015</v>
      </c>
      <c r="F8260" t="s">
        <v>1198</v>
      </c>
      <c r="G8260" s="9">
        <v>13696</v>
      </c>
      <c r="H8260" s="8">
        <v>184</v>
      </c>
    </row>
    <row r="8261" spans="2:8" x14ac:dyDescent="0.4">
      <c r="B8261" t="s">
        <v>7</v>
      </c>
      <c r="C8261" t="s">
        <v>1197</v>
      </c>
      <c r="D8261" s="7">
        <f>DATE(2015,11,2)</f>
        <v>42310</v>
      </c>
      <c r="E8261" s="8">
        <f t="shared" si="134"/>
        <v>2015</v>
      </c>
      <c r="F8261" t="s">
        <v>1198</v>
      </c>
      <c r="G8261" s="9">
        <v>5479.25</v>
      </c>
      <c r="H8261" s="8">
        <v>21363</v>
      </c>
    </row>
    <row r="8262" spans="2:8" x14ac:dyDescent="0.4">
      <c r="B8262" t="s">
        <v>7</v>
      </c>
      <c r="C8262" t="s">
        <v>1197</v>
      </c>
      <c r="D8262" s="7">
        <f>DATE(2016,10,7)</f>
        <v>42650</v>
      </c>
      <c r="E8262" s="8">
        <f t="shared" si="134"/>
        <v>2016</v>
      </c>
      <c r="F8262" t="s">
        <v>1198</v>
      </c>
      <c r="G8262" s="9">
        <v>13896</v>
      </c>
      <c r="H8262" s="8">
        <v>23290</v>
      </c>
    </row>
    <row r="8263" spans="2:8" x14ac:dyDescent="0.4">
      <c r="B8263" t="s">
        <v>7</v>
      </c>
      <c r="C8263" t="s">
        <v>1197</v>
      </c>
      <c r="D8263" s="7">
        <f>DATE(2017,10,6)</f>
        <v>43014</v>
      </c>
      <c r="E8263" s="8">
        <f t="shared" si="134"/>
        <v>2017</v>
      </c>
      <c r="F8263" t="s">
        <v>1198</v>
      </c>
      <c r="G8263" s="9">
        <v>13869</v>
      </c>
      <c r="H8263" s="8">
        <v>25469</v>
      </c>
    </row>
    <row r="8264" spans="2:8" x14ac:dyDescent="0.4">
      <c r="B8264" t="s">
        <v>7</v>
      </c>
      <c r="C8264" t="s">
        <v>1197</v>
      </c>
      <c r="D8264" s="7">
        <f>DATE(2018,4,10)</f>
        <v>43200</v>
      </c>
      <c r="E8264" s="8">
        <f t="shared" si="134"/>
        <v>2018</v>
      </c>
      <c r="F8264" t="s">
        <v>1198</v>
      </c>
      <c r="G8264" s="9">
        <v>13896</v>
      </c>
      <c r="H8264" s="8">
        <v>26663</v>
      </c>
    </row>
    <row r="8265" spans="2:8" x14ac:dyDescent="0.4">
      <c r="B8265" t="s">
        <v>7</v>
      </c>
      <c r="C8265" t="s">
        <v>1197</v>
      </c>
      <c r="D8265" s="7">
        <f>DATE(2018,10,5)</f>
        <v>43378</v>
      </c>
      <c r="E8265" s="8">
        <f t="shared" si="134"/>
        <v>2018</v>
      </c>
      <c r="F8265" t="s">
        <v>1198</v>
      </c>
      <c r="G8265" s="9">
        <v>15290</v>
      </c>
      <c r="H8265" s="8">
        <v>27520</v>
      </c>
    </row>
    <row r="8266" spans="2:8" x14ac:dyDescent="0.4">
      <c r="B8266" t="s">
        <v>7</v>
      </c>
      <c r="C8266" t="s">
        <v>1197</v>
      </c>
      <c r="D8266" s="7">
        <f>DATE(2019,4,3)</f>
        <v>43558</v>
      </c>
      <c r="E8266" s="8">
        <f t="shared" si="134"/>
        <v>2019</v>
      </c>
      <c r="F8266" t="s">
        <v>1198</v>
      </c>
      <c r="G8266" s="9">
        <v>17317</v>
      </c>
      <c r="H8266" s="8">
        <v>28401</v>
      </c>
    </row>
    <row r="8267" spans="2:8" x14ac:dyDescent="0.4">
      <c r="B8267" t="s">
        <v>7</v>
      </c>
      <c r="C8267" t="s">
        <v>1197</v>
      </c>
      <c r="D8267" s="7">
        <f>DATE(2015,5,4)</f>
        <v>42128</v>
      </c>
      <c r="E8267" s="8">
        <f t="shared" si="134"/>
        <v>2015</v>
      </c>
      <c r="F8267" t="s">
        <v>1198</v>
      </c>
      <c r="G8267" s="9">
        <v>7313.48</v>
      </c>
      <c r="H8267" s="8">
        <v>186</v>
      </c>
    </row>
    <row r="8268" spans="2:8" x14ac:dyDescent="0.4">
      <c r="B8268" t="s">
        <v>7</v>
      </c>
      <c r="C8268" t="s">
        <v>1197</v>
      </c>
      <c r="D8268" s="7">
        <f>DATE(2016,7,8)</f>
        <v>42559</v>
      </c>
      <c r="E8268" s="8">
        <f t="shared" si="134"/>
        <v>2016</v>
      </c>
      <c r="F8268" t="s">
        <v>1198</v>
      </c>
      <c r="G8268" s="9">
        <v>1226</v>
      </c>
      <c r="H8268" s="8">
        <v>23087</v>
      </c>
    </row>
    <row r="8269" spans="2:8" x14ac:dyDescent="0.4">
      <c r="B8269" t="s">
        <v>7</v>
      </c>
      <c r="C8269" t="s">
        <v>1197</v>
      </c>
      <c r="D8269" s="7">
        <f>DATE(2018,8,27)</f>
        <v>43339</v>
      </c>
      <c r="E8269" s="8">
        <f t="shared" si="134"/>
        <v>2018</v>
      </c>
      <c r="F8269" t="s">
        <v>1198</v>
      </c>
      <c r="G8269" s="9">
        <v>309</v>
      </c>
      <c r="H8269" s="8">
        <v>27362</v>
      </c>
    </row>
    <row r="8270" spans="2:8" x14ac:dyDescent="0.4">
      <c r="B8270" t="s">
        <v>7</v>
      </c>
      <c r="C8270" t="s">
        <v>1197</v>
      </c>
      <c r="D8270" s="7">
        <f>DATE(2014,4,16)</f>
        <v>41745</v>
      </c>
      <c r="E8270" s="8">
        <f t="shared" si="134"/>
        <v>2014</v>
      </c>
      <c r="F8270" t="s">
        <v>1198</v>
      </c>
      <c r="G8270" s="9">
        <v>7715</v>
      </c>
      <c r="H8270" s="8">
        <v>13039</v>
      </c>
    </row>
    <row r="8271" spans="2:8" x14ac:dyDescent="0.4">
      <c r="B8271" t="s">
        <v>7</v>
      </c>
      <c r="C8271" t="s">
        <v>1197</v>
      </c>
      <c r="D8271" s="7">
        <f>DATE(2008,10,31)</f>
        <v>39752</v>
      </c>
      <c r="E8271" s="8">
        <f t="shared" si="134"/>
        <v>2008</v>
      </c>
      <c r="F8271" t="s">
        <v>1198</v>
      </c>
      <c r="G8271" s="9">
        <v>12200</v>
      </c>
      <c r="H8271" s="8">
        <v>7856</v>
      </c>
    </row>
    <row r="8272" spans="2:8" x14ac:dyDescent="0.4">
      <c r="B8272" t="s">
        <v>7</v>
      </c>
      <c r="C8272" t="s">
        <v>1197</v>
      </c>
      <c r="D8272" s="7">
        <f>DATE(2008,10,31)</f>
        <v>39752</v>
      </c>
      <c r="E8272" s="8">
        <f t="shared" si="134"/>
        <v>2008</v>
      </c>
      <c r="F8272" t="s">
        <v>1198</v>
      </c>
      <c r="G8272" s="9">
        <v>7393</v>
      </c>
      <c r="H8272" s="8">
        <v>7868</v>
      </c>
    </row>
    <row r="8273" spans="2:8" x14ac:dyDescent="0.4">
      <c r="B8273" t="s">
        <v>7</v>
      </c>
      <c r="C8273" t="s">
        <v>1197</v>
      </c>
      <c r="D8273" s="7">
        <f>DATE(2014,4,16)</f>
        <v>41745</v>
      </c>
      <c r="E8273" s="8">
        <f t="shared" si="134"/>
        <v>2014</v>
      </c>
      <c r="F8273" t="s">
        <v>1198</v>
      </c>
      <c r="G8273" s="9">
        <v>12285</v>
      </c>
      <c r="H8273" s="8">
        <v>13038</v>
      </c>
    </row>
    <row r="8274" spans="2:8" x14ac:dyDescent="0.4">
      <c r="B8274" t="s">
        <v>7</v>
      </c>
      <c r="C8274" t="s">
        <v>1197</v>
      </c>
      <c r="D8274" s="7">
        <f>DATE(2014,5,29)</f>
        <v>41788</v>
      </c>
      <c r="E8274" s="8">
        <f t="shared" si="134"/>
        <v>2014</v>
      </c>
      <c r="F8274" t="s">
        <v>1198</v>
      </c>
      <c r="G8274" s="9">
        <v>6623.5</v>
      </c>
      <c r="H8274" s="8">
        <v>13175</v>
      </c>
    </row>
    <row r="8275" spans="2:8" x14ac:dyDescent="0.4">
      <c r="B8275" t="s">
        <v>7</v>
      </c>
      <c r="C8275" t="s">
        <v>1197</v>
      </c>
      <c r="D8275" s="7">
        <f>DATE(2011,3,30)</f>
        <v>40632</v>
      </c>
      <c r="E8275" s="8">
        <f t="shared" si="134"/>
        <v>2011</v>
      </c>
      <c r="F8275" t="s">
        <v>1198</v>
      </c>
      <c r="G8275" s="9">
        <v>4394.75</v>
      </c>
      <c r="H8275" s="8">
        <v>10614</v>
      </c>
    </row>
    <row r="8276" spans="2:8" x14ac:dyDescent="0.4">
      <c r="B8276" t="s">
        <v>7</v>
      </c>
      <c r="C8276" t="s">
        <v>1197</v>
      </c>
      <c r="D8276" s="7">
        <f>DATE(2011,7,14)</f>
        <v>40738</v>
      </c>
      <c r="E8276" s="8">
        <f t="shared" si="134"/>
        <v>2011</v>
      </c>
      <c r="F8276" t="s">
        <v>1198</v>
      </c>
      <c r="G8276" s="9">
        <v>4380.4399999999996</v>
      </c>
      <c r="H8276" s="8">
        <v>10825</v>
      </c>
    </row>
    <row r="8277" spans="2:8" x14ac:dyDescent="0.4">
      <c r="B8277" t="s">
        <v>7</v>
      </c>
      <c r="C8277" t="s">
        <v>1197</v>
      </c>
      <c r="D8277" s="7">
        <f>DATE(2013,5,31)</f>
        <v>41425</v>
      </c>
      <c r="E8277" s="8">
        <f t="shared" si="134"/>
        <v>2013</v>
      </c>
      <c r="F8277" t="s">
        <v>1198</v>
      </c>
      <c r="G8277" s="9">
        <v>4939.25</v>
      </c>
      <c r="H8277" s="8">
        <v>12464</v>
      </c>
    </row>
    <row r="8278" spans="2:8" x14ac:dyDescent="0.4">
      <c r="B8278" t="s">
        <v>7</v>
      </c>
      <c r="C8278" t="s">
        <v>1197</v>
      </c>
      <c r="D8278" s="7">
        <f>DATE(2013,8,16)</f>
        <v>41502</v>
      </c>
      <c r="E8278" s="8">
        <f t="shared" si="134"/>
        <v>2013</v>
      </c>
      <c r="F8278" t="s">
        <v>1198</v>
      </c>
      <c r="G8278" s="9">
        <v>4979.47</v>
      </c>
      <c r="H8278" s="8">
        <v>12616</v>
      </c>
    </row>
    <row r="8279" spans="2:8" x14ac:dyDescent="0.4">
      <c r="B8279" s="3" t="s">
        <v>7</v>
      </c>
      <c r="C8279" s="3" t="s">
        <v>1197</v>
      </c>
      <c r="D8279" s="4">
        <f>DATE(2014,4,11)</f>
        <v>41740</v>
      </c>
      <c r="E8279" s="5">
        <f t="shared" si="134"/>
        <v>2014</v>
      </c>
      <c r="F8279" s="3" t="s">
        <v>1198</v>
      </c>
      <c r="G8279" s="6">
        <v>715</v>
      </c>
      <c r="H8279" s="5">
        <v>19839</v>
      </c>
    </row>
    <row r="8280" spans="2:8" x14ac:dyDescent="0.4">
      <c r="B8280" s="3" t="s">
        <v>7</v>
      </c>
      <c r="C8280" s="3" t="s">
        <v>1197</v>
      </c>
      <c r="D8280" s="4">
        <f>DATE(2014,9,15)</f>
        <v>41897</v>
      </c>
      <c r="E8280" s="5">
        <f t="shared" si="134"/>
        <v>2014</v>
      </c>
      <c r="F8280" s="3" t="s">
        <v>1198</v>
      </c>
      <c r="G8280" s="6">
        <v>1550</v>
      </c>
      <c r="H8280" s="5">
        <v>20407</v>
      </c>
    </row>
    <row r="8281" spans="2:8" x14ac:dyDescent="0.4">
      <c r="B8281" s="3" t="s">
        <v>16</v>
      </c>
      <c r="C8281" s="3" t="s">
        <v>1197</v>
      </c>
      <c r="D8281" s="4">
        <f>DATE(2014,4,23)</f>
        <v>41752</v>
      </c>
      <c r="E8281" s="5">
        <f t="shared" si="134"/>
        <v>2014</v>
      </c>
      <c r="F8281" s="3" t="s">
        <v>1198</v>
      </c>
      <c r="G8281" s="6">
        <v>357.5</v>
      </c>
      <c r="H8281" s="5">
        <v>19900</v>
      </c>
    </row>
    <row r="8282" spans="2:8" x14ac:dyDescent="0.4">
      <c r="B8282" s="3" t="s">
        <v>7</v>
      </c>
      <c r="C8282" s="3" t="s">
        <v>1199</v>
      </c>
      <c r="D8282" s="4">
        <f>DATE(2008,4,9)</f>
        <v>39547</v>
      </c>
      <c r="E8282" s="5">
        <f t="shared" si="134"/>
        <v>2008</v>
      </c>
      <c r="F8282" s="3" t="s">
        <v>1200</v>
      </c>
      <c r="G8282" s="6">
        <v>495.28</v>
      </c>
      <c r="H8282" s="5">
        <v>2765</v>
      </c>
    </row>
    <row r="8283" spans="2:8" x14ac:dyDescent="0.4">
      <c r="B8283" s="3" t="s">
        <v>7</v>
      </c>
      <c r="C8283" s="3" t="s">
        <v>1199</v>
      </c>
      <c r="D8283" s="4">
        <f>DATE(2008,6,25)</f>
        <v>39624</v>
      </c>
      <c r="E8283" s="5">
        <f t="shared" si="134"/>
        <v>2008</v>
      </c>
      <c r="F8283" s="3" t="s">
        <v>1201</v>
      </c>
      <c r="G8283" s="6">
        <v>415.22</v>
      </c>
      <c r="H8283" s="5">
        <v>2902</v>
      </c>
    </row>
    <row r="8284" spans="2:8" x14ac:dyDescent="0.4">
      <c r="B8284" s="3" t="s">
        <v>7</v>
      </c>
      <c r="C8284" s="3" t="s">
        <v>1199</v>
      </c>
      <c r="D8284" s="4">
        <f>DATE(2008,11,21)</f>
        <v>39773</v>
      </c>
      <c r="E8284" s="5">
        <f t="shared" si="134"/>
        <v>2008</v>
      </c>
      <c r="F8284" s="3" t="s">
        <v>1201</v>
      </c>
      <c r="G8284" s="6">
        <v>314.72000000000003</v>
      </c>
      <c r="H8284" s="5">
        <v>3139</v>
      </c>
    </row>
    <row r="8285" spans="2:8" x14ac:dyDescent="0.4">
      <c r="B8285" s="3" t="s">
        <v>7</v>
      </c>
      <c r="C8285" s="3" t="s">
        <v>1199</v>
      </c>
      <c r="D8285" s="4">
        <f>DATE(2009,12,23)</f>
        <v>40170</v>
      </c>
      <c r="E8285" s="5">
        <f t="shared" si="134"/>
        <v>2009</v>
      </c>
      <c r="F8285" s="3" t="s">
        <v>1201</v>
      </c>
      <c r="G8285" s="6">
        <v>196.62</v>
      </c>
      <c r="H8285" s="5">
        <v>3718</v>
      </c>
    </row>
    <row r="8286" spans="2:8" x14ac:dyDescent="0.4">
      <c r="B8286" s="3" t="s">
        <v>7</v>
      </c>
      <c r="C8286" s="3" t="s">
        <v>1199</v>
      </c>
      <c r="D8286" s="4">
        <f>DATE(2010,3,3)</f>
        <v>40240</v>
      </c>
      <c r="E8286" s="5">
        <f t="shared" si="134"/>
        <v>2010</v>
      </c>
      <c r="F8286" s="3" t="s">
        <v>1201</v>
      </c>
      <c r="G8286" s="6">
        <v>348.83</v>
      </c>
      <c r="H8286" s="5">
        <v>3840</v>
      </c>
    </row>
    <row r="8287" spans="2:8" x14ac:dyDescent="0.4">
      <c r="B8287" t="s">
        <v>7</v>
      </c>
      <c r="C8287" t="s">
        <v>1202</v>
      </c>
      <c r="D8287" s="7">
        <f>DATE(2019,3,13)</f>
        <v>43537</v>
      </c>
      <c r="E8287" s="8">
        <f t="shared" si="134"/>
        <v>2019</v>
      </c>
      <c r="F8287" t="s">
        <v>1203</v>
      </c>
      <c r="G8287" s="9">
        <v>81.48</v>
      </c>
      <c r="H8287" s="8">
        <v>28589</v>
      </c>
    </row>
    <row r="8288" spans="2:8" x14ac:dyDescent="0.4">
      <c r="B8288" t="s">
        <v>7</v>
      </c>
      <c r="C8288" t="s">
        <v>1202</v>
      </c>
      <c r="D8288" s="7">
        <f>DATE(2019,4,2)</f>
        <v>43557</v>
      </c>
      <c r="E8288" s="8">
        <f t="shared" si="134"/>
        <v>2019</v>
      </c>
      <c r="F8288" t="s">
        <v>1203</v>
      </c>
      <c r="G8288" s="9">
        <v>98.38</v>
      </c>
      <c r="H8288" s="8">
        <v>28754</v>
      </c>
    </row>
    <row r="8289" spans="2:8" x14ac:dyDescent="0.4">
      <c r="B8289" s="3" t="s">
        <v>7</v>
      </c>
      <c r="C8289" s="3" t="s">
        <v>1202</v>
      </c>
      <c r="D8289" s="4">
        <f>DATE(2014,2,26)</f>
        <v>41696</v>
      </c>
      <c r="E8289" s="5">
        <f t="shared" si="134"/>
        <v>2014</v>
      </c>
      <c r="F8289" s="3" t="s">
        <v>1203</v>
      </c>
      <c r="G8289" s="6">
        <v>1385.1</v>
      </c>
      <c r="H8289" s="5">
        <v>19491</v>
      </c>
    </row>
    <row r="8290" spans="2:8" x14ac:dyDescent="0.4">
      <c r="B8290" s="3" t="s">
        <v>7</v>
      </c>
      <c r="C8290" s="3" t="s">
        <v>1202</v>
      </c>
      <c r="D8290" s="4">
        <f>DATE(2014,3,6)</f>
        <v>41704</v>
      </c>
      <c r="E8290" s="5">
        <f t="shared" si="134"/>
        <v>2014</v>
      </c>
      <c r="F8290" s="3" t="s">
        <v>1203</v>
      </c>
      <c r="G8290" s="6">
        <v>1384.81</v>
      </c>
      <c r="H8290" s="5">
        <v>19615</v>
      </c>
    </row>
    <row r="8291" spans="2:8" x14ac:dyDescent="0.4">
      <c r="B8291" s="3" t="s">
        <v>16</v>
      </c>
      <c r="C8291" s="3" t="s">
        <v>1202</v>
      </c>
      <c r="D8291" s="4">
        <f>DATE(2014,3,6)</f>
        <v>41704</v>
      </c>
      <c r="E8291" s="5">
        <f t="shared" si="134"/>
        <v>2014</v>
      </c>
      <c r="F8291" s="3" t="s">
        <v>1203</v>
      </c>
      <c r="G8291" s="6">
        <v>1322.38</v>
      </c>
      <c r="H8291" s="5">
        <v>19660</v>
      </c>
    </row>
    <row r="8292" spans="2:8" x14ac:dyDescent="0.4">
      <c r="B8292" s="3" t="s">
        <v>7</v>
      </c>
      <c r="C8292" s="3" t="s">
        <v>1204</v>
      </c>
      <c r="D8292" s="4">
        <f>DATE(2003,1,22)</f>
        <v>37643</v>
      </c>
      <c r="E8292" s="5">
        <f t="shared" si="134"/>
        <v>2003</v>
      </c>
      <c r="F8292" s="3" t="s">
        <v>1205</v>
      </c>
      <c r="G8292" s="6">
        <v>83.6</v>
      </c>
      <c r="H8292" s="5">
        <v>9</v>
      </c>
    </row>
    <row r="8293" spans="2:8" x14ac:dyDescent="0.4">
      <c r="B8293" s="3" t="s">
        <v>7</v>
      </c>
      <c r="C8293" s="3" t="s">
        <v>1204</v>
      </c>
      <c r="D8293" s="4">
        <f>DATE(2003,5,28)</f>
        <v>37769</v>
      </c>
      <c r="E8293" s="5">
        <f t="shared" si="134"/>
        <v>2003</v>
      </c>
      <c r="F8293" s="3" t="s">
        <v>1205</v>
      </c>
      <c r="G8293" s="6">
        <v>596.4</v>
      </c>
      <c r="H8293" s="5">
        <v>188</v>
      </c>
    </row>
    <row r="8294" spans="2:8" x14ac:dyDescent="0.4">
      <c r="B8294" s="3" t="s">
        <v>7</v>
      </c>
      <c r="C8294" s="3" t="s">
        <v>1204</v>
      </c>
      <c r="D8294" s="4">
        <f>DATE(2003,7,2)</f>
        <v>37804</v>
      </c>
      <c r="E8294" s="5">
        <f t="shared" si="134"/>
        <v>2003</v>
      </c>
      <c r="F8294" s="3" t="s">
        <v>1205</v>
      </c>
      <c r="G8294" s="6">
        <v>1099.95</v>
      </c>
      <c r="H8294" s="5">
        <v>228</v>
      </c>
    </row>
    <row r="8295" spans="2:8" x14ac:dyDescent="0.4">
      <c r="B8295" s="3" t="s">
        <v>7</v>
      </c>
      <c r="C8295" s="3" t="s">
        <v>1204</v>
      </c>
      <c r="D8295" s="4">
        <f>DATE(2003,7,24)</f>
        <v>37826</v>
      </c>
      <c r="E8295" s="5">
        <f t="shared" si="134"/>
        <v>2003</v>
      </c>
      <c r="F8295" s="3" t="s">
        <v>1205</v>
      </c>
      <c r="G8295" s="6">
        <v>424.2</v>
      </c>
      <c r="H8295" s="5">
        <v>258</v>
      </c>
    </row>
    <row r="8296" spans="2:8" x14ac:dyDescent="0.4">
      <c r="B8296" s="3" t="s">
        <v>7</v>
      </c>
      <c r="C8296" s="3" t="s">
        <v>1204</v>
      </c>
      <c r="D8296" s="4">
        <f>DATE(2003,8,1)</f>
        <v>37834</v>
      </c>
      <c r="E8296" s="5">
        <f t="shared" si="134"/>
        <v>2003</v>
      </c>
      <c r="F8296" s="3" t="s">
        <v>1205</v>
      </c>
      <c r="G8296" s="6">
        <v>692.1</v>
      </c>
      <c r="H8296" s="5">
        <v>272</v>
      </c>
    </row>
    <row r="8297" spans="2:8" x14ac:dyDescent="0.4">
      <c r="B8297" s="3" t="s">
        <v>7</v>
      </c>
      <c r="C8297" s="3" t="s">
        <v>1204</v>
      </c>
      <c r="D8297" s="4">
        <f>DATE(2003,8,19)</f>
        <v>37852</v>
      </c>
      <c r="E8297" s="5">
        <f t="shared" si="134"/>
        <v>2003</v>
      </c>
      <c r="F8297" s="3" t="s">
        <v>1205</v>
      </c>
      <c r="G8297" s="6">
        <v>1192.8</v>
      </c>
      <c r="H8297" s="5">
        <v>292</v>
      </c>
    </row>
    <row r="8298" spans="2:8" x14ac:dyDescent="0.4">
      <c r="B8298" s="3" t="s">
        <v>7</v>
      </c>
      <c r="C8298" s="3" t="s">
        <v>1204</v>
      </c>
      <c r="D8298" s="4">
        <f>DATE(2003,8,15)</f>
        <v>37848</v>
      </c>
      <c r="E8298" s="5">
        <f t="shared" si="134"/>
        <v>2003</v>
      </c>
      <c r="F8298" s="3" t="s">
        <v>1205</v>
      </c>
      <c r="G8298" s="6">
        <v>490</v>
      </c>
      <c r="H8298" s="5">
        <v>287</v>
      </c>
    </row>
    <row r="8299" spans="2:8" x14ac:dyDescent="0.4">
      <c r="B8299" s="3" t="s">
        <v>7</v>
      </c>
      <c r="C8299" s="3" t="s">
        <v>1204</v>
      </c>
      <c r="D8299" s="4">
        <f>DATE(2003,9,15)</f>
        <v>37879</v>
      </c>
      <c r="E8299" s="5">
        <f t="shared" si="134"/>
        <v>2003</v>
      </c>
      <c r="F8299" s="3" t="s">
        <v>1205</v>
      </c>
      <c r="G8299" s="6">
        <v>2646.2</v>
      </c>
      <c r="H8299" s="5">
        <v>324</v>
      </c>
    </row>
    <row r="8300" spans="2:8" x14ac:dyDescent="0.4">
      <c r="B8300" s="3" t="s">
        <v>7</v>
      </c>
      <c r="C8300" s="3" t="s">
        <v>1204</v>
      </c>
      <c r="D8300" s="4">
        <f>DATE(2003,10,15)</f>
        <v>37909</v>
      </c>
      <c r="E8300" s="5">
        <f t="shared" si="134"/>
        <v>2003</v>
      </c>
      <c r="F8300" s="3" t="s">
        <v>1205</v>
      </c>
      <c r="G8300" s="6">
        <v>1200.8399999999999</v>
      </c>
      <c r="H8300" s="5">
        <v>377</v>
      </c>
    </row>
    <row r="8301" spans="2:8" x14ac:dyDescent="0.4">
      <c r="B8301" s="3" t="s">
        <v>7</v>
      </c>
      <c r="C8301" s="3" t="s">
        <v>1204</v>
      </c>
      <c r="D8301" s="4">
        <f>DATE(2003,10,20)</f>
        <v>37914</v>
      </c>
      <c r="E8301" s="5">
        <f t="shared" si="134"/>
        <v>2003</v>
      </c>
      <c r="F8301" s="3" t="s">
        <v>1205</v>
      </c>
      <c r="G8301" s="6">
        <v>2038.41</v>
      </c>
      <c r="H8301" s="5">
        <v>386</v>
      </c>
    </row>
    <row r="8302" spans="2:8" x14ac:dyDescent="0.4">
      <c r="B8302" s="3" t="s">
        <v>7</v>
      </c>
      <c r="C8302" s="3" t="s">
        <v>1204</v>
      </c>
      <c r="D8302" s="4">
        <f>DATE(2003,10,31)</f>
        <v>37925</v>
      </c>
      <c r="E8302" s="5">
        <f t="shared" si="134"/>
        <v>2003</v>
      </c>
      <c r="F8302" s="3" t="s">
        <v>1205</v>
      </c>
      <c r="G8302" s="6">
        <v>4897.47</v>
      </c>
      <c r="H8302" s="5">
        <v>406</v>
      </c>
    </row>
    <row r="8303" spans="2:8" x14ac:dyDescent="0.4">
      <c r="B8303" s="3" t="s">
        <v>7</v>
      </c>
      <c r="C8303" s="3" t="s">
        <v>1204</v>
      </c>
      <c r="D8303" s="4">
        <f>DATE(2003,12,15)</f>
        <v>37970</v>
      </c>
      <c r="E8303" s="5">
        <f t="shared" si="134"/>
        <v>2003</v>
      </c>
      <c r="F8303" s="3" t="s">
        <v>1205</v>
      </c>
      <c r="G8303" s="6">
        <v>86.2</v>
      </c>
      <c r="H8303" s="5">
        <v>469</v>
      </c>
    </row>
    <row r="8304" spans="2:8" x14ac:dyDescent="0.4">
      <c r="B8304" s="3" t="s">
        <v>7</v>
      </c>
      <c r="C8304" s="3" t="s">
        <v>1204</v>
      </c>
      <c r="D8304" s="4">
        <f>DATE(2004,1,20)</f>
        <v>38006</v>
      </c>
      <c r="E8304" s="5">
        <f t="shared" si="134"/>
        <v>2004</v>
      </c>
      <c r="F8304" s="3" t="s">
        <v>1205</v>
      </c>
      <c r="G8304" s="6">
        <v>49.39</v>
      </c>
      <c r="H8304" s="5">
        <v>512</v>
      </c>
    </row>
    <row r="8305" spans="2:8" x14ac:dyDescent="0.4">
      <c r="B8305" s="3" t="s">
        <v>7</v>
      </c>
      <c r="C8305" s="3" t="s">
        <v>1204</v>
      </c>
      <c r="D8305" s="4">
        <f>DATE(2004,3,10)</f>
        <v>38056</v>
      </c>
      <c r="E8305" s="5">
        <f t="shared" si="134"/>
        <v>2004</v>
      </c>
      <c r="F8305" s="3" t="s">
        <v>1205</v>
      </c>
      <c r="G8305" s="6">
        <v>268.70999999999998</v>
      </c>
      <c r="H8305" s="5">
        <v>559</v>
      </c>
    </row>
    <row r="8306" spans="2:8" x14ac:dyDescent="0.4">
      <c r="B8306" s="3" t="s">
        <v>7</v>
      </c>
      <c r="C8306" s="3" t="s">
        <v>1204</v>
      </c>
      <c r="D8306" s="4">
        <f>DATE(2004,3,11)</f>
        <v>38057</v>
      </c>
      <c r="E8306" s="5">
        <f t="shared" si="134"/>
        <v>2004</v>
      </c>
      <c r="F8306" s="3" t="s">
        <v>1205</v>
      </c>
      <c r="G8306" s="6">
        <v>2876</v>
      </c>
      <c r="H8306" s="5">
        <v>564</v>
      </c>
    </row>
    <row r="8307" spans="2:8" x14ac:dyDescent="0.4">
      <c r="B8307" s="3" t="s">
        <v>7</v>
      </c>
      <c r="C8307" s="3" t="s">
        <v>1204</v>
      </c>
      <c r="D8307" s="4">
        <f>DATE(2004,3,26)</f>
        <v>38072</v>
      </c>
      <c r="E8307" s="5">
        <f t="shared" si="134"/>
        <v>2004</v>
      </c>
      <c r="F8307" s="3" t="s">
        <v>1205</v>
      </c>
      <c r="G8307" s="6">
        <v>5676.02</v>
      </c>
      <c r="H8307" s="5">
        <v>575</v>
      </c>
    </row>
    <row r="8308" spans="2:8" x14ac:dyDescent="0.4">
      <c r="B8308" s="3" t="s">
        <v>7</v>
      </c>
      <c r="C8308" s="3" t="s">
        <v>1204</v>
      </c>
      <c r="D8308" s="4">
        <f>DATE(2004,3,26)</f>
        <v>38072</v>
      </c>
      <c r="E8308" s="5">
        <f t="shared" si="134"/>
        <v>2004</v>
      </c>
      <c r="F8308" s="3" t="s">
        <v>1205</v>
      </c>
      <c r="G8308" s="6">
        <v>6518.26</v>
      </c>
      <c r="H8308" s="5">
        <v>578</v>
      </c>
    </row>
    <row r="8309" spans="2:8" x14ac:dyDescent="0.4">
      <c r="B8309" s="3" t="s">
        <v>7</v>
      </c>
      <c r="C8309" s="3" t="s">
        <v>1204</v>
      </c>
      <c r="D8309" s="4">
        <f>DATE(2004,5,28)</f>
        <v>38135</v>
      </c>
      <c r="E8309" s="5">
        <f t="shared" si="134"/>
        <v>2004</v>
      </c>
      <c r="F8309" s="3" t="s">
        <v>1205</v>
      </c>
      <c r="G8309" s="6">
        <v>1469.66</v>
      </c>
      <c r="H8309" s="5">
        <v>671</v>
      </c>
    </row>
    <row r="8310" spans="2:8" x14ac:dyDescent="0.4">
      <c r="B8310" s="3" t="s">
        <v>7</v>
      </c>
      <c r="C8310" s="3" t="s">
        <v>1204</v>
      </c>
      <c r="D8310" s="4">
        <f>DATE(2004,6,8)</f>
        <v>38146</v>
      </c>
      <c r="E8310" s="5">
        <f t="shared" si="134"/>
        <v>2004</v>
      </c>
      <c r="F8310" s="3" t="s">
        <v>1205</v>
      </c>
      <c r="G8310" s="6">
        <v>88.5</v>
      </c>
      <c r="H8310" s="5">
        <v>686</v>
      </c>
    </row>
    <row r="8311" spans="2:8" x14ac:dyDescent="0.4">
      <c r="B8311" s="3" t="s">
        <v>7</v>
      </c>
      <c r="C8311" s="3" t="s">
        <v>1204</v>
      </c>
      <c r="D8311" s="4">
        <f>DATE(2004,6,30)</f>
        <v>38168</v>
      </c>
      <c r="E8311" s="5">
        <f t="shared" si="134"/>
        <v>2004</v>
      </c>
      <c r="F8311" s="3" t="s">
        <v>1205</v>
      </c>
      <c r="G8311" s="6">
        <v>2850</v>
      </c>
      <c r="H8311" s="5">
        <v>710</v>
      </c>
    </row>
    <row r="8312" spans="2:8" x14ac:dyDescent="0.4">
      <c r="B8312" s="3" t="s">
        <v>7</v>
      </c>
      <c r="C8312" s="3" t="s">
        <v>1204</v>
      </c>
      <c r="D8312" s="4">
        <f>DATE(2004,8,23)</f>
        <v>38222</v>
      </c>
      <c r="E8312" s="5">
        <f t="shared" si="134"/>
        <v>2004</v>
      </c>
      <c r="F8312" s="3" t="s">
        <v>1205</v>
      </c>
      <c r="G8312" s="6">
        <v>471</v>
      </c>
      <c r="H8312" s="5">
        <v>753</v>
      </c>
    </row>
    <row r="8313" spans="2:8" x14ac:dyDescent="0.4">
      <c r="B8313" s="3" t="s">
        <v>7</v>
      </c>
      <c r="C8313" s="3" t="s">
        <v>1204</v>
      </c>
      <c r="D8313" s="4">
        <f>DATE(2004,9,30)</f>
        <v>38260</v>
      </c>
      <c r="E8313" s="5">
        <f t="shared" si="134"/>
        <v>2004</v>
      </c>
      <c r="F8313" s="3" t="s">
        <v>1205</v>
      </c>
      <c r="G8313" s="6">
        <v>6022.7</v>
      </c>
      <c r="H8313" s="5">
        <v>799</v>
      </c>
    </row>
    <row r="8314" spans="2:8" x14ac:dyDescent="0.4">
      <c r="B8314" s="3" t="s">
        <v>7</v>
      </c>
      <c r="C8314" s="3" t="s">
        <v>1204</v>
      </c>
      <c r="D8314" s="4">
        <f>DATE(2004,10,28)</f>
        <v>38288</v>
      </c>
      <c r="E8314" s="5">
        <f t="shared" si="134"/>
        <v>2004</v>
      </c>
      <c r="F8314" s="3" t="s">
        <v>1205</v>
      </c>
      <c r="G8314" s="6">
        <v>179.25</v>
      </c>
      <c r="H8314" s="5">
        <v>823</v>
      </c>
    </row>
    <row r="8315" spans="2:8" x14ac:dyDescent="0.4">
      <c r="B8315" s="3" t="s">
        <v>7</v>
      </c>
      <c r="C8315" s="3" t="s">
        <v>1204</v>
      </c>
      <c r="D8315" s="4">
        <f>DATE(2004,10,26)</f>
        <v>38286</v>
      </c>
      <c r="E8315" s="5">
        <f t="shared" si="134"/>
        <v>2004</v>
      </c>
      <c r="F8315" s="3" t="s">
        <v>1205</v>
      </c>
      <c r="G8315" s="6">
        <v>119.5</v>
      </c>
      <c r="H8315" s="5">
        <v>824</v>
      </c>
    </row>
    <row r="8316" spans="2:8" x14ac:dyDescent="0.4">
      <c r="B8316" s="3" t="s">
        <v>7</v>
      </c>
      <c r="C8316" s="3" t="s">
        <v>1204</v>
      </c>
      <c r="D8316" s="4">
        <f>DATE(2004,10,20)</f>
        <v>38280</v>
      </c>
      <c r="E8316" s="5">
        <f t="shared" si="134"/>
        <v>2004</v>
      </c>
      <c r="F8316" s="3" t="s">
        <v>1205</v>
      </c>
      <c r="G8316" s="6">
        <v>6166.96</v>
      </c>
      <c r="H8316" s="5">
        <v>815</v>
      </c>
    </row>
    <row r="8317" spans="2:8" x14ac:dyDescent="0.4">
      <c r="B8317" s="3" t="s">
        <v>7</v>
      </c>
      <c r="C8317" s="3" t="s">
        <v>1204</v>
      </c>
      <c r="D8317" s="4">
        <f>DATE(2004,10,29)</f>
        <v>38289</v>
      </c>
      <c r="E8317" s="5">
        <f t="shared" si="134"/>
        <v>2004</v>
      </c>
      <c r="F8317" s="3" t="s">
        <v>1205</v>
      </c>
      <c r="G8317" s="6">
        <v>117.48</v>
      </c>
      <c r="H8317" s="5">
        <v>837</v>
      </c>
    </row>
    <row r="8318" spans="2:8" x14ac:dyDescent="0.4">
      <c r="B8318" s="3" t="s">
        <v>7</v>
      </c>
      <c r="C8318" s="3" t="s">
        <v>1204</v>
      </c>
      <c r="D8318" s="4">
        <f>DATE(2004,11,8)</f>
        <v>38299</v>
      </c>
      <c r="E8318" s="5">
        <f t="shared" si="134"/>
        <v>2004</v>
      </c>
      <c r="F8318" s="3" t="s">
        <v>1205</v>
      </c>
      <c r="G8318" s="6">
        <v>405</v>
      </c>
      <c r="H8318" s="5">
        <v>858</v>
      </c>
    </row>
    <row r="8319" spans="2:8" x14ac:dyDescent="0.4">
      <c r="B8319" s="3" t="s">
        <v>7</v>
      </c>
      <c r="C8319" s="3" t="s">
        <v>1204</v>
      </c>
      <c r="D8319" s="4">
        <f>DATE(2005,1,24)</f>
        <v>38376</v>
      </c>
      <c r="E8319" s="5">
        <f t="shared" si="134"/>
        <v>2005</v>
      </c>
      <c r="F8319" s="3" t="s">
        <v>1205</v>
      </c>
      <c r="G8319" s="6">
        <v>1766.9</v>
      </c>
      <c r="H8319" s="5">
        <v>922</v>
      </c>
    </row>
    <row r="8320" spans="2:8" x14ac:dyDescent="0.4">
      <c r="B8320" s="3" t="s">
        <v>7</v>
      </c>
      <c r="C8320" s="3" t="s">
        <v>1204</v>
      </c>
      <c r="D8320" s="4">
        <f>DATE(2005,2,3)</f>
        <v>38386</v>
      </c>
      <c r="E8320" s="5">
        <f t="shared" si="134"/>
        <v>2005</v>
      </c>
      <c r="F8320" s="3" t="s">
        <v>1205</v>
      </c>
      <c r="G8320" s="6">
        <v>7120.99</v>
      </c>
      <c r="H8320" s="5">
        <v>943</v>
      </c>
    </row>
    <row r="8321" spans="2:8" x14ac:dyDescent="0.4">
      <c r="B8321" s="3" t="s">
        <v>7</v>
      </c>
      <c r="C8321" s="3" t="s">
        <v>1204</v>
      </c>
      <c r="D8321" s="4">
        <f>DATE(2005,2,23)</f>
        <v>38406</v>
      </c>
      <c r="E8321" s="5">
        <f t="shared" si="134"/>
        <v>2005</v>
      </c>
      <c r="F8321" s="3" t="s">
        <v>1205</v>
      </c>
      <c r="G8321" s="6">
        <v>1008.05</v>
      </c>
      <c r="H8321" s="5">
        <v>961</v>
      </c>
    </row>
    <row r="8322" spans="2:8" x14ac:dyDescent="0.4">
      <c r="B8322" s="3" t="s">
        <v>7</v>
      </c>
      <c r="C8322" s="3" t="s">
        <v>1204</v>
      </c>
      <c r="D8322" s="4">
        <f>DATE(2005,2,23)</f>
        <v>38406</v>
      </c>
      <c r="E8322" s="5">
        <f t="shared" si="134"/>
        <v>2005</v>
      </c>
      <c r="F8322" s="3" t="s">
        <v>1205</v>
      </c>
      <c r="G8322" s="6">
        <v>209</v>
      </c>
      <c r="H8322" s="5">
        <v>964</v>
      </c>
    </row>
    <row r="8323" spans="2:8" x14ac:dyDescent="0.4">
      <c r="B8323" s="3" t="s">
        <v>7</v>
      </c>
      <c r="C8323" s="3" t="s">
        <v>1204</v>
      </c>
      <c r="D8323" s="4">
        <f>DATE(2005,2,17)</f>
        <v>38400</v>
      </c>
      <c r="E8323" s="5">
        <f t="shared" ref="E8323:E8386" si="135">YEAR(D8323)</f>
        <v>2005</v>
      </c>
      <c r="F8323" s="3" t="s">
        <v>1205</v>
      </c>
      <c r="G8323" s="6">
        <v>2323.17</v>
      </c>
      <c r="H8323" s="5">
        <v>958</v>
      </c>
    </row>
    <row r="8324" spans="2:8" x14ac:dyDescent="0.4">
      <c r="B8324" s="3" t="s">
        <v>7</v>
      </c>
      <c r="C8324" s="3" t="s">
        <v>1204</v>
      </c>
      <c r="D8324" s="4">
        <f>DATE(2005,3,1)</f>
        <v>38412</v>
      </c>
      <c r="E8324" s="5">
        <f t="shared" si="135"/>
        <v>2005</v>
      </c>
      <c r="F8324" s="3" t="s">
        <v>1205</v>
      </c>
      <c r="G8324" s="6">
        <v>2340</v>
      </c>
      <c r="H8324" s="5">
        <v>973</v>
      </c>
    </row>
    <row r="8325" spans="2:8" x14ac:dyDescent="0.4">
      <c r="B8325" s="3" t="s">
        <v>7</v>
      </c>
      <c r="C8325" s="3" t="s">
        <v>1204</v>
      </c>
      <c r="D8325" s="4">
        <f>DATE(2005,3,1)</f>
        <v>38412</v>
      </c>
      <c r="E8325" s="5">
        <f t="shared" si="135"/>
        <v>2005</v>
      </c>
      <c r="F8325" s="3" t="s">
        <v>1205</v>
      </c>
      <c r="G8325" s="6">
        <v>87.85</v>
      </c>
      <c r="H8325" s="5">
        <v>975</v>
      </c>
    </row>
    <row r="8326" spans="2:8" x14ac:dyDescent="0.4">
      <c r="B8326" s="3" t="s">
        <v>7</v>
      </c>
      <c r="C8326" s="3" t="s">
        <v>1204</v>
      </c>
      <c r="D8326" s="4">
        <f>DATE(2005,3,9)</f>
        <v>38420</v>
      </c>
      <c r="E8326" s="5">
        <f t="shared" si="135"/>
        <v>2005</v>
      </c>
      <c r="F8326" s="3" t="s">
        <v>1205</v>
      </c>
      <c r="G8326" s="6">
        <v>3715.79</v>
      </c>
      <c r="H8326" s="5">
        <v>985</v>
      </c>
    </row>
    <row r="8327" spans="2:8" x14ac:dyDescent="0.4">
      <c r="B8327" s="3" t="s">
        <v>7</v>
      </c>
      <c r="C8327" s="3" t="s">
        <v>1204</v>
      </c>
      <c r="D8327" s="4">
        <f>DATE(2005,3,14)</f>
        <v>38425</v>
      </c>
      <c r="E8327" s="5">
        <f t="shared" si="135"/>
        <v>2005</v>
      </c>
      <c r="F8327" s="3" t="s">
        <v>1205</v>
      </c>
      <c r="G8327" s="6">
        <v>1205.8599999999999</v>
      </c>
      <c r="H8327" s="5">
        <v>989</v>
      </c>
    </row>
    <row r="8328" spans="2:8" x14ac:dyDescent="0.4">
      <c r="B8328" s="3" t="s">
        <v>7</v>
      </c>
      <c r="C8328" s="3" t="s">
        <v>1204</v>
      </c>
      <c r="D8328" s="4">
        <f>DATE(2005,3,21)</f>
        <v>38432</v>
      </c>
      <c r="E8328" s="5">
        <f t="shared" si="135"/>
        <v>2005</v>
      </c>
      <c r="F8328" s="3" t="s">
        <v>1205</v>
      </c>
      <c r="G8328" s="6">
        <v>386.16</v>
      </c>
      <c r="H8328" s="5">
        <v>1004</v>
      </c>
    </row>
    <row r="8329" spans="2:8" x14ac:dyDescent="0.4">
      <c r="B8329" s="3" t="s">
        <v>7</v>
      </c>
      <c r="C8329" s="3" t="s">
        <v>1204</v>
      </c>
      <c r="D8329" s="4">
        <f>DATE(2005,3,22)</f>
        <v>38433</v>
      </c>
      <c r="E8329" s="5">
        <f t="shared" si="135"/>
        <v>2005</v>
      </c>
      <c r="F8329" s="3" t="s">
        <v>1205</v>
      </c>
      <c r="G8329" s="6">
        <v>151.07</v>
      </c>
      <c r="H8329" s="5">
        <v>1005</v>
      </c>
    </row>
    <row r="8330" spans="2:8" x14ac:dyDescent="0.4">
      <c r="B8330" s="3" t="s">
        <v>7</v>
      </c>
      <c r="C8330" s="3" t="s">
        <v>1204</v>
      </c>
      <c r="D8330" s="4">
        <f>DATE(2005,3,24)</f>
        <v>38435</v>
      </c>
      <c r="E8330" s="5">
        <f t="shared" si="135"/>
        <v>2005</v>
      </c>
      <c r="F8330" s="3" t="s">
        <v>1205</v>
      </c>
      <c r="G8330" s="6">
        <v>325.94</v>
      </c>
      <c r="H8330" s="5">
        <v>1016</v>
      </c>
    </row>
    <row r="8331" spans="2:8" x14ac:dyDescent="0.4">
      <c r="B8331" s="3" t="s">
        <v>7</v>
      </c>
      <c r="C8331" s="3" t="s">
        <v>1204</v>
      </c>
      <c r="D8331" s="4">
        <f>DATE(2005,5,4)</f>
        <v>38476</v>
      </c>
      <c r="E8331" s="5">
        <f t="shared" si="135"/>
        <v>2005</v>
      </c>
      <c r="F8331" s="3" t="s">
        <v>1205</v>
      </c>
      <c r="G8331" s="6">
        <v>1950</v>
      </c>
      <c r="H8331" s="5">
        <v>1052</v>
      </c>
    </row>
    <row r="8332" spans="2:8" x14ac:dyDescent="0.4">
      <c r="B8332" s="3" t="s">
        <v>7</v>
      </c>
      <c r="C8332" s="3" t="s">
        <v>1204</v>
      </c>
      <c r="D8332" s="4">
        <f>DATE(2005,5,6)</f>
        <v>38478</v>
      </c>
      <c r="E8332" s="5">
        <f t="shared" si="135"/>
        <v>2005</v>
      </c>
      <c r="F8332" s="3" t="s">
        <v>1205</v>
      </c>
      <c r="G8332" s="6">
        <v>1368</v>
      </c>
      <c r="H8332" s="5">
        <v>1060</v>
      </c>
    </row>
    <row r="8333" spans="2:8" x14ac:dyDescent="0.4">
      <c r="B8333" s="3" t="s">
        <v>7</v>
      </c>
      <c r="C8333" s="3" t="s">
        <v>1204</v>
      </c>
      <c r="D8333" s="4">
        <f>DATE(2005,5,19)</f>
        <v>38491</v>
      </c>
      <c r="E8333" s="5">
        <f t="shared" si="135"/>
        <v>2005</v>
      </c>
      <c r="F8333" s="3" t="s">
        <v>1205</v>
      </c>
      <c r="G8333" s="6">
        <v>7012</v>
      </c>
      <c r="H8333" s="5">
        <v>1078</v>
      </c>
    </row>
    <row r="8334" spans="2:8" x14ac:dyDescent="0.4">
      <c r="B8334" s="3" t="s">
        <v>7</v>
      </c>
      <c r="C8334" s="3" t="s">
        <v>1204</v>
      </c>
      <c r="D8334" s="4">
        <f>DATE(2005,6,7)</f>
        <v>38510</v>
      </c>
      <c r="E8334" s="5">
        <f t="shared" si="135"/>
        <v>2005</v>
      </c>
      <c r="F8334" s="3" t="s">
        <v>1205</v>
      </c>
      <c r="G8334" s="6">
        <v>6500</v>
      </c>
      <c r="H8334" s="5">
        <v>1096</v>
      </c>
    </row>
    <row r="8335" spans="2:8" x14ac:dyDescent="0.4">
      <c r="B8335" s="3" t="s">
        <v>7</v>
      </c>
      <c r="C8335" s="3" t="s">
        <v>1204</v>
      </c>
      <c r="D8335" s="4">
        <f>DATE(2005,6,14)</f>
        <v>38517</v>
      </c>
      <c r="E8335" s="5">
        <f t="shared" si="135"/>
        <v>2005</v>
      </c>
      <c r="F8335" s="3" t="s">
        <v>1205</v>
      </c>
      <c r="G8335" s="6">
        <v>2340</v>
      </c>
      <c r="H8335" s="5">
        <v>1102</v>
      </c>
    </row>
    <row r="8336" spans="2:8" x14ac:dyDescent="0.4">
      <c r="B8336" s="3" t="s">
        <v>7</v>
      </c>
      <c r="C8336" s="3" t="s">
        <v>1204</v>
      </c>
      <c r="D8336" s="4">
        <f>DATE(2005,5,23)</f>
        <v>38495</v>
      </c>
      <c r="E8336" s="5">
        <f t="shared" si="135"/>
        <v>2005</v>
      </c>
      <c r="F8336" s="3" t="s">
        <v>1205</v>
      </c>
      <c r="G8336" s="6">
        <v>9685.35</v>
      </c>
      <c r="H8336" s="5">
        <v>1097</v>
      </c>
    </row>
    <row r="8337" spans="2:8" x14ac:dyDescent="0.4">
      <c r="B8337" s="3" t="s">
        <v>7</v>
      </c>
      <c r="C8337" s="3" t="s">
        <v>1204</v>
      </c>
      <c r="D8337" s="4">
        <f>DATE(2005,6,21)</f>
        <v>38524</v>
      </c>
      <c r="E8337" s="5">
        <f t="shared" si="135"/>
        <v>2005</v>
      </c>
      <c r="F8337" s="3" t="s">
        <v>1205</v>
      </c>
      <c r="G8337" s="6">
        <v>597.13</v>
      </c>
      <c r="H8337" s="5">
        <v>1131</v>
      </c>
    </row>
    <row r="8338" spans="2:8" x14ac:dyDescent="0.4">
      <c r="B8338" s="3" t="s">
        <v>7</v>
      </c>
      <c r="C8338" s="3" t="s">
        <v>1204</v>
      </c>
      <c r="D8338" s="4">
        <f>DATE(2005,8,5)</f>
        <v>38569</v>
      </c>
      <c r="E8338" s="5">
        <f t="shared" si="135"/>
        <v>2005</v>
      </c>
      <c r="F8338" s="3" t="s">
        <v>1205</v>
      </c>
      <c r="G8338" s="6">
        <v>5137.25</v>
      </c>
      <c r="H8338" s="5">
        <v>1209</v>
      </c>
    </row>
    <row r="8339" spans="2:8" x14ac:dyDescent="0.4">
      <c r="B8339" s="3" t="s">
        <v>7</v>
      </c>
      <c r="C8339" s="3" t="s">
        <v>1204</v>
      </c>
      <c r="D8339" s="4">
        <f>DATE(2005,8,3)</f>
        <v>38567</v>
      </c>
      <c r="E8339" s="5">
        <f t="shared" si="135"/>
        <v>2005</v>
      </c>
      <c r="F8339" s="3" t="s">
        <v>1205</v>
      </c>
      <c r="G8339" s="6">
        <v>5921</v>
      </c>
      <c r="H8339" s="5">
        <v>1210</v>
      </c>
    </row>
    <row r="8340" spans="2:8" x14ac:dyDescent="0.4">
      <c r="B8340" s="3" t="s">
        <v>7</v>
      </c>
      <c r="C8340" s="3" t="s">
        <v>1204</v>
      </c>
      <c r="D8340" s="4">
        <f>DATE(2005,8,30)</f>
        <v>38594</v>
      </c>
      <c r="E8340" s="5">
        <f t="shared" si="135"/>
        <v>2005</v>
      </c>
      <c r="F8340" s="3" t="s">
        <v>1205</v>
      </c>
      <c r="G8340" s="6">
        <v>1990</v>
      </c>
      <c r="H8340" s="5">
        <v>1202</v>
      </c>
    </row>
    <row r="8341" spans="2:8" x14ac:dyDescent="0.4">
      <c r="B8341" s="3" t="s">
        <v>7</v>
      </c>
      <c r="C8341" s="3" t="s">
        <v>1204</v>
      </c>
      <c r="D8341" s="4">
        <f>DATE(2005,9,29)</f>
        <v>38624</v>
      </c>
      <c r="E8341" s="5">
        <f t="shared" si="135"/>
        <v>2005</v>
      </c>
      <c r="F8341" s="3" t="s">
        <v>1205</v>
      </c>
      <c r="G8341" s="6">
        <v>3335.1</v>
      </c>
      <c r="H8341" s="5">
        <v>1187</v>
      </c>
    </row>
    <row r="8342" spans="2:8" x14ac:dyDescent="0.4">
      <c r="B8342" s="3" t="s">
        <v>7</v>
      </c>
      <c r="C8342" s="3" t="s">
        <v>1204</v>
      </c>
      <c r="D8342" s="4">
        <f>DATE(2005,10,20)</f>
        <v>38645</v>
      </c>
      <c r="E8342" s="5">
        <f t="shared" si="135"/>
        <v>2005</v>
      </c>
      <c r="F8342" s="3" t="s">
        <v>1205</v>
      </c>
      <c r="G8342" s="6">
        <v>480.27</v>
      </c>
      <c r="H8342" s="5">
        <v>1279</v>
      </c>
    </row>
    <row r="8343" spans="2:8" x14ac:dyDescent="0.4">
      <c r="B8343" s="3" t="s">
        <v>7</v>
      </c>
      <c r="C8343" s="3" t="s">
        <v>1204</v>
      </c>
      <c r="D8343" s="4">
        <f>DATE(2005,11,15)</f>
        <v>38671</v>
      </c>
      <c r="E8343" s="5">
        <f t="shared" si="135"/>
        <v>2005</v>
      </c>
      <c r="F8343" s="3" t="s">
        <v>1205</v>
      </c>
      <c r="G8343" s="6">
        <v>5757.6</v>
      </c>
      <c r="H8343" s="5">
        <v>1293</v>
      </c>
    </row>
    <row r="8344" spans="2:8" x14ac:dyDescent="0.4">
      <c r="B8344" s="3" t="s">
        <v>7</v>
      </c>
      <c r="C8344" s="3" t="s">
        <v>1204</v>
      </c>
      <c r="D8344" s="4">
        <f>DATE(2005,11,29)</f>
        <v>38685</v>
      </c>
      <c r="E8344" s="5">
        <f t="shared" si="135"/>
        <v>2005</v>
      </c>
      <c r="F8344" s="3" t="s">
        <v>1205</v>
      </c>
      <c r="G8344" s="6">
        <v>5578.55</v>
      </c>
      <c r="H8344" s="5">
        <v>1312</v>
      </c>
    </row>
    <row r="8345" spans="2:8" x14ac:dyDescent="0.4">
      <c r="B8345" s="3" t="s">
        <v>7</v>
      </c>
      <c r="C8345" s="3" t="s">
        <v>1204</v>
      </c>
      <c r="D8345" s="4">
        <f>DATE(2006,1,17)</f>
        <v>38734</v>
      </c>
      <c r="E8345" s="5">
        <f t="shared" si="135"/>
        <v>2006</v>
      </c>
      <c r="F8345" s="3" t="s">
        <v>1205</v>
      </c>
      <c r="G8345" s="6">
        <v>348</v>
      </c>
      <c r="H8345" s="5">
        <v>1386</v>
      </c>
    </row>
    <row r="8346" spans="2:8" x14ac:dyDescent="0.4">
      <c r="B8346" s="3" t="s">
        <v>7</v>
      </c>
      <c r="C8346" s="3" t="s">
        <v>1204</v>
      </c>
      <c r="D8346" s="4">
        <f>DATE(2006,4,20)</f>
        <v>38827</v>
      </c>
      <c r="E8346" s="5">
        <f t="shared" si="135"/>
        <v>2006</v>
      </c>
      <c r="F8346" s="3" t="s">
        <v>1205</v>
      </c>
      <c r="G8346" s="6">
        <v>1368</v>
      </c>
      <c r="H8346" s="5">
        <v>1517</v>
      </c>
    </row>
    <row r="8347" spans="2:8" x14ac:dyDescent="0.4">
      <c r="B8347" s="3" t="s">
        <v>7</v>
      </c>
      <c r="C8347" s="3" t="s">
        <v>1204</v>
      </c>
      <c r="D8347" s="4">
        <f>DATE(2006,5,19)</f>
        <v>38856</v>
      </c>
      <c r="E8347" s="5">
        <f t="shared" si="135"/>
        <v>2006</v>
      </c>
      <c r="F8347" s="3" t="s">
        <v>1205</v>
      </c>
      <c r="G8347" s="6">
        <v>2780</v>
      </c>
      <c r="H8347" s="5">
        <v>1573</v>
      </c>
    </row>
    <row r="8348" spans="2:8" x14ac:dyDescent="0.4">
      <c r="B8348" s="3" t="s">
        <v>7</v>
      </c>
      <c r="C8348" s="3" t="s">
        <v>1204</v>
      </c>
      <c r="D8348" s="4">
        <f>DATE(2006,6,14)</f>
        <v>38882</v>
      </c>
      <c r="E8348" s="5">
        <f t="shared" si="135"/>
        <v>2006</v>
      </c>
      <c r="F8348" s="3" t="s">
        <v>1205</v>
      </c>
      <c r="G8348" s="6">
        <v>360</v>
      </c>
      <c r="H8348" s="5">
        <v>1623</v>
      </c>
    </row>
    <row r="8349" spans="2:8" x14ac:dyDescent="0.4">
      <c r="B8349" s="3" t="s">
        <v>7</v>
      </c>
      <c r="C8349" s="3" t="s">
        <v>1204</v>
      </c>
      <c r="D8349" s="4">
        <f>DATE(2007,5,2)</f>
        <v>39204</v>
      </c>
      <c r="E8349" s="5">
        <f t="shared" si="135"/>
        <v>2007</v>
      </c>
      <c r="F8349" s="3" t="s">
        <v>1205</v>
      </c>
      <c r="G8349" s="6">
        <v>1365</v>
      </c>
      <c r="H8349" s="5">
        <v>2175</v>
      </c>
    </row>
    <row r="8350" spans="2:8" x14ac:dyDescent="0.4">
      <c r="B8350" s="3" t="s">
        <v>7</v>
      </c>
      <c r="C8350" s="3" t="s">
        <v>1204</v>
      </c>
      <c r="D8350" s="4">
        <f>DATE(2007,5,3)</f>
        <v>39205</v>
      </c>
      <c r="E8350" s="5">
        <f t="shared" si="135"/>
        <v>2007</v>
      </c>
      <c r="F8350" s="3" t="s">
        <v>1205</v>
      </c>
      <c r="G8350" s="6">
        <v>1594</v>
      </c>
      <c r="H8350" s="5">
        <v>2218</v>
      </c>
    </row>
    <row r="8351" spans="2:8" x14ac:dyDescent="0.4">
      <c r="B8351" s="3" t="s">
        <v>7</v>
      </c>
      <c r="C8351" s="3" t="s">
        <v>1204</v>
      </c>
      <c r="D8351" s="4">
        <f>DATE(2007,5,9)</f>
        <v>39211</v>
      </c>
      <c r="E8351" s="5">
        <f t="shared" si="135"/>
        <v>2007</v>
      </c>
      <c r="F8351" s="3" t="s">
        <v>1205</v>
      </c>
      <c r="G8351" s="6">
        <v>7759.2</v>
      </c>
      <c r="H8351" s="5">
        <v>2176</v>
      </c>
    </row>
    <row r="8352" spans="2:8" x14ac:dyDescent="0.4">
      <c r="B8352" s="3" t="s">
        <v>7</v>
      </c>
      <c r="C8352" s="3" t="s">
        <v>1204</v>
      </c>
      <c r="D8352" s="4">
        <f>DATE(2007,5,14)</f>
        <v>39216</v>
      </c>
      <c r="E8352" s="5">
        <f t="shared" si="135"/>
        <v>2007</v>
      </c>
      <c r="F8352" s="3" t="s">
        <v>1205</v>
      </c>
      <c r="G8352" s="6">
        <v>10297</v>
      </c>
      <c r="H8352" s="5">
        <v>2174</v>
      </c>
    </row>
    <row r="8353" spans="2:8" x14ac:dyDescent="0.4">
      <c r="B8353" s="3" t="s">
        <v>7</v>
      </c>
      <c r="C8353" s="3" t="s">
        <v>1206</v>
      </c>
      <c r="D8353" s="4">
        <f>DATE(2007,4,5)</f>
        <v>39177</v>
      </c>
      <c r="E8353" s="5">
        <f t="shared" si="135"/>
        <v>2007</v>
      </c>
      <c r="F8353" s="3" t="s">
        <v>1207</v>
      </c>
      <c r="G8353" s="6">
        <v>11614.5</v>
      </c>
      <c r="H8353" s="5">
        <v>2161</v>
      </c>
    </row>
    <row r="8354" spans="2:8" x14ac:dyDescent="0.4">
      <c r="B8354" s="3" t="s">
        <v>7</v>
      </c>
      <c r="C8354" s="3" t="s">
        <v>1208</v>
      </c>
      <c r="D8354" s="4">
        <f>DATE(2010,4,30)</f>
        <v>40298</v>
      </c>
      <c r="E8354" s="5">
        <f t="shared" si="135"/>
        <v>2010</v>
      </c>
      <c r="F8354" s="3" t="s">
        <v>1209</v>
      </c>
      <c r="G8354" s="6">
        <v>123</v>
      </c>
      <c r="H8354" s="5">
        <v>13969</v>
      </c>
    </row>
    <row r="8355" spans="2:8" x14ac:dyDescent="0.4">
      <c r="B8355" s="3" t="s">
        <v>7</v>
      </c>
      <c r="C8355" s="3" t="s">
        <v>1210</v>
      </c>
      <c r="D8355" s="4">
        <f>DATE(2003,4,30)</f>
        <v>37741</v>
      </c>
      <c r="E8355" s="5">
        <f t="shared" si="135"/>
        <v>2003</v>
      </c>
      <c r="F8355" s="3" t="s">
        <v>1211</v>
      </c>
      <c r="G8355" s="6">
        <v>121</v>
      </c>
      <c r="H8355" s="5">
        <v>866</v>
      </c>
    </row>
    <row r="8356" spans="2:8" x14ac:dyDescent="0.4">
      <c r="B8356" s="3" t="s">
        <v>7</v>
      </c>
      <c r="C8356" s="3" t="s">
        <v>1210</v>
      </c>
      <c r="D8356" s="4">
        <f>DATE(2003,5,6)</f>
        <v>37747</v>
      </c>
      <c r="E8356" s="5">
        <f t="shared" si="135"/>
        <v>2003</v>
      </c>
      <c r="F8356" s="3" t="s">
        <v>1211</v>
      </c>
      <c r="G8356" s="6">
        <v>468</v>
      </c>
      <c r="H8356" s="5">
        <v>891</v>
      </c>
    </row>
    <row r="8357" spans="2:8" x14ac:dyDescent="0.4">
      <c r="B8357" s="3" t="s">
        <v>7</v>
      </c>
      <c r="C8357" s="3" t="s">
        <v>1210</v>
      </c>
      <c r="D8357" s="4">
        <f>DATE(2005,11,28)</f>
        <v>38684</v>
      </c>
      <c r="E8357" s="5">
        <f t="shared" si="135"/>
        <v>2005</v>
      </c>
      <c r="F8357" s="3" t="s">
        <v>1211</v>
      </c>
      <c r="G8357" s="6">
        <v>576.21</v>
      </c>
      <c r="H8357" s="5">
        <v>5637</v>
      </c>
    </row>
    <row r="8358" spans="2:8" x14ac:dyDescent="0.4">
      <c r="B8358" s="3" t="s">
        <v>7</v>
      </c>
      <c r="C8358" s="3" t="s">
        <v>1210</v>
      </c>
      <c r="D8358" s="4">
        <f>DATE(2005,11,30)</f>
        <v>38686</v>
      </c>
      <c r="E8358" s="5">
        <f t="shared" si="135"/>
        <v>2005</v>
      </c>
      <c r="F8358" s="3" t="s">
        <v>1211</v>
      </c>
      <c r="G8358" s="6">
        <v>127</v>
      </c>
      <c r="H8358" s="5">
        <v>5642</v>
      </c>
    </row>
    <row r="8359" spans="2:8" x14ac:dyDescent="0.4">
      <c r="B8359" s="3" t="s">
        <v>7</v>
      </c>
      <c r="C8359" s="3" t="s">
        <v>1210</v>
      </c>
      <c r="D8359" s="4">
        <f>DATE(2007,5,7)</f>
        <v>39209</v>
      </c>
      <c r="E8359" s="5">
        <f t="shared" si="135"/>
        <v>2007</v>
      </c>
      <c r="F8359" s="3" t="s">
        <v>1211</v>
      </c>
      <c r="G8359" s="6">
        <v>240.59</v>
      </c>
      <c r="H8359" s="5">
        <v>8505</v>
      </c>
    </row>
    <row r="8360" spans="2:8" x14ac:dyDescent="0.4">
      <c r="B8360" s="3" t="s">
        <v>7</v>
      </c>
      <c r="C8360" s="3" t="s">
        <v>1210</v>
      </c>
      <c r="D8360" s="4">
        <f>DATE(2009,5,14)</f>
        <v>39947</v>
      </c>
      <c r="E8360" s="5">
        <f t="shared" si="135"/>
        <v>2009</v>
      </c>
      <c r="F8360" s="3" t="s">
        <v>1211</v>
      </c>
      <c r="G8360" s="6">
        <v>366.8</v>
      </c>
      <c r="H8360" s="5">
        <v>12551</v>
      </c>
    </row>
    <row r="8361" spans="2:8" x14ac:dyDescent="0.4">
      <c r="B8361" s="3" t="s">
        <v>7</v>
      </c>
      <c r="C8361" s="3" t="s">
        <v>1210</v>
      </c>
      <c r="D8361" s="4">
        <f>DATE(2009,5,19)</f>
        <v>39952</v>
      </c>
      <c r="E8361" s="5">
        <f t="shared" si="135"/>
        <v>2009</v>
      </c>
      <c r="F8361" s="3" t="s">
        <v>1211</v>
      </c>
      <c r="G8361" s="6">
        <v>240.59</v>
      </c>
      <c r="H8361" s="5">
        <v>12517</v>
      </c>
    </row>
    <row r="8362" spans="2:8" x14ac:dyDescent="0.4">
      <c r="B8362" t="s">
        <v>7</v>
      </c>
      <c r="C8362" t="s">
        <v>1212</v>
      </c>
      <c r="D8362" s="7">
        <f>DATE(2017,5,1)</f>
        <v>42856</v>
      </c>
      <c r="E8362" s="8">
        <f t="shared" si="135"/>
        <v>2017</v>
      </c>
      <c r="F8362" t="s">
        <v>1213</v>
      </c>
      <c r="G8362" s="9">
        <v>11073.52</v>
      </c>
      <c r="H8362" s="8">
        <v>24798</v>
      </c>
    </row>
    <row r="8363" spans="2:8" x14ac:dyDescent="0.4">
      <c r="B8363" t="s">
        <v>7</v>
      </c>
      <c r="C8363" t="s">
        <v>1212</v>
      </c>
      <c r="D8363" s="7">
        <f>DATE(2005,5,2)</f>
        <v>38474</v>
      </c>
      <c r="E8363" s="8">
        <f t="shared" si="135"/>
        <v>2005</v>
      </c>
      <c r="F8363" t="s">
        <v>1213</v>
      </c>
      <c r="G8363" s="9">
        <v>27</v>
      </c>
      <c r="H8363" s="8">
        <v>3159</v>
      </c>
    </row>
    <row r="8364" spans="2:8" x14ac:dyDescent="0.4">
      <c r="B8364" t="s">
        <v>7</v>
      </c>
      <c r="C8364" t="s">
        <v>1212</v>
      </c>
      <c r="D8364" s="7">
        <f>DATE(2003,4,18)</f>
        <v>37729</v>
      </c>
      <c r="E8364" s="8">
        <f t="shared" si="135"/>
        <v>2003</v>
      </c>
      <c r="F8364" t="s">
        <v>1213</v>
      </c>
      <c r="G8364" s="9">
        <v>1399.3</v>
      </c>
      <c r="H8364" s="8">
        <v>559</v>
      </c>
    </row>
    <row r="8365" spans="2:8" x14ac:dyDescent="0.4">
      <c r="B8365" t="s">
        <v>7</v>
      </c>
      <c r="C8365" t="s">
        <v>1212</v>
      </c>
      <c r="D8365" s="7">
        <f>DATE(2017,7,26)</f>
        <v>42942</v>
      </c>
      <c r="E8365" s="8">
        <f t="shared" si="135"/>
        <v>2017</v>
      </c>
      <c r="F8365" t="s">
        <v>1214</v>
      </c>
      <c r="G8365" s="9">
        <v>13000.68</v>
      </c>
      <c r="H8365" s="8">
        <v>25292</v>
      </c>
    </row>
    <row r="8366" spans="2:8" x14ac:dyDescent="0.4">
      <c r="B8366" s="3" t="s">
        <v>7</v>
      </c>
      <c r="C8366" s="3" t="s">
        <v>1215</v>
      </c>
      <c r="D8366" s="4">
        <f>DATE(2013,1,10)</f>
        <v>41284</v>
      </c>
      <c r="E8366" s="5">
        <f t="shared" si="135"/>
        <v>2013</v>
      </c>
      <c r="F8366" s="3" t="s">
        <v>1216</v>
      </c>
      <c r="G8366" s="6">
        <v>3061.08</v>
      </c>
      <c r="H8366" s="5">
        <v>17927</v>
      </c>
    </row>
    <row r="8367" spans="2:8" x14ac:dyDescent="0.4">
      <c r="B8367" t="s">
        <v>7</v>
      </c>
      <c r="C8367" t="s">
        <v>1217</v>
      </c>
      <c r="D8367" s="7">
        <f>DATE(2014,7,31)</f>
        <v>41851</v>
      </c>
      <c r="E8367" s="8">
        <f t="shared" si="135"/>
        <v>2014</v>
      </c>
      <c r="F8367" t="s">
        <v>1218</v>
      </c>
      <c r="G8367" s="9">
        <v>23111.25</v>
      </c>
      <c r="H8367" s="8">
        <v>13287</v>
      </c>
    </row>
    <row r="8368" spans="2:8" x14ac:dyDescent="0.4">
      <c r="B8368" t="s">
        <v>7</v>
      </c>
      <c r="C8368" t="s">
        <v>1219</v>
      </c>
      <c r="D8368" s="7">
        <f>DATE(2017,8,21)</f>
        <v>42968</v>
      </c>
      <c r="E8368" s="8">
        <f t="shared" si="135"/>
        <v>2017</v>
      </c>
      <c r="F8368" t="s">
        <v>1220</v>
      </c>
      <c r="G8368" s="9">
        <v>29488.3</v>
      </c>
      <c r="H8368" s="8">
        <v>25309</v>
      </c>
    </row>
    <row r="8369" spans="2:8" x14ac:dyDescent="0.4">
      <c r="B8369" s="3" t="s">
        <v>7</v>
      </c>
      <c r="C8369" s="3" t="s">
        <v>1221</v>
      </c>
      <c r="D8369" s="4">
        <f>DATE(2005,1,30)</f>
        <v>38382</v>
      </c>
      <c r="E8369" s="5">
        <f t="shared" si="135"/>
        <v>2005</v>
      </c>
      <c r="F8369" s="3" t="s">
        <v>1222</v>
      </c>
      <c r="G8369" s="6">
        <v>51163.9</v>
      </c>
      <c r="H8369" s="5">
        <v>912</v>
      </c>
    </row>
    <row r="8370" spans="2:8" x14ac:dyDescent="0.4">
      <c r="B8370" s="3" t="s">
        <v>7</v>
      </c>
      <c r="C8370" s="3" t="s">
        <v>1221</v>
      </c>
      <c r="D8370" s="4">
        <f>DATE(2006,7,14)</f>
        <v>38912</v>
      </c>
      <c r="E8370" s="5">
        <f t="shared" si="135"/>
        <v>2006</v>
      </c>
      <c r="F8370" s="3" t="s">
        <v>1222</v>
      </c>
      <c r="G8370" s="6">
        <v>29525</v>
      </c>
      <c r="H8370" s="5">
        <v>1670</v>
      </c>
    </row>
    <row r="8371" spans="2:8" x14ac:dyDescent="0.4">
      <c r="B8371" s="3" t="s">
        <v>7</v>
      </c>
      <c r="C8371" s="3" t="s">
        <v>1221</v>
      </c>
      <c r="D8371" s="4">
        <f>DATE(2006,11,1)</f>
        <v>39022</v>
      </c>
      <c r="E8371" s="5">
        <f t="shared" si="135"/>
        <v>2006</v>
      </c>
      <c r="F8371" s="3" t="s">
        <v>1222</v>
      </c>
      <c r="G8371" s="6">
        <v>55198.7</v>
      </c>
      <c r="H8371" s="5">
        <v>1688</v>
      </c>
    </row>
    <row r="8372" spans="2:8" x14ac:dyDescent="0.4">
      <c r="B8372" s="3" t="s">
        <v>7</v>
      </c>
      <c r="C8372" s="3" t="s">
        <v>1221</v>
      </c>
      <c r="D8372" s="4">
        <f>DATE(2007,1,25)</f>
        <v>39107</v>
      </c>
      <c r="E8372" s="5">
        <f t="shared" si="135"/>
        <v>2007</v>
      </c>
      <c r="F8372" s="3" t="s">
        <v>1222</v>
      </c>
      <c r="G8372" s="6">
        <v>2208</v>
      </c>
      <c r="H8372" s="5">
        <v>2033</v>
      </c>
    </row>
    <row r="8373" spans="2:8" x14ac:dyDescent="0.4">
      <c r="B8373" t="s">
        <v>7</v>
      </c>
      <c r="C8373" t="s">
        <v>1223</v>
      </c>
      <c r="D8373" s="7">
        <f>DATE(2005,12,2)</f>
        <v>38688</v>
      </c>
      <c r="E8373" s="8">
        <f t="shared" si="135"/>
        <v>2005</v>
      </c>
      <c r="F8373" t="s">
        <v>1224</v>
      </c>
      <c r="G8373" s="9">
        <v>19000</v>
      </c>
      <c r="H8373" s="8">
        <v>3773</v>
      </c>
    </row>
    <row r="8374" spans="2:8" x14ac:dyDescent="0.4">
      <c r="B8374" t="s">
        <v>7</v>
      </c>
      <c r="C8374" t="s">
        <v>1223</v>
      </c>
      <c r="D8374" s="7">
        <f>DATE(2013,9,25)</f>
        <v>41542</v>
      </c>
      <c r="E8374" s="8">
        <f t="shared" si="135"/>
        <v>2013</v>
      </c>
      <c r="F8374" t="s">
        <v>1224</v>
      </c>
      <c r="G8374" s="9">
        <v>10444.85</v>
      </c>
      <c r="H8374" s="8">
        <v>12664</v>
      </c>
    </row>
    <row r="8375" spans="2:8" x14ac:dyDescent="0.4">
      <c r="B8375" s="3" t="s">
        <v>7</v>
      </c>
      <c r="C8375" s="3" t="s">
        <v>1225</v>
      </c>
      <c r="D8375" s="4">
        <f>DATE(2007,5,14)</f>
        <v>39216</v>
      </c>
      <c r="E8375" s="5">
        <f t="shared" si="135"/>
        <v>2007</v>
      </c>
      <c r="F8375" s="3" t="s">
        <v>1226</v>
      </c>
      <c r="G8375" s="6">
        <v>252.16</v>
      </c>
      <c r="H8375" s="5">
        <v>2205</v>
      </c>
    </row>
    <row r="8376" spans="2:8" x14ac:dyDescent="0.4">
      <c r="B8376" s="3" t="s">
        <v>7</v>
      </c>
      <c r="C8376" s="3" t="s">
        <v>1225</v>
      </c>
      <c r="D8376" s="4">
        <f>DATE(2009,3,9)</f>
        <v>39881</v>
      </c>
      <c r="E8376" s="5">
        <f t="shared" si="135"/>
        <v>2009</v>
      </c>
      <c r="F8376" s="3" t="s">
        <v>1226</v>
      </c>
      <c r="G8376" s="6">
        <v>1200</v>
      </c>
      <c r="H8376" s="5">
        <v>3316</v>
      </c>
    </row>
    <row r="8377" spans="2:8" x14ac:dyDescent="0.4">
      <c r="B8377" s="3" t="s">
        <v>7</v>
      </c>
      <c r="C8377" s="3" t="s">
        <v>1225</v>
      </c>
      <c r="D8377" s="4">
        <f>DATE(2008,2,1)</f>
        <v>39479</v>
      </c>
      <c r="E8377" s="5">
        <f t="shared" si="135"/>
        <v>2008</v>
      </c>
      <c r="F8377" s="3" t="s">
        <v>1226</v>
      </c>
      <c r="G8377" s="6">
        <v>10640.1</v>
      </c>
      <c r="H8377" s="5">
        <v>2594</v>
      </c>
    </row>
    <row r="8378" spans="2:8" x14ac:dyDescent="0.4">
      <c r="B8378" s="3" t="s">
        <v>7</v>
      </c>
      <c r="C8378" s="3" t="s">
        <v>1225</v>
      </c>
      <c r="D8378" s="4">
        <f>DATE(2008,2,23)</f>
        <v>39501</v>
      </c>
      <c r="E8378" s="5">
        <f t="shared" si="135"/>
        <v>2008</v>
      </c>
      <c r="F8378" s="3" t="s">
        <v>1226</v>
      </c>
      <c r="G8378" s="6">
        <v>21635.3</v>
      </c>
      <c r="H8378" s="5">
        <v>2672</v>
      </c>
    </row>
    <row r="8379" spans="2:8" x14ac:dyDescent="0.4">
      <c r="B8379" s="3" t="s">
        <v>7</v>
      </c>
      <c r="C8379" s="3" t="s">
        <v>1225</v>
      </c>
      <c r="D8379" s="4">
        <f>DATE(2009,2,20)</f>
        <v>39864</v>
      </c>
      <c r="E8379" s="5">
        <f t="shared" si="135"/>
        <v>2009</v>
      </c>
      <c r="F8379" s="3" t="s">
        <v>1226</v>
      </c>
      <c r="G8379" s="6">
        <v>3600</v>
      </c>
      <c r="H8379" s="5">
        <v>3202</v>
      </c>
    </row>
    <row r="8380" spans="2:8" x14ac:dyDescent="0.4">
      <c r="B8380" s="3" t="s">
        <v>16</v>
      </c>
      <c r="C8380" s="3" t="s">
        <v>1225</v>
      </c>
      <c r="D8380" s="4">
        <f>DATE(2009,3,9)</f>
        <v>39881</v>
      </c>
      <c r="E8380" s="5">
        <f t="shared" si="135"/>
        <v>2009</v>
      </c>
      <c r="F8380" s="3" t="s">
        <v>1226</v>
      </c>
      <c r="G8380" s="6">
        <v>3600</v>
      </c>
      <c r="H8380" s="5">
        <v>3315</v>
      </c>
    </row>
    <row r="8381" spans="2:8" x14ac:dyDescent="0.4">
      <c r="B8381" s="3" t="s">
        <v>16</v>
      </c>
      <c r="C8381" s="3" t="s">
        <v>1225</v>
      </c>
      <c r="D8381" s="4">
        <f>DATE(2011,1,5)</f>
        <v>40548</v>
      </c>
      <c r="E8381" s="5">
        <f t="shared" si="135"/>
        <v>2011</v>
      </c>
      <c r="F8381" s="3" t="s">
        <v>1226</v>
      </c>
      <c r="G8381" s="6">
        <v>1200</v>
      </c>
      <c r="H8381" s="5">
        <v>4280</v>
      </c>
    </row>
    <row r="8382" spans="2:8" x14ac:dyDescent="0.4">
      <c r="B8382" s="3" t="s">
        <v>7</v>
      </c>
      <c r="C8382" s="3" t="s">
        <v>1225</v>
      </c>
      <c r="D8382" s="4">
        <f>DATE(2007,3,15)</f>
        <v>39156</v>
      </c>
      <c r="E8382" s="5">
        <f t="shared" si="135"/>
        <v>2007</v>
      </c>
      <c r="F8382" s="3" t="s">
        <v>1226</v>
      </c>
      <c r="G8382" s="6">
        <v>392.76</v>
      </c>
      <c r="H8382" s="5">
        <v>8174</v>
      </c>
    </row>
    <row r="8383" spans="2:8" x14ac:dyDescent="0.4">
      <c r="B8383" s="3" t="s">
        <v>7</v>
      </c>
      <c r="C8383" s="3" t="s">
        <v>1225</v>
      </c>
      <c r="D8383" s="4">
        <f>DATE(2006,5,25)</f>
        <v>38862</v>
      </c>
      <c r="E8383" s="5">
        <f t="shared" si="135"/>
        <v>2006</v>
      </c>
      <c r="F8383" s="3" t="s">
        <v>1227</v>
      </c>
      <c r="G8383" s="6">
        <v>4333.2</v>
      </c>
      <c r="H8383" s="5">
        <v>1601</v>
      </c>
    </row>
    <row r="8384" spans="2:8" x14ac:dyDescent="0.4">
      <c r="B8384" s="3" t="s">
        <v>7</v>
      </c>
      <c r="C8384" s="3" t="s">
        <v>1225</v>
      </c>
      <c r="D8384" s="4">
        <f>DATE(2006,6,29)</f>
        <v>38897</v>
      </c>
      <c r="E8384" s="5">
        <f t="shared" si="135"/>
        <v>2006</v>
      </c>
      <c r="F8384" s="3" t="s">
        <v>1227</v>
      </c>
      <c r="G8384" s="6">
        <v>40267.85</v>
      </c>
      <c r="H8384" s="5">
        <v>1638</v>
      </c>
    </row>
    <row r="8385" spans="2:8" x14ac:dyDescent="0.4">
      <c r="B8385" t="s">
        <v>7</v>
      </c>
      <c r="C8385" t="s">
        <v>1228</v>
      </c>
      <c r="D8385" s="7">
        <f>DATE(2015,4,9)</f>
        <v>42103</v>
      </c>
      <c r="E8385" s="8">
        <f t="shared" si="135"/>
        <v>2015</v>
      </c>
      <c r="F8385" t="s">
        <v>1229</v>
      </c>
      <c r="G8385" s="9">
        <v>36898.160000000003</v>
      </c>
      <c r="H8385" s="8">
        <v>82</v>
      </c>
    </row>
    <row r="8386" spans="2:8" x14ac:dyDescent="0.4">
      <c r="B8386" t="s">
        <v>7</v>
      </c>
      <c r="C8386" t="s">
        <v>1228</v>
      </c>
      <c r="D8386" s="7">
        <f>DATE(2015,4,9)</f>
        <v>42103</v>
      </c>
      <c r="E8386" s="8">
        <f t="shared" si="135"/>
        <v>2015</v>
      </c>
      <c r="F8386" t="s">
        <v>1229</v>
      </c>
      <c r="G8386" s="9">
        <v>16637.59</v>
      </c>
      <c r="H8386" s="8">
        <v>80</v>
      </c>
    </row>
    <row r="8387" spans="2:8" x14ac:dyDescent="0.4">
      <c r="B8387" t="s">
        <v>7</v>
      </c>
      <c r="C8387" t="s">
        <v>1228</v>
      </c>
      <c r="D8387" s="7">
        <f>DATE(2012,6,20)</f>
        <v>41080</v>
      </c>
      <c r="E8387" s="8">
        <f t="shared" ref="E8387:E8450" si="136">YEAR(D8387)</f>
        <v>2012</v>
      </c>
      <c r="F8387" t="s">
        <v>1229</v>
      </c>
      <c r="G8387" s="9">
        <v>28504.62</v>
      </c>
      <c r="H8387" s="8">
        <v>11656</v>
      </c>
    </row>
    <row r="8388" spans="2:8" x14ac:dyDescent="0.4">
      <c r="B8388" t="s">
        <v>7</v>
      </c>
      <c r="C8388" t="s">
        <v>1228</v>
      </c>
      <c r="D8388" s="7">
        <f>DATE(2013,6,12)</f>
        <v>41437</v>
      </c>
      <c r="E8388" s="8">
        <f t="shared" si="136"/>
        <v>2013</v>
      </c>
      <c r="F8388" t="s">
        <v>1229</v>
      </c>
      <c r="G8388" s="9">
        <v>26081.15</v>
      </c>
      <c r="H8388" s="8">
        <v>12486</v>
      </c>
    </row>
    <row r="8389" spans="2:8" x14ac:dyDescent="0.4">
      <c r="B8389" t="s">
        <v>7</v>
      </c>
      <c r="C8389" t="s">
        <v>1228</v>
      </c>
      <c r="D8389" s="7">
        <f>DATE(2012,7,5)</f>
        <v>41095</v>
      </c>
      <c r="E8389" s="8">
        <f t="shared" si="136"/>
        <v>2012</v>
      </c>
      <c r="F8389" t="s">
        <v>1229</v>
      </c>
      <c r="G8389" s="9">
        <v>18727.490000000002</v>
      </c>
      <c r="H8389" s="8">
        <v>11649</v>
      </c>
    </row>
    <row r="8390" spans="2:8" x14ac:dyDescent="0.4">
      <c r="B8390" t="s">
        <v>7</v>
      </c>
      <c r="C8390" t="s">
        <v>1228</v>
      </c>
      <c r="D8390" s="7">
        <f>DATE(2013,11,21)</f>
        <v>41599</v>
      </c>
      <c r="E8390" s="8">
        <f t="shared" si="136"/>
        <v>2013</v>
      </c>
      <c r="F8390" t="s">
        <v>1229</v>
      </c>
      <c r="G8390" s="9">
        <v>18327.599999999999</v>
      </c>
      <c r="H8390" s="8">
        <v>12736</v>
      </c>
    </row>
    <row r="8391" spans="2:8" x14ac:dyDescent="0.4">
      <c r="B8391" t="s">
        <v>7</v>
      </c>
      <c r="C8391" t="s">
        <v>1228</v>
      </c>
      <c r="D8391" s="7">
        <f>DATE(2014,4,4)</f>
        <v>41733</v>
      </c>
      <c r="E8391" s="8">
        <f t="shared" si="136"/>
        <v>2014</v>
      </c>
      <c r="F8391" t="s">
        <v>1229</v>
      </c>
      <c r="G8391" s="9">
        <v>37123</v>
      </c>
      <c r="H8391" s="8">
        <v>12871</v>
      </c>
    </row>
    <row r="8392" spans="2:8" x14ac:dyDescent="0.4">
      <c r="B8392" t="s">
        <v>7</v>
      </c>
      <c r="C8392" t="s">
        <v>185</v>
      </c>
      <c r="D8392" s="7">
        <f>DATE(2010,7,23)</f>
        <v>40382</v>
      </c>
      <c r="E8392" s="8">
        <f t="shared" si="136"/>
        <v>2010</v>
      </c>
      <c r="F8392" t="s">
        <v>1230</v>
      </c>
      <c r="G8392" s="9">
        <v>2190.4</v>
      </c>
      <c r="H8392" s="8">
        <v>10006</v>
      </c>
    </row>
    <row r="8393" spans="2:8" x14ac:dyDescent="0.4">
      <c r="B8393" t="s">
        <v>7</v>
      </c>
      <c r="C8393" t="s">
        <v>1231</v>
      </c>
      <c r="D8393" s="7">
        <f>DATE(2004,7,13)</f>
        <v>38181</v>
      </c>
      <c r="E8393" s="8">
        <f t="shared" si="136"/>
        <v>2004</v>
      </c>
      <c r="F8393" t="s">
        <v>1232</v>
      </c>
      <c r="G8393" s="9">
        <v>2701</v>
      </c>
      <c r="H8393" s="8">
        <v>1960</v>
      </c>
    </row>
    <row r="8394" spans="2:8" x14ac:dyDescent="0.4">
      <c r="B8394" t="s">
        <v>7</v>
      </c>
      <c r="C8394" t="s">
        <v>1231</v>
      </c>
      <c r="D8394" s="7">
        <f>DATE(2003,10,28)</f>
        <v>37922</v>
      </c>
      <c r="E8394" s="8">
        <f t="shared" si="136"/>
        <v>2003</v>
      </c>
      <c r="F8394" t="s">
        <v>1233</v>
      </c>
      <c r="G8394" s="9">
        <v>2520.6999999999998</v>
      </c>
      <c r="H8394" s="8">
        <v>978</v>
      </c>
    </row>
    <row r="8395" spans="2:8" x14ac:dyDescent="0.4">
      <c r="B8395" t="s">
        <v>7</v>
      </c>
      <c r="C8395" t="s">
        <v>1231</v>
      </c>
      <c r="D8395" s="7">
        <f>DATE(2003,11,4)</f>
        <v>37929</v>
      </c>
      <c r="E8395" s="8">
        <f t="shared" si="136"/>
        <v>2003</v>
      </c>
      <c r="F8395" t="s">
        <v>1233</v>
      </c>
      <c r="G8395" s="9">
        <v>2523.35</v>
      </c>
      <c r="H8395" s="8">
        <v>991</v>
      </c>
    </row>
    <row r="8396" spans="2:8" x14ac:dyDescent="0.4">
      <c r="B8396" t="s">
        <v>7</v>
      </c>
      <c r="C8396" t="s">
        <v>1231</v>
      </c>
      <c r="D8396" s="7">
        <f>DATE(2003,11,7)</f>
        <v>37932</v>
      </c>
      <c r="E8396" s="8">
        <f t="shared" si="136"/>
        <v>2003</v>
      </c>
      <c r="F8396" t="s">
        <v>1233</v>
      </c>
      <c r="G8396" s="9">
        <v>1814.96</v>
      </c>
      <c r="H8396" s="8">
        <v>1002</v>
      </c>
    </row>
    <row r="8397" spans="2:8" x14ac:dyDescent="0.4">
      <c r="B8397" t="s">
        <v>7</v>
      </c>
      <c r="C8397" t="s">
        <v>1231</v>
      </c>
      <c r="D8397" s="7">
        <f>DATE(2003,12,1)</f>
        <v>37956</v>
      </c>
      <c r="E8397" s="8">
        <f t="shared" si="136"/>
        <v>2003</v>
      </c>
      <c r="F8397" t="s">
        <v>1233</v>
      </c>
      <c r="G8397" s="9">
        <v>3673.9</v>
      </c>
      <c r="H8397" s="8">
        <v>1031</v>
      </c>
    </row>
    <row r="8398" spans="2:8" x14ac:dyDescent="0.4">
      <c r="B8398" t="s">
        <v>7</v>
      </c>
      <c r="C8398" t="s">
        <v>1231</v>
      </c>
      <c r="D8398" s="7">
        <f>DATE(2004,3,22)</f>
        <v>38068</v>
      </c>
      <c r="E8398" s="8">
        <f t="shared" si="136"/>
        <v>2004</v>
      </c>
      <c r="F8398" t="s">
        <v>1233</v>
      </c>
      <c r="G8398" s="9">
        <v>2608.75</v>
      </c>
      <c r="H8398" s="8">
        <v>1556</v>
      </c>
    </row>
    <row r="8399" spans="2:8" x14ac:dyDescent="0.4">
      <c r="B8399" t="s">
        <v>7</v>
      </c>
      <c r="C8399" t="s">
        <v>1231</v>
      </c>
      <c r="D8399" s="7">
        <f>DATE(2004,3,30)</f>
        <v>38076</v>
      </c>
      <c r="E8399" s="8">
        <f t="shared" si="136"/>
        <v>2004</v>
      </c>
      <c r="F8399" t="s">
        <v>1233</v>
      </c>
      <c r="G8399" s="9">
        <v>2644.05</v>
      </c>
      <c r="H8399" s="8">
        <v>1603</v>
      </c>
    </row>
    <row r="8400" spans="2:8" x14ac:dyDescent="0.4">
      <c r="B8400" t="s">
        <v>7</v>
      </c>
      <c r="C8400" t="s">
        <v>1231</v>
      </c>
      <c r="D8400" s="7">
        <f>DATE(2004,6,18)</f>
        <v>38156</v>
      </c>
      <c r="E8400" s="8">
        <f t="shared" si="136"/>
        <v>2004</v>
      </c>
      <c r="F8400" t="s">
        <v>1233</v>
      </c>
      <c r="G8400" s="9">
        <v>2398.39</v>
      </c>
      <c r="H8400" s="8">
        <v>1911</v>
      </c>
    </row>
    <row r="8401" spans="2:8" x14ac:dyDescent="0.4">
      <c r="B8401" t="s">
        <v>7</v>
      </c>
      <c r="C8401" t="s">
        <v>1231</v>
      </c>
      <c r="D8401" s="7">
        <f>DATE(2004,8,27)</f>
        <v>38226</v>
      </c>
      <c r="E8401" s="8">
        <f t="shared" si="136"/>
        <v>2004</v>
      </c>
      <c r="F8401" t="s">
        <v>1233</v>
      </c>
      <c r="G8401" s="9">
        <v>2332</v>
      </c>
      <c r="H8401" s="8">
        <v>2123</v>
      </c>
    </row>
    <row r="8402" spans="2:8" x14ac:dyDescent="0.4">
      <c r="B8402" t="s">
        <v>7</v>
      </c>
      <c r="C8402" t="s">
        <v>1231</v>
      </c>
      <c r="D8402" s="7">
        <f>DATE(2005,1,18)</f>
        <v>38370</v>
      </c>
      <c r="E8402" s="8">
        <f t="shared" si="136"/>
        <v>2005</v>
      </c>
      <c r="F8402" t="s">
        <v>1233</v>
      </c>
      <c r="G8402" s="9">
        <v>1626.25</v>
      </c>
      <c r="H8402" s="8">
        <v>2573</v>
      </c>
    </row>
    <row r="8403" spans="2:8" x14ac:dyDescent="0.4">
      <c r="B8403" t="s">
        <v>7</v>
      </c>
      <c r="C8403" t="s">
        <v>1231</v>
      </c>
      <c r="D8403" s="7">
        <f>DATE(2005,4,14)</f>
        <v>38456</v>
      </c>
      <c r="E8403" s="8">
        <f t="shared" si="136"/>
        <v>2005</v>
      </c>
      <c r="F8403" t="s">
        <v>1233</v>
      </c>
      <c r="G8403" s="9">
        <v>2730</v>
      </c>
      <c r="H8403" s="8">
        <v>3085</v>
      </c>
    </row>
    <row r="8404" spans="2:8" x14ac:dyDescent="0.4">
      <c r="B8404" t="s">
        <v>7</v>
      </c>
      <c r="C8404" t="s">
        <v>1231</v>
      </c>
      <c r="D8404" s="7">
        <f>DATE(2005,6,23)</f>
        <v>38526</v>
      </c>
      <c r="E8404" s="8">
        <f t="shared" si="136"/>
        <v>2005</v>
      </c>
      <c r="F8404" t="s">
        <v>1233</v>
      </c>
      <c r="G8404" s="9">
        <v>2710.5</v>
      </c>
      <c r="H8404" s="8">
        <v>3323</v>
      </c>
    </row>
    <row r="8405" spans="2:8" x14ac:dyDescent="0.4">
      <c r="B8405" t="s">
        <v>7</v>
      </c>
      <c r="C8405" t="s">
        <v>1231</v>
      </c>
      <c r="D8405" s="7">
        <f>DATE(2005,7,12)</f>
        <v>38545</v>
      </c>
      <c r="E8405" s="8">
        <f t="shared" si="136"/>
        <v>2005</v>
      </c>
      <c r="F8405" t="s">
        <v>1233</v>
      </c>
      <c r="G8405" s="9">
        <v>804.23</v>
      </c>
      <c r="H8405" s="8">
        <v>3374</v>
      </c>
    </row>
    <row r="8406" spans="2:8" x14ac:dyDescent="0.4">
      <c r="B8406" t="s">
        <v>7</v>
      </c>
      <c r="C8406" t="s">
        <v>1231</v>
      </c>
      <c r="D8406" s="7">
        <f>DATE(2005,7,28)</f>
        <v>38561</v>
      </c>
      <c r="E8406" s="8">
        <f t="shared" si="136"/>
        <v>2005</v>
      </c>
      <c r="F8406" t="s">
        <v>1233</v>
      </c>
      <c r="G8406" s="9">
        <v>3840.77</v>
      </c>
      <c r="H8406" s="8">
        <v>3417</v>
      </c>
    </row>
    <row r="8407" spans="2:8" x14ac:dyDescent="0.4">
      <c r="B8407" t="s">
        <v>7</v>
      </c>
      <c r="C8407" t="s">
        <v>1231</v>
      </c>
      <c r="D8407" s="7">
        <f>DATE(2005,9,9)</f>
        <v>38604</v>
      </c>
      <c r="E8407" s="8">
        <f t="shared" si="136"/>
        <v>2005</v>
      </c>
      <c r="F8407" t="s">
        <v>1233</v>
      </c>
      <c r="G8407" s="9">
        <v>2496.69</v>
      </c>
      <c r="H8407" s="8">
        <v>3578</v>
      </c>
    </row>
    <row r="8408" spans="2:8" x14ac:dyDescent="0.4">
      <c r="B8408" t="s">
        <v>7</v>
      </c>
      <c r="C8408" t="s">
        <v>1231</v>
      </c>
      <c r="D8408" s="7">
        <f>DATE(2006,3,6)</f>
        <v>38782</v>
      </c>
      <c r="E8408" s="8">
        <f t="shared" si="136"/>
        <v>2006</v>
      </c>
      <c r="F8408" t="s">
        <v>1233</v>
      </c>
      <c r="G8408" s="9">
        <v>2851.39</v>
      </c>
      <c r="H8408" s="8">
        <v>4278</v>
      </c>
    </row>
    <row r="8409" spans="2:8" x14ac:dyDescent="0.4">
      <c r="B8409" t="s">
        <v>7</v>
      </c>
      <c r="C8409" t="s">
        <v>1231</v>
      </c>
      <c r="D8409" s="7">
        <f>DATE(2006,5,10)</f>
        <v>38847</v>
      </c>
      <c r="E8409" s="8">
        <f t="shared" si="136"/>
        <v>2006</v>
      </c>
      <c r="F8409" t="s">
        <v>1233</v>
      </c>
      <c r="G8409" s="9">
        <v>2800.52</v>
      </c>
      <c r="H8409" s="8">
        <v>4612</v>
      </c>
    </row>
    <row r="8410" spans="2:8" x14ac:dyDescent="0.4">
      <c r="B8410" t="s">
        <v>7</v>
      </c>
      <c r="C8410" t="s">
        <v>1234</v>
      </c>
      <c r="D8410" s="7">
        <f>DATE(2003,3,13)</f>
        <v>37693</v>
      </c>
      <c r="E8410" s="8">
        <f t="shared" si="136"/>
        <v>2003</v>
      </c>
      <c r="F8410" t="s">
        <v>1235</v>
      </c>
      <c r="G8410" s="9">
        <v>2413.31</v>
      </c>
      <c r="H8410" s="8">
        <v>370</v>
      </c>
    </row>
    <row r="8411" spans="2:8" x14ac:dyDescent="0.4">
      <c r="B8411" s="3" t="s">
        <v>7</v>
      </c>
      <c r="C8411" s="3" t="s">
        <v>1234</v>
      </c>
      <c r="D8411" s="4">
        <f>DATE(2003,1,13)</f>
        <v>37634</v>
      </c>
      <c r="E8411" s="5">
        <f t="shared" si="136"/>
        <v>2003</v>
      </c>
      <c r="F8411" s="3" t="s">
        <v>1235</v>
      </c>
      <c r="G8411" s="6">
        <v>655</v>
      </c>
      <c r="H8411" s="5">
        <v>55</v>
      </c>
    </row>
    <row r="8412" spans="2:8" x14ac:dyDescent="0.4">
      <c r="B8412" s="3" t="s">
        <v>7</v>
      </c>
      <c r="C8412" s="3" t="s">
        <v>1234</v>
      </c>
      <c r="D8412" s="4">
        <f>DATE(2003,3,25)</f>
        <v>37705</v>
      </c>
      <c r="E8412" s="5">
        <f t="shared" si="136"/>
        <v>2003</v>
      </c>
      <c r="F8412" s="3" t="s">
        <v>1235</v>
      </c>
      <c r="G8412" s="6">
        <v>1003.25</v>
      </c>
      <c r="H8412" s="5">
        <v>542</v>
      </c>
    </row>
    <row r="8413" spans="2:8" x14ac:dyDescent="0.4">
      <c r="B8413" s="3" t="s">
        <v>7</v>
      </c>
      <c r="C8413" s="3" t="s">
        <v>1234</v>
      </c>
      <c r="D8413" s="4">
        <f>DATE(2003,3,25)</f>
        <v>37705</v>
      </c>
      <c r="E8413" s="5">
        <f t="shared" si="136"/>
        <v>2003</v>
      </c>
      <c r="F8413" s="3" t="s">
        <v>1235</v>
      </c>
      <c r="G8413" s="6">
        <v>6531.75</v>
      </c>
      <c r="H8413" s="5">
        <v>542</v>
      </c>
    </row>
    <row r="8414" spans="2:8" x14ac:dyDescent="0.4">
      <c r="B8414" s="3" t="s">
        <v>7</v>
      </c>
      <c r="C8414" s="3" t="s">
        <v>1234</v>
      </c>
      <c r="D8414" s="4">
        <f>DATE(2003,4,22)</f>
        <v>37733</v>
      </c>
      <c r="E8414" s="5">
        <f t="shared" si="136"/>
        <v>2003</v>
      </c>
      <c r="F8414" s="3" t="s">
        <v>1235</v>
      </c>
      <c r="G8414" s="6">
        <v>1261.76</v>
      </c>
      <c r="H8414" s="5">
        <v>664</v>
      </c>
    </row>
    <row r="8415" spans="2:8" x14ac:dyDescent="0.4">
      <c r="B8415" s="3" t="s">
        <v>7</v>
      </c>
      <c r="C8415" s="3" t="s">
        <v>1234</v>
      </c>
      <c r="D8415" s="4">
        <f>DATE(2003,7,16)</f>
        <v>37818</v>
      </c>
      <c r="E8415" s="5">
        <f t="shared" si="136"/>
        <v>2003</v>
      </c>
      <c r="F8415" s="3" t="s">
        <v>1235</v>
      </c>
      <c r="G8415" s="6">
        <v>6201</v>
      </c>
      <c r="H8415" s="5">
        <v>1220</v>
      </c>
    </row>
    <row r="8416" spans="2:8" x14ac:dyDescent="0.4">
      <c r="B8416" t="s">
        <v>7</v>
      </c>
      <c r="C8416" t="s">
        <v>1234</v>
      </c>
      <c r="D8416" s="7">
        <f>DATE(2004,3,4)</f>
        <v>38050</v>
      </c>
      <c r="E8416" s="8">
        <f t="shared" si="136"/>
        <v>2004</v>
      </c>
      <c r="F8416" t="s">
        <v>1236</v>
      </c>
      <c r="G8416" s="9">
        <v>1992.71</v>
      </c>
      <c r="H8416" s="8">
        <v>1462</v>
      </c>
    </row>
    <row r="8417" spans="2:8" x14ac:dyDescent="0.4">
      <c r="B8417" s="3" t="s">
        <v>7</v>
      </c>
      <c r="C8417" s="3" t="s">
        <v>1234</v>
      </c>
      <c r="D8417" s="4">
        <f>DATE(2004,3,3)</f>
        <v>38049</v>
      </c>
      <c r="E8417" s="5">
        <f t="shared" si="136"/>
        <v>2004</v>
      </c>
      <c r="F8417" s="3" t="s">
        <v>1236</v>
      </c>
      <c r="G8417" s="6">
        <v>1764</v>
      </c>
      <c r="H8417" s="5">
        <v>2277</v>
      </c>
    </row>
    <row r="8418" spans="2:8" x14ac:dyDescent="0.4">
      <c r="B8418" s="3" t="s">
        <v>7</v>
      </c>
      <c r="C8418" s="3" t="s">
        <v>1234</v>
      </c>
      <c r="D8418" s="4">
        <f>DATE(2005,11,11)</f>
        <v>38667</v>
      </c>
      <c r="E8418" s="5">
        <f t="shared" si="136"/>
        <v>2005</v>
      </c>
      <c r="F8418" s="3" t="s">
        <v>1236</v>
      </c>
      <c r="G8418" s="6">
        <v>2059</v>
      </c>
      <c r="H8418" s="5">
        <v>5549</v>
      </c>
    </row>
    <row r="8419" spans="2:8" x14ac:dyDescent="0.4">
      <c r="B8419" t="s">
        <v>7</v>
      </c>
      <c r="C8419" t="s">
        <v>1234</v>
      </c>
      <c r="D8419" s="7">
        <f>DATE(2006,1,12)</f>
        <v>38729</v>
      </c>
      <c r="E8419" s="8">
        <f t="shared" si="136"/>
        <v>2006</v>
      </c>
      <c r="F8419" t="s">
        <v>1237</v>
      </c>
      <c r="G8419" s="9">
        <v>500</v>
      </c>
      <c r="H8419" s="8">
        <v>3963</v>
      </c>
    </row>
    <row r="8420" spans="2:8" x14ac:dyDescent="0.4">
      <c r="B8420" t="s">
        <v>7</v>
      </c>
      <c r="C8420" t="s">
        <v>1234</v>
      </c>
      <c r="D8420" s="7">
        <f>DATE(2006,1,24)</f>
        <v>38741</v>
      </c>
      <c r="E8420" s="8">
        <f t="shared" si="136"/>
        <v>2006</v>
      </c>
      <c r="F8420" t="s">
        <v>1237</v>
      </c>
      <c r="G8420" s="9">
        <v>5846.51</v>
      </c>
      <c r="H8420" s="8">
        <v>3754</v>
      </c>
    </row>
    <row r="8421" spans="2:8" x14ac:dyDescent="0.4">
      <c r="B8421" t="s">
        <v>7</v>
      </c>
      <c r="C8421" t="s">
        <v>1238</v>
      </c>
      <c r="D8421" s="7">
        <f>DATE(2015,10,26)</f>
        <v>42303</v>
      </c>
      <c r="E8421" s="8">
        <f t="shared" si="136"/>
        <v>2015</v>
      </c>
      <c r="F8421" t="s">
        <v>1239</v>
      </c>
      <c r="G8421" s="9">
        <v>365.6</v>
      </c>
      <c r="H8421" s="8">
        <v>21450</v>
      </c>
    </row>
    <row r="8422" spans="2:8" x14ac:dyDescent="0.4">
      <c r="B8422" s="3" t="s">
        <v>7</v>
      </c>
      <c r="C8422" s="3" t="s">
        <v>1238</v>
      </c>
      <c r="D8422" s="4">
        <f>DATE(2012,1,10)</f>
        <v>40918</v>
      </c>
      <c r="E8422" s="5">
        <f t="shared" si="136"/>
        <v>2012</v>
      </c>
      <c r="F8422" s="3" t="s">
        <v>1239</v>
      </c>
      <c r="G8422" s="6">
        <v>6677.8</v>
      </c>
      <c r="H8422" s="5">
        <v>4764</v>
      </c>
    </row>
    <row r="8423" spans="2:8" x14ac:dyDescent="0.4">
      <c r="B8423" s="3" t="s">
        <v>7</v>
      </c>
      <c r="C8423" s="3" t="s">
        <v>1238</v>
      </c>
      <c r="D8423" s="4">
        <f>DATE(2012,12,19)</f>
        <v>41262</v>
      </c>
      <c r="E8423" s="5">
        <f t="shared" si="136"/>
        <v>2012</v>
      </c>
      <c r="F8423" s="3" t="s">
        <v>1239</v>
      </c>
      <c r="G8423" s="6">
        <v>5059.8900000000003</v>
      </c>
      <c r="H8423" s="5">
        <v>5312</v>
      </c>
    </row>
    <row r="8424" spans="2:8" x14ac:dyDescent="0.4">
      <c r="B8424" s="3" t="s">
        <v>7</v>
      </c>
      <c r="C8424" s="3" t="s">
        <v>1238</v>
      </c>
      <c r="D8424" s="4">
        <f>DATE(2013,3,8)</f>
        <v>41341</v>
      </c>
      <c r="E8424" s="5">
        <f t="shared" si="136"/>
        <v>2013</v>
      </c>
      <c r="F8424" s="3" t="s">
        <v>1239</v>
      </c>
      <c r="G8424" s="6">
        <v>8596.4699999999993</v>
      </c>
      <c r="H8424" s="5">
        <v>5485</v>
      </c>
    </row>
    <row r="8425" spans="2:8" x14ac:dyDescent="0.4">
      <c r="B8425" s="3" t="s">
        <v>7</v>
      </c>
      <c r="C8425" s="3" t="s">
        <v>1238</v>
      </c>
      <c r="D8425" s="4">
        <f>DATE(2014,1,9)</f>
        <v>41648</v>
      </c>
      <c r="E8425" s="5">
        <f t="shared" si="136"/>
        <v>2014</v>
      </c>
      <c r="F8425" s="3" t="s">
        <v>1239</v>
      </c>
      <c r="G8425" s="6">
        <v>3146.39</v>
      </c>
      <c r="H8425" s="5">
        <v>5967</v>
      </c>
    </row>
    <row r="8426" spans="2:8" x14ac:dyDescent="0.4">
      <c r="B8426" t="s">
        <v>7</v>
      </c>
      <c r="C8426" t="s">
        <v>1240</v>
      </c>
      <c r="D8426" s="7">
        <f>DATE(2011,2,3)</f>
        <v>40577</v>
      </c>
      <c r="E8426" s="8">
        <f t="shared" si="136"/>
        <v>2011</v>
      </c>
      <c r="F8426" t="s">
        <v>1241</v>
      </c>
      <c r="G8426" s="9">
        <v>18299</v>
      </c>
      <c r="H8426" s="8">
        <v>10381</v>
      </c>
    </row>
    <row r="8427" spans="2:8" x14ac:dyDescent="0.4">
      <c r="B8427" t="s">
        <v>7</v>
      </c>
      <c r="C8427" t="s">
        <v>1240</v>
      </c>
      <c r="D8427" s="7">
        <f>DATE(2011,2,3)</f>
        <v>40577</v>
      </c>
      <c r="E8427" s="8">
        <f t="shared" si="136"/>
        <v>2011</v>
      </c>
      <c r="F8427" t="s">
        <v>1241</v>
      </c>
      <c r="G8427" s="9">
        <v>19278.3</v>
      </c>
      <c r="H8427" s="8">
        <v>10382</v>
      </c>
    </row>
    <row r="8428" spans="2:8" x14ac:dyDescent="0.4">
      <c r="B8428" t="s">
        <v>7</v>
      </c>
      <c r="C8428" t="s">
        <v>1240</v>
      </c>
      <c r="D8428" s="7">
        <f>DATE(2018,12,31)</f>
        <v>43465</v>
      </c>
      <c r="E8428" s="8">
        <f t="shared" si="136"/>
        <v>2018</v>
      </c>
      <c r="F8428" t="s">
        <v>1242</v>
      </c>
      <c r="G8428" s="9">
        <v>19353.759999999998</v>
      </c>
      <c r="H8428" s="8">
        <v>28086</v>
      </c>
    </row>
    <row r="8429" spans="2:8" x14ac:dyDescent="0.4">
      <c r="B8429" t="s">
        <v>7</v>
      </c>
      <c r="C8429" t="s">
        <v>1243</v>
      </c>
      <c r="D8429" s="7">
        <f>DATE(2018,3,1)</f>
        <v>43160</v>
      </c>
      <c r="E8429" s="8">
        <f t="shared" si="136"/>
        <v>2018</v>
      </c>
      <c r="F8429" t="s">
        <v>1244</v>
      </c>
      <c r="G8429" s="9">
        <v>11523.21</v>
      </c>
      <c r="H8429" s="8">
        <v>26247</v>
      </c>
    </row>
    <row r="8430" spans="2:8" x14ac:dyDescent="0.4">
      <c r="B8430" t="s">
        <v>7</v>
      </c>
      <c r="C8430" t="s">
        <v>1245</v>
      </c>
      <c r="D8430" s="7">
        <f>DATE(2007,9,9)</f>
        <v>39334</v>
      </c>
      <c r="E8430" s="8">
        <f t="shared" si="136"/>
        <v>2007</v>
      </c>
      <c r="F8430" t="s">
        <v>1246</v>
      </c>
      <c r="G8430" s="9">
        <v>23520.45</v>
      </c>
      <c r="H8430" s="8">
        <v>6344</v>
      </c>
    </row>
    <row r="8431" spans="2:8" x14ac:dyDescent="0.4">
      <c r="B8431" s="3" t="s">
        <v>7</v>
      </c>
      <c r="C8431" s="3" t="s">
        <v>1245</v>
      </c>
      <c r="D8431" s="4">
        <f>DATE(2007,8,30)</f>
        <v>39324</v>
      </c>
      <c r="E8431" s="5">
        <f t="shared" si="136"/>
        <v>2007</v>
      </c>
      <c r="F8431" s="3" t="s">
        <v>1246</v>
      </c>
      <c r="G8431" s="6">
        <v>261.5</v>
      </c>
      <c r="H8431" s="5">
        <v>9110</v>
      </c>
    </row>
    <row r="8432" spans="2:8" x14ac:dyDescent="0.4">
      <c r="B8432" s="3" t="s">
        <v>7</v>
      </c>
      <c r="C8432" s="3" t="s">
        <v>1247</v>
      </c>
      <c r="D8432" s="4">
        <f>DATE(2013,12,4)</f>
        <v>41612</v>
      </c>
      <c r="E8432" s="5">
        <f t="shared" si="136"/>
        <v>2013</v>
      </c>
      <c r="F8432" s="3" t="s">
        <v>1248</v>
      </c>
      <c r="G8432" s="6">
        <v>62.16</v>
      </c>
      <c r="H8432" s="5">
        <v>19281</v>
      </c>
    </row>
    <row r="8433" spans="2:8" x14ac:dyDescent="0.4">
      <c r="B8433" t="s">
        <v>7</v>
      </c>
      <c r="C8433" t="s">
        <v>1249</v>
      </c>
      <c r="D8433" s="7">
        <f>DATE(2015,5,20)</f>
        <v>42144</v>
      </c>
      <c r="E8433" s="8">
        <f t="shared" si="136"/>
        <v>2015</v>
      </c>
      <c r="F8433" t="s">
        <v>1250</v>
      </c>
      <c r="G8433" s="9">
        <v>29733.55</v>
      </c>
      <c r="H8433" s="8">
        <v>20454</v>
      </c>
    </row>
    <row r="8434" spans="2:8" x14ac:dyDescent="0.4">
      <c r="B8434" t="s">
        <v>7</v>
      </c>
      <c r="C8434" t="s">
        <v>1249</v>
      </c>
      <c r="D8434" s="7">
        <f>DATE(2016,5,12)</f>
        <v>42502</v>
      </c>
      <c r="E8434" s="8">
        <f t="shared" si="136"/>
        <v>2016</v>
      </c>
      <c r="F8434" t="s">
        <v>1250</v>
      </c>
      <c r="G8434" s="9">
        <v>34587.18</v>
      </c>
      <c r="H8434" s="8">
        <v>22124</v>
      </c>
    </row>
    <row r="8435" spans="2:8" x14ac:dyDescent="0.4">
      <c r="B8435" t="s">
        <v>7</v>
      </c>
      <c r="C8435" t="s">
        <v>1249</v>
      </c>
      <c r="D8435" s="7">
        <f>DATE(2018,1,3)</f>
        <v>43103</v>
      </c>
      <c r="E8435" s="8">
        <f t="shared" si="136"/>
        <v>2018</v>
      </c>
      <c r="F8435" t="s">
        <v>1250</v>
      </c>
      <c r="G8435" s="9">
        <v>7485.55</v>
      </c>
      <c r="H8435" s="8">
        <v>26134</v>
      </c>
    </row>
    <row r="8436" spans="2:8" x14ac:dyDescent="0.4">
      <c r="B8436" t="s">
        <v>7</v>
      </c>
      <c r="C8436" t="s">
        <v>1249</v>
      </c>
      <c r="D8436" s="7">
        <f>DATE(2018,1,9)</f>
        <v>43109</v>
      </c>
      <c r="E8436" s="8">
        <f t="shared" si="136"/>
        <v>2018</v>
      </c>
      <c r="F8436" t="s">
        <v>1250</v>
      </c>
      <c r="G8436" s="9">
        <v>8457.61</v>
      </c>
      <c r="H8436" s="8">
        <v>26141</v>
      </c>
    </row>
    <row r="8437" spans="2:8" x14ac:dyDescent="0.4">
      <c r="B8437" t="s">
        <v>7</v>
      </c>
      <c r="C8437" t="s">
        <v>1249</v>
      </c>
      <c r="D8437" s="7">
        <f>DATE(2011,6,2)</f>
        <v>40696</v>
      </c>
      <c r="E8437" s="8">
        <f t="shared" si="136"/>
        <v>2011</v>
      </c>
      <c r="F8437" t="s">
        <v>1250</v>
      </c>
      <c r="G8437" s="9">
        <v>25523.1</v>
      </c>
      <c r="H8437" s="8">
        <v>10730</v>
      </c>
    </row>
    <row r="8438" spans="2:8" x14ac:dyDescent="0.4">
      <c r="B8438" t="s">
        <v>7</v>
      </c>
      <c r="C8438" t="s">
        <v>1249</v>
      </c>
      <c r="D8438" s="7">
        <f>DATE(2011,8,23)</f>
        <v>40778</v>
      </c>
      <c r="E8438" s="8">
        <f t="shared" si="136"/>
        <v>2011</v>
      </c>
      <c r="F8438" t="s">
        <v>1250</v>
      </c>
      <c r="G8438" s="9">
        <v>7254.9</v>
      </c>
      <c r="H8438" s="8">
        <v>10938</v>
      </c>
    </row>
    <row r="8439" spans="2:8" x14ac:dyDescent="0.4">
      <c r="B8439" t="s">
        <v>7</v>
      </c>
      <c r="C8439" t="s">
        <v>1249</v>
      </c>
      <c r="D8439" s="7">
        <f>DATE(2014,10,17)</f>
        <v>41929</v>
      </c>
      <c r="E8439" s="8">
        <f t="shared" si="136"/>
        <v>2014</v>
      </c>
      <c r="F8439" t="s">
        <v>1250</v>
      </c>
      <c r="G8439" s="9">
        <v>27336.31</v>
      </c>
      <c r="H8439" s="8">
        <v>13222</v>
      </c>
    </row>
    <row r="8440" spans="2:8" x14ac:dyDescent="0.4">
      <c r="B8440" t="s">
        <v>7</v>
      </c>
      <c r="C8440" t="s">
        <v>1249</v>
      </c>
      <c r="D8440" s="7">
        <f>DATE(2010,9,23)</f>
        <v>40444</v>
      </c>
      <c r="E8440" s="8">
        <f t="shared" si="136"/>
        <v>2010</v>
      </c>
      <c r="F8440" t="s">
        <v>1250</v>
      </c>
      <c r="G8440" s="9">
        <v>7375.33</v>
      </c>
      <c r="H8440" s="8">
        <v>10138</v>
      </c>
    </row>
    <row r="8441" spans="2:8" x14ac:dyDescent="0.4">
      <c r="B8441" t="s">
        <v>7</v>
      </c>
      <c r="C8441" t="s">
        <v>1249</v>
      </c>
      <c r="D8441" s="7">
        <f>DATE(2012,7,20)</f>
        <v>41110</v>
      </c>
      <c r="E8441" s="8">
        <f t="shared" si="136"/>
        <v>2012</v>
      </c>
      <c r="F8441" t="s">
        <v>1250</v>
      </c>
      <c r="G8441" s="9">
        <v>6772.62</v>
      </c>
      <c r="H8441" s="8">
        <v>11731</v>
      </c>
    </row>
    <row r="8442" spans="2:8" x14ac:dyDescent="0.4">
      <c r="B8442" t="s">
        <v>7</v>
      </c>
      <c r="C8442" t="s">
        <v>1249</v>
      </c>
      <c r="D8442" s="7">
        <f>DATE(2013,2,6)</f>
        <v>41311</v>
      </c>
      <c r="E8442" s="8">
        <f t="shared" si="136"/>
        <v>2013</v>
      </c>
      <c r="F8442" t="s">
        <v>1250</v>
      </c>
      <c r="G8442" s="9">
        <v>11413.8</v>
      </c>
      <c r="H8442" s="8">
        <v>12152</v>
      </c>
    </row>
    <row r="8443" spans="2:8" x14ac:dyDescent="0.4">
      <c r="B8443" t="s">
        <v>7</v>
      </c>
      <c r="C8443" t="s">
        <v>1249</v>
      </c>
      <c r="D8443" s="7">
        <f>DATE(2014,5,14)</f>
        <v>41773</v>
      </c>
      <c r="E8443" s="8">
        <f t="shared" si="136"/>
        <v>2014</v>
      </c>
      <c r="F8443" t="s">
        <v>1250</v>
      </c>
      <c r="G8443" s="9">
        <v>6213.38</v>
      </c>
      <c r="H8443" s="8">
        <v>13192</v>
      </c>
    </row>
    <row r="8444" spans="2:8" x14ac:dyDescent="0.4">
      <c r="B8444" t="s">
        <v>7</v>
      </c>
      <c r="C8444" t="s">
        <v>1249</v>
      </c>
      <c r="D8444" s="7">
        <f>DATE(2014,10,2)</f>
        <v>41914</v>
      </c>
      <c r="E8444" s="8">
        <f t="shared" si="136"/>
        <v>2014</v>
      </c>
      <c r="F8444" t="s">
        <v>1250</v>
      </c>
      <c r="G8444" s="9">
        <v>6098.15</v>
      </c>
      <c r="H8444" s="8">
        <v>13502</v>
      </c>
    </row>
    <row r="8445" spans="2:8" x14ac:dyDescent="0.4">
      <c r="B8445" t="s">
        <v>7</v>
      </c>
      <c r="C8445" t="s">
        <v>308</v>
      </c>
      <c r="D8445" s="7">
        <f>DATE(2015,3,4)</f>
        <v>42067</v>
      </c>
      <c r="E8445" s="8">
        <f t="shared" si="136"/>
        <v>2015</v>
      </c>
      <c r="F8445" t="s">
        <v>1251</v>
      </c>
      <c r="G8445" s="9">
        <v>3257</v>
      </c>
      <c r="H8445" s="8">
        <v>433</v>
      </c>
    </row>
    <row r="8446" spans="2:8" x14ac:dyDescent="0.4">
      <c r="B8446" t="s">
        <v>7</v>
      </c>
      <c r="C8446" t="s">
        <v>308</v>
      </c>
      <c r="D8446" s="7">
        <f>DATE(2015,4,23)</f>
        <v>42117</v>
      </c>
      <c r="E8446" s="8">
        <f t="shared" si="136"/>
        <v>2015</v>
      </c>
      <c r="F8446" t="s">
        <v>1251</v>
      </c>
      <c r="G8446" s="9">
        <v>3245</v>
      </c>
      <c r="H8446" s="8">
        <v>20444</v>
      </c>
    </row>
    <row r="8447" spans="2:8" x14ac:dyDescent="0.4">
      <c r="B8447" t="s">
        <v>7</v>
      </c>
      <c r="C8447" t="s">
        <v>308</v>
      </c>
      <c r="D8447" s="7">
        <f>DATE(2015,9,1)</f>
        <v>42248</v>
      </c>
      <c r="E8447" s="8">
        <f t="shared" si="136"/>
        <v>2015</v>
      </c>
      <c r="F8447" t="s">
        <v>1251</v>
      </c>
      <c r="G8447" s="9">
        <v>3245</v>
      </c>
      <c r="H8447" s="8">
        <v>21152</v>
      </c>
    </row>
    <row r="8448" spans="2:8" x14ac:dyDescent="0.4">
      <c r="B8448" t="s">
        <v>7</v>
      </c>
      <c r="C8448" t="s">
        <v>308</v>
      </c>
      <c r="D8448" s="7">
        <f>DATE(2015,10,13)</f>
        <v>42290</v>
      </c>
      <c r="E8448" s="8">
        <f t="shared" si="136"/>
        <v>2015</v>
      </c>
      <c r="F8448" t="s">
        <v>1251</v>
      </c>
      <c r="G8448" s="9">
        <v>1622.5</v>
      </c>
      <c r="H8448" s="8">
        <v>21380</v>
      </c>
    </row>
    <row r="8449" spans="2:8" x14ac:dyDescent="0.4">
      <c r="B8449" t="s">
        <v>7</v>
      </c>
      <c r="C8449" t="s">
        <v>308</v>
      </c>
      <c r="D8449" s="7">
        <f>DATE(2015,11,9)</f>
        <v>42317</v>
      </c>
      <c r="E8449" s="8">
        <f t="shared" si="136"/>
        <v>2015</v>
      </c>
      <c r="F8449" t="s">
        <v>1251</v>
      </c>
      <c r="G8449" s="9">
        <v>1622.5</v>
      </c>
      <c r="H8449" s="8">
        <v>21568</v>
      </c>
    </row>
    <row r="8450" spans="2:8" x14ac:dyDescent="0.4">
      <c r="B8450" t="s">
        <v>7</v>
      </c>
      <c r="C8450" t="s">
        <v>308</v>
      </c>
      <c r="D8450" s="7">
        <f>DATE(2015,12,11)</f>
        <v>42349</v>
      </c>
      <c r="E8450" s="8">
        <f t="shared" si="136"/>
        <v>2015</v>
      </c>
      <c r="F8450" t="s">
        <v>1251</v>
      </c>
      <c r="G8450" s="9">
        <v>3245</v>
      </c>
      <c r="H8450" s="8">
        <v>21722</v>
      </c>
    </row>
    <row r="8451" spans="2:8" x14ac:dyDescent="0.4">
      <c r="B8451" t="s">
        <v>7</v>
      </c>
      <c r="C8451" t="s">
        <v>308</v>
      </c>
      <c r="D8451" s="7">
        <f>DATE(2016,4,13)</f>
        <v>42473</v>
      </c>
      <c r="E8451" s="8">
        <f t="shared" ref="E8451:E8514" si="137">YEAR(D8451)</f>
        <v>2016</v>
      </c>
      <c r="F8451" t="s">
        <v>1251</v>
      </c>
      <c r="G8451" s="9">
        <v>1622.5</v>
      </c>
      <c r="H8451" s="8">
        <v>22636</v>
      </c>
    </row>
    <row r="8452" spans="2:8" x14ac:dyDescent="0.4">
      <c r="B8452" t="s">
        <v>7</v>
      </c>
      <c r="C8452" t="s">
        <v>308</v>
      </c>
      <c r="D8452" s="7">
        <f>DATE(2016,6,1)</f>
        <v>42522</v>
      </c>
      <c r="E8452" s="8">
        <f t="shared" si="137"/>
        <v>2016</v>
      </c>
      <c r="F8452" t="s">
        <v>1251</v>
      </c>
      <c r="G8452" s="9">
        <v>1622.5</v>
      </c>
      <c r="H8452" s="8">
        <v>22937</v>
      </c>
    </row>
    <row r="8453" spans="2:8" x14ac:dyDescent="0.4">
      <c r="B8453" t="s">
        <v>7</v>
      </c>
      <c r="C8453" t="s">
        <v>308</v>
      </c>
      <c r="D8453" s="7">
        <f>DATE(2018,1,17)</f>
        <v>43117</v>
      </c>
      <c r="E8453" s="8">
        <f t="shared" si="137"/>
        <v>2018</v>
      </c>
      <c r="F8453" t="s">
        <v>1251</v>
      </c>
      <c r="G8453" s="9">
        <v>1622.5</v>
      </c>
      <c r="H8453" s="8">
        <v>26206</v>
      </c>
    </row>
    <row r="8454" spans="2:8" x14ac:dyDescent="0.4">
      <c r="B8454" t="s">
        <v>7</v>
      </c>
      <c r="C8454" t="s">
        <v>308</v>
      </c>
      <c r="D8454" s="7">
        <f>DATE(2018,2,9)</f>
        <v>43140</v>
      </c>
      <c r="E8454" s="8">
        <f t="shared" si="137"/>
        <v>2018</v>
      </c>
      <c r="F8454" t="s">
        <v>1251</v>
      </c>
      <c r="G8454" s="9">
        <v>1622.5</v>
      </c>
      <c r="H8454" s="8">
        <v>26412</v>
      </c>
    </row>
    <row r="8455" spans="2:8" x14ac:dyDescent="0.4">
      <c r="B8455" t="s">
        <v>7</v>
      </c>
      <c r="C8455" t="s">
        <v>308</v>
      </c>
      <c r="D8455" s="7">
        <f>DATE(2018,5,18)</f>
        <v>43238</v>
      </c>
      <c r="E8455" s="8">
        <f t="shared" si="137"/>
        <v>2018</v>
      </c>
      <c r="F8455" t="s">
        <v>1251</v>
      </c>
      <c r="G8455" s="9">
        <v>3245</v>
      </c>
      <c r="H8455" s="8">
        <v>27076</v>
      </c>
    </row>
    <row r="8456" spans="2:8" x14ac:dyDescent="0.4">
      <c r="B8456" t="s">
        <v>7</v>
      </c>
      <c r="C8456" t="s">
        <v>308</v>
      </c>
      <c r="D8456" s="7">
        <f>DATE(2018,6,29)</f>
        <v>43280</v>
      </c>
      <c r="E8456" s="8">
        <f t="shared" si="137"/>
        <v>2018</v>
      </c>
      <c r="F8456" t="s">
        <v>1251</v>
      </c>
      <c r="G8456" s="9">
        <v>2022.46</v>
      </c>
      <c r="H8456" s="8">
        <v>27305</v>
      </c>
    </row>
    <row r="8457" spans="2:8" x14ac:dyDescent="0.4">
      <c r="B8457" t="s">
        <v>7</v>
      </c>
      <c r="C8457" t="s">
        <v>308</v>
      </c>
      <c r="D8457" s="7">
        <f>DATE(2018,7,30)</f>
        <v>43311</v>
      </c>
      <c r="E8457" s="8">
        <f t="shared" si="137"/>
        <v>2018</v>
      </c>
      <c r="F8457" t="s">
        <v>1251</v>
      </c>
      <c r="G8457" s="9">
        <v>1622.5</v>
      </c>
      <c r="H8457" s="8">
        <v>27385</v>
      </c>
    </row>
    <row r="8458" spans="2:8" x14ac:dyDescent="0.4">
      <c r="B8458" t="s">
        <v>7</v>
      </c>
      <c r="C8458" t="s">
        <v>308</v>
      </c>
      <c r="D8458" s="7">
        <f>DATE(2018,8,22)</f>
        <v>43334</v>
      </c>
      <c r="E8458" s="8">
        <f t="shared" si="137"/>
        <v>2018</v>
      </c>
      <c r="F8458" t="s">
        <v>1251</v>
      </c>
      <c r="G8458" s="9">
        <v>1622.5</v>
      </c>
      <c r="H8458" s="8">
        <v>27511</v>
      </c>
    </row>
    <row r="8459" spans="2:8" x14ac:dyDescent="0.4">
      <c r="B8459" t="s">
        <v>7</v>
      </c>
      <c r="C8459" t="s">
        <v>308</v>
      </c>
      <c r="D8459" s="7">
        <f>DATE(2018,9,12)</f>
        <v>43355</v>
      </c>
      <c r="E8459" s="8">
        <f t="shared" si="137"/>
        <v>2018</v>
      </c>
      <c r="F8459" t="s">
        <v>1251</v>
      </c>
      <c r="G8459" s="9">
        <v>1622.5</v>
      </c>
      <c r="H8459" s="8">
        <v>27618</v>
      </c>
    </row>
    <row r="8460" spans="2:8" x14ac:dyDescent="0.4">
      <c r="B8460" t="s">
        <v>7</v>
      </c>
      <c r="C8460" t="s">
        <v>308</v>
      </c>
      <c r="D8460" s="7">
        <f>DATE(2018,9,12)</f>
        <v>43355</v>
      </c>
      <c r="E8460" s="8">
        <f t="shared" si="137"/>
        <v>2018</v>
      </c>
      <c r="F8460" t="s">
        <v>1251</v>
      </c>
      <c r="G8460" s="9">
        <v>1622.5</v>
      </c>
      <c r="H8460" s="8">
        <v>27619</v>
      </c>
    </row>
    <row r="8461" spans="2:8" x14ac:dyDescent="0.4">
      <c r="B8461" t="s">
        <v>7</v>
      </c>
      <c r="C8461" t="s">
        <v>308</v>
      </c>
      <c r="D8461" s="7">
        <f>DATE(2018,10,10)</f>
        <v>43383</v>
      </c>
      <c r="E8461" s="8">
        <f t="shared" si="137"/>
        <v>2018</v>
      </c>
      <c r="F8461" t="s">
        <v>1251</v>
      </c>
      <c r="G8461" s="9">
        <v>1622.5</v>
      </c>
      <c r="H8461" s="8">
        <v>27787</v>
      </c>
    </row>
    <row r="8462" spans="2:8" x14ac:dyDescent="0.4">
      <c r="B8462" t="s">
        <v>7</v>
      </c>
      <c r="C8462" t="s">
        <v>308</v>
      </c>
      <c r="D8462" s="7">
        <f>DATE(2018,10,10)</f>
        <v>43383</v>
      </c>
      <c r="E8462" s="8">
        <f t="shared" si="137"/>
        <v>2018</v>
      </c>
      <c r="F8462" t="s">
        <v>1251</v>
      </c>
      <c r="G8462" s="9">
        <v>1622.5</v>
      </c>
      <c r="H8462" s="8">
        <v>27782</v>
      </c>
    </row>
    <row r="8463" spans="2:8" x14ac:dyDescent="0.4">
      <c r="B8463" t="s">
        <v>7</v>
      </c>
      <c r="C8463" t="s">
        <v>308</v>
      </c>
      <c r="D8463" s="7">
        <f>DATE(2019,3,4)</f>
        <v>43528</v>
      </c>
      <c r="E8463" s="8">
        <f t="shared" si="137"/>
        <v>2019</v>
      </c>
      <c r="F8463" t="s">
        <v>1251</v>
      </c>
      <c r="G8463" s="9">
        <v>3245</v>
      </c>
      <c r="H8463" s="8">
        <v>28531</v>
      </c>
    </row>
    <row r="8464" spans="2:8" x14ac:dyDescent="0.4">
      <c r="B8464" t="s">
        <v>7</v>
      </c>
      <c r="C8464" t="s">
        <v>308</v>
      </c>
      <c r="D8464" s="7">
        <f>DATE(2019,3,19)</f>
        <v>43543</v>
      </c>
      <c r="E8464" s="8">
        <f t="shared" si="137"/>
        <v>2019</v>
      </c>
      <c r="F8464" t="s">
        <v>1251</v>
      </c>
      <c r="G8464" s="9">
        <v>3245</v>
      </c>
      <c r="H8464" s="8">
        <v>28643</v>
      </c>
    </row>
    <row r="8465" spans="2:8" x14ac:dyDescent="0.4">
      <c r="B8465" t="s">
        <v>7</v>
      </c>
      <c r="C8465" t="s">
        <v>308</v>
      </c>
      <c r="D8465" s="7">
        <f>DATE(2019,4,30)</f>
        <v>43585</v>
      </c>
      <c r="E8465" s="8">
        <f t="shared" si="137"/>
        <v>2019</v>
      </c>
      <c r="F8465" t="s">
        <v>1251</v>
      </c>
      <c r="G8465" s="9">
        <v>1638.5</v>
      </c>
      <c r="H8465" s="8">
        <v>28902</v>
      </c>
    </row>
    <row r="8466" spans="2:8" x14ac:dyDescent="0.4">
      <c r="B8466" s="3" t="s">
        <v>7</v>
      </c>
      <c r="C8466" s="3" t="s">
        <v>308</v>
      </c>
      <c r="D8466" s="4">
        <f>DATE(2009,1,29)</f>
        <v>39842</v>
      </c>
      <c r="E8466" s="5">
        <f t="shared" si="137"/>
        <v>2009</v>
      </c>
      <c r="F8466" s="3" t="s">
        <v>1251</v>
      </c>
      <c r="G8466" s="6">
        <v>176.4</v>
      </c>
      <c r="H8466" s="5">
        <v>3232</v>
      </c>
    </row>
    <row r="8467" spans="2:8" x14ac:dyDescent="0.4">
      <c r="B8467" s="3" t="s">
        <v>7</v>
      </c>
      <c r="C8467" s="3" t="s">
        <v>308</v>
      </c>
      <c r="D8467" s="4">
        <f>DATE(2010,5,28)</f>
        <v>40326</v>
      </c>
      <c r="E8467" s="5">
        <f t="shared" si="137"/>
        <v>2010</v>
      </c>
      <c r="F8467" s="3" t="s">
        <v>1251</v>
      </c>
      <c r="G8467" s="6">
        <v>1622.5</v>
      </c>
      <c r="H8467" s="5">
        <v>3933</v>
      </c>
    </row>
    <row r="8468" spans="2:8" x14ac:dyDescent="0.4">
      <c r="B8468" s="3" t="s">
        <v>7</v>
      </c>
      <c r="C8468" s="3" t="s">
        <v>308</v>
      </c>
      <c r="D8468" s="4">
        <f>DATE(2010,9,29)</f>
        <v>40450</v>
      </c>
      <c r="E8468" s="5">
        <f t="shared" si="137"/>
        <v>2010</v>
      </c>
      <c r="F8468" s="3" t="s">
        <v>1251</v>
      </c>
      <c r="G8468" s="6">
        <v>1968</v>
      </c>
      <c r="H8468" s="5">
        <v>4118</v>
      </c>
    </row>
    <row r="8469" spans="2:8" x14ac:dyDescent="0.4">
      <c r="B8469" s="3" t="s">
        <v>7</v>
      </c>
      <c r="C8469" s="3" t="s">
        <v>308</v>
      </c>
      <c r="D8469" s="4">
        <f>DATE(2011,5,11)</f>
        <v>40674</v>
      </c>
      <c r="E8469" s="5">
        <f t="shared" si="137"/>
        <v>2011</v>
      </c>
      <c r="F8469" s="3" t="s">
        <v>1251</v>
      </c>
      <c r="G8469" s="6">
        <v>1643.73</v>
      </c>
      <c r="H8469" s="5">
        <v>4439</v>
      </c>
    </row>
    <row r="8470" spans="2:8" x14ac:dyDescent="0.4">
      <c r="B8470" s="3" t="s">
        <v>7</v>
      </c>
      <c r="C8470" s="3" t="s">
        <v>308</v>
      </c>
      <c r="D8470" s="4">
        <f>DATE(2011,10,19)</f>
        <v>40835</v>
      </c>
      <c r="E8470" s="5">
        <f t="shared" si="137"/>
        <v>2011</v>
      </c>
      <c r="F8470" s="3" t="s">
        <v>1251</v>
      </c>
      <c r="G8470" s="6">
        <v>1970.48</v>
      </c>
      <c r="H8470" s="5">
        <v>4627</v>
      </c>
    </row>
    <row r="8471" spans="2:8" x14ac:dyDescent="0.4">
      <c r="B8471" s="3" t="s">
        <v>7</v>
      </c>
      <c r="C8471" s="3" t="s">
        <v>308</v>
      </c>
      <c r="D8471" s="4">
        <f>DATE(2011,11,16)</f>
        <v>40863</v>
      </c>
      <c r="E8471" s="5">
        <f t="shared" si="137"/>
        <v>2011</v>
      </c>
      <c r="F8471" s="3" t="s">
        <v>1251</v>
      </c>
      <c r="G8471" s="6">
        <v>1970.48</v>
      </c>
      <c r="H8471" s="5">
        <v>4688</v>
      </c>
    </row>
    <row r="8472" spans="2:8" x14ac:dyDescent="0.4">
      <c r="B8472" s="3" t="s">
        <v>7</v>
      </c>
      <c r="C8472" s="3" t="s">
        <v>308</v>
      </c>
      <c r="D8472" s="4">
        <f>DATE(2013,3,4)</f>
        <v>41337</v>
      </c>
      <c r="E8472" s="5">
        <f t="shared" si="137"/>
        <v>2013</v>
      </c>
      <c r="F8472" s="3" t="s">
        <v>1251</v>
      </c>
      <c r="G8472" s="6">
        <v>1947</v>
      </c>
      <c r="H8472" s="5">
        <v>5476</v>
      </c>
    </row>
    <row r="8473" spans="2:8" x14ac:dyDescent="0.4">
      <c r="B8473" s="3" t="s">
        <v>7</v>
      </c>
      <c r="C8473" s="3" t="s">
        <v>308</v>
      </c>
      <c r="D8473" s="4">
        <f>DATE(2013,6,28)</f>
        <v>41453</v>
      </c>
      <c r="E8473" s="5">
        <f t="shared" si="137"/>
        <v>2013</v>
      </c>
      <c r="F8473" s="3" t="s">
        <v>1251</v>
      </c>
      <c r="G8473" s="6">
        <v>1947</v>
      </c>
      <c r="H8473" s="5">
        <v>5625</v>
      </c>
    </row>
    <row r="8474" spans="2:8" x14ac:dyDescent="0.4">
      <c r="B8474" s="3" t="s">
        <v>7</v>
      </c>
      <c r="C8474" s="3" t="s">
        <v>308</v>
      </c>
      <c r="D8474" s="4">
        <f>DATE(2013,10,30)</f>
        <v>41577</v>
      </c>
      <c r="E8474" s="5">
        <f t="shared" si="137"/>
        <v>2013</v>
      </c>
      <c r="F8474" s="3" t="s">
        <v>1251</v>
      </c>
      <c r="G8474" s="6">
        <v>3245</v>
      </c>
      <c r="H8474" s="5">
        <v>5864</v>
      </c>
    </row>
    <row r="8475" spans="2:8" x14ac:dyDescent="0.4">
      <c r="B8475" s="3" t="s">
        <v>7</v>
      </c>
      <c r="C8475" s="3" t="s">
        <v>308</v>
      </c>
      <c r="D8475" s="4">
        <f>DATE(2013,12,12)</f>
        <v>41620</v>
      </c>
      <c r="E8475" s="5">
        <f t="shared" si="137"/>
        <v>2013</v>
      </c>
      <c r="F8475" s="3" t="s">
        <v>1251</v>
      </c>
      <c r="G8475" s="6">
        <v>3245</v>
      </c>
      <c r="H8475" s="5">
        <v>5934</v>
      </c>
    </row>
    <row r="8476" spans="2:8" x14ac:dyDescent="0.4">
      <c r="B8476" s="3" t="s">
        <v>7</v>
      </c>
      <c r="C8476" s="3" t="s">
        <v>308</v>
      </c>
      <c r="D8476" s="4">
        <f>DATE(2014,2,14)</f>
        <v>41684</v>
      </c>
      <c r="E8476" s="5">
        <f t="shared" si="137"/>
        <v>2014</v>
      </c>
      <c r="F8476" s="3" t="s">
        <v>1251</v>
      </c>
      <c r="G8476" s="6">
        <v>3245</v>
      </c>
      <c r="H8476" s="5">
        <v>6022</v>
      </c>
    </row>
    <row r="8477" spans="2:8" x14ac:dyDescent="0.4">
      <c r="B8477" s="3" t="s">
        <v>7</v>
      </c>
      <c r="C8477" s="3" t="s">
        <v>308</v>
      </c>
      <c r="D8477" s="4">
        <f>DATE(2014,7,23)</f>
        <v>41843</v>
      </c>
      <c r="E8477" s="5">
        <f t="shared" si="137"/>
        <v>2014</v>
      </c>
      <c r="F8477" s="3" t="s">
        <v>1251</v>
      </c>
      <c r="G8477" s="6">
        <v>3318.43</v>
      </c>
      <c r="H8477" s="5">
        <v>6292</v>
      </c>
    </row>
    <row r="8478" spans="2:8" x14ac:dyDescent="0.4">
      <c r="B8478" s="3" t="s">
        <v>7</v>
      </c>
      <c r="C8478" s="3" t="s">
        <v>308</v>
      </c>
      <c r="D8478" s="4">
        <f>DATE(2014,8,21)</f>
        <v>41872</v>
      </c>
      <c r="E8478" s="5">
        <f t="shared" si="137"/>
        <v>2014</v>
      </c>
      <c r="F8478" s="3" t="s">
        <v>1251</v>
      </c>
      <c r="G8478" s="6">
        <v>3245</v>
      </c>
      <c r="H8478" s="5">
        <v>6340</v>
      </c>
    </row>
    <row r="8479" spans="2:8" x14ac:dyDescent="0.4">
      <c r="B8479" s="3" t="s">
        <v>7</v>
      </c>
      <c r="C8479" s="3" t="s">
        <v>308</v>
      </c>
      <c r="D8479" s="4">
        <f>DATE(2014,11,6)</f>
        <v>41949</v>
      </c>
      <c r="E8479" s="5">
        <f t="shared" si="137"/>
        <v>2014</v>
      </c>
      <c r="F8479" s="3" t="s">
        <v>1251</v>
      </c>
      <c r="G8479" s="6">
        <v>3245</v>
      </c>
      <c r="H8479" s="5">
        <v>6440</v>
      </c>
    </row>
    <row r="8480" spans="2:8" x14ac:dyDescent="0.4">
      <c r="B8480" s="3" t="s">
        <v>7</v>
      </c>
      <c r="C8480" s="3" t="s">
        <v>308</v>
      </c>
      <c r="D8480" s="4">
        <f>DATE(2014,11,24)</f>
        <v>41967</v>
      </c>
      <c r="E8480" s="5">
        <f t="shared" si="137"/>
        <v>2014</v>
      </c>
      <c r="F8480" s="3" t="s">
        <v>1251</v>
      </c>
      <c r="G8480" s="6">
        <v>3245</v>
      </c>
      <c r="H8480" s="5">
        <v>6473</v>
      </c>
    </row>
    <row r="8481" spans="2:8" x14ac:dyDescent="0.4">
      <c r="B8481" s="3" t="s">
        <v>7</v>
      </c>
      <c r="C8481" s="3" t="s">
        <v>308</v>
      </c>
      <c r="D8481" s="4">
        <f>DATE(2014,12,18)</f>
        <v>41991</v>
      </c>
      <c r="E8481" s="5">
        <f t="shared" si="137"/>
        <v>2014</v>
      </c>
      <c r="F8481" s="3" t="s">
        <v>1251</v>
      </c>
      <c r="G8481" s="6">
        <v>3245</v>
      </c>
      <c r="H8481" s="5">
        <v>6521</v>
      </c>
    </row>
    <row r="8482" spans="2:8" x14ac:dyDescent="0.4">
      <c r="B8482" s="3" t="s">
        <v>7</v>
      </c>
      <c r="C8482" s="3" t="s">
        <v>1252</v>
      </c>
      <c r="D8482" s="4">
        <f>DATE(2005,3,17)</f>
        <v>38428</v>
      </c>
      <c r="E8482" s="5">
        <f t="shared" si="137"/>
        <v>2005</v>
      </c>
      <c r="F8482" s="3" t="s">
        <v>1253</v>
      </c>
      <c r="G8482" s="6">
        <v>1840</v>
      </c>
      <c r="H8482" s="5">
        <v>4259</v>
      </c>
    </row>
    <row r="8483" spans="2:8" x14ac:dyDescent="0.4">
      <c r="B8483" s="3" t="s">
        <v>7</v>
      </c>
      <c r="C8483" s="3" t="s">
        <v>1252</v>
      </c>
      <c r="D8483" s="4">
        <f>DATE(2005,5,5)</f>
        <v>38477</v>
      </c>
      <c r="E8483" s="5">
        <f t="shared" si="137"/>
        <v>2005</v>
      </c>
      <c r="F8483" s="3" t="s">
        <v>1253</v>
      </c>
      <c r="G8483" s="6">
        <v>2270</v>
      </c>
      <c r="H8483" s="5">
        <v>3964</v>
      </c>
    </row>
    <row r="8484" spans="2:8" x14ac:dyDescent="0.4">
      <c r="B8484" s="3" t="s">
        <v>7</v>
      </c>
      <c r="C8484" s="3" t="s">
        <v>1252</v>
      </c>
      <c r="D8484" s="4">
        <f>DATE(2005,5,5)</f>
        <v>38477</v>
      </c>
      <c r="E8484" s="5">
        <f t="shared" si="137"/>
        <v>2005</v>
      </c>
      <c r="F8484" s="3" t="s">
        <v>1253</v>
      </c>
      <c r="G8484" s="6">
        <v>2590</v>
      </c>
      <c r="H8484" s="5">
        <v>4624</v>
      </c>
    </row>
    <row r="8485" spans="2:8" x14ac:dyDescent="0.4">
      <c r="B8485" s="3" t="s">
        <v>7</v>
      </c>
      <c r="C8485" s="3" t="s">
        <v>1252</v>
      </c>
      <c r="D8485" s="4">
        <f>DATE(2005,9,8)</f>
        <v>38603</v>
      </c>
      <c r="E8485" s="5">
        <f t="shared" si="137"/>
        <v>2005</v>
      </c>
      <c r="F8485" s="3" t="s">
        <v>1253</v>
      </c>
      <c r="G8485" s="6">
        <v>893.25</v>
      </c>
      <c r="H8485" s="5">
        <v>5199</v>
      </c>
    </row>
    <row r="8486" spans="2:8" x14ac:dyDescent="0.4">
      <c r="B8486" s="3" t="s">
        <v>7</v>
      </c>
      <c r="C8486" s="3" t="s">
        <v>1252</v>
      </c>
      <c r="D8486" s="4">
        <f>DATE(2005,9,26)</f>
        <v>38621</v>
      </c>
      <c r="E8486" s="5">
        <f t="shared" si="137"/>
        <v>2005</v>
      </c>
      <c r="F8486" s="3" t="s">
        <v>1253</v>
      </c>
      <c r="G8486" s="6">
        <v>334.75</v>
      </c>
      <c r="H8486" s="5">
        <v>5331</v>
      </c>
    </row>
    <row r="8487" spans="2:8" x14ac:dyDescent="0.4">
      <c r="B8487" s="3" t="s">
        <v>7</v>
      </c>
      <c r="C8487" s="3" t="s">
        <v>1252</v>
      </c>
      <c r="D8487" s="4">
        <f>DATE(2005,10,11)</f>
        <v>38636</v>
      </c>
      <c r="E8487" s="5">
        <f t="shared" si="137"/>
        <v>2005</v>
      </c>
      <c r="F8487" s="3" t="s">
        <v>1253</v>
      </c>
      <c r="G8487" s="6">
        <v>241.25</v>
      </c>
      <c r="H8487" s="5">
        <v>5423</v>
      </c>
    </row>
    <row r="8488" spans="2:8" x14ac:dyDescent="0.4">
      <c r="B8488" s="3" t="s">
        <v>7</v>
      </c>
      <c r="C8488" s="3" t="s">
        <v>1252</v>
      </c>
      <c r="D8488" s="4">
        <f>DATE(2005,10,21)</f>
        <v>38646</v>
      </c>
      <c r="E8488" s="5">
        <f t="shared" si="137"/>
        <v>2005</v>
      </c>
      <c r="F8488" s="3" t="s">
        <v>1253</v>
      </c>
      <c r="G8488" s="6">
        <v>567</v>
      </c>
      <c r="H8488" s="5">
        <v>5470</v>
      </c>
    </row>
    <row r="8489" spans="2:8" x14ac:dyDescent="0.4">
      <c r="B8489" s="3" t="s">
        <v>7</v>
      </c>
      <c r="C8489" s="3" t="s">
        <v>1252</v>
      </c>
      <c r="D8489" s="4">
        <f>DATE(2005,12,2)</f>
        <v>38688</v>
      </c>
      <c r="E8489" s="5">
        <f t="shared" si="137"/>
        <v>2005</v>
      </c>
      <c r="F8489" s="3" t="s">
        <v>1253</v>
      </c>
      <c r="G8489" s="6">
        <v>543.75</v>
      </c>
      <c r="H8489" s="5">
        <v>5672</v>
      </c>
    </row>
    <row r="8490" spans="2:8" x14ac:dyDescent="0.4">
      <c r="B8490" s="3" t="s">
        <v>7</v>
      </c>
      <c r="C8490" s="3" t="s">
        <v>1252</v>
      </c>
      <c r="D8490" s="4">
        <f>DATE(2005,12,30)</f>
        <v>38716</v>
      </c>
      <c r="E8490" s="5">
        <f t="shared" si="137"/>
        <v>2005</v>
      </c>
      <c r="F8490" s="3" t="s">
        <v>1253</v>
      </c>
      <c r="G8490" s="6">
        <v>2300</v>
      </c>
      <c r="H8490" s="5">
        <v>5679</v>
      </c>
    </row>
    <row r="8491" spans="2:8" x14ac:dyDescent="0.4">
      <c r="B8491" s="3" t="s">
        <v>7</v>
      </c>
      <c r="C8491" s="3" t="s">
        <v>1252</v>
      </c>
      <c r="D8491" s="4">
        <f>DATE(2005,12,30)</f>
        <v>38716</v>
      </c>
      <c r="E8491" s="5">
        <f t="shared" si="137"/>
        <v>2005</v>
      </c>
      <c r="F8491" s="3" t="s">
        <v>1253</v>
      </c>
      <c r="G8491" s="6">
        <v>9300</v>
      </c>
      <c r="H8491" s="5">
        <v>5786</v>
      </c>
    </row>
    <row r="8492" spans="2:8" x14ac:dyDescent="0.4">
      <c r="B8492" s="3" t="s">
        <v>7</v>
      </c>
      <c r="C8492" s="3" t="s">
        <v>1252</v>
      </c>
      <c r="D8492" s="4">
        <f>DATE(2006,3,10)</f>
        <v>38786</v>
      </c>
      <c r="E8492" s="5">
        <f t="shared" si="137"/>
        <v>2006</v>
      </c>
      <c r="F8492" s="3" t="s">
        <v>1253</v>
      </c>
      <c r="G8492" s="6">
        <v>1123.06</v>
      </c>
      <c r="H8492" s="5">
        <v>6215</v>
      </c>
    </row>
    <row r="8493" spans="2:8" x14ac:dyDescent="0.4">
      <c r="B8493" s="3" t="s">
        <v>7</v>
      </c>
      <c r="C8493" s="3" t="s">
        <v>1252</v>
      </c>
      <c r="D8493" s="4">
        <f>DATE(2006,11,30)</f>
        <v>39051</v>
      </c>
      <c r="E8493" s="5">
        <f t="shared" si="137"/>
        <v>2006</v>
      </c>
      <c r="F8493" s="3" t="s">
        <v>1253</v>
      </c>
      <c r="G8493" s="6">
        <v>2000</v>
      </c>
      <c r="H8493" s="5">
        <v>7459</v>
      </c>
    </row>
    <row r="8494" spans="2:8" x14ac:dyDescent="0.4">
      <c r="B8494" s="3" t="s">
        <v>7</v>
      </c>
      <c r="C8494" s="3" t="s">
        <v>1252</v>
      </c>
      <c r="D8494" s="4">
        <f>DATE(2007,2,20)</f>
        <v>39133</v>
      </c>
      <c r="E8494" s="5">
        <f t="shared" si="137"/>
        <v>2007</v>
      </c>
      <c r="F8494" s="3" t="s">
        <v>1253</v>
      </c>
      <c r="G8494" s="6">
        <v>724.87</v>
      </c>
      <c r="H8494" s="5">
        <v>7970</v>
      </c>
    </row>
    <row r="8495" spans="2:8" x14ac:dyDescent="0.4">
      <c r="B8495" s="3" t="s">
        <v>7</v>
      </c>
      <c r="C8495" s="3" t="s">
        <v>1252</v>
      </c>
      <c r="D8495" s="4">
        <f>DATE(2007,2,26)</f>
        <v>39139</v>
      </c>
      <c r="E8495" s="5">
        <f t="shared" si="137"/>
        <v>2007</v>
      </c>
      <c r="F8495" s="3" t="s">
        <v>1253</v>
      </c>
      <c r="G8495" s="6">
        <v>355.7</v>
      </c>
      <c r="H8495" s="5">
        <v>8014</v>
      </c>
    </row>
    <row r="8496" spans="2:8" x14ac:dyDescent="0.4">
      <c r="B8496" s="3" t="s">
        <v>7</v>
      </c>
      <c r="C8496" s="3" t="s">
        <v>1252</v>
      </c>
      <c r="D8496" s="4">
        <f>DATE(2007,4,10)</f>
        <v>39182</v>
      </c>
      <c r="E8496" s="5">
        <f t="shared" si="137"/>
        <v>2007</v>
      </c>
      <c r="F8496" s="3" t="s">
        <v>1253</v>
      </c>
      <c r="G8496" s="6">
        <v>494.2</v>
      </c>
      <c r="H8496" s="5">
        <v>8360</v>
      </c>
    </row>
    <row r="8497" spans="2:8" x14ac:dyDescent="0.4">
      <c r="B8497" s="3" t="s">
        <v>7</v>
      </c>
      <c r="C8497" s="3" t="s">
        <v>1252</v>
      </c>
      <c r="D8497" s="4">
        <f>DATE(2011,4,20)</f>
        <v>40653</v>
      </c>
      <c r="E8497" s="5">
        <f t="shared" si="137"/>
        <v>2011</v>
      </c>
      <c r="F8497" s="3" t="s">
        <v>1253</v>
      </c>
      <c r="G8497" s="6">
        <v>329</v>
      </c>
      <c r="H8497" s="5">
        <v>15426</v>
      </c>
    </row>
    <row r="8498" spans="2:8" x14ac:dyDescent="0.4">
      <c r="B8498" s="3" t="s">
        <v>7</v>
      </c>
      <c r="C8498" s="3" t="s">
        <v>1252</v>
      </c>
      <c r="D8498" s="4">
        <f>DATE(2011,4,21)</f>
        <v>40654</v>
      </c>
      <c r="E8498" s="5">
        <f t="shared" si="137"/>
        <v>2011</v>
      </c>
      <c r="F8498" s="3" t="s">
        <v>1253</v>
      </c>
      <c r="G8498" s="6">
        <v>250</v>
      </c>
      <c r="H8498" s="5">
        <v>15481</v>
      </c>
    </row>
    <row r="8499" spans="2:8" x14ac:dyDescent="0.4">
      <c r="B8499" s="3" t="s">
        <v>16</v>
      </c>
      <c r="C8499" s="3" t="s">
        <v>1252</v>
      </c>
      <c r="D8499" s="4">
        <f>DATE(2005,12,30)</f>
        <v>38716</v>
      </c>
      <c r="E8499" s="5">
        <f t="shared" si="137"/>
        <v>2005</v>
      </c>
      <c r="F8499" s="3" t="s">
        <v>1253</v>
      </c>
      <c r="G8499" s="6">
        <v>2300</v>
      </c>
      <c r="H8499" s="5">
        <v>5785</v>
      </c>
    </row>
    <row r="8500" spans="2:8" x14ac:dyDescent="0.4">
      <c r="B8500" s="3" t="s">
        <v>16</v>
      </c>
      <c r="C8500" s="3" t="s">
        <v>1252</v>
      </c>
      <c r="D8500" s="4">
        <f>DATE(2011,4,21)</f>
        <v>40654</v>
      </c>
      <c r="E8500" s="5">
        <f t="shared" si="137"/>
        <v>2011</v>
      </c>
      <c r="F8500" s="3" t="s">
        <v>1253</v>
      </c>
      <c r="G8500" s="6">
        <v>329</v>
      </c>
      <c r="H8500" s="5">
        <v>15482</v>
      </c>
    </row>
    <row r="8501" spans="2:8" x14ac:dyDescent="0.4">
      <c r="B8501" t="s">
        <v>7</v>
      </c>
      <c r="C8501" t="s">
        <v>1254</v>
      </c>
      <c r="D8501" s="7">
        <f>DATE(2016,6,9)</f>
        <v>42530</v>
      </c>
      <c r="E8501" s="8">
        <f t="shared" si="137"/>
        <v>2016</v>
      </c>
      <c r="F8501" t="s">
        <v>1255</v>
      </c>
      <c r="G8501" s="9">
        <v>3425.13</v>
      </c>
      <c r="H8501" s="8">
        <v>22248</v>
      </c>
    </row>
    <row r="8502" spans="2:8" x14ac:dyDescent="0.4">
      <c r="B8502" t="s">
        <v>7</v>
      </c>
      <c r="C8502" t="s">
        <v>1254</v>
      </c>
      <c r="D8502" s="7">
        <f>DATE(2016,7,15)</f>
        <v>42566</v>
      </c>
      <c r="E8502" s="8">
        <f t="shared" si="137"/>
        <v>2016</v>
      </c>
      <c r="F8502" t="s">
        <v>1255</v>
      </c>
      <c r="G8502" s="9">
        <v>3289.14</v>
      </c>
      <c r="H8502" s="8">
        <v>23049</v>
      </c>
    </row>
    <row r="8503" spans="2:8" x14ac:dyDescent="0.4">
      <c r="B8503" t="s">
        <v>7</v>
      </c>
      <c r="C8503" t="s">
        <v>1254</v>
      </c>
      <c r="D8503" s="7">
        <f>DATE(2016,11,1)</f>
        <v>42675</v>
      </c>
      <c r="E8503" s="8">
        <f t="shared" si="137"/>
        <v>2016</v>
      </c>
      <c r="F8503" t="s">
        <v>1255</v>
      </c>
      <c r="G8503" s="9">
        <v>3286.65</v>
      </c>
      <c r="H8503" s="8">
        <v>23690</v>
      </c>
    </row>
    <row r="8504" spans="2:8" x14ac:dyDescent="0.4">
      <c r="B8504" t="s">
        <v>7</v>
      </c>
      <c r="C8504" t="s">
        <v>1254</v>
      </c>
      <c r="D8504" s="7">
        <f>DATE(2016,11,1)</f>
        <v>42675</v>
      </c>
      <c r="E8504" s="8">
        <f t="shared" si="137"/>
        <v>2016</v>
      </c>
      <c r="F8504" t="s">
        <v>1255</v>
      </c>
      <c r="G8504" s="9">
        <v>29.7</v>
      </c>
      <c r="H8504" s="8">
        <v>23860</v>
      </c>
    </row>
    <row r="8505" spans="2:8" x14ac:dyDescent="0.4">
      <c r="B8505" t="s">
        <v>7</v>
      </c>
      <c r="C8505" t="s">
        <v>1256</v>
      </c>
      <c r="D8505" s="7">
        <f>DATE(2016,12,21)</f>
        <v>42725</v>
      </c>
      <c r="E8505" s="8">
        <f t="shared" si="137"/>
        <v>2016</v>
      </c>
      <c r="F8505" t="s">
        <v>1257</v>
      </c>
      <c r="G8505" s="9">
        <v>19830.14</v>
      </c>
      <c r="H8505" s="8">
        <v>23776</v>
      </c>
    </row>
    <row r="8506" spans="2:8" x14ac:dyDescent="0.4">
      <c r="B8506" t="s">
        <v>7</v>
      </c>
      <c r="C8506" t="s">
        <v>1258</v>
      </c>
      <c r="D8506" s="7">
        <f>DATE(2017,10,4)</f>
        <v>43012</v>
      </c>
      <c r="E8506" s="8">
        <f t="shared" si="137"/>
        <v>2017</v>
      </c>
      <c r="F8506" t="s">
        <v>1259</v>
      </c>
      <c r="G8506" s="9">
        <v>11350</v>
      </c>
      <c r="H8506" s="8">
        <v>25662</v>
      </c>
    </row>
    <row r="8507" spans="2:8" x14ac:dyDescent="0.4">
      <c r="B8507" t="s">
        <v>7</v>
      </c>
      <c r="C8507" t="s">
        <v>1258</v>
      </c>
      <c r="D8507" s="7">
        <f>DATE(2017,10,25)</f>
        <v>43033</v>
      </c>
      <c r="E8507" s="8">
        <f t="shared" si="137"/>
        <v>2017</v>
      </c>
      <c r="F8507" t="s">
        <v>1259</v>
      </c>
      <c r="G8507" s="9">
        <v>6922</v>
      </c>
      <c r="H8507" s="8">
        <v>25700</v>
      </c>
    </row>
    <row r="8508" spans="2:8" x14ac:dyDescent="0.4">
      <c r="B8508" t="s">
        <v>7</v>
      </c>
      <c r="C8508" t="s">
        <v>1258</v>
      </c>
      <c r="D8508" s="7">
        <f>DATE(2003,2,3)</f>
        <v>37655</v>
      </c>
      <c r="E8508" s="8">
        <f t="shared" si="137"/>
        <v>2003</v>
      </c>
      <c r="F8508" t="s">
        <v>1259</v>
      </c>
      <c r="G8508" s="9">
        <v>14885.08</v>
      </c>
      <c r="H8508" s="8">
        <v>150</v>
      </c>
    </row>
    <row r="8509" spans="2:8" x14ac:dyDescent="0.4">
      <c r="B8509" t="s">
        <v>7</v>
      </c>
      <c r="C8509" t="s">
        <v>1258</v>
      </c>
      <c r="D8509" s="7">
        <f>DATE(2004,2,5)</f>
        <v>38022</v>
      </c>
      <c r="E8509" s="8">
        <f t="shared" si="137"/>
        <v>2004</v>
      </c>
      <c r="F8509" t="s">
        <v>1259</v>
      </c>
      <c r="G8509" s="9">
        <v>16993.849999999999</v>
      </c>
      <c r="H8509" s="8">
        <v>1092</v>
      </c>
    </row>
    <row r="8510" spans="2:8" x14ac:dyDescent="0.4">
      <c r="B8510" t="s">
        <v>7</v>
      </c>
      <c r="C8510" t="s">
        <v>1258</v>
      </c>
      <c r="D8510" s="7">
        <f>DATE(2008,3,16)</f>
        <v>39523</v>
      </c>
      <c r="E8510" s="8">
        <f t="shared" si="137"/>
        <v>2008</v>
      </c>
      <c r="F8510" t="s">
        <v>1259</v>
      </c>
      <c r="G8510" s="9">
        <v>22461.37</v>
      </c>
      <c r="H8510" s="8">
        <v>7162</v>
      </c>
    </row>
    <row r="8511" spans="2:8" x14ac:dyDescent="0.4">
      <c r="B8511" s="3" t="s">
        <v>7</v>
      </c>
      <c r="C8511" s="3" t="s">
        <v>1258</v>
      </c>
      <c r="D8511" s="4">
        <f>DATE(2004,2,4)</f>
        <v>38021</v>
      </c>
      <c r="E8511" s="5">
        <f t="shared" si="137"/>
        <v>2004</v>
      </c>
      <c r="F8511" s="3" t="s">
        <v>1259</v>
      </c>
      <c r="G8511" s="6">
        <v>293.75</v>
      </c>
      <c r="H8511" s="5">
        <v>2117</v>
      </c>
    </row>
    <row r="8512" spans="2:8" x14ac:dyDescent="0.4">
      <c r="B8512" t="s">
        <v>7</v>
      </c>
      <c r="C8512" t="s">
        <v>1260</v>
      </c>
      <c r="D8512" s="7">
        <f>DATE(2015,5,26)</f>
        <v>42150</v>
      </c>
      <c r="E8512" s="8">
        <f t="shared" si="137"/>
        <v>2015</v>
      </c>
      <c r="F8512" t="s">
        <v>1261</v>
      </c>
      <c r="G8512" s="9">
        <v>85340</v>
      </c>
      <c r="H8512" s="8">
        <v>138</v>
      </c>
    </row>
    <row r="8513" spans="2:8" x14ac:dyDescent="0.4">
      <c r="B8513" t="s">
        <v>7</v>
      </c>
      <c r="C8513" t="s">
        <v>1260</v>
      </c>
      <c r="D8513" s="7">
        <f>DATE(2016,3,21)</f>
        <v>42450</v>
      </c>
      <c r="E8513" s="8">
        <f t="shared" si="137"/>
        <v>2016</v>
      </c>
      <c r="F8513" t="s">
        <v>1261</v>
      </c>
      <c r="G8513" s="9">
        <v>105607</v>
      </c>
      <c r="H8513" s="8">
        <v>21556</v>
      </c>
    </row>
    <row r="8514" spans="2:8" x14ac:dyDescent="0.4">
      <c r="B8514" t="s">
        <v>7</v>
      </c>
      <c r="C8514" t="s">
        <v>1260</v>
      </c>
      <c r="D8514" s="7">
        <f>DATE(2017,5,8)</f>
        <v>42863</v>
      </c>
      <c r="E8514" s="8">
        <f t="shared" si="137"/>
        <v>2017</v>
      </c>
      <c r="F8514" t="s">
        <v>1261</v>
      </c>
      <c r="G8514" s="9">
        <v>88352.39</v>
      </c>
      <c r="H8514" s="8">
        <v>23996</v>
      </c>
    </row>
    <row r="8515" spans="2:8" x14ac:dyDescent="0.4">
      <c r="B8515" t="s">
        <v>7</v>
      </c>
      <c r="C8515" t="s">
        <v>1260</v>
      </c>
      <c r="D8515" s="7">
        <f>DATE(2019,3,7)</f>
        <v>43531</v>
      </c>
      <c r="E8515" s="8">
        <f t="shared" ref="E8515:E8578" si="138">YEAR(D8515)</f>
        <v>2019</v>
      </c>
      <c r="F8515" t="s">
        <v>1261</v>
      </c>
      <c r="G8515" s="9">
        <v>106971.63</v>
      </c>
      <c r="H8515" s="8">
        <v>27881</v>
      </c>
    </row>
    <row r="8516" spans="2:8" x14ac:dyDescent="0.4">
      <c r="B8516" t="s">
        <v>7</v>
      </c>
      <c r="C8516" t="s">
        <v>1260</v>
      </c>
      <c r="D8516" s="7">
        <f>DATE(2013,4,2)</f>
        <v>41366</v>
      </c>
      <c r="E8516" s="8">
        <f t="shared" si="138"/>
        <v>2013</v>
      </c>
      <c r="F8516" t="s">
        <v>1261</v>
      </c>
      <c r="G8516" s="9">
        <v>85340</v>
      </c>
      <c r="H8516" s="8">
        <v>12072</v>
      </c>
    </row>
    <row r="8517" spans="2:8" x14ac:dyDescent="0.4">
      <c r="B8517" t="s">
        <v>7</v>
      </c>
      <c r="C8517" t="s">
        <v>1260</v>
      </c>
      <c r="D8517" s="7">
        <f>DATE(2014,5,29)</f>
        <v>41788</v>
      </c>
      <c r="E8517" s="8">
        <f t="shared" si="138"/>
        <v>2014</v>
      </c>
      <c r="F8517" t="s">
        <v>1261</v>
      </c>
      <c r="G8517" s="9">
        <v>113260</v>
      </c>
      <c r="H8517" s="8">
        <v>12639</v>
      </c>
    </row>
    <row r="8518" spans="2:8" x14ac:dyDescent="0.4">
      <c r="B8518" t="s">
        <v>7</v>
      </c>
      <c r="C8518" t="s">
        <v>1260</v>
      </c>
      <c r="D8518" s="7">
        <f>DATE(2014,5,7)</f>
        <v>41766</v>
      </c>
      <c r="E8518" s="8">
        <f t="shared" si="138"/>
        <v>2014</v>
      </c>
      <c r="F8518" t="s">
        <v>1261</v>
      </c>
      <c r="G8518" s="9">
        <v>5944.39</v>
      </c>
      <c r="H8518" s="8">
        <v>12903</v>
      </c>
    </row>
    <row r="8519" spans="2:8" x14ac:dyDescent="0.4">
      <c r="B8519" t="s">
        <v>7</v>
      </c>
      <c r="C8519" t="s">
        <v>1260</v>
      </c>
      <c r="D8519" s="7">
        <f>DATE(2014,7,15)</f>
        <v>41835</v>
      </c>
      <c r="E8519" s="8">
        <f t="shared" si="138"/>
        <v>2014</v>
      </c>
      <c r="F8519" t="s">
        <v>1261</v>
      </c>
      <c r="G8519" s="9">
        <v>6029.16</v>
      </c>
      <c r="H8519" s="8">
        <v>13220</v>
      </c>
    </row>
    <row r="8520" spans="2:8" x14ac:dyDescent="0.4">
      <c r="B8520" t="s">
        <v>7</v>
      </c>
      <c r="C8520" t="s">
        <v>1260</v>
      </c>
      <c r="D8520" s="7">
        <f>DATE(2014,8,14)</f>
        <v>41865</v>
      </c>
      <c r="E8520" s="8">
        <f t="shared" si="138"/>
        <v>2014</v>
      </c>
      <c r="F8520" t="s">
        <v>1261</v>
      </c>
      <c r="G8520" s="9">
        <v>5902.47</v>
      </c>
      <c r="H8520" s="8">
        <v>13389</v>
      </c>
    </row>
    <row r="8521" spans="2:8" x14ac:dyDescent="0.4">
      <c r="B8521" t="s">
        <v>7</v>
      </c>
      <c r="C8521" t="s">
        <v>1262</v>
      </c>
      <c r="D8521" s="7">
        <f>DATE(2003,2,7)</f>
        <v>37659</v>
      </c>
      <c r="E8521" s="8">
        <f t="shared" si="138"/>
        <v>2003</v>
      </c>
      <c r="F8521" t="s">
        <v>1263</v>
      </c>
      <c r="G8521" s="9">
        <v>47.2</v>
      </c>
      <c r="H8521" s="8">
        <v>137</v>
      </c>
    </row>
    <row r="8522" spans="2:8" x14ac:dyDescent="0.4">
      <c r="B8522" t="s">
        <v>7</v>
      </c>
      <c r="C8522" t="s">
        <v>1262</v>
      </c>
      <c r="D8522" s="7">
        <f>DATE(2003,2,11)</f>
        <v>37663</v>
      </c>
      <c r="E8522" s="8">
        <f t="shared" si="138"/>
        <v>2003</v>
      </c>
      <c r="F8522" t="s">
        <v>1263</v>
      </c>
      <c r="G8522" s="9">
        <v>58646.41</v>
      </c>
      <c r="H8522" s="8">
        <v>57</v>
      </c>
    </row>
    <row r="8523" spans="2:8" x14ac:dyDescent="0.4">
      <c r="B8523" s="3" t="s">
        <v>7</v>
      </c>
      <c r="C8523" s="3" t="s">
        <v>1262</v>
      </c>
      <c r="D8523" s="4">
        <f>DATE(2003,2,14)</f>
        <v>37666</v>
      </c>
      <c r="E8523" s="5">
        <f t="shared" si="138"/>
        <v>2003</v>
      </c>
      <c r="F8523" s="3" t="s">
        <v>1263</v>
      </c>
      <c r="G8523" s="6">
        <v>5791.5</v>
      </c>
      <c r="H8523" s="5">
        <v>293</v>
      </c>
    </row>
    <row r="8524" spans="2:8" x14ac:dyDescent="0.4">
      <c r="B8524" s="3" t="s">
        <v>7</v>
      </c>
      <c r="C8524" s="3" t="s">
        <v>1262</v>
      </c>
      <c r="D8524" s="4">
        <f>DATE(2003,1,23)</f>
        <v>37644</v>
      </c>
      <c r="E8524" s="5">
        <f t="shared" si="138"/>
        <v>2003</v>
      </c>
      <c r="F8524" s="3" t="s">
        <v>1264</v>
      </c>
      <c r="G8524" s="6">
        <v>22527.34</v>
      </c>
      <c r="H8524" s="5">
        <v>58</v>
      </c>
    </row>
    <row r="8525" spans="2:8" x14ac:dyDescent="0.4">
      <c r="B8525" t="s">
        <v>7</v>
      </c>
      <c r="C8525" t="s">
        <v>1262</v>
      </c>
      <c r="D8525" s="7">
        <f>DATE(2015,11,19)</f>
        <v>42327</v>
      </c>
      <c r="E8525" s="8">
        <f t="shared" si="138"/>
        <v>2015</v>
      </c>
      <c r="F8525" t="s">
        <v>1265</v>
      </c>
      <c r="G8525" s="9">
        <v>244546</v>
      </c>
      <c r="H8525" s="8">
        <v>20686</v>
      </c>
    </row>
    <row r="8526" spans="2:8" x14ac:dyDescent="0.4">
      <c r="B8526" t="s">
        <v>7</v>
      </c>
      <c r="C8526" t="s">
        <v>1262</v>
      </c>
      <c r="D8526" s="7">
        <f>DATE(2016,5,17)</f>
        <v>42507</v>
      </c>
      <c r="E8526" s="8">
        <f t="shared" si="138"/>
        <v>2016</v>
      </c>
      <c r="F8526" t="s">
        <v>1265</v>
      </c>
      <c r="G8526" s="9">
        <v>147219.20000000001</v>
      </c>
      <c r="H8526" s="8">
        <v>22435</v>
      </c>
    </row>
    <row r="8527" spans="2:8" x14ac:dyDescent="0.4">
      <c r="B8527" t="s">
        <v>7</v>
      </c>
      <c r="C8527" t="s">
        <v>1262</v>
      </c>
      <c r="D8527" s="7">
        <f>DATE(2017,5,10)</f>
        <v>42865</v>
      </c>
      <c r="E8527" s="8">
        <f t="shared" si="138"/>
        <v>2017</v>
      </c>
      <c r="F8527" t="s">
        <v>1265</v>
      </c>
      <c r="G8527" s="9">
        <v>150000</v>
      </c>
      <c r="H8527" s="8">
        <v>23769</v>
      </c>
    </row>
    <row r="8528" spans="2:8" x14ac:dyDescent="0.4">
      <c r="B8528" t="s">
        <v>7</v>
      </c>
      <c r="C8528" t="s">
        <v>1262</v>
      </c>
      <c r="D8528" s="7">
        <f>DATE(2018,2,23)</f>
        <v>43154</v>
      </c>
      <c r="E8528" s="8">
        <f t="shared" si="138"/>
        <v>2018</v>
      </c>
      <c r="F8528" t="s">
        <v>1265</v>
      </c>
      <c r="G8528" s="9">
        <v>167663.98000000001</v>
      </c>
      <c r="H8528" s="8">
        <v>26232</v>
      </c>
    </row>
    <row r="8529" spans="2:8" x14ac:dyDescent="0.4">
      <c r="B8529" t="s">
        <v>7</v>
      </c>
      <c r="C8529" t="s">
        <v>1262</v>
      </c>
      <c r="D8529" s="7">
        <f>DATE(2019,3,7)</f>
        <v>43531</v>
      </c>
      <c r="E8529" s="8">
        <f t="shared" si="138"/>
        <v>2019</v>
      </c>
      <c r="F8529" t="s">
        <v>1265</v>
      </c>
      <c r="G8529" s="9">
        <v>172287.59</v>
      </c>
      <c r="H8529" s="8">
        <v>27669</v>
      </c>
    </row>
    <row r="8530" spans="2:8" x14ac:dyDescent="0.4">
      <c r="B8530" t="s">
        <v>7</v>
      </c>
      <c r="C8530" t="s">
        <v>1262</v>
      </c>
      <c r="D8530" s="7">
        <f>DATE(2015,8,10)</f>
        <v>42226</v>
      </c>
      <c r="E8530" s="8">
        <f t="shared" si="138"/>
        <v>2015</v>
      </c>
      <c r="F8530" t="s">
        <v>1265</v>
      </c>
      <c r="G8530" s="9">
        <v>12254.91</v>
      </c>
      <c r="H8530" s="8">
        <v>20575</v>
      </c>
    </row>
    <row r="8531" spans="2:8" x14ac:dyDescent="0.4">
      <c r="B8531" t="s">
        <v>7</v>
      </c>
      <c r="C8531" t="s">
        <v>1262</v>
      </c>
      <c r="D8531" s="7">
        <f>DATE(2015,11,4)</f>
        <v>42312</v>
      </c>
      <c r="E8531" s="8">
        <f t="shared" si="138"/>
        <v>2015</v>
      </c>
      <c r="F8531" t="s">
        <v>1265</v>
      </c>
      <c r="G8531" s="9">
        <v>483396</v>
      </c>
      <c r="H8531" s="8">
        <v>20617</v>
      </c>
    </row>
    <row r="8532" spans="2:8" x14ac:dyDescent="0.4">
      <c r="B8532" t="s">
        <v>7</v>
      </c>
      <c r="C8532" t="s">
        <v>1262</v>
      </c>
      <c r="D8532" s="7">
        <f>DATE(2016,6,1)</f>
        <v>42522</v>
      </c>
      <c r="E8532" s="8">
        <f t="shared" si="138"/>
        <v>2016</v>
      </c>
      <c r="F8532" t="s">
        <v>1265</v>
      </c>
      <c r="G8532" s="9">
        <v>664003.72</v>
      </c>
      <c r="H8532" s="8">
        <v>21841</v>
      </c>
    </row>
    <row r="8533" spans="2:8" x14ac:dyDescent="0.4">
      <c r="B8533" t="s">
        <v>7</v>
      </c>
      <c r="C8533" t="s">
        <v>1262</v>
      </c>
      <c r="D8533" s="7">
        <f>DATE(2016,8,30)</f>
        <v>42612</v>
      </c>
      <c r="E8533" s="8">
        <f t="shared" si="138"/>
        <v>2016</v>
      </c>
      <c r="F8533" t="s">
        <v>1265</v>
      </c>
      <c r="G8533" s="9">
        <v>17858</v>
      </c>
      <c r="H8533" s="8">
        <v>23097</v>
      </c>
    </row>
    <row r="8534" spans="2:8" x14ac:dyDescent="0.4">
      <c r="B8534" t="s">
        <v>7</v>
      </c>
      <c r="C8534" t="s">
        <v>1262</v>
      </c>
      <c r="D8534" s="7">
        <f>DATE(2016,8,30)</f>
        <v>42612</v>
      </c>
      <c r="E8534" s="8">
        <f t="shared" si="138"/>
        <v>2016</v>
      </c>
      <c r="F8534" t="s">
        <v>1265</v>
      </c>
      <c r="G8534" s="9">
        <v>15024.33</v>
      </c>
      <c r="H8534" s="8">
        <v>23098</v>
      </c>
    </row>
    <row r="8535" spans="2:8" x14ac:dyDescent="0.4">
      <c r="B8535" t="s">
        <v>7</v>
      </c>
      <c r="C8535" t="s">
        <v>1262</v>
      </c>
      <c r="D8535" s="7">
        <f>DATE(2017,5,24)</f>
        <v>42879</v>
      </c>
      <c r="E8535" s="8">
        <f t="shared" si="138"/>
        <v>2017</v>
      </c>
      <c r="F8535" t="s">
        <v>1265</v>
      </c>
      <c r="G8535" s="9">
        <v>649520.34</v>
      </c>
      <c r="H8535" s="8">
        <v>23770</v>
      </c>
    </row>
    <row r="8536" spans="2:8" x14ac:dyDescent="0.4">
      <c r="B8536" t="s">
        <v>7</v>
      </c>
      <c r="C8536" t="s">
        <v>1262</v>
      </c>
      <c r="D8536" s="7">
        <f>DATE(2017,5,24)</f>
        <v>42879</v>
      </c>
      <c r="E8536" s="8">
        <f t="shared" si="138"/>
        <v>2017</v>
      </c>
      <c r="F8536" t="s">
        <v>1265</v>
      </c>
      <c r="G8536" s="9">
        <v>36960</v>
      </c>
      <c r="H8536" s="8">
        <v>24994</v>
      </c>
    </row>
    <row r="8537" spans="2:8" x14ac:dyDescent="0.4">
      <c r="B8537" t="s">
        <v>7</v>
      </c>
      <c r="C8537" t="s">
        <v>1262</v>
      </c>
      <c r="D8537" s="7">
        <f>DATE(2017,5,24)</f>
        <v>42879</v>
      </c>
      <c r="E8537" s="8">
        <f t="shared" si="138"/>
        <v>2017</v>
      </c>
      <c r="F8537" t="s">
        <v>1265</v>
      </c>
      <c r="G8537" s="9">
        <v>56000</v>
      </c>
      <c r="H8537" s="8">
        <v>23822</v>
      </c>
    </row>
    <row r="8538" spans="2:8" x14ac:dyDescent="0.4">
      <c r="B8538" t="s">
        <v>7</v>
      </c>
      <c r="C8538" t="s">
        <v>1262</v>
      </c>
      <c r="D8538" s="7">
        <f>DATE(2017,10,11)</f>
        <v>43019</v>
      </c>
      <c r="E8538" s="8">
        <f t="shared" si="138"/>
        <v>2017</v>
      </c>
      <c r="F8538" t="s">
        <v>1265</v>
      </c>
      <c r="G8538" s="9">
        <v>10245.629999999999</v>
      </c>
      <c r="H8538" s="8">
        <v>25440</v>
      </c>
    </row>
    <row r="8539" spans="2:8" x14ac:dyDescent="0.4">
      <c r="B8539" t="s">
        <v>7</v>
      </c>
      <c r="C8539" t="s">
        <v>1262</v>
      </c>
      <c r="D8539" s="7">
        <f>DATE(2018,3,6)</f>
        <v>43165</v>
      </c>
      <c r="E8539" s="8">
        <f t="shared" si="138"/>
        <v>2018</v>
      </c>
      <c r="F8539" t="s">
        <v>1265</v>
      </c>
      <c r="G8539" s="9">
        <v>254904.77</v>
      </c>
      <c r="H8539" s="8">
        <v>26139</v>
      </c>
    </row>
    <row r="8540" spans="2:8" x14ac:dyDescent="0.4">
      <c r="B8540" t="s">
        <v>7</v>
      </c>
      <c r="C8540" t="s">
        <v>1262</v>
      </c>
      <c r="D8540" s="7">
        <f>DATE(2019,3,26)</f>
        <v>43550</v>
      </c>
      <c r="E8540" s="8">
        <f t="shared" si="138"/>
        <v>2019</v>
      </c>
      <c r="F8540" t="s">
        <v>1265</v>
      </c>
      <c r="G8540" s="9">
        <v>258301.05</v>
      </c>
      <c r="H8540" s="8">
        <v>27985</v>
      </c>
    </row>
    <row r="8541" spans="2:8" x14ac:dyDescent="0.4">
      <c r="B8541" t="s">
        <v>7</v>
      </c>
      <c r="C8541" t="s">
        <v>1262</v>
      </c>
      <c r="D8541" s="7">
        <f>DATE(2015,7,6)</f>
        <v>42191</v>
      </c>
      <c r="E8541" s="8">
        <f t="shared" si="138"/>
        <v>2015</v>
      </c>
      <c r="F8541" t="s">
        <v>1265</v>
      </c>
      <c r="G8541" s="9">
        <v>4697.76</v>
      </c>
      <c r="H8541" s="8">
        <v>20849</v>
      </c>
    </row>
    <row r="8542" spans="2:8" x14ac:dyDescent="0.4">
      <c r="B8542" t="s">
        <v>7</v>
      </c>
      <c r="C8542" t="s">
        <v>1262</v>
      </c>
      <c r="D8542" s="7">
        <f>DATE(2015,9,29)</f>
        <v>42276</v>
      </c>
      <c r="E8542" s="8">
        <f t="shared" si="138"/>
        <v>2015</v>
      </c>
      <c r="F8542" t="s">
        <v>1265</v>
      </c>
      <c r="G8542" s="9">
        <v>6127.5</v>
      </c>
      <c r="H8542" s="8">
        <v>21286</v>
      </c>
    </row>
    <row r="8543" spans="2:8" x14ac:dyDescent="0.4">
      <c r="B8543" t="s">
        <v>7</v>
      </c>
      <c r="C8543" t="s">
        <v>1262</v>
      </c>
      <c r="D8543" s="7">
        <f>DATE(2016,4,6)</f>
        <v>42466</v>
      </c>
      <c r="E8543" s="8">
        <f t="shared" si="138"/>
        <v>2016</v>
      </c>
      <c r="F8543" t="s">
        <v>1265</v>
      </c>
      <c r="G8543" s="9">
        <v>5335.2</v>
      </c>
      <c r="H8543" s="8">
        <v>22555</v>
      </c>
    </row>
    <row r="8544" spans="2:8" x14ac:dyDescent="0.4">
      <c r="B8544" t="s">
        <v>7</v>
      </c>
      <c r="C8544" t="s">
        <v>1262</v>
      </c>
      <c r="D8544" s="7">
        <f>DATE(2016,7,8)</f>
        <v>42559</v>
      </c>
      <c r="E8544" s="8">
        <f t="shared" si="138"/>
        <v>2016</v>
      </c>
      <c r="F8544" t="s">
        <v>1265</v>
      </c>
      <c r="G8544" s="9">
        <v>11286.01</v>
      </c>
      <c r="H8544" s="8">
        <v>23092</v>
      </c>
    </row>
    <row r="8545" spans="2:8" x14ac:dyDescent="0.4">
      <c r="B8545" t="s">
        <v>7</v>
      </c>
      <c r="C8545" t="s">
        <v>1262</v>
      </c>
      <c r="D8545" s="7">
        <f>DATE(2017,3,27)</f>
        <v>42821</v>
      </c>
      <c r="E8545" s="8">
        <f t="shared" si="138"/>
        <v>2017</v>
      </c>
      <c r="F8545" t="s">
        <v>1265</v>
      </c>
      <c r="G8545" s="9">
        <v>8189</v>
      </c>
      <c r="H8545" s="8">
        <v>24592</v>
      </c>
    </row>
    <row r="8546" spans="2:8" x14ac:dyDescent="0.4">
      <c r="B8546" t="s">
        <v>7</v>
      </c>
      <c r="C8546" t="s">
        <v>1262</v>
      </c>
      <c r="D8546" s="7">
        <f>DATE(2017,9,27)</f>
        <v>43005</v>
      </c>
      <c r="E8546" s="8">
        <f t="shared" si="138"/>
        <v>2017</v>
      </c>
      <c r="F8546" t="s">
        <v>1265</v>
      </c>
      <c r="G8546" s="9">
        <v>6141.75</v>
      </c>
      <c r="H8546" s="8">
        <v>25583</v>
      </c>
    </row>
    <row r="8547" spans="2:8" x14ac:dyDescent="0.4">
      <c r="B8547" t="s">
        <v>7</v>
      </c>
      <c r="C8547" t="s">
        <v>1262</v>
      </c>
      <c r="D8547" s="7">
        <f>DATE(2018,3,8)</f>
        <v>43167</v>
      </c>
      <c r="E8547" s="8">
        <f t="shared" si="138"/>
        <v>2018</v>
      </c>
      <c r="F8547" t="s">
        <v>1265</v>
      </c>
      <c r="G8547" s="9">
        <v>6141.75</v>
      </c>
      <c r="H8547" s="8">
        <v>26611</v>
      </c>
    </row>
    <row r="8548" spans="2:8" x14ac:dyDescent="0.4">
      <c r="B8548" t="s">
        <v>7</v>
      </c>
      <c r="C8548" t="s">
        <v>1262</v>
      </c>
      <c r="D8548" s="7">
        <f>DATE(2018,7,5)</f>
        <v>43286</v>
      </c>
      <c r="E8548" s="8">
        <f t="shared" si="138"/>
        <v>2018</v>
      </c>
      <c r="F8548" t="s">
        <v>1265</v>
      </c>
      <c r="G8548" s="9">
        <v>60567.9</v>
      </c>
      <c r="H8548" s="8">
        <v>27029</v>
      </c>
    </row>
    <row r="8549" spans="2:8" x14ac:dyDescent="0.4">
      <c r="B8549" t="s">
        <v>7</v>
      </c>
      <c r="C8549" t="s">
        <v>1262</v>
      </c>
      <c r="D8549" s="7">
        <f>DATE(2018,12,28)</f>
        <v>43462</v>
      </c>
      <c r="E8549" s="8">
        <f t="shared" si="138"/>
        <v>2018</v>
      </c>
      <c r="F8549" t="s">
        <v>1265</v>
      </c>
      <c r="G8549" s="9">
        <v>4094.5</v>
      </c>
      <c r="H8549" s="8">
        <v>28120</v>
      </c>
    </row>
    <row r="8550" spans="2:8" x14ac:dyDescent="0.4">
      <c r="B8550" t="s">
        <v>7</v>
      </c>
      <c r="C8550" t="s">
        <v>1262</v>
      </c>
      <c r="D8550" s="7">
        <f>DATE(2019,5,13)</f>
        <v>43598</v>
      </c>
      <c r="E8550" s="8">
        <f t="shared" si="138"/>
        <v>2019</v>
      </c>
      <c r="F8550" t="s">
        <v>1265</v>
      </c>
      <c r="G8550" s="9">
        <v>16378</v>
      </c>
      <c r="H8550" s="8">
        <v>28949</v>
      </c>
    </row>
    <row r="8551" spans="2:8" x14ac:dyDescent="0.4">
      <c r="B8551" t="s">
        <v>7</v>
      </c>
      <c r="C8551" t="s">
        <v>1262</v>
      </c>
      <c r="D8551" s="7">
        <f>DATE(2015,1,22)</f>
        <v>42026</v>
      </c>
      <c r="E8551" s="8">
        <f t="shared" si="138"/>
        <v>2015</v>
      </c>
      <c r="F8551" t="s">
        <v>1265</v>
      </c>
      <c r="G8551" s="9">
        <v>26939.72</v>
      </c>
      <c r="H8551" s="8">
        <v>32</v>
      </c>
    </row>
    <row r="8552" spans="2:8" x14ac:dyDescent="0.4">
      <c r="B8552" t="s">
        <v>7</v>
      </c>
      <c r="C8552" t="s">
        <v>1262</v>
      </c>
      <c r="D8552" s="7">
        <f>DATE(2004,7,26)</f>
        <v>38194</v>
      </c>
      <c r="E8552" s="8">
        <f t="shared" si="138"/>
        <v>2004</v>
      </c>
      <c r="F8552" t="s">
        <v>1265</v>
      </c>
      <c r="G8552" s="9">
        <v>328</v>
      </c>
      <c r="H8552" s="8">
        <v>2009</v>
      </c>
    </row>
    <row r="8553" spans="2:8" x14ac:dyDescent="0.4">
      <c r="B8553" t="s">
        <v>7</v>
      </c>
      <c r="C8553" t="s">
        <v>1262</v>
      </c>
      <c r="D8553" s="7">
        <f>DATE(2004,8,26)</f>
        <v>38225</v>
      </c>
      <c r="E8553" s="8">
        <f t="shared" si="138"/>
        <v>2004</v>
      </c>
      <c r="F8553" t="s">
        <v>1265</v>
      </c>
      <c r="G8553" s="9">
        <v>410.5</v>
      </c>
      <c r="H8553" s="8">
        <v>2105</v>
      </c>
    </row>
    <row r="8554" spans="2:8" x14ac:dyDescent="0.4">
      <c r="B8554" t="s">
        <v>7</v>
      </c>
      <c r="C8554" t="s">
        <v>1262</v>
      </c>
      <c r="D8554" s="7">
        <f>DATE(2004,9,8)</f>
        <v>38238</v>
      </c>
      <c r="E8554" s="8">
        <f t="shared" si="138"/>
        <v>2004</v>
      </c>
      <c r="F8554" t="s">
        <v>1265</v>
      </c>
      <c r="G8554" s="9">
        <v>350</v>
      </c>
      <c r="H8554" s="8">
        <v>2161</v>
      </c>
    </row>
    <row r="8555" spans="2:8" x14ac:dyDescent="0.4">
      <c r="B8555" t="s">
        <v>7</v>
      </c>
      <c r="C8555" t="s">
        <v>1262</v>
      </c>
      <c r="D8555" s="7">
        <f>DATE(2004,12,23)</f>
        <v>38344</v>
      </c>
      <c r="E8555" s="8">
        <f t="shared" si="138"/>
        <v>2004</v>
      </c>
      <c r="F8555" t="s">
        <v>1265</v>
      </c>
      <c r="G8555" s="9">
        <v>1125</v>
      </c>
      <c r="H8555" s="8">
        <v>2497</v>
      </c>
    </row>
    <row r="8556" spans="2:8" x14ac:dyDescent="0.4">
      <c r="B8556" t="s">
        <v>7</v>
      </c>
      <c r="C8556" t="s">
        <v>1262</v>
      </c>
      <c r="D8556" s="7">
        <f>DATE(2005,12,12)</f>
        <v>38698</v>
      </c>
      <c r="E8556" s="8">
        <f t="shared" si="138"/>
        <v>2005</v>
      </c>
      <c r="F8556" t="s">
        <v>1265</v>
      </c>
      <c r="G8556" s="9">
        <v>18500</v>
      </c>
      <c r="H8556" s="8">
        <v>3850</v>
      </c>
    </row>
    <row r="8557" spans="2:8" x14ac:dyDescent="0.4">
      <c r="B8557" t="s">
        <v>7</v>
      </c>
      <c r="C8557" t="s">
        <v>1262</v>
      </c>
      <c r="D8557" s="7">
        <f>DATE(2005,12,28)</f>
        <v>38714</v>
      </c>
      <c r="E8557" s="8">
        <f t="shared" si="138"/>
        <v>2005</v>
      </c>
      <c r="F8557" t="s">
        <v>1265</v>
      </c>
      <c r="G8557" s="9">
        <v>357</v>
      </c>
      <c r="H8557" s="8">
        <v>3888</v>
      </c>
    </row>
    <row r="8558" spans="2:8" x14ac:dyDescent="0.4">
      <c r="B8558" t="s">
        <v>7</v>
      </c>
      <c r="C8558" t="s">
        <v>1262</v>
      </c>
      <c r="D8558" s="7">
        <f>DATE(2009,6,10)</f>
        <v>39974</v>
      </c>
      <c r="E8558" s="8">
        <f t="shared" si="138"/>
        <v>2009</v>
      </c>
      <c r="F8558" t="s">
        <v>1265</v>
      </c>
      <c r="G8558" s="9">
        <v>1009.8</v>
      </c>
      <c r="H8558" s="8">
        <v>8729</v>
      </c>
    </row>
    <row r="8559" spans="2:8" x14ac:dyDescent="0.4">
      <c r="B8559" t="s">
        <v>7</v>
      </c>
      <c r="C8559" t="s">
        <v>1262</v>
      </c>
      <c r="D8559" s="7">
        <f>DATE(2009,9,8)</f>
        <v>40064</v>
      </c>
      <c r="E8559" s="8">
        <f t="shared" si="138"/>
        <v>2009</v>
      </c>
      <c r="F8559" t="s">
        <v>1265</v>
      </c>
      <c r="G8559" s="9">
        <v>375</v>
      </c>
      <c r="H8559" s="8">
        <v>9035</v>
      </c>
    </row>
    <row r="8560" spans="2:8" x14ac:dyDescent="0.4">
      <c r="B8560" t="s">
        <v>7</v>
      </c>
      <c r="C8560" t="s">
        <v>1262</v>
      </c>
      <c r="D8560" s="7">
        <f>DATE(2009,10,15)</f>
        <v>40101</v>
      </c>
      <c r="E8560" s="8">
        <f t="shared" si="138"/>
        <v>2009</v>
      </c>
      <c r="F8560" t="s">
        <v>1265</v>
      </c>
      <c r="G8560" s="9">
        <v>32</v>
      </c>
      <c r="H8560" s="8">
        <v>9138</v>
      </c>
    </row>
    <row r="8561" spans="2:8" x14ac:dyDescent="0.4">
      <c r="B8561" t="s">
        <v>7</v>
      </c>
      <c r="C8561" t="s">
        <v>1262</v>
      </c>
      <c r="D8561" s="7">
        <f>DATE(2011,10,6)</f>
        <v>40822</v>
      </c>
      <c r="E8561" s="8">
        <f t="shared" si="138"/>
        <v>2011</v>
      </c>
      <c r="F8561" t="s">
        <v>1265</v>
      </c>
      <c r="G8561" s="9">
        <v>800</v>
      </c>
      <c r="H8561" s="8">
        <v>11056</v>
      </c>
    </row>
    <row r="8562" spans="2:8" x14ac:dyDescent="0.4">
      <c r="B8562" t="s">
        <v>7</v>
      </c>
      <c r="C8562" t="s">
        <v>1262</v>
      </c>
      <c r="D8562" s="7">
        <f>DATE(2012,4,11)</f>
        <v>41010</v>
      </c>
      <c r="E8562" s="8">
        <f t="shared" si="138"/>
        <v>2012</v>
      </c>
      <c r="F8562" t="s">
        <v>1265</v>
      </c>
      <c r="G8562" s="9">
        <v>18450</v>
      </c>
      <c r="H8562" s="8">
        <v>11362</v>
      </c>
    </row>
    <row r="8563" spans="2:8" x14ac:dyDescent="0.4">
      <c r="B8563" t="s">
        <v>7</v>
      </c>
      <c r="C8563" t="s">
        <v>1262</v>
      </c>
      <c r="D8563" s="7">
        <f>DATE(2012,6,6)</f>
        <v>41066</v>
      </c>
      <c r="E8563" s="8">
        <f t="shared" si="138"/>
        <v>2012</v>
      </c>
      <c r="F8563" t="s">
        <v>1265</v>
      </c>
      <c r="G8563" s="9">
        <v>10375.290000000001</v>
      </c>
      <c r="H8563" s="8">
        <v>11654</v>
      </c>
    </row>
    <row r="8564" spans="2:8" x14ac:dyDescent="0.4">
      <c r="B8564" t="s">
        <v>7</v>
      </c>
      <c r="C8564" t="s">
        <v>1262</v>
      </c>
      <c r="D8564" s="7">
        <f>DATE(2014,3,10)</f>
        <v>41708</v>
      </c>
      <c r="E8564" s="8">
        <f t="shared" si="138"/>
        <v>2014</v>
      </c>
      <c r="F8564" t="s">
        <v>1265</v>
      </c>
      <c r="G8564" s="9">
        <v>213508.49</v>
      </c>
      <c r="H8564" s="8">
        <v>12741</v>
      </c>
    </row>
    <row r="8565" spans="2:8" x14ac:dyDescent="0.4">
      <c r="B8565" t="s">
        <v>7</v>
      </c>
      <c r="C8565" t="s">
        <v>1262</v>
      </c>
      <c r="D8565" s="7">
        <f>DATE(2014,7,14)</f>
        <v>41834</v>
      </c>
      <c r="E8565" s="8">
        <f t="shared" si="138"/>
        <v>2014</v>
      </c>
      <c r="F8565" t="s">
        <v>1265</v>
      </c>
      <c r="G8565" s="9">
        <v>11056</v>
      </c>
      <c r="H8565" s="8">
        <v>13149</v>
      </c>
    </row>
    <row r="8566" spans="2:8" x14ac:dyDescent="0.4">
      <c r="B8566" t="s">
        <v>7</v>
      </c>
      <c r="C8566" t="s">
        <v>1262</v>
      </c>
      <c r="D8566" s="7">
        <f>DATE(2014,12,9)</f>
        <v>41982</v>
      </c>
      <c r="E8566" s="8">
        <f t="shared" si="138"/>
        <v>2014</v>
      </c>
      <c r="F8566" t="s">
        <v>1265</v>
      </c>
      <c r="G8566" s="9">
        <v>198545.2</v>
      </c>
      <c r="H8566" s="8">
        <v>13110</v>
      </c>
    </row>
    <row r="8567" spans="2:8" x14ac:dyDescent="0.4">
      <c r="B8567" t="s">
        <v>7</v>
      </c>
      <c r="C8567" t="s">
        <v>1262</v>
      </c>
      <c r="D8567" s="7">
        <f>DATE(2003,6,27)</f>
        <v>37799</v>
      </c>
      <c r="E8567" s="8">
        <f t="shared" si="138"/>
        <v>2003</v>
      </c>
      <c r="F8567" t="s">
        <v>1265</v>
      </c>
      <c r="G8567" s="9">
        <v>150</v>
      </c>
      <c r="H8567" s="8">
        <v>628</v>
      </c>
    </row>
    <row r="8568" spans="2:8" x14ac:dyDescent="0.4">
      <c r="B8568" t="s">
        <v>7</v>
      </c>
      <c r="C8568" t="s">
        <v>1262</v>
      </c>
      <c r="D8568" s="7">
        <f>DATE(2004,3,31)</f>
        <v>38077</v>
      </c>
      <c r="E8568" s="8">
        <f t="shared" si="138"/>
        <v>2004</v>
      </c>
      <c r="F8568" t="s">
        <v>1265</v>
      </c>
      <c r="G8568" s="9">
        <v>56516</v>
      </c>
      <c r="H8568" s="8">
        <v>1384</v>
      </c>
    </row>
    <row r="8569" spans="2:8" x14ac:dyDescent="0.4">
      <c r="B8569" t="s">
        <v>7</v>
      </c>
      <c r="C8569" t="s">
        <v>1262</v>
      </c>
      <c r="D8569" s="7">
        <f>DATE(2004,11,8)</f>
        <v>38299</v>
      </c>
      <c r="E8569" s="8">
        <f t="shared" si="138"/>
        <v>2004</v>
      </c>
      <c r="F8569" t="s">
        <v>1265</v>
      </c>
      <c r="G8569" s="9">
        <v>56516</v>
      </c>
      <c r="H8569" s="8">
        <v>2212</v>
      </c>
    </row>
    <row r="8570" spans="2:8" x14ac:dyDescent="0.4">
      <c r="B8570" t="s">
        <v>7</v>
      </c>
      <c r="C8570" t="s">
        <v>1262</v>
      </c>
      <c r="D8570" s="7">
        <f>DATE(2004,12,29)</f>
        <v>38350</v>
      </c>
      <c r="E8570" s="8">
        <f t="shared" si="138"/>
        <v>2004</v>
      </c>
      <c r="F8570" t="s">
        <v>1265</v>
      </c>
      <c r="G8570" s="9">
        <v>750</v>
      </c>
      <c r="H8570" s="8">
        <v>2512</v>
      </c>
    </row>
    <row r="8571" spans="2:8" x14ac:dyDescent="0.4">
      <c r="B8571" t="s">
        <v>7</v>
      </c>
      <c r="C8571" t="s">
        <v>1262</v>
      </c>
      <c r="D8571" s="7">
        <f>DATE(2005,10,31)</f>
        <v>38656</v>
      </c>
      <c r="E8571" s="8">
        <f t="shared" si="138"/>
        <v>2005</v>
      </c>
      <c r="F8571" t="s">
        <v>1265</v>
      </c>
      <c r="G8571" s="9">
        <v>63520.76</v>
      </c>
      <c r="H8571" s="8">
        <v>3308</v>
      </c>
    </row>
    <row r="8572" spans="2:8" x14ac:dyDescent="0.4">
      <c r="B8572" t="s">
        <v>7</v>
      </c>
      <c r="C8572" t="s">
        <v>1262</v>
      </c>
      <c r="D8572" s="7">
        <f>DATE(2005,10,31)</f>
        <v>38656</v>
      </c>
      <c r="E8572" s="8">
        <f t="shared" si="138"/>
        <v>2005</v>
      </c>
      <c r="F8572" t="s">
        <v>1265</v>
      </c>
      <c r="G8572" s="9">
        <v>59341.8</v>
      </c>
      <c r="H8572" s="8">
        <v>3956</v>
      </c>
    </row>
    <row r="8573" spans="2:8" x14ac:dyDescent="0.4">
      <c r="B8573" t="s">
        <v>7</v>
      </c>
      <c r="C8573" t="s">
        <v>1262</v>
      </c>
      <c r="D8573" s="7">
        <f>DATE(2006,4,26)</f>
        <v>38833</v>
      </c>
      <c r="E8573" s="8">
        <f t="shared" si="138"/>
        <v>2006</v>
      </c>
      <c r="F8573" t="s">
        <v>1265</v>
      </c>
      <c r="G8573" s="9">
        <v>76253.570000000007</v>
      </c>
      <c r="H8573" s="8">
        <v>4100</v>
      </c>
    </row>
    <row r="8574" spans="2:8" x14ac:dyDescent="0.4">
      <c r="B8574" t="s">
        <v>7</v>
      </c>
      <c r="C8574" t="s">
        <v>1262</v>
      </c>
      <c r="D8574" s="7">
        <f>DATE(2006,4,26)</f>
        <v>38833</v>
      </c>
      <c r="E8574" s="8">
        <f t="shared" si="138"/>
        <v>2006</v>
      </c>
      <c r="F8574" t="s">
        <v>1265</v>
      </c>
      <c r="G8574" s="9">
        <v>10226.799999999999</v>
      </c>
      <c r="H8574" s="8">
        <v>5038</v>
      </c>
    </row>
    <row r="8575" spans="2:8" x14ac:dyDescent="0.4">
      <c r="B8575" t="s">
        <v>7</v>
      </c>
      <c r="C8575" t="s">
        <v>1262</v>
      </c>
      <c r="D8575" s="7">
        <f>DATE(2006,4,26)</f>
        <v>38833</v>
      </c>
      <c r="E8575" s="8">
        <f t="shared" si="138"/>
        <v>2006</v>
      </c>
      <c r="F8575" t="s">
        <v>1265</v>
      </c>
      <c r="G8575" s="9">
        <v>66026.77</v>
      </c>
      <c r="H8575" s="8">
        <v>5041</v>
      </c>
    </row>
    <row r="8576" spans="2:8" x14ac:dyDescent="0.4">
      <c r="B8576" t="s">
        <v>7</v>
      </c>
      <c r="C8576" t="s">
        <v>1262</v>
      </c>
      <c r="D8576" s="7">
        <f>DATE(2007,5,1)</f>
        <v>39203</v>
      </c>
      <c r="E8576" s="8">
        <f t="shared" si="138"/>
        <v>2007</v>
      </c>
      <c r="F8576" t="s">
        <v>1265</v>
      </c>
      <c r="G8576" s="9">
        <v>49341.8</v>
      </c>
      <c r="H8576" s="8">
        <v>5434</v>
      </c>
    </row>
    <row r="8577" spans="2:8" x14ac:dyDescent="0.4">
      <c r="B8577" t="s">
        <v>7</v>
      </c>
      <c r="C8577" t="s">
        <v>1262</v>
      </c>
      <c r="D8577" s="7">
        <f>DATE(2008,2,13)</f>
        <v>39491</v>
      </c>
      <c r="E8577" s="8">
        <f t="shared" si="138"/>
        <v>2008</v>
      </c>
      <c r="F8577" t="s">
        <v>1265</v>
      </c>
      <c r="G8577" s="9">
        <v>59341.8</v>
      </c>
      <c r="H8577" s="8">
        <v>6628</v>
      </c>
    </row>
    <row r="8578" spans="2:8" x14ac:dyDescent="0.4">
      <c r="B8578" t="s">
        <v>7</v>
      </c>
      <c r="C8578" t="s">
        <v>1262</v>
      </c>
      <c r="D8578" s="7">
        <f>DATE(2009,2,12)</f>
        <v>39856</v>
      </c>
      <c r="E8578" s="8">
        <f t="shared" si="138"/>
        <v>2009</v>
      </c>
      <c r="F8578" t="s">
        <v>1265</v>
      </c>
      <c r="G8578" s="9">
        <v>102734.39999999999</v>
      </c>
      <c r="H8578" s="8">
        <v>7642</v>
      </c>
    </row>
    <row r="8579" spans="2:8" x14ac:dyDescent="0.4">
      <c r="B8579" t="s">
        <v>7</v>
      </c>
      <c r="C8579" t="s">
        <v>1262</v>
      </c>
      <c r="D8579" s="7">
        <f>DATE(2009,2,13)</f>
        <v>39857</v>
      </c>
      <c r="E8579" s="8">
        <f t="shared" ref="E8579:E8642" si="139">YEAR(D8579)</f>
        <v>2009</v>
      </c>
      <c r="F8579" t="s">
        <v>1265</v>
      </c>
      <c r="G8579" s="9">
        <v>102734.39999999999</v>
      </c>
      <c r="H8579" s="8">
        <v>8370</v>
      </c>
    </row>
    <row r="8580" spans="2:8" x14ac:dyDescent="0.4">
      <c r="B8580" t="s">
        <v>7</v>
      </c>
      <c r="C8580" t="s">
        <v>1262</v>
      </c>
      <c r="D8580" s="7">
        <f>DATE(2009,10,28)</f>
        <v>40114</v>
      </c>
      <c r="E8580" s="8">
        <f t="shared" si="139"/>
        <v>2009</v>
      </c>
      <c r="F8580" t="s">
        <v>1265</v>
      </c>
      <c r="G8580" s="9">
        <v>102158.83</v>
      </c>
      <c r="H8580" s="8">
        <v>8851</v>
      </c>
    </row>
    <row r="8581" spans="2:8" x14ac:dyDescent="0.4">
      <c r="B8581" t="s">
        <v>7</v>
      </c>
      <c r="C8581" t="s">
        <v>1262</v>
      </c>
      <c r="D8581" s="7">
        <f>DATE(2010,11,1)</f>
        <v>40483</v>
      </c>
      <c r="E8581" s="8">
        <f t="shared" si="139"/>
        <v>2010</v>
      </c>
      <c r="F8581" t="s">
        <v>1265</v>
      </c>
      <c r="G8581" s="9">
        <v>102072.03</v>
      </c>
      <c r="H8581" s="8">
        <v>10045</v>
      </c>
    </row>
    <row r="8582" spans="2:8" x14ac:dyDescent="0.4">
      <c r="B8582" t="s">
        <v>7</v>
      </c>
      <c r="C8582" t="s">
        <v>1262</v>
      </c>
      <c r="D8582" s="7">
        <f>DATE(2011,5,16)</f>
        <v>40679</v>
      </c>
      <c r="E8582" s="8">
        <f t="shared" si="139"/>
        <v>2011</v>
      </c>
      <c r="F8582" t="s">
        <v>1265</v>
      </c>
      <c r="G8582" s="9">
        <v>100679</v>
      </c>
      <c r="H8582" s="8">
        <v>10545</v>
      </c>
    </row>
    <row r="8583" spans="2:8" x14ac:dyDescent="0.4">
      <c r="B8583" t="s">
        <v>7</v>
      </c>
      <c r="C8583" t="s">
        <v>1262</v>
      </c>
      <c r="D8583" s="7">
        <f>DATE(2012,5,9)</f>
        <v>41038</v>
      </c>
      <c r="E8583" s="8">
        <f t="shared" si="139"/>
        <v>2012</v>
      </c>
      <c r="F8583" t="s">
        <v>1265</v>
      </c>
      <c r="G8583" s="9">
        <v>118547.8</v>
      </c>
      <c r="H8583" s="8">
        <v>11208</v>
      </c>
    </row>
    <row r="8584" spans="2:8" x14ac:dyDescent="0.4">
      <c r="B8584" t="s">
        <v>7</v>
      </c>
      <c r="C8584" t="s">
        <v>1262</v>
      </c>
      <c r="D8584" s="7">
        <f>DATE(2013,2,21)</f>
        <v>41326</v>
      </c>
      <c r="E8584" s="8">
        <f t="shared" si="139"/>
        <v>2013</v>
      </c>
      <c r="F8584" t="s">
        <v>1265</v>
      </c>
      <c r="G8584" s="9">
        <v>118000</v>
      </c>
      <c r="H8584" s="8">
        <v>11987</v>
      </c>
    </row>
    <row r="8585" spans="2:8" x14ac:dyDescent="0.4">
      <c r="B8585" t="s">
        <v>7</v>
      </c>
      <c r="C8585" t="s">
        <v>1262</v>
      </c>
      <c r="D8585" s="7">
        <f>DATE(2014,3,4)</f>
        <v>41702</v>
      </c>
      <c r="E8585" s="8">
        <f t="shared" si="139"/>
        <v>2014</v>
      </c>
      <c r="F8585" t="s">
        <v>1265</v>
      </c>
      <c r="G8585" s="9">
        <v>130000</v>
      </c>
      <c r="H8585" s="8">
        <v>12678</v>
      </c>
    </row>
    <row r="8586" spans="2:8" x14ac:dyDescent="0.4">
      <c r="B8586" t="s">
        <v>7</v>
      </c>
      <c r="C8586" t="s">
        <v>1262</v>
      </c>
      <c r="D8586" s="7">
        <f>DATE(2014,10,31)</f>
        <v>41943</v>
      </c>
      <c r="E8586" s="8">
        <f t="shared" si="139"/>
        <v>2014</v>
      </c>
      <c r="F8586" t="s">
        <v>1265</v>
      </c>
      <c r="G8586" s="9">
        <v>130000</v>
      </c>
      <c r="H8586" s="8">
        <v>12679</v>
      </c>
    </row>
    <row r="8587" spans="2:8" x14ac:dyDescent="0.4">
      <c r="B8587" t="s">
        <v>7</v>
      </c>
      <c r="C8587" t="s">
        <v>1262</v>
      </c>
      <c r="D8587" s="7">
        <f>DATE(2014,11,4)</f>
        <v>41947</v>
      </c>
      <c r="E8587" s="8">
        <f t="shared" si="139"/>
        <v>2014</v>
      </c>
      <c r="F8587" t="s">
        <v>1265</v>
      </c>
      <c r="G8587" s="9">
        <v>22486.240000000002</v>
      </c>
      <c r="H8587" s="8">
        <v>13565</v>
      </c>
    </row>
    <row r="8588" spans="2:8" x14ac:dyDescent="0.4">
      <c r="B8588" t="s">
        <v>7</v>
      </c>
      <c r="C8588" t="s">
        <v>1262</v>
      </c>
      <c r="D8588" s="7">
        <f>DATE(2012,8,29)</f>
        <v>41150</v>
      </c>
      <c r="E8588" s="8">
        <f t="shared" si="139"/>
        <v>2012</v>
      </c>
      <c r="F8588" t="s">
        <v>1265</v>
      </c>
      <c r="G8588" s="9">
        <v>10751</v>
      </c>
      <c r="H8588" s="8">
        <v>11820</v>
      </c>
    </row>
    <row r="8589" spans="2:8" x14ac:dyDescent="0.4">
      <c r="B8589" t="s">
        <v>7</v>
      </c>
      <c r="C8589" t="s">
        <v>1262</v>
      </c>
      <c r="D8589" s="7">
        <f>DATE(2013,5,31)</f>
        <v>41425</v>
      </c>
      <c r="E8589" s="8">
        <f t="shared" si="139"/>
        <v>2013</v>
      </c>
      <c r="F8589" t="s">
        <v>1265</v>
      </c>
      <c r="G8589" s="9">
        <v>6045.58</v>
      </c>
      <c r="H8589" s="8">
        <v>12473</v>
      </c>
    </row>
    <row r="8590" spans="2:8" x14ac:dyDescent="0.4">
      <c r="B8590" t="s">
        <v>7</v>
      </c>
      <c r="C8590" t="s">
        <v>1262</v>
      </c>
      <c r="D8590" s="7">
        <f>DATE(2014,1,21)</f>
        <v>41660</v>
      </c>
      <c r="E8590" s="8">
        <f t="shared" si="139"/>
        <v>2014</v>
      </c>
      <c r="F8590" t="s">
        <v>1265</v>
      </c>
      <c r="G8590" s="9">
        <v>16006.5</v>
      </c>
      <c r="H8590" s="8">
        <v>12863</v>
      </c>
    </row>
    <row r="8591" spans="2:8" x14ac:dyDescent="0.4">
      <c r="B8591" t="s">
        <v>16</v>
      </c>
      <c r="C8591" t="s">
        <v>1262</v>
      </c>
      <c r="D8591" s="7">
        <f>DATE(2005,10,31)</f>
        <v>38656</v>
      </c>
      <c r="E8591" s="8">
        <f t="shared" si="139"/>
        <v>2005</v>
      </c>
      <c r="F8591" t="s">
        <v>1265</v>
      </c>
      <c r="G8591" s="9">
        <v>4178.96</v>
      </c>
      <c r="H8591" s="8">
        <v>3955</v>
      </c>
    </row>
    <row r="8592" spans="2:8" x14ac:dyDescent="0.4">
      <c r="B8592" t="s">
        <v>16</v>
      </c>
      <c r="C8592" t="s">
        <v>1262</v>
      </c>
      <c r="D8592" s="7">
        <f>DATE(2005,10,31)</f>
        <v>38656</v>
      </c>
      <c r="E8592" s="8">
        <f t="shared" si="139"/>
        <v>2005</v>
      </c>
      <c r="F8592" t="s">
        <v>1265</v>
      </c>
      <c r="G8592" s="9">
        <v>59341.8</v>
      </c>
      <c r="H8592" s="8">
        <v>3957</v>
      </c>
    </row>
    <row r="8593" spans="2:8" x14ac:dyDescent="0.4">
      <c r="B8593" t="s">
        <v>16</v>
      </c>
      <c r="C8593" t="s">
        <v>1262</v>
      </c>
      <c r="D8593" s="7">
        <f>DATE(2006,4,26)</f>
        <v>38833</v>
      </c>
      <c r="E8593" s="8">
        <f t="shared" si="139"/>
        <v>2006</v>
      </c>
      <c r="F8593" t="s">
        <v>1265</v>
      </c>
      <c r="G8593" s="9">
        <v>10226.799999999999</v>
      </c>
      <c r="H8593" s="8">
        <v>4969</v>
      </c>
    </row>
    <row r="8594" spans="2:8" x14ac:dyDescent="0.4">
      <c r="B8594" t="s">
        <v>16</v>
      </c>
      <c r="C8594" t="s">
        <v>1262</v>
      </c>
      <c r="D8594" s="7">
        <f>DATE(2006,4,26)</f>
        <v>38833</v>
      </c>
      <c r="E8594" s="8">
        <f t="shared" si="139"/>
        <v>2006</v>
      </c>
      <c r="F8594" t="s">
        <v>1265</v>
      </c>
      <c r="G8594" s="9">
        <v>76253.570000000007</v>
      </c>
      <c r="H8594" s="8">
        <v>5040</v>
      </c>
    </row>
    <row r="8595" spans="2:8" x14ac:dyDescent="0.4">
      <c r="B8595" t="s">
        <v>16</v>
      </c>
      <c r="C8595" t="s">
        <v>1262</v>
      </c>
      <c r="D8595" s="7">
        <f>DATE(2009,2,13)</f>
        <v>39857</v>
      </c>
      <c r="E8595" s="8">
        <f t="shared" si="139"/>
        <v>2009</v>
      </c>
      <c r="F8595" t="s">
        <v>1265</v>
      </c>
      <c r="G8595" s="9">
        <v>102734.39999999999</v>
      </c>
      <c r="H8595" s="8">
        <v>8369</v>
      </c>
    </row>
    <row r="8596" spans="2:8" x14ac:dyDescent="0.4">
      <c r="B8596" s="3" t="s">
        <v>7</v>
      </c>
      <c r="C8596" s="3" t="s">
        <v>1262</v>
      </c>
      <c r="D8596" s="4">
        <f>DATE(2004,2,19)</f>
        <v>38036</v>
      </c>
      <c r="E8596" s="5">
        <f t="shared" si="139"/>
        <v>2004</v>
      </c>
      <c r="F8596" s="3" t="s">
        <v>1265</v>
      </c>
      <c r="G8596" s="6">
        <v>22396.5</v>
      </c>
      <c r="H8596" s="5">
        <v>2210</v>
      </c>
    </row>
    <row r="8597" spans="2:8" x14ac:dyDescent="0.4">
      <c r="B8597" s="3" t="s">
        <v>7</v>
      </c>
      <c r="C8597" s="3" t="s">
        <v>1262</v>
      </c>
      <c r="D8597" s="4">
        <f>DATE(2004,5,4)</f>
        <v>38111</v>
      </c>
      <c r="E8597" s="5">
        <f t="shared" si="139"/>
        <v>2004</v>
      </c>
      <c r="F8597" s="3" t="s">
        <v>1265</v>
      </c>
      <c r="G8597" s="6">
        <v>3861</v>
      </c>
      <c r="H8597" s="5">
        <v>2669</v>
      </c>
    </row>
    <row r="8598" spans="2:8" x14ac:dyDescent="0.4">
      <c r="B8598" s="3" t="s">
        <v>7</v>
      </c>
      <c r="C8598" s="3" t="s">
        <v>1262</v>
      </c>
      <c r="D8598" s="4">
        <f>DATE(2004,6,21)</f>
        <v>38159</v>
      </c>
      <c r="E8598" s="5">
        <f t="shared" si="139"/>
        <v>2004</v>
      </c>
      <c r="F8598" s="3" t="s">
        <v>1265</v>
      </c>
      <c r="G8598" s="6">
        <v>2880</v>
      </c>
      <c r="H8598" s="5">
        <v>3024</v>
      </c>
    </row>
    <row r="8599" spans="2:8" x14ac:dyDescent="0.4">
      <c r="B8599" s="3" t="s">
        <v>7</v>
      </c>
      <c r="C8599" s="3" t="s">
        <v>1262</v>
      </c>
      <c r="D8599" s="4">
        <f>DATE(2004,9,28)</f>
        <v>38258</v>
      </c>
      <c r="E8599" s="5">
        <f t="shared" si="139"/>
        <v>2004</v>
      </c>
      <c r="F8599" s="3" t="s">
        <v>1265</v>
      </c>
      <c r="G8599" s="6">
        <v>22396.5</v>
      </c>
      <c r="H8599" s="5">
        <v>3403</v>
      </c>
    </row>
    <row r="8600" spans="2:8" x14ac:dyDescent="0.4">
      <c r="B8600" s="3" t="s">
        <v>7</v>
      </c>
      <c r="C8600" s="3" t="s">
        <v>1262</v>
      </c>
      <c r="D8600" s="4">
        <f>DATE(2005,4,5)</f>
        <v>38447</v>
      </c>
      <c r="E8600" s="5">
        <f t="shared" si="139"/>
        <v>2005</v>
      </c>
      <c r="F8600" s="3" t="s">
        <v>1265</v>
      </c>
      <c r="G8600" s="6">
        <v>5298.15</v>
      </c>
      <c r="H8600" s="5">
        <v>4496</v>
      </c>
    </row>
    <row r="8601" spans="2:8" x14ac:dyDescent="0.4">
      <c r="B8601" s="3" t="s">
        <v>7</v>
      </c>
      <c r="C8601" s="3" t="s">
        <v>1262</v>
      </c>
      <c r="D8601" s="4">
        <f>DATE(2005,5,26)</f>
        <v>38498</v>
      </c>
      <c r="E8601" s="5">
        <f t="shared" si="139"/>
        <v>2005</v>
      </c>
      <c r="F8601" s="3" t="s">
        <v>1265</v>
      </c>
      <c r="G8601" s="6">
        <v>1222.6500000000001</v>
      </c>
      <c r="H8601" s="5">
        <v>4804</v>
      </c>
    </row>
    <row r="8602" spans="2:8" x14ac:dyDescent="0.4">
      <c r="B8602" s="3" t="s">
        <v>7</v>
      </c>
      <c r="C8602" s="3" t="s">
        <v>1262</v>
      </c>
      <c r="D8602" s="4">
        <f>DATE(2005,9,30)</f>
        <v>38625</v>
      </c>
      <c r="E8602" s="5">
        <f t="shared" si="139"/>
        <v>2005</v>
      </c>
      <c r="F8602" s="3" t="s">
        <v>1265</v>
      </c>
      <c r="G8602" s="6">
        <v>23389.88</v>
      </c>
      <c r="H8602" s="5">
        <v>4904</v>
      </c>
    </row>
    <row r="8603" spans="2:8" x14ac:dyDescent="0.4">
      <c r="B8603" s="3" t="s">
        <v>7</v>
      </c>
      <c r="C8603" s="3" t="s">
        <v>1262</v>
      </c>
      <c r="D8603" s="4">
        <f>DATE(2006,2,14)</f>
        <v>38762</v>
      </c>
      <c r="E8603" s="5">
        <f t="shared" si="139"/>
        <v>2006</v>
      </c>
      <c r="F8603" s="3" t="s">
        <v>1265</v>
      </c>
      <c r="G8603" s="6">
        <v>6113.25</v>
      </c>
      <c r="H8603" s="5">
        <v>6025</v>
      </c>
    </row>
    <row r="8604" spans="2:8" x14ac:dyDescent="0.4">
      <c r="B8604" s="3" t="s">
        <v>7</v>
      </c>
      <c r="C8604" s="3" t="s">
        <v>1262</v>
      </c>
      <c r="D8604" s="4">
        <f>DATE(2006,3,27)</f>
        <v>38803</v>
      </c>
      <c r="E8604" s="5">
        <f t="shared" si="139"/>
        <v>2006</v>
      </c>
      <c r="F8604" s="3" t="s">
        <v>1265</v>
      </c>
      <c r="G8604" s="6">
        <v>23394.99</v>
      </c>
      <c r="H8604" s="5">
        <v>5986</v>
      </c>
    </row>
    <row r="8605" spans="2:8" x14ac:dyDescent="0.4">
      <c r="B8605" s="3" t="s">
        <v>7</v>
      </c>
      <c r="C8605" s="3" t="s">
        <v>1262</v>
      </c>
      <c r="D8605" s="4">
        <f>DATE(2006,12,11)</f>
        <v>39062</v>
      </c>
      <c r="E8605" s="5">
        <f t="shared" si="139"/>
        <v>2006</v>
      </c>
      <c r="F8605" s="3" t="s">
        <v>1265</v>
      </c>
      <c r="G8605" s="6">
        <v>5501.93</v>
      </c>
      <c r="H8605" s="5">
        <v>7636</v>
      </c>
    </row>
    <row r="8606" spans="2:8" x14ac:dyDescent="0.4">
      <c r="B8606" s="3" t="s">
        <v>7</v>
      </c>
      <c r="C8606" s="3" t="s">
        <v>1262</v>
      </c>
      <c r="D8606" s="4">
        <f>DATE(2007,4,12)</f>
        <v>39184</v>
      </c>
      <c r="E8606" s="5">
        <f t="shared" si="139"/>
        <v>2007</v>
      </c>
      <c r="F8606" s="3" t="s">
        <v>1265</v>
      </c>
      <c r="G8606" s="6">
        <v>187.7</v>
      </c>
      <c r="H8606" s="5">
        <v>8269</v>
      </c>
    </row>
    <row r="8607" spans="2:8" x14ac:dyDescent="0.4">
      <c r="B8607" s="3" t="s">
        <v>7</v>
      </c>
      <c r="C8607" s="3" t="s">
        <v>1262</v>
      </c>
      <c r="D8607" s="4">
        <f>DATE(2007,5,1)</f>
        <v>39203</v>
      </c>
      <c r="E8607" s="5">
        <f t="shared" si="139"/>
        <v>2007</v>
      </c>
      <c r="F8607" s="3" t="s">
        <v>1265</v>
      </c>
      <c r="G8607" s="6">
        <v>23413.11</v>
      </c>
      <c r="H8607" s="5">
        <v>7824</v>
      </c>
    </row>
    <row r="8608" spans="2:8" x14ac:dyDescent="0.4">
      <c r="B8608" s="3" t="s">
        <v>7</v>
      </c>
      <c r="C8608" s="3" t="s">
        <v>1262</v>
      </c>
      <c r="D8608" s="4">
        <f>DATE(2007,8,22)</f>
        <v>39316</v>
      </c>
      <c r="E8608" s="5">
        <f t="shared" si="139"/>
        <v>2007</v>
      </c>
      <c r="F8608" s="3" t="s">
        <v>1265</v>
      </c>
      <c r="G8608" s="6">
        <v>1630.2</v>
      </c>
      <c r="H8608" s="5">
        <v>9064</v>
      </c>
    </row>
    <row r="8609" spans="2:8" x14ac:dyDescent="0.4">
      <c r="B8609" s="3" t="s">
        <v>7</v>
      </c>
      <c r="C8609" s="3" t="s">
        <v>1262</v>
      </c>
      <c r="D8609" s="4">
        <f>DATE(2008,1,24)</f>
        <v>39471</v>
      </c>
      <c r="E8609" s="5">
        <f t="shared" si="139"/>
        <v>2008</v>
      </c>
      <c r="F8609" s="3" t="s">
        <v>1265</v>
      </c>
      <c r="G8609" s="6">
        <v>5501.93</v>
      </c>
      <c r="H8609" s="5">
        <v>9794</v>
      </c>
    </row>
    <row r="8610" spans="2:8" x14ac:dyDescent="0.4">
      <c r="B8610" s="3" t="s">
        <v>7</v>
      </c>
      <c r="C8610" s="3" t="s">
        <v>1262</v>
      </c>
      <c r="D8610" s="4">
        <f>DATE(2008,2,13)</f>
        <v>39491</v>
      </c>
      <c r="E8610" s="5">
        <f t="shared" si="139"/>
        <v>2008</v>
      </c>
      <c r="F8610" s="3" t="s">
        <v>1265</v>
      </c>
      <c r="G8610" s="6">
        <v>23433.75</v>
      </c>
      <c r="H8610" s="5">
        <v>9524</v>
      </c>
    </row>
    <row r="8611" spans="2:8" x14ac:dyDescent="0.4">
      <c r="B8611" s="3" t="s">
        <v>7</v>
      </c>
      <c r="C8611" s="3" t="s">
        <v>1262</v>
      </c>
      <c r="D8611" s="4">
        <f>DATE(2008,2,27)</f>
        <v>39505</v>
      </c>
      <c r="E8611" s="5">
        <f t="shared" si="139"/>
        <v>2008</v>
      </c>
      <c r="F8611" s="3" t="s">
        <v>1265</v>
      </c>
      <c r="G8611" s="6">
        <v>4686.83</v>
      </c>
      <c r="H8611" s="5">
        <v>10057</v>
      </c>
    </row>
    <row r="8612" spans="2:8" x14ac:dyDescent="0.4">
      <c r="B8612" s="3" t="s">
        <v>7</v>
      </c>
      <c r="C8612" s="3" t="s">
        <v>1262</v>
      </c>
      <c r="D8612" s="4">
        <f>DATE(2008,4,18)</f>
        <v>39556</v>
      </c>
      <c r="E8612" s="5">
        <f t="shared" si="139"/>
        <v>2008</v>
      </c>
      <c r="F8612" s="3" t="s">
        <v>1265</v>
      </c>
      <c r="G8612" s="6">
        <v>8151</v>
      </c>
      <c r="H8612" s="5">
        <v>10497</v>
      </c>
    </row>
    <row r="8613" spans="2:8" x14ac:dyDescent="0.4">
      <c r="B8613" s="3" t="s">
        <v>7</v>
      </c>
      <c r="C8613" s="3" t="s">
        <v>1262</v>
      </c>
      <c r="D8613" s="4">
        <f>DATE(2009,6,4)</f>
        <v>39968</v>
      </c>
      <c r="E8613" s="5">
        <f t="shared" si="139"/>
        <v>2009</v>
      </c>
      <c r="F8613" s="3" t="s">
        <v>1265</v>
      </c>
      <c r="G8613" s="6">
        <v>13163.2</v>
      </c>
      <c r="H8613" s="5">
        <v>12643</v>
      </c>
    </row>
    <row r="8614" spans="2:8" x14ac:dyDescent="0.4">
      <c r="B8614" s="3" t="s">
        <v>7</v>
      </c>
      <c r="C8614" s="3" t="s">
        <v>1262</v>
      </c>
      <c r="D8614" s="4">
        <f>DATE(2009,9,8)</f>
        <v>40064</v>
      </c>
      <c r="E8614" s="5">
        <f t="shared" si="139"/>
        <v>2009</v>
      </c>
      <c r="F8614" s="3" t="s">
        <v>1265</v>
      </c>
      <c r="G8614" s="6">
        <v>43272.94</v>
      </c>
      <c r="H8614" s="5">
        <v>12779</v>
      </c>
    </row>
    <row r="8615" spans="2:8" x14ac:dyDescent="0.4">
      <c r="B8615" s="3" t="s">
        <v>7</v>
      </c>
      <c r="C8615" s="3" t="s">
        <v>1262</v>
      </c>
      <c r="D8615" s="4">
        <f>DATE(2010,9,13)</f>
        <v>40434</v>
      </c>
      <c r="E8615" s="5">
        <f t="shared" si="139"/>
        <v>2010</v>
      </c>
      <c r="F8615" s="3" t="s">
        <v>1265</v>
      </c>
      <c r="G8615" s="6">
        <v>1604.28</v>
      </c>
      <c r="H8615" s="5">
        <v>14490</v>
      </c>
    </row>
    <row r="8616" spans="2:8" x14ac:dyDescent="0.4">
      <c r="B8616" s="3" t="s">
        <v>7</v>
      </c>
      <c r="C8616" s="3" t="s">
        <v>1262</v>
      </c>
      <c r="D8616" s="4">
        <f>DATE(2011,2,9)</f>
        <v>40583</v>
      </c>
      <c r="E8616" s="5">
        <f t="shared" si="139"/>
        <v>2011</v>
      </c>
      <c r="F8616" s="3" t="s">
        <v>1265</v>
      </c>
      <c r="G8616" s="6">
        <v>2056.75</v>
      </c>
      <c r="H8616" s="5">
        <v>15043</v>
      </c>
    </row>
    <row r="8617" spans="2:8" x14ac:dyDescent="0.4">
      <c r="B8617" s="3" t="s">
        <v>7</v>
      </c>
      <c r="C8617" s="3" t="s">
        <v>1262</v>
      </c>
      <c r="D8617" s="4">
        <f>DATE(2011,5,17)</f>
        <v>40680</v>
      </c>
      <c r="E8617" s="5">
        <f t="shared" si="139"/>
        <v>2011</v>
      </c>
      <c r="F8617" s="3" t="s">
        <v>1265</v>
      </c>
      <c r="G8617" s="6">
        <v>222.55</v>
      </c>
      <c r="H8617" s="5">
        <v>15524</v>
      </c>
    </row>
    <row r="8618" spans="2:8" x14ac:dyDescent="0.4">
      <c r="B8618" s="3" t="s">
        <v>7</v>
      </c>
      <c r="C8618" s="3" t="s">
        <v>1262</v>
      </c>
      <c r="D8618" s="4">
        <f>DATE(2011,5,17)</f>
        <v>40680</v>
      </c>
      <c r="E8618" s="5">
        <f t="shared" si="139"/>
        <v>2011</v>
      </c>
      <c r="F8618" s="3" t="s">
        <v>1265</v>
      </c>
      <c r="G8618" s="6">
        <v>1049.97</v>
      </c>
      <c r="H8618" s="5">
        <v>15350</v>
      </c>
    </row>
    <row r="8619" spans="2:8" x14ac:dyDescent="0.4">
      <c r="B8619" s="3" t="s">
        <v>7</v>
      </c>
      <c r="C8619" s="3" t="s">
        <v>1262</v>
      </c>
      <c r="D8619" s="4">
        <f>DATE(2012,3,12)</f>
        <v>40980</v>
      </c>
      <c r="E8619" s="5">
        <f t="shared" si="139"/>
        <v>2012</v>
      </c>
      <c r="F8619" s="3" t="s">
        <v>1265</v>
      </c>
      <c r="G8619" s="6">
        <v>2913.98</v>
      </c>
      <c r="H8619" s="5">
        <v>16728</v>
      </c>
    </row>
    <row r="8620" spans="2:8" x14ac:dyDescent="0.4">
      <c r="B8620" s="3" t="s">
        <v>7</v>
      </c>
      <c r="C8620" s="3" t="s">
        <v>1262</v>
      </c>
      <c r="D8620" s="4">
        <f>DATE(2012,3,26)</f>
        <v>40994</v>
      </c>
      <c r="E8620" s="5">
        <f t="shared" si="139"/>
        <v>2012</v>
      </c>
      <c r="F8620" s="3" t="s">
        <v>1265</v>
      </c>
      <c r="G8620" s="6">
        <v>5298.15</v>
      </c>
      <c r="H8620" s="5">
        <v>16818</v>
      </c>
    </row>
    <row r="8621" spans="2:8" x14ac:dyDescent="0.4">
      <c r="B8621" s="3" t="s">
        <v>7</v>
      </c>
      <c r="C8621" s="3" t="s">
        <v>1262</v>
      </c>
      <c r="D8621" s="4">
        <f>DATE(2012,5,17)</f>
        <v>41046</v>
      </c>
      <c r="E8621" s="5">
        <f t="shared" si="139"/>
        <v>2012</v>
      </c>
      <c r="F8621" s="3" t="s">
        <v>1265</v>
      </c>
      <c r="G8621" s="6">
        <v>5298.15</v>
      </c>
      <c r="H8621" s="5">
        <v>17143</v>
      </c>
    </row>
    <row r="8622" spans="2:8" x14ac:dyDescent="0.4">
      <c r="B8622" s="3" t="s">
        <v>7</v>
      </c>
      <c r="C8622" s="3" t="s">
        <v>1262</v>
      </c>
      <c r="D8622" s="4">
        <f>DATE(2012,6,4)</f>
        <v>41064</v>
      </c>
      <c r="E8622" s="5">
        <f t="shared" si="139"/>
        <v>2012</v>
      </c>
      <c r="F8622" s="3" t="s">
        <v>1265</v>
      </c>
      <c r="G8622" s="6">
        <v>1206.3499999999999</v>
      </c>
      <c r="H8622" s="5">
        <v>17216</v>
      </c>
    </row>
    <row r="8623" spans="2:8" x14ac:dyDescent="0.4">
      <c r="B8623" s="3" t="s">
        <v>7</v>
      </c>
      <c r="C8623" s="3" t="s">
        <v>1262</v>
      </c>
      <c r="D8623" s="4">
        <f>DATE(2012,10,25)</f>
        <v>41207</v>
      </c>
      <c r="E8623" s="5">
        <f t="shared" si="139"/>
        <v>2012</v>
      </c>
      <c r="F8623" s="3" t="s">
        <v>1265</v>
      </c>
      <c r="G8623" s="6">
        <v>815.1</v>
      </c>
      <c r="H8623" s="5">
        <v>17765</v>
      </c>
    </row>
    <row r="8624" spans="2:8" x14ac:dyDescent="0.4">
      <c r="B8624" s="3" t="s">
        <v>7</v>
      </c>
      <c r="C8624" s="3" t="s">
        <v>1262</v>
      </c>
      <c r="D8624" s="4">
        <f>DATE(2013,1,30)</f>
        <v>41304</v>
      </c>
      <c r="E8624" s="5">
        <f t="shared" si="139"/>
        <v>2013</v>
      </c>
      <c r="F8624" s="3" t="s">
        <v>1265</v>
      </c>
      <c r="G8624" s="6">
        <v>5310.5</v>
      </c>
      <c r="H8624" s="5">
        <v>18032</v>
      </c>
    </row>
    <row r="8625" spans="2:8" x14ac:dyDescent="0.4">
      <c r="B8625" s="3" t="s">
        <v>7</v>
      </c>
      <c r="C8625" s="3" t="s">
        <v>1262</v>
      </c>
      <c r="D8625" s="4">
        <f>DATE(2013,4,15)</f>
        <v>41379</v>
      </c>
      <c r="E8625" s="5">
        <f t="shared" si="139"/>
        <v>2013</v>
      </c>
      <c r="F8625" s="3" t="s">
        <v>1265</v>
      </c>
      <c r="G8625" s="6">
        <v>5106.26</v>
      </c>
      <c r="H8625" s="5">
        <v>18423</v>
      </c>
    </row>
    <row r="8626" spans="2:8" x14ac:dyDescent="0.4">
      <c r="B8626" s="3" t="s">
        <v>7</v>
      </c>
      <c r="C8626" s="3" t="s">
        <v>1262</v>
      </c>
      <c r="D8626" s="4">
        <f>DATE(2013,11,5)</f>
        <v>41583</v>
      </c>
      <c r="E8626" s="5">
        <f t="shared" si="139"/>
        <v>2013</v>
      </c>
      <c r="F8626" s="3" t="s">
        <v>1265</v>
      </c>
      <c r="G8626" s="6">
        <v>1225.5</v>
      </c>
      <c r="H8626" s="5">
        <v>19171</v>
      </c>
    </row>
    <row r="8627" spans="2:8" x14ac:dyDescent="0.4">
      <c r="B8627" s="3" t="s">
        <v>7</v>
      </c>
      <c r="C8627" s="3" t="s">
        <v>1262</v>
      </c>
      <c r="D8627" s="4">
        <f>DATE(2014,2,6)</f>
        <v>41676</v>
      </c>
      <c r="E8627" s="5">
        <f t="shared" si="139"/>
        <v>2014</v>
      </c>
      <c r="F8627" s="3" t="s">
        <v>1265</v>
      </c>
      <c r="G8627" s="6">
        <v>5310.5</v>
      </c>
      <c r="H8627" s="5">
        <v>19476</v>
      </c>
    </row>
    <row r="8628" spans="2:8" x14ac:dyDescent="0.4">
      <c r="B8628" s="3" t="s">
        <v>7</v>
      </c>
      <c r="C8628" s="3" t="s">
        <v>1262</v>
      </c>
      <c r="D8628" s="4">
        <f>DATE(2014,3,18)</f>
        <v>41716</v>
      </c>
      <c r="E8628" s="5">
        <f t="shared" si="139"/>
        <v>2014</v>
      </c>
      <c r="F8628" s="3" t="s">
        <v>1265</v>
      </c>
      <c r="G8628" s="6">
        <v>5719</v>
      </c>
      <c r="H8628" s="5">
        <v>19647</v>
      </c>
    </row>
    <row r="8629" spans="2:8" x14ac:dyDescent="0.4">
      <c r="B8629" s="3" t="s">
        <v>7</v>
      </c>
      <c r="C8629" s="3" t="s">
        <v>1262</v>
      </c>
      <c r="D8629" s="4">
        <f>DATE(2014,9,18)</f>
        <v>41900</v>
      </c>
      <c r="E8629" s="5">
        <f t="shared" si="139"/>
        <v>2014</v>
      </c>
      <c r="F8629" s="3" t="s">
        <v>1265</v>
      </c>
      <c r="G8629" s="6">
        <v>5006.88</v>
      </c>
      <c r="H8629" s="5">
        <v>20415</v>
      </c>
    </row>
    <row r="8630" spans="2:8" x14ac:dyDescent="0.4">
      <c r="B8630" s="3" t="s">
        <v>7</v>
      </c>
      <c r="C8630" s="3" t="s">
        <v>1262</v>
      </c>
      <c r="D8630" s="4">
        <f>DATE(2014,11,11)</f>
        <v>41954</v>
      </c>
      <c r="E8630" s="5">
        <f t="shared" si="139"/>
        <v>2014</v>
      </c>
      <c r="F8630" s="3" t="s">
        <v>1265</v>
      </c>
      <c r="G8630" s="6">
        <v>4924.8</v>
      </c>
      <c r="H8630" s="5">
        <v>20605</v>
      </c>
    </row>
    <row r="8631" spans="2:8" x14ac:dyDescent="0.4">
      <c r="B8631" s="3" t="s">
        <v>16</v>
      </c>
      <c r="C8631" s="3" t="s">
        <v>1262</v>
      </c>
      <c r="D8631" s="4">
        <f>DATE(2003,6,12)</f>
        <v>37784</v>
      </c>
      <c r="E8631" s="5">
        <f t="shared" si="139"/>
        <v>2003</v>
      </c>
      <c r="F8631" s="3" t="s">
        <v>1265</v>
      </c>
      <c r="G8631" s="6">
        <v>22.08</v>
      </c>
      <c r="H8631" s="5">
        <v>1227</v>
      </c>
    </row>
    <row r="8632" spans="2:8" x14ac:dyDescent="0.4">
      <c r="B8632" t="s">
        <v>7</v>
      </c>
      <c r="C8632" t="s">
        <v>1266</v>
      </c>
      <c r="D8632" s="7">
        <f>DATE(2003,3,18)</f>
        <v>37698</v>
      </c>
      <c r="E8632" s="8">
        <f t="shared" si="139"/>
        <v>2003</v>
      </c>
      <c r="F8632" t="s">
        <v>1267</v>
      </c>
      <c r="G8632" s="9">
        <v>1848.45</v>
      </c>
      <c r="H8632" s="8">
        <v>323</v>
      </c>
    </row>
    <row r="8633" spans="2:8" x14ac:dyDescent="0.4">
      <c r="B8633" t="s">
        <v>7</v>
      </c>
      <c r="C8633" t="s">
        <v>1266</v>
      </c>
      <c r="D8633" s="7">
        <f>DATE(2004,3,29)</f>
        <v>38075</v>
      </c>
      <c r="E8633" s="8">
        <f t="shared" si="139"/>
        <v>2004</v>
      </c>
      <c r="F8633" t="s">
        <v>1267</v>
      </c>
      <c r="G8633" s="9">
        <v>1804.35</v>
      </c>
      <c r="H8633" s="8">
        <v>1592</v>
      </c>
    </row>
    <row r="8634" spans="2:8" x14ac:dyDescent="0.4">
      <c r="B8634" t="s">
        <v>7</v>
      </c>
      <c r="C8634" t="s">
        <v>1266</v>
      </c>
      <c r="D8634" s="7">
        <f>DATE(2005,3,29)</f>
        <v>38440</v>
      </c>
      <c r="E8634" s="8">
        <f t="shared" si="139"/>
        <v>2005</v>
      </c>
      <c r="F8634" t="s">
        <v>1267</v>
      </c>
      <c r="G8634" s="9">
        <v>13239.63</v>
      </c>
      <c r="H8634" s="8">
        <v>2736</v>
      </c>
    </row>
    <row r="8635" spans="2:8" x14ac:dyDescent="0.4">
      <c r="B8635" t="s">
        <v>7</v>
      </c>
      <c r="C8635" t="s">
        <v>1266</v>
      </c>
      <c r="D8635" s="7">
        <f>DATE(2005,5,31)</f>
        <v>38503</v>
      </c>
      <c r="E8635" s="8">
        <f t="shared" si="139"/>
        <v>2005</v>
      </c>
      <c r="F8635" t="s">
        <v>1267</v>
      </c>
      <c r="G8635" s="9">
        <v>12743.59</v>
      </c>
      <c r="H8635" s="8">
        <v>3134</v>
      </c>
    </row>
    <row r="8636" spans="2:8" x14ac:dyDescent="0.4">
      <c r="B8636" t="s">
        <v>7</v>
      </c>
      <c r="C8636" t="s">
        <v>1266</v>
      </c>
      <c r="D8636" s="7">
        <f>DATE(2005,9,29)</f>
        <v>38624</v>
      </c>
      <c r="E8636" s="8">
        <f t="shared" si="139"/>
        <v>2005</v>
      </c>
      <c r="F8636" t="s">
        <v>1267</v>
      </c>
      <c r="G8636" s="9">
        <v>1745</v>
      </c>
      <c r="H8636" s="8">
        <v>3613</v>
      </c>
    </row>
    <row r="8637" spans="2:8" x14ac:dyDescent="0.4">
      <c r="B8637" t="s">
        <v>7</v>
      </c>
      <c r="C8637" t="s">
        <v>1266</v>
      </c>
      <c r="D8637" s="7">
        <f>DATE(2005,10,27)</f>
        <v>38652</v>
      </c>
      <c r="E8637" s="8">
        <f t="shared" si="139"/>
        <v>2005</v>
      </c>
      <c r="F8637" t="s">
        <v>1267</v>
      </c>
      <c r="G8637" s="9">
        <v>1980.95</v>
      </c>
      <c r="H8637" s="8">
        <v>3714</v>
      </c>
    </row>
    <row r="8638" spans="2:8" x14ac:dyDescent="0.4">
      <c r="B8638" t="s">
        <v>7</v>
      </c>
      <c r="C8638" t="s">
        <v>1266</v>
      </c>
      <c r="D8638" s="7">
        <f>DATE(2008,2,5)</f>
        <v>39483</v>
      </c>
      <c r="E8638" s="8">
        <f t="shared" si="139"/>
        <v>2008</v>
      </c>
      <c r="F8638" t="s">
        <v>1267</v>
      </c>
      <c r="G8638" s="9">
        <v>2172.5500000000002</v>
      </c>
      <c r="H8638" s="8">
        <v>6927</v>
      </c>
    </row>
    <row r="8639" spans="2:8" x14ac:dyDescent="0.4">
      <c r="B8639" t="s">
        <v>7</v>
      </c>
      <c r="C8639" t="s">
        <v>1266</v>
      </c>
      <c r="D8639" s="7">
        <f>DATE(2008,10,9)</f>
        <v>39730</v>
      </c>
      <c r="E8639" s="8">
        <f t="shared" si="139"/>
        <v>2008</v>
      </c>
      <c r="F8639" t="s">
        <v>1267</v>
      </c>
      <c r="G8639" s="9">
        <v>2989.31</v>
      </c>
      <c r="H8639" s="8">
        <v>7927</v>
      </c>
    </row>
    <row r="8640" spans="2:8" x14ac:dyDescent="0.4">
      <c r="B8640" t="s">
        <v>7</v>
      </c>
      <c r="C8640" t="s">
        <v>1266</v>
      </c>
      <c r="D8640" s="7">
        <f>DATE(2008,10,28)</f>
        <v>39749</v>
      </c>
      <c r="E8640" s="8">
        <f t="shared" si="139"/>
        <v>2008</v>
      </c>
      <c r="F8640" t="s">
        <v>1267</v>
      </c>
      <c r="G8640" s="9">
        <v>8144.83</v>
      </c>
      <c r="H8640" s="8">
        <v>7940</v>
      </c>
    </row>
    <row r="8641" spans="2:8" x14ac:dyDescent="0.4">
      <c r="B8641" t="s">
        <v>7</v>
      </c>
      <c r="C8641" t="s">
        <v>1266</v>
      </c>
      <c r="D8641" s="7">
        <f>DATE(2008,10,29)</f>
        <v>39750</v>
      </c>
      <c r="E8641" s="8">
        <f t="shared" si="139"/>
        <v>2008</v>
      </c>
      <c r="F8641" t="s">
        <v>1267</v>
      </c>
      <c r="G8641" s="9">
        <v>9436.15</v>
      </c>
      <c r="H8641" s="8">
        <v>7775</v>
      </c>
    </row>
    <row r="8642" spans="2:8" x14ac:dyDescent="0.4">
      <c r="B8642" t="s">
        <v>7</v>
      </c>
      <c r="C8642" t="s">
        <v>1266</v>
      </c>
      <c r="D8642" s="7">
        <f>DATE(2008,11,3)</f>
        <v>39755</v>
      </c>
      <c r="E8642" s="8">
        <f t="shared" si="139"/>
        <v>2008</v>
      </c>
      <c r="F8642" t="s">
        <v>1267</v>
      </c>
      <c r="G8642" s="9">
        <v>14831.15</v>
      </c>
      <c r="H8642" s="8">
        <v>8005</v>
      </c>
    </row>
    <row r="8643" spans="2:8" x14ac:dyDescent="0.4">
      <c r="B8643" t="s">
        <v>7</v>
      </c>
      <c r="C8643" t="s">
        <v>1266</v>
      </c>
      <c r="D8643" s="7">
        <f>DATE(2008,10,31)</f>
        <v>39752</v>
      </c>
      <c r="E8643" s="8">
        <f t="shared" ref="E8643:E8706" si="140">YEAR(D8643)</f>
        <v>2008</v>
      </c>
      <c r="F8643" t="s">
        <v>1267</v>
      </c>
      <c r="G8643" s="9">
        <v>19281.5</v>
      </c>
      <c r="H8643" s="8">
        <v>7958</v>
      </c>
    </row>
    <row r="8644" spans="2:8" x14ac:dyDescent="0.4">
      <c r="B8644" t="s">
        <v>7</v>
      </c>
      <c r="C8644" t="s">
        <v>1266</v>
      </c>
      <c r="D8644" s="7">
        <f>DATE(2008,11,1)</f>
        <v>39753</v>
      </c>
      <c r="E8644" s="8">
        <f t="shared" si="140"/>
        <v>2008</v>
      </c>
      <c r="F8644" t="s">
        <v>1267</v>
      </c>
      <c r="G8644" s="9">
        <v>6325.94</v>
      </c>
      <c r="H8644" s="8">
        <v>7961</v>
      </c>
    </row>
    <row r="8645" spans="2:8" x14ac:dyDescent="0.4">
      <c r="B8645" t="s">
        <v>7</v>
      </c>
      <c r="C8645" t="s">
        <v>1266</v>
      </c>
      <c r="D8645" s="7">
        <f>DATE(2008,11,9)</f>
        <v>39761</v>
      </c>
      <c r="E8645" s="8">
        <f t="shared" si="140"/>
        <v>2008</v>
      </c>
      <c r="F8645" t="s">
        <v>1267</v>
      </c>
      <c r="G8645" s="9">
        <v>2650.98</v>
      </c>
      <c r="H8645" s="8">
        <v>8035</v>
      </c>
    </row>
    <row r="8646" spans="2:8" x14ac:dyDescent="0.4">
      <c r="B8646" t="s">
        <v>7</v>
      </c>
      <c r="C8646" t="s">
        <v>1266</v>
      </c>
      <c r="D8646" s="7">
        <f>DATE(2008,11,4)</f>
        <v>39756</v>
      </c>
      <c r="E8646" s="8">
        <f t="shared" si="140"/>
        <v>2008</v>
      </c>
      <c r="F8646" t="s">
        <v>1267</v>
      </c>
      <c r="G8646" s="9">
        <v>10217.219999999999</v>
      </c>
      <c r="H8646" s="8">
        <v>8021</v>
      </c>
    </row>
    <row r="8647" spans="2:8" x14ac:dyDescent="0.4">
      <c r="B8647" t="s">
        <v>7</v>
      </c>
      <c r="C8647" t="s">
        <v>1266</v>
      </c>
      <c r="D8647" s="7">
        <f>DATE(2008,11,4)</f>
        <v>39756</v>
      </c>
      <c r="E8647" s="8">
        <f t="shared" si="140"/>
        <v>2008</v>
      </c>
      <c r="F8647" t="s">
        <v>1267</v>
      </c>
      <c r="G8647" s="9">
        <v>90892.479999999996</v>
      </c>
      <c r="H8647" s="8">
        <v>8004</v>
      </c>
    </row>
    <row r="8648" spans="2:8" x14ac:dyDescent="0.4">
      <c r="B8648" s="3" t="s">
        <v>7</v>
      </c>
      <c r="C8648" s="3" t="s">
        <v>1266</v>
      </c>
      <c r="D8648" s="4">
        <f>DATE(2004,2,27)</f>
        <v>38044</v>
      </c>
      <c r="E8648" s="5">
        <f t="shared" si="140"/>
        <v>2004</v>
      </c>
      <c r="F8648" s="3" t="s">
        <v>1267</v>
      </c>
      <c r="G8648" s="6">
        <v>660.4</v>
      </c>
      <c r="H8648" s="5">
        <v>2118</v>
      </c>
    </row>
    <row r="8649" spans="2:8" x14ac:dyDescent="0.4">
      <c r="B8649" s="3" t="s">
        <v>7</v>
      </c>
      <c r="C8649" s="3" t="s">
        <v>1266</v>
      </c>
      <c r="D8649" s="4">
        <f>DATE(2009,9,3)</f>
        <v>40059</v>
      </c>
      <c r="E8649" s="5">
        <f t="shared" si="140"/>
        <v>2009</v>
      </c>
      <c r="F8649" s="3" t="s">
        <v>1267</v>
      </c>
      <c r="G8649" s="6">
        <v>523.9</v>
      </c>
      <c r="H8649" s="5">
        <v>12974</v>
      </c>
    </row>
    <row r="8650" spans="2:8" x14ac:dyDescent="0.4">
      <c r="B8650" s="3" t="s">
        <v>7</v>
      </c>
      <c r="C8650" s="3" t="s">
        <v>1268</v>
      </c>
      <c r="D8650" s="4">
        <f>DATE(2009,3,3)</f>
        <v>39875</v>
      </c>
      <c r="E8650" s="5">
        <f t="shared" si="140"/>
        <v>2009</v>
      </c>
      <c r="F8650" s="3" t="s">
        <v>1269</v>
      </c>
      <c r="G8650" s="6">
        <v>237.32</v>
      </c>
      <c r="H8650" s="5">
        <v>3289</v>
      </c>
    </row>
    <row r="8651" spans="2:8" x14ac:dyDescent="0.4">
      <c r="B8651" s="3" t="s">
        <v>7</v>
      </c>
      <c r="C8651" s="3" t="s">
        <v>1268</v>
      </c>
      <c r="D8651" s="4">
        <f>DATE(2009,4,2)</f>
        <v>39905</v>
      </c>
      <c r="E8651" s="5">
        <f t="shared" si="140"/>
        <v>2009</v>
      </c>
      <c r="F8651" s="3" t="s">
        <v>1269</v>
      </c>
      <c r="G8651" s="6">
        <v>195.3</v>
      </c>
      <c r="H8651" s="5">
        <v>12300</v>
      </c>
    </row>
    <row r="8652" spans="2:8" x14ac:dyDescent="0.4">
      <c r="B8652" s="3" t="s">
        <v>7</v>
      </c>
      <c r="C8652" s="3" t="s">
        <v>1268</v>
      </c>
      <c r="D8652" s="4">
        <f>DATE(2009,12,10)</f>
        <v>40157</v>
      </c>
      <c r="E8652" s="5">
        <f t="shared" si="140"/>
        <v>2009</v>
      </c>
      <c r="F8652" s="3" t="s">
        <v>1269</v>
      </c>
      <c r="G8652" s="6">
        <v>532.97</v>
      </c>
      <c r="H8652" s="5">
        <v>13347</v>
      </c>
    </row>
    <row r="8653" spans="2:8" x14ac:dyDescent="0.4">
      <c r="B8653" s="3" t="s">
        <v>7</v>
      </c>
      <c r="C8653" s="3" t="s">
        <v>1268</v>
      </c>
      <c r="D8653" s="4">
        <f>DATE(2014,11,3)</f>
        <v>41946</v>
      </c>
      <c r="E8653" s="5">
        <f t="shared" si="140"/>
        <v>2014</v>
      </c>
      <c r="F8653" s="3" t="s">
        <v>1269</v>
      </c>
      <c r="G8653" s="6">
        <v>947.5</v>
      </c>
      <c r="H8653" s="5">
        <v>20562</v>
      </c>
    </row>
    <row r="8654" spans="2:8" x14ac:dyDescent="0.4">
      <c r="B8654" s="3" t="s">
        <v>7</v>
      </c>
      <c r="C8654" s="3" t="s">
        <v>1268</v>
      </c>
      <c r="D8654" s="4">
        <f>DATE(2014,11,21)</f>
        <v>41964</v>
      </c>
      <c r="E8654" s="5">
        <f t="shared" si="140"/>
        <v>2014</v>
      </c>
      <c r="F8654" s="3" t="s">
        <v>1269</v>
      </c>
      <c r="G8654" s="6">
        <v>1134.8</v>
      </c>
      <c r="H8654" s="5">
        <v>20649</v>
      </c>
    </row>
    <row r="8655" spans="2:8" x14ac:dyDescent="0.4">
      <c r="B8655" t="s">
        <v>7</v>
      </c>
      <c r="C8655" t="s">
        <v>1270</v>
      </c>
      <c r="D8655" s="7">
        <f>DATE(2017,1,26)</f>
        <v>42761</v>
      </c>
      <c r="E8655" s="8">
        <f t="shared" si="140"/>
        <v>2017</v>
      </c>
      <c r="F8655" t="s">
        <v>1271</v>
      </c>
      <c r="G8655" s="9">
        <v>692</v>
      </c>
      <c r="H8655" s="8">
        <v>23953</v>
      </c>
    </row>
    <row r="8656" spans="2:8" x14ac:dyDescent="0.4">
      <c r="B8656" s="3" t="s">
        <v>7</v>
      </c>
      <c r="C8656" s="3" t="s">
        <v>1270</v>
      </c>
      <c r="D8656" s="4">
        <f>DATE(2009,4,30)</f>
        <v>39933</v>
      </c>
      <c r="E8656" s="5">
        <f t="shared" si="140"/>
        <v>2009</v>
      </c>
      <c r="F8656" s="3" t="s">
        <v>1271</v>
      </c>
      <c r="G8656" s="6">
        <v>24250</v>
      </c>
      <c r="H8656" s="5">
        <v>12354</v>
      </c>
    </row>
    <row r="8657" spans="2:8" x14ac:dyDescent="0.4">
      <c r="B8657" s="3" t="s">
        <v>7</v>
      </c>
      <c r="C8657" s="3" t="s">
        <v>1270</v>
      </c>
      <c r="D8657" s="4">
        <f>DATE(2009,8,7)</f>
        <v>40032</v>
      </c>
      <c r="E8657" s="5">
        <f t="shared" si="140"/>
        <v>2009</v>
      </c>
      <c r="F8657" s="3" t="s">
        <v>1271</v>
      </c>
      <c r="G8657" s="6">
        <v>692</v>
      </c>
      <c r="H8657" s="5">
        <v>12682</v>
      </c>
    </row>
    <row r="8658" spans="2:8" x14ac:dyDescent="0.4">
      <c r="B8658" s="3" t="s">
        <v>7</v>
      </c>
      <c r="C8658" s="3" t="s">
        <v>1270</v>
      </c>
      <c r="D8658" s="4">
        <f>DATE(2011,7,7)</f>
        <v>40731</v>
      </c>
      <c r="E8658" s="5">
        <f t="shared" si="140"/>
        <v>2011</v>
      </c>
      <c r="F8658" s="3" t="s">
        <v>1271</v>
      </c>
      <c r="G8658" s="6">
        <v>14336</v>
      </c>
      <c r="H8658" s="5">
        <v>15755</v>
      </c>
    </row>
    <row r="8659" spans="2:8" x14ac:dyDescent="0.4">
      <c r="B8659" t="s">
        <v>7</v>
      </c>
      <c r="C8659" t="s">
        <v>1272</v>
      </c>
      <c r="D8659" s="7">
        <f>DATE(2017,6,26)</f>
        <v>42912</v>
      </c>
      <c r="E8659" s="8">
        <f t="shared" si="140"/>
        <v>2017</v>
      </c>
      <c r="F8659" t="s">
        <v>1273</v>
      </c>
      <c r="G8659" s="9">
        <v>6636</v>
      </c>
      <c r="H8659" s="8">
        <v>25016</v>
      </c>
    </row>
    <row r="8660" spans="2:8" x14ac:dyDescent="0.4">
      <c r="B8660" t="s">
        <v>7</v>
      </c>
      <c r="C8660" t="s">
        <v>1274</v>
      </c>
      <c r="D8660" s="7">
        <f>DATE(2017,4,6)</f>
        <v>42831</v>
      </c>
      <c r="E8660" s="8">
        <f t="shared" si="140"/>
        <v>2017</v>
      </c>
      <c r="F8660" t="s">
        <v>1275</v>
      </c>
      <c r="G8660" s="9">
        <v>1133.77</v>
      </c>
      <c r="H8660" s="8">
        <v>24635</v>
      </c>
    </row>
    <row r="8661" spans="2:8" x14ac:dyDescent="0.4">
      <c r="B8661" t="s">
        <v>7</v>
      </c>
      <c r="C8661" t="s">
        <v>1274</v>
      </c>
      <c r="D8661" s="7">
        <f>DATE(2006,4,10)</f>
        <v>38817</v>
      </c>
      <c r="E8661" s="8">
        <f t="shared" si="140"/>
        <v>2006</v>
      </c>
      <c r="F8661" t="s">
        <v>1275</v>
      </c>
      <c r="G8661" s="9">
        <v>47534.66</v>
      </c>
      <c r="H8661" s="8">
        <v>4007</v>
      </c>
    </row>
    <row r="8662" spans="2:8" x14ac:dyDescent="0.4">
      <c r="B8662" t="s">
        <v>7</v>
      </c>
      <c r="C8662" t="s">
        <v>1274</v>
      </c>
      <c r="D8662" s="7">
        <f>DATE(2008,5,1)</f>
        <v>39569</v>
      </c>
      <c r="E8662" s="8">
        <f t="shared" si="140"/>
        <v>2008</v>
      </c>
      <c r="F8662" t="s">
        <v>1275</v>
      </c>
      <c r="G8662" s="9">
        <v>53326.93</v>
      </c>
      <c r="H8662" s="8">
        <v>7115</v>
      </c>
    </row>
    <row r="8663" spans="2:8" x14ac:dyDescent="0.4">
      <c r="B8663" t="s">
        <v>7</v>
      </c>
      <c r="C8663" t="s">
        <v>1274</v>
      </c>
      <c r="D8663" s="7">
        <f>DATE(2008,11,25)</f>
        <v>39777</v>
      </c>
      <c r="E8663" s="8">
        <f t="shared" si="140"/>
        <v>2008</v>
      </c>
      <c r="F8663" t="s">
        <v>1275</v>
      </c>
      <c r="G8663" s="9">
        <v>4000</v>
      </c>
      <c r="H8663" s="8">
        <v>7951</v>
      </c>
    </row>
    <row r="8664" spans="2:8" x14ac:dyDescent="0.4">
      <c r="B8664" t="s">
        <v>7</v>
      </c>
      <c r="C8664" t="s">
        <v>1274</v>
      </c>
      <c r="D8664" s="7">
        <f>DATE(2010,8,24)</f>
        <v>40414</v>
      </c>
      <c r="E8664" s="8">
        <f t="shared" si="140"/>
        <v>2010</v>
      </c>
      <c r="F8664" t="s">
        <v>1275</v>
      </c>
      <c r="G8664" s="9">
        <v>12439.61</v>
      </c>
      <c r="H8664" s="8">
        <v>10044</v>
      </c>
    </row>
    <row r="8665" spans="2:8" x14ac:dyDescent="0.4">
      <c r="B8665" s="3" t="s">
        <v>7</v>
      </c>
      <c r="C8665" s="3" t="s">
        <v>1274</v>
      </c>
      <c r="D8665" s="4">
        <f>DATE(2013,6,19)</f>
        <v>41444</v>
      </c>
      <c r="E8665" s="5">
        <f t="shared" si="140"/>
        <v>2013</v>
      </c>
      <c r="F8665" s="3" t="s">
        <v>1275</v>
      </c>
      <c r="G8665" s="6">
        <v>703.5</v>
      </c>
      <c r="H8665" s="5">
        <v>18698</v>
      </c>
    </row>
    <row r="8666" spans="2:8" x14ac:dyDescent="0.4">
      <c r="B8666" s="3" t="s">
        <v>7</v>
      </c>
      <c r="C8666" s="3" t="s">
        <v>1274</v>
      </c>
      <c r="D8666" s="4">
        <f>DATE(2013,6,19)</f>
        <v>41444</v>
      </c>
      <c r="E8666" s="5">
        <f t="shared" si="140"/>
        <v>2013</v>
      </c>
      <c r="F8666" s="3" t="s">
        <v>1275</v>
      </c>
      <c r="G8666" s="6">
        <v>469</v>
      </c>
      <c r="H8666" s="5">
        <v>18690</v>
      </c>
    </row>
    <row r="8667" spans="2:8" x14ac:dyDescent="0.4">
      <c r="B8667" s="3" t="s">
        <v>7</v>
      </c>
      <c r="C8667" s="3" t="s">
        <v>1274</v>
      </c>
      <c r="D8667" s="4">
        <f>DATE(2013,7,18)</f>
        <v>41473</v>
      </c>
      <c r="E8667" s="5">
        <f t="shared" si="140"/>
        <v>2013</v>
      </c>
      <c r="F8667" s="3" t="s">
        <v>1275</v>
      </c>
      <c r="G8667" s="6">
        <v>538</v>
      </c>
      <c r="H8667" s="5">
        <v>18739</v>
      </c>
    </row>
    <row r="8668" spans="2:8" x14ac:dyDescent="0.4">
      <c r="B8668" s="3" t="s">
        <v>7</v>
      </c>
      <c r="C8668" s="3" t="s">
        <v>1274</v>
      </c>
      <c r="D8668" s="4">
        <f>DATE(2014,3,21)</f>
        <v>41719</v>
      </c>
      <c r="E8668" s="5">
        <f t="shared" si="140"/>
        <v>2014</v>
      </c>
      <c r="F8668" s="3" t="s">
        <v>1275</v>
      </c>
      <c r="G8668" s="6">
        <v>539</v>
      </c>
      <c r="H8668" s="5">
        <v>19725</v>
      </c>
    </row>
    <row r="8669" spans="2:8" x14ac:dyDescent="0.4">
      <c r="B8669" t="s">
        <v>7</v>
      </c>
      <c r="C8669" t="s">
        <v>1276</v>
      </c>
      <c r="D8669" s="7">
        <f>DATE(2017,10,10)</f>
        <v>43018</v>
      </c>
      <c r="E8669" s="8">
        <f t="shared" si="140"/>
        <v>2017</v>
      </c>
      <c r="F8669" t="s">
        <v>1277</v>
      </c>
      <c r="G8669" s="9">
        <v>299.81</v>
      </c>
      <c r="H8669" s="8">
        <v>25704</v>
      </c>
    </row>
    <row r="8670" spans="2:8" x14ac:dyDescent="0.4">
      <c r="B8670" s="3" t="s">
        <v>7</v>
      </c>
      <c r="C8670" s="3" t="s">
        <v>1276</v>
      </c>
      <c r="D8670" s="4">
        <f>DATE(2013,11,29)</f>
        <v>41607</v>
      </c>
      <c r="E8670" s="5">
        <f t="shared" si="140"/>
        <v>2013</v>
      </c>
      <c r="F8670" s="3" t="s">
        <v>1277</v>
      </c>
      <c r="G8670" s="6">
        <v>256.08999999999997</v>
      </c>
      <c r="H8670" s="5">
        <v>19242</v>
      </c>
    </row>
    <row r="8671" spans="2:8" x14ac:dyDescent="0.4">
      <c r="B8671" s="3" t="s">
        <v>7</v>
      </c>
      <c r="C8671" s="3" t="s">
        <v>1276</v>
      </c>
      <c r="D8671" s="4">
        <f>DATE(2014,10,28)</f>
        <v>41940</v>
      </c>
      <c r="E8671" s="5">
        <f t="shared" si="140"/>
        <v>2014</v>
      </c>
      <c r="F8671" s="3" t="s">
        <v>1277</v>
      </c>
      <c r="G8671" s="6">
        <v>260.42</v>
      </c>
      <c r="H8671" s="5">
        <v>20571</v>
      </c>
    </row>
    <row r="8672" spans="2:8" x14ac:dyDescent="0.4">
      <c r="B8672" t="s">
        <v>7</v>
      </c>
      <c r="C8672" t="s">
        <v>1278</v>
      </c>
      <c r="D8672" s="7">
        <f>DATE(2013,11,6)</f>
        <v>41584</v>
      </c>
      <c r="E8672" s="8">
        <f t="shared" si="140"/>
        <v>2013</v>
      </c>
      <c r="F8672" t="s">
        <v>1279</v>
      </c>
      <c r="G8672" s="9">
        <v>4403.55</v>
      </c>
      <c r="H8672" s="8">
        <v>12769</v>
      </c>
    </row>
    <row r="8673" spans="2:8" x14ac:dyDescent="0.4">
      <c r="B8673" t="s">
        <v>7</v>
      </c>
      <c r="C8673" t="s">
        <v>1278</v>
      </c>
      <c r="D8673" s="7">
        <f>DATE(2015,11,10)</f>
        <v>42318</v>
      </c>
      <c r="E8673" s="8">
        <f t="shared" si="140"/>
        <v>2015</v>
      </c>
      <c r="F8673" t="s">
        <v>1280</v>
      </c>
      <c r="G8673" s="9">
        <v>10229.620000000001</v>
      </c>
      <c r="H8673" s="8">
        <v>21543</v>
      </c>
    </row>
    <row r="8674" spans="2:8" x14ac:dyDescent="0.4">
      <c r="B8674" t="s">
        <v>7</v>
      </c>
      <c r="C8674" t="s">
        <v>1278</v>
      </c>
      <c r="D8674" s="7">
        <f>DATE(2013,11,26)</f>
        <v>41604</v>
      </c>
      <c r="E8674" s="8">
        <f t="shared" si="140"/>
        <v>2013</v>
      </c>
      <c r="F8674" t="s">
        <v>1280</v>
      </c>
      <c r="G8674" s="9">
        <v>4580.76</v>
      </c>
      <c r="H8674" s="8">
        <v>12800</v>
      </c>
    </row>
    <row r="8675" spans="2:8" x14ac:dyDescent="0.4">
      <c r="B8675" t="s">
        <v>7</v>
      </c>
      <c r="C8675" t="s">
        <v>1281</v>
      </c>
      <c r="D8675" s="7">
        <f>DATE(2015,3,31)</f>
        <v>42094</v>
      </c>
      <c r="E8675" s="8">
        <f t="shared" si="140"/>
        <v>2015</v>
      </c>
      <c r="F8675" t="s">
        <v>1282</v>
      </c>
      <c r="G8675" s="9">
        <v>49179</v>
      </c>
      <c r="H8675" s="8">
        <v>120</v>
      </c>
    </row>
    <row r="8676" spans="2:8" x14ac:dyDescent="0.4">
      <c r="B8676" t="s">
        <v>7</v>
      </c>
      <c r="C8676" t="s">
        <v>1281</v>
      </c>
      <c r="D8676" s="7">
        <f>DATE(2015,4,28)</f>
        <v>42122</v>
      </c>
      <c r="E8676" s="8">
        <f t="shared" si="140"/>
        <v>2015</v>
      </c>
      <c r="F8676" t="s">
        <v>1282</v>
      </c>
      <c r="G8676" s="9">
        <v>46275</v>
      </c>
      <c r="H8676" s="8">
        <v>121</v>
      </c>
    </row>
    <row r="8677" spans="2:8" x14ac:dyDescent="0.4">
      <c r="B8677" t="s">
        <v>7</v>
      </c>
      <c r="C8677" t="s">
        <v>1281</v>
      </c>
      <c r="D8677" s="7">
        <f>DATE(2011,4,6)</f>
        <v>40639</v>
      </c>
      <c r="E8677" s="8">
        <f t="shared" si="140"/>
        <v>2011</v>
      </c>
      <c r="F8677" t="s">
        <v>1282</v>
      </c>
      <c r="G8677" s="9">
        <v>42275</v>
      </c>
      <c r="H8677" s="8">
        <v>10492</v>
      </c>
    </row>
    <row r="8678" spans="2:8" x14ac:dyDescent="0.4">
      <c r="B8678" t="s">
        <v>7</v>
      </c>
      <c r="C8678" t="s">
        <v>1281</v>
      </c>
      <c r="D8678" s="7">
        <f>DATE(2011,5,10)</f>
        <v>40673</v>
      </c>
      <c r="E8678" s="8">
        <f t="shared" si="140"/>
        <v>2011</v>
      </c>
      <c r="F8678" t="s">
        <v>1282</v>
      </c>
      <c r="G8678" s="9">
        <v>42275</v>
      </c>
      <c r="H8678" s="8">
        <v>10493</v>
      </c>
    </row>
    <row r="8679" spans="2:8" x14ac:dyDescent="0.4">
      <c r="B8679" t="s">
        <v>7</v>
      </c>
      <c r="C8679" t="s">
        <v>1281</v>
      </c>
      <c r="D8679" s="7">
        <f>DATE(2018,5,18)</f>
        <v>43238</v>
      </c>
      <c r="E8679" s="8">
        <f t="shared" si="140"/>
        <v>2018</v>
      </c>
      <c r="F8679" t="s">
        <v>1283</v>
      </c>
      <c r="G8679" s="9">
        <v>64691</v>
      </c>
      <c r="H8679" s="8">
        <v>26189</v>
      </c>
    </row>
    <row r="8680" spans="2:8" x14ac:dyDescent="0.4">
      <c r="B8680" t="s">
        <v>7</v>
      </c>
      <c r="C8680" t="s">
        <v>1284</v>
      </c>
      <c r="D8680" s="7">
        <f>DATE(2018,7,24)</f>
        <v>43305</v>
      </c>
      <c r="E8680" s="8">
        <f t="shared" si="140"/>
        <v>2018</v>
      </c>
      <c r="F8680" t="s">
        <v>1285</v>
      </c>
      <c r="G8680" s="9">
        <v>9207</v>
      </c>
      <c r="H8680" s="8">
        <v>27301</v>
      </c>
    </row>
    <row r="8681" spans="2:8" x14ac:dyDescent="0.4">
      <c r="B8681" t="s">
        <v>7</v>
      </c>
      <c r="C8681" t="s">
        <v>1284</v>
      </c>
      <c r="D8681" s="7">
        <f>DATE(2018,7,24)</f>
        <v>43305</v>
      </c>
      <c r="E8681" s="8">
        <f t="shared" si="140"/>
        <v>2018</v>
      </c>
      <c r="F8681" t="s">
        <v>1285</v>
      </c>
      <c r="G8681" s="9">
        <v>6554.17</v>
      </c>
      <c r="H8681" s="8">
        <v>27300</v>
      </c>
    </row>
    <row r="8682" spans="2:8" x14ac:dyDescent="0.4">
      <c r="B8682" s="3" t="s">
        <v>7</v>
      </c>
      <c r="C8682" s="3" t="s">
        <v>1219</v>
      </c>
      <c r="D8682" s="4">
        <f>DATE(2012,3,31)</f>
        <v>40999</v>
      </c>
      <c r="E8682" s="5">
        <f t="shared" si="140"/>
        <v>2012</v>
      </c>
      <c r="F8682" s="3" t="s">
        <v>1286</v>
      </c>
      <c r="G8682" s="6">
        <v>28393.46</v>
      </c>
      <c r="H8682" s="5">
        <v>4919</v>
      </c>
    </row>
    <row r="8683" spans="2:8" x14ac:dyDescent="0.4">
      <c r="B8683" s="3" t="s">
        <v>7</v>
      </c>
      <c r="C8683" s="3" t="s">
        <v>1219</v>
      </c>
      <c r="D8683" s="4">
        <f>DATE(2012,6,4)</f>
        <v>41064</v>
      </c>
      <c r="E8683" s="5">
        <f t="shared" si="140"/>
        <v>2012</v>
      </c>
      <c r="F8683" s="3" t="s">
        <v>1286</v>
      </c>
      <c r="G8683" s="6">
        <v>15000</v>
      </c>
      <c r="H8683" s="5">
        <v>5016</v>
      </c>
    </row>
    <row r="8684" spans="2:8" x14ac:dyDescent="0.4">
      <c r="B8684" s="3" t="s">
        <v>7</v>
      </c>
      <c r="C8684" s="3" t="s">
        <v>1219</v>
      </c>
      <c r="D8684" s="4">
        <f>DATE(2013,9,5)</f>
        <v>41522</v>
      </c>
      <c r="E8684" s="5">
        <f t="shared" si="140"/>
        <v>2013</v>
      </c>
      <c r="F8684" s="3" t="s">
        <v>1286</v>
      </c>
      <c r="G8684" s="6">
        <v>34995</v>
      </c>
      <c r="H8684" s="5">
        <v>5803</v>
      </c>
    </row>
    <row r="8685" spans="2:8" x14ac:dyDescent="0.4">
      <c r="B8685" s="3" t="s">
        <v>7</v>
      </c>
      <c r="C8685" s="3" t="s">
        <v>1219</v>
      </c>
      <c r="D8685" s="4">
        <f>DATE(2013,11,8)</f>
        <v>41586</v>
      </c>
      <c r="E8685" s="5">
        <f t="shared" si="140"/>
        <v>2013</v>
      </c>
      <c r="F8685" s="3" t="s">
        <v>1286</v>
      </c>
      <c r="G8685" s="6">
        <v>25375.43</v>
      </c>
      <c r="H8685" s="5">
        <v>5861</v>
      </c>
    </row>
    <row r="8686" spans="2:8" x14ac:dyDescent="0.4">
      <c r="B8686" s="3" t="s">
        <v>7</v>
      </c>
      <c r="C8686" s="3" t="s">
        <v>1219</v>
      </c>
      <c r="D8686" s="4">
        <f>DATE(2014,10,1)</f>
        <v>41913</v>
      </c>
      <c r="E8686" s="5">
        <f t="shared" si="140"/>
        <v>2014</v>
      </c>
      <c r="F8686" s="3" t="s">
        <v>1286</v>
      </c>
      <c r="G8686" s="6">
        <v>235621.22</v>
      </c>
      <c r="H8686" s="5">
        <v>6311</v>
      </c>
    </row>
    <row r="8687" spans="2:8" x14ac:dyDescent="0.4">
      <c r="B8687" s="3" t="s">
        <v>7</v>
      </c>
      <c r="C8687" s="3" t="s">
        <v>1219</v>
      </c>
      <c r="D8687" s="4">
        <f>DATE(2014,10,7)</f>
        <v>41919</v>
      </c>
      <c r="E8687" s="5">
        <f t="shared" si="140"/>
        <v>2014</v>
      </c>
      <c r="F8687" s="3" t="s">
        <v>1286</v>
      </c>
      <c r="G8687" s="6">
        <v>27557.66</v>
      </c>
      <c r="H8687" s="5">
        <v>6426</v>
      </c>
    </row>
    <row r="8688" spans="2:8" x14ac:dyDescent="0.4">
      <c r="B8688" s="3" t="s">
        <v>7</v>
      </c>
      <c r="C8688" s="3" t="s">
        <v>1219</v>
      </c>
      <c r="D8688" s="4">
        <f>DATE(2014,10,7)</f>
        <v>41919</v>
      </c>
      <c r="E8688" s="5">
        <f t="shared" si="140"/>
        <v>2014</v>
      </c>
      <c r="F8688" s="3" t="s">
        <v>1286</v>
      </c>
      <c r="G8688" s="6">
        <v>91190.17</v>
      </c>
      <c r="H8688" s="5">
        <v>6394</v>
      </c>
    </row>
    <row r="8689" spans="2:8" x14ac:dyDescent="0.4">
      <c r="B8689" s="3" t="s">
        <v>7</v>
      </c>
      <c r="C8689" s="3" t="s">
        <v>1219</v>
      </c>
      <c r="D8689" s="4">
        <f>DATE(2014,11,4)</f>
        <v>41947</v>
      </c>
      <c r="E8689" s="5">
        <f t="shared" si="140"/>
        <v>2014</v>
      </c>
      <c r="F8689" s="3" t="s">
        <v>1286</v>
      </c>
      <c r="G8689" s="6">
        <v>70624.14</v>
      </c>
      <c r="H8689" s="5">
        <v>6428</v>
      </c>
    </row>
    <row r="8690" spans="2:8" x14ac:dyDescent="0.4">
      <c r="B8690" s="3" t="s">
        <v>7</v>
      </c>
      <c r="C8690" s="3" t="s">
        <v>1219</v>
      </c>
      <c r="D8690" s="4">
        <f>DATE(2012,6,11)</f>
        <v>41071</v>
      </c>
      <c r="E8690" s="5">
        <f t="shared" si="140"/>
        <v>2012</v>
      </c>
      <c r="F8690" s="3" t="s">
        <v>1286</v>
      </c>
      <c r="G8690" s="6">
        <v>102125.47</v>
      </c>
      <c r="H8690" s="5">
        <v>5004</v>
      </c>
    </row>
    <row r="8691" spans="2:8" x14ac:dyDescent="0.4">
      <c r="B8691" t="s">
        <v>7</v>
      </c>
      <c r="C8691" t="s">
        <v>1287</v>
      </c>
      <c r="D8691" s="7">
        <f>DATE(2018,5,1)</f>
        <v>43221</v>
      </c>
      <c r="E8691" s="8">
        <f t="shared" si="140"/>
        <v>2018</v>
      </c>
      <c r="F8691" t="s">
        <v>1288</v>
      </c>
      <c r="G8691" s="9">
        <v>168448.22</v>
      </c>
      <c r="H8691" s="8">
        <v>26115</v>
      </c>
    </row>
    <row r="8692" spans="2:8" x14ac:dyDescent="0.4">
      <c r="B8692" t="s">
        <v>7</v>
      </c>
      <c r="C8692" t="s">
        <v>1287</v>
      </c>
      <c r="D8692" s="7">
        <f>DATE(2018,4,17)</f>
        <v>43207</v>
      </c>
      <c r="E8692" s="8">
        <f t="shared" si="140"/>
        <v>2018</v>
      </c>
      <c r="F8692" t="s">
        <v>1288</v>
      </c>
      <c r="G8692" s="9">
        <v>48616</v>
      </c>
      <c r="H8692" s="8">
        <v>26331</v>
      </c>
    </row>
    <row r="8693" spans="2:8" x14ac:dyDescent="0.4">
      <c r="B8693" t="s">
        <v>7</v>
      </c>
      <c r="C8693" t="s">
        <v>1287</v>
      </c>
      <c r="D8693" s="7">
        <f>DATE(2018,7,23)</f>
        <v>43304</v>
      </c>
      <c r="E8693" s="8">
        <f t="shared" si="140"/>
        <v>2018</v>
      </c>
      <c r="F8693" t="s">
        <v>1288</v>
      </c>
      <c r="G8693" s="9">
        <v>571117.78</v>
      </c>
      <c r="H8693" s="8">
        <v>26229</v>
      </c>
    </row>
    <row r="8694" spans="2:8" x14ac:dyDescent="0.4">
      <c r="B8694" t="s">
        <v>7</v>
      </c>
      <c r="C8694" t="s">
        <v>1287</v>
      </c>
      <c r="D8694" s="7">
        <f>DATE(2018,12,28)</f>
        <v>43462</v>
      </c>
      <c r="E8694" s="8">
        <f t="shared" si="140"/>
        <v>2018</v>
      </c>
      <c r="F8694" t="s">
        <v>1288</v>
      </c>
      <c r="G8694" s="9">
        <v>66006.55</v>
      </c>
      <c r="H8694" s="8">
        <v>27636</v>
      </c>
    </row>
    <row r="8695" spans="2:8" x14ac:dyDescent="0.4">
      <c r="B8695" t="s">
        <v>7</v>
      </c>
      <c r="C8695" t="s">
        <v>1287</v>
      </c>
      <c r="D8695" s="7">
        <f>DATE(2019,4,29)</f>
        <v>43584</v>
      </c>
      <c r="E8695" s="8">
        <f t="shared" si="140"/>
        <v>2019</v>
      </c>
      <c r="F8695" t="s">
        <v>1288</v>
      </c>
      <c r="G8695" s="9">
        <v>38120.93</v>
      </c>
      <c r="H8695" s="8">
        <v>28809</v>
      </c>
    </row>
    <row r="8696" spans="2:8" x14ac:dyDescent="0.4">
      <c r="B8696" t="s">
        <v>7</v>
      </c>
      <c r="C8696" t="s">
        <v>1289</v>
      </c>
      <c r="D8696" s="7">
        <f>DATE(2017,11,10)</f>
        <v>43049</v>
      </c>
      <c r="E8696" s="8">
        <f t="shared" si="140"/>
        <v>2017</v>
      </c>
      <c r="F8696" t="s">
        <v>1290</v>
      </c>
      <c r="G8696" s="9">
        <v>53934.86</v>
      </c>
      <c r="H8696" s="8">
        <v>25600</v>
      </c>
    </row>
    <row r="8697" spans="2:8" x14ac:dyDescent="0.4">
      <c r="B8697" t="s">
        <v>7</v>
      </c>
      <c r="C8697" t="s">
        <v>1289</v>
      </c>
      <c r="D8697" s="7">
        <f>DATE(2018,3,2)</f>
        <v>43161</v>
      </c>
      <c r="E8697" s="8">
        <f t="shared" si="140"/>
        <v>2018</v>
      </c>
      <c r="F8697" t="s">
        <v>1290</v>
      </c>
      <c r="G8697" s="9">
        <v>4445.96</v>
      </c>
      <c r="H8697" s="8">
        <v>26359</v>
      </c>
    </row>
    <row r="8698" spans="2:8" x14ac:dyDescent="0.4">
      <c r="B8698" t="s">
        <v>7</v>
      </c>
      <c r="C8698" t="s">
        <v>1289</v>
      </c>
      <c r="D8698" s="7">
        <f>DATE(2018,3,2)</f>
        <v>43161</v>
      </c>
      <c r="E8698" s="8">
        <f t="shared" si="140"/>
        <v>2018</v>
      </c>
      <c r="F8698" t="s">
        <v>1290</v>
      </c>
      <c r="G8698" s="9">
        <v>11362.65</v>
      </c>
      <c r="H8698" s="8">
        <v>26560</v>
      </c>
    </row>
    <row r="8699" spans="2:8" x14ac:dyDescent="0.4">
      <c r="B8699" t="s">
        <v>7</v>
      </c>
      <c r="C8699" t="s">
        <v>1289</v>
      </c>
      <c r="D8699" s="7">
        <f>DATE(2018,3,2)</f>
        <v>43161</v>
      </c>
      <c r="E8699" s="8">
        <f t="shared" si="140"/>
        <v>2018</v>
      </c>
      <c r="F8699" t="s">
        <v>1290</v>
      </c>
      <c r="G8699" s="9">
        <v>5567.07</v>
      </c>
      <c r="H8699" s="8">
        <v>26561</v>
      </c>
    </row>
    <row r="8700" spans="2:8" x14ac:dyDescent="0.4">
      <c r="B8700" t="s">
        <v>7</v>
      </c>
      <c r="C8700" t="s">
        <v>1289</v>
      </c>
      <c r="D8700" s="7">
        <f>DATE(2018,3,2)</f>
        <v>43161</v>
      </c>
      <c r="E8700" s="8">
        <f t="shared" si="140"/>
        <v>2018</v>
      </c>
      <c r="F8700" t="s">
        <v>1290</v>
      </c>
      <c r="G8700" s="9">
        <v>6601.51</v>
      </c>
      <c r="H8700" s="8">
        <v>26562</v>
      </c>
    </row>
    <row r="8701" spans="2:8" x14ac:dyDescent="0.4">
      <c r="B8701" t="s">
        <v>7</v>
      </c>
      <c r="C8701" t="s">
        <v>1289</v>
      </c>
      <c r="D8701" s="7">
        <f>DATE(2015,5,27)</f>
        <v>42151</v>
      </c>
      <c r="E8701" s="8">
        <f t="shared" si="140"/>
        <v>2015</v>
      </c>
      <c r="F8701" t="s">
        <v>1291</v>
      </c>
      <c r="G8701" s="9">
        <v>21589.02</v>
      </c>
      <c r="H8701" s="8">
        <v>20536</v>
      </c>
    </row>
    <row r="8702" spans="2:8" x14ac:dyDescent="0.4">
      <c r="B8702" t="s">
        <v>7</v>
      </c>
      <c r="C8702" t="s">
        <v>1289</v>
      </c>
      <c r="D8702" s="7">
        <f>DATE(2015,5,27)</f>
        <v>42151</v>
      </c>
      <c r="E8702" s="8">
        <f t="shared" si="140"/>
        <v>2015</v>
      </c>
      <c r="F8702" t="s">
        <v>1291</v>
      </c>
      <c r="G8702" s="9">
        <v>7530.17</v>
      </c>
      <c r="H8702" s="8">
        <v>20693</v>
      </c>
    </row>
    <row r="8703" spans="2:8" x14ac:dyDescent="0.4">
      <c r="B8703" t="s">
        <v>7</v>
      </c>
      <c r="C8703" t="s">
        <v>1289</v>
      </c>
      <c r="D8703" s="7">
        <f>DATE(2015,9,1)</f>
        <v>42248</v>
      </c>
      <c r="E8703" s="8">
        <f t="shared" si="140"/>
        <v>2015</v>
      </c>
      <c r="F8703" t="s">
        <v>1291</v>
      </c>
      <c r="G8703" s="9">
        <v>8659.25</v>
      </c>
      <c r="H8703" s="8">
        <v>21022</v>
      </c>
    </row>
    <row r="8704" spans="2:8" x14ac:dyDescent="0.4">
      <c r="B8704" t="s">
        <v>7</v>
      </c>
      <c r="C8704" t="s">
        <v>1289</v>
      </c>
      <c r="D8704" s="7">
        <f>DATE(2015,9,1)</f>
        <v>42248</v>
      </c>
      <c r="E8704" s="8">
        <f t="shared" si="140"/>
        <v>2015</v>
      </c>
      <c r="F8704" t="s">
        <v>1291</v>
      </c>
      <c r="G8704" s="9">
        <v>21919.55</v>
      </c>
      <c r="H8704" s="8">
        <v>21018</v>
      </c>
    </row>
    <row r="8705" spans="2:8" x14ac:dyDescent="0.4">
      <c r="B8705" t="s">
        <v>7</v>
      </c>
      <c r="C8705" t="s">
        <v>1289</v>
      </c>
      <c r="D8705" s="7">
        <f>DATE(2015,10,23)</f>
        <v>42300</v>
      </c>
      <c r="E8705" s="8">
        <f t="shared" si="140"/>
        <v>2015</v>
      </c>
      <c r="F8705" t="s">
        <v>1291</v>
      </c>
      <c r="G8705" s="9">
        <v>18052.810000000001</v>
      </c>
      <c r="H8705" s="8">
        <v>21269</v>
      </c>
    </row>
    <row r="8706" spans="2:8" x14ac:dyDescent="0.4">
      <c r="B8706" t="s">
        <v>7</v>
      </c>
      <c r="C8706" t="s">
        <v>1289</v>
      </c>
      <c r="D8706" s="7">
        <f>DATE(2016,1,4)</f>
        <v>42373</v>
      </c>
      <c r="E8706" s="8">
        <f t="shared" si="140"/>
        <v>2016</v>
      </c>
      <c r="F8706" t="s">
        <v>1291</v>
      </c>
      <c r="G8706" s="9">
        <v>22964.43</v>
      </c>
      <c r="H8706" s="8">
        <v>21706</v>
      </c>
    </row>
    <row r="8707" spans="2:8" x14ac:dyDescent="0.4">
      <c r="B8707" t="s">
        <v>7</v>
      </c>
      <c r="C8707" t="s">
        <v>1289</v>
      </c>
      <c r="D8707" s="7">
        <f>DATE(2016,11,8)</f>
        <v>42682</v>
      </c>
      <c r="E8707" s="8">
        <f t="shared" ref="E8707:E8770" si="141">YEAR(D8707)</f>
        <v>2016</v>
      </c>
      <c r="F8707" t="s">
        <v>1291</v>
      </c>
      <c r="G8707" s="9">
        <v>13365.54</v>
      </c>
      <c r="H8707" s="8">
        <v>23374</v>
      </c>
    </row>
    <row r="8708" spans="2:8" x14ac:dyDescent="0.4">
      <c r="B8708" t="s">
        <v>7</v>
      </c>
      <c r="C8708" t="s">
        <v>1289</v>
      </c>
      <c r="D8708" s="7">
        <f>DATE(2016,11,1)</f>
        <v>42675</v>
      </c>
      <c r="E8708" s="8">
        <f t="shared" si="141"/>
        <v>2016</v>
      </c>
      <c r="F8708" t="s">
        <v>1291</v>
      </c>
      <c r="G8708" s="9">
        <v>3645.84</v>
      </c>
      <c r="H8708" s="8">
        <v>23675</v>
      </c>
    </row>
    <row r="8709" spans="2:8" x14ac:dyDescent="0.4">
      <c r="B8709" t="s">
        <v>7</v>
      </c>
      <c r="C8709" t="s">
        <v>1292</v>
      </c>
      <c r="D8709" s="7">
        <f>DATE(2017,12,11)</f>
        <v>43080</v>
      </c>
      <c r="E8709" s="8">
        <f t="shared" si="141"/>
        <v>2017</v>
      </c>
      <c r="F8709" t="s">
        <v>1293</v>
      </c>
      <c r="G8709" s="9">
        <v>10174.040000000001</v>
      </c>
      <c r="H8709" s="8">
        <v>26009</v>
      </c>
    </row>
    <row r="8710" spans="2:8" x14ac:dyDescent="0.4">
      <c r="B8710" t="s">
        <v>7</v>
      </c>
      <c r="C8710" t="s">
        <v>1292</v>
      </c>
      <c r="D8710" s="7">
        <f>DATE(2017,12,19)</f>
        <v>43088</v>
      </c>
      <c r="E8710" s="8">
        <f t="shared" si="141"/>
        <v>2017</v>
      </c>
      <c r="F8710" t="s">
        <v>1293</v>
      </c>
      <c r="G8710" s="9">
        <v>156226.19</v>
      </c>
      <c r="H8710" s="8">
        <v>25910</v>
      </c>
    </row>
    <row r="8711" spans="2:8" x14ac:dyDescent="0.4">
      <c r="B8711" t="s">
        <v>7</v>
      </c>
      <c r="C8711" t="s">
        <v>1292</v>
      </c>
      <c r="D8711" s="7">
        <f>DATE(2017,12,21)</f>
        <v>43090</v>
      </c>
      <c r="E8711" s="8">
        <f t="shared" si="141"/>
        <v>2017</v>
      </c>
      <c r="F8711" t="s">
        <v>1293</v>
      </c>
      <c r="G8711" s="9">
        <v>12143.28</v>
      </c>
      <c r="H8711" s="8">
        <v>25753</v>
      </c>
    </row>
    <row r="8712" spans="2:8" x14ac:dyDescent="0.4">
      <c r="B8712" t="s">
        <v>7</v>
      </c>
      <c r="C8712" t="s">
        <v>1292</v>
      </c>
      <c r="D8712" s="7">
        <f>DATE(2018,3,19)</f>
        <v>43178</v>
      </c>
      <c r="E8712" s="8">
        <f t="shared" si="141"/>
        <v>2018</v>
      </c>
      <c r="F8712" t="s">
        <v>1293</v>
      </c>
      <c r="G8712" s="9">
        <v>50734.49</v>
      </c>
      <c r="H8712" s="8">
        <v>26166</v>
      </c>
    </row>
    <row r="8713" spans="2:8" x14ac:dyDescent="0.4">
      <c r="B8713" t="s">
        <v>7</v>
      </c>
      <c r="C8713" t="s">
        <v>1292</v>
      </c>
      <c r="D8713" s="7">
        <f>DATE(2018,3,29)</f>
        <v>43188</v>
      </c>
      <c r="E8713" s="8">
        <f t="shared" si="141"/>
        <v>2018</v>
      </c>
      <c r="F8713" t="s">
        <v>1293</v>
      </c>
      <c r="G8713" s="9">
        <v>160000</v>
      </c>
      <c r="H8713" s="8">
        <v>26107</v>
      </c>
    </row>
    <row r="8714" spans="2:8" x14ac:dyDescent="0.4">
      <c r="B8714" t="s">
        <v>7</v>
      </c>
      <c r="C8714" t="s">
        <v>1292</v>
      </c>
      <c r="D8714" s="7">
        <f>DATE(2018,6,14)</f>
        <v>43265</v>
      </c>
      <c r="E8714" s="8">
        <f t="shared" si="141"/>
        <v>2018</v>
      </c>
      <c r="F8714" t="s">
        <v>1293</v>
      </c>
      <c r="G8714" s="9">
        <v>12385.84</v>
      </c>
      <c r="H8714" s="8">
        <v>26756</v>
      </c>
    </row>
    <row r="8715" spans="2:8" x14ac:dyDescent="0.4">
      <c r="B8715" t="s">
        <v>7</v>
      </c>
      <c r="C8715" t="s">
        <v>1292</v>
      </c>
      <c r="D8715" s="7">
        <f>DATE(2018,5,29)</f>
        <v>43249</v>
      </c>
      <c r="E8715" s="8">
        <f t="shared" si="141"/>
        <v>2018</v>
      </c>
      <c r="F8715" t="s">
        <v>1293</v>
      </c>
      <c r="G8715" s="9">
        <v>75043.48</v>
      </c>
      <c r="H8715" s="8">
        <v>26237</v>
      </c>
    </row>
    <row r="8716" spans="2:8" x14ac:dyDescent="0.4">
      <c r="B8716" t="s">
        <v>7</v>
      </c>
      <c r="C8716" t="s">
        <v>1292</v>
      </c>
      <c r="D8716" s="7">
        <f>DATE(2018,9,17)</f>
        <v>43360</v>
      </c>
      <c r="E8716" s="8">
        <f t="shared" si="141"/>
        <v>2018</v>
      </c>
      <c r="F8716" t="s">
        <v>1293</v>
      </c>
      <c r="G8716" s="9">
        <v>3319.27</v>
      </c>
      <c r="H8716" s="8">
        <v>27575</v>
      </c>
    </row>
    <row r="8717" spans="2:8" x14ac:dyDescent="0.4">
      <c r="B8717" t="s">
        <v>7</v>
      </c>
      <c r="C8717" t="s">
        <v>1292</v>
      </c>
      <c r="D8717" s="7">
        <f>DATE(2019,3,20)</f>
        <v>43544</v>
      </c>
      <c r="E8717" s="8">
        <f t="shared" si="141"/>
        <v>2019</v>
      </c>
      <c r="F8717" t="s">
        <v>1293</v>
      </c>
      <c r="G8717" s="9">
        <v>9139.7199999999993</v>
      </c>
      <c r="H8717" s="8">
        <v>28623</v>
      </c>
    </row>
    <row r="8718" spans="2:8" x14ac:dyDescent="0.4">
      <c r="B8718" t="s">
        <v>7</v>
      </c>
      <c r="C8718" t="s">
        <v>1294</v>
      </c>
      <c r="D8718" s="7">
        <f>DATE(2016,11,1)</f>
        <v>42675</v>
      </c>
      <c r="E8718" s="8">
        <f t="shared" si="141"/>
        <v>2016</v>
      </c>
      <c r="F8718" t="s">
        <v>1295</v>
      </c>
      <c r="G8718" s="9">
        <v>4246.12</v>
      </c>
      <c r="H8718" s="8">
        <v>23670</v>
      </c>
    </row>
    <row r="8719" spans="2:8" x14ac:dyDescent="0.4">
      <c r="B8719" t="s">
        <v>7</v>
      </c>
      <c r="C8719" t="s">
        <v>1294</v>
      </c>
      <c r="D8719" s="7">
        <f>DATE(2016,11,11)</f>
        <v>42685</v>
      </c>
      <c r="E8719" s="8">
        <f t="shared" si="141"/>
        <v>2016</v>
      </c>
      <c r="F8719" t="s">
        <v>1295</v>
      </c>
      <c r="G8719" s="9">
        <v>36131.33</v>
      </c>
      <c r="H8719" s="8">
        <v>23741</v>
      </c>
    </row>
    <row r="8720" spans="2:8" x14ac:dyDescent="0.4">
      <c r="B8720" t="s">
        <v>7</v>
      </c>
      <c r="C8720" t="s">
        <v>1294</v>
      </c>
      <c r="D8720" s="7">
        <f>DATE(2016,12,12)</f>
        <v>42716</v>
      </c>
      <c r="E8720" s="8">
        <f t="shared" si="141"/>
        <v>2016</v>
      </c>
      <c r="F8720" t="s">
        <v>1295</v>
      </c>
      <c r="G8720" s="9">
        <v>17776.150000000001</v>
      </c>
      <c r="H8720" s="8">
        <v>23782</v>
      </c>
    </row>
    <row r="8721" spans="2:8" x14ac:dyDescent="0.4">
      <c r="B8721" t="s">
        <v>7</v>
      </c>
      <c r="C8721" t="s">
        <v>1294</v>
      </c>
      <c r="D8721" s="7">
        <f>DATE(2017,2,21)</f>
        <v>42787</v>
      </c>
      <c r="E8721" s="8">
        <f t="shared" si="141"/>
        <v>2017</v>
      </c>
      <c r="F8721" t="s">
        <v>1295</v>
      </c>
      <c r="G8721" s="9">
        <v>41461.870000000003</v>
      </c>
      <c r="H8721" s="8">
        <v>24123</v>
      </c>
    </row>
    <row r="8722" spans="2:8" x14ac:dyDescent="0.4">
      <c r="B8722" t="s">
        <v>7</v>
      </c>
      <c r="C8722" t="s">
        <v>1294</v>
      </c>
      <c r="D8722" s="7">
        <f>DATE(2017,6,1)</f>
        <v>42887</v>
      </c>
      <c r="E8722" s="8">
        <f t="shared" si="141"/>
        <v>2017</v>
      </c>
      <c r="F8722" t="s">
        <v>1295</v>
      </c>
      <c r="G8722" s="9">
        <v>85542.75</v>
      </c>
      <c r="H8722" s="8">
        <v>24124</v>
      </c>
    </row>
    <row r="8723" spans="2:8" x14ac:dyDescent="0.4">
      <c r="B8723" t="s">
        <v>7</v>
      </c>
      <c r="C8723" t="s">
        <v>1294</v>
      </c>
      <c r="D8723" s="7">
        <f>DATE(2017,6,6)</f>
        <v>42892</v>
      </c>
      <c r="E8723" s="8">
        <f t="shared" si="141"/>
        <v>2017</v>
      </c>
      <c r="F8723" t="s">
        <v>1295</v>
      </c>
      <c r="G8723" s="9">
        <v>216247.34</v>
      </c>
      <c r="H8723" s="8">
        <v>24209</v>
      </c>
    </row>
    <row r="8724" spans="2:8" x14ac:dyDescent="0.4">
      <c r="B8724" t="s">
        <v>7</v>
      </c>
      <c r="C8724" t="s">
        <v>1296</v>
      </c>
      <c r="D8724" s="7">
        <f>DATE(2016,3,17)</f>
        <v>42446</v>
      </c>
      <c r="E8724" s="8">
        <f t="shared" si="141"/>
        <v>2016</v>
      </c>
      <c r="F8724" t="s">
        <v>1297</v>
      </c>
      <c r="G8724" s="9">
        <v>52207.98</v>
      </c>
      <c r="H8724" s="8">
        <v>21952</v>
      </c>
    </row>
    <row r="8725" spans="2:8" x14ac:dyDescent="0.4">
      <c r="B8725" t="s">
        <v>7</v>
      </c>
      <c r="C8725" t="s">
        <v>1296</v>
      </c>
      <c r="D8725" s="7">
        <f>DATE(2016,11,1)</f>
        <v>42675</v>
      </c>
      <c r="E8725" s="8">
        <f t="shared" si="141"/>
        <v>2016</v>
      </c>
      <c r="F8725" t="s">
        <v>1297</v>
      </c>
      <c r="G8725" s="9">
        <v>81117.789999999994</v>
      </c>
      <c r="H8725" s="8">
        <v>23191</v>
      </c>
    </row>
    <row r="8726" spans="2:8" x14ac:dyDescent="0.4">
      <c r="B8726" s="3" t="s">
        <v>7</v>
      </c>
      <c r="C8726" s="3" t="s">
        <v>1298</v>
      </c>
      <c r="D8726" s="4">
        <f>DATE(2008,4,1)</f>
        <v>39539</v>
      </c>
      <c r="E8726" s="5">
        <f t="shared" si="141"/>
        <v>2008</v>
      </c>
      <c r="F8726" s="3" t="s">
        <v>1297</v>
      </c>
      <c r="G8726" s="6">
        <v>5952.69</v>
      </c>
      <c r="H8726" s="5">
        <v>2714</v>
      </c>
    </row>
    <row r="8727" spans="2:8" x14ac:dyDescent="0.4">
      <c r="B8727" s="3" t="s">
        <v>7</v>
      </c>
      <c r="C8727" s="3" t="s">
        <v>1296</v>
      </c>
      <c r="D8727" s="4">
        <f>DATE(2013,3,7)</f>
        <v>41340</v>
      </c>
      <c r="E8727" s="5">
        <f t="shared" si="141"/>
        <v>2013</v>
      </c>
      <c r="F8727" s="3" t="s">
        <v>1297</v>
      </c>
      <c r="G8727" s="6">
        <v>15632.27</v>
      </c>
      <c r="H8727" s="5">
        <v>5452</v>
      </c>
    </row>
    <row r="8728" spans="2:8" x14ac:dyDescent="0.4">
      <c r="B8728" s="3" t="s">
        <v>7</v>
      </c>
      <c r="C8728" s="3" t="s">
        <v>1296</v>
      </c>
      <c r="D8728" s="4">
        <f>DATE(2014,3,5)</f>
        <v>41703</v>
      </c>
      <c r="E8728" s="5">
        <f t="shared" si="141"/>
        <v>2014</v>
      </c>
      <c r="F8728" s="3" t="s">
        <v>1297</v>
      </c>
      <c r="G8728" s="6">
        <v>3941</v>
      </c>
      <c r="H8728" s="5">
        <v>5997</v>
      </c>
    </row>
    <row r="8729" spans="2:8" x14ac:dyDescent="0.4">
      <c r="B8729" s="3" t="s">
        <v>7</v>
      </c>
      <c r="C8729" s="3" t="s">
        <v>1296</v>
      </c>
      <c r="D8729" s="4">
        <f>DATE(2014,5,12)</f>
        <v>41771</v>
      </c>
      <c r="E8729" s="5">
        <f t="shared" si="141"/>
        <v>2014</v>
      </c>
      <c r="F8729" s="3" t="s">
        <v>1297</v>
      </c>
      <c r="G8729" s="6">
        <v>107020.61</v>
      </c>
      <c r="H8729" s="5">
        <v>6093</v>
      </c>
    </row>
    <row r="8730" spans="2:8" x14ac:dyDescent="0.4">
      <c r="B8730" s="3" t="s">
        <v>7</v>
      </c>
      <c r="C8730" s="3" t="s">
        <v>1296</v>
      </c>
      <c r="D8730" s="4">
        <f>DATE(2014,5,12)</f>
        <v>41771</v>
      </c>
      <c r="E8730" s="5">
        <f t="shared" si="141"/>
        <v>2014</v>
      </c>
      <c r="F8730" s="3" t="s">
        <v>1297</v>
      </c>
      <c r="G8730" s="6">
        <v>131184.98000000001</v>
      </c>
      <c r="H8730" s="5">
        <v>6096</v>
      </c>
    </row>
    <row r="8731" spans="2:8" x14ac:dyDescent="0.4">
      <c r="B8731" s="3" t="s">
        <v>7</v>
      </c>
      <c r="C8731" s="3" t="s">
        <v>1296</v>
      </c>
      <c r="D8731" s="4">
        <f>DATE(2014,7,17)</f>
        <v>41837</v>
      </c>
      <c r="E8731" s="5">
        <f t="shared" si="141"/>
        <v>2014</v>
      </c>
      <c r="F8731" s="3" t="s">
        <v>1297</v>
      </c>
      <c r="G8731" s="6">
        <v>17639</v>
      </c>
      <c r="H8731" s="5">
        <v>6168</v>
      </c>
    </row>
    <row r="8732" spans="2:8" x14ac:dyDescent="0.4">
      <c r="B8732" t="s">
        <v>7</v>
      </c>
      <c r="C8732" t="s">
        <v>1296</v>
      </c>
      <c r="D8732" s="7">
        <f>DATE(2019,4,15)</f>
        <v>43570</v>
      </c>
      <c r="E8732" s="8">
        <f t="shared" si="141"/>
        <v>2019</v>
      </c>
      <c r="F8732" t="s">
        <v>1299</v>
      </c>
      <c r="G8732" s="9">
        <v>83095</v>
      </c>
      <c r="H8732" s="8">
        <v>28297</v>
      </c>
    </row>
    <row r="8733" spans="2:8" x14ac:dyDescent="0.4">
      <c r="B8733" t="s">
        <v>7</v>
      </c>
      <c r="C8733" t="s">
        <v>1294</v>
      </c>
      <c r="D8733" s="7">
        <f>DATE(2017,10,5)</f>
        <v>43013</v>
      </c>
      <c r="E8733" s="8">
        <f t="shared" si="141"/>
        <v>2017</v>
      </c>
      <c r="F8733" t="s">
        <v>1300</v>
      </c>
      <c r="G8733" s="9">
        <v>6105.41</v>
      </c>
      <c r="H8733" s="8">
        <v>25531</v>
      </c>
    </row>
    <row r="8734" spans="2:8" x14ac:dyDescent="0.4">
      <c r="B8734" t="s">
        <v>7</v>
      </c>
      <c r="C8734" t="s">
        <v>1294</v>
      </c>
      <c r="D8734" s="7">
        <f>DATE(2017,10,9)</f>
        <v>43017</v>
      </c>
      <c r="E8734" s="8">
        <f t="shared" si="141"/>
        <v>2017</v>
      </c>
      <c r="F8734" t="s">
        <v>1300</v>
      </c>
      <c r="G8734" s="9">
        <v>2678.8</v>
      </c>
      <c r="H8734" s="8">
        <v>25676</v>
      </c>
    </row>
    <row r="8735" spans="2:8" x14ac:dyDescent="0.4">
      <c r="B8735" t="s">
        <v>7</v>
      </c>
      <c r="C8735" t="s">
        <v>1294</v>
      </c>
      <c r="D8735" s="7">
        <f>DATE(2018,2,27)</f>
        <v>43158</v>
      </c>
      <c r="E8735" s="8">
        <f t="shared" si="141"/>
        <v>2018</v>
      </c>
      <c r="F8735" t="s">
        <v>1300</v>
      </c>
      <c r="G8735" s="9">
        <v>17238.650000000001</v>
      </c>
      <c r="H8735" s="8">
        <v>26063</v>
      </c>
    </row>
    <row r="8736" spans="2:8" x14ac:dyDescent="0.4">
      <c r="B8736" t="s">
        <v>7</v>
      </c>
      <c r="C8736" t="s">
        <v>1294</v>
      </c>
      <c r="D8736" s="7">
        <f>DATE(2018,2,27)</f>
        <v>43158</v>
      </c>
      <c r="E8736" s="8">
        <f t="shared" si="141"/>
        <v>2018</v>
      </c>
      <c r="F8736" t="s">
        <v>1300</v>
      </c>
      <c r="G8736" s="9">
        <v>14308.28</v>
      </c>
      <c r="H8736" s="8">
        <v>26400</v>
      </c>
    </row>
    <row r="8737" spans="2:8" x14ac:dyDescent="0.4">
      <c r="B8737" t="s">
        <v>7</v>
      </c>
      <c r="C8737" t="s">
        <v>1294</v>
      </c>
      <c r="D8737" s="7">
        <f>DATE(2018,2,13)</f>
        <v>43144</v>
      </c>
      <c r="E8737" s="8">
        <f t="shared" si="141"/>
        <v>2018</v>
      </c>
      <c r="F8737" t="s">
        <v>1300</v>
      </c>
      <c r="G8737" s="9">
        <v>5546.19</v>
      </c>
      <c r="H8737" s="8">
        <v>26401</v>
      </c>
    </row>
    <row r="8738" spans="2:8" x14ac:dyDescent="0.4">
      <c r="B8738" t="s">
        <v>7</v>
      </c>
      <c r="C8738" t="s">
        <v>1294</v>
      </c>
      <c r="D8738" s="7">
        <f>DATE(2018,2,27)</f>
        <v>43158</v>
      </c>
      <c r="E8738" s="8">
        <f t="shared" si="141"/>
        <v>2018</v>
      </c>
      <c r="F8738" t="s">
        <v>1300</v>
      </c>
      <c r="G8738" s="9">
        <v>1697.72</v>
      </c>
      <c r="H8738" s="8">
        <v>26452</v>
      </c>
    </row>
    <row r="8739" spans="2:8" x14ac:dyDescent="0.4">
      <c r="B8739" t="s">
        <v>7</v>
      </c>
      <c r="C8739" t="s">
        <v>1294</v>
      </c>
      <c r="D8739" s="7">
        <f>DATE(2018,3,5)</f>
        <v>43164</v>
      </c>
      <c r="E8739" s="8">
        <f t="shared" si="141"/>
        <v>2018</v>
      </c>
      <c r="F8739" t="s">
        <v>1300</v>
      </c>
      <c r="G8739" s="9">
        <v>31902.720000000001</v>
      </c>
      <c r="H8739" s="8">
        <v>26111</v>
      </c>
    </row>
    <row r="8740" spans="2:8" x14ac:dyDescent="0.4">
      <c r="B8740" t="s">
        <v>7</v>
      </c>
      <c r="C8740" t="s">
        <v>1294</v>
      </c>
      <c r="D8740" s="7">
        <f>DATE(2018,3,1)</f>
        <v>43160</v>
      </c>
      <c r="E8740" s="8">
        <f t="shared" si="141"/>
        <v>2018</v>
      </c>
      <c r="F8740" t="s">
        <v>1300</v>
      </c>
      <c r="G8740" s="9">
        <v>3385.1</v>
      </c>
      <c r="H8740" s="8">
        <v>26068</v>
      </c>
    </row>
    <row r="8741" spans="2:8" x14ac:dyDescent="0.4">
      <c r="B8741" t="s">
        <v>7</v>
      </c>
      <c r="C8741" t="s">
        <v>1294</v>
      </c>
      <c r="D8741" s="7">
        <f>DATE(2018,3,22)</f>
        <v>43181</v>
      </c>
      <c r="E8741" s="8">
        <f t="shared" si="141"/>
        <v>2018</v>
      </c>
      <c r="F8741" t="s">
        <v>1300</v>
      </c>
      <c r="G8741" s="9">
        <v>47000</v>
      </c>
      <c r="H8741" s="8">
        <v>26121</v>
      </c>
    </row>
    <row r="8742" spans="2:8" x14ac:dyDescent="0.4">
      <c r="B8742" t="s">
        <v>7</v>
      </c>
      <c r="C8742" t="s">
        <v>1294</v>
      </c>
      <c r="D8742" s="7">
        <f>DATE(2018,3,16)</f>
        <v>43175</v>
      </c>
      <c r="E8742" s="8">
        <f t="shared" si="141"/>
        <v>2018</v>
      </c>
      <c r="F8742" t="s">
        <v>1300</v>
      </c>
      <c r="G8742" s="9">
        <v>207241.66</v>
      </c>
      <c r="H8742" s="8">
        <v>26117</v>
      </c>
    </row>
    <row r="8743" spans="2:8" x14ac:dyDescent="0.4">
      <c r="B8743" t="s">
        <v>7</v>
      </c>
      <c r="C8743" t="s">
        <v>1294</v>
      </c>
      <c r="D8743" s="7">
        <f>DATE(2018,4,2)</f>
        <v>43192</v>
      </c>
      <c r="E8743" s="8">
        <f t="shared" si="141"/>
        <v>2018</v>
      </c>
      <c r="F8743" t="s">
        <v>1300</v>
      </c>
      <c r="G8743" s="9">
        <v>22839.91</v>
      </c>
      <c r="H8743" s="8">
        <v>26074</v>
      </c>
    </row>
    <row r="8744" spans="2:8" x14ac:dyDescent="0.4">
      <c r="B8744" t="s">
        <v>7</v>
      </c>
      <c r="C8744" t="s">
        <v>1294</v>
      </c>
      <c r="D8744" s="7">
        <f>DATE(2018,10,22)</f>
        <v>43395</v>
      </c>
      <c r="E8744" s="8">
        <f t="shared" si="141"/>
        <v>2018</v>
      </c>
      <c r="F8744" t="s">
        <v>1300</v>
      </c>
      <c r="G8744" s="9">
        <v>11972.95</v>
      </c>
      <c r="H8744" s="8">
        <v>27518</v>
      </c>
    </row>
    <row r="8745" spans="2:8" x14ac:dyDescent="0.4">
      <c r="B8745" t="s">
        <v>7</v>
      </c>
      <c r="C8745" t="s">
        <v>1294</v>
      </c>
      <c r="D8745" s="7">
        <f>DATE(2018,9,26)</f>
        <v>43369</v>
      </c>
      <c r="E8745" s="8">
        <f t="shared" si="141"/>
        <v>2018</v>
      </c>
      <c r="F8745" t="s">
        <v>1300</v>
      </c>
      <c r="G8745" s="9">
        <v>15594.8</v>
      </c>
      <c r="H8745" s="8">
        <v>27610</v>
      </c>
    </row>
    <row r="8746" spans="2:8" x14ac:dyDescent="0.4">
      <c r="B8746" t="s">
        <v>7</v>
      </c>
      <c r="C8746" t="s">
        <v>1294</v>
      </c>
      <c r="D8746" s="7">
        <f>DATE(2018,10,31)</f>
        <v>43404</v>
      </c>
      <c r="E8746" s="8">
        <f t="shared" si="141"/>
        <v>2018</v>
      </c>
      <c r="F8746" t="s">
        <v>1300</v>
      </c>
      <c r="G8746" s="9">
        <v>169990</v>
      </c>
      <c r="H8746" s="8">
        <v>27019</v>
      </c>
    </row>
    <row r="8747" spans="2:8" x14ac:dyDescent="0.4">
      <c r="B8747" t="s">
        <v>7</v>
      </c>
      <c r="C8747" t="s">
        <v>1294</v>
      </c>
      <c r="D8747" s="7">
        <f>DATE(2019,4,15)</f>
        <v>43570</v>
      </c>
      <c r="E8747" s="8">
        <f t="shared" si="141"/>
        <v>2019</v>
      </c>
      <c r="F8747" t="s">
        <v>1300</v>
      </c>
      <c r="G8747" s="9">
        <v>55665.23</v>
      </c>
      <c r="H8747" s="8">
        <v>27839</v>
      </c>
    </row>
    <row r="8748" spans="2:8" x14ac:dyDescent="0.4">
      <c r="B8748" t="s">
        <v>7</v>
      </c>
      <c r="C8748" t="s">
        <v>1294</v>
      </c>
      <c r="D8748" s="7">
        <f>DATE(2019,5,9)</f>
        <v>43594</v>
      </c>
      <c r="E8748" s="8">
        <f t="shared" si="141"/>
        <v>2019</v>
      </c>
      <c r="F8748" t="s">
        <v>1300</v>
      </c>
      <c r="G8748" s="9">
        <v>278943.78999999998</v>
      </c>
      <c r="H8748" s="8">
        <v>27551</v>
      </c>
    </row>
    <row r="8749" spans="2:8" x14ac:dyDescent="0.4">
      <c r="B8749" t="s">
        <v>7</v>
      </c>
      <c r="C8749" t="s">
        <v>1294</v>
      </c>
      <c r="D8749" s="7">
        <f>DATE(2018,2,23)</f>
        <v>43154</v>
      </c>
      <c r="E8749" s="8">
        <f t="shared" si="141"/>
        <v>2018</v>
      </c>
      <c r="F8749" t="s">
        <v>1300</v>
      </c>
      <c r="G8749" s="9">
        <v>84854.96</v>
      </c>
      <c r="H8749" s="8">
        <v>26065</v>
      </c>
    </row>
    <row r="8750" spans="2:8" x14ac:dyDescent="0.4">
      <c r="B8750" t="s">
        <v>16</v>
      </c>
      <c r="C8750" t="s">
        <v>1294</v>
      </c>
      <c r="D8750" s="7">
        <f>DATE(2018,3,22)</f>
        <v>43181</v>
      </c>
      <c r="E8750" s="8">
        <f t="shared" si="141"/>
        <v>2018</v>
      </c>
      <c r="F8750" t="s">
        <v>1300</v>
      </c>
      <c r="G8750" s="9">
        <v>3000</v>
      </c>
      <c r="H8750" s="8">
        <v>26726</v>
      </c>
    </row>
    <row r="8751" spans="2:8" x14ac:dyDescent="0.4">
      <c r="B8751" t="s">
        <v>7</v>
      </c>
      <c r="C8751" t="s">
        <v>1301</v>
      </c>
      <c r="D8751" s="7">
        <f>DATE(2018,6,5)</f>
        <v>43256</v>
      </c>
      <c r="E8751" s="8">
        <f t="shared" si="141"/>
        <v>2018</v>
      </c>
      <c r="F8751" t="s">
        <v>1302</v>
      </c>
      <c r="G8751" s="9">
        <v>12772.72</v>
      </c>
      <c r="H8751" s="8">
        <v>27096</v>
      </c>
    </row>
    <row r="8752" spans="2:8" x14ac:dyDescent="0.4">
      <c r="B8752" t="s">
        <v>7</v>
      </c>
      <c r="C8752" t="s">
        <v>1301</v>
      </c>
      <c r="D8752" s="7">
        <f>DATE(2019,4,30)</f>
        <v>43585</v>
      </c>
      <c r="E8752" s="8">
        <f t="shared" si="141"/>
        <v>2019</v>
      </c>
      <c r="F8752" t="s">
        <v>1302</v>
      </c>
      <c r="G8752" s="9">
        <v>94853.56</v>
      </c>
      <c r="H8752" s="8">
        <v>28049</v>
      </c>
    </row>
    <row r="8753" spans="2:8" x14ac:dyDescent="0.4">
      <c r="B8753" t="s">
        <v>7</v>
      </c>
      <c r="C8753" t="s">
        <v>1303</v>
      </c>
      <c r="D8753" s="7">
        <f>DATE(2015,7,8)</f>
        <v>42193</v>
      </c>
      <c r="E8753" s="8">
        <f t="shared" si="141"/>
        <v>2015</v>
      </c>
      <c r="F8753" t="s">
        <v>1304</v>
      </c>
      <c r="G8753" s="9">
        <v>3190.1</v>
      </c>
      <c r="H8753" s="8">
        <v>20843</v>
      </c>
    </row>
    <row r="8754" spans="2:8" x14ac:dyDescent="0.4">
      <c r="B8754" s="3" t="s">
        <v>7</v>
      </c>
      <c r="C8754" s="3" t="s">
        <v>1284</v>
      </c>
      <c r="D8754" s="4">
        <f>DATE(2013,5,3)</f>
        <v>41397</v>
      </c>
      <c r="E8754" s="5">
        <f t="shared" si="141"/>
        <v>2013</v>
      </c>
      <c r="F8754" s="3" t="s">
        <v>1305</v>
      </c>
      <c r="G8754" s="6">
        <v>24878.91</v>
      </c>
      <c r="H8754" s="5">
        <v>5510</v>
      </c>
    </row>
    <row r="8755" spans="2:8" x14ac:dyDescent="0.4">
      <c r="B8755" s="3" t="s">
        <v>7</v>
      </c>
      <c r="C8755" s="3" t="s">
        <v>1306</v>
      </c>
      <c r="D8755" s="4">
        <f>DATE(2013,3,7)</f>
        <v>41340</v>
      </c>
      <c r="E8755" s="5">
        <f t="shared" si="141"/>
        <v>2013</v>
      </c>
      <c r="F8755" s="3" t="s">
        <v>1307</v>
      </c>
      <c r="G8755" s="6">
        <v>14548.33</v>
      </c>
      <c r="H8755" s="5">
        <v>5438</v>
      </c>
    </row>
    <row r="8756" spans="2:8" x14ac:dyDescent="0.4">
      <c r="B8756" s="3" t="s">
        <v>7</v>
      </c>
      <c r="C8756" s="3" t="s">
        <v>1306</v>
      </c>
      <c r="D8756" s="4">
        <f>DATE(2013,3,7)</f>
        <v>41340</v>
      </c>
      <c r="E8756" s="5">
        <f t="shared" si="141"/>
        <v>2013</v>
      </c>
      <c r="F8756" s="3" t="s">
        <v>1307</v>
      </c>
      <c r="G8756" s="6">
        <v>4998.84</v>
      </c>
      <c r="H8756" s="5">
        <v>5439</v>
      </c>
    </row>
    <row r="8757" spans="2:8" x14ac:dyDescent="0.4">
      <c r="B8757" s="3" t="s">
        <v>7</v>
      </c>
      <c r="C8757" s="3" t="s">
        <v>1306</v>
      </c>
      <c r="D8757" s="4">
        <f>DATE(2013,3,7)</f>
        <v>41340</v>
      </c>
      <c r="E8757" s="5">
        <f t="shared" si="141"/>
        <v>2013</v>
      </c>
      <c r="F8757" s="3" t="s">
        <v>1307</v>
      </c>
      <c r="G8757" s="6">
        <v>4999.6499999999996</v>
      </c>
      <c r="H8757" s="5">
        <v>5450</v>
      </c>
    </row>
    <row r="8758" spans="2:8" x14ac:dyDescent="0.4">
      <c r="B8758" s="3" t="s">
        <v>7</v>
      </c>
      <c r="C8758" s="3" t="s">
        <v>1308</v>
      </c>
      <c r="D8758" s="4">
        <f>DATE(2008,6,1)</f>
        <v>39600</v>
      </c>
      <c r="E8758" s="5">
        <f t="shared" si="141"/>
        <v>2008</v>
      </c>
      <c r="F8758" s="3" t="s">
        <v>1309</v>
      </c>
      <c r="G8758" s="6">
        <v>72447.5</v>
      </c>
      <c r="H8758" s="5">
        <v>2793</v>
      </c>
    </row>
    <row r="8759" spans="2:8" x14ac:dyDescent="0.4">
      <c r="B8759" t="s">
        <v>7</v>
      </c>
      <c r="C8759" t="s">
        <v>1292</v>
      </c>
      <c r="D8759" s="7">
        <f>DATE(2015,4,8)</f>
        <v>42102</v>
      </c>
      <c r="E8759" s="8">
        <f t="shared" si="141"/>
        <v>2015</v>
      </c>
      <c r="F8759" t="s">
        <v>1310</v>
      </c>
      <c r="G8759" s="9">
        <v>9363.81</v>
      </c>
      <c r="H8759" s="8">
        <v>100</v>
      </c>
    </row>
    <row r="8760" spans="2:8" x14ac:dyDescent="0.4">
      <c r="B8760" t="s">
        <v>7</v>
      </c>
      <c r="C8760" t="s">
        <v>1292</v>
      </c>
      <c r="D8760" s="7">
        <f>DATE(2015,4,8)</f>
        <v>42102</v>
      </c>
      <c r="E8760" s="8">
        <f t="shared" si="141"/>
        <v>2015</v>
      </c>
      <c r="F8760" t="s">
        <v>1310</v>
      </c>
      <c r="G8760" s="9">
        <v>36713.339999999997</v>
      </c>
      <c r="H8760" s="8">
        <v>101</v>
      </c>
    </row>
    <row r="8761" spans="2:8" x14ac:dyDescent="0.4">
      <c r="B8761" t="s">
        <v>7</v>
      </c>
      <c r="C8761" t="s">
        <v>1292</v>
      </c>
      <c r="D8761" s="7">
        <f>DATE(2015,4,8)</f>
        <v>42102</v>
      </c>
      <c r="E8761" s="8">
        <f t="shared" si="141"/>
        <v>2015</v>
      </c>
      <c r="F8761" t="s">
        <v>1310</v>
      </c>
      <c r="G8761" s="9">
        <v>41428.81</v>
      </c>
      <c r="H8761" s="8">
        <v>346</v>
      </c>
    </row>
    <row r="8762" spans="2:8" x14ac:dyDescent="0.4">
      <c r="B8762" t="s">
        <v>7</v>
      </c>
      <c r="C8762" t="s">
        <v>1292</v>
      </c>
      <c r="D8762" s="7">
        <f>DATE(2015,4,8)</f>
        <v>42102</v>
      </c>
      <c r="E8762" s="8">
        <f t="shared" si="141"/>
        <v>2015</v>
      </c>
      <c r="F8762" t="s">
        <v>1310</v>
      </c>
      <c r="G8762" s="9">
        <v>59173.919999999998</v>
      </c>
      <c r="H8762" s="8">
        <v>347</v>
      </c>
    </row>
    <row r="8763" spans="2:8" x14ac:dyDescent="0.4">
      <c r="B8763" t="s">
        <v>7</v>
      </c>
      <c r="C8763" t="s">
        <v>1292</v>
      </c>
      <c r="D8763" s="7">
        <f>DATE(2015,4,8)</f>
        <v>42102</v>
      </c>
      <c r="E8763" s="8">
        <f t="shared" si="141"/>
        <v>2015</v>
      </c>
      <c r="F8763" t="s">
        <v>1310</v>
      </c>
      <c r="G8763" s="9">
        <v>8742.61</v>
      </c>
      <c r="H8763" s="8">
        <v>102</v>
      </c>
    </row>
    <row r="8764" spans="2:8" x14ac:dyDescent="0.4">
      <c r="B8764" t="s">
        <v>7</v>
      </c>
      <c r="C8764" t="s">
        <v>1292</v>
      </c>
      <c r="D8764" s="7">
        <f>DATE(2015,9,1)</f>
        <v>42248</v>
      </c>
      <c r="E8764" s="8">
        <f t="shared" si="141"/>
        <v>2015</v>
      </c>
      <c r="F8764" t="s">
        <v>1310</v>
      </c>
      <c r="G8764" s="9">
        <v>41210.629999999997</v>
      </c>
      <c r="H8764" s="8">
        <v>20750</v>
      </c>
    </row>
    <row r="8765" spans="2:8" x14ac:dyDescent="0.4">
      <c r="B8765" t="s">
        <v>7</v>
      </c>
      <c r="C8765" t="s">
        <v>1292</v>
      </c>
      <c r="D8765" s="7">
        <f>DATE(2015,9,1)</f>
        <v>42248</v>
      </c>
      <c r="E8765" s="8">
        <f t="shared" si="141"/>
        <v>2015</v>
      </c>
      <c r="F8765" t="s">
        <v>1310</v>
      </c>
      <c r="G8765" s="9">
        <v>7697.98</v>
      </c>
      <c r="H8765" s="8">
        <v>20822</v>
      </c>
    </row>
    <row r="8766" spans="2:8" x14ac:dyDescent="0.4">
      <c r="B8766" s="3" t="s">
        <v>7</v>
      </c>
      <c r="C8766" s="3" t="s">
        <v>1292</v>
      </c>
      <c r="D8766" s="4">
        <f>DATE(2012,9,7)</f>
        <v>41159</v>
      </c>
      <c r="E8766" s="5">
        <f t="shared" si="141"/>
        <v>2012</v>
      </c>
      <c r="F8766" s="3" t="s">
        <v>1310</v>
      </c>
      <c r="G8766" s="6">
        <v>28421.77</v>
      </c>
      <c r="H8766" s="5">
        <v>5157</v>
      </c>
    </row>
    <row r="8767" spans="2:8" x14ac:dyDescent="0.4">
      <c r="B8767" s="3" t="s">
        <v>7</v>
      </c>
      <c r="C8767" s="3" t="s">
        <v>1292</v>
      </c>
      <c r="D8767" s="4">
        <f>DATE(2012,9,7)</f>
        <v>41159</v>
      </c>
      <c r="E8767" s="5">
        <f t="shared" si="141"/>
        <v>2012</v>
      </c>
      <c r="F8767" s="3" t="s">
        <v>1310</v>
      </c>
      <c r="G8767" s="6">
        <v>22177.439999999999</v>
      </c>
      <c r="H8767" s="5">
        <v>5155</v>
      </c>
    </row>
    <row r="8768" spans="2:8" x14ac:dyDescent="0.4">
      <c r="B8768" s="3" t="s">
        <v>7</v>
      </c>
      <c r="C8768" s="3" t="s">
        <v>1292</v>
      </c>
      <c r="D8768" s="4">
        <f>DATE(2012,9,7)</f>
        <v>41159</v>
      </c>
      <c r="E8768" s="5">
        <f t="shared" si="141"/>
        <v>2012</v>
      </c>
      <c r="F8768" s="3" t="s">
        <v>1310</v>
      </c>
      <c r="G8768" s="6">
        <v>4661.67</v>
      </c>
      <c r="H8768" s="5">
        <v>5095</v>
      </c>
    </row>
    <row r="8769" spans="2:8" x14ac:dyDescent="0.4">
      <c r="B8769" s="3" t="s">
        <v>7</v>
      </c>
      <c r="C8769" s="3" t="s">
        <v>1292</v>
      </c>
      <c r="D8769" s="4">
        <f>DATE(2012,10,29)</f>
        <v>41211</v>
      </c>
      <c r="E8769" s="5">
        <f t="shared" si="141"/>
        <v>2012</v>
      </c>
      <c r="F8769" s="3" t="s">
        <v>1310</v>
      </c>
      <c r="G8769" s="6">
        <v>14675</v>
      </c>
      <c r="H8769" s="5">
        <v>5270</v>
      </c>
    </row>
    <row r="8770" spans="2:8" x14ac:dyDescent="0.4">
      <c r="B8770" s="3" t="s">
        <v>7</v>
      </c>
      <c r="C8770" s="3" t="s">
        <v>1292</v>
      </c>
      <c r="D8770" s="4">
        <f>DATE(2013,1,4)</f>
        <v>41278</v>
      </c>
      <c r="E8770" s="5">
        <f t="shared" si="141"/>
        <v>2013</v>
      </c>
      <c r="F8770" s="3" t="s">
        <v>1310</v>
      </c>
      <c r="G8770" s="6">
        <v>4486</v>
      </c>
      <c r="H8770" s="5">
        <v>5304</v>
      </c>
    </row>
    <row r="8771" spans="2:8" x14ac:dyDescent="0.4">
      <c r="B8771" s="3" t="s">
        <v>7</v>
      </c>
      <c r="C8771" s="3" t="s">
        <v>1292</v>
      </c>
      <c r="D8771" s="4">
        <f>DATE(2013,7,19)</f>
        <v>41474</v>
      </c>
      <c r="E8771" s="5">
        <f t="shared" ref="E8771:E8834" si="142">YEAR(D8771)</f>
        <v>2013</v>
      </c>
      <c r="F8771" s="3" t="s">
        <v>1310</v>
      </c>
      <c r="G8771" s="6">
        <v>21253.9</v>
      </c>
      <c r="H8771" s="5">
        <v>5652</v>
      </c>
    </row>
    <row r="8772" spans="2:8" x14ac:dyDescent="0.4">
      <c r="B8772" s="3" t="s">
        <v>7</v>
      </c>
      <c r="C8772" s="3" t="s">
        <v>1292</v>
      </c>
      <c r="D8772" s="4">
        <f>DATE(2014,6,6)</f>
        <v>41796</v>
      </c>
      <c r="E8772" s="5">
        <f t="shared" si="142"/>
        <v>2014</v>
      </c>
      <c r="F8772" s="3" t="s">
        <v>1310</v>
      </c>
      <c r="G8772" s="6">
        <v>25628.3</v>
      </c>
      <c r="H8772" s="5">
        <v>6183</v>
      </c>
    </row>
    <row r="8773" spans="2:8" x14ac:dyDescent="0.4">
      <c r="B8773" s="3" t="s">
        <v>7</v>
      </c>
      <c r="C8773" s="3" t="s">
        <v>1292</v>
      </c>
      <c r="D8773" s="4">
        <f>DATE(2014,6,6)</f>
        <v>41796</v>
      </c>
      <c r="E8773" s="5">
        <f t="shared" si="142"/>
        <v>2014</v>
      </c>
      <c r="F8773" s="3" t="s">
        <v>1310</v>
      </c>
      <c r="G8773" s="6">
        <v>18328.87</v>
      </c>
      <c r="H8773" s="5">
        <v>6195</v>
      </c>
    </row>
    <row r="8774" spans="2:8" x14ac:dyDescent="0.4">
      <c r="B8774" s="3" t="s">
        <v>16</v>
      </c>
      <c r="C8774" s="3" t="s">
        <v>1292</v>
      </c>
      <c r="D8774" s="4">
        <f>DATE(2012,10,29)</f>
        <v>41211</v>
      </c>
      <c r="E8774" s="5">
        <f t="shared" si="142"/>
        <v>2012</v>
      </c>
      <c r="F8774" s="3" t="s">
        <v>1310</v>
      </c>
      <c r="G8774" s="6">
        <v>25420.94</v>
      </c>
      <c r="H8774" s="5">
        <v>5284</v>
      </c>
    </row>
    <row r="8775" spans="2:8" x14ac:dyDescent="0.4">
      <c r="B8775" t="s">
        <v>7</v>
      </c>
      <c r="C8775" t="s">
        <v>1292</v>
      </c>
      <c r="D8775" s="7">
        <f>DATE(2016,5,18)</f>
        <v>42508</v>
      </c>
      <c r="E8775" s="8">
        <f t="shared" si="142"/>
        <v>2016</v>
      </c>
      <c r="F8775" t="s">
        <v>1311</v>
      </c>
      <c r="G8775" s="9">
        <v>24897</v>
      </c>
      <c r="H8775" s="8">
        <v>22081</v>
      </c>
    </row>
    <row r="8776" spans="2:8" x14ac:dyDescent="0.4">
      <c r="B8776" t="s">
        <v>7</v>
      </c>
      <c r="C8776" t="s">
        <v>1292</v>
      </c>
      <c r="D8776" s="7">
        <f>DATE(2015,9,1)</f>
        <v>42248</v>
      </c>
      <c r="E8776" s="8">
        <f t="shared" si="142"/>
        <v>2015</v>
      </c>
      <c r="F8776" t="s">
        <v>1311</v>
      </c>
      <c r="G8776" s="9">
        <v>8325.2800000000007</v>
      </c>
      <c r="H8776" s="8">
        <v>20854</v>
      </c>
    </row>
    <row r="8777" spans="2:8" x14ac:dyDescent="0.4">
      <c r="B8777" t="s">
        <v>7</v>
      </c>
      <c r="C8777" t="s">
        <v>1292</v>
      </c>
      <c r="D8777" s="7">
        <f>DATE(2015,9,1)</f>
        <v>42248</v>
      </c>
      <c r="E8777" s="8">
        <f t="shared" si="142"/>
        <v>2015</v>
      </c>
      <c r="F8777" t="s">
        <v>1311</v>
      </c>
      <c r="G8777" s="9">
        <v>12132.26</v>
      </c>
      <c r="H8777" s="8">
        <v>20847</v>
      </c>
    </row>
    <row r="8778" spans="2:8" x14ac:dyDescent="0.4">
      <c r="B8778" t="s">
        <v>7</v>
      </c>
      <c r="C8778" t="s">
        <v>1292</v>
      </c>
      <c r="D8778" s="7">
        <f>DATE(2015,9,1)</f>
        <v>42248</v>
      </c>
      <c r="E8778" s="8">
        <f t="shared" si="142"/>
        <v>2015</v>
      </c>
      <c r="F8778" t="s">
        <v>1311</v>
      </c>
      <c r="G8778" s="9">
        <v>4530.16</v>
      </c>
      <c r="H8778" s="8">
        <v>21170</v>
      </c>
    </row>
    <row r="8779" spans="2:8" x14ac:dyDescent="0.4">
      <c r="B8779" t="s">
        <v>7</v>
      </c>
      <c r="C8779" t="s">
        <v>1292</v>
      </c>
      <c r="D8779" s="7">
        <f>DATE(2015,12,1)</f>
        <v>42339</v>
      </c>
      <c r="E8779" s="8">
        <f t="shared" si="142"/>
        <v>2015</v>
      </c>
      <c r="F8779" t="s">
        <v>1311</v>
      </c>
      <c r="G8779" s="9">
        <v>6564.1</v>
      </c>
      <c r="H8779" s="8">
        <v>21290</v>
      </c>
    </row>
    <row r="8780" spans="2:8" x14ac:dyDescent="0.4">
      <c r="B8780" t="s">
        <v>7</v>
      </c>
      <c r="C8780" t="s">
        <v>1292</v>
      </c>
      <c r="D8780" s="7">
        <f>DATE(2015,12,1)</f>
        <v>42339</v>
      </c>
      <c r="E8780" s="8">
        <f t="shared" si="142"/>
        <v>2015</v>
      </c>
      <c r="F8780" t="s">
        <v>1311</v>
      </c>
      <c r="G8780" s="9">
        <v>4763.07</v>
      </c>
      <c r="H8780" s="8">
        <v>21292</v>
      </c>
    </row>
    <row r="8781" spans="2:8" x14ac:dyDescent="0.4">
      <c r="B8781" t="s">
        <v>7</v>
      </c>
      <c r="C8781" t="s">
        <v>1292</v>
      </c>
      <c r="D8781" s="7">
        <f>DATE(2015,12,1)</f>
        <v>42339</v>
      </c>
      <c r="E8781" s="8">
        <f t="shared" si="142"/>
        <v>2015</v>
      </c>
      <c r="F8781" t="s">
        <v>1311</v>
      </c>
      <c r="G8781" s="9">
        <v>11236.03</v>
      </c>
      <c r="H8781" s="8">
        <v>21128</v>
      </c>
    </row>
    <row r="8782" spans="2:8" x14ac:dyDescent="0.4">
      <c r="B8782" t="s">
        <v>7</v>
      </c>
      <c r="C8782" t="s">
        <v>1292</v>
      </c>
      <c r="D8782" s="7">
        <f>DATE(2015,12,1)</f>
        <v>42339</v>
      </c>
      <c r="E8782" s="8">
        <f t="shared" si="142"/>
        <v>2015</v>
      </c>
      <c r="F8782" t="s">
        <v>1311</v>
      </c>
      <c r="G8782" s="9">
        <v>5460.26</v>
      </c>
      <c r="H8782" s="8">
        <v>21358</v>
      </c>
    </row>
    <row r="8783" spans="2:8" x14ac:dyDescent="0.4">
      <c r="B8783" t="s">
        <v>7</v>
      </c>
      <c r="C8783" t="s">
        <v>1292</v>
      </c>
      <c r="D8783" s="7">
        <f>DATE(2015,12,1)</f>
        <v>42339</v>
      </c>
      <c r="E8783" s="8">
        <f t="shared" si="142"/>
        <v>2015</v>
      </c>
      <c r="F8783" t="s">
        <v>1311</v>
      </c>
      <c r="G8783" s="9">
        <v>10587.75</v>
      </c>
      <c r="H8783" s="8">
        <v>21257</v>
      </c>
    </row>
    <row r="8784" spans="2:8" x14ac:dyDescent="0.4">
      <c r="B8784" t="s">
        <v>7</v>
      </c>
      <c r="C8784" t="s">
        <v>1292</v>
      </c>
      <c r="D8784" s="7">
        <f>DATE(2015,12,10)</f>
        <v>42348</v>
      </c>
      <c r="E8784" s="8">
        <f t="shared" si="142"/>
        <v>2015</v>
      </c>
      <c r="F8784" t="s">
        <v>1311</v>
      </c>
      <c r="G8784" s="9">
        <v>8805.2000000000007</v>
      </c>
      <c r="H8784" s="8">
        <v>21786</v>
      </c>
    </row>
    <row r="8785" spans="2:8" x14ac:dyDescent="0.4">
      <c r="B8785" t="s">
        <v>7</v>
      </c>
      <c r="C8785" t="s">
        <v>1292</v>
      </c>
      <c r="D8785" s="7">
        <f>DATE(2015,12,10)</f>
        <v>42348</v>
      </c>
      <c r="E8785" s="8">
        <f t="shared" si="142"/>
        <v>2015</v>
      </c>
      <c r="F8785" t="s">
        <v>1311</v>
      </c>
      <c r="G8785" s="9">
        <v>8340.0300000000007</v>
      </c>
      <c r="H8785" s="8">
        <v>21789</v>
      </c>
    </row>
    <row r="8786" spans="2:8" x14ac:dyDescent="0.4">
      <c r="B8786" t="s">
        <v>7</v>
      </c>
      <c r="C8786" t="s">
        <v>1292</v>
      </c>
      <c r="D8786" s="7">
        <f>DATE(2015,12,10)</f>
        <v>42348</v>
      </c>
      <c r="E8786" s="8">
        <f t="shared" si="142"/>
        <v>2015</v>
      </c>
      <c r="F8786" t="s">
        <v>1311</v>
      </c>
      <c r="G8786" s="9">
        <v>4057</v>
      </c>
      <c r="H8786" s="8">
        <v>21796</v>
      </c>
    </row>
    <row r="8787" spans="2:8" x14ac:dyDescent="0.4">
      <c r="B8787" t="s">
        <v>7</v>
      </c>
      <c r="C8787" t="s">
        <v>1292</v>
      </c>
      <c r="D8787" s="7">
        <f>DATE(2015,12,10)</f>
        <v>42348</v>
      </c>
      <c r="E8787" s="8">
        <f t="shared" si="142"/>
        <v>2015</v>
      </c>
      <c r="F8787" t="s">
        <v>1311</v>
      </c>
      <c r="G8787" s="9">
        <v>6127.44</v>
      </c>
      <c r="H8787" s="8">
        <v>21797</v>
      </c>
    </row>
    <row r="8788" spans="2:8" x14ac:dyDescent="0.4">
      <c r="B8788" t="s">
        <v>7</v>
      </c>
      <c r="C8788" t="s">
        <v>1292</v>
      </c>
      <c r="D8788" s="7">
        <f>DATE(2016,2,1)</f>
        <v>42401</v>
      </c>
      <c r="E8788" s="8">
        <f t="shared" si="142"/>
        <v>2016</v>
      </c>
      <c r="F8788" t="s">
        <v>1311</v>
      </c>
      <c r="G8788" s="9">
        <v>16909.93</v>
      </c>
      <c r="H8788" s="8">
        <v>21369</v>
      </c>
    </row>
    <row r="8789" spans="2:8" x14ac:dyDescent="0.4">
      <c r="B8789" t="s">
        <v>7</v>
      </c>
      <c r="C8789" t="s">
        <v>1292</v>
      </c>
      <c r="D8789" s="7">
        <f>DATE(2016,4,5)</f>
        <v>42465</v>
      </c>
      <c r="E8789" s="8">
        <f t="shared" si="142"/>
        <v>2016</v>
      </c>
      <c r="F8789" t="s">
        <v>1311</v>
      </c>
      <c r="G8789" s="9">
        <v>12612.12</v>
      </c>
      <c r="H8789" s="8">
        <v>22423</v>
      </c>
    </row>
    <row r="8790" spans="2:8" x14ac:dyDescent="0.4">
      <c r="B8790" t="s">
        <v>7</v>
      </c>
      <c r="C8790" t="s">
        <v>1292</v>
      </c>
      <c r="D8790" s="7">
        <f>DATE(2016,4,1)</f>
        <v>42461</v>
      </c>
      <c r="E8790" s="8">
        <f t="shared" si="142"/>
        <v>2016</v>
      </c>
      <c r="F8790" t="s">
        <v>1311</v>
      </c>
      <c r="G8790" s="9">
        <v>59171.96</v>
      </c>
      <c r="H8790" s="8">
        <v>22078</v>
      </c>
    </row>
    <row r="8791" spans="2:8" x14ac:dyDescent="0.4">
      <c r="B8791" t="s">
        <v>7</v>
      </c>
      <c r="C8791" t="s">
        <v>1292</v>
      </c>
      <c r="D8791" s="7">
        <f>DATE(2016,4,1)</f>
        <v>42461</v>
      </c>
      <c r="E8791" s="8">
        <f t="shared" si="142"/>
        <v>2016</v>
      </c>
      <c r="F8791" t="s">
        <v>1311</v>
      </c>
      <c r="G8791" s="9">
        <v>4064.66</v>
      </c>
      <c r="H8791" s="8">
        <v>22462</v>
      </c>
    </row>
    <row r="8792" spans="2:8" x14ac:dyDescent="0.4">
      <c r="B8792" t="s">
        <v>7</v>
      </c>
      <c r="C8792" t="s">
        <v>1292</v>
      </c>
      <c r="D8792" s="7">
        <f>DATE(2016,4,27)</f>
        <v>42487</v>
      </c>
      <c r="E8792" s="8">
        <f t="shared" si="142"/>
        <v>2016</v>
      </c>
      <c r="F8792" t="s">
        <v>1311</v>
      </c>
      <c r="G8792" s="9">
        <v>6631.95</v>
      </c>
      <c r="H8792" s="8">
        <v>21663</v>
      </c>
    </row>
    <row r="8793" spans="2:8" x14ac:dyDescent="0.4">
      <c r="B8793" t="s">
        <v>7</v>
      </c>
      <c r="C8793" t="s">
        <v>1292</v>
      </c>
      <c r="D8793" s="7">
        <f>DATE(2016,4,27)</f>
        <v>42487</v>
      </c>
      <c r="E8793" s="8">
        <f t="shared" si="142"/>
        <v>2016</v>
      </c>
      <c r="F8793" t="s">
        <v>1311</v>
      </c>
      <c r="G8793" s="9">
        <v>65540.22</v>
      </c>
      <c r="H8793" s="8">
        <v>22407</v>
      </c>
    </row>
    <row r="8794" spans="2:8" x14ac:dyDescent="0.4">
      <c r="B8794" t="s">
        <v>7</v>
      </c>
      <c r="C8794" t="s">
        <v>1292</v>
      </c>
      <c r="D8794" s="7">
        <f>DATE(2016,8,31)</f>
        <v>42613</v>
      </c>
      <c r="E8794" s="8">
        <f t="shared" si="142"/>
        <v>2016</v>
      </c>
      <c r="F8794" t="s">
        <v>1311</v>
      </c>
      <c r="G8794" s="9">
        <v>41969.16</v>
      </c>
      <c r="H8794" s="8">
        <v>22243</v>
      </c>
    </row>
    <row r="8795" spans="2:8" x14ac:dyDescent="0.4">
      <c r="B8795" t="s">
        <v>7</v>
      </c>
      <c r="C8795" t="s">
        <v>1292</v>
      </c>
      <c r="D8795" s="7">
        <f>DATE(2016,10,3)</f>
        <v>42646</v>
      </c>
      <c r="E8795" s="8">
        <f t="shared" si="142"/>
        <v>2016</v>
      </c>
      <c r="F8795" t="s">
        <v>1311</v>
      </c>
      <c r="G8795" s="9">
        <v>6982.88</v>
      </c>
      <c r="H8795" s="8">
        <v>23243</v>
      </c>
    </row>
    <row r="8796" spans="2:8" x14ac:dyDescent="0.4">
      <c r="B8796" t="s">
        <v>7</v>
      </c>
      <c r="C8796" t="s">
        <v>1292</v>
      </c>
      <c r="D8796" s="7">
        <f>DATE(2016,9,7)</f>
        <v>42620</v>
      </c>
      <c r="E8796" s="8">
        <f t="shared" si="142"/>
        <v>2016</v>
      </c>
      <c r="F8796" t="s">
        <v>1311</v>
      </c>
      <c r="G8796" s="9">
        <v>6377.64</v>
      </c>
      <c r="H8796" s="8">
        <v>23201</v>
      </c>
    </row>
    <row r="8797" spans="2:8" x14ac:dyDescent="0.4">
      <c r="B8797" t="s">
        <v>7</v>
      </c>
      <c r="C8797" t="s">
        <v>1292</v>
      </c>
      <c r="D8797" s="7">
        <f t="shared" ref="D8797:D8811" si="143">DATE(2016,10,28)</f>
        <v>42671</v>
      </c>
      <c r="E8797" s="8">
        <f t="shared" si="142"/>
        <v>2016</v>
      </c>
      <c r="F8797" t="s">
        <v>1311</v>
      </c>
      <c r="G8797" s="9">
        <v>36210.199999999997</v>
      </c>
      <c r="H8797" s="8">
        <v>22754</v>
      </c>
    </row>
    <row r="8798" spans="2:8" x14ac:dyDescent="0.4">
      <c r="B8798" t="s">
        <v>7</v>
      </c>
      <c r="C8798" t="s">
        <v>1292</v>
      </c>
      <c r="D8798" s="7">
        <f t="shared" si="143"/>
        <v>42671</v>
      </c>
      <c r="E8798" s="8">
        <f t="shared" si="142"/>
        <v>2016</v>
      </c>
      <c r="F8798" t="s">
        <v>1311</v>
      </c>
      <c r="G8798" s="9">
        <v>56110.7</v>
      </c>
      <c r="H8798" s="8">
        <v>22755</v>
      </c>
    </row>
    <row r="8799" spans="2:8" x14ac:dyDescent="0.4">
      <c r="B8799" t="s">
        <v>7</v>
      </c>
      <c r="C8799" t="s">
        <v>1292</v>
      </c>
      <c r="D8799" s="7">
        <f t="shared" si="143"/>
        <v>42671</v>
      </c>
      <c r="E8799" s="8">
        <f t="shared" si="142"/>
        <v>2016</v>
      </c>
      <c r="F8799" t="s">
        <v>1311</v>
      </c>
      <c r="G8799" s="9">
        <v>37930.699999999997</v>
      </c>
      <c r="H8799" s="8">
        <v>22756</v>
      </c>
    </row>
    <row r="8800" spans="2:8" x14ac:dyDescent="0.4">
      <c r="B8800" t="s">
        <v>7</v>
      </c>
      <c r="C8800" t="s">
        <v>1292</v>
      </c>
      <c r="D8800" s="7">
        <f t="shared" si="143"/>
        <v>42671</v>
      </c>
      <c r="E8800" s="8">
        <f t="shared" si="142"/>
        <v>2016</v>
      </c>
      <c r="F8800" t="s">
        <v>1311</v>
      </c>
      <c r="G8800" s="9">
        <v>41314.699999999997</v>
      </c>
      <c r="H8800" s="8">
        <v>22757</v>
      </c>
    </row>
    <row r="8801" spans="2:8" x14ac:dyDescent="0.4">
      <c r="B8801" t="s">
        <v>7</v>
      </c>
      <c r="C8801" t="s">
        <v>1292</v>
      </c>
      <c r="D8801" s="7">
        <f t="shared" si="143"/>
        <v>42671</v>
      </c>
      <c r="E8801" s="8">
        <f t="shared" si="142"/>
        <v>2016</v>
      </c>
      <c r="F8801" t="s">
        <v>1311</v>
      </c>
      <c r="G8801" s="9">
        <v>50015.06</v>
      </c>
      <c r="H8801" s="8">
        <v>22758</v>
      </c>
    </row>
    <row r="8802" spans="2:8" x14ac:dyDescent="0.4">
      <c r="B8802" t="s">
        <v>7</v>
      </c>
      <c r="C8802" t="s">
        <v>1292</v>
      </c>
      <c r="D8802" s="7">
        <f t="shared" si="143"/>
        <v>42671</v>
      </c>
      <c r="E8802" s="8">
        <f t="shared" si="142"/>
        <v>2016</v>
      </c>
      <c r="F8802" t="s">
        <v>1311</v>
      </c>
      <c r="G8802" s="9">
        <v>38796.050000000003</v>
      </c>
      <c r="H8802" s="8">
        <v>22759</v>
      </c>
    </row>
    <row r="8803" spans="2:8" x14ac:dyDescent="0.4">
      <c r="B8803" t="s">
        <v>7</v>
      </c>
      <c r="C8803" t="s">
        <v>1292</v>
      </c>
      <c r="D8803" s="7">
        <f t="shared" si="143"/>
        <v>42671</v>
      </c>
      <c r="E8803" s="8">
        <f t="shared" si="142"/>
        <v>2016</v>
      </c>
      <c r="F8803" t="s">
        <v>1311</v>
      </c>
      <c r="G8803" s="9">
        <v>39397.57</v>
      </c>
      <c r="H8803" s="8">
        <v>22762</v>
      </c>
    </row>
    <row r="8804" spans="2:8" x14ac:dyDescent="0.4">
      <c r="B8804" t="s">
        <v>7</v>
      </c>
      <c r="C8804" t="s">
        <v>1292</v>
      </c>
      <c r="D8804" s="7">
        <f t="shared" si="143"/>
        <v>42671</v>
      </c>
      <c r="E8804" s="8">
        <f t="shared" si="142"/>
        <v>2016</v>
      </c>
      <c r="F8804" t="s">
        <v>1311</v>
      </c>
      <c r="G8804" s="9">
        <v>27490.5</v>
      </c>
      <c r="H8804" s="8">
        <v>23527</v>
      </c>
    </row>
    <row r="8805" spans="2:8" x14ac:dyDescent="0.4">
      <c r="B8805" t="s">
        <v>7</v>
      </c>
      <c r="C8805" t="s">
        <v>1292</v>
      </c>
      <c r="D8805" s="7">
        <f t="shared" si="143"/>
        <v>42671</v>
      </c>
      <c r="E8805" s="8">
        <f t="shared" si="142"/>
        <v>2016</v>
      </c>
      <c r="F8805" t="s">
        <v>1311</v>
      </c>
      <c r="G8805" s="9">
        <v>18169.98</v>
      </c>
      <c r="H8805" s="8">
        <v>23564</v>
      </c>
    </row>
    <row r="8806" spans="2:8" x14ac:dyDescent="0.4">
      <c r="B8806" t="s">
        <v>7</v>
      </c>
      <c r="C8806" t="s">
        <v>1292</v>
      </c>
      <c r="D8806" s="7">
        <f t="shared" si="143"/>
        <v>42671</v>
      </c>
      <c r="E8806" s="8">
        <f t="shared" si="142"/>
        <v>2016</v>
      </c>
      <c r="F8806" t="s">
        <v>1311</v>
      </c>
      <c r="G8806" s="9">
        <v>45720.98</v>
      </c>
      <c r="H8806" s="8">
        <v>23565</v>
      </c>
    </row>
    <row r="8807" spans="2:8" x14ac:dyDescent="0.4">
      <c r="B8807" t="s">
        <v>7</v>
      </c>
      <c r="C8807" t="s">
        <v>1292</v>
      </c>
      <c r="D8807" s="7">
        <f t="shared" si="143"/>
        <v>42671</v>
      </c>
      <c r="E8807" s="8">
        <f t="shared" si="142"/>
        <v>2016</v>
      </c>
      <c r="F8807" t="s">
        <v>1311</v>
      </c>
      <c r="G8807" s="9">
        <v>23192.6</v>
      </c>
      <c r="H8807" s="8">
        <v>23587</v>
      </c>
    </row>
    <row r="8808" spans="2:8" x14ac:dyDescent="0.4">
      <c r="B8808" t="s">
        <v>7</v>
      </c>
      <c r="C8808" t="s">
        <v>1292</v>
      </c>
      <c r="D8808" s="7">
        <f t="shared" si="143"/>
        <v>42671</v>
      </c>
      <c r="E8808" s="8">
        <f t="shared" si="142"/>
        <v>2016</v>
      </c>
      <c r="F8808" t="s">
        <v>1311</v>
      </c>
      <c r="G8808" s="9">
        <v>7970.38</v>
      </c>
      <c r="H8808" s="8">
        <v>23592</v>
      </c>
    </row>
    <row r="8809" spans="2:8" x14ac:dyDescent="0.4">
      <c r="B8809" t="s">
        <v>7</v>
      </c>
      <c r="C8809" t="s">
        <v>1292</v>
      </c>
      <c r="D8809" s="7">
        <f t="shared" si="143"/>
        <v>42671</v>
      </c>
      <c r="E8809" s="8">
        <f t="shared" si="142"/>
        <v>2016</v>
      </c>
      <c r="F8809" t="s">
        <v>1311</v>
      </c>
      <c r="G8809" s="9">
        <v>28060</v>
      </c>
      <c r="H8809" s="8">
        <v>23606</v>
      </c>
    </row>
    <row r="8810" spans="2:8" x14ac:dyDescent="0.4">
      <c r="B8810" t="s">
        <v>7</v>
      </c>
      <c r="C8810" t="s">
        <v>1292</v>
      </c>
      <c r="D8810" s="7">
        <f t="shared" si="143"/>
        <v>42671</v>
      </c>
      <c r="E8810" s="8">
        <f t="shared" si="142"/>
        <v>2016</v>
      </c>
      <c r="F8810" t="s">
        <v>1311</v>
      </c>
      <c r="G8810" s="9">
        <v>37996.42</v>
      </c>
      <c r="H8810" s="8">
        <v>23607</v>
      </c>
    </row>
    <row r="8811" spans="2:8" x14ac:dyDescent="0.4">
      <c r="B8811" t="s">
        <v>7</v>
      </c>
      <c r="C8811" t="s">
        <v>1292</v>
      </c>
      <c r="D8811" s="7">
        <f t="shared" si="143"/>
        <v>42671</v>
      </c>
      <c r="E8811" s="8">
        <f t="shared" si="142"/>
        <v>2016</v>
      </c>
      <c r="F8811" t="s">
        <v>1311</v>
      </c>
      <c r="G8811" s="9">
        <v>21416.639999999999</v>
      </c>
      <c r="H8811" s="8">
        <v>23617</v>
      </c>
    </row>
    <row r="8812" spans="2:8" x14ac:dyDescent="0.4">
      <c r="B8812" t="s">
        <v>7</v>
      </c>
      <c r="C8812" t="s">
        <v>1292</v>
      </c>
      <c r="D8812" s="7">
        <f>DATE(2016,10,21)</f>
        <v>42664</v>
      </c>
      <c r="E8812" s="8">
        <f t="shared" si="142"/>
        <v>2016</v>
      </c>
      <c r="F8812" t="s">
        <v>1311</v>
      </c>
      <c r="G8812" s="9">
        <v>10224</v>
      </c>
      <c r="H8812" s="8">
        <v>24074</v>
      </c>
    </row>
    <row r="8813" spans="2:8" x14ac:dyDescent="0.4">
      <c r="B8813" t="s">
        <v>7</v>
      </c>
      <c r="C8813" t="s">
        <v>1292</v>
      </c>
      <c r="D8813" s="7">
        <f>DATE(2017,4,3)</f>
        <v>42828</v>
      </c>
      <c r="E8813" s="8">
        <f t="shared" si="142"/>
        <v>2017</v>
      </c>
      <c r="F8813" t="s">
        <v>1311</v>
      </c>
      <c r="G8813" s="9">
        <v>260400.98</v>
      </c>
      <c r="H8813" s="8">
        <v>24062</v>
      </c>
    </row>
    <row r="8814" spans="2:8" x14ac:dyDescent="0.4">
      <c r="B8814" t="s">
        <v>7</v>
      </c>
      <c r="C8814" t="s">
        <v>1292</v>
      </c>
      <c r="D8814" s="7">
        <f>DATE(2017,6,14)</f>
        <v>42900</v>
      </c>
      <c r="E8814" s="8">
        <f t="shared" si="142"/>
        <v>2017</v>
      </c>
      <c r="F8814" t="s">
        <v>1311</v>
      </c>
      <c r="G8814" s="9">
        <v>48259.79</v>
      </c>
      <c r="H8814" s="8">
        <v>24415</v>
      </c>
    </row>
    <row r="8815" spans="2:8" x14ac:dyDescent="0.4">
      <c r="B8815" t="s">
        <v>7</v>
      </c>
      <c r="C8815" t="s">
        <v>1292</v>
      </c>
      <c r="D8815" s="7">
        <f>DATE(2017,6,20)</f>
        <v>42906</v>
      </c>
      <c r="E8815" s="8">
        <f t="shared" si="142"/>
        <v>2017</v>
      </c>
      <c r="F8815" t="s">
        <v>1311</v>
      </c>
      <c r="G8815" s="9">
        <v>24674.21</v>
      </c>
      <c r="H8815" s="8">
        <v>24340</v>
      </c>
    </row>
    <row r="8816" spans="2:8" x14ac:dyDescent="0.4">
      <c r="B8816" t="s">
        <v>7</v>
      </c>
      <c r="C8816" t="s">
        <v>1292</v>
      </c>
      <c r="D8816" s="7">
        <f>DATE(2017,6,14)</f>
        <v>42900</v>
      </c>
      <c r="E8816" s="8">
        <f t="shared" si="142"/>
        <v>2017</v>
      </c>
      <c r="F8816" t="s">
        <v>1311</v>
      </c>
      <c r="G8816" s="9">
        <v>125350</v>
      </c>
      <c r="H8816" s="8">
        <v>24402</v>
      </c>
    </row>
    <row r="8817" spans="2:8" x14ac:dyDescent="0.4">
      <c r="B8817" t="s">
        <v>16</v>
      </c>
      <c r="C8817" t="s">
        <v>1292</v>
      </c>
      <c r="D8817" s="7">
        <f>DATE(2015,12,9)</f>
        <v>42347</v>
      </c>
      <c r="E8817" s="8">
        <f t="shared" si="142"/>
        <v>2015</v>
      </c>
      <c r="F8817" t="s">
        <v>1311</v>
      </c>
      <c r="G8817" s="9">
        <v>10587.75</v>
      </c>
      <c r="H8817" s="8">
        <v>21788</v>
      </c>
    </row>
    <row r="8818" spans="2:8" x14ac:dyDescent="0.4">
      <c r="B8818" t="s">
        <v>16</v>
      </c>
      <c r="C8818" t="s">
        <v>1292</v>
      </c>
      <c r="D8818" s="7">
        <f>DATE(2015,12,9)</f>
        <v>42347</v>
      </c>
      <c r="E8818" s="8">
        <f t="shared" si="142"/>
        <v>2015</v>
      </c>
      <c r="F8818" t="s">
        <v>1311</v>
      </c>
      <c r="G8818" s="9">
        <v>11236.03</v>
      </c>
      <c r="H8818" s="8">
        <v>21793</v>
      </c>
    </row>
    <row r="8819" spans="2:8" x14ac:dyDescent="0.4">
      <c r="B8819" t="s">
        <v>16</v>
      </c>
      <c r="C8819" t="s">
        <v>1292</v>
      </c>
      <c r="D8819" s="7">
        <f>DATE(2015,12,9)</f>
        <v>42347</v>
      </c>
      <c r="E8819" s="8">
        <f t="shared" si="142"/>
        <v>2015</v>
      </c>
      <c r="F8819" t="s">
        <v>1311</v>
      </c>
      <c r="G8819" s="9">
        <v>4763.07</v>
      </c>
      <c r="H8819" s="8">
        <v>21794</v>
      </c>
    </row>
    <row r="8820" spans="2:8" x14ac:dyDescent="0.4">
      <c r="B8820" t="s">
        <v>16</v>
      </c>
      <c r="C8820" t="s">
        <v>1292</v>
      </c>
      <c r="D8820" s="7">
        <f>DATE(2015,12,9)</f>
        <v>42347</v>
      </c>
      <c r="E8820" s="8">
        <f t="shared" si="142"/>
        <v>2015</v>
      </c>
      <c r="F8820" t="s">
        <v>1311</v>
      </c>
      <c r="G8820" s="9">
        <v>6564.1</v>
      </c>
      <c r="H8820" s="8">
        <v>21795</v>
      </c>
    </row>
    <row r="8821" spans="2:8" x14ac:dyDescent="0.4">
      <c r="B8821" t="s">
        <v>16</v>
      </c>
      <c r="C8821" t="s">
        <v>1292</v>
      </c>
      <c r="D8821" s="7">
        <f>DATE(2015,12,15)</f>
        <v>42353</v>
      </c>
      <c r="E8821" s="8">
        <f t="shared" si="142"/>
        <v>2015</v>
      </c>
      <c r="F8821" t="s">
        <v>1311</v>
      </c>
      <c r="G8821" s="9">
        <v>5460.26</v>
      </c>
      <c r="H8821" s="8">
        <v>21854</v>
      </c>
    </row>
    <row r="8822" spans="2:8" x14ac:dyDescent="0.4">
      <c r="B8822" s="3" t="s">
        <v>7</v>
      </c>
      <c r="C8822" s="3" t="s">
        <v>1292</v>
      </c>
      <c r="D8822" s="4">
        <f>DATE(2012,7,2)</f>
        <v>41092</v>
      </c>
      <c r="E8822" s="5">
        <f t="shared" si="142"/>
        <v>2012</v>
      </c>
      <c r="F8822" s="3" t="s">
        <v>1311</v>
      </c>
      <c r="G8822" s="6">
        <v>25420.94</v>
      </c>
      <c r="H8822" s="5">
        <v>5039</v>
      </c>
    </row>
    <row r="8823" spans="2:8" x14ac:dyDescent="0.4">
      <c r="B8823" s="3" t="s">
        <v>7</v>
      </c>
      <c r="C8823" s="3" t="s">
        <v>1292</v>
      </c>
      <c r="D8823" s="4">
        <f>DATE(2013,1,15)</f>
        <v>41289</v>
      </c>
      <c r="E8823" s="5">
        <f t="shared" si="142"/>
        <v>2013</v>
      </c>
      <c r="F8823" s="3" t="s">
        <v>1311</v>
      </c>
      <c r="G8823" s="6">
        <v>26832.69</v>
      </c>
      <c r="H8823" s="5">
        <v>5253</v>
      </c>
    </row>
    <row r="8824" spans="2:8" x14ac:dyDescent="0.4">
      <c r="B8824" t="s">
        <v>7</v>
      </c>
      <c r="C8824" t="s">
        <v>1287</v>
      </c>
      <c r="D8824" s="7">
        <f>DATE(2018,12,28)</f>
        <v>43462</v>
      </c>
      <c r="E8824" s="8">
        <f t="shared" si="142"/>
        <v>2018</v>
      </c>
      <c r="F8824" t="s">
        <v>1312</v>
      </c>
      <c r="G8824" s="9">
        <v>34028.01</v>
      </c>
      <c r="H8824" s="8">
        <v>27476</v>
      </c>
    </row>
    <row r="8825" spans="2:8" x14ac:dyDescent="0.4">
      <c r="B8825" s="3" t="s">
        <v>7</v>
      </c>
      <c r="C8825" s="3" t="s">
        <v>1287</v>
      </c>
      <c r="D8825" s="4">
        <f>DATE(2008,2,23)</f>
        <v>39501</v>
      </c>
      <c r="E8825" s="5">
        <f t="shared" si="142"/>
        <v>2008</v>
      </c>
      <c r="F8825" s="3" t="s">
        <v>1313</v>
      </c>
      <c r="G8825" s="6">
        <v>79177.3</v>
      </c>
      <c r="H8825" s="5">
        <v>2628</v>
      </c>
    </row>
    <row r="8826" spans="2:8" x14ac:dyDescent="0.4">
      <c r="B8826" s="3" t="s">
        <v>7</v>
      </c>
      <c r="C8826" s="3" t="s">
        <v>1296</v>
      </c>
      <c r="D8826" s="4">
        <f>DATE(2014,5,12)</f>
        <v>41771</v>
      </c>
      <c r="E8826" s="5">
        <f t="shared" si="142"/>
        <v>2014</v>
      </c>
      <c r="F8826" s="3" t="s">
        <v>1314</v>
      </c>
      <c r="G8826" s="6">
        <v>114705.14</v>
      </c>
      <c r="H8826" s="5">
        <v>6070</v>
      </c>
    </row>
    <row r="8827" spans="2:8" x14ac:dyDescent="0.4">
      <c r="B8827" t="s">
        <v>7</v>
      </c>
      <c r="C8827" t="s">
        <v>1294</v>
      </c>
      <c r="D8827" s="7">
        <f>DATE(2015,2,26)</f>
        <v>42061</v>
      </c>
      <c r="E8827" s="8">
        <f t="shared" si="142"/>
        <v>2015</v>
      </c>
      <c r="F8827" t="s">
        <v>1315</v>
      </c>
      <c r="G8827" s="9">
        <v>12345.12</v>
      </c>
      <c r="H8827" s="8">
        <v>142</v>
      </c>
    </row>
    <row r="8828" spans="2:8" x14ac:dyDescent="0.4">
      <c r="B8828" t="s">
        <v>7</v>
      </c>
      <c r="C8828" t="s">
        <v>1294</v>
      </c>
      <c r="D8828" s="7">
        <f>DATE(2015,3,9)</f>
        <v>42072</v>
      </c>
      <c r="E8828" s="8">
        <f t="shared" si="142"/>
        <v>2015</v>
      </c>
      <c r="F8828" t="s">
        <v>1315</v>
      </c>
      <c r="G8828" s="9">
        <v>152514.9</v>
      </c>
      <c r="H8828" s="8">
        <v>77</v>
      </c>
    </row>
    <row r="8829" spans="2:8" x14ac:dyDescent="0.4">
      <c r="B8829" t="s">
        <v>7</v>
      </c>
      <c r="C8829" t="s">
        <v>1294</v>
      </c>
      <c r="D8829" s="7">
        <f>DATE(2015,4,8)</f>
        <v>42102</v>
      </c>
      <c r="E8829" s="8">
        <f t="shared" si="142"/>
        <v>2015</v>
      </c>
      <c r="F8829" t="s">
        <v>1315</v>
      </c>
      <c r="G8829" s="9">
        <v>23327.67</v>
      </c>
      <c r="H8829" s="8">
        <v>289</v>
      </c>
    </row>
    <row r="8830" spans="2:8" x14ac:dyDescent="0.4">
      <c r="B8830" t="s">
        <v>7</v>
      </c>
      <c r="C8830" t="s">
        <v>1294</v>
      </c>
      <c r="D8830" s="7">
        <f>DATE(2015,4,8)</f>
        <v>42102</v>
      </c>
      <c r="E8830" s="8">
        <f t="shared" si="142"/>
        <v>2015</v>
      </c>
      <c r="F8830" t="s">
        <v>1315</v>
      </c>
      <c r="G8830" s="9">
        <v>29864.19</v>
      </c>
      <c r="H8830" s="8">
        <v>290</v>
      </c>
    </row>
    <row r="8831" spans="2:8" x14ac:dyDescent="0.4">
      <c r="B8831" t="s">
        <v>7</v>
      </c>
      <c r="C8831" t="s">
        <v>1294</v>
      </c>
      <c r="D8831" s="7">
        <f>DATE(2015,5,15)</f>
        <v>42139</v>
      </c>
      <c r="E8831" s="8">
        <f t="shared" si="142"/>
        <v>2015</v>
      </c>
      <c r="F8831" t="s">
        <v>1315</v>
      </c>
      <c r="G8831" s="9">
        <v>19446.830000000002</v>
      </c>
      <c r="H8831" s="8">
        <v>343</v>
      </c>
    </row>
    <row r="8832" spans="2:8" x14ac:dyDescent="0.4">
      <c r="B8832" t="s">
        <v>7</v>
      </c>
      <c r="C8832" t="s">
        <v>1294</v>
      </c>
      <c r="D8832" s="7">
        <f>DATE(2015,5,15)</f>
        <v>42139</v>
      </c>
      <c r="E8832" s="8">
        <f t="shared" si="142"/>
        <v>2015</v>
      </c>
      <c r="F8832" t="s">
        <v>1315</v>
      </c>
      <c r="G8832" s="9">
        <v>28871.65</v>
      </c>
      <c r="H8832" s="8">
        <v>292</v>
      </c>
    </row>
    <row r="8833" spans="2:8" x14ac:dyDescent="0.4">
      <c r="B8833" t="s">
        <v>7</v>
      </c>
      <c r="C8833" t="s">
        <v>1294</v>
      </c>
      <c r="D8833" s="7">
        <f>DATE(2015,5,15)</f>
        <v>42139</v>
      </c>
      <c r="E8833" s="8">
        <f t="shared" si="142"/>
        <v>2015</v>
      </c>
      <c r="F8833" t="s">
        <v>1315</v>
      </c>
      <c r="G8833" s="9">
        <v>34576.089999999997</v>
      </c>
      <c r="H8833" s="8">
        <v>291</v>
      </c>
    </row>
    <row r="8834" spans="2:8" x14ac:dyDescent="0.4">
      <c r="B8834" t="s">
        <v>7</v>
      </c>
      <c r="C8834" t="s">
        <v>1294</v>
      </c>
      <c r="D8834" s="7">
        <f>DATE(2015,5,28)</f>
        <v>42152</v>
      </c>
      <c r="E8834" s="8">
        <f t="shared" si="142"/>
        <v>2015</v>
      </c>
      <c r="F8834" t="s">
        <v>1315</v>
      </c>
      <c r="G8834" s="9">
        <v>342488.8</v>
      </c>
      <c r="H8834" s="8">
        <v>132</v>
      </c>
    </row>
    <row r="8835" spans="2:8" x14ac:dyDescent="0.4">
      <c r="B8835" t="s">
        <v>7</v>
      </c>
      <c r="C8835" t="s">
        <v>1294</v>
      </c>
      <c r="D8835" s="7">
        <f>DATE(2015,7,31)</f>
        <v>42216</v>
      </c>
      <c r="E8835" s="8">
        <f t="shared" ref="E8835:E8898" si="144">YEAR(D8835)</f>
        <v>2015</v>
      </c>
      <c r="F8835" t="s">
        <v>1315</v>
      </c>
      <c r="G8835" s="9">
        <v>89364.52</v>
      </c>
      <c r="H8835" s="8">
        <v>20769</v>
      </c>
    </row>
    <row r="8836" spans="2:8" x14ac:dyDescent="0.4">
      <c r="B8836" t="s">
        <v>7</v>
      </c>
      <c r="C8836" t="s">
        <v>1294</v>
      </c>
      <c r="D8836" s="7">
        <f>DATE(2015,7,31)</f>
        <v>42216</v>
      </c>
      <c r="E8836" s="8">
        <f t="shared" si="144"/>
        <v>2015</v>
      </c>
      <c r="F8836" t="s">
        <v>1315</v>
      </c>
      <c r="G8836" s="9">
        <v>2798.2</v>
      </c>
      <c r="H8836" s="8">
        <v>20490</v>
      </c>
    </row>
    <row r="8837" spans="2:8" x14ac:dyDescent="0.4">
      <c r="B8837" t="s">
        <v>7</v>
      </c>
      <c r="C8837" t="s">
        <v>1294</v>
      </c>
      <c r="D8837" s="7">
        <f>DATE(2015,7,31)</f>
        <v>42216</v>
      </c>
      <c r="E8837" s="8">
        <f t="shared" si="144"/>
        <v>2015</v>
      </c>
      <c r="F8837" t="s">
        <v>1315</v>
      </c>
      <c r="G8837" s="9">
        <v>3498.81</v>
      </c>
      <c r="H8837" s="8">
        <v>20488</v>
      </c>
    </row>
    <row r="8838" spans="2:8" x14ac:dyDescent="0.4">
      <c r="B8838" t="s">
        <v>7</v>
      </c>
      <c r="C8838" t="s">
        <v>1294</v>
      </c>
      <c r="D8838" s="7">
        <f>DATE(2015,7,31)</f>
        <v>42216</v>
      </c>
      <c r="E8838" s="8">
        <f t="shared" si="144"/>
        <v>2015</v>
      </c>
      <c r="F8838" t="s">
        <v>1315</v>
      </c>
      <c r="G8838" s="9">
        <v>4767.2700000000004</v>
      </c>
      <c r="H8838" s="8">
        <v>20489</v>
      </c>
    </row>
    <row r="8839" spans="2:8" x14ac:dyDescent="0.4">
      <c r="B8839" t="s">
        <v>7</v>
      </c>
      <c r="C8839" t="s">
        <v>1294</v>
      </c>
      <c r="D8839" s="7">
        <f>DATE(2015,7,31)</f>
        <v>42216</v>
      </c>
      <c r="E8839" s="8">
        <f t="shared" si="144"/>
        <v>2015</v>
      </c>
      <c r="F8839" t="s">
        <v>1315</v>
      </c>
      <c r="G8839" s="9">
        <v>14579</v>
      </c>
      <c r="H8839" s="8">
        <v>20712</v>
      </c>
    </row>
    <row r="8840" spans="2:8" x14ac:dyDescent="0.4">
      <c r="B8840" t="s">
        <v>7</v>
      </c>
      <c r="C8840" t="s">
        <v>1294</v>
      </c>
      <c r="D8840" s="7">
        <f>DATE(2015,11,3)</f>
        <v>42311</v>
      </c>
      <c r="E8840" s="8">
        <f t="shared" si="144"/>
        <v>2015</v>
      </c>
      <c r="F8840" t="s">
        <v>1315</v>
      </c>
      <c r="G8840" s="9">
        <v>113768.06</v>
      </c>
      <c r="H8840" s="8">
        <v>21225</v>
      </c>
    </row>
    <row r="8841" spans="2:8" x14ac:dyDescent="0.4">
      <c r="B8841" t="s">
        <v>7</v>
      </c>
      <c r="C8841" t="s">
        <v>1294</v>
      </c>
      <c r="D8841" s="7">
        <f>DATE(2016,3,16)</f>
        <v>42445</v>
      </c>
      <c r="E8841" s="8">
        <f t="shared" si="144"/>
        <v>2016</v>
      </c>
      <c r="F8841" t="s">
        <v>1315</v>
      </c>
      <c r="G8841" s="9">
        <v>18648.04</v>
      </c>
      <c r="H8841" s="8">
        <v>22046</v>
      </c>
    </row>
    <row r="8842" spans="2:8" x14ac:dyDescent="0.4">
      <c r="B8842" t="s">
        <v>7</v>
      </c>
      <c r="C8842" t="s">
        <v>1294</v>
      </c>
      <c r="D8842" s="7">
        <f>DATE(2016,5,4)</f>
        <v>42494</v>
      </c>
      <c r="E8842" s="8">
        <f t="shared" si="144"/>
        <v>2016</v>
      </c>
      <c r="F8842" t="s">
        <v>1315</v>
      </c>
      <c r="G8842" s="9">
        <v>13345.54</v>
      </c>
      <c r="H8842" s="8">
        <v>22033</v>
      </c>
    </row>
    <row r="8843" spans="2:8" x14ac:dyDescent="0.4">
      <c r="B8843" t="s">
        <v>7</v>
      </c>
      <c r="C8843" t="s">
        <v>1294</v>
      </c>
      <c r="D8843" s="7">
        <f>DATE(2016,5,24)</f>
        <v>42514</v>
      </c>
      <c r="E8843" s="8">
        <f t="shared" si="144"/>
        <v>2016</v>
      </c>
      <c r="F8843" t="s">
        <v>1315</v>
      </c>
      <c r="G8843" s="9">
        <v>69036.92</v>
      </c>
      <c r="H8843" s="8">
        <v>22034</v>
      </c>
    </row>
    <row r="8844" spans="2:8" x14ac:dyDescent="0.4">
      <c r="B8844" t="s">
        <v>7</v>
      </c>
      <c r="C8844" t="s">
        <v>1294</v>
      </c>
      <c r="D8844" s="7">
        <f>DATE(2016,5,24)</f>
        <v>42514</v>
      </c>
      <c r="E8844" s="8">
        <f t="shared" si="144"/>
        <v>2016</v>
      </c>
      <c r="F8844" t="s">
        <v>1315</v>
      </c>
      <c r="G8844" s="9">
        <v>6597.4</v>
      </c>
      <c r="H8844" s="8">
        <v>22209</v>
      </c>
    </row>
    <row r="8845" spans="2:8" x14ac:dyDescent="0.4">
      <c r="B8845" t="s">
        <v>7</v>
      </c>
      <c r="C8845" t="s">
        <v>1294</v>
      </c>
      <c r="D8845" s="7">
        <f>DATE(2016,5,26)</f>
        <v>42516</v>
      </c>
      <c r="E8845" s="8">
        <f t="shared" si="144"/>
        <v>2016</v>
      </c>
      <c r="F8845" t="s">
        <v>1315</v>
      </c>
      <c r="G8845" s="9">
        <v>124197.16</v>
      </c>
      <c r="H8845" s="8">
        <v>22198</v>
      </c>
    </row>
    <row r="8846" spans="2:8" x14ac:dyDescent="0.4">
      <c r="B8846" t="s">
        <v>7</v>
      </c>
      <c r="C8846" t="s">
        <v>1294</v>
      </c>
      <c r="D8846" s="7">
        <f>DATE(2016,5,24)</f>
        <v>42514</v>
      </c>
      <c r="E8846" s="8">
        <f t="shared" si="144"/>
        <v>2016</v>
      </c>
      <c r="F8846" t="s">
        <v>1315</v>
      </c>
      <c r="G8846" s="9">
        <v>18927.310000000001</v>
      </c>
      <c r="H8846" s="8">
        <v>22662</v>
      </c>
    </row>
    <row r="8847" spans="2:8" x14ac:dyDescent="0.4">
      <c r="B8847" t="s">
        <v>7</v>
      </c>
      <c r="C8847" t="s">
        <v>1294</v>
      </c>
      <c r="D8847" s="7">
        <f>DATE(2016,5,26)</f>
        <v>42516</v>
      </c>
      <c r="E8847" s="8">
        <f t="shared" si="144"/>
        <v>2016</v>
      </c>
      <c r="F8847" t="s">
        <v>1315</v>
      </c>
      <c r="G8847" s="9">
        <v>3210.92</v>
      </c>
      <c r="H8847" s="8">
        <v>22871</v>
      </c>
    </row>
    <row r="8848" spans="2:8" x14ac:dyDescent="0.4">
      <c r="B8848" t="s">
        <v>7</v>
      </c>
      <c r="C8848" t="s">
        <v>1294</v>
      </c>
      <c r="D8848" s="7">
        <f>DATE(2016,6,28)</f>
        <v>42549</v>
      </c>
      <c r="E8848" s="8">
        <f t="shared" si="144"/>
        <v>2016</v>
      </c>
      <c r="F8848" t="s">
        <v>1315</v>
      </c>
      <c r="G8848" s="9">
        <v>61975.74</v>
      </c>
      <c r="H8848" s="8">
        <v>21684</v>
      </c>
    </row>
    <row r="8849" spans="2:8" x14ac:dyDescent="0.4">
      <c r="B8849" t="s">
        <v>7</v>
      </c>
      <c r="C8849" t="s">
        <v>1294</v>
      </c>
      <c r="D8849" s="7">
        <f>DATE(2016,6,28)</f>
        <v>42549</v>
      </c>
      <c r="E8849" s="8">
        <f t="shared" si="144"/>
        <v>2016</v>
      </c>
      <c r="F8849" t="s">
        <v>1315</v>
      </c>
      <c r="G8849" s="9">
        <v>49150.79</v>
      </c>
      <c r="H8849" s="8">
        <v>22605</v>
      </c>
    </row>
    <row r="8850" spans="2:8" x14ac:dyDescent="0.4">
      <c r="B8850" t="s">
        <v>7</v>
      </c>
      <c r="C8850" t="s">
        <v>1294</v>
      </c>
      <c r="D8850" s="7">
        <f>DATE(2016,11,1)</f>
        <v>42675</v>
      </c>
      <c r="E8850" s="8">
        <f t="shared" si="144"/>
        <v>2016</v>
      </c>
      <c r="F8850" t="s">
        <v>1315</v>
      </c>
      <c r="G8850" s="9">
        <v>3998.17</v>
      </c>
      <c r="H8850" s="8">
        <v>23262</v>
      </c>
    </row>
    <row r="8851" spans="2:8" x14ac:dyDescent="0.4">
      <c r="B8851" t="s">
        <v>7</v>
      </c>
      <c r="C8851" t="s">
        <v>1294</v>
      </c>
      <c r="D8851" s="7">
        <f>DATE(2015,3,9)</f>
        <v>42072</v>
      </c>
      <c r="E8851" s="8">
        <f t="shared" si="144"/>
        <v>2015</v>
      </c>
      <c r="F8851" t="s">
        <v>1315</v>
      </c>
      <c r="G8851" s="9">
        <v>84123.9</v>
      </c>
      <c r="H8851" s="8">
        <v>68</v>
      </c>
    </row>
    <row r="8852" spans="2:8" x14ac:dyDescent="0.4">
      <c r="B8852" t="s">
        <v>16</v>
      </c>
      <c r="C8852" t="s">
        <v>1294</v>
      </c>
      <c r="D8852" s="7">
        <f>DATE(2014,2,18)</f>
        <v>41688</v>
      </c>
      <c r="E8852" s="8">
        <f t="shared" si="144"/>
        <v>2014</v>
      </c>
      <c r="F8852" t="s">
        <v>1315</v>
      </c>
      <c r="G8852" s="9">
        <v>6657.97</v>
      </c>
      <c r="H8852" s="8">
        <v>21641</v>
      </c>
    </row>
    <row r="8853" spans="2:8" x14ac:dyDescent="0.4">
      <c r="B8853" t="s">
        <v>16</v>
      </c>
      <c r="C8853" t="s">
        <v>1294</v>
      </c>
      <c r="D8853" s="7">
        <f>DATE(2014,2,16)</f>
        <v>41686</v>
      </c>
      <c r="E8853" s="8">
        <f t="shared" si="144"/>
        <v>2014</v>
      </c>
      <c r="F8853" t="s">
        <v>1315</v>
      </c>
      <c r="G8853" s="9">
        <v>13790.27</v>
      </c>
      <c r="H8853" s="8">
        <v>21642</v>
      </c>
    </row>
    <row r="8854" spans="2:8" x14ac:dyDescent="0.4">
      <c r="B8854" s="3" t="s">
        <v>7</v>
      </c>
      <c r="C8854" s="3" t="s">
        <v>1294</v>
      </c>
      <c r="D8854" s="4">
        <f>DATE(2013,3,18)</f>
        <v>41351</v>
      </c>
      <c r="E8854" s="5">
        <f t="shared" si="144"/>
        <v>2013</v>
      </c>
      <c r="F8854" s="3" t="s">
        <v>1315</v>
      </c>
      <c r="G8854" s="6">
        <v>4184.26</v>
      </c>
      <c r="H8854" s="5">
        <v>5479</v>
      </c>
    </row>
    <row r="8855" spans="2:8" x14ac:dyDescent="0.4">
      <c r="B8855" s="3" t="s">
        <v>7</v>
      </c>
      <c r="C8855" s="3" t="s">
        <v>1294</v>
      </c>
      <c r="D8855" s="4">
        <f>DATE(2013,3,18)</f>
        <v>41351</v>
      </c>
      <c r="E8855" s="5">
        <f t="shared" si="144"/>
        <v>2013</v>
      </c>
      <c r="F8855" s="3" t="s">
        <v>1315</v>
      </c>
      <c r="G8855" s="6">
        <v>12792.56</v>
      </c>
      <c r="H8855" s="5">
        <v>5477</v>
      </c>
    </row>
    <row r="8856" spans="2:8" x14ac:dyDescent="0.4">
      <c r="B8856" s="3" t="s">
        <v>7</v>
      </c>
      <c r="C8856" s="3" t="s">
        <v>1294</v>
      </c>
      <c r="D8856" s="4">
        <f>DATE(2013,3,18)</f>
        <v>41351</v>
      </c>
      <c r="E8856" s="5">
        <f t="shared" si="144"/>
        <v>2013</v>
      </c>
      <c r="F8856" s="3" t="s">
        <v>1315</v>
      </c>
      <c r="G8856" s="6">
        <v>19060.93</v>
      </c>
      <c r="H8856" s="5">
        <v>5478</v>
      </c>
    </row>
    <row r="8857" spans="2:8" x14ac:dyDescent="0.4">
      <c r="B8857" s="3" t="s">
        <v>7</v>
      </c>
      <c r="C8857" s="3" t="s">
        <v>1294</v>
      </c>
      <c r="D8857" s="4">
        <f>DATE(2013,4,24)</f>
        <v>41388</v>
      </c>
      <c r="E8857" s="5">
        <f t="shared" si="144"/>
        <v>2013</v>
      </c>
      <c r="F8857" s="3" t="s">
        <v>1315</v>
      </c>
      <c r="G8857" s="6">
        <v>6105.17</v>
      </c>
      <c r="H8857" s="5">
        <v>5503</v>
      </c>
    </row>
    <row r="8858" spans="2:8" x14ac:dyDescent="0.4">
      <c r="B8858" s="3" t="s">
        <v>7</v>
      </c>
      <c r="C8858" s="3" t="s">
        <v>1294</v>
      </c>
      <c r="D8858" s="4">
        <f>DATE(2013,4,24)</f>
        <v>41388</v>
      </c>
      <c r="E8858" s="5">
        <f t="shared" si="144"/>
        <v>2013</v>
      </c>
      <c r="F8858" s="3" t="s">
        <v>1315</v>
      </c>
      <c r="G8858" s="6">
        <v>6100</v>
      </c>
      <c r="H8858" s="5">
        <v>5504</v>
      </c>
    </row>
    <row r="8859" spans="2:8" x14ac:dyDescent="0.4">
      <c r="B8859" s="3" t="s">
        <v>7</v>
      </c>
      <c r="C8859" s="3" t="s">
        <v>1294</v>
      </c>
      <c r="D8859" s="4">
        <f>DATE(2013,4,24)</f>
        <v>41388</v>
      </c>
      <c r="E8859" s="5">
        <f t="shared" si="144"/>
        <v>2013</v>
      </c>
      <c r="F8859" s="3" t="s">
        <v>1315</v>
      </c>
      <c r="G8859" s="6">
        <v>126959.75</v>
      </c>
      <c r="H8859" s="5">
        <v>5463</v>
      </c>
    </row>
    <row r="8860" spans="2:8" x14ac:dyDescent="0.4">
      <c r="B8860" s="3" t="s">
        <v>7</v>
      </c>
      <c r="C8860" s="3" t="s">
        <v>1294</v>
      </c>
      <c r="D8860" s="4">
        <f>DATE(2013,4,24)</f>
        <v>41388</v>
      </c>
      <c r="E8860" s="5">
        <f t="shared" si="144"/>
        <v>2013</v>
      </c>
      <c r="F8860" s="3" t="s">
        <v>1315</v>
      </c>
      <c r="G8860" s="6">
        <v>145660.23000000001</v>
      </c>
      <c r="H8860" s="5">
        <v>5459</v>
      </c>
    </row>
    <row r="8861" spans="2:8" x14ac:dyDescent="0.4">
      <c r="B8861" s="3" t="s">
        <v>7</v>
      </c>
      <c r="C8861" s="3" t="s">
        <v>1294</v>
      </c>
      <c r="D8861" s="4">
        <f>DATE(2013,5,3)</f>
        <v>41397</v>
      </c>
      <c r="E8861" s="5">
        <f t="shared" si="144"/>
        <v>2013</v>
      </c>
      <c r="F8861" s="3" t="s">
        <v>1315</v>
      </c>
      <c r="G8861" s="6">
        <v>90258.4</v>
      </c>
      <c r="H8861" s="5">
        <v>5461</v>
      </c>
    </row>
    <row r="8862" spans="2:8" x14ac:dyDescent="0.4">
      <c r="B8862" s="3" t="s">
        <v>7</v>
      </c>
      <c r="C8862" s="3" t="s">
        <v>1294</v>
      </c>
      <c r="D8862" s="4">
        <f>DATE(2013,5,3)</f>
        <v>41397</v>
      </c>
      <c r="E8862" s="5">
        <f t="shared" si="144"/>
        <v>2013</v>
      </c>
      <c r="F8862" s="3" t="s">
        <v>1315</v>
      </c>
      <c r="G8862" s="6">
        <v>97825.64</v>
      </c>
      <c r="H8862" s="5">
        <v>5460</v>
      </c>
    </row>
    <row r="8863" spans="2:8" x14ac:dyDescent="0.4">
      <c r="B8863" s="3" t="s">
        <v>7</v>
      </c>
      <c r="C8863" s="3" t="s">
        <v>1294</v>
      </c>
      <c r="D8863" s="4">
        <f>DATE(2013,5,9)</f>
        <v>41403</v>
      </c>
      <c r="E8863" s="5">
        <f t="shared" si="144"/>
        <v>2013</v>
      </c>
      <c r="F8863" s="3" t="s">
        <v>1315</v>
      </c>
      <c r="G8863" s="6">
        <v>2471.58</v>
      </c>
      <c r="H8863" s="5">
        <v>5522</v>
      </c>
    </row>
    <row r="8864" spans="2:8" x14ac:dyDescent="0.4">
      <c r="B8864" s="3" t="s">
        <v>7</v>
      </c>
      <c r="C8864" s="3" t="s">
        <v>1294</v>
      </c>
      <c r="D8864" s="4">
        <f>DATE(2013,5,13)</f>
        <v>41407</v>
      </c>
      <c r="E8864" s="5">
        <f t="shared" si="144"/>
        <v>2013</v>
      </c>
      <c r="F8864" s="3" t="s">
        <v>1315</v>
      </c>
      <c r="G8864" s="6">
        <v>16722.3</v>
      </c>
      <c r="H8864" s="5">
        <v>5550</v>
      </c>
    </row>
    <row r="8865" spans="2:8" x14ac:dyDescent="0.4">
      <c r="B8865" s="3" t="s">
        <v>7</v>
      </c>
      <c r="C8865" s="3" t="s">
        <v>1294</v>
      </c>
      <c r="D8865" s="4">
        <f>DATE(2013,5,17)</f>
        <v>41411</v>
      </c>
      <c r="E8865" s="5">
        <f t="shared" si="144"/>
        <v>2013</v>
      </c>
      <c r="F8865" s="3" t="s">
        <v>1315</v>
      </c>
      <c r="G8865" s="6">
        <v>988.34</v>
      </c>
      <c r="H8865" s="5">
        <v>5593</v>
      </c>
    </row>
    <row r="8866" spans="2:8" x14ac:dyDescent="0.4">
      <c r="B8866" s="3" t="s">
        <v>7</v>
      </c>
      <c r="C8866" s="3" t="s">
        <v>1294</v>
      </c>
      <c r="D8866" s="4">
        <f>DATE(2013,6,25)</f>
        <v>41450</v>
      </c>
      <c r="E8866" s="5">
        <f t="shared" si="144"/>
        <v>2013</v>
      </c>
      <c r="F8866" s="3" t="s">
        <v>1315</v>
      </c>
      <c r="G8866" s="6">
        <v>7746.53</v>
      </c>
      <c r="H8866" s="5">
        <v>5587</v>
      </c>
    </row>
    <row r="8867" spans="2:8" x14ac:dyDescent="0.4">
      <c r="B8867" s="3" t="s">
        <v>7</v>
      </c>
      <c r="C8867" s="3" t="s">
        <v>1294</v>
      </c>
      <c r="D8867" s="4">
        <f>DATE(2013,6,25)</f>
        <v>41450</v>
      </c>
      <c r="E8867" s="5">
        <f t="shared" si="144"/>
        <v>2013</v>
      </c>
      <c r="F8867" s="3" t="s">
        <v>1315</v>
      </c>
      <c r="G8867" s="6">
        <v>5936.28</v>
      </c>
      <c r="H8867" s="5">
        <v>5586</v>
      </c>
    </row>
    <row r="8868" spans="2:8" x14ac:dyDescent="0.4">
      <c r="B8868" s="3" t="s">
        <v>7</v>
      </c>
      <c r="C8868" s="3" t="s">
        <v>1294</v>
      </c>
      <c r="D8868" s="4">
        <f>DATE(2013,6,25)</f>
        <v>41450</v>
      </c>
      <c r="E8868" s="5">
        <f t="shared" si="144"/>
        <v>2013</v>
      </c>
      <c r="F8868" s="3" t="s">
        <v>1315</v>
      </c>
      <c r="G8868" s="6">
        <v>3791.88</v>
      </c>
      <c r="H8868" s="5">
        <v>5584</v>
      </c>
    </row>
    <row r="8869" spans="2:8" x14ac:dyDescent="0.4">
      <c r="B8869" s="3" t="s">
        <v>7</v>
      </c>
      <c r="C8869" s="3" t="s">
        <v>1294</v>
      </c>
      <c r="D8869" s="4">
        <f>DATE(2014,2,24)</f>
        <v>41694</v>
      </c>
      <c r="E8869" s="5">
        <f t="shared" si="144"/>
        <v>2014</v>
      </c>
      <c r="F8869" s="3" t="s">
        <v>1315</v>
      </c>
      <c r="G8869" s="6">
        <v>3762</v>
      </c>
      <c r="H8869" s="5">
        <v>6032</v>
      </c>
    </row>
    <row r="8870" spans="2:8" x14ac:dyDescent="0.4">
      <c r="B8870" s="3" t="s">
        <v>7</v>
      </c>
      <c r="C8870" s="3" t="s">
        <v>1294</v>
      </c>
      <c r="D8870" s="4">
        <f>DATE(2014,2,24)</f>
        <v>41694</v>
      </c>
      <c r="E8870" s="5">
        <f t="shared" si="144"/>
        <v>2014</v>
      </c>
      <c r="F8870" s="3" t="s">
        <v>1315</v>
      </c>
      <c r="G8870" s="6">
        <v>4926.9399999999996</v>
      </c>
      <c r="H8870" s="5">
        <v>6031</v>
      </c>
    </row>
    <row r="8871" spans="2:8" x14ac:dyDescent="0.4">
      <c r="B8871" s="3" t="s">
        <v>7</v>
      </c>
      <c r="C8871" s="3" t="s">
        <v>1294</v>
      </c>
      <c r="D8871" s="4">
        <f>DATE(2014,2,25)</f>
        <v>41695</v>
      </c>
      <c r="E8871" s="5">
        <f t="shared" si="144"/>
        <v>2014</v>
      </c>
      <c r="F8871" s="3" t="s">
        <v>1315</v>
      </c>
      <c r="G8871" s="6">
        <v>15671.61</v>
      </c>
      <c r="H8871" s="5">
        <v>6002</v>
      </c>
    </row>
    <row r="8872" spans="2:8" x14ac:dyDescent="0.4">
      <c r="B8872" s="3" t="s">
        <v>7</v>
      </c>
      <c r="C8872" s="3" t="s">
        <v>1294</v>
      </c>
      <c r="D8872" s="4">
        <f>DATE(2014,3,10)</f>
        <v>41708</v>
      </c>
      <c r="E8872" s="5">
        <f t="shared" si="144"/>
        <v>2014</v>
      </c>
      <c r="F8872" s="3" t="s">
        <v>1315</v>
      </c>
      <c r="G8872" s="6">
        <v>73984.97</v>
      </c>
      <c r="H8872" s="5">
        <v>5935</v>
      </c>
    </row>
    <row r="8873" spans="2:8" x14ac:dyDescent="0.4">
      <c r="B8873" s="3" t="s">
        <v>7</v>
      </c>
      <c r="C8873" s="3" t="s">
        <v>1294</v>
      </c>
      <c r="D8873" s="4">
        <f>DATE(2014,3,10)</f>
        <v>41708</v>
      </c>
      <c r="E8873" s="5">
        <f t="shared" si="144"/>
        <v>2014</v>
      </c>
      <c r="F8873" s="3" t="s">
        <v>1315</v>
      </c>
      <c r="G8873" s="6">
        <v>3251.11</v>
      </c>
      <c r="H8873" s="5">
        <v>6091</v>
      </c>
    </row>
    <row r="8874" spans="2:8" x14ac:dyDescent="0.4">
      <c r="B8874" s="3" t="s">
        <v>7</v>
      </c>
      <c r="C8874" s="3" t="s">
        <v>1294</v>
      </c>
      <c r="D8874" s="4">
        <f>DATE(2014,3,10)</f>
        <v>41708</v>
      </c>
      <c r="E8874" s="5">
        <f t="shared" si="144"/>
        <v>2014</v>
      </c>
      <c r="F8874" s="3" t="s">
        <v>1315</v>
      </c>
      <c r="G8874" s="6">
        <v>13790.27</v>
      </c>
      <c r="H8874" s="5">
        <v>5973</v>
      </c>
    </row>
    <row r="8875" spans="2:8" x14ac:dyDescent="0.4">
      <c r="B8875" s="3" t="s">
        <v>7</v>
      </c>
      <c r="C8875" s="3" t="s">
        <v>1294</v>
      </c>
      <c r="D8875" s="4">
        <f>DATE(2014,2,18)</f>
        <v>41688</v>
      </c>
      <c r="E8875" s="5">
        <f t="shared" si="144"/>
        <v>2014</v>
      </c>
      <c r="F8875" s="3" t="s">
        <v>1315</v>
      </c>
      <c r="G8875" s="6">
        <v>6657.97</v>
      </c>
      <c r="H8875" s="5">
        <v>5974</v>
      </c>
    </row>
    <row r="8876" spans="2:8" x14ac:dyDescent="0.4">
      <c r="B8876" s="3" t="s">
        <v>7</v>
      </c>
      <c r="C8876" s="3" t="s">
        <v>1294</v>
      </c>
      <c r="D8876" s="4">
        <f>DATE(2014,3,26)</f>
        <v>41724</v>
      </c>
      <c r="E8876" s="5">
        <f t="shared" si="144"/>
        <v>2014</v>
      </c>
      <c r="F8876" s="3" t="s">
        <v>1315</v>
      </c>
      <c r="G8876" s="6">
        <v>69084.789999999994</v>
      </c>
      <c r="H8876" s="5">
        <v>6082</v>
      </c>
    </row>
    <row r="8877" spans="2:8" x14ac:dyDescent="0.4">
      <c r="B8877" s="3" t="s">
        <v>7</v>
      </c>
      <c r="C8877" s="3" t="s">
        <v>1294</v>
      </c>
      <c r="D8877" s="4">
        <f>DATE(2014,4,22)</f>
        <v>41751</v>
      </c>
      <c r="E8877" s="5">
        <f t="shared" si="144"/>
        <v>2014</v>
      </c>
      <c r="F8877" s="3" t="s">
        <v>1315</v>
      </c>
      <c r="G8877" s="6">
        <v>19428.12</v>
      </c>
      <c r="H8877" s="5">
        <v>5995</v>
      </c>
    </row>
    <row r="8878" spans="2:8" x14ac:dyDescent="0.4">
      <c r="B8878" s="3" t="s">
        <v>7</v>
      </c>
      <c r="C8878" s="3" t="s">
        <v>1294</v>
      </c>
      <c r="D8878" s="4">
        <f>DATE(2014,4,22)</f>
        <v>41751</v>
      </c>
      <c r="E8878" s="5">
        <f t="shared" si="144"/>
        <v>2014</v>
      </c>
      <c r="F8878" s="3" t="s">
        <v>1315</v>
      </c>
      <c r="G8878" s="6">
        <v>10066.35</v>
      </c>
      <c r="H8878" s="5">
        <v>5994</v>
      </c>
    </row>
    <row r="8879" spans="2:8" x14ac:dyDescent="0.4">
      <c r="B8879" s="3" t="s">
        <v>7</v>
      </c>
      <c r="C8879" s="3" t="s">
        <v>1294</v>
      </c>
      <c r="D8879" s="4">
        <f>DATE(2014,7,10)</f>
        <v>41830</v>
      </c>
      <c r="E8879" s="5">
        <f t="shared" si="144"/>
        <v>2014</v>
      </c>
      <c r="F8879" s="3" t="s">
        <v>1315</v>
      </c>
      <c r="G8879" s="6">
        <v>48341.440000000002</v>
      </c>
      <c r="H8879" s="5">
        <v>6256</v>
      </c>
    </row>
    <row r="8880" spans="2:8" x14ac:dyDescent="0.4">
      <c r="B8880" s="3" t="s">
        <v>7</v>
      </c>
      <c r="C8880" s="3" t="s">
        <v>1294</v>
      </c>
      <c r="D8880" s="4">
        <f>DATE(2014,7,10)</f>
        <v>41830</v>
      </c>
      <c r="E8880" s="5">
        <f t="shared" si="144"/>
        <v>2014</v>
      </c>
      <c r="F8880" s="3" t="s">
        <v>1315</v>
      </c>
      <c r="G8880" s="6">
        <v>45247.81</v>
      </c>
      <c r="H8880" s="5">
        <v>6269</v>
      </c>
    </row>
    <row r="8881" spans="2:8" x14ac:dyDescent="0.4">
      <c r="B8881" s="3" t="s">
        <v>7</v>
      </c>
      <c r="C8881" s="3" t="s">
        <v>1294</v>
      </c>
      <c r="D8881" s="4">
        <f>DATE(2014,8,4)</f>
        <v>41855</v>
      </c>
      <c r="E8881" s="5">
        <f t="shared" si="144"/>
        <v>2014</v>
      </c>
      <c r="F8881" s="3" t="s">
        <v>1315</v>
      </c>
      <c r="G8881" s="6">
        <v>9280.26</v>
      </c>
      <c r="H8881" s="5">
        <v>6305</v>
      </c>
    </row>
    <row r="8882" spans="2:8" x14ac:dyDescent="0.4">
      <c r="B8882" s="3" t="s">
        <v>7</v>
      </c>
      <c r="C8882" s="3" t="s">
        <v>1294</v>
      </c>
      <c r="D8882" s="4">
        <f>DATE(2014,10,2)</f>
        <v>41914</v>
      </c>
      <c r="E8882" s="5">
        <f t="shared" si="144"/>
        <v>2014</v>
      </c>
      <c r="F8882" s="3" t="s">
        <v>1315</v>
      </c>
      <c r="G8882" s="6">
        <v>99130.05</v>
      </c>
      <c r="H8882" s="5">
        <v>6295</v>
      </c>
    </row>
    <row r="8883" spans="2:8" x14ac:dyDescent="0.4">
      <c r="B8883" s="3" t="s">
        <v>7</v>
      </c>
      <c r="C8883" s="3" t="s">
        <v>1294</v>
      </c>
      <c r="D8883" s="4">
        <f>DATE(2014,2,8)</f>
        <v>41678</v>
      </c>
      <c r="E8883" s="5">
        <f t="shared" si="144"/>
        <v>2014</v>
      </c>
      <c r="F8883" s="3" t="s">
        <v>1315</v>
      </c>
      <c r="G8883" s="6">
        <v>90523.22</v>
      </c>
      <c r="H8883" s="5">
        <v>5876</v>
      </c>
    </row>
    <row r="8884" spans="2:8" x14ac:dyDescent="0.4">
      <c r="B8884" s="3" t="s">
        <v>7</v>
      </c>
      <c r="C8884" s="3" t="s">
        <v>1294</v>
      </c>
      <c r="D8884" s="4">
        <f>DATE(2014,3,10)</f>
        <v>41708</v>
      </c>
      <c r="E8884" s="5">
        <f t="shared" si="144"/>
        <v>2014</v>
      </c>
      <c r="F8884" s="3" t="s">
        <v>1315</v>
      </c>
      <c r="G8884" s="6">
        <v>4913.1499999999996</v>
      </c>
      <c r="H8884" s="5">
        <v>6090</v>
      </c>
    </row>
    <row r="8885" spans="2:8" x14ac:dyDescent="0.4">
      <c r="B8885" s="3" t="s">
        <v>7</v>
      </c>
      <c r="C8885" s="3" t="s">
        <v>1294</v>
      </c>
      <c r="D8885" s="4">
        <f>DATE(2014,7,17)</f>
        <v>41837</v>
      </c>
      <c r="E8885" s="5">
        <f t="shared" si="144"/>
        <v>2014</v>
      </c>
      <c r="F8885" s="3" t="s">
        <v>1315</v>
      </c>
      <c r="G8885" s="6">
        <v>76939.22</v>
      </c>
      <c r="H8885" s="5">
        <v>6288</v>
      </c>
    </row>
    <row r="8886" spans="2:8" x14ac:dyDescent="0.4">
      <c r="B8886" s="3" t="s">
        <v>16</v>
      </c>
      <c r="C8886" s="3" t="s">
        <v>1294</v>
      </c>
      <c r="D8886" s="4">
        <f>DATE(2014,7,18)</f>
        <v>41838</v>
      </c>
      <c r="E8886" s="5">
        <f t="shared" si="144"/>
        <v>2014</v>
      </c>
      <c r="F8886" s="3" t="s">
        <v>1315</v>
      </c>
      <c r="G8886" s="6">
        <v>90523.22</v>
      </c>
      <c r="H8886" s="5">
        <v>6290</v>
      </c>
    </row>
    <row r="8887" spans="2:8" x14ac:dyDescent="0.4">
      <c r="B8887" s="3" t="s">
        <v>16</v>
      </c>
      <c r="C8887" s="3" t="s">
        <v>1294</v>
      </c>
      <c r="D8887" s="4">
        <f>DATE(2014,8,4)</f>
        <v>41855</v>
      </c>
      <c r="E8887" s="5">
        <f t="shared" si="144"/>
        <v>2014</v>
      </c>
      <c r="F8887" s="3" t="s">
        <v>1315</v>
      </c>
      <c r="G8887" s="6">
        <v>15671.61</v>
      </c>
      <c r="H8887" s="5">
        <v>6308</v>
      </c>
    </row>
    <row r="8888" spans="2:8" x14ac:dyDescent="0.4">
      <c r="B8888" t="s">
        <v>7</v>
      </c>
      <c r="C8888" t="s">
        <v>1316</v>
      </c>
      <c r="D8888" s="7">
        <f>DATE(2013,3,27)</f>
        <v>41360</v>
      </c>
      <c r="E8888" s="8">
        <f t="shared" si="144"/>
        <v>2013</v>
      </c>
      <c r="F8888" t="s">
        <v>1317</v>
      </c>
      <c r="G8888" s="9">
        <v>18358</v>
      </c>
      <c r="H8888" s="8">
        <v>12296</v>
      </c>
    </row>
    <row r="8889" spans="2:8" x14ac:dyDescent="0.4">
      <c r="B8889" s="3" t="s">
        <v>7</v>
      </c>
      <c r="C8889" s="3" t="s">
        <v>1316</v>
      </c>
      <c r="D8889" s="4">
        <f>DATE(2013,3,29)</f>
        <v>41362</v>
      </c>
      <c r="E8889" s="5">
        <f t="shared" si="144"/>
        <v>2013</v>
      </c>
      <c r="F8889" s="3" t="s">
        <v>1317</v>
      </c>
      <c r="G8889" s="6">
        <v>681</v>
      </c>
      <c r="H8889" s="5">
        <v>18325</v>
      </c>
    </row>
    <row r="8890" spans="2:8" x14ac:dyDescent="0.4">
      <c r="B8890" t="s">
        <v>7</v>
      </c>
      <c r="C8890" t="s">
        <v>1318</v>
      </c>
      <c r="D8890" s="7">
        <f>DATE(2016,2,17)</f>
        <v>42417</v>
      </c>
      <c r="E8890" s="8">
        <f t="shared" si="144"/>
        <v>2016</v>
      </c>
      <c r="F8890" t="s">
        <v>1319</v>
      </c>
      <c r="G8890" s="9">
        <v>335</v>
      </c>
      <c r="H8890" s="8">
        <v>22158</v>
      </c>
    </row>
    <row r="8891" spans="2:8" x14ac:dyDescent="0.4">
      <c r="B8891" t="s">
        <v>7</v>
      </c>
      <c r="C8891" t="s">
        <v>1318</v>
      </c>
      <c r="D8891" s="7">
        <f>DATE(2016,3,9)</f>
        <v>42438</v>
      </c>
      <c r="E8891" s="8">
        <f t="shared" si="144"/>
        <v>2016</v>
      </c>
      <c r="F8891" t="s">
        <v>1319</v>
      </c>
      <c r="G8891" s="9">
        <v>255</v>
      </c>
      <c r="H8891" s="8">
        <v>22342</v>
      </c>
    </row>
    <row r="8892" spans="2:8" x14ac:dyDescent="0.4">
      <c r="B8892" t="s">
        <v>7</v>
      </c>
      <c r="C8892" t="s">
        <v>1318</v>
      </c>
      <c r="D8892" s="7">
        <f>DATE(2016,11,10)</f>
        <v>42684</v>
      </c>
      <c r="E8892" s="8">
        <f t="shared" si="144"/>
        <v>2016</v>
      </c>
      <c r="F8892" t="s">
        <v>1319</v>
      </c>
      <c r="G8892" s="9">
        <v>1010.34</v>
      </c>
      <c r="H8892" s="8">
        <v>23791</v>
      </c>
    </row>
    <row r="8893" spans="2:8" x14ac:dyDescent="0.4">
      <c r="B8893" t="s">
        <v>7</v>
      </c>
      <c r="C8893" t="s">
        <v>1318</v>
      </c>
      <c r="D8893" s="7">
        <f>DATE(2017,2,7)</f>
        <v>42773</v>
      </c>
      <c r="E8893" s="8">
        <f t="shared" si="144"/>
        <v>2017</v>
      </c>
      <c r="F8893" t="s">
        <v>1319</v>
      </c>
      <c r="G8893" s="9">
        <v>736</v>
      </c>
      <c r="H8893" s="8">
        <v>24235</v>
      </c>
    </row>
    <row r="8894" spans="2:8" x14ac:dyDescent="0.4">
      <c r="B8894" t="s">
        <v>7</v>
      </c>
      <c r="C8894" t="s">
        <v>1318</v>
      </c>
      <c r="D8894" s="7">
        <f>DATE(2017,2,15)</f>
        <v>42781</v>
      </c>
      <c r="E8894" s="8">
        <f t="shared" si="144"/>
        <v>2017</v>
      </c>
      <c r="F8894" t="s">
        <v>1319</v>
      </c>
      <c r="G8894" s="9">
        <v>94</v>
      </c>
      <c r="H8894" s="8">
        <v>24269</v>
      </c>
    </row>
    <row r="8895" spans="2:8" x14ac:dyDescent="0.4">
      <c r="B8895" t="s">
        <v>7</v>
      </c>
      <c r="C8895" t="s">
        <v>1318</v>
      </c>
      <c r="D8895" s="7">
        <f>DATE(2017,7,17)</f>
        <v>42933</v>
      </c>
      <c r="E8895" s="8">
        <f t="shared" si="144"/>
        <v>2017</v>
      </c>
      <c r="F8895" t="s">
        <v>1319</v>
      </c>
      <c r="G8895" s="9">
        <v>116.1</v>
      </c>
      <c r="H8895" s="8">
        <v>25254</v>
      </c>
    </row>
    <row r="8896" spans="2:8" x14ac:dyDescent="0.4">
      <c r="B8896" t="s">
        <v>7</v>
      </c>
      <c r="C8896" t="s">
        <v>1318</v>
      </c>
      <c r="D8896" s="7">
        <f>DATE(2018,2,9)</f>
        <v>43140</v>
      </c>
      <c r="E8896" s="8">
        <f t="shared" si="144"/>
        <v>2018</v>
      </c>
      <c r="F8896" t="s">
        <v>1319</v>
      </c>
      <c r="G8896" s="9">
        <v>576</v>
      </c>
      <c r="H8896" s="8">
        <v>26411</v>
      </c>
    </row>
    <row r="8897" spans="2:8" x14ac:dyDescent="0.4">
      <c r="B8897" t="s">
        <v>7</v>
      </c>
      <c r="C8897" t="s">
        <v>1318</v>
      </c>
      <c r="D8897" s="7">
        <f>DATE(2006,10,9)</f>
        <v>38999</v>
      </c>
      <c r="E8897" s="8">
        <f t="shared" si="144"/>
        <v>2006</v>
      </c>
      <c r="F8897" t="s">
        <v>1319</v>
      </c>
      <c r="G8897" s="9">
        <v>27275.74</v>
      </c>
      <c r="H8897" s="8">
        <v>4968</v>
      </c>
    </row>
    <row r="8898" spans="2:8" x14ac:dyDescent="0.4">
      <c r="B8898" t="s">
        <v>7</v>
      </c>
      <c r="C8898" t="s">
        <v>1318</v>
      </c>
      <c r="D8898" s="7">
        <f>DATE(2003,11,12)</f>
        <v>37937</v>
      </c>
      <c r="E8898" s="8">
        <f t="shared" si="144"/>
        <v>2003</v>
      </c>
      <c r="F8898" t="s">
        <v>1319</v>
      </c>
      <c r="G8898" s="9">
        <v>8482.0400000000009</v>
      </c>
      <c r="H8898" s="8">
        <v>1012</v>
      </c>
    </row>
    <row r="8899" spans="2:8" x14ac:dyDescent="0.4">
      <c r="B8899" t="s">
        <v>7</v>
      </c>
      <c r="C8899" t="s">
        <v>1318</v>
      </c>
      <c r="D8899" s="7">
        <f>DATE(2004,2,11)</f>
        <v>38028</v>
      </c>
      <c r="E8899" s="8">
        <f t="shared" ref="E8899:E8962" si="145">YEAR(D8899)</f>
        <v>2004</v>
      </c>
      <c r="F8899" t="s">
        <v>1319</v>
      </c>
      <c r="G8899" s="9">
        <v>8839.52</v>
      </c>
      <c r="H8899" s="8">
        <v>1292</v>
      </c>
    </row>
    <row r="8900" spans="2:8" x14ac:dyDescent="0.4">
      <c r="B8900" t="s">
        <v>7</v>
      </c>
      <c r="C8900" t="s">
        <v>1318</v>
      </c>
      <c r="D8900" s="7">
        <f>DATE(2004,3,5)</f>
        <v>38051</v>
      </c>
      <c r="E8900" s="8">
        <f t="shared" si="145"/>
        <v>2004</v>
      </c>
      <c r="F8900" t="s">
        <v>1319</v>
      </c>
      <c r="G8900" s="9">
        <v>2366.42</v>
      </c>
      <c r="H8900" s="8">
        <v>1442</v>
      </c>
    </row>
    <row r="8901" spans="2:8" x14ac:dyDescent="0.4">
      <c r="B8901" t="s">
        <v>7</v>
      </c>
      <c r="C8901" t="s">
        <v>1318</v>
      </c>
      <c r="D8901" s="7">
        <f>DATE(2004,4,1)</f>
        <v>38078</v>
      </c>
      <c r="E8901" s="8">
        <f t="shared" si="145"/>
        <v>2004</v>
      </c>
      <c r="F8901" t="s">
        <v>1319</v>
      </c>
      <c r="G8901" s="9">
        <v>12708.38</v>
      </c>
      <c r="H8901" s="8">
        <v>1502</v>
      </c>
    </row>
    <row r="8902" spans="2:8" x14ac:dyDescent="0.4">
      <c r="B8902" t="s">
        <v>7</v>
      </c>
      <c r="C8902" t="s">
        <v>1318</v>
      </c>
      <c r="D8902" s="7">
        <f>DATE(2004,9,30)</f>
        <v>38260</v>
      </c>
      <c r="E8902" s="8">
        <f t="shared" si="145"/>
        <v>2004</v>
      </c>
      <c r="F8902" t="s">
        <v>1319</v>
      </c>
      <c r="G8902" s="9">
        <v>37409.93</v>
      </c>
      <c r="H8902" s="8">
        <v>2255</v>
      </c>
    </row>
    <row r="8903" spans="2:8" x14ac:dyDescent="0.4">
      <c r="B8903" t="s">
        <v>7</v>
      </c>
      <c r="C8903" t="s">
        <v>1318</v>
      </c>
      <c r="D8903" s="7">
        <f>DATE(2005,8,21)</f>
        <v>38585</v>
      </c>
      <c r="E8903" s="8">
        <f t="shared" si="145"/>
        <v>2005</v>
      </c>
      <c r="F8903" t="s">
        <v>1319</v>
      </c>
      <c r="G8903" s="9">
        <v>39685.08</v>
      </c>
      <c r="H8903" s="8">
        <v>3491</v>
      </c>
    </row>
    <row r="8904" spans="2:8" x14ac:dyDescent="0.4">
      <c r="B8904" t="s">
        <v>7</v>
      </c>
      <c r="C8904" t="s">
        <v>1318</v>
      </c>
      <c r="D8904" s="7">
        <f>DATE(2005,8,29)</f>
        <v>38593</v>
      </c>
      <c r="E8904" s="8">
        <f t="shared" si="145"/>
        <v>2005</v>
      </c>
      <c r="F8904" t="s">
        <v>1319</v>
      </c>
      <c r="G8904" s="9">
        <v>55225.04</v>
      </c>
      <c r="H8904" s="8">
        <v>3519</v>
      </c>
    </row>
    <row r="8905" spans="2:8" x14ac:dyDescent="0.4">
      <c r="B8905" t="s">
        <v>7</v>
      </c>
      <c r="C8905" t="s">
        <v>1318</v>
      </c>
      <c r="D8905" s="7">
        <f>DATE(2005,9,11)</f>
        <v>38606</v>
      </c>
      <c r="E8905" s="8">
        <f t="shared" si="145"/>
        <v>2005</v>
      </c>
      <c r="F8905" t="s">
        <v>1319</v>
      </c>
      <c r="G8905" s="9">
        <v>15724.05</v>
      </c>
      <c r="H8905" s="8">
        <v>3565</v>
      </c>
    </row>
    <row r="8906" spans="2:8" x14ac:dyDescent="0.4">
      <c r="B8906" t="s">
        <v>7</v>
      </c>
      <c r="C8906" t="s">
        <v>1318</v>
      </c>
      <c r="D8906" s="7">
        <f>DATE(2005,11,21)</f>
        <v>38677</v>
      </c>
      <c r="E8906" s="8">
        <f t="shared" si="145"/>
        <v>2005</v>
      </c>
      <c r="F8906" t="s">
        <v>1319</v>
      </c>
      <c r="G8906" s="9">
        <v>6814.89</v>
      </c>
      <c r="H8906" s="8">
        <v>3783</v>
      </c>
    </row>
    <row r="8907" spans="2:8" x14ac:dyDescent="0.4">
      <c r="B8907" t="s">
        <v>7</v>
      </c>
      <c r="C8907" t="s">
        <v>1318</v>
      </c>
      <c r="D8907" s="7">
        <f>DATE(2005,11,26)</f>
        <v>38682</v>
      </c>
      <c r="E8907" s="8">
        <f t="shared" si="145"/>
        <v>2005</v>
      </c>
      <c r="F8907" t="s">
        <v>1319</v>
      </c>
      <c r="G8907" s="9">
        <v>12489.11</v>
      </c>
      <c r="H8907" s="8">
        <v>3756</v>
      </c>
    </row>
    <row r="8908" spans="2:8" x14ac:dyDescent="0.4">
      <c r="B8908" t="s">
        <v>7</v>
      </c>
      <c r="C8908" t="s">
        <v>1318</v>
      </c>
      <c r="D8908" s="7">
        <f>DATE(2006,7,7)</f>
        <v>38905</v>
      </c>
      <c r="E8908" s="8">
        <f t="shared" si="145"/>
        <v>2006</v>
      </c>
      <c r="F8908" t="s">
        <v>1319</v>
      </c>
      <c r="G8908" s="9">
        <v>636.75</v>
      </c>
      <c r="H8908" s="8">
        <v>4773</v>
      </c>
    </row>
    <row r="8909" spans="2:8" x14ac:dyDescent="0.4">
      <c r="B8909" t="s">
        <v>7</v>
      </c>
      <c r="C8909" t="s">
        <v>1318</v>
      </c>
      <c r="D8909" s="7">
        <f>DATE(2006,11,25)</f>
        <v>39046</v>
      </c>
      <c r="E8909" s="8">
        <f t="shared" si="145"/>
        <v>2006</v>
      </c>
      <c r="F8909" t="s">
        <v>1319</v>
      </c>
      <c r="G8909" s="9">
        <v>15666.34</v>
      </c>
      <c r="H8909" s="8">
        <v>5198</v>
      </c>
    </row>
    <row r="8910" spans="2:8" x14ac:dyDescent="0.4">
      <c r="B8910" t="s">
        <v>7</v>
      </c>
      <c r="C8910" t="s">
        <v>1318</v>
      </c>
      <c r="D8910" s="7">
        <f>DATE(2007,1,7)</f>
        <v>39089</v>
      </c>
      <c r="E8910" s="8">
        <f t="shared" si="145"/>
        <v>2007</v>
      </c>
      <c r="F8910" t="s">
        <v>1319</v>
      </c>
      <c r="G8910" s="9">
        <v>3419.69</v>
      </c>
      <c r="H8910" s="8">
        <v>5333</v>
      </c>
    </row>
    <row r="8911" spans="2:8" x14ac:dyDescent="0.4">
      <c r="B8911" t="s">
        <v>7</v>
      </c>
      <c r="C8911" t="s">
        <v>1318</v>
      </c>
      <c r="D8911" s="7">
        <f>DATE(2012,10,17)</f>
        <v>41199</v>
      </c>
      <c r="E8911" s="8">
        <f t="shared" si="145"/>
        <v>2012</v>
      </c>
      <c r="F8911" t="s">
        <v>1319</v>
      </c>
      <c r="G8911" s="9">
        <v>11502.75</v>
      </c>
      <c r="H8911" s="8">
        <v>11918</v>
      </c>
    </row>
    <row r="8912" spans="2:8" x14ac:dyDescent="0.4">
      <c r="B8912" t="s">
        <v>7</v>
      </c>
      <c r="C8912" t="s">
        <v>1318</v>
      </c>
      <c r="D8912" s="7">
        <f>DATE(2012,11,15)</f>
        <v>41228</v>
      </c>
      <c r="E8912" s="8">
        <f t="shared" si="145"/>
        <v>2012</v>
      </c>
      <c r="F8912" t="s">
        <v>1319</v>
      </c>
      <c r="G8912" s="9">
        <v>7996.08</v>
      </c>
      <c r="H8912" s="8">
        <v>11991</v>
      </c>
    </row>
    <row r="8913" spans="2:8" x14ac:dyDescent="0.4">
      <c r="B8913" t="s">
        <v>7</v>
      </c>
      <c r="C8913" t="s">
        <v>1318</v>
      </c>
      <c r="D8913" s="7">
        <f>DATE(2013,2,22)</f>
        <v>41327</v>
      </c>
      <c r="E8913" s="8">
        <f t="shared" si="145"/>
        <v>2013</v>
      </c>
      <c r="F8913" t="s">
        <v>1319</v>
      </c>
      <c r="G8913" s="9">
        <v>13949.16</v>
      </c>
      <c r="H8913" s="8">
        <v>12176</v>
      </c>
    </row>
    <row r="8914" spans="2:8" x14ac:dyDescent="0.4">
      <c r="B8914" s="3" t="s">
        <v>7</v>
      </c>
      <c r="C8914" s="3" t="s">
        <v>1318</v>
      </c>
      <c r="D8914" s="4">
        <f>DATE(2003,2,17)</f>
        <v>37669</v>
      </c>
      <c r="E8914" s="5">
        <f t="shared" si="145"/>
        <v>2003</v>
      </c>
      <c r="F8914" s="3" t="s">
        <v>1319</v>
      </c>
      <c r="G8914" s="6">
        <v>42</v>
      </c>
      <c r="H8914" s="5">
        <v>311</v>
      </c>
    </row>
    <row r="8915" spans="2:8" x14ac:dyDescent="0.4">
      <c r="B8915" s="3" t="s">
        <v>7</v>
      </c>
      <c r="C8915" s="3" t="s">
        <v>1318</v>
      </c>
      <c r="D8915" s="4">
        <f>DATE(2003,2,25)</f>
        <v>37677</v>
      </c>
      <c r="E8915" s="5">
        <f t="shared" si="145"/>
        <v>2003</v>
      </c>
      <c r="F8915" s="3" t="s">
        <v>1319</v>
      </c>
      <c r="G8915" s="6">
        <v>726</v>
      </c>
      <c r="H8915" s="5">
        <v>378</v>
      </c>
    </row>
    <row r="8916" spans="2:8" x14ac:dyDescent="0.4">
      <c r="B8916" s="3" t="s">
        <v>7</v>
      </c>
      <c r="C8916" s="3" t="s">
        <v>1318</v>
      </c>
      <c r="D8916" s="4">
        <f>DATE(2003,3,11)</f>
        <v>37691</v>
      </c>
      <c r="E8916" s="5">
        <f t="shared" si="145"/>
        <v>2003</v>
      </c>
      <c r="F8916" s="3" t="s">
        <v>1319</v>
      </c>
      <c r="G8916" s="6">
        <v>366</v>
      </c>
      <c r="H8916" s="5">
        <v>481</v>
      </c>
    </row>
    <row r="8917" spans="2:8" x14ac:dyDescent="0.4">
      <c r="B8917" s="3" t="s">
        <v>7</v>
      </c>
      <c r="C8917" s="3" t="s">
        <v>1318</v>
      </c>
      <c r="D8917" s="4">
        <f>DATE(2003,4,4)</f>
        <v>37715</v>
      </c>
      <c r="E8917" s="5">
        <f t="shared" si="145"/>
        <v>2003</v>
      </c>
      <c r="F8917" s="3" t="s">
        <v>1319</v>
      </c>
      <c r="G8917" s="6">
        <v>2397.92</v>
      </c>
      <c r="H8917" s="5">
        <v>700</v>
      </c>
    </row>
    <row r="8918" spans="2:8" x14ac:dyDescent="0.4">
      <c r="B8918" s="3" t="s">
        <v>7</v>
      </c>
      <c r="C8918" s="3" t="s">
        <v>1318</v>
      </c>
      <c r="D8918" s="4">
        <f>DATE(2003,4,14)</f>
        <v>37725</v>
      </c>
      <c r="E8918" s="5">
        <f t="shared" si="145"/>
        <v>2003</v>
      </c>
      <c r="F8918" s="3" t="s">
        <v>1319</v>
      </c>
      <c r="G8918" s="6">
        <v>907</v>
      </c>
      <c r="H8918" s="5">
        <v>748</v>
      </c>
    </row>
    <row r="8919" spans="2:8" x14ac:dyDescent="0.4">
      <c r="B8919" s="3" t="s">
        <v>7</v>
      </c>
      <c r="C8919" s="3" t="s">
        <v>1318</v>
      </c>
      <c r="D8919" s="4">
        <f>DATE(2003,4,14)</f>
        <v>37725</v>
      </c>
      <c r="E8919" s="5">
        <f t="shared" si="145"/>
        <v>2003</v>
      </c>
      <c r="F8919" s="3" t="s">
        <v>1319</v>
      </c>
      <c r="G8919" s="6">
        <v>3495.5</v>
      </c>
      <c r="H8919" s="5">
        <v>730</v>
      </c>
    </row>
    <row r="8920" spans="2:8" x14ac:dyDescent="0.4">
      <c r="B8920" s="3" t="s">
        <v>7</v>
      </c>
      <c r="C8920" s="3" t="s">
        <v>1318</v>
      </c>
      <c r="D8920" s="4">
        <f>DATE(2003,4,16)</f>
        <v>37727</v>
      </c>
      <c r="E8920" s="5">
        <f t="shared" si="145"/>
        <v>2003</v>
      </c>
      <c r="F8920" s="3" t="s">
        <v>1319</v>
      </c>
      <c r="G8920" s="6">
        <v>156</v>
      </c>
      <c r="H8920" s="5">
        <v>827</v>
      </c>
    </row>
    <row r="8921" spans="2:8" x14ac:dyDescent="0.4">
      <c r="B8921" s="3" t="s">
        <v>7</v>
      </c>
      <c r="C8921" s="3" t="s">
        <v>1318</v>
      </c>
      <c r="D8921" s="4">
        <f>DATE(2003,7,9)</f>
        <v>37811</v>
      </c>
      <c r="E8921" s="5">
        <f t="shared" si="145"/>
        <v>2003</v>
      </c>
      <c r="F8921" s="3" t="s">
        <v>1319</v>
      </c>
      <c r="G8921" s="6">
        <v>231</v>
      </c>
      <c r="H8921" s="5">
        <v>1166</v>
      </c>
    </row>
    <row r="8922" spans="2:8" x14ac:dyDescent="0.4">
      <c r="B8922" s="3" t="s">
        <v>7</v>
      </c>
      <c r="C8922" s="3" t="s">
        <v>1318</v>
      </c>
      <c r="D8922" s="4">
        <f>DATE(2003,11,26)</f>
        <v>37951</v>
      </c>
      <c r="E8922" s="5">
        <f t="shared" si="145"/>
        <v>2003</v>
      </c>
      <c r="F8922" s="3" t="s">
        <v>1319</v>
      </c>
      <c r="G8922" s="6">
        <v>277.79000000000002</v>
      </c>
      <c r="H8922" s="5">
        <v>1815</v>
      </c>
    </row>
    <row r="8923" spans="2:8" x14ac:dyDescent="0.4">
      <c r="B8923" s="3" t="s">
        <v>7</v>
      </c>
      <c r="C8923" s="3" t="s">
        <v>1318</v>
      </c>
      <c r="D8923" s="4">
        <f>DATE(2004,2,20)</f>
        <v>38037</v>
      </c>
      <c r="E8923" s="5">
        <f t="shared" si="145"/>
        <v>2004</v>
      </c>
      <c r="F8923" s="3" t="s">
        <v>1319</v>
      </c>
      <c r="G8923" s="6">
        <v>2552.7199999999998</v>
      </c>
      <c r="H8923" s="5">
        <v>2200</v>
      </c>
    </row>
    <row r="8924" spans="2:8" x14ac:dyDescent="0.4">
      <c r="B8924" s="3" t="s">
        <v>7</v>
      </c>
      <c r="C8924" s="3" t="s">
        <v>1318</v>
      </c>
      <c r="D8924" s="4">
        <f>DATE(2004,10,8)</f>
        <v>38268</v>
      </c>
      <c r="E8924" s="5">
        <f t="shared" si="145"/>
        <v>2004</v>
      </c>
      <c r="F8924" s="3" t="s">
        <v>1319</v>
      </c>
      <c r="G8924" s="6">
        <v>70</v>
      </c>
      <c r="H8924" s="5">
        <v>3553</v>
      </c>
    </row>
    <row r="8925" spans="2:8" x14ac:dyDescent="0.4">
      <c r="B8925" s="3" t="s">
        <v>7</v>
      </c>
      <c r="C8925" s="3" t="s">
        <v>1318</v>
      </c>
      <c r="D8925" s="4">
        <f>DATE(2004,10,28)</f>
        <v>38288</v>
      </c>
      <c r="E8925" s="5">
        <f t="shared" si="145"/>
        <v>2004</v>
      </c>
      <c r="F8925" s="3" t="s">
        <v>1319</v>
      </c>
      <c r="G8925" s="6">
        <v>175</v>
      </c>
      <c r="H8925" s="5">
        <v>3643</v>
      </c>
    </row>
    <row r="8926" spans="2:8" x14ac:dyDescent="0.4">
      <c r="B8926" s="3" t="s">
        <v>7</v>
      </c>
      <c r="C8926" s="3" t="s">
        <v>1318</v>
      </c>
      <c r="D8926" s="4">
        <f>DATE(2005,2,17)</f>
        <v>38400</v>
      </c>
      <c r="E8926" s="5">
        <f t="shared" si="145"/>
        <v>2005</v>
      </c>
      <c r="F8926" s="3" t="s">
        <v>1319</v>
      </c>
      <c r="G8926" s="6">
        <v>3813</v>
      </c>
      <c r="H8926" s="5">
        <v>4154</v>
      </c>
    </row>
    <row r="8927" spans="2:8" x14ac:dyDescent="0.4">
      <c r="B8927" s="3" t="s">
        <v>7</v>
      </c>
      <c r="C8927" s="3" t="s">
        <v>1318</v>
      </c>
      <c r="D8927" s="4">
        <f>DATE(2005,4,20)</f>
        <v>38462</v>
      </c>
      <c r="E8927" s="5">
        <f t="shared" si="145"/>
        <v>2005</v>
      </c>
      <c r="F8927" s="3" t="s">
        <v>1319</v>
      </c>
      <c r="G8927" s="6">
        <v>2105</v>
      </c>
      <c r="H8927" s="5">
        <v>4605</v>
      </c>
    </row>
    <row r="8928" spans="2:8" x14ac:dyDescent="0.4">
      <c r="B8928" s="3" t="s">
        <v>7</v>
      </c>
      <c r="C8928" s="3" t="s">
        <v>1318</v>
      </c>
      <c r="D8928" s="4">
        <f>DATE(2005,6,1)</f>
        <v>38504</v>
      </c>
      <c r="E8928" s="5">
        <f t="shared" si="145"/>
        <v>2005</v>
      </c>
      <c r="F8928" s="3" t="s">
        <v>1319</v>
      </c>
      <c r="G8928" s="6">
        <v>2888.5</v>
      </c>
      <c r="H8928" s="5">
        <v>4822</v>
      </c>
    </row>
    <row r="8929" spans="2:8" x14ac:dyDescent="0.4">
      <c r="B8929" s="3" t="s">
        <v>7</v>
      </c>
      <c r="C8929" s="3" t="s">
        <v>1318</v>
      </c>
      <c r="D8929" s="4">
        <f>DATE(2005,10,3)</f>
        <v>38628</v>
      </c>
      <c r="E8929" s="5">
        <f t="shared" si="145"/>
        <v>2005</v>
      </c>
      <c r="F8929" s="3" t="s">
        <v>1319</v>
      </c>
      <c r="G8929" s="6">
        <v>75</v>
      </c>
      <c r="H8929" s="5">
        <v>5367</v>
      </c>
    </row>
    <row r="8930" spans="2:8" x14ac:dyDescent="0.4">
      <c r="B8930" s="3" t="s">
        <v>7</v>
      </c>
      <c r="C8930" s="3" t="s">
        <v>1318</v>
      </c>
      <c r="D8930" s="4">
        <f>DATE(2005,10,25)</f>
        <v>38650</v>
      </c>
      <c r="E8930" s="5">
        <f t="shared" si="145"/>
        <v>2005</v>
      </c>
      <c r="F8930" s="3" t="s">
        <v>1319</v>
      </c>
      <c r="G8930" s="6">
        <v>5716</v>
      </c>
      <c r="H8930" s="5">
        <v>5462</v>
      </c>
    </row>
    <row r="8931" spans="2:8" x14ac:dyDescent="0.4">
      <c r="B8931" s="3" t="s">
        <v>7</v>
      </c>
      <c r="C8931" s="3" t="s">
        <v>1318</v>
      </c>
      <c r="D8931" s="4">
        <f>DATE(2005,11,3)</f>
        <v>38659</v>
      </c>
      <c r="E8931" s="5">
        <f t="shared" si="145"/>
        <v>2005</v>
      </c>
      <c r="F8931" s="3" t="s">
        <v>1319</v>
      </c>
      <c r="G8931" s="6">
        <v>864.75</v>
      </c>
      <c r="H8931" s="5">
        <v>5522</v>
      </c>
    </row>
    <row r="8932" spans="2:8" x14ac:dyDescent="0.4">
      <c r="B8932" s="3" t="s">
        <v>7</v>
      </c>
      <c r="C8932" s="3" t="s">
        <v>1318</v>
      </c>
      <c r="D8932" s="4">
        <f>DATE(2005,11,9)</f>
        <v>38665</v>
      </c>
      <c r="E8932" s="5">
        <f t="shared" si="145"/>
        <v>2005</v>
      </c>
      <c r="F8932" s="3" t="s">
        <v>1319</v>
      </c>
      <c r="G8932" s="6">
        <v>35000</v>
      </c>
      <c r="H8932" s="5">
        <v>5579</v>
      </c>
    </row>
    <row r="8933" spans="2:8" x14ac:dyDescent="0.4">
      <c r="B8933" s="3" t="s">
        <v>7</v>
      </c>
      <c r="C8933" s="3" t="s">
        <v>1318</v>
      </c>
      <c r="D8933" s="4">
        <f>DATE(2005,11,17)</f>
        <v>38673</v>
      </c>
      <c r="E8933" s="5">
        <f t="shared" si="145"/>
        <v>2005</v>
      </c>
      <c r="F8933" s="3" t="s">
        <v>1319</v>
      </c>
      <c r="G8933" s="6">
        <v>1909</v>
      </c>
      <c r="H8933" s="5">
        <v>5592</v>
      </c>
    </row>
    <row r="8934" spans="2:8" x14ac:dyDescent="0.4">
      <c r="B8934" s="3" t="s">
        <v>7</v>
      </c>
      <c r="C8934" s="3" t="s">
        <v>1318</v>
      </c>
      <c r="D8934" s="4">
        <f>DATE(2006,4,3)</f>
        <v>38810</v>
      </c>
      <c r="E8934" s="5">
        <f t="shared" si="145"/>
        <v>2006</v>
      </c>
      <c r="F8934" s="3" t="s">
        <v>1319</v>
      </c>
      <c r="G8934" s="6">
        <v>87</v>
      </c>
      <c r="H8934" s="5">
        <v>6446</v>
      </c>
    </row>
    <row r="8935" spans="2:8" x14ac:dyDescent="0.4">
      <c r="B8935" s="3" t="s">
        <v>7</v>
      </c>
      <c r="C8935" s="3" t="s">
        <v>1318</v>
      </c>
      <c r="D8935" s="4">
        <f>DATE(2006,6,26)</f>
        <v>38894</v>
      </c>
      <c r="E8935" s="5">
        <f t="shared" si="145"/>
        <v>2006</v>
      </c>
      <c r="F8935" s="3" t="s">
        <v>1319</v>
      </c>
      <c r="G8935" s="6">
        <v>2792.5</v>
      </c>
      <c r="H8935" s="5">
        <v>6839</v>
      </c>
    </row>
    <row r="8936" spans="2:8" x14ac:dyDescent="0.4">
      <c r="B8936" s="3" t="s">
        <v>7</v>
      </c>
      <c r="C8936" s="3" t="s">
        <v>1318</v>
      </c>
      <c r="D8936" s="4">
        <f>DATE(2006,8,22)</f>
        <v>38951</v>
      </c>
      <c r="E8936" s="5">
        <f t="shared" si="145"/>
        <v>2006</v>
      </c>
      <c r="F8936" s="3" t="s">
        <v>1319</v>
      </c>
      <c r="G8936" s="6">
        <v>408</v>
      </c>
      <c r="H8936" s="5">
        <v>7131</v>
      </c>
    </row>
    <row r="8937" spans="2:8" x14ac:dyDescent="0.4">
      <c r="B8937" s="3" t="s">
        <v>7</v>
      </c>
      <c r="C8937" s="3" t="s">
        <v>1318</v>
      </c>
      <c r="D8937" s="4">
        <f>DATE(2006,11,6)</f>
        <v>39027</v>
      </c>
      <c r="E8937" s="5">
        <f t="shared" si="145"/>
        <v>2006</v>
      </c>
      <c r="F8937" s="3" t="s">
        <v>1319</v>
      </c>
      <c r="G8937" s="6">
        <v>23040</v>
      </c>
      <c r="H8937" s="5">
        <v>6980</v>
      </c>
    </row>
    <row r="8938" spans="2:8" x14ac:dyDescent="0.4">
      <c r="B8938" s="3" t="s">
        <v>7</v>
      </c>
      <c r="C8938" s="3" t="s">
        <v>1318</v>
      </c>
      <c r="D8938" s="4">
        <f>DATE(2007,6,14)</f>
        <v>39247</v>
      </c>
      <c r="E8938" s="5">
        <f t="shared" si="145"/>
        <v>2007</v>
      </c>
      <c r="F8938" s="3" t="s">
        <v>1319</v>
      </c>
      <c r="G8938" s="6">
        <v>35157.449999999997</v>
      </c>
      <c r="H8938" s="5">
        <v>8400</v>
      </c>
    </row>
    <row r="8939" spans="2:8" x14ac:dyDescent="0.4">
      <c r="B8939" s="3" t="s">
        <v>7</v>
      </c>
      <c r="C8939" s="3" t="s">
        <v>1318</v>
      </c>
      <c r="D8939" s="4">
        <f>DATE(2007,6,21)</f>
        <v>39254</v>
      </c>
      <c r="E8939" s="5">
        <f t="shared" si="145"/>
        <v>2007</v>
      </c>
      <c r="F8939" s="3" t="s">
        <v>1319</v>
      </c>
      <c r="G8939" s="6">
        <v>3867.82</v>
      </c>
      <c r="H8939" s="5">
        <v>8800</v>
      </c>
    </row>
    <row r="8940" spans="2:8" x14ac:dyDescent="0.4">
      <c r="B8940" s="3" t="s">
        <v>7</v>
      </c>
      <c r="C8940" s="3" t="s">
        <v>1318</v>
      </c>
      <c r="D8940" s="4">
        <f>DATE(2007,7,19)</f>
        <v>39282</v>
      </c>
      <c r="E8940" s="5">
        <f t="shared" si="145"/>
        <v>2007</v>
      </c>
      <c r="F8940" s="3" t="s">
        <v>1319</v>
      </c>
      <c r="G8940" s="6">
        <v>3488</v>
      </c>
      <c r="H8940" s="5">
        <v>8803</v>
      </c>
    </row>
    <row r="8941" spans="2:8" x14ac:dyDescent="0.4">
      <c r="B8941" s="3" t="s">
        <v>7</v>
      </c>
      <c r="C8941" s="3" t="s">
        <v>1318</v>
      </c>
      <c r="D8941" s="4">
        <f>DATE(2007,10,31)</f>
        <v>39386</v>
      </c>
      <c r="E8941" s="5">
        <f t="shared" si="145"/>
        <v>2007</v>
      </c>
      <c r="F8941" s="3" t="s">
        <v>1319</v>
      </c>
      <c r="G8941" s="6">
        <v>446.86</v>
      </c>
      <c r="H8941" s="5">
        <v>9418</v>
      </c>
    </row>
    <row r="8942" spans="2:8" x14ac:dyDescent="0.4">
      <c r="B8942" s="3" t="s">
        <v>7</v>
      </c>
      <c r="C8942" s="3" t="s">
        <v>1318</v>
      </c>
      <c r="D8942" s="4">
        <f>DATE(2008,4,29)</f>
        <v>39567</v>
      </c>
      <c r="E8942" s="5">
        <f t="shared" si="145"/>
        <v>2008</v>
      </c>
      <c r="F8942" s="3" t="s">
        <v>1319</v>
      </c>
      <c r="G8942" s="6">
        <v>118.34</v>
      </c>
      <c r="H8942" s="5">
        <v>10581</v>
      </c>
    </row>
    <row r="8943" spans="2:8" x14ac:dyDescent="0.4">
      <c r="B8943" s="3" t="s">
        <v>7</v>
      </c>
      <c r="C8943" s="3" t="s">
        <v>1318</v>
      </c>
      <c r="D8943" s="4">
        <f>DATE(2008,5,2)</f>
        <v>39570</v>
      </c>
      <c r="E8943" s="5">
        <f t="shared" si="145"/>
        <v>2008</v>
      </c>
      <c r="F8943" s="3" t="s">
        <v>1319</v>
      </c>
      <c r="G8943" s="6">
        <v>1173.6400000000001</v>
      </c>
      <c r="H8943" s="5">
        <v>10581</v>
      </c>
    </row>
    <row r="8944" spans="2:8" x14ac:dyDescent="0.4">
      <c r="B8944" s="3" t="s">
        <v>7</v>
      </c>
      <c r="C8944" s="3" t="s">
        <v>1318</v>
      </c>
      <c r="D8944" s="4">
        <f>DATE(2008,5,8)</f>
        <v>39576</v>
      </c>
      <c r="E8944" s="5">
        <f t="shared" si="145"/>
        <v>2008</v>
      </c>
      <c r="F8944" s="3" t="s">
        <v>1319</v>
      </c>
      <c r="G8944" s="6">
        <v>855.88</v>
      </c>
      <c r="H8944" s="5">
        <v>10631</v>
      </c>
    </row>
    <row r="8945" spans="2:8" x14ac:dyDescent="0.4">
      <c r="B8945" s="3" t="s">
        <v>7</v>
      </c>
      <c r="C8945" s="3" t="s">
        <v>1318</v>
      </c>
      <c r="D8945" s="4">
        <f>DATE(2008,6,13)</f>
        <v>39612</v>
      </c>
      <c r="E8945" s="5">
        <f t="shared" si="145"/>
        <v>2008</v>
      </c>
      <c r="F8945" s="3" t="s">
        <v>1319</v>
      </c>
      <c r="G8945" s="6">
        <v>569</v>
      </c>
      <c r="H8945" s="5">
        <v>10677</v>
      </c>
    </row>
    <row r="8946" spans="2:8" x14ac:dyDescent="0.4">
      <c r="B8946" s="3" t="s">
        <v>7</v>
      </c>
      <c r="C8946" s="3" t="s">
        <v>1318</v>
      </c>
      <c r="D8946" s="4">
        <f>DATE(2008,7,3)</f>
        <v>39632</v>
      </c>
      <c r="E8946" s="5">
        <f t="shared" si="145"/>
        <v>2008</v>
      </c>
      <c r="F8946" s="3" t="s">
        <v>1319</v>
      </c>
      <c r="G8946" s="6">
        <v>38988.239999999998</v>
      </c>
      <c r="H8946" s="5">
        <v>10498</v>
      </c>
    </row>
    <row r="8947" spans="2:8" x14ac:dyDescent="0.4">
      <c r="B8947" s="3" t="s">
        <v>7</v>
      </c>
      <c r="C8947" s="3" t="s">
        <v>1318</v>
      </c>
      <c r="D8947" s="4">
        <f>DATE(2008,7,16)</f>
        <v>39645</v>
      </c>
      <c r="E8947" s="5">
        <f t="shared" si="145"/>
        <v>2008</v>
      </c>
      <c r="F8947" s="3" t="s">
        <v>1319</v>
      </c>
      <c r="G8947" s="6">
        <v>377.56</v>
      </c>
      <c r="H8947" s="5">
        <v>10930</v>
      </c>
    </row>
    <row r="8948" spans="2:8" x14ac:dyDescent="0.4">
      <c r="B8948" s="3" t="s">
        <v>7</v>
      </c>
      <c r="C8948" s="3" t="s">
        <v>1318</v>
      </c>
      <c r="D8948" s="4">
        <f>DATE(2008,8,21)</f>
        <v>39681</v>
      </c>
      <c r="E8948" s="5">
        <f t="shared" si="145"/>
        <v>2008</v>
      </c>
      <c r="F8948" s="3" t="s">
        <v>1319</v>
      </c>
      <c r="G8948" s="6">
        <v>4689.5</v>
      </c>
      <c r="H8948" s="5">
        <v>10967</v>
      </c>
    </row>
    <row r="8949" spans="2:8" x14ac:dyDescent="0.4">
      <c r="B8949" s="3" t="s">
        <v>7</v>
      </c>
      <c r="C8949" s="3" t="s">
        <v>1318</v>
      </c>
      <c r="D8949" s="4">
        <f>DATE(2008,11,10)</f>
        <v>39762</v>
      </c>
      <c r="E8949" s="5">
        <f t="shared" si="145"/>
        <v>2008</v>
      </c>
      <c r="F8949" s="3" t="s">
        <v>1319</v>
      </c>
      <c r="G8949" s="6">
        <v>21600</v>
      </c>
      <c r="H8949" s="5">
        <v>11566</v>
      </c>
    </row>
    <row r="8950" spans="2:8" x14ac:dyDescent="0.4">
      <c r="B8950" s="3" t="s">
        <v>7</v>
      </c>
      <c r="C8950" s="3" t="s">
        <v>1318</v>
      </c>
      <c r="D8950" s="4">
        <f>DATE(2009,8,3)</f>
        <v>40028</v>
      </c>
      <c r="E8950" s="5">
        <f t="shared" si="145"/>
        <v>2009</v>
      </c>
      <c r="F8950" s="3" t="s">
        <v>1319</v>
      </c>
      <c r="G8950" s="6">
        <v>1130</v>
      </c>
      <c r="H8950" s="5">
        <v>12829</v>
      </c>
    </row>
    <row r="8951" spans="2:8" x14ac:dyDescent="0.4">
      <c r="B8951" s="3" t="s">
        <v>7</v>
      </c>
      <c r="C8951" s="3" t="s">
        <v>1318</v>
      </c>
      <c r="D8951" s="4">
        <f>DATE(2009,9,29)</f>
        <v>40085</v>
      </c>
      <c r="E8951" s="5">
        <f t="shared" si="145"/>
        <v>2009</v>
      </c>
      <c r="F8951" s="3" t="s">
        <v>1319</v>
      </c>
      <c r="G8951" s="6">
        <v>440.09</v>
      </c>
      <c r="H8951" s="5">
        <v>13058</v>
      </c>
    </row>
    <row r="8952" spans="2:8" x14ac:dyDescent="0.4">
      <c r="B8952" s="3" t="s">
        <v>7</v>
      </c>
      <c r="C8952" s="3" t="s">
        <v>1318</v>
      </c>
      <c r="D8952" s="4">
        <f>DATE(2010,2,25)</f>
        <v>40234</v>
      </c>
      <c r="E8952" s="5">
        <f t="shared" si="145"/>
        <v>2010</v>
      </c>
      <c r="F8952" s="3" t="s">
        <v>1319</v>
      </c>
      <c r="G8952" s="6">
        <v>570</v>
      </c>
      <c r="H8952" s="5">
        <v>13636</v>
      </c>
    </row>
    <row r="8953" spans="2:8" x14ac:dyDescent="0.4">
      <c r="B8953" s="3" t="s">
        <v>7</v>
      </c>
      <c r="C8953" s="3" t="s">
        <v>1318</v>
      </c>
      <c r="D8953" s="4">
        <f>DATE(2010,3,9)</f>
        <v>40246</v>
      </c>
      <c r="E8953" s="5">
        <f t="shared" si="145"/>
        <v>2010</v>
      </c>
      <c r="F8953" s="3" t="s">
        <v>1319</v>
      </c>
      <c r="G8953" s="6">
        <v>419.4</v>
      </c>
      <c r="H8953" s="5">
        <v>13715</v>
      </c>
    </row>
    <row r="8954" spans="2:8" x14ac:dyDescent="0.4">
      <c r="B8954" s="3" t="s">
        <v>7</v>
      </c>
      <c r="C8954" s="3" t="s">
        <v>1318</v>
      </c>
      <c r="D8954" s="4">
        <f>DATE(2010,11,10)</f>
        <v>40492</v>
      </c>
      <c r="E8954" s="5">
        <f t="shared" si="145"/>
        <v>2010</v>
      </c>
      <c r="F8954" s="3" t="s">
        <v>1319</v>
      </c>
      <c r="G8954" s="6">
        <v>856.69</v>
      </c>
      <c r="H8954" s="5">
        <v>14733</v>
      </c>
    </row>
    <row r="8955" spans="2:8" x14ac:dyDescent="0.4">
      <c r="B8955" s="3" t="s">
        <v>7</v>
      </c>
      <c r="C8955" s="3" t="s">
        <v>1318</v>
      </c>
      <c r="D8955" s="4">
        <f>DATE(2011,6,6)</f>
        <v>40700</v>
      </c>
      <c r="E8955" s="5">
        <f t="shared" si="145"/>
        <v>2011</v>
      </c>
      <c r="F8955" s="3" t="s">
        <v>1319</v>
      </c>
      <c r="G8955" s="6">
        <v>133.52000000000001</v>
      </c>
      <c r="H8955" s="5">
        <v>15651</v>
      </c>
    </row>
    <row r="8956" spans="2:8" x14ac:dyDescent="0.4">
      <c r="B8956" s="3" t="s">
        <v>7</v>
      </c>
      <c r="C8956" s="3" t="s">
        <v>1318</v>
      </c>
      <c r="D8956" s="4">
        <f>DATE(2011,7,28)</f>
        <v>40752</v>
      </c>
      <c r="E8956" s="5">
        <f t="shared" si="145"/>
        <v>2011</v>
      </c>
      <c r="F8956" s="3" t="s">
        <v>1319</v>
      </c>
      <c r="G8956" s="6">
        <v>6226.96</v>
      </c>
      <c r="H8956" s="5">
        <v>15721</v>
      </c>
    </row>
    <row r="8957" spans="2:8" x14ac:dyDescent="0.4">
      <c r="B8957" s="3" t="s">
        <v>7</v>
      </c>
      <c r="C8957" s="3" t="s">
        <v>1318</v>
      </c>
      <c r="D8957" s="4">
        <f>DATE(2012,4,12)</f>
        <v>41011</v>
      </c>
      <c r="E8957" s="5">
        <f t="shared" si="145"/>
        <v>2012</v>
      </c>
      <c r="F8957" s="3" t="s">
        <v>1319</v>
      </c>
      <c r="G8957" s="6">
        <v>1052.8</v>
      </c>
      <c r="H8957" s="5">
        <v>16438</v>
      </c>
    </row>
    <row r="8958" spans="2:8" x14ac:dyDescent="0.4">
      <c r="B8958" s="3" t="s">
        <v>7</v>
      </c>
      <c r="C8958" s="3" t="s">
        <v>1318</v>
      </c>
      <c r="D8958" s="4">
        <f>DATE(2012,4,30)</f>
        <v>41029</v>
      </c>
      <c r="E8958" s="5">
        <f t="shared" si="145"/>
        <v>2012</v>
      </c>
      <c r="F8958" s="3" t="s">
        <v>1319</v>
      </c>
      <c r="G8958" s="6">
        <v>51.84</v>
      </c>
      <c r="H8958" s="5">
        <v>17048</v>
      </c>
    </row>
    <row r="8959" spans="2:8" x14ac:dyDescent="0.4">
      <c r="B8959" s="3" t="s">
        <v>7</v>
      </c>
      <c r="C8959" s="3" t="s">
        <v>1318</v>
      </c>
      <c r="D8959" s="4">
        <f>DATE(2012,5,29)</f>
        <v>41058</v>
      </c>
      <c r="E8959" s="5">
        <f t="shared" si="145"/>
        <v>2012</v>
      </c>
      <c r="F8959" s="3" t="s">
        <v>1319</v>
      </c>
      <c r="G8959" s="6">
        <v>39066.26</v>
      </c>
      <c r="H8959" s="5">
        <v>16503</v>
      </c>
    </row>
    <row r="8960" spans="2:8" x14ac:dyDescent="0.4">
      <c r="B8960" s="3" t="s">
        <v>7</v>
      </c>
      <c r="C8960" s="3" t="s">
        <v>1318</v>
      </c>
      <c r="D8960" s="4">
        <f>DATE(2012,8,21)</f>
        <v>41142</v>
      </c>
      <c r="E8960" s="5">
        <f t="shared" si="145"/>
        <v>2012</v>
      </c>
      <c r="F8960" s="3" t="s">
        <v>1319</v>
      </c>
      <c r="G8960" s="6">
        <v>133.52000000000001</v>
      </c>
      <c r="H8960" s="5">
        <v>17493</v>
      </c>
    </row>
    <row r="8961" spans="2:8" x14ac:dyDescent="0.4">
      <c r="B8961" s="3" t="s">
        <v>7</v>
      </c>
      <c r="C8961" s="3" t="s">
        <v>1318</v>
      </c>
      <c r="D8961" s="4">
        <f>DATE(2012,9,5)</f>
        <v>41157</v>
      </c>
      <c r="E8961" s="5">
        <f t="shared" si="145"/>
        <v>2012</v>
      </c>
      <c r="F8961" s="3" t="s">
        <v>1319</v>
      </c>
      <c r="G8961" s="6">
        <v>147.5</v>
      </c>
      <c r="H8961" s="5">
        <v>17554</v>
      </c>
    </row>
    <row r="8962" spans="2:8" x14ac:dyDescent="0.4">
      <c r="B8962" s="3" t="s">
        <v>7</v>
      </c>
      <c r="C8962" s="3" t="s">
        <v>1318</v>
      </c>
      <c r="D8962" s="4">
        <f>DATE(2012,10,19)</f>
        <v>41201</v>
      </c>
      <c r="E8962" s="5">
        <f t="shared" si="145"/>
        <v>2012</v>
      </c>
      <c r="F8962" s="3" t="s">
        <v>1319</v>
      </c>
      <c r="G8962" s="6">
        <v>392</v>
      </c>
      <c r="H8962" s="5">
        <v>17741</v>
      </c>
    </row>
    <row r="8963" spans="2:8" x14ac:dyDescent="0.4">
      <c r="B8963" s="3" t="s">
        <v>7</v>
      </c>
      <c r="C8963" s="3" t="s">
        <v>1318</v>
      </c>
      <c r="D8963" s="4">
        <f>DATE(2013,2,20)</f>
        <v>41325</v>
      </c>
      <c r="E8963" s="5">
        <f t="shared" ref="E8963:E9026" si="146">YEAR(D8963)</f>
        <v>2013</v>
      </c>
      <c r="F8963" s="3" t="s">
        <v>1319</v>
      </c>
      <c r="G8963" s="6">
        <v>2934</v>
      </c>
      <c r="H8963" s="5">
        <v>18088</v>
      </c>
    </row>
    <row r="8964" spans="2:8" x14ac:dyDescent="0.4">
      <c r="B8964" s="3" t="s">
        <v>7</v>
      </c>
      <c r="C8964" s="3" t="s">
        <v>1318</v>
      </c>
      <c r="D8964" s="4">
        <f>DATE(2013,4,15)</f>
        <v>41379</v>
      </c>
      <c r="E8964" s="5">
        <f t="shared" si="146"/>
        <v>2013</v>
      </c>
      <c r="F8964" s="3" t="s">
        <v>1319</v>
      </c>
      <c r="G8964" s="6">
        <v>352</v>
      </c>
      <c r="H8964" s="5">
        <v>18448</v>
      </c>
    </row>
    <row r="8965" spans="2:8" x14ac:dyDescent="0.4">
      <c r="B8965" s="3" t="s">
        <v>7</v>
      </c>
      <c r="C8965" s="3" t="s">
        <v>1318</v>
      </c>
      <c r="D8965" s="4">
        <f>DATE(2013,4,25)</f>
        <v>41389</v>
      </c>
      <c r="E8965" s="5">
        <f t="shared" si="146"/>
        <v>2013</v>
      </c>
      <c r="F8965" s="3" t="s">
        <v>1319</v>
      </c>
      <c r="G8965" s="6">
        <v>131</v>
      </c>
      <c r="H8965" s="5">
        <v>18501</v>
      </c>
    </row>
    <row r="8966" spans="2:8" x14ac:dyDescent="0.4">
      <c r="B8966" s="3" t="s">
        <v>7</v>
      </c>
      <c r="C8966" s="3" t="s">
        <v>1318</v>
      </c>
      <c r="D8966" s="4">
        <f>DATE(2014,2,13)</f>
        <v>41683</v>
      </c>
      <c r="E8966" s="5">
        <f t="shared" si="146"/>
        <v>2014</v>
      </c>
      <c r="F8966" s="3" t="s">
        <v>1319</v>
      </c>
      <c r="G8966" s="6">
        <v>753</v>
      </c>
      <c r="H8966" s="5">
        <v>19451</v>
      </c>
    </row>
    <row r="8967" spans="2:8" x14ac:dyDescent="0.4">
      <c r="B8967" s="3" t="s">
        <v>7</v>
      </c>
      <c r="C8967" s="3" t="s">
        <v>1318</v>
      </c>
      <c r="D8967" s="4">
        <f>DATE(2014,2,24)</f>
        <v>41694</v>
      </c>
      <c r="E8967" s="5">
        <f t="shared" si="146"/>
        <v>2014</v>
      </c>
      <c r="F8967" s="3" t="s">
        <v>1319</v>
      </c>
      <c r="G8967" s="6">
        <v>750</v>
      </c>
      <c r="H8967" s="5">
        <v>19566</v>
      </c>
    </row>
    <row r="8968" spans="2:8" x14ac:dyDescent="0.4">
      <c r="B8968" s="3" t="s">
        <v>7</v>
      </c>
      <c r="C8968" s="3" t="s">
        <v>1318</v>
      </c>
      <c r="D8968" s="4">
        <f>DATE(2014,6,23)</f>
        <v>41813</v>
      </c>
      <c r="E8968" s="5">
        <f t="shared" si="146"/>
        <v>2014</v>
      </c>
      <c r="F8968" s="3" t="s">
        <v>1319</v>
      </c>
      <c r="G8968" s="6">
        <v>399.92</v>
      </c>
      <c r="H8968" s="5">
        <v>20088</v>
      </c>
    </row>
    <row r="8969" spans="2:8" x14ac:dyDescent="0.4">
      <c r="B8969" s="3" t="s">
        <v>16</v>
      </c>
      <c r="C8969" s="3" t="s">
        <v>1318</v>
      </c>
      <c r="D8969" s="4">
        <f>DATE(2014,3,6)</f>
        <v>41704</v>
      </c>
      <c r="E8969" s="5">
        <f t="shared" si="146"/>
        <v>2014</v>
      </c>
      <c r="F8969" s="3" t="s">
        <v>1319</v>
      </c>
      <c r="G8969" s="6">
        <v>753</v>
      </c>
      <c r="H8969" s="5">
        <v>19567</v>
      </c>
    </row>
    <row r="8970" spans="2:8" x14ac:dyDescent="0.4">
      <c r="B8970" t="s">
        <v>7</v>
      </c>
      <c r="C8970" t="s">
        <v>1318</v>
      </c>
      <c r="D8970" s="7">
        <f>DATE(2004,11,9)</f>
        <v>38300</v>
      </c>
      <c r="E8970" s="8">
        <f t="shared" si="146"/>
        <v>2004</v>
      </c>
      <c r="F8970" t="s">
        <v>1319</v>
      </c>
      <c r="G8970" s="9">
        <v>153807.10999999999</v>
      </c>
      <c r="H8970" s="8">
        <v>47</v>
      </c>
    </row>
    <row r="8971" spans="2:8" x14ac:dyDescent="0.4">
      <c r="B8971" t="s">
        <v>7</v>
      </c>
      <c r="C8971" t="s">
        <v>1318</v>
      </c>
      <c r="D8971" s="7">
        <f>DATE(2005,11,10)</f>
        <v>38666</v>
      </c>
      <c r="E8971" s="8">
        <f t="shared" si="146"/>
        <v>2005</v>
      </c>
      <c r="F8971" t="s">
        <v>1319</v>
      </c>
      <c r="G8971" s="9">
        <v>238501.47</v>
      </c>
      <c r="H8971" s="8">
        <v>82</v>
      </c>
    </row>
    <row r="8972" spans="2:8" x14ac:dyDescent="0.4">
      <c r="B8972" t="s">
        <v>7</v>
      </c>
      <c r="C8972" t="s">
        <v>1318</v>
      </c>
      <c r="D8972" s="7">
        <f>DATE(2006,12,1)</f>
        <v>39052</v>
      </c>
      <c r="E8972" s="8">
        <f t="shared" si="146"/>
        <v>2006</v>
      </c>
      <c r="F8972" t="s">
        <v>1319</v>
      </c>
      <c r="G8972" s="9">
        <v>188395.72</v>
      </c>
      <c r="H8972" s="8">
        <v>118</v>
      </c>
    </row>
    <row r="8973" spans="2:8" x14ac:dyDescent="0.4">
      <c r="B8973" t="s">
        <v>7</v>
      </c>
      <c r="C8973" t="s">
        <v>1318</v>
      </c>
      <c r="D8973" s="7">
        <f>DATE(2007,1,1)</f>
        <v>39083</v>
      </c>
      <c r="E8973" s="8">
        <f t="shared" si="146"/>
        <v>2007</v>
      </c>
      <c r="F8973" t="s">
        <v>1319</v>
      </c>
      <c r="G8973" s="9">
        <v>179444.72</v>
      </c>
      <c r="H8973" s="8">
        <v>121</v>
      </c>
    </row>
    <row r="8974" spans="2:8" x14ac:dyDescent="0.4">
      <c r="B8974" t="s">
        <v>7</v>
      </c>
      <c r="C8974" t="s">
        <v>1318</v>
      </c>
      <c r="D8974" s="7">
        <f>DATE(2007,12,1)</f>
        <v>39417</v>
      </c>
      <c r="E8974" s="8">
        <f t="shared" si="146"/>
        <v>2007</v>
      </c>
      <c r="F8974" t="s">
        <v>1319</v>
      </c>
      <c r="G8974" s="9">
        <v>52473.39</v>
      </c>
      <c r="H8974" s="8">
        <v>146</v>
      </c>
    </row>
    <row r="8975" spans="2:8" x14ac:dyDescent="0.4">
      <c r="B8975" t="s">
        <v>16</v>
      </c>
      <c r="C8975" t="s">
        <v>1318</v>
      </c>
      <c r="D8975" s="7">
        <f>DATE(2007,1,1)</f>
        <v>39083</v>
      </c>
      <c r="E8975" s="8">
        <f t="shared" si="146"/>
        <v>2007</v>
      </c>
      <c r="F8975" t="s">
        <v>1319</v>
      </c>
      <c r="G8975" s="9">
        <v>188395.72</v>
      </c>
      <c r="H8975" s="8">
        <v>122</v>
      </c>
    </row>
    <row r="8976" spans="2:8" x14ac:dyDescent="0.4">
      <c r="B8976" t="s">
        <v>7</v>
      </c>
      <c r="C8976" t="s">
        <v>1320</v>
      </c>
      <c r="D8976" s="7">
        <f>DATE(2008,11,6)</f>
        <v>39758</v>
      </c>
      <c r="E8976" s="8">
        <f t="shared" si="146"/>
        <v>2008</v>
      </c>
      <c r="F8976" t="s">
        <v>1321</v>
      </c>
      <c r="G8976" s="9">
        <v>6201.2</v>
      </c>
      <c r="H8976" s="8">
        <v>8014</v>
      </c>
    </row>
    <row r="8977" spans="2:8" x14ac:dyDescent="0.4">
      <c r="B8977" s="3" t="s">
        <v>7</v>
      </c>
      <c r="C8977" s="3" t="s">
        <v>1320</v>
      </c>
      <c r="D8977" s="4">
        <f>DATE(2008,10,2)</f>
        <v>39723</v>
      </c>
      <c r="E8977" s="5">
        <f t="shared" si="146"/>
        <v>2008</v>
      </c>
      <c r="F8977" s="3" t="s">
        <v>1321</v>
      </c>
      <c r="G8977" s="6">
        <v>4441.74</v>
      </c>
      <c r="H8977" s="5">
        <v>3079</v>
      </c>
    </row>
    <row r="8978" spans="2:8" x14ac:dyDescent="0.4">
      <c r="B8978" s="3" t="s">
        <v>7</v>
      </c>
      <c r="C8978" s="3" t="s">
        <v>1320</v>
      </c>
      <c r="D8978" s="4">
        <f>DATE(2009,3,19)</f>
        <v>39891</v>
      </c>
      <c r="E8978" s="5">
        <f t="shared" si="146"/>
        <v>2009</v>
      </c>
      <c r="F8978" s="3" t="s">
        <v>1321</v>
      </c>
      <c r="G8978" s="6">
        <v>58275</v>
      </c>
      <c r="H8978" s="5">
        <v>3272</v>
      </c>
    </row>
    <row r="8979" spans="2:8" x14ac:dyDescent="0.4">
      <c r="B8979" s="3" t="s">
        <v>7</v>
      </c>
      <c r="C8979" s="3" t="s">
        <v>1320</v>
      </c>
      <c r="D8979" s="4">
        <f>DATE(2008,11,7)</f>
        <v>39759</v>
      </c>
      <c r="E8979" s="5">
        <f t="shared" si="146"/>
        <v>2008</v>
      </c>
      <c r="F8979" s="3" t="s">
        <v>1321</v>
      </c>
      <c r="G8979" s="6">
        <v>1216.2</v>
      </c>
      <c r="H8979" s="5">
        <v>11533</v>
      </c>
    </row>
    <row r="8980" spans="2:8" x14ac:dyDescent="0.4">
      <c r="B8980" s="3" t="s">
        <v>7</v>
      </c>
      <c r="C8980" s="3" t="s">
        <v>1320</v>
      </c>
      <c r="D8980" s="4">
        <f>DATE(2008,11,17)</f>
        <v>39769</v>
      </c>
      <c r="E8980" s="5">
        <f t="shared" si="146"/>
        <v>2008</v>
      </c>
      <c r="F8980" s="3" t="s">
        <v>1321</v>
      </c>
      <c r="G8980" s="6">
        <v>466.2</v>
      </c>
      <c r="H8980" s="5">
        <v>11587</v>
      </c>
    </row>
    <row r="8981" spans="2:8" x14ac:dyDescent="0.4">
      <c r="B8981" s="3" t="s">
        <v>7</v>
      </c>
      <c r="C8981" s="3" t="s">
        <v>1320</v>
      </c>
      <c r="D8981" s="4">
        <f>DATE(2009,1,15)</f>
        <v>39828</v>
      </c>
      <c r="E8981" s="5">
        <f t="shared" si="146"/>
        <v>2009</v>
      </c>
      <c r="F8981" s="3" t="s">
        <v>1321</v>
      </c>
      <c r="G8981" s="6">
        <v>621.6</v>
      </c>
      <c r="H8981" s="5">
        <v>11807</v>
      </c>
    </row>
    <row r="8982" spans="2:8" x14ac:dyDescent="0.4">
      <c r="B8982" s="3" t="s">
        <v>16</v>
      </c>
      <c r="C8982" s="3" t="s">
        <v>1320</v>
      </c>
      <c r="D8982" s="4">
        <f>DATE(2008,11,13)</f>
        <v>39765</v>
      </c>
      <c r="E8982" s="5">
        <f t="shared" si="146"/>
        <v>2008</v>
      </c>
      <c r="F8982" s="3" t="s">
        <v>1321</v>
      </c>
      <c r="G8982" s="6">
        <v>466.2</v>
      </c>
      <c r="H8982" s="5">
        <v>11588</v>
      </c>
    </row>
    <row r="8983" spans="2:8" x14ac:dyDescent="0.4">
      <c r="B8983" s="3" t="s">
        <v>7</v>
      </c>
      <c r="C8983" s="3" t="s">
        <v>1322</v>
      </c>
      <c r="D8983" s="4">
        <f>DATE(2013,7,17)</f>
        <v>41472</v>
      </c>
      <c r="E8983" s="5">
        <f t="shared" si="146"/>
        <v>2013</v>
      </c>
      <c r="F8983" s="3" t="s">
        <v>1323</v>
      </c>
      <c r="G8983" s="6">
        <v>7568.97</v>
      </c>
      <c r="H8983" s="5">
        <v>5542</v>
      </c>
    </row>
    <row r="8984" spans="2:8" x14ac:dyDescent="0.4">
      <c r="B8984" s="3" t="s">
        <v>7</v>
      </c>
      <c r="C8984" s="3" t="s">
        <v>1322</v>
      </c>
      <c r="D8984" s="4">
        <f>DATE(2007,6,20)</f>
        <v>39253</v>
      </c>
      <c r="E8984" s="5">
        <f t="shared" si="146"/>
        <v>2007</v>
      </c>
      <c r="F8984" s="3" t="s">
        <v>1323</v>
      </c>
      <c r="G8984" s="6">
        <v>11805.45</v>
      </c>
      <c r="H8984" s="5">
        <v>7690</v>
      </c>
    </row>
    <row r="8985" spans="2:8" x14ac:dyDescent="0.4">
      <c r="B8985" s="3" t="s">
        <v>7</v>
      </c>
      <c r="C8985" s="3" t="s">
        <v>1322</v>
      </c>
      <c r="D8985" s="4">
        <f>DATE(2007,6,27)</f>
        <v>39260</v>
      </c>
      <c r="E8985" s="5">
        <f t="shared" si="146"/>
        <v>2007</v>
      </c>
      <c r="F8985" s="3" t="s">
        <v>1323</v>
      </c>
      <c r="G8985" s="6">
        <v>3118.2</v>
      </c>
      <c r="H8985" s="5">
        <v>8801</v>
      </c>
    </row>
    <row r="8986" spans="2:8" x14ac:dyDescent="0.4">
      <c r="B8986" t="s">
        <v>7</v>
      </c>
      <c r="C8986" t="s">
        <v>1322</v>
      </c>
      <c r="D8986" s="7">
        <f>DATE(2015,11,27)</f>
        <v>42335</v>
      </c>
      <c r="E8986" s="8">
        <f t="shared" si="146"/>
        <v>2015</v>
      </c>
      <c r="F8986" t="s">
        <v>1324</v>
      </c>
      <c r="G8986" s="9">
        <v>320</v>
      </c>
      <c r="H8986" s="8">
        <v>21704</v>
      </c>
    </row>
    <row r="8987" spans="2:8" x14ac:dyDescent="0.4">
      <c r="B8987" t="s">
        <v>7</v>
      </c>
      <c r="C8987" t="s">
        <v>1322</v>
      </c>
      <c r="D8987" s="7">
        <f>DATE(2015,4,28)</f>
        <v>42122</v>
      </c>
      <c r="E8987" s="8">
        <f t="shared" si="146"/>
        <v>2015</v>
      </c>
      <c r="F8987" t="s">
        <v>1324</v>
      </c>
      <c r="G8987" s="9">
        <v>22750</v>
      </c>
      <c r="H8987" s="8">
        <v>159</v>
      </c>
    </row>
    <row r="8988" spans="2:8" x14ac:dyDescent="0.4">
      <c r="B8988" t="s">
        <v>7</v>
      </c>
      <c r="C8988" t="s">
        <v>1322</v>
      </c>
      <c r="D8988" s="7">
        <f>DATE(2018,4,26)</f>
        <v>43216</v>
      </c>
      <c r="E8988" s="8">
        <f t="shared" si="146"/>
        <v>2018</v>
      </c>
      <c r="F8988" t="s">
        <v>1324</v>
      </c>
      <c r="G8988" s="9">
        <v>30400</v>
      </c>
      <c r="H8988" s="8">
        <v>26780</v>
      </c>
    </row>
    <row r="8989" spans="2:8" x14ac:dyDescent="0.4">
      <c r="B8989" t="s">
        <v>7</v>
      </c>
      <c r="C8989" t="s">
        <v>1322</v>
      </c>
      <c r="D8989" s="7">
        <f>DATE(2015,2,16)</f>
        <v>42051</v>
      </c>
      <c r="E8989" s="8">
        <f t="shared" si="146"/>
        <v>2015</v>
      </c>
      <c r="F8989" t="s">
        <v>1324</v>
      </c>
      <c r="G8989" s="9">
        <v>975.65</v>
      </c>
      <c r="H8989" s="8">
        <v>5007</v>
      </c>
    </row>
    <row r="8990" spans="2:8" x14ac:dyDescent="0.4">
      <c r="B8990" t="s">
        <v>7</v>
      </c>
      <c r="C8990" t="s">
        <v>1322</v>
      </c>
      <c r="D8990" s="7">
        <f>DATE(2017,1,12)</f>
        <v>42747</v>
      </c>
      <c r="E8990" s="8">
        <f t="shared" si="146"/>
        <v>2017</v>
      </c>
      <c r="F8990" t="s">
        <v>1324</v>
      </c>
      <c r="G8990" s="9">
        <v>1535.4</v>
      </c>
      <c r="H8990" s="8">
        <v>24138</v>
      </c>
    </row>
    <row r="8991" spans="2:8" x14ac:dyDescent="0.4">
      <c r="B8991" t="s">
        <v>7</v>
      </c>
      <c r="C8991" t="s">
        <v>1322</v>
      </c>
      <c r="D8991" s="7">
        <f>DATE(2017,9,26)</f>
        <v>43004</v>
      </c>
      <c r="E8991" s="8">
        <f t="shared" si="146"/>
        <v>2017</v>
      </c>
      <c r="F8991" t="s">
        <v>1324</v>
      </c>
      <c r="G8991" s="9">
        <v>4940.5</v>
      </c>
      <c r="H8991" s="8">
        <v>25607</v>
      </c>
    </row>
    <row r="8992" spans="2:8" x14ac:dyDescent="0.4">
      <c r="B8992" t="s">
        <v>7</v>
      </c>
      <c r="C8992" t="s">
        <v>1322</v>
      </c>
      <c r="D8992" s="7">
        <f>DATE(2017,9,27)</f>
        <v>43005</v>
      </c>
      <c r="E8992" s="8">
        <f t="shared" si="146"/>
        <v>2017</v>
      </c>
      <c r="F8992" t="s">
        <v>1324</v>
      </c>
      <c r="G8992" s="9">
        <v>4560</v>
      </c>
      <c r="H8992" s="8">
        <v>25610</v>
      </c>
    </row>
    <row r="8993" spans="2:8" x14ac:dyDescent="0.4">
      <c r="B8993" t="s">
        <v>7</v>
      </c>
      <c r="C8993" t="s">
        <v>1322</v>
      </c>
      <c r="D8993" s="7">
        <f>DATE(2018,4,3)</f>
        <v>43193</v>
      </c>
      <c r="E8993" s="8">
        <f t="shared" si="146"/>
        <v>2018</v>
      </c>
      <c r="F8993" t="s">
        <v>1324</v>
      </c>
      <c r="G8993" s="9">
        <v>760</v>
      </c>
      <c r="H8993" s="8">
        <v>26784</v>
      </c>
    </row>
    <row r="8994" spans="2:8" x14ac:dyDescent="0.4">
      <c r="B8994" t="s">
        <v>7</v>
      </c>
      <c r="C8994" t="s">
        <v>1322</v>
      </c>
      <c r="D8994" s="7">
        <f>DATE(2019,2,4)</f>
        <v>43500</v>
      </c>
      <c r="E8994" s="8">
        <f t="shared" si="146"/>
        <v>2019</v>
      </c>
      <c r="F8994" t="s">
        <v>1324</v>
      </c>
      <c r="G8994" s="9">
        <v>2964</v>
      </c>
      <c r="H8994" s="8">
        <v>28363</v>
      </c>
    </row>
    <row r="8995" spans="2:8" x14ac:dyDescent="0.4">
      <c r="B8995" t="s">
        <v>7</v>
      </c>
      <c r="C8995" t="s">
        <v>1322</v>
      </c>
      <c r="D8995" s="7">
        <f>DATE(2014,11,21)</f>
        <v>41964</v>
      </c>
      <c r="E8995" s="8">
        <f t="shared" si="146"/>
        <v>2014</v>
      </c>
      <c r="F8995" t="s">
        <v>1324</v>
      </c>
      <c r="G8995" s="9">
        <v>21740</v>
      </c>
      <c r="H8995" s="8">
        <v>13492</v>
      </c>
    </row>
    <row r="8996" spans="2:8" x14ac:dyDescent="0.4">
      <c r="B8996" t="s">
        <v>7</v>
      </c>
      <c r="C8996" t="s">
        <v>1322</v>
      </c>
      <c r="D8996" s="7">
        <f>DATE(2014,10,2)</f>
        <v>41914</v>
      </c>
      <c r="E8996" s="8">
        <f t="shared" si="146"/>
        <v>2014</v>
      </c>
      <c r="F8996" t="s">
        <v>1324</v>
      </c>
      <c r="G8996" s="9">
        <v>16075.97</v>
      </c>
      <c r="H8996" s="8">
        <v>13468</v>
      </c>
    </row>
    <row r="8997" spans="2:8" x14ac:dyDescent="0.4">
      <c r="B8997" s="3" t="s">
        <v>7</v>
      </c>
      <c r="C8997" s="3" t="s">
        <v>1322</v>
      </c>
      <c r="D8997" s="4">
        <f>DATE(2014,2,12)</f>
        <v>41682</v>
      </c>
      <c r="E8997" s="5">
        <f t="shared" si="146"/>
        <v>2014</v>
      </c>
      <c r="F8997" s="3" t="s">
        <v>1324</v>
      </c>
      <c r="G8997" s="6">
        <v>643.16</v>
      </c>
      <c r="H8997" s="5">
        <v>6038</v>
      </c>
    </row>
    <row r="8998" spans="2:8" x14ac:dyDescent="0.4">
      <c r="B8998" s="3" t="s">
        <v>7</v>
      </c>
      <c r="C8998" s="3" t="s">
        <v>1322</v>
      </c>
      <c r="D8998" s="4">
        <f>DATE(2014,5,21)</f>
        <v>41780</v>
      </c>
      <c r="E8998" s="5">
        <f t="shared" si="146"/>
        <v>2014</v>
      </c>
      <c r="F8998" s="3" t="s">
        <v>1324</v>
      </c>
      <c r="G8998" s="6">
        <v>78.8</v>
      </c>
      <c r="H8998" s="5">
        <v>6205</v>
      </c>
    </row>
    <row r="8999" spans="2:8" x14ac:dyDescent="0.4">
      <c r="B8999" s="3" t="s">
        <v>7</v>
      </c>
      <c r="C8999" s="3" t="s">
        <v>1322</v>
      </c>
      <c r="D8999" s="4">
        <f>DATE(2014,6,3)</f>
        <v>41793</v>
      </c>
      <c r="E8999" s="5">
        <f t="shared" si="146"/>
        <v>2014</v>
      </c>
      <c r="F8999" s="3" t="s">
        <v>1324</v>
      </c>
      <c r="G8999" s="6">
        <v>68.5</v>
      </c>
      <c r="H8999" s="5">
        <v>6235</v>
      </c>
    </row>
    <row r="9000" spans="2:8" x14ac:dyDescent="0.4">
      <c r="B9000" s="3" t="s">
        <v>7</v>
      </c>
      <c r="C9000" s="3" t="s">
        <v>1322</v>
      </c>
      <c r="D9000" s="4">
        <f>DATE(2014,6,5)</f>
        <v>41795</v>
      </c>
      <c r="E9000" s="5">
        <f t="shared" si="146"/>
        <v>2014</v>
      </c>
      <c r="F9000" s="3" t="s">
        <v>1324</v>
      </c>
      <c r="G9000" s="6">
        <v>78.8</v>
      </c>
      <c r="H9000" s="5">
        <v>6238</v>
      </c>
    </row>
    <row r="9001" spans="2:8" x14ac:dyDescent="0.4">
      <c r="B9001" s="3" t="s">
        <v>7</v>
      </c>
      <c r="C9001" s="3" t="s">
        <v>1322</v>
      </c>
      <c r="D9001" s="4">
        <f>DATE(2014,10,9)</f>
        <v>41921</v>
      </c>
      <c r="E9001" s="5">
        <f t="shared" si="146"/>
        <v>2014</v>
      </c>
      <c r="F9001" s="3" t="s">
        <v>1324</v>
      </c>
      <c r="G9001" s="6">
        <v>242.68</v>
      </c>
      <c r="H9001" s="5">
        <v>6437</v>
      </c>
    </row>
    <row r="9002" spans="2:8" x14ac:dyDescent="0.4">
      <c r="B9002" s="3" t="s">
        <v>7</v>
      </c>
      <c r="C9002" s="3" t="s">
        <v>1322</v>
      </c>
      <c r="D9002" s="4">
        <f>DATE(2014,12,3)</f>
        <v>41976</v>
      </c>
      <c r="E9002" s="5">
        <f t="shared" si="146"/>
        <v>2014</v>
      </c>
      <c r="F9002" s="3" t="s">
        <v>1324</v>
      </c>
      <c r="G9002" s="6">
        <v>488.37</v>
      </c>
      <c r="H9002" s="5">
        <v>6506</v>
      </c>
    </row>
    <row r="9003" spans="2:8" x14ac:dyDescent="0.4">
      <c r="B9003" s="3" t="s">
        <v>7</v>
      </c>
      <c r="C9003" s="3" t="s">
        <v>1322</v>
      </c>
      <c r="D9003" s="4">
        <f>DATE(2014,12,5)</f>
        <v>41978</v>
      </c>
      <c r="E9003" s="5">
        <f t="shared" si="146"/>
        <v>2014</v>
      </c>
      <c r="F9003" s="3" t="s">
        <v>1324</v>
      </c>
      <c r="G9003" s="6">
        <v>480.26</v>
      </c>
      <c r="H9003" s="5">
        <v>6511</v>
      </c>
    </row>
    <row r="9004" spans="2:8" x14ac:dyDescent="0.4">
      <c r="B9004" s="3" t="s">
        <v>7</v>
      </c>
      <c r="C9004" s="3" t="s">
        <v>1322</v>
      </c>
      <c r="D9004" s="4">
        <f>DATE(2013,8,13)</f>
        <v>41499</v>
      </c>
      <c r="E9004" s="5">
        <f t="shared" si="146"/>
        <v>2013</v>
      </c>
      <c r="F9004" s="3" t="s">
        <v>1324</v>
      </c>
      <c r="G9004" s="6">
        <v>492.8</v>
      </c>
      <c r="H9004" s="5">
        <v>18875</v>
      </c>
    </row>
    <row r="9005" spans="2:8" x14ac:dyDescent="0.4">
      <c r="B9005" s="3" t="s">
        <v>7</v>
      </c>
      <c r="C9005" s="3" t="s">
        <v>1322</v>
      </c>
      <c r="D9005" s="4">
        <f>DATE(2013,8,15)</f>
        <v>41501</v>
      </c>
      <c r="E9005" s="5">
        <f t="shared" si="146"/>
        <v>2013</v>
      </c>
      <c r="F9005" s="3" t="s">
        <v>1324</v>
      </c>
      <c r="G9005" s="6">
        <v>704</v>
      </c>
      <c r="H9005" s="5">
        <v>18887</v>
      </c>
    </row>
    <row r="9006" spans="2:8" x14ac:dyDescent="0.4">
      <c r="B9006" s="3" t="s">
        <v>7</v>
      </c>
      <c r="C9006" s="3" t="s">
        <v>1322</v>
      </c>
      <c r="D9006" s="4">
        <f>DATE(2013,8,19)</f>
        <v>41505</v>
      </c>
      <c r="E9006" s="5">
        <f t="shared" si="146"/>
        <v>2013</v>
      </c>
      <c r="F9006" s="3" t="s">
        <v>1324</v>
      </c>
      <c r="G9006" s="6">
        <v>739.2</v>
      </c>
      <c r="H9006" s="5">
        <v>18895</v>
      </c>
    </row>
    <row r="9007" spans="2:8" x14ac:dyDescent="0.4">
      <c r="B9007" s="3" t="s">
        <v>7</v>
      </c>
      <c r="C9007" s="3" t="s">
        <v>1322</v>
      </c>
      <c r="D9007" s="4">
        <f>DATE(2013,12,16)</f>
        <v>41624</v>
      </c>
      <c r="E9007" s="5">
        <f t="shared" si="146"/>
        <v>2013</v>
      </c>
      <c r="F9007" s="3" t="s">
        <v>1324</v>
      </c>
      <c r="G9007" s="6">
        <v>626.24</v>
      </c>
      <c r="H9007" s="5">
        <v>19322</v>
      </c>
    </row>
    <row r="9008" spans="2:8" x14ac:dyDescent="0.4">
      <c r="B9008" s="3" t="s">
        <v>7</v>
      </c>
      <c r="C9008" s="3" t="s">
        <v>1322</v>
      </c>
      <c r="D9008" s="4">
        <f>DATE(2013,12,17)</f>
        <v>41625</v>
      </c>
      <c r="E9008" s="5">
        <f t="shared" si="146"/>
        <v>2013</v>
      </c>
      <c r="F9008" s="3" t="s">
        <v>1324</v>
      </c>
      <c r="G9008" s="6">
        <v>626.24</v>
      </c>
      <c r="H9008" s="5">
        <v>19345</v>
      </c>
    </row>
    <row r="9009" spans="2:8" x14ac:dyDescent="0.4">
      <c r="B9009" s="3" t="s">
        <v>7</v>
      </c>
      <c r="C9009" s="3" t="s">
        <v>1322</v>
      </c>
      <c r="D9009" s="4">
        <f>DATE(2013,12,19)</f>
        <v>41627</v>
      </c>
      <c r="E9009" s="5">
        <f t="shared" si="146"/>
        <v>2013</v>
      </c>
      <c r="F9009" s="3" t="s">
        <v>1324</v>
      </c>
      <c r="G9009" s="6">
        <v>950.12</v>
      </c>
      <c r="H9009" s="5">
        <v>19359</v>
      </c>
    </row>
    <row r="9010" spans="2:8" x14ac:dyDescent="0.4">
      <c r="B9010" s="3" t="s">
        <v>7</v>
      </c>
      <c r="C9010" s="3" t="s">
        <v>1322</v>
      </c>
      <c r="D9010" s="4">
        <f>DATE(2014,1,14)</f>
        <v>41653</v>
      </c>
      <c r="E9010" s="5">
        <f t="shared" si="146"/>
        <v>2014</v>
      </c>
      <c r="F9010" s="3" t="s">
        <v>1324</v>
      </c>
      <c r="G9010" s="6">
        <v>626.24</v>
      </c>
      <c r="H9010" s="5">
        <v>19371</v>
      </c>
    </row>
    <row r="9011" spans="2:8" x14ac:dyDescent="0.4">
      <c r="B9011" s="3" t="s">
        <v>7</v>
      </c>
      <c r="C9011" s="3" t="s">
        <v>1322</v>
      </c>
      <c r="D9011" s="4">
        <f>DATE(2014,1,15)</f>
        <v>41654</v>
      </c>
      <c r="E9011" s="5">
        <f t="shared" si="146"/>
        <v>2014</v>
      </c>
      <c r="F9011" s="3" t="s">
        <v>1324</v>
      </c>
      <c r="G9011" s="6">
        <v>626.24</v>
      </c>
      <c r="H9011" s="5">
        <v>19400</v>
      </c>
    </row>
    <row r="9012" spans="2:8" x14ac:dyDescent="0.4">
      <c r="B9012" s="3" t="s">
        <v>7</v>
      </c>
      <c r="C9012" s="3" t="s">
        <v>1322</v>
      </c>
      <c r="D9012" s="4">
        <f>DATE(2014,1,24)</f>
        <v>41663</v>
      </c>
      <c r="E9012" s="5">
        <f t="shared" si="146"/>
        <v>2014</v>
      </c>
      <c r="F9012" s="3" t="s">
        <v>1324</v>
      </c>
      <c r="G9012" s="6">
        <v>699.2</v>
      </c>
      <c r="H9012" s="5">
        <v>19436</v>
      </c>
    </row>
    <row r="9013" spans="2:8" x14ac:dyDescent="0.4">
      <c r="B9013" s="3" t="s">
        <v>7</v>
      </c>
      <c r="C9013" s="3" t="s">
        <v>1322</v>
      </c>
      <c r="D9013" s="4">
        <f>DATE(2014,1,28)</f>
        <v>41667</v>
      </c>
      <c r="E9013" s="5">
        <f t="shared" si="146"/>
        <v>2014</v>
      </c>
      <c r="F9013" s="3" t="s">
        <v>1324</v>
      </c>
      <c r="G9013" s="6">
        <v>699.2</v>
      </c>
      <c r="H9013" s="5">
        <v>19437</v>
      </c>
    </row>
    <row r="9014" spans="2:8" x14ac:dyDescent="0.4">
      <c r="B9014" s="3" t="s">
        <v>7</v>
      </c>
      <c r="C9014" s="3" t="s">
        <v>1322</v>
      </c>
      <c r="D9014" s="4">
        <f>DATE(2014,1,29)</f>
        <v>41668</v>
      </c>
      <c r="E9014" s="5">
        <f t="shared" si="146"/>
        <v>2014</v>
      </c>
      <c r="F9014" s="3" t="s">
        <v>1324</v>
      </c>
      <c r="G9014" s="6">
        <v>699.2</v>
      </c>
      <c r="H9014" s="5">
        <v>19438</v>
      </c>
    </row>
    <row r="9015" spans="2:8" x14ac:dyDescent="0.4">
      <c r="B9015" s="3" t="s">
        <v>7</v>
      </c>
      <c r="C9015" s="3" t="s">
        <v>1322</v>
      </c>
      <c r="D9015" s="4">
        <f>DATE(2014,1,30)</f>
        <v>41669</v>
      </c>
      <c r="E9015" s="5">
        <f t="shared" si="146"/>
        <v>2014</v>
      </c>
      <c r="F9015" s="3" t="s">
        <v>1324</v>
      </c>
      <c r="G9015" s="6">
        <v>699.2</v>
      </c>
      <c r="H9015" s="5">
        <v>19439</v>
      </c>
    </row>
    <row r="9016" spans="2:8" x14ac:dyDescent="0.4">
      <c r="B9016" s="3" t="s">
        <v>7</v>
      </c>
      <c r="C9016" s="3" t="s">
        <v>1322</v>
      </c>
      <c r="D9016" s="4">
        <f>DATE(2014,1,31)</f>
        <v>41670</v>
      </c>
      <c r="E9016" s="5">
        <f t="shared" si="146"/>
        <v>2014</v>
      </c>
      <c r="F9016" s="3" t="s">
        <v>1324</v>
      </c>
      <c r="G9016" s="6">
        <v>699.2</v>
      </c>
      <c r="H9016" s="5">
        <v>19440</v>
      </c>
    </row>
    <row r="9017" spans="2:8" x14ac:dyDescent="0.4">
      <c r="B9017" s="3" t="s">
        <v>7</v>
      </c>
      <c r="C9017" s="3" t="s">
        <v>1322</v>
      </c>
      <c r="D9017" s="4">
        <f>DATE(2014,2,3)</f>
        <v>41673</v>
      </c>
      <c r="E9017" s="5">
        <f t="shared" si="146"/>
        <v>2014</v>
      </c>
      <c r="F9017" s="3" t="s">
        <v>1324</v>
      </c>
      <c r="G9017" s="6">
        <v>699.2</v>
      </c>
      <c r="H9017" s="5">
        <v>19441</v>
      </c>
    </row>
    <row r="9018" spans="2:8" x14ac:dyDescent="0.4">
      <c r="B9018" s="3" t="s">
        <v>7</v>
      </c>
      <c r="C9018" s="3" t="s">
        <v>1322</v>
      </c>
      <c r="D9018" s="4">
        <f>DATE(2014,2,4)</f>
        <v>41674</v>
      </c>
      <c r="E9018" s="5">
        <f t="shared" si="146"/>
        <v>2014</v>
      </c>
      <c r="F9018" s="3" t="s">
        <v>1324</v>
      </c>
      <c r="G9018" s="6">
        <v>699.2</v>
      </c>
      <c r="H9018" s="5">
        <v>19442</v>
      </c>
    </row>
    <row r="9019" spans="2:8" x14ac:dyDescent="0.4">
      <c r="B9019" s="3" t="s">
        <v>7</v>
      </c>
      <c r="C9019" s="3" t="s">
        <v>1322</v>
      </c>
      <c r="D9019" s="4">
        <f>DATE(2014,2,5)</f>
        <v>41675</v>
      </c>
      <c r="E9019" s="5">
        <f t="shared" si="146"/>
        <v>2014</v>
      </c>
      <c r="F9019" s="3" t="s">
        <v>1324</v>
      </c>
      <c r="G9019" s="6">
        <v>699.2</v>
      </c>
      <c r="H9019" s="5">
        <v>19443</v>
      </c>
    </row>
    <row r="9020" spans="2:8" x14ac:dyDescent="0.4">
      <c r="B9020" s="3" t="s">
        <v>7</v>
      </c>
      <c r="C9020" s="3" t="s">
        <v>1322</v>
      </c>
      <c r="D9020" s="4">
        <f>DATE(2014,2,6)</f>
        <v>41676</v>
      </c>
      <c r="E9020" s="5">
        <f t="shared" si="146"/>
        <v>2014</v>
      </c>
      <c r="F9020" s="3" t="s">
        <v>1324</v>
      </c>
      <c r="G9020" s="6">
        <v>509.2</v>
      </c>
      <c r="H9020" s="5">
        <v>19445</v>
      </c>
    </row>
    <row r="9021" spans="2:8" x14ac:dyDescent="0.4">
      <c r="B9021" s="3" t="s">
        <v>7</v>
      </c>
      <c r="C9021" s="3" t="s">
        <v>1322</v>
      </c>
      <c r="D9021" s="4">
        <f>DATE(2014,2,6)</f>
        <v>41676</v>
      </c>
      <c r="E9021" s="5">
        <f t="shared" si="146"/>
        <v>2014</v>
      </c>
      <c r="F9021" s="3" t="s">
        <v>1324</v>
      </c>
      <c r="G9021" s="6">
        <v>488.73</v>
      </c>
      <c r="H9021" s="5">
        <v>19501</v>
      </c>
    </row>
    <row r="9022" spans="2:8" x14ac:dyDescent="0.4">
      <c r="B9022" s="3" t="s">
        <v>7</v>
      </c>
      <c r="C9022" s="3" t="s">
        <v>1322</v>
      </c>
      <c r="D9022" s="4">
        <f>DATE(2014,2,7)</f>
        <v>41677</v>
      </c>
      <c r="E9022" s="5">
        <f t="shared" si="146"/>
        <v>2014</v>
      </c>
      <c r="F9022" s="3" t="s">
        <v>1324</v>
      </c>
      <c r="G9022" s="6">
        <v>509.2</v>
      </c>
      <c r="H9022" s="5">
        <v>19444</v>
      </c>
    </row>
    <row r="9023" spans="2:8" x14ac:dyDescent="0.4">
      <c r="B9023" s="3" t="s">
        <v>7</v>
      </c>
      <c r="C9023" s="3" t="s">
        <v>1322</v>
      </c>
      <c r="D9023" s="4">
        <f>DATE(2014,2,25)</f>
        <v>41695</v>
      </c>
      <c r="E9023" s="5">
        <f t="shared" si="146"/>
        <v>2014</v>
      </c>
      <c r="F9023" s="3" t="s">
        <v>1324</v>
      </c>
      <c r="G9023" s="6">
        <v>539.34</v>
      </c>
      <c r="H9023" s="5">
        <v>19474</v>
      </c>
    </row>
    <row r="9024" spans="2:8" x14ac:dyDescent="0.4">
      <c r="B9024" s="3" t="s">
        <v>7</v>
      </c>
      <c r="C9024" s="3" t="s">
        <v>1322</v>
      </c>
      <c r="D9024" s="4">
        <f>DATE(2014,2,25)</f>
        <v>41695</v>
      </c>
      <c r="E9024" s="5">
        <f t="shared" si="146"/>
        <v>2014</v>
      </c>
      <c r="F9024" s="3" t="s">
        <v>1324</v>
      </c>
      <c r="G9024" s="6">
        <v>646</v>
      </c>
      <c r="H9024" s="5">
        <v>19542</v>
      </c>
    </row>
    <row r="9025" spans="2:8" x14ac:dyDescent="0.4">
      <c r="B9025" s="3" t="s">
        <v>7</v>
      </c>
      <c r="C9025" s="3" t="s">
        <v>1322</v>
      </c>
      <c r="D9025" s="4">
        <f>DATE(2014,3,26)</f>
        <v>41724</v>
      </c>
      <c r="E9025" s="5">
        <f t="shared" si="146"/>
        <v>2014</v>
      </c>
      <c r="F9025" s="3" t="s">
        <v>1324</v>
      </c>
      <c r="G9025" s="6">
        <v>19747.8</v>
      </c>
      <c r="H9025" s="5">
        <v>19301</v>
      </c>
    </row>
    <row r="9026" spans="2:8" x14ac:dyDescent="0.4">
      <c r="B9026" s="3" t="s">
        <v>7</v>
      </c>
      <c r="C9026" s="3" t="s">
        <v>1322</v>
      </c>
      <c r="D9026" s="4">
        <f>DATE(2014,4,11)</f>
        <v>41740</v>
      </c>
      <c r="E9026" s="5">
        <f t="shared" si="146"/>
        <v>2014</v>
      </c>
      <c r="F9026" s="3" t="s">
        <v>1324</v>
      </c>
      <c r="G9026" s="6">
        <v>653.48</v>
      </c>
      <c r="H9026" s="5">
        <v>19848</v>
      </c>
    </row>
    <row r="9027" spans="2:8" x14ac:dyDescent="0.4">
      <c r="B9027" s="3" t="s">
        <v>7</v>
      </c>
      <c r="C9027" s="3" t="s">
        <v>1322</v>
      </c>
      <c r="D9027" s="4">
        <f>DATE(2014,6,17)</f>
        <v>41807</v>
      </c>
      <c r="E9027" s="5">
        <f t="shared" ref="E9027:E9090" si="147">YEAR(D9027)</f>
        <v>2014</v>
      </c>
      <c r="F9027" s="3" t="s">
        <v>1324</v>
      </c>
      <c r="G9027" s="6">
        <v>282.60000000000002</v>
      </c>
      <c r="H9027" s="5">
        <v>20086</v>
      </c>
    </row>
    <row r="9028" spans="2:8" x14ac:dyDescent="0.4">
      <c r="B9028" s="3" t="s">
        <v>7</v>
      </c>
      <c r="C9028" s="3" t="s">
        <v>1322</v>
      </c>
      <c r="D9028" s="4">
        <f>DATE(2014,10,9)</f>
        <v>41921</v>
      </c>
      <c r="E9028" s="5">
        <f t="shared" si="147"/>
        <v>2014</v>
      </c>
      <c r="F9028" s="3" t="s">
        <v>1324</v>
      </c>
      <c r="G9028" s="6">
        <v>112.2</v>
      </c>
      <c r="H9028" s="5">
        <v>20508</v>
      </c>
    </row>
    <row r="9029" spans="2:8" x14ac:dyDescent="0.4">
      <c r="B9029" s="3" t="s">
        <v>7</v>
      </c>
      <c r="C9029" s="3" t="s">
        <v>1322</v>
      </c>
      <c r="D9029" s="4">
        <f>DATE(2014,10,13)</f>
        <v>41925</v>
      </c>
      <c r="E9029" s="5">
        <f t="shared" si="147"/>
        <v>2014</v>
      </c>
      <c r="F9029" s="3" t="s">
        <v>1324</v>
      </c>
      <c r="G9029" s="6">
        <v>455</v>
      </c>
      <c r="H9029" s="5">
        <v>20520</v>
      </c>
    </row>
    <row r="9030" spans="2:8" x14ac:dyDescent="0.4">
      <c r="B9030" s="3" t="s">
        <v>7</v>
      </c>
      <c r="C9030" s="3" t="s">
        <v>1322</v>
      </c>
      <c r="D9030" s="4">
        <f>DATE(2014,10,27)</f>
        <v>41939</v>
      </c>
      <c r="E9030" s="5">
        <f t="shared" si="147"/>
        <v>2014</v>
      </c>
      <c r="F9030" s="3" t="s">
        <v>1324</v>
      </c>
      <c r="G9030" s="6">
        <v>521.5</v>
      </c>
      <c r="H9030" s="5">
        <v>20572</v>
      </c>
    </row>
    <row r="9031" spans="2:8" x14ac:dyDescent="0.4">
      <c r="B9031" s="3" t="s">
        <v>7</v>
      </c>
      <c r="C9031" s="3" t="s">
        <v>1322</v>
      </c>
      <c r="D9031" s="4">
        <f>DATE(2014,10,29)</f>
        <v>41941</v>
      </c>
      <c r="E9031" s="5">
        <f t="shared" si="147"/>
        <v>2014</v>
      </c>
      <c r="F9031" s="3" t="s">
        <v>1324</v>
      </c>
      <c r="G9031" s="6">
        <v>509</v>
      </c>
      <c r="H9031" s="5">
        <v>20578</v>
      </c>
    </row>
    <row r="9032" spans="2:8" x14ac:dyDescent="0.4">
      <c r="B9032" s="3" t="s">
        <v>7</v>
      </c>
      <c r="C9032" s="3" t="s">
        <v>1322</v>
      </c>
      <c r="D9032" s="4">
        <f>DATE(2014,11,10)</f>
        <v>41953</v>
      </c>
      <c r="E9032" s="5">
        <f t="shared" si="147"/>
        <v>2014</v>
      </c>
      <c r="F9032" s="3" t="s">
        <v>1324</v>
      </c>
      <c r="G9032" s="6">
        <v>187.4</v>
      </c>
      <c r="H9032" s="5">
        <v>20622</v>
      </c>
    </row>
    <row r="9033" spans="2:8" x14ac:dyDescent="0.4">
      <c r="B9033" s="3" t="s">
        <v>16</v>
      </c>
      <c r="C9033" s="3" t="s">
        <v>1322</v>
      </c>
      <c r="D9033" s="4">
        <f>DATE(2014,7,25)</f>
        <v>41845</v>
      </c>
      <c r="E9033" s="5">
        <f t="shared" si="147"/>
        <v>2014</v>
      </c>
      <c r="F9033" s="3" t="s">
        <v>1324</v>
      </c>
      <c r="G9033" s="6">
        <v>3965</v>
      </c>
      <c r="H9033" s="5">
        <v>20237</v>
      </c>
    </row>
    <row r="9034" spans="2:8" x14ac:dyDescent="0.4">
      <c r="B9034" s="3" t="s">
        <v>16</v>
      </c>
      <c r="C9034" s="3" t="s">
        <v>1322</v>
      </c>
      <c r="D9034" s="4">
        <f>DATE(2014,10,20)</f>
        <v>41932</v>
      </c>
      <c r="E9034" s="5">
        <f t="shared" si="147"/>
        <v>2014</v>
      </c>
      <c r="F9034" s="3" t="s">
        <v>1324</v>
      </c>
      <c r="G9034" s="6">
        <v>5346.04</v>
      </c>
      <c r="H9034" s="5">
        <v>20552</v>
      </c>
    </row>
    <row r="9035" spans="2:8" x14ac:dyDescent="0.4">
      <c r="B9035" s="3" t="s">
        <v>7</v>
      </c>
      <c r="C9035" s="3" t="s">
        <v>1322</v>
      </c>
      <c r="D9035" s="4">
        <f>DATE(2013,8,9)</f>
        <v>41495</v>
      </c>
      <c r="E9035" s="5">
        <f t="shared" si="147"/>
        <v>2013</v>
      </c>
      <c r="F9035" s="3" t="s">
        <v>1325</v>
      </c>
      <c r="G9035" s="6">
        <v>633.6</v>
      </c>
      <c r="H9035" s="5">
        <v>18865</v>
      </c>
    </row>
    <row r="9036" spans="2:8" x14ac:dyDescent="0.4">
      <c r="B9036" s="3" t="s">
        <v>7</v>
      </c>
      <c r="C9036" s="3" t="s">
        <v>1322</v>
      </c>
      <c r="D9036" s="4">
        <f>DATE(2006,11,13)</f>
        <v>39034</v>
      </c>
      <c r="E9036" s="5">
        <f t="shared" si="147"/>
        <v>2006</v>
      </c>
      <c r="F9036" s="3" t="s">
        <v>1326</v>
      </c>
      <c r="G9036" s="6">
        <v>4500</v>
      </c>
      <c r="H9036" s="5">
        <v>7365</v>
      </c>
    </row>
    <row r="9037" spans="2:8" x14ac:dyDescent="0.4">
      <c r="B9037" t="s">
        <v>7</v>
      </c>
      <c r="C9037" t="s">
        <v>1327</v>
      </c>
      <c r="D9037" s="7">
        <f>DATE(2015,10,9)</f>
        <v>42286</v>
      </c>
      <c r="E9037" s="8">
        <f t="shared" si="147"/>
        <v>2015</v>
      </c>
      <c r="F9037" t="s">
        <v>1328</v>
      </c>
      <c r="G9037" s="9">
        <v>6285.42</v>
      </c>
      <c r="H9037" s="8">
        <v>21275</v>
      </c>
    </row>
    <row r="9038" spans="2:8" x14ac:dyDescent="0.4">
      <c r="B9038" s="3" t="s">
        <v>7</v>
      </c>
      <c r="C9038" s="3" t="s">
        <v>1327</v>
      </c>
      <c r="D9038" s="4">
        <f>DATE(2014,4,9)</f>
        <v>41738</v>
      </c>
      <c r="E9038" s="5">
        <f t="shared" si="147"/>
        <v>2014</v>
      </c>
      <c r="F9038" s="3" t="s">
        <v>1328</v>
      </c>
      <c r="G9038" s="6">
        <v>7239.61</v>
      </c>
      <c r="H9038" s="5">
        <v>6140</v>
      </c>
    </row>
    <row r="9039" spans="2:8" x14ac:dyDescent="0.4">
      <c r="B9039" t="s">
        <v>7</v>
      </c>
      <c r="C9039" t="s">
        <v>1329</v>
      </c>
      <c r="D9039" s="7">
        <f>DATE(2017,4,19)</f>
        <v>42844</v>
      </c>
      <c r="E9039" s="8">
        <f t="shared" si="147"/>
        <v>2017</v>
      </c>
      <c r="F9039" t="s">
        <v>1330</v>
      </c>
      <c r="G9039" s="9">
        <v>12414.8</v>
      </c>
      <c r="H9039" s="8">
        <v>24345</v>
      </c>
    </row>
    <row r="9040" spans="2:8" x14ac:dyDescent="0.4">
      <c r="B9040" t="s">
        <v>7</v>
      </c>
      <c r="C9040" t="s">
        <v>1329</v>
      </c>
      <c r="D9040" s="7">
        <f>DATE(2019,4,26)</f>
        <v>43581</v>
      </c>
      <c r="E9040" s="8">
        <f t="shared" si="147"/>
        <v>2019</v>
      </c>
      <c r="F9040" t="s">
        <v>1330</v>
      </c>
      <c r="G9040" s="9">
        <v>11896.69</v>
      </c>
      <c r="H9040" s="8">
        <v>28070</v>
      </c>
    </row>
    <row r="9041" spans="2:8" x14ac:dyDescent="0.4">
      <c r="B9041" t="s">
        <v>7</v>
      </c>
      <c r="C9041" t="s">
        <v>1329</v>
      </c>
      <c r="D9041" s="7">
        <f>DATE(2017,4,24)</f>
        <v>42849</v>
      </c>
      <c r="E9041" s="8">
        <f t="shared" si="147"/>
        <v>2017</v>
      </c>
      <c r="F9041" t="s">
        <v>1330</v>
      </c>
      <c r="G9041" s="9">
        <v>20200</v>
      </c>
      <c r="H9041" s="8">
        <v>24346</v>
      </c>
    </row>
    <row r="9042" spans="2:8" x14ac:dyDescent="0.4">
      <c r="B9042" t="s">
        <v>7</v>
      </c>
      <c r="C9042" t="s">
        <v>1329</v>
      </c>
      <c r="D9042" s="7">
        <f>DATE(2019,4,26)</f>
        <v>43581</v>
      </c>
      <c r="E9042" s="8">
        <f t="shared" si="147"/>
        <v>2019</v>
      </c>
      <c r="F9042" t="s">
        <v>1330</v>
      </c>
      <c r="G9042" s="9">
        <v>10558</v>
      </c>
      <c r="H9042" s="8">
        <v>28071</v>
      </c>
    </row>
    <row r="9043" spans="2:8" x14ac:dyDescent="0.4">
      <c r="B9043" t="s">
        <v>7</v>
      </c>
      <c r="C9043" t="s">
        <v>1329</v>
      </c>
      <c r="D9043" s="7">
        <f>DATE(2019,3,22)</f>
        <v>43546</v>
      </c>
      <c r="E9043" s="8">
        <f t="shared" si="147"/>
        <v>2019</v>
      </c>
      <c r="F9043" t="s">
        <v>1330</v>
      </c>
      <c r="G9043" s="9">
        <v>6385.06</v>
      </c>
      <c r="H9043" s="8">
        <v>28570</v>
      </c>
    </row>
    <row r="9044" spans="2:8" x14ac:dyDescent="0.4">
      <c r="B9044" t="s">
        <v>7</v>
      </c>
      <c r="C9044" t="s">
        <v>1331</v>
      </c>
      <c r="D9044" s="7">
        <f>DATE(2016,6,28)</f>
        <v>42549</v>
      </c>
      <c r="E9044" s="8">
        <f t="shared" si="147"/>
        <v>2016</v>
      </c>
      <c r="F9044" t="s">
        <v>1332</v>
      </c>
      <c r="G9044" s="9">
        <v>11397.3</v>
      </c>
      <c r="H9044" s="8">
        <v>22987</v>
      </c>
    </row>
    <row r="9045" spans="2:8" x14ac:dyDescent="0.4">
      <c r="B9045" t="s">
        <v>7</v>
      </c>
      <c r="C9045" t="s">
        <v>1331</v>
      </c>
      <c r="D9045" s="7">
        <f>DATE(2016,11,15)</f>
        <v>42689</v>
      </c>
      <c r="E9045" s="8">
        <f t="shared" si="147"/>
        <v>2016</v>
      </c>
      <c r="F9045" t="s">
        <v>1332</v>
      </c>
      <c r="G9045" s="9">
        <v>25491.02</v>
      </c>
      <c r="H9045" s="8">
        <v>22195</v>
      </c>
    </row>
    <row r="9046" spans="2:8" x14ac:dyDescent="0.4">
      <c r="B9046" t="s">
        <v>7</v>
      </c>
      <c r="C9046" t="s">
        <v>1331</v>
      </c>
      <c r="D9046" s="7">
        <f>DATE(2018,12,11)</f>
        <v>43445</v>
      </c>
      <c r="E9046" s="8">
        <f t="shared" si="147"/>
        <v>2018</v>
      </c>
      <c r="F9046" t="s">
        <v>1332</v>
      </c>
      <c r="G9046" s="9">
        <v>11297.85</v>
      </c>
      <c r="H9046" s="8">
        <v>28030</v>
      </c>
    </row>
    <row r="9047" spans="2:8" x14ac:dyDescent="0.4">
      <c r="B9047" t="s">
        <v>7</v>
      </c>
      <c r="C9047" t="s">
        <v>1331</v>
      </c>
      <c r="D9047" s="7">
        <f>DATE(2019,1,8)</f>
        <v>43473</v>
      </c>
      <c r="E9047" s="8">
        <f t="shared" si="147"/>
        <v>2019</v>
      </c>
      <c r="F9047" t="s">
        <v>1332</v>
      </c>
      <c r="G9047" s="9">
        <v>14003.09</v>
      </c>
      <c r="H9047" s="8">
        <v>28106</v>
      </c>
    </row>
    <row r="9048" spans="2:8" x14ac:dyDescent="0.4">
      <c r="B9048" t="s">
        <v>7</v>
      </c>
      <c r="C9048" t="s">
        <v>1331</v>
      </c>
      <c r="D9048" s="7">
        <f>DATE(2003,11,5)</f>
        <v>37930</v>
      </c>
      <c r="E9048" s="8">
        <f t="shared" si="147"/>
        <v>2003</v>
      </c>
      <c r="F9048" t="s">
        <v>1332</v>
      </c>
      <c r="G9048" s="9">
        <v>8245.41</v>
      </c>
      <c r="H9048" s="8">
        <v>992</v>
      </c>
    </row>
    <row r="9049" spans="2:8" x14ac:dyDescent="0.4">
      <c r="B9049" t="s">
        <v>7</v>
      </c>
      <c r="C9049" t="s">
        <v>1331</v>
      </c>
      <c r="D9049" s="7">
        <f>DATE(2003,11,13)</f>
        <v>37938</v>
      </c>
      <c r="E9049" s="8">
        <f t="shared" si="147"/>
        <v>2003</v>
      </c>
      <c r="F9049" t="s">
        <v>1332</v>
      </c>
      <c r="G9049" s="9">
        <v>9261.31</v>
      </c>
      <c r="H9049" s="8">
        <v>1011</v>
      </c>
    </row>
    <row r="9050" spans="2:8" x14ac:dyDescent="0.4">
      <c r="B9050" t="s">
        <v>7</v>
      </c>
      <c r="C9050" t="s">
        <v>1331</v>
      </c>
      <c r="D9050" s="7">
        <f>DATE(2003,12,5)</f>
        <v>37960</v>
      </c>
      <c r="E9050" s="8">
        <f t="shared" si="147"/>
        <v>2003</v>
      </c>
      <c r="F9050" t="s">
        <v>1332</v>
      </c>
      <c r="G9050" s="9">
        <v>23627.63</v>
      </c>
      <c r="H9050" s="8">
        <v>1054</v>
      </c>
    </row>
    <row r="9051" spans="2:8" x14ac:dyDescent="0.4">
      <c r="B9051" t="s">
        <v>7</v>
      </c>
      <c r="C9051" t="s">
        <v>1331</v>
      </c>
      <c r="D9051" s="7">
        <f>DATE(2004,10,27)</f>
        <v>38287</v>
      </c>
      <c r="E9051" s="8">
        <f t="shared" si="147"/>
        <v>2004</v>
      </c>
      <c r="F9051" t="s">
        <v>1332</v>
      </c>
      <c r="G9051" s="9">
        <v>10277.65</v>
      </c>
      <c r="H9051" s="8">
        <v>2310</v>
      </c>
    </row>
    <row r="9052" spans="2:8" x14ac:dyDescent="0.4">
      <c r="B9052" t="s">
        <v>7</v>
      </c>
      <c r="C9052" t="s">
        <v>1331</v>
      </c>
      <c r="D9052" s="7">
        <f>DATE(2005,5,8)</f>
        <v>38480</v>
      </c>
      <c r="E9052" s="8">
        <f t="shared" si="147"/>
        <v>2005</v>
      </c>
      <c r="F9052" t="s">
        <v>1332</v>
      </c>
      <c r="G9052" s="9">
        <v>7910.73</v>
      </c>
      <c r="H9052" s="8">
        <v>3179</v>
      </c>
    </row>
    <row r="9053" spans="2:8" x14ac:dyDescent="0.4">
      <c r="B9053" t="s">
        <v>7</v>
      </c>
      <c r="C9053" t="s">
        <v>1331</v>
      </c>
      <c r="D9053" s="7">
        <f>DATE(2008,3,20)</f>
        <v>39527</v>
      </c>
      <c r="E9053" s="8">
        <f t="shared" si="147"/>
        <v>2008</v>
      </c>
      <c r="F9053" t="s">
        <v>1332</v>
      </c>
      <c r="G9053" s="9">
        <v>6762.21</v>
      </c>
      <c r="H9053" s="8">
        <v>7034</v>
      </c>
    </row>
    <row r="9054" spans="2:8" x14ac:dyDescent="0.4">
      <c r="B9054" t="s">
        <v>7</v>
      </c>
      <c r="C9054" t="s">
        <v>1331</v>
      </c>
      <c r="D9054" s="7">
        <f>DATE(2009,3,12)</f>
        <v>39884</v>
      </c>
      <c r="E9054" s="8">
        <f t="shared" si="147"/>
        <v>2009</v>
      </c>
      <c r="F9054" t="s">
        <v>1332</v>
      </c>
      <c r="G9054" s="9">
        <v>31008.55</v>
      </c>
      <c r="H9054" s="8">
        <v>8133</v>
      </c>
    </row>
    <row r="9055" spans="2:8" x14ac:dyDescent="0.4">
      <c r="B9055" t="s">
        <v>7</v>
      </c>
      <c r="C9055" t="s">
        <v>1331</v>
      </c>
      <c r="D9055" s="7">
        <f>DATE(2010,11,2)</f>
        <v>40484</v>
      </c>
      <c r="E9055" s="8">
        <f t="shared" si="147"/>
        <v>2010</v>
      </c>
      <c r="F9055" t="s">
        <v>1332</v>
      </c>
      <c r="G9055" s="9">
        <v>15446.77</v>
      </c>
      <c r="H9055" s="8">
        <v>10172</v>
      </c>
    </row>
    <row r="9056" spans="2:8" x14ac:dyDescent="0.4">
      <c r="B9056" t="s">
        <v>7</v>
      </c>
      <c r="C9056" t="s">
        <v>1331</v>
      </c>
      <c r="D9056" s="7">
        <f>DATE(2012,2,8)</f>
        <v>40947</v>
      </c>
      <c r="E9056" s="8">
        <f t="shared" si="147"/>
        <v>2012</v>
      </c>
      <c r="F9056" t="s">
        <v>1332</v>
      </c>
      <c r="G9056" s="9">
        <v>5637.72</v>
      </c>
      <c r="H9056" s="8">
        <v>11245</v>
      </c>
    </row>
    <row r="9057" spans="2:8" x14ac:dyDescent="0.4">
      <c r="B9057" t="s">
        <v>7</v>
      </c>
      <c r="C9057" t="s">
        <v>1331</v>
      </c>
      <c r="D9057" s="7">
        <f>DATE(2012,12,5)</f>
        <v>41248</v>
      </c>
      <c r="E9057" s="8">
        <f t="shared" si="147"/>
        <v>2012</v>
      </c>
      <c r="F9057" t="s">
        <v>1332</v>
      </c>
      <c r="G9057" s="9">
        <v>17738.740000000002</v>
      </c>
      <c r="H9057" s="8">
        <v>11949</v>
      </c>
    </row>
    <row r="9058" spans="2:8" x14ac:dyDescent="0.4">
      <c r="B9058" t="s">
        <v>7</v>
      </c>
      <c r="C9058" t="s">
        <v>1331</v>
      </c>
      <c r="D9058" s="7">
        <f>DATE(2014,12,5)</f>
        <v>41978</v>
      </c>
      <c r="E9058" s="8">
        <f t="shared" si="147"/>
        <v>2014</v>
      </c>
      <c r="F9058" t="s">
        <v>1332</v>
      </c>
      <c r="G9058" s="9">
        <v>22418.799999999999</v>
      </c>
      <c r="H9058" s="8">
        <v>13530</v>
      </c>
    </row>
    <row r="9059" spans="2:8" x14ac:dyDescent="0.4">
      <c r="B9059" t="s">
        <v>7</v>
      </c>
      <c r="C9059" t="s">
        <v>1331</v>
      </c>
      <c r="D9059" s="7">
        <f>DATE(2014,12,12)</f>
        <v>41985</v>
      </c>
      <c r="E9059" s="8">
        <f t="shared" si="147"/>
        <v>2014</v>
      </c>
      <c r="F9059" t="s">
        <v>1332</v>
      </c>
      <c r="G9059" s="9">
        <v>11610.41</v>
      </c>
      <c r="H9059" s="8">
        <v>13644</v>
      </c>
    </row>
    <row r="9060" spans="2:8" x14ac:dyDescent="0.4">
      <c r="B9060" t="s">
        <v>7</v>
      </c>
      <c r="C9060" t="s">
        <v>1333</v>
      </c>
      <c r="D9060" s="7">
        <f>DATE(2006,3,17)</f>
        <v>38793</v>
      </c>
      <c r="E9060" s="8">
        <f t="shared" si="147"/>
        <v>2006</v>
      </c>
      <c r="F9060" t="s">
        <v>1334</v>
      </c>
      <c r="G9060" s="9">
        <v>6841.25</v>
      </c>
      <c r="H9060" s="8">
        <v>4333</v>
      </c>
    </row>
    <row r="9061" spans="2:8" x14ac:dyDescent="0.4">
      <c r="B9061" s="3" t="s">
        <v>7</v>
      </c>
      <c r="C9061" s="3" t="s">
        <v>1335</v>
      </c>
      <c r="D9061" s="4">
        <f>DATE(2007,4,19)</f>
        <v>39191</v>
      </c>
      <c r="E9061" s="5">
        <f t="shared" si="147"/>
        <v>2007</v>
      </c>
      <c r="F9061" s="3" t="s">
        <v>1336</v>
      </c>
      <c r="G9061" s="6">
        <v>335.2</v>
      </c>
      <c r="H9061" s="5">
        <v>8403</v>
      </c>
    </row>
    <row r="9062" spans="2:8" x14ac:dyDescent="0.4">
      <c r="B9062" s="3" t="s">
        <v>7</v>
      </c>
      <c r="C9062" s="3" t="s">
        <v>1335</v>
      </c>
      <c r="D9062" s="4">
        <f>DATE(2009,2,23)</f>
        <v>39867</v>
      </c>
      <c r="E9062" s="5">
        <f t="shared" si="147"/>
        <v>2009</v>
      </c>
      <c r="F9062" s="3" t="s">
        <v>1337</v>
      </c>
      <c r="G9062" s="6">
        <v>3283</v>
      </c>
      <c r="H9062" s="5">
        <v>11997</v>
      </c>
    </row>
    <row r="9063" spans="2:8" x14ac:dyDescent="0.4">
      <c r="B9063" t="s">
        <v>7</v>
      </c>
      <c r="C9063" t="s">
        <v>1335</v>
      </c>
      <c r="D9063" s="7">
        <f>DATE(2009,3,13)</f>
        <v>39885</v>
      </c>
      <c r="E9063" s="8">
        <f t="shared" si="147"/>
        <v>2009</v>
      </c>
      <c r="F9063" t="s">
        <v>1337</v>
      </c>
      <c r="G9063" s="9">
        <v>16684.43</v>
      </c>
      <c r="H9063" s="8">
        <v>196</v>
      </c>
    </row>
    <row r="9064" spans="2:8" x14ac:dyDescent="0.4">
      <c r="B9064" t="s">
        <v>7</v>
      </c>
      <c r="C9064" t="s">
        <v>1338</v>
      </c>
      <c r="D9064" s="7">
        <f>DATE(2010,11,2)</f>
        <v>40484</v>
      </c>
      <c r="E9064" s="8">
        <f t="shared" si="147"/>
        <v>2010</v>
      </c>
      <c r="F9064" t="s">
        <v>1339</v>
      </c>
      <c r="G9064" s="9">
        <v>2139.15</v>
      </c>
      <c r="H9064" s="8">
        <v>10222</v>
      </c>
    </row>
    <row r="9065" spans="2:8" x14ac:dyDescent="0.4">
      <c r="B9065" t="s">
        <v>7</v>
      </c>
      <c r="C9065" t="s">
        <v>1340</v>
      </c>
      <c r="D9065" s="7">
        <f>DATE(2009,8,11)</f>
        <v>40036</v>
      </c>
      <c r="E9065" s="8">
        <f t="shared" si="147"/>
        <v>2009</v>
      </c>
      <c r="F9065" t="s">
        <v>1341</v>
      </c>
      <c r="G9065" s="9">
        <v>9240.2999999999993</v>
      </c>
      <c r="H9065" s="8">
        <v>8944</v>
      </c>
    </row>
    <row r="9066" spans="2:8" x14ac:dyDescent="0.4">
      <c r="B9066" s="3" t="s">
        <v>7</v>
      </c>
      <c r="C9066" s="3" t="s">
        <v>1340</v>
      </c>
      <c r="D9066" s="4">
        <f>DATE(2006,10,31)</f>
        <v>39021</v>
      </c>
      <c r="E9066" s="5">
        <f t="shared" si="147"/>
        <v>2006</v>
      </c>
      <c r="F9066" s="3" t="s">
        <v>1342</v>
      </c>
      <c r="G9066" s="6">
        <v>100.5</v>
      </c>
      <c r="H9066" s="5">
        <v>7457</v>
      </c>
    </row>
    <row r="9067" spans="2:8" x14ac:dyDescent="0.4">
      <c r="B9067" s="3" t="s">
        <v>7</v>
      </c>
      <c r="C9067" s="3" t="s">
        <v>1343</v>
      </c>
      <c r="D9067" s="4">
        <f>DATE(2003,1,22)</f>
        <v>37643</v>
      </c>
      <c r="E9067" s="5">
        <f t="shared" si="147"/>
        <v>2003</v>
      </c>
      <c r="F9067" s="3" t="s">
        <v>1344</v>
      </c>
      <c r="G9067" s="6">
        <v>395.39</v>
      </c>
      <c r="H9067" s="5">
        <v>1</v>
      </c>
    </row>
    <row r="9068" spans="2:8" x14ac:dyDescent="0.4">
      <c r="B9068" s="3" t="s">
        <v>7</v>
      </c>
      <c r="C9068" s="3" t="s">
        <v>1343</v>
      </c>
      <c r="D9068" s="4">
        <f>DATE(2003,1,22)</f>
        <v>37643</v>
      </c>
      <c r="E9068" s="5">
        <f t="shared" si="147"/>
        <v>2003</v>
      </c>
      <c r="F9068" s="3" t="s">
        <v>1344</v>
      </c>
      <c r="G9068" s="6">
        <v>1220.8599999999999</v>
      </c>
      <c r="H9068" s="5">
        <v>2</v>
      </c>
    </row>
    <row r="9069" spans="2:8" x14ac:dyDescent="0.4">
      <c r="B9069" s="3" t="s">
        <v>7</v>
      </c>
      <c r="C9069" s="3" t="s">
        <v>1343</v>
      </c>
      <c r="D9069" s="4">
        <f>DATE(2003,9,15)</f>
        <v>37879</v>
      </c>
      <c r="E9069" s="5">
        <f t="shared" si="147"/>
        <v>2003</v>
      </c>
      <c r="F9069" s="3" t="s">
        <v>1344</v>
      </c>
      <c r="G9069" s="6">
        <v>2418.0500000000002</v>
      </c>
      <c r="H9069" s="5">
        <v>326</v>
      </c>
    </row>
    <row r="9070" spans="2:8" x14ac:dyDescent="0.4">
      <c r="B9070" s="3" t="s">
        <v>7</v>
      </c>
      <c r="C9070" s="3" t="s">
        <v>1343</v>
      </c>
      <c r="D9070" s="4">
        <f>DATE(2004,2,6)</f>
        <v>38023</v>
      </c>
      <c r="E9070" s="5">
        <f t="shared" si="147"/>
        <v>2004</v>
      </c>
      <c r="F9070" s="3" t="s">
        <v>1344</v>
      </c>
      <c r="G9070" s="6">
        <v>5864.86</v>
      </c>
      <c r="H9070" s="5">
        <v>524</v>
      </c>
    </row>
    <row r="9071" spans="2:8" x14ac:dyDescent="0.4">
      <c r="B9071" s="3" t="s">
        <v>7</v>
      </c>
      <c r="C9071" s="3" t="s">
        <v>1343</v>
      </c>
      <c r="D9071" s="4">
        <f>DATE(2004,2,19)</f>
        <v>38036</v>
      </c>
      <c r="E9071" s="5">
        <f t="shared" si="147"/>
        <v>2004</v>
      </c>
      <c r="F9071" s="3" t="s">
        <v>1344</v>
      </c>
      <c r="G9071" s="6">
        <v>235.56</v>
      </c>
      <c r="H9071" s="5">
        <v>540</v>
      </c>
    </row>
    <row r="9072" spans="2:8" x14ac:dyDescent="0.4">
      <c r="B9072" s="3" t="s">
        <v>7</v>
      </c>
      <c r="C9072" s="3" t="s">
        <v>1343</v>
      </c>
      <c r="D9072" s="4">
        <f>DATE(2004,5,24)</f>
        <v>38131</v>
      </c>
      <c r="E9072" s="5">
        <f t="shared" si="147"/>
        <v>2004</v>
      </c>
      <c r="F9072" s="3" t="s">
        <v>1344</v>
      </c>
      <c r="G9072" s="6">
        <v>2232.37</v>
      </c>
      <c r="H9072" s="5">
        <v>669</v>
      </c>
    </row>
    <row r="9073" spans="2:8" x14ac:dyDescent="0.4">
      <c r="B9073" s="3" t="s">
        <v>7</v>
      </c>
      <c r="C9073" s="3" t="s">
        <v>1343</v>
      </c>
      <c r="D9073" s="4">
        <f>DATE(2004,9,21)</f>
        <v>38251</v>
      </c>
      <c r="E9073" s="5">
        <f t="shared" si="147"/>
        <v>2004</v>
      </c>
      <c r="F9073" s="3" t="s">
        <v>1344</v>
      </c>
      <c r="G9073" s="6">
        <v>3616.6</v>
      </c>
      <c r="H9073" s="5">
        <v>791</v>
      </c>
    </row>
    <row r="9074" spans="2:8" x14ac:dyDescent="0.4">
      <c r="B9074" s="3" t="s">
        <v>7</v>
      </c>
      <c r="C9074" s="3" t="s">
        <v>1343</v>
      </c>
      <c r="D9074" s="4">
        <f>DATE(2005,1,7)</f>
        <v>38359</v>
      </c>
      <c r="E9074" s="5">
        <f t="shared" si="147"/>
        <v>2005</v>
      </c>
      <c r="F9074" s="3" t="s">
        <v>1344</v>
      </c>
      <c r="G9074" s="6">
        <v>2542.54</v>
      </c>
      <c r="H9074" s="5">
        <v>916</v>
      </c>
    </row>
    <row r="9075" spans="2:8" x14ac:dyDescent="0.4">
      <c r="B9075" s="3" t="s">
        <v>7</v>
      </c>
      <c r="C9075" s="3" t="s">
        <v>1343</v>
      </c>
      <c r="D9075" s="4">
        <f>DATE(2005,1,20)</f>
        <v>38372</v>
      </c>
      <c r="E9075" s="5">
        <f t="shared" si="147"/>
        <v>2005</v>
      </c>
      <c r="F9075" s="3" t="s">
        <v>1344</v>
      </c>
      <c r="G9075" s="6">
        <v>1266.53</v>
      </c>
      <c r="H9075" s="5">
        <v>924</v>
      </c>
    </row>
    <row r="9076" spans="2:8" x14ac:dyDescent="0.4">
      <c r="B9076" s="3" t="s">
        <v>7</v>
      </c>
      <c r="C9076" s="3" t="s">
        <v>1343</v>
      </c>
      <c r="D9076" s="4">
        <f>DATE(2005,1,20)</f>
        <v>38372</v>
      </c>
      <c r="E9076" s="5">
        <f t="shared" si="147"/>
        <v>2005</v>
      </c>
      <c r="F9076" s="3" t="s">
        <v>1344</v>
      </c>
      <c r="G9076" s="6">
        <v>226.25</v>
      </c>
      <c r="H9076" s="5">
        <v>925</v>
      </c>
    </row>
    <row r="9077" spans="2:8" x14ac:dyDescent="0.4">
      <c r="B9077" s="3" t="s">
        <v>7</v>
      </c>
      <c r="C9077" s="3" t="s">
        <v>1343</v>
      </c>
      <c r="D9077" s="4">
        <f>DATE(2005,3,4)</f>
        <v>38415</v>
      </c>
      <c r="E9077" s="5">
        <f t="shared" si="147"/>
        <v>2005</v>
      </c>
      <c r="F9077" s="3" t="s">
        <v>1344</v>
      </c>
      <c r="G9077" s="6">
        <v>6496.18</v>
      </c>
      <c r="H9077" s="5">
        <v>978</v>
      </c>
    </row>
    <row r="9078" spans="2:8" x14ac:dyDescent="0.4">
      <c r="B9078" s="3" t="s">
        <v>7</v>
      </c>
      <c r="C9078" s="3" t="s">
        <v>1343</v>
      </c>
      <c r="D9078" s="4">
        <f>DATE(2005,4,2)</f>
        <v>38444</v>
      </c>
      <c r="E9078" s="5">
        <f t="shared" si="147"/>
        <v>2005</v>
      </c>
      <c r="F9078" s="3" t="s">
        <v>1344</v>
      </c>
      <c r="G9078" s="6">
        <v>2803.68</v>
      </c>
      <c r="H9078" s="5">
        <v>1018</v>
      </c>
    </row>
    <row r="9079" spans="2:8" x14ac:dyDescent="0.4">
      <c r="B9079" s="3" t="s">
        <v>7</v>
      </c>
      <c r="C9079" s="3" t="s">
        <v>1343</v>
      </c>
      <c r="D9079" s="4">
        <f>DATE(2005,5,3)</f>
        <v>38475</v>
      </c>
      <c r="E9079" s="5">
        <f t="shared" si="147"/>
        <v>2005</v>
      </c>
      <c r="F9079" s="3" t="s">
        <v>1344</v>
      </c>
      <c r="G9079" s="6">
        <v>7196.17</v>
      </c>
      <c r="H9079" s="5">
        <v>1074</v>
      </c>
    </row>
    <row r="9080" spans="2:8" x14ac:dyDescent="0.4">
      <c r="B9080" s="3" t="s">
        <v>7</v>
      </c>
      <c r="C9080" s="3" t="s">
        <v>790</v>
      </c>
      <c r="D9080" s="4">
        <f>DATE(2012,5,18)</f>
        <v>41047</v>
      </c>
      <c r="E9080" s="5">
        <f t="shared" si="147"/>
        <v>2012</v>
      </c>
      <c r="F9080" s="3" t="s">
        <v>1345</v>
      </c>
      <c r="G9080" s="6">
        <v>5574.77</v>
      </c>
      <c r="H9080" s="5">
        <v>5059</v>
      </c>
    </row>
    <row r="9081" spans="2:8" x14ac:dyDescent="0.4">
      <c r="B9081" s="3" t="s">
        <v>7</v>
      </c>
      <c r="C9081" s="3" t="s">
        <v>790</v>
      </c>
      <c r="D9081" s="4">
        <f>DATE(2012,11,1)</f>
        <v>41214</v>
      </c>
      <c r="E9081" s="5">
        <f t="shared" si="147"/>
        <v>2012</v>
      </c>
      <c r="F9081" s="3" t="s">
        <v>1345</v>
      </c>
      <c r="G9081" s="6">
        <v>2952.2</v>
      </c>
      <c r="H9081" s="5">
        <v>5272</v>
      </c>
    </row>
    <row r="9082" spans="2:8" x14ac:dyDescent="0.4">
      <c r="B9082" s="3" t="s">
        <v>7</v>
      </c>
      <c r="C9082" s="3" t="s">
        <v>790</v>
      </c>
      <c r="D9082" s="4">
        <f>DATE(2013,4,25)</f>
        <v>41389</v>
      </c>
      <c r="E9082" s="5">
        <f t="shared" si="147"/>
        <v>2013</v>
      </c>
      <c r="F9082" s="3" t="s">
        <v>1345</v>
      </c>
      <c r="G9082" s="6">
        <v>6753.85</v>
      </c>
      <c r="H9082" s="5">
        <v>5518</v>
      </c>
    </row>
    <row r="9083" spans="2:8" x14ac:dyDescent="0.4">
      <c r="B9083" s="3" t="s">
        <v>7</v>
      </c>
      <c r="C9083" s="3" t="s">
        <v>790</v>
      </c>
      <c r="D9083" s="4">
        <f>DATE(2013,6,12)</f>
        <v>41437</v>
      </c>
      <c r="E9083" s="5">
        <f t="shared" si="147"/>
        <v>2013</v>
      </c>
      <c r="F9083" s="3" t="s">
        <v>1345</v>
      </c>
      <c r="G9083" s="6">
        <v>5216.5</v>
      </c>
      <c r="H9083" s="5">
        <v>5588</v>
      </c>
    </row>
    <row r="9084" spans="2:8" x14ac:dyDescent="0.4">
      <c r="B9084" s="3" t="s">
        <v>7</v>
      </c>
      <c r="C9084" s="3" t="s">
        <v>790</v>
      </c>
      <c r="D9084" s="4">
        <f>DATE(2013,10,9)</f>
        <v>41556</v>
      </c>
      <c r="E9084" s="5">
        <f t="shared" si="147"/>
        <v>2013</v>
      </c>
      <c r="F9084" s="3" t="s">
        <v>1345</v>
      </c>
      <c r="G9084" s="6">
        <v>57187.73</v>
      </c>
      <c r="H9084" s="5">
        <v>5758</v>
      </c>
    </row>
    <row r="9085" spans="2:8" x14ac:dyDescent="0.4">
      <c r="B9085" s="3" t="s">
        <v>7</v>
      </c>
      <c r="C9085" s="3" t="s">
        <v>790</v>
      </c>
      <c r="D9085" s="4">
        <f>DATE(2013,10,9)</f>
        <v>41556</v>
      </c>
      <c r="E9085" s="5">
        <f t="shared" si="147"/>
        <v>2013</v>
      </c>
      <c r="F9085" s="3" t="s">
        <v>1345</v>
      </c>
      <c r="G9085" s="6">
        <v>3089.33</v>
      </c>
      <c r="H9085" s="5">
        <v>5831</v>
      </c>
    </row>
    <row r="9086" spans="2:8" x14ac:dyDescent="0.4">
      <c r="B9086" s="3" t="s">
        <v>7</v>
      </c>
      <c r="C9086" s="3" t="s">
        <v>790</v>
      </c>
      <c r="D9086" s="4">
        <f>DATE(2013,11,7)</f>
        <v>41585</v>
      </c>
      <c r="E9086" s="5">
        <f t="shared" si="147"/>
        <v>2013</v>
      </c>
      <c r="F9086" s="3" t="s">
        <v>1345</v>
      </c>
      <c r="G9086" s="6">
        <v>2961.96</v>
      </c>
      <c r="H9086" s="5">
        <v>5856</v>
      </c>
    </row>
    <row r="9087" spans="2:8" x14ac:dyDescent="0.4">
      <c r="B9087" s="3" t="s">
        <v>7</v>
      </c>
      <c r="C9087" s="3" t="s">
        <v>790</v>
      </c>
      <c r="D9087" s="4">
        <f>DATE(2013,12,4)</f>
        <v>41612</v>
      </c>
      <c r="E9087" s="5">
        <f t="shared" si="147"/>
        <v>2013</v>
      </c>
      <c r="F9087" s="3" t="s">
        <v>1345</v>
      </c>
      <c r="G9087" s="6">
        <v>5090.4799999999996</v>
      </c>
      <c r="H9087" s="5">
        <v>5921</v>
      </c>
    </row>
    <row r="9088" spans="2:8" x14ac:dyDescent="0.4">
      <c r="B9088" s="3" t="s">
        <v>7</v>
      </c>
      <c r="C9088" s="3" t="s">
        <v>790</v>
      </c>
      <c r="D9088" s="4">
        <f>DATE(2013,11,21)</f>
        <v>41599</v>
      </c>
      <c r="E9088" s="5">
        <f t="shared" si="147"/>
        <v>2013</v>
      </c>
      <c r="F9088" s="3" t="s">
        <v>1345</v>
      </c>
      <c r="G9088" s="6">
        <v>4325.1899999999996</v>
      </c>
      <c r="H9088" s="5">
        <v>5890</v>
      </c>
    </row>
    <row r="9089" spans="2:8" x14ac:dyDescent="0.4">
      <c r="B9089" s="3" t="s">
        <v>7</v>
      </c>
      <c r="C9089" s="3" t="s">
        <v>790</v>
      </c>
      <c r="D9089" s="4">
        <f>DATE(2013,10,9)</f>
        <v>41556</v>
      </c>
      <c r="E9089" s="5">
        <f t="shared" si="147"/>
        <v>2013</v>
      </c>
      <c r="F9089" s="3" t="s">
        <v>1345</v>
      </c>
      <c r="G9089" s="6">
        <v>66783.62</v>
      </c>
      <c r="H9089" s="5">
        <v>5746</v>
      </c>
    </row>
    <row r="9090" spans="2:8" x14ac:dyDescent="0.4">
      <c r="B9090" s="3" t="s">
        <v>7</v>
      </c>
      <c r="C9090" s="3" t="s">
        <v>790</v>
      </c>
      <c r="D9090" s="4">
        <f>DATE(2013,11,6)</f>
        <v>41584</v>
      </c>
      <c r="E9090" s="5">
        <f t="shared" si="147"/>
        <v>2013</v>
      </c>
      <c r="F9090" s="3" t="s">
        <v>1345</v>
      </c>
      <c r="G9090" s="6">
        <v>11491.02</v>
      </c>
      <c r="H9090" s="5">
        <v>5855</v>
      </c>
    </row>
    <row r="9091" spans="2:8" x14ac:dyDescent="0.4">
      <c r="B9091" t="s">
        <v>7</v>
      </c>
      <c r="C9091" t="s">
        <v>790</v>
      </c>
      <c r="D9091" s="7">
        <f>DATE(2015,3,2)</f>
        <v>42065</v>
      </c>
      <c r="E9091" s="8">
        <f t="shared" ref="E9091:E9154" si="148">YEAR(D9091)</f>
        <v>2015</v>
      </c>
      <c r="F9091" t="s">
        <v>1346</v>
      </c>
      <c r="G9091" s="9">
        <v>3694.61</v>
      </c>
      <c r="H9091" s="8">
        <v>405</v>
      </c>
    </row>
    <row r="9092" spans="2:8" x14ac:dyDescent="0.4">
      <c r="B9092" s="3" t="s">
        <v>7</v>
      </c>
      <c r="C9092" s="3" t="s">
        <v>790</v>
      </c>
      <c r="D9092" s="4">
        <f>DATE(2012,7,27)</f>
        <v>41117</v>
      </c>
      <c r="E9092" s="5">
        <f t="shared" si="148"/>
        <v>2012</v>
      </c>
      <c r="F9092" s="3" t="s">
        <v>1346</v>
      </c>
      <c r="G9092" s="6">
        <v>2989.79</v>
      </c>
      <c r="H9092" s="5">
        <v>5130</v>
      </c>
    </row>
    <row r="9093" spans="2:8" x14ac:dyDescent="0.4">
      <c r="B9093" s="3" t="s">
        <v>7</v>
      </c>
      <c r="C9093" s="3" t="s">
        <v>790</v>
      </c>
      <c r="D9093" s="4">
        <f>DATE(2012,7,27)</f>
        <v>41117</v>
      </c>
      <c r="E9093" s="5">
        <f t="shared" si="148"/>
        <v>2012</v>
      </c>
      <c r="F9093" s="3" t="s">
        <v>1346</v>
      </c>
      <c r="G9093" s="6">
        <v>9987.9500000000007</v>
      </c>
      <c r="H9093" s="5">
        <v>5147</v>
      </c>
    </row>
    <row r="9094" spans="2:8" x14ac:dyDescent="0.4">
      <c r="B9094" s="3" t="s">
        <v>7</v>
      </c>
      <c r="C9094" s="3" t="s">
        <v>790</v>
      </c>
      <c r="D9094" s="4">
        <f>DATE(2012,7,27)</f>
        <v>41117</v>
      </c>
      <c r="E9094" s="5">
        <f t="shared" si="148"/>
        <v>2012</v>
      </c>
      <c r="F9094" s="3" t="s">
        <v>1346</v>
      </c>
      <c r="G9094" s="6">
        <v>10925.31</v>
      </c>
      <c r="H9094" s="5">
        <v>5122</v>
      </c>
    </row>
    <row r="9095" spans="2:8" x14ac:dyDescent="0.4">
      <c r="B9095" s="3" t="s">
        <v>7</v>
      </c>
      <c r="C9095" s="3" t="s">
        <v>790</v>
      </c>
      <c r="D9095" s="4">
        <f>DATE(2012,11,15)</f>
        <v>41228</v>
      </c>
      <c r="E9095" s="5">
        <f t="shared" si="148"/>
        <v>2012</v>
      </c>
      <c r="F9095" s="3" t="s">
        <v>1346</v>
      </c>
      <c r="G9095" s="6">
        <v>4342.04</v>
      </c>
      <c r="H9095" s="5">
        <v>5245</v>
      </c>
    </row>
    <row r="9096" spans="2:8" x14ac:dyDescent="0.4">
      <c r="B9096" s="3" t="s">
        <v>7</v>
      </c>
      <c r="C9096" s="3" t="s">
        <v>790</v>
      </c>
      <c r="D9096" s="4">
        <f>DATE(2014,6,10)</f>
        <v>41800</v>
      </c>
      <c r="E9096" s="5">
        <f t="shared" si="148"/>
        <v>2014</v>
      </c>
      <c r="F9096" s="3" t="s">
        <v>1346</v>
      </c>
      <c r="G9096" s="6">
        <v>1334.02</v>
      </c>
      <c r="H9096" s="5">
        <v>6206</v>
      </c>
    </row>
    <row r="9097" spans="2:8" x14ac:dyDescent="0.4">
      <c r="B9097" s="3" t="s">
        <v>7</v>
      </c>
      <c r="C9097" s="3" t="s">
        <v>790</v>
      </c>
      <c r="D9097" s="4">
        <f>DATE(2014,6,10)</f>
        <v>41800</v>
      </c>
      <c r="E9097" s="5">
        <f t="shared" si="148"/>
        <v>2014</v>
      </c>
      <c r="F9097" s="3" t="s">
        <v>1346</v>
      </c>
      <c r="G9097" s="6">
        <v>2042.33</v>
      </c>
      <c r="H9097" s="5">
        <v>6207</v>
      </c>
    </row>
    <row r="9098" spans="2:8" x14ac:dyDescent="0.4">
      <c r="B9098" s="3" t="s">
        <v>7</v>
      </c>
      <c r="C9098" s="3" t="s">
        <v>790</v>
      </c>
      <c r="D9098" s="4">
        <f>DATE(2014,6,10)</f>
        <v>41800</v>
      </c>
      <c r="E9098" s="5">
        <f t="shared" si="148"/>
        <v>2014</v>
      </c>
      <c r="F9098" s="3" t="s">
        <v>1346</v>
      </c>
      <c r="G9098" s="6">
        <v>1839.36</v>
      </c>
      <c r="H9098" s="5">
        <v>6208</v>
      </c>
    </row>
    <row r="9099" spans="2:8" x14ac:dyDescent="0.4">
      <c r="B9099" s="3" t="s">
        <v>7</v>
      </c>
      <c r="C9099" s="3" t="s">
        <v>790</v>
      </c>
      <c r="D9099" s="4">
        <f>DATE(2014,6,10)</f>
        <v>41800</v>
      </c>
      <c r="E9099" s="5">
        <f t="shared" si="148"/>
        <v>2014</v>
      </c>
      <c r="F9099" s="3" t="s">
        <v>1346</v>
      </c>
      <c r="G9099" s="6">
        <v>1632.33</v>
      </c>
      <c r="H9099" s="5">
        <v>6209</v>
      </c>
    </row>
    <row r="9100" spans="2:8" x14ac:dyDescent="0.4">
      <c r="B9100" s="3" t="s">
        <v>7</v>
      </c>
      <c r="C9100" s="3" t="s">
        <v>790</v>
      </c>
      <c r="D9100" s="4">
        <f>DATE(2014,6,11)</f>
        <v>41801</v>
      </c>
      <c r="E9100" s="5">
        <f t="shared" si="148"/>
        <v>2014</v>
      </c>
      <c r="F9100" s="3" t="s">
        <v>1346</v>
      </c>
      <c r="G9100" s="6">
        <v>1271.3499999999999</v>
      </c>
      <c r="H9100" s="5">
        <v>6210</v>
      </c>
    </row>
    <row r="9101" spans="2:8" x14ac:dyDescent="0.4">
      <c r="B9101" s="3" t="s">
        <v>7</v>
      </c>
      <c r="C9101" s="3" t="s">
        <v>790</v>
      </c>
      <c r="D9101" s="4">
        <f>DATE(2014,6,11)</f>
        <v>41801</v>
      </c>
      <c r="E9101" s="5">
        <f t="shared" si="148"/>
        <v>2014</v>
      </c>
      <c r="F9101" s="3" t="s">
        <v>1346</v>
      </c>
      <c r="G9101" s="6">
        <v>2528.0300000000002</v>
      </c>
      <c r="H9101" s="5">
        <v>6211</v>
      </c>
    </row>
    <row r="9102" spans="2:8" x14ac:dyDescent="0.4">
      <c r="B9102" s="3" t="s">
        <v>7</v>
      </c>
      <c r="C9102" s="3" t="s">
        <v>790</v>
      </c>
      <c r="D9102" s="4">
        <f>DATE(2014,6,11)</f>
        <v>41801</v>
      </c>
      <c r="E9102" s="5">
        <f t="shared" si="148"/>
        <v>2014</v>
      </c>
      <c r="F9102" s="3" t="s">
        <v>1346</v>
      </c>
      <c r="G9102" s="6">
        <v>4151.18</v>
      </c>
      <c r="H9102" s="5">
        <v>6212</v>
      </c>
    </row>
    <row r="9103" spans="2:8" x14ac:dyDescent="0.4">
      <c r="B9103" s="3" t="s">
        <v>7</v>
      </c>
      <c r="C9103" s="3" t="s">
        <v>790</v>
      </c>
      <c r="D9103" s="4">
        <f>DATE(2014,6,11)</f>
        <v>41801</v>
      </c>
      <c r="E9103" s="5">
        <f t="shared" si="148"/>
        <v>2014</v>
      </c>
      <c r="F9103" s="3" t="s">
        <v>1346</v>
      </c>
      <c r="G9103" s="6">
        <v>1964.35</v>
      </c>
      <c r="H9103" s="5">
        <v>6213</v>
      </c>
    </row>
    <row r="9104" spans="2:8" x14ac:dyDescent="0.4">
      <c r="B9104" s="3" t="s">
        <v>7</v>
      </c>
      <c r="C9104" s="3" t="s">
        <v>790</v>
      </c>
      <c r="D9104" s="4">
        <f>DATE(2014,7,9)</f>
        <v>41829</v>
      </c>
      <c r="E9104" s="5">
        <f t="shared" si="148"/>
        <v>2014</v>
      </c>
      <c r="F9104" s="3" t="s">
        <v>1346</v>
      </c>
      <c r="G9104" s="6">
        <v>2067.25</v>
      </c>
      <c r="H9104" s="5">
        <v>6228</v>
      </c>
    </row>
    <row r="9105" spans="2:8" x14ac:dyDescent="0.4">
      <c r="B9105" s="3" t="s">
        <v>7</v>
      </c>
      <c r="C9105" s="3" t="s">
        <v>790</v>
      </c>
      <c r="D9105" s="4">
        <f>DATE(2014,8,13)</f>
        <v>41864</v>
      </c>
      <c r="E9105" s="5">
        <f t="shared" si="148"/>
        <v>2014</v>
      </c>
      <c r="F9105" s="3" t="s">
        <v>1346</v>
      </c>
      <c r="G9105" s="6">
        <v>8123.35</v>
      </c>
      <c r="H9105" s="5">
        <v>6280</v>
      </c>
    </row>
    <row r="9106" spans="2:8" x14ac:dyDescent="0.4">
      <c r="B9106" s="3" t="s">
        <v>7</v>
      </c>
      <c r="C9106" s="3" t="s">
        <v>790</v>
      </c>
      <c r="D9106" s="4">
        <f t="shared" ref="D9106:D9113" si="149">DATE(2014,9,24)</f>
        <v>41906</v>
      </c>
      <c r="E9106" s="5">
        <f t="shared" si="148"/>
        <v>2014</v>
      </c>
      <c r="F9106" s="3" t="s">
        <v>1346</v>
      </c>
      <c r="G9106" s="6">
        <v>16811.259999999998</v>
      </c>
      <c r="H9106" s="5">
        <v>6378</v>
      </c>
    </row>
    <row r="9107" spans="2:8" x14ac:dyDescent="0.4">
      <c r="B9107" s="3" t="s">
        <v>7</v>
      </c>
      <c r="C9107" s="3" t="s">
        <v>790</v>
      </c>
      <c r="D9107" s="4">
        <f t="shared" si="149"/>
        <v>41906</v>
      </c>
      <c r="E9107" s="5">
        <f t="shared" si="148"/>
        <v>2014</v>
      </c>
      <c r="F9107" s="3" t="s">
        <v>1346</v>
      </c>
      <c r="G9107" s="6">
        <v>3706.2</v>
      </c>
      <c r="H9107" s="5">
        <v>6377</v>
      </c>
    </row>
    <row r="9108" spans="2:8" x14ac:dyDescent="0.4">
      <c r="B9108" s="3" t="s">
        <v>7</v>
      </c>
      <c r="C9108" s="3" t="s">
        <v>790</v>
      </c>
      <c r="D9108" s="4">
        <f t="shared" si="149"/>
        <v>41906</v>
      </c>
      <c r="E9108" s="5">
        <f t="shared" si="148"/>
        <v>2014</v>
      </c>
      <c r="F9108" s="3" t="s">
        <v>1346</v>
      </c>
      <c r="G9108" s="6">
        <v>1333.7</v>
      </c>
      <c r="H9108" s="5">
        <v>6376</v>
      </c>
    </row>
    <row r="9109" spans="2:8" x14ac:dyDescent="0.4">
      <c r="B9109" s="3" t="s">
        <v>7</v>
      </c>
      <c r="C9109" s="3" t="s">
        <v>790</v>
      </c>
      <c r="D9109" s="4">
        <f t="shared" si="149"/>
        <v>41906</v>
      </c>
      <c r="E9109" s="5">
        <f t="shared" si="148"/>
        <v>2014</v>
      </c>
      <c r="F9109" s="3" t="s">
        <v>1346</v>
      </c>
      <c r="G9109" s="6">
        <v>3121.2</v>
      </c>
      <c r="H9109" s="5">
        <v>6375</v>
      </c>
    </row>
    <row r="9110" spans="2:8" x14ac:dyDescent="0.4">
      <c r="B9110" s="3" t="s">
        <v>7</v>
      </c>
      <c r="C9110" s="3" t="s">
        <v>790</v>
      </c>
      <c r="D9110" s="4">
        <f t="shared" si="149"/>
        <v>41906</v>
      </c>
      <c r="E9110" s="5">
        <f t="shared" si="148"/>
        <v>2014</v>
      </c>
      <c r="F9110" s="3" t="s">
        <v>1346</v>
      </c>
      <c r="G9110" s="6">
        <v>2794.7</v>
      </c>
      <c r="H9110" s="5">
        <v>6374</v>
      </c>
    </row>
    <row r="9111" spans="2:8" x14ac:dyDescent="0.4">
      <c r="B9111" s="3" t="s">
        <v>7</v>
      </c>
      <c r="C9111" s="3" t="s">
        <v>790</v>
      </c>
      <c r="D9111" s="4">
        <f t="shared" si="149"/>
        <v>41906</v>
      </c>
      <c r="E9111" s="5">
        <f t="shared" si="148"/>
        <v>2014</v>
      </c>
      <c r="F9111" s="3" t="s">
        <v>1346</v>
      </c>
      <c r="G9111" s="6">
        <v>3662.7</v>
      </c>
      <c r="H9111" s="5">
        <v>6373</v>
      </c>
    </row>
    <row r="9112" spans="2:8" x14ac:dyDescent="0.4">
      <c r="B9112" s="3" t="s">
        <v>7</v>
      </c>
      <c r="C9112" s="3" t="s">
        <v>790</v>
      </c>
      <c r="D9112" s="4">
        <f t="shared" si="149"/>
        <v>41906</v>
      </c>
      <c r="E9112" s="5">
        <f t="shared" si="148"/>
        <v>2014</v>
      </c>
      <c r="F9112" s="3" t="s">
        <v>1346</v>
      </c>
      <c r="G9112" s="6">
        <v>1427.68</v>
      </c>
      <c r="H9112" s="5">
        <v>6372</v>
      </c>
    </row>
    <row r="9113" spans="2:8" x14ac:dyDescent="0.4">
      <c r="B9113" s="3" t="s">
        <v>7</v>
      </c>
      <c r="C9113" s="3" t="s">
        <v>790</v>
      </c>
      <c r="D9113" s="4">
        <f t="shared" si="149"/>
        <v>41906</v>
      </c>
      <c r="E9113" s="5">
        <f t="shared" si="148"/>
        <v>2014</v>
      </c>
      <c r="F9113" s="3" t="s">
        <v>1346</v>
      </c>
      <c r="G9113" s="6">
        <v>1283.68</v>
      </c>
      <c r="H9113" s="5">
        <v>6371</v>
      </c>
    </row>
    <row r="9114" spans="2:8" x14ac:dyDescent="0.4">
      <c r="B9114" s="3" t="s">
        <v>7</v>
      </c>
      <c r="C9114" s="3" t="s">
        <v>790</v>
      </c>
      <c r="D9114" s="4">
        <f>DATE(2014,10,1)</f>
        <v>41913</v>
      </c>
      <c r="E9114" s="5">
        <f t="shared" si="148"/>
        <v>2014</v>
      </c>
      <c r="F9114" s="3" t="s">
        <v>1346</v>
      </c>
      <c r="G9114" s="6">
        <v>6790.6</v>
      </c>
      <c r="H9114" s="5">
        <v>6347</v>
      </c>
    </row>
    <row r="9115" spans="2:8" x14ac:dyDescent="0.4">
      <c r="B9115" s="3" t="s">
        <v>7</v>
      </c>
      <c r="C9115" s="3" t="s">
        <v>790</v>
      </c>
      <c r="D9115" s="4">
        <f>DATE(2015,1,8)</f>
        <v>42012</v>
      </c>
      <c r="E9115" s="5">
        <f t="shared" si="148"/>
        <v>2015</v>
      </c>
      <c r="F9115" s="3" t="s">
        <v>1346</v>
      </c>
      <c r="G9115" s="6">
        <v>5171.7</v>
      </c>
      <c r="H9115" s="5">
        <v>6529</v>
      </c>
    </row>
    <row r="9116" spans="2:8" x14ac:dyDescent="0.4">
      <c r="B9116" s="3" t="s">
        <v>7</v>
      </c>
      <c r="C9116" s="3" t="s">
        <v>790</v>
      </c>
      <c r="D9116" s="4">
        <f t="shared" ref="D9116:D9122" si="150">DATE(2014,6,10)</f>
        <v>41800</v>
      </c>
      <c r="E9116" s="5">
        <f t="shared" si="148"/>
        <v>2014</v>
      </c>
      <c r="F9116" s="3" t="s">
        <v>1346</v>
      </c>
      <c r="G9116" s="6">
        <v>7171.25</v>
      </c>
      <c r="H9116" s="5">
        <v>6214</v>
      </c>
    </row>
    <row r="9117" spans="2:8" x14ac:dyDescent="0.4">
      <c r="B9117" s="3" t="s">
        <v>7</v>
      </c>
      <c r="C9117" s="3" t="s">
        <v>790</v>
      </c>
      <c r="D9117" s="4">
        <f t="shared" si="150"/>
        <v>41800</v>
      </c>
      <c r="E9117" s="5">
        <f t="shared" si="148"/>
        <v>2014</v>
      </c>
      <c r="F9117" s="3" t="s">
        <v>1346</v>
      </c>
      <c r="G9117" s="6">
        <v>3347</v>
      </c>
      <c r="H9117" s="5">
        <v>6215</v>
      </c>
    </row>
    <row r="9118" spans="2:8" x14ac:dyDescent="0.4">
      <c r="B9118" s="3" t="s">
        <v>7</v>
      </c>
      <c r="C9118" s="3" t="s">
        <v>790</v>
      </c>
      <c r="D9118" s="4">
        <f t="shared" si="150"/>
        <v>41800</v>
      </c>
      <c r="E9118" s="5">
        <f t="shared" si="148"/>
        <v>2014</v>
      </c>
      <c r="F9118" s="3" t="s">
        <v>1346</v>
      </c>
      <c r="G9118" s="6">
        <v>781.8</v>
      </c>
      <c r="H9118" s="5">
        <v>6216</v>
      </c>
    </row>
    <row r="9119" spans="2:8" x14ac:dyDescent="0.4">
      <c r="B9119" s="3" t="s">
        <v>7</v>
      </c>
      <c r="C9119" s="3" t="s">
        <v>790</v>
      </c>
      <c r="D9119" s="4">
        <f t="shared" si="150"/>
        <v>41800</v>
      </c>
      <c r="E9119" s="5">
        <f t="shared" si="148"/>
        <v>2014</v>
      </c>
      <c r="F9119" s="3" t="s">
        <v>1346</v>
      </c>
      <c r="G9119" s="6">
        <v>3076</v>
      </c>
      <c r="H9119" s="5">
        <v>6217</v>
      </c>
    </row>
    <row r="9120" spans="2:8" x14ac:dyDescent="0.4">
      <c r="B9120" s="3" t="s">
        <v>7</v>
      </c>
      <c r="C9120" s="3" t="s">
        <v>790</v>
      </c>
      <c r="D9120" s="4">
        <f t="shared" si="150"/>
        <v>41800</v>
      </c>
      <c r="E9120" s="5">
        <f t="shared" si="148"/>
        <v>2014</v>
      </c>
      <c r="F9120" s="3" t="s">
        <v>1346</v>
      </c>
      <c r="G9120" s="6">
        <v>3076</v>
      </c>
      <c r="H9120" s="5">
        <v>6218</v>
      </c>
    </row>
    <row r="9121" spans="2:8" x14ac:dyDescent="0.4">
      <c r="B9121" s="3" t="s">
        <v>7</v>
      </c>
      <c r="C9121" s="3" t="s">
        <v>790</v>
      </c>
      <c r="D9121" s="4">
        <f t="shared" si="150"/>
        <v>41800</v>
      </c>
      <c r="E9121" s="5">
        <f t="shared" si="148"/>
        <v>2014</v>
      </c>
      <c r="F9121" s="3" t="s">
        <v>1346</v>
      </c>
      <c r="G9121" s="6">
        <v>2915.2</v>
      </c>
      <c r="H9121" s="5">
        <v>6219</v>
      </c>
    </row>
    <row r="9122" spans="2:8" x14ac:dyDescent="0.4">
      <c r="B9122" s="3" t="s">
        <v>7</v>
      </c>
      <c r="C9122" s="3" t="s">
        <v>790</v>
      </c>
      <c r="D9122" s="4">
        <f t="shared" si="150"/>
        <v>41800</v>
      </c>
      <c r="E9122" s="5">
        <f t="shared" si="148"/>
        <v>2014</v>
      </c>
      <c r="F9122" s="3" t="s">
        <v>1346</v>
      </c>
      <c r="G9122" s="6">
        <v>2756</v>
      </c>
      <c r="H9122" s="5">
        <v>6225</v>
      </c>
    </row>
    <row r="9123" spans="2:8" x14ac:dyDescent="0.4">
      <c r="B9123" s="3" t="s">
        <v>7</v>
      </c>
      <c r="C9123" s="3" t="s">
        <v>790</v>
      </c>
      <c r="D9123" s="4">
        <f>DATE(2014,6,11)</f>
        <v>41801</v>
      </c>
      <c r="E9123" s="5">
        <f t="shared" si="148"/>
        <v>2014</v>
      </c>
      <c r="F9123" s="3" t="s">
        <v>1346</v>
      </c>
      <c r="G9123" s="6">
        <v>4117.43</v>
      </c>
      <c r="H9123" s="5">
        <v>6220</v>
      </c>
    </row>
    <row r="9124" spans="2:8" x14ac:dyDescent="0.4">
      <c r="B9124" s="3" t="s">
        <v>7</v>
      </c>
      <c r="C9124" s="3" t="s">
        <v>790</v>
      </c>
      <c r="D9124" s="4">
        <f>DATE(2014,6,11)</f>
        <v>41801</v>
      </c>
      <c r="E9124" s="5">
        <f t="shared" si="148"/>
        <v>2014</v>
      </c>
      <c r="F9124" s="3" t="s">
        <v>1346</v>
      </c>
      <c r="G9124" s="6">
        <v>3998.93</v>
      </c>
      <c r="H9124" s="5">
        <v>6221</v>
      </c>
    </row>
    <row r="9125" spans="2:8" x14ac:dyDescent="0.4">
      <c r="B9125" s="3" t="s">
        <v>7</v>
      </c>
      <c r="C9125" s="3" t="s">
        <v>790</v>
      </c>
      <c r="D9125" s="4">
        <f>DATE(2014,6,11)</f>
        <v>41801</v>
      </c>
      <c r="E9125" s="5">
        <f t="shared" si="148"/>
        <v>2014</v>
      </c>
      <c r="F9125" s="3" t="s">
        <v>1346</v>
      </c>
      <c r="G9125" s="6">
        <v>3977.93</v>
      </c>
      <c r="H9125" s="5">
        <v>6223</v>
      </c>
    </row>
    <row r="9126" spans="2:8" x14ac:dyDescent="0.4">
      <c r="B9126" s="3" t="s">
        <v>7</v>
      </c>
      <c r="C9126" s="3" t="s">
        <v>790</v>
      </c>
      <c r="D9126" s="4">
        <f>DATE(2014,6,11)</f>
        <v>41801</v>
      </c>
      <c r="E9126" s="5">
        <f t="shared" si="148"/>
        <v>2014</v>
      </c>
      <c r="F9126" s="3" t="s">
        <v>1346</v>
      </c>
      <c r="G9126" s="6">
        <v>8671.18</v>
      </c>
      <c r="H9126" s="5">
        <v>6222</v>
      </c>
    </row>
    <row r="9127" spans="2:8" x14ac:dyDescent="0.4">
      <c r="B9127" s="3" t="s">
        <v>7</v>
      </c>
      <c r="C9127" s="3" t="s">
        <v>790</v>
      </c>
      <c r="D9127" s="4">
        <f t="shared" ref="D9127:D9134" si="151">DATE(2014,9,24)</f>
        <v>41906</v>
      </c>
      <c r="E9127" s="5">
        <f t="shared" si="148"/>
        <v>2014</v>
      </c>
      <c r="F9127" s="3" t="s">
        <v>1346</v>
      </c>
      <c r="G9127" s="6">
        <v>6319</v>
      </c>
      <c r="H9127" s="5">
        <v>6369</v>
      </c>
    </row>
    <row r="9128" spans="2:8" x14ac:dyDescent="0.4">
      <c r="B9128" s="3" t="s">
        <v>7</v>
      </c>
      <c r="C9128" s="3" t="s">
        <v>790</v>
      </c>
      <c r="D9128" s="4">
        <f t="shared" si="151"/>
        <v>41906</v>
      </c>
      <c r="E9128" s="5">
        <f t="shared" si="148"/>
        <v>2014</v>
      </c>
      <c r="F9128" s="3" t="s">
        <v>1346</v>
      </c>
      <c r="G9128" s="6">
        <v>3845</v>
      </c>
      <c r="H9128" s="5">
        <v>6367</v>
      </c>
    </row>
    <row r="9129" spans="2:8" x14ac:dyDescent="0.4">
      <c r="B9129" s="3" t="s">
        <v>7</v>
      </c>
      <c r="C9129" s="3" t="s">
        <v>790</v>
      </c>
      <c r="D9129" s="4">
        <f t="shared" si="151"/>
        <v>41906</v>
      </c>
      <c r="E9129" s="5">
        <f t="shared" si="148"/>
        <v>2014</v>
      </c>
      <c r="F9129" s="3" t="s">
        <v>1346</v>
      </c>
      <c r="G9129" s="6">
        <v>2570</v>
      </c>
      <c r="H9129" s="5">
        <v>6366</v>
      </c>
    </row>
    <row r="9130" spans="2:8" x14ac:dyDescent="0.4">
      <c r="B9130" s="3" t="s">
        <v>7</v>
      </c>
      <c r="C9130" s="3" t="s">
        <v>790</v>
      </c>
      <c r="D9130" s="4">
        <f t="shared" si="151"/>
        <v>41906</v>
      </c>
      <c r="E9130" s="5">
        <f t="shared" si="148"/>
        <v>2014</v>
      </c>
      <c r="F9130" s="3" t="s">
        <v>1346</v>
      </c>
      <c r="G9130" s="6">
        <v>6350</v>
      </c>
      <c r="H9130" s="5">
        <v>6370</v>
      </c>
    </row>
    <row r="9131" spans="2:8" x14ac:dyDescent="0.4">
      <c r="B9131" s="3" t="s">
        <v>7</v>
      </c>
      <c r="C9131" s="3" t="s">
        <v>790</v>
      </c>
      <c r="D9131" s="4">
        <f t="shared" si="151"/>
        <v>41906</v>
      </c>
      <c r="E9131" s="5">
        <f t="shared" si="148"/>
        <v>2014</v>
      </c>
      <c r="F9131" s="3" t="s">
        <v>1346</v>
      </c>
      <c r="G9131" s="6">
        <v>855</v>
      </c>
      <c r="H9131" s="5">
        <v>6368</v>
      </c>
    </row>
    <row r="9132" spans="2:8" x14ac:dyDescent="0.4">
      <c r="B9132" s="3" t="s">
        <v>7</v>
      </c>
      <c r="C9132" s="3" t="s">
        <v>790</v>
      </c>
      <c r="D9132" s="4">
        <f t="shared" si="151"/>
        <v>41906</v>
      </c>
      <c r="E9132" s="5">
        <f t="shared" si="148"/>
        <v>2014</v>
      </c>
      <c r="F9132" s="3" t="s">
        <v>1346</v>
      </c>
      <c r="G9132" s="6">
        <v>2466.6</v>
      </c>
      <c r="H9132" s="5">
        <v>6251</v>
      </c>
    </row>
    <row r="9133" spans="2:8" x14ac:dyDescent="0.4">
      <c r="B9133" s="3" t="s">
        <v>7</v>
      </c>
      <c r="C9133" s="3" t="s">
        <v>790</v>
      </c>
      <c r="D9133" s="4">
        <f t="shared" si="151"/>
        <v>41906</v>
      </c>
      <c r="E9133" s="5">
        <f t="shared" si="148"/>
        <v>2014</v>
      </c>
      <c r="F9133" s="3" t="s">
        <v>1346</v>
      </c>
      <c r="G9133" s="6">
        <v>2822</v>
      </c>
      <c r="H9133" s="5">
        <v>6412</v>
      </c>
    </row>
    <row r="9134" spans="2:8" x14ac:dyDescent="0.4">
      <c r="B9134" s="3" t="s">
        <v>7</v>
      </c>
      <c r="C9134" s="3" t="s">
        <v>790</v>
      </c>
      <c r="D9134" s="4">
        <f t="shared" si="151"/>
        <v>41906</v>
      </c>
      <c r="E9134" s="5">
        <f t="shared" si="148"/>
        <v>2014</v>
      </c>
      <c r="F9134" s="3" t="s">
        <v>1346</v>
      </c>
      <c r="G9134" s="6">
        <v>4106</v>
      </c>
      <c r="H9134" s="5">
        <v>6411</v>
      </c>
    </row>
    <row r="9135" spans="2:8" x14ac:dyDescent="0.4">
      <c r="B9135" s="3" t="s">
        <v>7</v>
      </c>
      <c r="C9135" s="3" t="s">
        <v>790</v>
      </c>
      <c r="D9135" s="4">
        <f>DATE(2014,10,1)</f>
        <v>41913</v>
      </c>
      <c r="E9135" s="5">
        <f t="shared" si="148"/>
        <v>2014</v>
      </c>
      <c r="F9135" s="3" t="s">
        <v>1346</v>
      </c>
      <c r="G9135" s="6">
        <v>5456.5</v>
      </c>
      <c r="H9135" s="5">
        <v>6348</v>
      </c>
    </row>
    <row r="9136" spans="2:8" x14ac:dyDescent="0.4">
      <c r="B9136" t="s">
        <v>7</v>
      </c>
      <c r="C9136" t="s">
        <v>1347</v>
      </c>
      <c r="D9136" s="7">
        <f>DATE(2019,3,21)</f>
        <v>43545</v>
      </c>
      <c r="E9136" s="8">
        <f t="shared" si="148"/>
        <v>2019</v>
      </c>
      <c r="F9136" t="s">
        <v>1348</v>
      </c>
      <c r="G9136" s="9">
        <v>28452.79</v>
      </c>
      <c r="H9136" s="8">
        <v>28518</v>
      </c>
    </row>
    <row r="9137" spans="2:8" x14ac:dyDescent="0.4">
      <c r="B9137" t="s">
        <v>7</v>
      </c>
      <c r="C9137" t="s">
        <v>1347</v>
      </c>
      <c r="D9137" s="7">
        <f>DATE(2018,8,24)</f>
        <v>43336</v>
      </c>
      <c r="E9137" s="8">
        <f t="shared" si="148"/>
        <v>2018</v>
      </c>
      <c r="F9137" t="s">
        <v>1348</v>
      </c>
      <c r="G9137" s="9">
        <v>7733.86</v>
      </c>
      <c r="H9137" s="8">
        <v>27352</v>
      </c>
    </row>
    <row r="9138" spans="2:8" x14ac:dyDescent="0.4">
      <c r="B9138" t="s">
        <v>7</v>
      </c>
      <c r="C9138" t="s">
        <v>1347</v>
      </c>
      <c r="D9138" s="7">
        <f>DATE(2018,10,22)</f>
        <v>43395</v>
      </c>
      <c r="E9138" s="8">
        <f t="shared" si="148"/>
        <v>2018</v>
      </c>
      <c r="F9138" t="s">
        <v>1348</v>
      </c>
      <c r="G9138" s="9">
        <v>8757.43</v>
      </c>
      <c r="H9138" s="8">
        <v>27658</v>
      </c>
    </row>
    <row r="9139" spans="2:8" x14ac:dyDescent="0.4">
      <c r="B9139" t="s">
        <v>7</v>
      </c>
      <c r="C9139" t="s">
        <v>1347</v>
      </c>
      <c r="D9139" s="7">
        <f>DATE(2018,8,24)</f>
        <v>43336</v>
      </c>
      <c r="E9139" s="8">
        <f t="shared" si="148"/>
        <v>2018</v>
      </c>
      <c r="F9139" t="s">
        <v>1348</v>
      </c>
      <c r="G9139" s="9">
        <v>4881.66</v>
      </c>
      <c r="H9139" s="8">
        <v>27359</v>
      </c>
    </row>
    <row r="9140" spans="2:8" x14ac:dyDescent="0.4">
      <c r="B9140" t="s">
        <v>7</v>
      </c>
      <c r="C9140" t="s">
        <v>1347</v>
      </c>
      <c r="D9140" s="7">
        <f>DATE(2018,10,22)</f>
        <v>43395</v>
      </c>
      <c r="E9140" s="8">
        <f t="shared" si="148"/>
        <v>2018</v>
      </c>
      <c r="F9140" t="s">
        <v>1348</v>
      </c>
      <c r="G9140" s="9">
        <v>6433.34</v>
      </c>
      <c r="H9140" s="8">
        <v>27660</v>
      </c>
    </row>
    <row r="9141" spans="2:8" x14ac:dyDescent="0.4">
      <c r="B9141" s="3" t="s">
        <v>7</v>
      </c>
      <c r="C9141" s="3" t="s">
        <v>1349</v>
      </c>
      <c r="D9141" s="4">
        <f>DATE(2012,5,8)</f>
        <v>41037</v>
      </c>
      <c r="E9141" s="5">
        <f t="shared" si="148"/>
        <v>2012</v>
      </c>
      <c r="F9141" s="3" t="s">
        <v>1350</v>
      </c>
      <c r="G9141" s="6">
        <v>15017.89</v>
      </c>
      <c r="H9141" s="5">
        <v>5035</v>
      </c>
    </row>
    <row r="9142" spans="2:8" x14ac:dyDescent="0.4">
      <c r="B9142" t="s">
        <v>7</v>
      </c>
      <c r="C9142" t="s">
        <v>1351</v>
      </c>
      <c r="D9142" s="7">
        <f>DATE(2015,9,10)</f>
        <v>42257</v>
      </c>
      <c r="E9142" s="8">
        <f t="shared" si="148"/>
        <v>2015</v>
      </c>
      <c r="F9142" t="s">
        <v>1352</v>
      </c>
      <c r="G9142" s="9">
        <v>8900</v>
      </c>
      <c r="H9142" s="8">
        <v>21100</v>
      </c>
    </row>
    <row r="9143" spans="2:8" x14ac:dyDescent="0.4">
      <c r="B9143" t="s">
        <v>7</v>
      </c>
      <c r="C9143" t="s">
        <v>1353</v>
      </c>
      <c r="D9143" s="7">
        <f>DATE(2018,7,5)</f>
        <v>43286</v>
      </c>
      <c r="E9143" s="8">
        <f t="shared" si="148"/>
        <v>2018</v>
      </c>
      <c r="F9143" t="s">
        <v>1354</v>
      </c>
      <c r="G9143" s="9">
        <v>28064.62</v>
      </c>
      <c r="H9143" s="8">
        <v>26131</v>
      </c>
    </row>
    <row r="9144" spans="2:8" x14ac:dyDescent="0.4">
      <c r="B9144" t="s">
        <v>7</v>
      </c>
      <c r="C9144" t="s">
        <v>1353</v>
      </c>
      <c r="D9144" s="7">
        <f>DATE(2018,7,5)</f>
        <v>43286</v>
      </c>
      <c r="E9144" s="8">
        <f t="shared" si="148"/>
        <v>2018</v>
      </c>
      <c r="F9144" t="s">
        <v>1354</v>
      </c>
      <c r="G9144" s="9">
        <v>7969.5</v>
      </c>
      <c r="H9144" s="8">
        <v>26137</v>
      </c>
    </row>
    <row r="9145" spans="2:8" x14ac:dyDescent="0.4">
      <c r="B9145" t="s">
        <v>7</v>
      </c>
      <c r="C9145" t="s">
        <v>767</v>
      </c>
      <c r="D9145" s="7">
        <f>DATE(2015,4,9)</f>
        <v>42103</v>
      </c>
      <c r="E9145" s="8">
        <f t="shared" si="148"/>
        <v>2015</v>
      </c>
      <c r="F9145" t="s">
        <v>1355</v>
      </c>
      <c r="G9145" s="9">
        <v>21902.25</v>
      </c>
      <c r="H9145" s="8">
        <v>20095</v>
      </c>
    </row>
    <row r="9146" spans="2:8" x14ac:dyDescent="0.4">
      <c r="B9146" t="s">
        <v>7</v>
      </c>
      <c r="C9146" t="s">
        <v>767</v>
      </c>
      <c r="D9146" s="7">
        <f>DATE(2016,8,30)</f>
        <v>42612</v>
      </c>
      <c r="E9146" s="8">
        <f t="shared" si="148"/>
        <v>2016</v>
      </c>
      <c r="F9146" t="s">
        <v>1355</v>
      </c>
      <c r="G9146" s="9">
        <v>2052.5</v>
      </c>
      <c r="H9146" s="8">
        <v>23323</v>
      </c>
    </row>
    <row r="9147" spans="2:8" x14ac:dyDescent="0.4">
      <c r="B9147" s="3" t="s">
        <v>7</v>
      </c>
      <c r="C9147" s="3" t="s">
        <v>1356</v>
      </c>
      <c r="D9147" s="4">
        <f>DATE(2012,3,21)</f>
        <v>40989</v>
      </c>
      <c r="E9147" s="5">
        <f t="shared" si="148"/>
        <v>2012</v>
      </c>
      <c r="F9147" s="3" t="s">
        <v>1357</v>
      </c>
      <c r="G9147" s="6">
        <v>138175.57999999999</v>
      </c>
      <c r="H9147" s="5">
        <v>4753</v>
      </c>
    </row>
    <row r="9148" spans="2:8" x14ac:dyDescent="0.4">
      <c r="B9148" s="3" t="s">
        <v>7</v>
      </c>
      <c r="C9148" s="3" t="s">
        <v>1358</v>
      </c>
      <c r="D9148" s="4">
        <f>DATE(2011,3,28)</f>
        <v>40630</v>
      </c>
      <c r="E9148" s="5">
        <f t="shared" si="148"/>
        <v>2011</v>
      </c>
      <c r="F9148" s="3" t="s">
        <v>1359</v>
      </c>
      <c r="G9148" s="6">
        <v>126180.35</v>
      </c>
      <c r="H9148" s="5">
        <v>4336</v>
      </c>
    </row>
    <row r="9149" spans="2:8" x14ac:dyDescent="0.4">
      <c r="B9149" s="3" t="s">
        <v>7</v>
      </c>
      <c r="C9149" s="3" t="s">
        <v>1358</v>
      </c>
      <c r="D9149" s="4">
        <f>DATE(2011,3,28)</f>
        <v>40630</v>
      </c>
      <c r="E9149" s="5">
        <f t="shared" si="148"/>
        <v>2011</v>
      </c>
      <c r="F9149" s="3" t="s">
        <v>1359</v>
      </c>
      <c r="G9149" s="6">
        <v>124070.35</v>
      </c>
      <c r="H9149" s="5">
        <v>4430</v>
      </c>
    </row>
    <row r="9150" spans="2:8" x14ac:dyDescent="0.4">
      <c r="B9150" s="3" t="s">
        <v>16</v>
      </c>
      <c r="C9150" s="3" t="s">
        <v>1358</v>
      </c>
      <c r="D9150" s="4">
        <f>DATE(2011,4,1)</f>
        <v>40634</v>
      </c>
      <c r="E9150" s="5">
        <f t="shared" si="148"/>
        <v>2011</v>
      </c>
      <c r="F9150" s="3" t="s">
        <v>1359</v>
      </c>
      <c r="G9150" s="6">
        <v>126180.35</v>
      </c>
      <c r="H9150" s="5">
        <v>4429</v>
      </c>
    </row>
    <row r="9151" spans="2:8" x14ac:dyDescent="0.4">
      <c r="B9151" s="3" t="s">
        <v>7</v>
      </c>
      <c r="C9151" s="3" t="s">
        <v>1360</v>
      </c>
      <c r="D9151" s="4">
        <f>DATE(2011,5,11)</f>
        <v>40674</v>
      </c>
      <c r="E9151" s="5">
        <f t="shared" si="148"/>
        <v>2011</v>
      </c>
      <c r="F9151" s="3" t="s">
        <v>1361</v>
      </c>
      <c r="G9151" s="6">
        <v>6797.46</v>
      </c>
      <c r="H9151" s="5">
        <v>4380</v>
      </c>
    </row>
    <row r="9152" spans="2:8" x14ac:dyDescent="0.4">
      <c r="B9152" s="3" t="s">
        <v>16</v>
      </c>
      <c r="C9152" s="3" t="s">
        <v>1360</v>
      </c>
      <c r="D9152" s="4">
        <f>DATE(2011,12,31)</f>
        <v>40908</v>
      </c>
      <c r="E9152" s="5">
        <f t="shared" si="148"/>
        <v>2011</v>
      </c>
      <c r="F9152" s="3" t="s">
        <v>1361</v>
      </c>
      <c r="G9152" s="6">
        <v>6797.46</v>
      </c>
      <c r="H9152" s="5">
        <v>4678</v>
      </c>
    </row>
    <row r="9153" spans="2:8" x14ac:dyDescent="0.4">
      <c r="B9153" s="3" t="s">
        <v>7</v>
      </c>
      <c r="C9153" s="3" t="s">
        <v>1362</v>
      </c>
      <c r="D9153" s="4">
        <f>DATE(2010,6,4)</f>
        <v>40333</v>
      </c>
      <c r="E9153" s="5">
        <f t="shared" si="148"/>
        <v>2010</v>
      </c>
      <c r="F9153" s="3" t="s">
        <v>1363</v>
      </c>
      <c r="G9153" s="6">
        <v>245270.89</v>
      </c>
      <c r="H9153" s="5">
        <v>3730</v>
      </c>
    </row>
    <row r="9154" spans="2:8" x14ac:dyDescent="0.4">
      <c r="B9154" s="3" t="s">
        <v>7</v>
      </c>
      <c r="C9154" s="3" t="s">
        <v>1362</v>
      </c>
      <c r="D9154" s="4">
        <f>DATE(2010,6,17)</f>
        <v>40346</v>
      </c>
      <c r="E9154" s="5">
        <f t="shared" si="148"/>
        <v>2010</v>
      </c>
      <c r="F9154" s="3" t="s">
        <v>1363</v>
      </c>
      <c r="G9154" s="6">
        <v>247348.34</v>
      </c>
      <c r="H9154" s="5">
        <v>3730</v>
      </c>
    </row>
    <row r="9155" spans="2:8" x14ac:dyDescent="0.4">
      <c r="B9155" s="3" t="s">
        <v>7</v>
      </c>
      <c r="C9155" s="3" t="s">
        <v>1362</v>
      </c>
      <c r="D9155" s="4">
        <f>DATE(2010,7,29)</f>
        <v>40388</v>
      </c>
      <c r="E9155" s="5">
        <f t="shared" ref="E9155:E9218" si="152">YEAR(D9155)</f>
        <v>2010</v>
      </c>
      <c r="F9155" s="3" t="s">
        <v>1363</v>
      </c>
      <c r="G9155" s="6">
        <v>257325.35</v>
      </c>
      <c r="H9155" s="5">
        <v>3730</v>
      </c>
    </row>
    <row r="9156" spans="2:8" x14ac:dyDescent="0.4">
      <c r="B9156" s="3" t="s">
        <v>7</v>
      </c>
      <c r="C9156" s="3" t="s">
        <v>1362</v>
      </c>
      <c r="D9156" s="4">
        <f>DATE(2013,1,23)</f>
        <v>41297</v>
      </c>
      <c r="E9156" s="5">
        <f t="shared" si="152"/>
        <v>2013</v>
      </c>
      <c r="F9156" s="3" t="s">
        <v>1363</v>
      </c>
      <c r="G9156" s="6">
        <v>82961.34</v>
      </c>
      <c r="H9156" s="5">
        <v>5340</v>
      </c>
    </row>
    <row r="9157" spans="2:8" x14ac:dyDescent="0.4">
      <c r="B9157" s="3" t="s">
        <v>16</v>
      </c>
      <c r="C9157" s="3" t="s">
        <v>1362</v>
      </c>
      <c r="D9157" s="4">
        <f>DATE(2010,6,17)</f>
        <v>40346</v>
      </c>
      <c r="E9157" s="5">
        <f t="shared" si="152"/>
        <v>2010</v>
      </c>
      <c r="F9157" s="3" t="s">
        <v>1363</v>
      </c>
      <c r="G9157" s="6">
        <v>245270.89</v>
      </c>
      <c r="H9157" s="5">
        <v>4032</v>
      </c>
    </row>
    <row r="9158" spans="2:8" x14ac:dyDescent="0.4">
      <c r="B9158" s="3" t="s">
        <v>7</v>
      </c>
      <c r="C9158" s="3" t="s">
        <v>1364</v>
      </c>
      <c r="D9158" s="4">
        <f>DATE(2008,3,8)</f>
        <v>39515</v>
      </c>
      <c r="E9158" s="5">
        <f t="shared" si="152"/>
        <v>2008</v>
      </c>
      <c r="F9158" s="3" t="s">
        <v>1365</v>
      </c>
      <c r="G9158" s="6">
        <v>3505.4</v>
      </c>
      <c r="H9158" s="5">
        <v>2652</v>
      </c>
    </row>
    <row r="9159" spans="2:8" x14ac:dyDescent="0.4">
      <c r="B9159" s="3" t="s">
        <v>7</v>
      </c>
      <c r="C9159" s="3" t="s">
        <v>1364</v>
      </c>
      <c r="D9159" s="4">
        <f>DATE(2008,3,8)</f>
        <v>39515</v>
      </c>
      <c r="E9159" s="5">
        <f t="shared" si="152"/>
        <v>2008</v>
      </c>
      <c r="F9159" s="3" t="s">
        <v>1365</v>
      </c>
      <c r="G9159" s="6">
        <v>12392</v>
      </c>
      <c r="H9159" s="5">
        <v>2653</v>
      </c>
    </row>
    <row r="9160" spans="2:8" x14ac:dyDescent="0.4">
      <c r="B9160" s="3" t="s">
        <v>7</v>
      </c>
      <c r="C9160" s="3" t="s">
        <v>1364</v>
      </c>
      <c r="D9160" s="4">
        <f>DATE(2008,3,8)</f>
        <v>39515</v>
      </c>
      <c r="E9160" s="5">
        <f t="shared" si="152"/>
        <v>2008</v>
      </c>
      <c r="F9160" s="3" t="s">
        <v>1365</v>
      </c>
      <c r="G9160" s="6">
        <v>29916</v>
      </c>
      <c r="H9160" s="5">
        <v>2654</v>
      </c>
    </row>
    <row r="9161" spans="2:8" x14ac:dyDescent="0.4">
      <c r="B9161" s="3" t="s">
        <v>7</v>
      </c>
      <c r="C9161" s="3" t="s">
        <v>1364</v>
      </c>
      <c r="D9161" s="4">
        <f>DATE(2008,3,8)</f>
        <v>39515</v>
      </c>
      <c r="E9161" s="5">
        <f t="shared" si="152"/>
        <v>2008</v>
      </c>
      <c r="F9161" s="3" t="s">
        <v>1365</v>
      </c>
      <c r="G9161" s="6">
        <v>13522.9</v>
      </c>
      <c r="H9161" s="5">
        <v>2655</v>
      </c>
    </row>
    <row r="9162" spans="2:8" x14ac:dyDescent="0.4">
      <c r="B9162" s="3" t="s">
        <v>7</v>
      </c>
      <c r="C9162" s="3" t="s">
        <v>1364</v>
      </c>
      <c r="D9162" s="4">
        <f>DATE(2008,3,8)</f>
        <v>39515</v>
      </c>
      <c r="E9162" s="5">
        <f t="shared" si="152"/>
        <v>2008</v>
      </c>
      <c r="F9162" s="3" t="s">
        <v>1365</v>
      </c>
      <c r="G9162" s="6">
        <v>12541.5</v>
      </c>
      <c r="H9162" s="5">
        <v>2656</v>
      </c>
    </row>
    <row r="9163" spans="2:8" x14ac:dyDescent="0.4">
      <c r="B9163" s="3" t="s">
        <v>7</v>
      </c>
      <c r="C9163" s="3" t="s">
        <v>296</v>
      </c>
      <c r="D9163" s="4">
        <f>DATE(2006,6,9)</f>
        <v>38877</v>
      </c>
      <c r="E9163" s="5">
        <f t="shared" si="152"/>
        <v>2006</v>
      </c>
      <c r="F9163" s="3" t="s">
        <v>1366</v>
      </c>
      <c r="G9163" s="6">
        <v>1051.52</v>
      </c>
      <c r="H9163" s="5">
        <v>1607</v>
      </c>
    </row>
    <row r="9164" spans="2:8" x14ac:dyDescent="0.4">
      <c r="B9164" s="3" t="s">
        <v>7</v>
      </c>
      <c r="C9164" s="3" t="s">
        <v>296</v>
      </c>
      <c r="D9164" s="4">
        <f>DATE(2009,1,16)</f>
        <v>39829</v>
      </c>
      <c r="E9164" s="5">
        <f t="shared" si="152"/>
        <v>2009</v>
      </c>
      <c r="F9164" s="3" t="s">
        <v>1366</v>
      </c>
      <c r="G9164" s="6">
        <v>6859</v>
      </c>
      <c r="H9164" s="5">
        <v>3210</v>
      </c>
    </row>
    <row r="9165" spans="2:8" x14ac:dyDescent="0.4">
      <c r="B9165" s="3" t="s">
        <v>7</v>
      </c>
      <c r="C9165" s="3" t="s">
        <v>296</v>
      </c>
      <c r="D9165" s="4">
        <f>DATE(2009,5,6)</f>
        <v>39939</v>
      </c>
      <c r="E9165" s="5">
        <f t="shared" si="152"/>
        <v>2009</v>
      </c>
      <c r="F9165" s="3" t="s">
        <v>1366</v>
      </c>
      <c r="G9165" s="6">
        <v>6920.8</v>
      </c>
      <c r="H9165" s="5">
        <v>3373</v>
      </c>
    </row>
    <row r="9166" spans="2:8" x14ac:dyDescent="0.4">
      <c r="B9166" s="3" t="s">
        <v>7</v>
      </c>
      <c r="C9166" s="3" t="s">
        <v>296</v>
      </c>
      <c r="D9166" s="4">
        <f>DATE(2009,9,29)</f>
        <v>40085</v>
      </c>
      <c r="E9166" s="5">
        <f t="shared" si="152"/>
        <v>2009</v>
      </c>
      <c r="F9166" s="3" t="s">
        <v>1366</v>
      </c>
      <c r="G9166" s="6">
        <v>6483.4</v>
      </c>
      <c r="H9166" s="5">
        <v>3567</v>
      </c>
    </row>
    <row r="9167" spans="2:8" x14ac:dyDescent="0.4">
      <c r="B9167" s="3" t="s">
        <v>7</v>
      </c>
      <c r="C9167" s="3" t="s">
        <v>296</v>
      </c>
      <c r="D9167" s="4">
        <f>DATE(2009,11,9)</f>
        <v>40126</v>
      </c>
      <c r="E9167" s="5">
        <f t="shared" si="152"/>
        <v>2009</v>
      </c>
      <c r="F9167" s="3" t="s">
        <v>1366</v>
      </c>
      <c r="G9167" s="6">
        <v>7577.64</v>
      </c>
      <c r="H9167" s="5">
        <v>3643</v>
      </c>
    </row>
    <row r="9168" spans="2:8" x14ac:dyDescent="0.4">
      <c r="B9168" s="3" t="s">
        <v>7</v>
      </c>
      <c r="C9168" s="3" t="s">
        <v>296</v>
      </c>
      <c r="D9168" s="4">
        <f>DATE(2010,1,29)</f>
        <v>40207</v>
      </c>
      <c r="E9168" s="5">
        <f t="shared" si="152"/>
        <v>2010</v>
      </c>
      <c r="F9168" s="3" t="s">
        <v>1366</v>
      </c>
      <c r="G9168" s="6">
        <v>6886.07</v>
      </c>
      <c r="H9168" s="5">
        <v>3660</v>
      </c>
    </row>
    <row r="9169" spans="2:8" x14ac:dyDescent="0.4">
      <c r="B9169" s="3" t="s">
        <v>7</v>
      </c>
      <c r="C9169" s="3" t="s">
        <v>296</v>
      </c>
      <c r="D9169" s="4">
        <f>DATE(2010,8,3)</f>
        <v>40393</v>
      </c>
      <c r="E9169" s="5">
        <f t="shared" si="152"/>
        <v>2010</v>
      </c>
      <c r="F9169" s="3" t="s">
        <v>1366</v>
      </c>
      <c r="G9169" s="6">
        <v>3962.2</v>
      </c>
      <c r="H9169" s="5">
        <v>4038</v>
      </c>
    </row>
    <row r="9170" spans="2:8" x14ac:dyDescent="0.4">
      <c r="B9170" s="3" t="s">
        <v>7</v>
      </c>
      <c r="C9170" s="3" t="s">
        <v>296</v>
      </c>
      <c r="D9170" s="4">
        <f>DATE(2011,8,22)</f>
        <v>40777</v>
      </c>
      <c r="E9170" s="5">
        <f t="shared" si="152"/>
        <v>2011</v>
      </c>
      <c r="F9170" s="3" t="s">
        <v>1366</v>
      </c>
      <c r="G9170" s="6">
        <v>5467.92</v>
      </c>
      <c r="H9170" s="5">
        <v>4575</v>
      </c>
    </row>
    <row r="9171" spans="2:8" x14ac:dyDescent="0.4">
      <c r="B9171" s="3" t="s">
        <v>7</v>
      </c>
      <c r="C9171" s="3" t="s">
        <v>296</v>
      </c>
      <c r="D9171" s="4">
        <f>DATE(2012,1,6)</f>
        <v>40914</v>
      </c>
      <c r="E9171" s="5">
        <f t="shared" si="152"/>
        <v>2012</v>
      </c>
      <c r="F9171" s="3" t="s">
        <v>1366</v>
      </c>
      <c r="G9171" s="6">
        <v>5820.52</v>
      </c>
      <c r="H9171" s="5">
        <v>4778</v>
      </c>
    </row>
    <row r="9172" spans="2:8" x14ac:dyDescent="0.4">
      <c r="B9172" s="3" t="s">
        <v>7</v>
      </c>
      <c r="C9172" s="3" t="s">
        <v>296</v>
      </c>
      <c r="D9172" s="4">
        <f>DATE(2012,3,30)</f>
        <v>40998</v>
      </c>
      <c r="E9172" s="5">
        <f t="shared" si="152"/>
        <v>2012</v>
      </c>
      <c r="F9172" s="3" t="s">
        <v>1366</v>
      </c>
      <c r="G9172" s="6">
        <v>5477.47</v>
      </c>
      <c r="H9172" s="5">
        <v>4924</v>
      </c>
    </row>
    <row r="9173" spans="2:8" x14ac:dyDescent="0.4">
      <c r="B9173" s="3" t="s">
        <v>7</v>
      </c>
      <c r="C9173" s="3" t="s">
        <v>296</v>
      </c>
      <c r="D9173" s="4">
        <f>DATE(2012,12,10)</f>
        <v>41253</v>
      </c>
      <c r="E9173" s="5">
        <f t="shared" si="152"/>
        <v>2012</v>
      </c>
      <c r="F9173" s="3" t="s">
        <v>1366</v>
      </c>
      <c r="G9173" s="6">
        <v>7218.01</v>
      </c>
      <c r="H9173" s="5">
        <v>5288</v>
      </c>
    </row>
    <row r="9174" spans="2:8" x14ac:dyDescent="0.4">
      <c r="B9174" s="3" t="s">
        <v>7</v>
      </c>
      <c r="C9174" s="3" t="s">
        <v>1367</v>
      </c>
      <c r="D9174" s="4">
        <f>DATE(2004,6,22)</f>
        <v>38160</v>
      </c>
      <c r="E9174" s="5">
        <f t="shared" si="152"/>
        <v>2004</v>
      </c>
      <c r="F9174" s="3" t="s">
        <v>1368</v>
      </c>
      <c r="G9174" s="6">
        <v>6443</v>
      </c>
      <c r="H9174" s="5">
        <v>694</v>
      </c>
    </row>
    <row r="9175" spans="2:8" x14ac:dyDescent="0.4">
      <c r="B9175" s="3" t="s">
        <v>7</v>
      </c>
      <c r="C9175" s="3" t="s">
        <v>1367</v>
      </c>
      <c r="D9175" s="4">
        <f>DATE(2004,12,15)</f>
        <v>38336</v>
      </c>
      <c r="E9175" s="5">
        <f t="shared" si="152"/>
        <v>2004</v>
      </c>
      <c r="F9175" s="3" t="s">
        <v>1368</v>
      </c>
      <c r="G9175" s="6">
        <v>40000</v>
      </c>
      <c r="H9175" s="5">
        <v>868</v>
      </c>
    </row>
    <row r="9176" spans="2:8" x14ac:dyDescent="0.4">
      <c r="B9176" t="s">
        <v>7</v>
      </c>
      <c r="C9176" t="s">
        <v>1369</v>
      </c>
      <c r="D9176" s="7">
        <f>DATE(2014,10,22)</f>
        <v>41934</v>
      </c>
      <c r="E9176" s="8">
        <f t="shared" si="152"/>
        <v>2014</v>
      </c>
      <c r="F9176" t="s">
        <v>1370</v>
      </c>
      <c r="G9176" s="9">
        <v>10241.34</v>
      </c>
      <c r="H9176" s="8">
        <v>13498</v>
      </c>
    </row>
    <row r="9177" spans="2:8" x14ac:dyDescent="0.4">
      <c r="B9177" s="3" t="s">
        <v>7</v>
      </c>
      <c r="C9177" s="3" t="s">
        <v>1371</v>
      </c>
      <c r="D9177" s="4">
        <f>DATE(2007,8,2)</f>
        <v>39296</v>
      </c>
      <c r="E9177" s="5">
        <f t="shared" si="152"/>
        <v>2007</v>
      </c>
      <c r="F9177" s="3" t="s">
        <v>1372</v>
      </c>
      <c r="G9177" s="6">
        <v>57.04</v>
      </c>
      <c r="H9177" s="5">
        <v>8970</v>
      </c>
    </row>
    <row r="9178" spans="2:8" x14ac:dyDescent="0.4">
      <c r="B9178" s="3" t="s">
        <v>7</v>
      </c>
      <c r="C9178" s="3" t="s">
        <v>1373</v>
      </c>
      <c r="D9178" s="4">
        <f>DATE(2011,5,10)</f>
        <v>40673</v>
      </c>
      <c r="E9178" s="5">
        <f t="shared" si="152"/>
        <v>2011</v>
      </c>
      <c r="F9178" s="3" t="s">
        <v>1374</v>
      </c>
      <c r="G9178" s="6">
        <v>39221.019999999997</v>
      </c>
      <c r="H9178" s="5">
        <v>4400</v>
      </c>
    </row>
    <row r="9179" spans="2:8" x14ac:dyDescent="0.4">
      <c r="B9179" t="s">
        <v>7</v>
      </c>
      <c r="C9179" t="s">
        <v>1375</v>
      </c>
      <c r="D9179" s="7">
        <f>DATE(2019,3,20)</f>
        <v>43544</v>
      </c>
      <c r="E9179" s="8">
        <f t="shared" si="152"/>
        <v>2019</v>
      </c>
      <c r="F9179" t="s">
        <v>1376</v>
      </c>
      <c r="G9179" s="9">
        <v>3743.05</v>
      </c>
      <c r="H9179" s="8">
        <v>28547</v>
      </c>
    </row>
    <row r="9180" spans="2:8" x14ac:dyDescent="0.4">
      <c r="B9180" s="3" t="s">
        <v>7</v>
      </c>
      <c r="C9180" s="3" t="s">
        <v>1377</v>
      </c>
      <c r="D9180" s="4">
        <f>DATE(2003,6,9)</f>
        <v>37781</v>
      </c>
      <c r="E9180" s="5">
        <f t="shared" si="152"/>
        <v>2003</v>
      </c>
      <c r="F9180" s="3" t="s">
        <v>1378</v>
      </c>
      <c r="G9180" s="6">
        <v>3984</v>
      </c>
      <c r="H9180" s="5">
        <v>1050</v>
      </c>
    </row>
    <row r="9181" spans="2:8" x14ac:dyDescent="0.4">
      <c r="B9181" s="3" t="s">
        <v>7</v>
      </c>
      <c r="C9181" s="3" t="s">
        <v>1377</v>
      </c>
      <c r="D9181" s="4">
        <f>DATE(2003,6,26)</f>
        <v>37798</v>
      </c>
      <c r="E9181" s="5">
        <f t="shared" si="152"/>
        <v>2003</v>
      </c>
      <c r="F9181" s="3" t="s">
        <v>1378</v>
      </c>
      <c r="G9181" s="6">
        <v>1972.5</v>
      </c>
      <c r="H9181" s="5">
        <v>1140</v>
      </c>
    </row>
    <row r="9182" spans="2:8" x14ac:dyDescent="0.4">
      <c r="B9182" s="3" t="s">
        <v>7</v>
      </c>
      <c r="C9182" s="3" t="s">
        <v>1377</v>
      </c>
      <c r="D9182" s="4">
        <f>DATE(2003,6,26)</f>
        <v>37798</v>
      </c>
      <c r="E9182" s="5">
        <f t="shared" si="152"/>
        <v>2003</v>
      </c>
      <c r="F9182" s="3" t="s">
        <v>1378</v>
      </c>
      <c r="G9182" s="6">
        <v>1972.5</v>
      </c>
      <c r="H9182" s="5">
        <v>1139</v>
      </c>
    </row>
    <row r="9183" spans="2:8" x14ac:dyDescent="0.4">
      <c r="B9183" s="3" t="s">
        <v>7</v>
      </c>
      <c r="C9183" s="3" t="s">
        <v>1377</v>
      </c>
      <c r="D9183" s="4">
        <f>DATE(2003,7,30)</f>
        <v>37832</v>
      </c>
      <c r="E9183" s="5">
        <f t="shared" si="152"/>
        <v>2003</v>
      </c>
      <c r="F9183" s="3" t="s">
        <v>1378</v>
      </c>
      <c r="G9183" s="6">
        <v>1997.6</v>
      </c>
      <c r="H9183" s="5">
        <v>1153</v>
      </c>
    </row>
    <row r="9184" spans="2:8" x14ac:dyDescent="0.4">
      <c r="B9184" s="3" t="s">
        <v>7</v>
      </c>
      <c r="C9184" s="3" t="s">
        <v>1377</v>
      </c>
      <c r="D9184" s="4">
        <f>DATE(2003,10,13)</f>
        <v>37907</v>
      </c>
      <c r="E9184" s="5">
        <f t="shared" si="152"/>
        <v>2003</v>
      </c>
      <c r="F9184" s="3" t="s">
        <v>1378</v>
      </c>
      <c r="G9184" s="6">
        <v>4013.25</v>
      </c>
      <c r="H9184" s="5">
        <v>1646</v>
      </c>
    </row>
    <row r="9185" spans="2:8" x14ac:dyDescent="0.4">
      <c r="B9185" s="3" t="s">
        <v>7</v>
      </c>
      <c r="C9185" s="3" t="s">
        <v>1377</v>
      </c>
      <c r="D9185" s="4">
        <f>DATE(2003,10,29)</f>
        <v>37923</v>
      </c>
      <c r="E9185" s="5">
        <f t="shared" si="152"/>
        <v>2003</v>
      </c>
      <c r="F9185" s="3" t="s">
        <v>1378</v>
      </c>
      <c r="G9185" s="6">
        <v>400</v>
      </c>
      <c r="H9185" s="5">
        <v>1726</v>
      </c>
    </row>
    <row r="9186" spans="2:8" x14ac:dyDescent="0.4">
      <c r="B9186" s="3" t="s">
        <v>7</v>
      </c>
      <c r="C9186" s="3" t="s">
        <v>1377</v>
      </c>
      <c r="D9186" s="4">
        <f>DATE(2003,12,30)</f>
        <v>37985</v>
      </c>
      <c r="E9186" s="5">
        <f t="shared" si="152"/>
        <v>2003</v>
      </c>
      <c r="F9186" s="3" t="s">
        <v>1378</v>
      </c>
      <c r="G9186" s="6">
        <v>752.75</v>
      </c>
      <c r="H9186" s="5">
        <v>1938</v>
      </c>
    </row>
    <row r="9187" spans="2:8" x14ac:dyDescent="0.4">
      <c r="B9187" s="3" t="s">
        <v>7</v>
      </c>
      <c r="C9187" s="3" t="s">
        <v>1377</v>
      </c>
      <c r="D9187" s="4">
        <f>DATE(2004,1,2)</f>
        <v>37988</v>
      </c>
      <c r="E9187" s="5">
        <f t="shared" si="152"/>
        <v>2004</v>
      </c>
      <c r="F9187" s="3" t="s">
        <v>1378</v>
      </c>
      <c r="G9187" s="6">
        <v>1808</v>
      </c>
      <c r="H9187" s="5">
        <v>1946</v>
      </c>
    </row>
    <row r="9188" spans="2:8" x14ac:dyDescent="0.4">
      <c r="B9188" s="3" t="s">
        <v>7</v>
      </c>
      <c r="C9188" s="3" t="s">
        <v>1377</v>
      </c>
      <c r="D9188" s="4">
        <f>DATE(2004,1,9)</f>
        <v>37995</v>
      </c>
      <c r="E9188" s="5">
        <f t="shared" si="152"/>
        <v>2004</v>
      </c>
      <c r="F9188" s="3" t="s">
        <v>1378</v>
      </c>
      <c r="G9188" s="6">
        <v>1810</v>
      </c>
      <c r="H9188" s="5">
        <v>1971</v>
      </c>
    </row>
    <row r="9189" spans="2:8" x14ac:dyDescent="0.4">
      <c r="B9189" s="3" t="s">
        <v>7</v>
      </c>
      <c r="C9189" s="3" t="s">
        <v>1377</v>
      </c>
      <c r="D9189" s="4">
        <f>DATE(2004,1,15)</f>
        <v>38001</v>
      </c>
      <c r="E9189" s="5">
        <f t="shared" si="152"/>
        <v>2004</v>
      </c>
      <c r="F9189" s="3" t="s">
        <v>1378</v>
      </c>
      <c r="G9189" s="6">
        <v>1808</v>
      </c>
      <c r="H9189" s="5">
        <v>1997</v>
      </c>
    </row>
    <row r="9190" spans="2:8" x14ac:dyDescent="0.4">
      <c r="B9190" s="3" t="s">
        <v>7</v>
      </c>
      <c r="C9190" s="3" t="s">
        <v>1377</v>
      </c>
      <c r="D9190" s="4">
        <f>DATE(2004,1,15)</f>
        <v>38001</v>
      </c>
      <c r="E9190" s="5">
        <f t="shared" si="152"/>
        <v>2004</v>
      </c>
      <c r="F9190" s="3" t="s">
        <v>1378</v>
      </c>
      <c r="G9190" s="6">
        <v>3193.25</v>
      </c>
      <c r="H9190" s="5">
        <v>1943</v>
      </c>
    </row>
    <row r="9191" spans="2:8" x14ac:dyDescent="0.4">
      <c r="B9191" s="3" t="s">
        <v>7</v>
      </c>
      <c r="C9191" s="3" t="s">
        <v>1377</v>
      </c>
      <c r="D9191" s="4">
        <f>DATE(2004,3,3)</f>
        <v>38049</v>
      </c>
      <c r="E9191" s="5">
        <f t="shared" si="152"/>
        <v>2004</v>
      </c>
      <c r="F9191" s="3" t="s">
        <v>1378</v>
      </c>
      <c r="G9191" s="6">
        <v>3941</v>
      </c>
      <c r="H9191" s="5">
        <v>2323</v>
      </c>
    </row>
    <row r="9192" spans="2:8" x14ac:dyDescent="0.4">
      <c r="B9192" s="3" t="s">
        <v>7</v>
      </c>
      <c r="C9192" s="3" t="s">
        <v>1377</v>
      </c>
      <c r="D9192" s="4">
        <f>DATE(2004,3,24)</f>
        <v>38070</v>
      </c>
      <c r="E9192" s="5">
        <f t="shared" si="152"/>
        <v>2004</v>
      </c>
      <c r="F9192" s="3" t="s">
        <v>1378</v>
      </c>
      <c r="G9192" s="6">
        <v>1808</v>
      </c>
      <c r="H9192" s="5">
        <v>2460</v>
      </c>
    </row>
    <row r="9193" spans="2:8" x14ac:dyDescent="0.4">
      <c r="B9193" s="3" t="s">
        <v>7</v>
      </c>
      <c r="C9193" s="3" t="s">
        <v>1377</v>
      </c>
      <c r="D9193" s="4">
        <f>DATE(2004,4,2)</f>
        <v>38079</v>
      </c>
      <c r="E9193" s="5">
        <f t="shared" si="152"/>
        <v>2004</v>
      </c>
      <c r="F9193" s="3" t="s">
        <v>1378</v>
      </c>
      <c r="G9193" s="6">
        <v>1808</v>
      </c>
      <c r="H9193" s="5">
        <v>2576</v>
      </c>
    </row>
    <row r="9194" spans="2:8" x14ac:dyDescent="0.4">
      <c r="B9194" s="3" t="s">
        <v>7</v>
      </c>
      <c r="C9194" s="3" t="s">
        <v>1377</v>
      </c>
      <c r="D9194" s="4">
        <f>DATE(2004,5,18)</f>
        <v>38125</v>
      </c>
      <c r="E9194" s="5">
        <f t="shared" si="152"/>
        <v>2004</v>
      </c>
      <c r="F9194" s="3" t="s">
        <v>1378</v>
      </c>
      <c r="G9194" s="6">
        <v>3941</v>
      </c>
      <c r="H9194" s="5">
        <v>2707</v>
      </c>
    </row>
    <row r="9195" spans="2:8" x14ac:dyDescent="0.4">
      <c r="B9195" s="3" t="s">
        <v>7</v>
      </c>
      <c r="C9195" s="3" t="s">
        <v>1377</v>
      </c>
      <c r="D9195" s="4">
        <f>DATE(2004,9,30)</f>
        <v>38260</v>
      </c>
      <c r="E9195" s="5">
        <f t="shared" si="152"/>
        <v>2004</v>
      </c>
      <c r="F9195" s="3" t="s">
        <v>1378</v>
      </c>
      <c r="G9195" s="6">
        <v>1526.75</v>
      </c>
      <c r="H9195" s="5">
        <v>3504</v>
      </c>
    </row>
    <row r="9196" spans="2:8" x14ac:dyDescent="0.4">
      <c r="B9196" s="3" t="s">
        <v>7</v>
      </c>
      <c r="C9196" s="3" t="s">
        <v>1377</v>
      </c>
      <c r="D9196" s="4">
        <f>DATE(2004,10,5)</f>
        <v>38265</v>
      </c>
      <c r="E9196" s="5">
        <f t="shared" si="152"/>
        <v>2004</v>
      </c>
      <c r="F9196" s="3" t="s">
        <v>1378</v>
      </c>
      <c r="G9196" s="6">
        <v>7881.5</v>
      </c>
      <c r="H9196" s="5">
        <v>3410</v>
      </c>
    </row>
    <row r="9197" spans="2:8" x14ac:dyDescent="0.4">
      <c r="B9197" s="3" t="s">
        <v>7</v>
      </c>
      <c r="C9197" s="3" t="s">
        <v>1377</v>
      </c>
      <c r="D9197" s="4">
        <f>DATE(2004,10,13)</f>
        <v>38273</v>
      </c>
      <c r="E9197" s="5">
        <f t="shared" si="152"/>
        <v>2004</v>
      </c>
      <c r="F9197" s="3" t="s">
        <v>1378</v>
      </c>
      <c r="G9197" s="6">
        <v>3941</v>
      </c>
      <c r="H9197" s="5">
        <v>3491</v>
      </c>
    </row>
    <row r="9198" spans="2:8" x14ac:dyDescent="0.4">
      <c r="B9198" s="3" t="s">
        <v>7</v>
      </c>
      <c r="C9198" s="3" t="s">
        <v>1377</v>
      </c>
      <c r="D9198" s="4">
        <f>DATE(2004,10,25)</f>
        <v>38285</v>
      </c>
      <c r="E9198" s="5">
        <f t="shared" si="152"/>
        <v>2004</v>
      </c>
      <c r="F9198" s="3" t="s">
        <v>1378</v>
      </c>
      <c r="G9198" s="6">
        <v>3942</v>
      </c>
      <c r="H9198" s="5">
        <v>3376</v>
      </c>
    </row>
    <row r="9199" spans="2:8" x14ac:dyDescent="0.4">
      <c r="B9199" s="3" t="s">
        <v>7</v>
      </c>
      <c r="C9199" s="3" t="s">
        <v>1377</v>
      </c>
      <c r="D9199" s="4">
        <f>DATE(2004,11,1)</f>
        <v>38292</v>
      </c>
      <c r="E9199" s="5">
        <f t="shared" si="152"/>
        <v>2004</v>
      </c>
      <c r="F9199" s="3" t="s">
        <v>1378</v>
      </c>
      <c r="G9199" s="6">
        <v>11816.85</v>
      </c>
      <c r="H9199" s="5">
        <v>3550</v>
      </c>
    </row>
    <row r="9200" spans="2:8" x14ac:dyDescent="0.4">
      <c r="B9200" s="3" t="s">
        <v>7</v>
      </c>
      <c r="C9200" s="3" t="s">
        <v>1377</v>
      </c>
      <c r="D9200" s="4">
        <f>DATE(2004,12,1)</f>
        <v>38322</v>
      </c>
      <c r="E9200" s="5">
        <f t="shared" si="152"/>
        <v>2004</v>
      </c>
      <c r="F9200" s="3" t="s">
        <v>1378</v>
      </c>
      <c r="G9200" s="6">
        <v>1789.1</v>
      </c>
      <c r="H9200" s="5">
        <v>3785</v>
      </c>
    </row>
    <row r="9201" spans="2:8" x14ac:dyDescent="0.4">
      <c r="B9201" s="3" t="s">
        <v>7</v>
      </c>
      <c r="C9201" s="3" t="s">
        <v>1377</v>
      </c>
      <c r="D9201" s="4">
        <f>DATE(2005,1,13)</f>
        <v>38365</v>
      </c>
      <c r="E9201" s="5">
        <f t="shared" si="152"/>
        <v>2005</v>
      </c>
      <c r="F9201" s="3" t="s">
        <v>1378</v>
      </c>
      <c r="G9201" s="6">
        <v>3942</v>
      </c>
      <c r="H9201" s="5">
        <v>3839</v>
      </c>
    </row>
    <row r="9202" spans="2:8" x14ac:dyDescent="0.4">
      <c r="B9202" s="3" t="s">
        <v>7</v>
      </c>
      <c r="C9202" s="3" t="s">
        <v>1377</v>
      </c>
      <c r="D9202" s="4">
        <f>DATE(2005,1,28)</f>
        <v>38380</v>
      </c>
      <c r="E9202" s="5">
        <f t="shared" si="152"/>
        <v>2005</v>
      </c>
      <c r="F9202" s="3" t="s">
        <v>1378</v>
      </c>
      <c r="G9202" s="6">
        <v>849.99</v>
      </c>
      <c r="H9202" s="5">
        <v>4025</v>
      </c>
    </row>
    <row r="9203" spans="2:8" x14ac:dyDescent="0.4">
      <c r="B9203" s="3" t="s">
        <v>7</v>
      </c>
      <c r="C9203" s="3" t="s">
        <v>1377</v>
      </c>
      <c r="D9203" s="4">
        <f>DATE(2005,3,17)</f>
        <v>38428</v>
      </c>
      <c r="E9203" s="5">
        <f t="shared" si="152"/>
        <v>2005</v>
      </c>
      <c r="F9203" s="3" t="s">
        <v>1378</v>
      </c>
      <c r="G9203" s="6">
        <v>5910.5</v>
      </c>
      <c r="H9203" s="5">
        <v>4350</v>
      </c>
    </row>
    <row r="9204" spans="2:8" x14ac:dyDescent="0.4">
      <c r="B9204" t="s">
        <v>7</v>
      </c>
      <c r="C9204" t="s">
        <v>1379</v>
      </c>
      <c r="D9204" s="7">
        <f>DATE(2003,3,26)</f>
        <v>37706</v>
      </c>
      <c r="E9204" s="8">
        <f t="shared" si="152"/>
        <v>2003</v>
      </c>
      <c r="F9204" t="s">
        <v>1380</v>
      </c>
      <c r="G9204" s="9">
        <v>2049.91</v>
      </c>
      <c r="H9204" s="8">
        <v>420</v>
      </c>
    </row>
    <row r="9205" spans="2:8" x14ac:dyDescent="0.4">
      <c r="B9205" t="s">
        <v>7</v>
      </c>
      <c r="C9205" t="s">
        <v>1381</v>
      </c>
      <c r="D9205" s="7">
        <f>DATE(2016,1,19)</f>
        <v>42388</v>
      </c>
      <c r="E9205" s="8">
        <f t="shared" si="152"/>
        <v>2016</v>
      </c>
      <c r="F9205" t="s">
        <v>1382</v>
      </c>
      <c r="G9205" s="9">
        <v>17000</v>
      </c>
      <c r="H9205" s="8">
        <v>21862</v>
      </c>
    </row>
    <row r="9206" spans="2:8" x14ac:dyDescent="0.4">
      <c r="B9206" s="3" t="s">
        <v>7</v>
      </c>
      <c r="C9206" s="3" t="s">
        <v>1383</v>
      </c>
      <c r="D9206" s="4">
        <f>DATE(2006,2,8)</f>
        <v>38756</v>
      </c>
      <c r="E9206" s="5">
        <f t="shared" si="152"/>
        <v>2006</v>
      </c>
      <c r="F9206" s="3" t="s">
        <v>1384</v>
      </c>
      <c r="G9206" s="6">
        <v>1281.76</v>
      </c>
      <c r="H9206" s="5">
        <v>1481</v>
      </c>
    </row>
    <row r="9207" spans="2:8" x14ac:dyDescent="0.4">
      <c r="B9207" s="3" t="s">
        <v>7</v>
      </c>
      <c r="C9207" s="3" t="s">
        <v>1383</v>
      </c>
      <c r="D9207" s="4">
        <f>DATE(2007,1,9)</f>
        <v>39091</v>
      </c>
      <c r="E9207" s="5">
        <f t="shared" si="152"/>
        <v>2007</v>
      </c>
      <c r="F9207" s="3" t="s">
        <v>1384</v>
      </c>
      <c r="G9207" s="6">
        <v>310.98</v>
      </c>
      <c r="H9207" s="5">
        <v>1988</v>
      </c>
    </row>
    <row r="9208" spans="2:8" x14ac:dyDescent="0.4">
      <c r="B9208" s="3" t="s">
        <v>7</v>
      </c>
      <c r="C9208" s="3" t="s">
        <v>1383</v>
      </c>
      <c r="D9208" s="4">
        <f>DATE(2006,12,15)</f>
        <v>39066</v>
      </c>
      <c r="E9208" s="5">
        <f t="shared" si="152"/>
        <v>2006</v>
      </c>
      <c r="F9208" s="3" t="s">
        <v>1384</v>
      </c>
      <c r="G9208" s="6">
        <v>6153.62</v>
      </c>
      <c r="H9208" s="5">
        <v>1947</v>
      </c>
    </row>
    <row r="9209" spans="2:8" x14ac:dyDescent="0.4">
      <c r="B9209" t="s">
        <v>7</v>
      </c>
      <c r="C9209" t="s">
        <v>1385</v>
      </c>
      <c r="D9209" s="7">
        <f>DATE(2015,3,25)</f>
        <v>42088</v>
      </c>
      <c r="E9209" s="8">
        <f t="shared" si="152"/>
        <v>2015</v>
      </c>
      <c r="F9209" t="s">
        <v>1386</v>
      </c>
      <c r="G9209" s="9">
        <v>3363</v>
      </c>
      <c r="H9209" s="8">
        <v>20043</v>
      </c>
    </row>
    <row r="9210" spans="2:8" x14ac:dyDescent="0.4">
      <c r="B9210" t="s">
        <v>7</v>
      </c>
      <c r="C9210" t="s">
        <v>1385</v>
      </c>
      <c r="D9210" s="7">
        <f>DATE(2018,10,25)</f>
        <v>43398</v>
      </c>
      <c r="E9210" s="8">
        <f t="shared" si="152"/>
        <v>2018</v>
      </c>
      <c r="F9210" t="s">
        <v>1386</v>
      </c>
      <c r="G9210" s="9">
        <v>46329</v>
      </c>
      <c r="H9210" s="8">
        <v>27814</v>
      </c>
    </row>
    <row r="9211" spans="2:8" x14ac:dyDescent="0.4">
      <c r="B9211" t="s">
        <v>7</v>
      </c>
      <c r="C9211" t="s">
        <v>1385</v>
      </c>
      <c r="D9211" s="7">
        <f>DATE(2015,3,25)</f>
        <v>42088</v>
      </c>
      <c r="E9211" s="8">
        <f t="shared" si="152"/>
        <v>2015</v>
      </c>
      <c r="F9211" t="s">
        <v>1386</v>
      </c>
      <c r="G9211" s="9">
        <v>2700</v>
      </c>
      <c r="H9211" s="8">
        <v>20044</v>
      </c>
    </row>
    <row r="9212" spans="2:8" x14ac:dyDescent="0.4">
      <c r="B9212" t="s">
        <v>7</v>
      </c>
      <c r="C9212" t="s">
        <v>1385</v>
      </c>
      <c r="D9212" s="7">
        <f>DATE(2015,6,5)</f>
        <v>42160</v>
      </c>
      <c r="E9212" s="8">
        <f t="shared" si="152"/>
        <v>2015</v>
      </c>
      <c r="F9212" t="s">
        <v>1386</v>
      </c>
      <c r="G9212" s="9">
        <v>5525.31</v>
      </c>
      <c r="H9212" s="8">
        <v>20671</v>
      </c>
    </row>
    <row r="9213" spans="2:8" x14ac:dyDescent="0.4">
      <c r="B9213" t="s">
        <v>7</v>
      </c>
      <c r="C9213" t="s">
        <v>1385</v>
      </c>
      <c r="D9213" s="7">
        <f>DATE(2015,7,22)</f>
        <v>42207</v>
      </c>
      <c r="E9213" s="8">
        <f t="shared" si="152"/>
        <v>2015</v>
      </c>
      <c r="F9213" t="s">
        <v>1386</v>
      </c>
      <c r="G9213" s="9">
        <v>5125.1400000000003</v>
      </c>
      <c r="H9213" s="8">
        <v>20943</v>
      </c>
    </row>
    <row r="9214" spans="2:8" x14ac:dyDescent="0.4">
      <c r="B9214" t="s">
        <v>7</v>
      </c>
      <c r="C9214" t="s">
        <v>1385</v>
      </c>
      <c r="D9214" s="7">
        <f>DATE(2004,9,23)</f>
        <v>38253</v>
      </c>
      <c r="E9214" s="8">
        <f t="shared" si="152"/>
        <v>2004</v>
      </c>
      <c r="F9214" t="s">
        <v>1386</v>
      </c>
      <c r="G9214" s="9">
        <v>10200</v>
      </c>
      <c r="H9214" s="8">
        <v>2230</v>
      </c>
    </row>
    <row r="9215" spans="2:8" x14ac:dyDescent="0.4">
      <c r="B9215" t="s">
        <v>7</v>
      </c>
      <c r="C9215" t="s">
        <v>1385</v>
      </c>
      <c r="D9215" s="7">
        <f>DATE(2004,12,4)</f>
        <v>38325</v>
      </c>
      <c r="E9215" s="8">
        <f t="shared" si="152"/>
        <v>2004</v>
      </c>
      <c r="F9215" t="s">
        <v>1386</v>
      </c>
      <c r="G9215" s="9">
        <v>11995</v>
      </c>
      <c r="H9215" s="8">
        <v>2406</v>
      </c>
    </row>
    <row r="9216" spans="2:8" x14ac:dyDescent="0.4">
      <c r="B9216" t="s">
        <v>7</v>
      </c>
      <c r="C9216" t="s">
        <v>1385</v>
      </c>
      <c r="D9216" s="7">
        <f>DATE(2005,12,4)</f>
        <v>38690</v>
      </c>
      <c r="E9216" s="8">
        <f t="shared" si="152"/>
        <v>2005</v>
      </c>
      <c r="F9216" t="s">
        <v>1386</v>
      </c>
      <c r="G9216" s="9">
        <v>18420</v>
      </c>
      <c r="H9216" s="8">
        <v>3807</v>
      </c>
    </row>
    <row r="9217" spans="2:8" x14ac:dyDescent="0.4">
      <c r="B9217" t="s">
        <v>7</v>
      </c>
      <c r="C9217" t="s">
        <v>1385</v>
      </c>
      <c r="D9217" s="7">
        <f>DATE(2006,5,18)</f>
        <v>38855</v>
      </c>
      <c r="E9217" s="8">
        <f t="shared" si="152"/>
        <v>2006</v>
      </c>
      <c r="F9217" t="s">
        <v>1386</v>
      </c>
      <c r="G9217" s="9">
        <v>23400</v>
      </c>
      <c r="H9217" s="8">
        <v>4191</v>
      </c>
    </row>
    <row r="9218" spans="2:8" x14ac:dyDescent="0.4">
      <c r="B9218" t="s">
        <v>7</v>
      </c>
      <c r="C9218" t="s">
        <v>1385</v>
      </c>
      <c r="D9218" s="7">
        <f>DATE(2014,12,4)</f>
        <v>41977</v>
      </c>
      <c r="E9218" s="8">
        <f t="shared" si="152"/>
        <v>2014</v>
      </c>
      <c r="F9218" t="s">
        <v>1386</v>
      </c>
      <c r="G9218" s="9">
        <v>8077.02</v>
      </c>
      <c r="H9218" s="8">
        <v>13631</v>
      </c>
    </row>
    <row r="9219" spans="2:8" x14ac:dyDescent="0.4">
      <c r="B9219" s="3" t="s">
        <v>7</v>
      </c>
      <c r="C9219" s="3" t="s">
        <v>1385</v>
      </c>
      <c r="D9219" s="4">
        <f>DATE(2005,8,9)</f>
        <v>38573</v>
      </c>
      <c r="E9219" s="5">
        <f t="shared" ref="E9219:E9282" si="153">YEAR(D9219)</f>
        <v>2005</v>
      </c>
      <c r="F9219" s="3" t="s">
        <v>1386</v>
      </c>
      <c r="G9219" s="6">
        <v>1508</v>
      </c>
      <c r="H9219" s="5">
        <v>5031</v>
      </c>
    </row>
    <row r="9220" spans="2:8" x14ac:dyDescent="0.4">
      <c r="B9220" s="3" t="s">
        <v>7</v>
      </c>
      <c r="C9220" s="3" t="s">
        <v>1385</v>
      </c>
      <c r="D9220" s="4">
        <f>DATE(2005,9,6)</f>
        <v>38601</v>
      </c>
      <c r="E9220" s="5">
        <f t="shared" si="153"/>
        <v>2005</v>
      </c>
      <c r="F9220" s="3" t="s">
        <v>1386</v>
      </c>
      <c r="G9220" s="6">
        <v>3009</v>
      </c>
      <c r="H9220" s="5">
        <v>5177</v>
      </c>
    </row>
    <row r="9221" spans="2:8" x14ac:dyDescent="0.4">
      <c r="B9221" s="3" t="s">
        <v>7</v>
      </c>
      <c r="C9221" s="3" t="s">
        <v>1385</v>
      </c>
      <c r="D9221" s="4">
        <f>DATE(2005,11,15)</f>
        <v>38671</v>
      </c>
      <c r="E9221" s="5">
        <f t="shared" si="153"/>
        <v>2005</v>
      </c>
      <c r="F9221" s="3" t="s">
        <v>1386</v>
      </c>
      <c r="G9221" s="6">
        <v>4571.8</v>
      </c>
      <c r="H9221" s="5">
        <v>5560</v>
      </c>
    </row>
    <row r="9222" spans="2:8" x14ac:dyDescent="0.4">
      <c r="B9222" s="3" t="s">
        <v>7</v>
      </c>
      <c r="C9222" s="3" t="s">
        <v>1385</v>
      </c>
      <c r="D9222" s="4">
        <f>DATE(2005,11,18)</f>
        <v>38674</v>
      </c>
      <c r="E9222" s="5">
        <f t="shared" si="153"/>
        <v>2005</v>
      </c>
      <c r="F9222" s="3" t="s">
        <v>1386</v>
      </c>
      <c r="G9222" s="6">
        <v>7804.84</v>
      </c>
      <c r="H9222" s="5">
        <v>5602</v>
      </c>
    </row>
    <row r="9223" spans="2:8" x14ac:dyDescent="0.4">
      <c r="B9223" s="3" t="s">
        <v>7</v>
      </c>
      <c r="C9223" s="3" t="s">
        <v>1385</v>
      </c>
      <c r="D9223" s="4">
        <f>DATE(2006,9,7)</f>
        <v>38967</v>
      </c>
      <c r="E9223" s="5">
        <f t="shared" si="153"/>
        <v>2006</v>
      </c>
      <c r="F9223" s="3" t="s">
        <v>1386</v>
      </c>
      <c r="G9223" s="6">
        <v>863</v>
      </c>
      <c r="H9223" s="5">
        <v>7170</v>
      </c>
    </row>
    <row r="9224" spans="2:8" x14ac:dyDescent="0.4">
      <c r="B9224" s="3" t="s">
        <v>7</v>
      </c>
      <c r="C9224" s="3" t="s">
        <v>1385</v>
      </c>
      <c r="D9224" s="4">
        <f>DATE(2013,10,31)</f>
        <v>41578</v>
      </c>
      <c r="E9224" s="5">
        <f t="shared" si="153"/>
        <v>2013</v>
      </c>
      <c r="F9224" s="3" t="s">
        <v>1386</v>
      </c>
      <c r="G9224" s="6">
        <v>1324.48</v>
      </c>
      <c r="H9224" s="5">
        <v>19143</v>
      </c>
    </row>
    <row r="9225" spans="2:8" x14ac:dyDescent="0.4">
      <c r="B9225" s="3" t="s">
        <v>7</v>
      </c>
      <c r="C9225" s="3" t="s">
        <v>1385</v>
      </c>
      <c r="D9225" s="4">
        <f>DATE(2014,3,13)</f>
        <v>41711</v>
      </c>
      <c r="E9225" s="5">
        <f t="shared" si="153"/>
        <v>2014</v>
      </c>
      <c r="F9225" s="3" t="s">
        <v>1386</v>
      </c>
      <c r="G9225" s="6">
        <v>2255</v>
      </c>
      <c r="H9225" s="5">
        <v>19646</v>
      </c>
    </row>
    <row r="9226" spans="2:8" x14ac:dyDescent="0.4">
      <c r="B9226" s="3" t="s">
        <v>16</v>
      </c>
      <c r="C9226" s="3" t="s">
        <v>1385</v>
      </c>
      <c r="D9226" s="4">
        <f>DATE(2005,11,29)</f>
        <v>38685</v>
      </c>
      <c r="E9226" s="5">
        <f t="shared" si="153"/>
        <v>2005</v>
      </c>
      <c r="F9226" s="3" t="s">
        <v>1386</v>
      </c>
      <c r="G9226" s="6">
        <v>4530</v>
      </c>
      <c r="H9226" s="5">
        <v>5603</v>
      </c>
    </row>
    <row r="9227" spans="2:8" x14ac:dyDescent="0.4">
      <c r="B9227" s="3" t="s">
        <v>7</v>
      </c>
      <c r="C9227" s="3" t="s">
        <v>1387</v>
      </c>
      <c r="D9227" s="4">
        <f>DATE(2004,1,28)</f>
        <v>38014</v>
      </c>
      <c r="E9227" s="5">
        <f t="shared" si="153"/>
        <v>2004</v>
      </c>
      <c r="F9227" s="3" t="s">
        <v>1388</v>
      </c>
      <c r="G9227" s="6">
        <v>658.66</v>
      </c>
      <c r="H9227" s="5">
        <v>519</v>
      </c>
    </row>
    <row r="9228" spans="2:8" x14ac:dyDescent="0.4">
      <c r="B9228" t="s">
        <v>7</v>
      </c>
      <c r="C9228" t="s">
        <v>918</v>
      </c>
      <c r="D9228" s="7">
        <f>DATE(2015,4,21)</f>
        <v>42115</v>
      </c>
      <c r="E9228" s="8">
        <f t="shared" si="153"/>
        <v>2015</v>
      </c>
      <c r="F9228" t="s">
        <v>1389</v>
      </c>
      <c r="G9228" s="9">
        <v>11390.48</v>
      </c>
      <c r="H9228" s="8">
        <v>342</v>
      </c>
    </row>
    <row r="9229" spans="2:8" x14ac:dyDescent="0.4">
      <c r="B9229" t="s">
        <v>7</v>
      </c>
      <c r="C9229" t="s">
        <v>918</v>
      </c>
      <c r="D9229" s="7">
        <f>DATE(2015,4,21)</f>
        <v>42115</v>
      </c>
      <c r="E9229" s="8">
        <f t="shared" si="153"/>
        <v>2015</v>
      </c>
      <c r="F9229" t="s">
        <v>1389</v>
      </c>
      <c r="G9229" s="9">
        <v>10829.8</v>
      </c>
      <c r="H9229" s="8">
        <v>20610</v>
      </c>
    </row>
    <row r="9230" spans="2:8" x14ac:dyDescent="0.4">
      <c r="B9230" t="s">
        <v>16</v>
      </c>
      <c r="C9230" t="s">
        <v>918</v>
      </c>
      <c r="D9230" s="7">
        <f>DATE(2015,4,15)</f>
        <v>42109</v>
      </c>
      <c r="E9230" s="8">
        <f t="shared" si="153"/>
        <v>2015</v>
      </c>
      <c r="F9230" t="s">
        <v>1389</v>
      </c>
      <c r="G9230" s="9">
        <v>11390.48</v>
      </c>
      <c r="H9230" s="8">
        <v>20609</v>
      </c>
    </row>
    <row r="9231" spans="2:8" x14ac:dyDescent="0.4">
      <c r="B9231" t="s">
        <v>7</v>
      </c>
      <c r="C9231" t="s">
        <v>918</v>
      </c>
      <c r="D9231" s="7">
        <f>DATE(2003,1,29)</f>
        <v>37650</v>
      </c>
      <c r="E9231" s="8">
        <f t="shared" si="153"/>
        <v>2003</v>
      </c>
      <c r="F9231" t="s">
        <v>1390</v>
      </c>
      <c r="G9231" s="9">
        <v>2470.86</v>
      </c>
      <c r="H9231" s="8">
        <v>58</v>
      </c>
    </row>
    <row r="9232" spans="2:8" x14ac:dyDescent="0.4">
      <c r="B9232" t="s">
        <v>7</v>
      </c>
      <c r="C9232" t="s">
        <v>1391</v>
      </c>
      <c r="D9232" s="7">
        <f>DATE(2004,3,11)</f>
        <v>38057</v>
      </c>
      <c r="E9232" s="8">
        <f t="shared" si="153"/>
        <v>2004</v>
      </c>
      <c r="F9232" t="s">
        <v>1392</v>
      </c>
      <c r="G9232" s="9">
        <v>11045.06</v>
      </c>
      <c r="H9232" s="8">
        <v>1437</v>
      </c>
    </row>
    <row r="9233" spans="2:8" x14ac:dyDescent="0.4">
      <c r="B9233" t="s">
        <v>7</v>
      </c>
      <c r="C9233" t="s">
        <v>1391</v>
      </c>
      <c r="D9233" s="7">
        <f>DATE(2004,4,23)</f>
        <v>38100</v>
      </c>
      <c r="E9233" s="8">
        <f t="shared" si="153"/>
        <v>2004</v>
      </c>
      <c r="F9233" t="s">
        <v>1392</v>
      </c>
      <c r="G9233" s="9">
        <v>9399.8700000000008</v>
      </c>
      <c r="H9233" s="8">
        <v>1673</v>
      </c>
    </row>
    <row r="9234" spans="2:8" x14ac:dyDescent="0.4">
      <c r="B9234" t="s">
        <v>7</v>
      </c>
      <c r="C9234" t="s">
        <v>1391</v>
      </c>
      <c r="D9234" s="7">
        <f>DATE(2004,5,12)</f>
        <v>38119</v>
      </c>
      <c r="E9234" s="8">
        <f t="shared" si="153"/>
        <v>2004</v>
      </c>
      <c r="F9234" t="s">
        <v>1392</v>
      </c>
      <c r="G9234" s="9">
        <v>8151.44</v>
      </c>
      <c r="H9234" s="8">
        <v>1728</v>
      </c>
    </row>
    <row r="9235" spans="2:8" x14ac:dyDescent="0.4">
      <c r="B9235" t="s">
        <v>7</v>
      </c>
      <c r="C9235" t="s">
        <v>1391</v>
      </c>
      <c r="D9235" s="7">
        <f>DATE(2005,5,13)</f>
        <v>38485</v>
      </c>
      <c r="E9235" s="8">
        <f t="shared" si="153"/>
        <v>2005</v>
      </c>
      <c r="F9235" t="s">
        <v>1392</v>
      </c>
      <c r="G9235" s="9">
        <v>7451.25</v>
      </c>
      <c r="H9235" s="8">
        <v>3167</v>
      </c>
    </row>
    <row r="9236" spans="2:8" x14ac:dyDescent="0.4">
      <c r="B9236" t="s">
        <v>7</v>
      </c>
      <c r="C9236" t="s">
        <v>1391</v>
      </c>
      <c r="D9236" s="7">
        <f>DATE(2005,5,19)</f>
        <v>38491</v>
      </c>
      <c r="E9236" s="8">
        <f t="shared" si="153"/>
        <v>2005</v>
      </c>
      <c r="F9236" t="s">
        <v>1392</v>
      </c>
      <c r="G9236" s="9">
        <v>7401.25</v>
      </c>
      <c r="H9236" s="8">
        <v>3207</v>
      </c>
    </row>
    <row r="9237" spans="2:8" x14ac:dyDescent="0.4">
      <c r="B9237" t="s">
        <v>7</v>
      </c>
      <c r="C9237" t="s">
        <v>1391</v>
      </c>
      <c r="D9237" s="7">
        <f>DATE(2005,10,12)</f>
        <v>38637</v>
      </c>
      <c r="E9237" s="8">
        <f t="shared" si="153"/>
        <v>2005</v>
      </c>
      <c r="F9237" t="s">
        <v>1392</v>
      </c>
      <c r="G9237" s="9">
        <v>7851.25</v>
      </c>
      <c r="H9237" s="8">
        <v>3668</v>
      </c>
    </row>
    <row r="9238" spans="2:8" x14ac:dyDescent="0.4">
      <c r="B9238" t="s">
        <v>7</v>
      </c>
      <c r="C9238" t="s">
        <v>1393</v>
      </c>
      <c r="D9238" s="7">
        <f>DATE(2016,4,22)</f>
        <v>42482</v>
      </c>
      <c r="E9238" s="8">
        <f t="shared" si="153"/>
        <v>2016</v>
      </c>
      <c r="F9238" t="s">
        <v>1394</v>
      </c>
      <c r="G9238" s="9">
        <v>44408</v>
      </c>
      <c r="H9238" s="8">
        <v>22310</v>
      </c>
    </row>
    <row r="9239" spans="2:8" x14ac:dyDescent="0.4">
      <c r="B9239" t="s">
        <v>7</v>
      </c>
      <c r="C9239" t="s">
        <v>1393</v>
      </c>
      <c r="D9239" s="7">
        <f>DATE(2016,4,22)</f>
        <v>42482</v>
      </c>
      <c r="E9239" s="8">
        <f t="shared" si="153"/>
        <v>2016</v>
      </c>
      <c r="F9239" t="s">
        <v>1394</v>
      </c>
      <c r="G9239" s="9">
        <v>4871.68</v>
      </c>
      <c r="H9239" s="8">
        <v>22311</v>
      </c>
    </row>
    <row r="9240" spans="2:8" x14ac:dyDescent="0.4">
      <c r="B9240" t="s">
        <v>7</v>
      </c>
      <c r="C9240" t="s">
        <v>1393</v>
      </c>
      <c r="D9240" s="7">
        <f>DATE(2015,6,12)</f>
        <v>42167</v>
      </c>
      <c r="E9240" s="8">
        <f t="shared" si="153"/>
        <v>2015</v>
      </c>
      <c r="F9240" t="s">
        <v>1394</v>
      </c>
      <c r="G9240" s="9">
        <v>4758.04</v>
      </c>
      <c r="H9240" s="8">
        <v>20711</v>
      </c>
    </row>
    <row r="9241" spans="2:8" x14ac:dyDescent="0.4">
      <c r="B9241" t="s">
        <v>7</v>
      </c>
      <c r="C9241" t="s">
        <v>1393</v>
      </c>
      <c r="D9241" s="7">
        <f>DATE(2017,8,22)</f>
        <v>42969</v>
      </c>
      <c r="E9241" s="8">
        <f t="shared" si="153"/>
        <v>2017</v>
      </c>
      <c r="F9241" t="s">
        <v>1394</v>
      </c>
      <c r="G9241" s="9">
        <v>9026.7900000000009</v>
      </c>
      <c r="H9241" s="8">
        <v>25382</v>
      </c>
    </row>
    <row r="9242" spans="2:8" x14ac:dyDescent="0.4">
      <c r="B9242" t="s">
        <v>7</v>
      </c>
      <c r="C9242" t="s">
        <v>1393</v>
      </c>
      <c r="D9242" s="7">
        <f>DATE(2016,4,22)</f>
        <v>42482</v>
      </c>
      <c r="E9242" s="8">
        <f t="shared" si="153"/>
        <v>2016</v>
      </c>
      <c r="F9242" t="s">
        <v>1394</v>
      </c>
      <c r="G9242" s="9">
        <v>2986</v>
      </c>
      <c r="H9242" s="8">
        <v>22313</v>
      </c>
    </row>
    <row r="9243" spans="2:8" x14ac:dyDescent="0.4">
      <c r="B9243" t="s">
        <v>16</v>
      </c>
      <c r="C9243" t="s">
        <v>1393</v>
      </c>
      <c r="D9243" s="7">
        <f>DATE(2016,6,14)</f>
        <v>42535</v>
      </c>
      <c r="E9243" s="8">
        <f t="shared" si="153"/>
        <v>2016</v>
      </c>
      <c r="F9243" t="s">
        <v>1394</v>
      </c>
      <c r="G9243" s="9">
        <v>2986</v>
      </c>
      <c r="H9243" s="8">
        <v>23002</v>
      </c>
    </row>
    <row r="9244" spans="2:8" x14ac:dyDescent="0.4">
      <c r="B9244" t="s">
        <v>7</v>
      </c>
      <c r="C9244" t="s">
        <v>1393</v>
      </c>
      <c r="D9244" s="7">
        <f>DATE(2013,5,6)</f>
        <v>41400</v>
      </c>
      <c r="E9244" s="8">
        <f t="shared" si="153"/>
        <v>2013</v>
      </c>
      <c r="F9244" t="s">
        <v>1394</v>
      </c>
      <c r="G9244" s="9">
        <v>22985.73</v>
      </c>
      <c r="H9244" s="8">
        <v>12281</v>
      </c>
    </row>
    <row r="9245" spans="2:8" x14ac:dyDescent="0.4">
      <c r="B9245" t="s">
        <v>7</v>
      </c>
      <c r="C9245" t="s">
        <v>1393</v>
      </c>
      <c r="D9245" s="7">
        <f>DATE(2005,2,17)</f>
        <v>38400</v>
      </c>
      <c r="E9245" s="8">
        <f t="shared" si="153"/>
        <v>2005</v>
      </c>
      <c r="F9245" t="s">
        <v>1394</v>
      </c>
      <c r="G9245" s="9">
        <v>42336.84</v>
      </c>
      <c r="H9245" s="8">
        <v>2493</v>
      </c>
    </row>
    <row r="9246" spans="2:8" x14ac:dyDescent="0.4">
      <c r="B9246" t="s">
        <v>7</v>
      </c>
      <c r="C9246" t="s">
        <v>1393</v>
      </c>
      <c r="D9246" s="7">
        <f>DATE(2005,2,24)</f>
        <v>38407</v>
      </c>
      <c r="E9246" s="8">
        <f t="shared" si="153"/>
        <v>2005</v>
      </c>
      <c r="F9246" t="s">
        <v>1394</v>
      </c>
      <c r="G9246" s="9">
        <v>6126.83</v>
      </c>
      <c r="H9246" s="8">
        <v>2796</v>
      </c>
    </row>
    <row r="9247" spans="2:8" x14ac:dyDescent="0.4">
      <c r="B9247" t="s">
        <v>7</v>
      </c>
      <c r="C9247" t="s">
        <v>1393</v>
      </c>
      <c r="D9247" s="7">
        <f>DATE(2005,2,23)</f>
        <v>38406</v>
      </c>
      <c r="E9247" s="8">
        <f t="shared" si="153"/>
        <v>2005</v>
      </c>
      <c r="F9247" t="s">
        <v>1394</v>
      </c>
      <c r="G9247" s="9">
        <v>65860</v>
      </c>
      <c r="H9247" s="8">
        <v>2500</v>
      </c>
    </row>
    <row r="9248" spans="2:8" x14ac:dyDescent="0.4">
      <c r="B9248" t="s">
        <v>7</v>
      </c>
      <c r="C9248" t="s">
        <v>1393</v>
      </c>
      <c r="D9248" s="7">
        <f>DATE(2005,2,24)</f>
        <v>38407</v>
      </c>
      <c r="E9248" s="8">
        <f t="shared" si="153"/>
        <v>2005</v>
      </c>
      <c r="F9248" t="s">
        <v>1394</v>
      </c>
      <c r="G9248" s="9">
        <v>4708.21</v>
      </c>
      <c r="H9248" s="8">
        <v>2794</v>
      </c>
    </row>
    <row r="9249" spans="2:8" x14ac:dyDescent="0.4">
      <c r="B9249" t="s">
        <v>7</v>
      </c>
      <c r="C9249" t="s">
        <v>1393</v>
      </c>
      <c r="D9249" s="7">
        <f>DATE(2006,3,3)</f>
        <v>38779</v>
      </c>
      <c r="E9249" s="8">
        <f t="shared" si="153"/>
        <v>2006</v>
      </c>
      <c r="F9249" t="s">
        <v>1394</v>
      </c>
      <c r="G9249" s="9">
        <v>6236.81</v>
      </c>
      <c r="H9249" s="8">
        <v>4264</v>
      </c>
    </row>
    <row r="9250" spans="2:8" x14ac:dyDescent="0.4">
      <c r="B9250" t="s">
        <v>7</v>
      </c>
      <c r="C9250" t="s">
        <v>1393</v>
      </c>
      <c r="D9250" s="7">
        <f>DATE(2006,3,14)</f>
        <v>38790</v>
      </c>
      <c r="E9250" s="8">
        <f t="shared" si="153"/>
        <v>2006</v>
      </c>
      <c r="F9250" t="s">
        <v>1394</v>
      </c>
      <c r="G9250" s="9">
        <v>6967.49</v>
      </c>
      <c r="H9250" s="8">
        <v>4328</v>
      </c>
    </row>
    <row r="9251" spans="2:8" x14ac:dyDescent="0.4">
      <c r="B9251" t="s">
        <v>7</v>
      </c>
      <c r="C9251" t="s">
        <v>1393</v>
      </c>
      <c r="D9251" s="7">
        <f>DATE(2006,4,13)</f>
        <v>38820</v>
      </c>
      <c r="E9251" s="8">
        <f t="shared" si="153"/>
        <v>2006</v>
      </c>
      <c r="F9251" t="s">
        <v>1394</v>
      </c>
      <c r="G9251" s="9">
        <v>33000</v>
      </c>
      <c r="H9251" s="8">
        <v>4072</v>
      </c>
    </row>
    <row r="9252" spans="2:8" x14ac:dyDescent="0.4">
      <c r="B9252" t="s">
        <v>7</v>
      </c>
      <c r="C9252" t="s">
        <v>1393</v>
      </c>
      <c r="D9252" s="7">
        <f>DATE(2006,7,8)</f>
        <v>38906</v>
      </c>
      <c r="E9252" s="8">
        <f t="shared" si="153"/>
        <v>2006</v>
      </c>
      <c r="F9252" t="s">
        <v>1394</v>
      </c>
      <c r="G9252" s="9">
        <v>4495.49</v>
      </c>
      <c r="H9252" s="8">
        <v>4774</v>
      </c>
    </row>
    <row r="9253" spans="2:8" x14ac:dyDescent="0.4">
      <c r="B9253" t="s">
        <v>7</v>
      </c>
      <c r="C9253" t="s">
        <v>1393</v>
      </c>
      <c r="D9253" s="7">
        <f>DATE(2007,4,6)</f>
        <v>39178</v>
      </c>
      <c r="E9253" s="8">
        <f t="shared" si="153"/>
        <v>2007</v>
      </c>
      <c r="F9253" t="s">
        <v>1394</v>
      </c>
      <c r="G9253" s="9">
        <v>18900</v>
      </c>
      <c r="H9253" s="8">
        <v>5297</v>
      </c>
    </row>
    <row r="9254" spans="2:8" x14ac:dyDescent="0.4">
      <c r="B9254" t="s">
        <v>7</v>
      </c>
      <c r="C9254" t="s">
        <v>1393</v>
      </c>
      <c r="D9254" s="7">
        <f>DATE(2009,5,7)</f>
        <v>39940</v>
      </c>
      <c r="E9254" s="8">
        <f t="shared" si="153"/>
        <v>2009</v>
      </c>
      <c r="F9254" t="s">
        <v>1394</v>
      </c>
      <c r="G9254" s="9">
        <v>38800</v>
      </c>
      <c r="H9254" s="8">
        <v>7937</v>
      </c>
    </row>
    <row r="9255" spans="2:8" x14ac:dyDescent="0.4">
      <c r="B9255" t="s">
        <v>7</v>
      </c>
      <c r="C9255" t="s">
        <v>1393</v>
      </c>
      <c r="D9255" s="7">
        <f>DATE(2012,3,16)</f>
        <v>40984</v>
      </c>
      <c r="E9255" s="8">
        <f t="shared" si="153"/>
        <v>2012</v>
      </c>
      <c r="F9255" t="s">
        <v>1394</v>
      </c>
      <c r="G9255" s="9">
        <v>42695.92</v>
      </c>
      <c r="H9255" s="8">
        <v>11191</v>
      </c>
    </row>
    <row r="9256" spans="2:8" x14ac:dyDescent="0.4">
      <c r="B9256" t="s">
        <v>7</v>
      </c>
      <c r="C9256" t="s">
        <v>1393</v>
      </c>
      <c r="D9256" s="7">
        <f>DATE(2012,4,5)</f>
        <v>41004</v>
      </c>
      <c r="E9256" s="8">
        <f t="shared" si="153"/>
        <v>2012</v>
      </c>
      <c r="F9256" t="s">
        <v>1394</v>
      </c>
      <c r="G9256" s="9">
        <v>6883.97</v>
      </c>
      <c r="H9256" s="8">
        <v>11519</v>
      </c>
    </row>
    <row r="9257" spans="2:8" x14ac:dyDescent="0.4">
      <c r="B9257" t="s">
        <v>7</v>
      </c>
      <c r="C9257" t="s">
        <v>1393</v>
      </c>
      <c r="D9257" s="7">
        <f>DATE(2012,11,16)</f>
        <v>41229</v>
      </c>
      <c r="E9257" s="8">
        <f t="shared" si="153"/>
        <v>2012</v>
      </c>
      <c r="F9257" t="s">
        <v>1394</v>
      </c>
      <c r="G9257" s="9">
        <v>19384.05</v>
      </c>
      <c r="H9257" s="8">
        <v>11984</v>
      </c>
    </row>
    <row r="9258" spans="2:8" x14ac:dyDescent="0.4">
      <c r="B9258" t="s">
        <v>7</v>
      </c>
      <c r="C9258" t="s">
        <v>1393</v>
      </c>
      <c r="D9258" s="7">
        <f>DATE(2013,5,6)</f>
        <v>41400</v>
      </c>
      <c r="E9258" s="8">
        <f t="shared" si="153"/>
        <v>2013</v>
      </c>
      <c r="F9258" t="s">
        <v>1394</v>
      </c>
      <c r="G9258" s="9">
        <v>56943.11</v>
      </c>
      <c r="H9258" s="8">
        <v>12280</v>
      </c>
    </row>
    <row r="9259" spans="2:8" x14ac:dyDescent="0.4">
      <c r="B9259" t="s">
        <v>7</v>
      </c>
      <c r="C9259" t="s">
        <v>1393</v>
      </c>
      <c r="D9259" s="7">
        <f>DATE(2013,11,11)</f>
        <v>41589</v>
      </c>
      <c r="E9259" s="8">
        <f t="shared" si="153"/>
        <v>2013</v>
      </c>
      <c r="F9259" t="s">
        <v>1394</v>
      </c>
      <c r="G9259" s="9">
        <v>8427.08</v>
      </c>
      <c r="H9259" s="8">
        <v>12771</v>
      </c>
    </row>
    <row r="9260" spans="2:8" x14ac:dyDescent="0.4">
      <c r="B9260" t="s">
        <v>16</v>
      </c>
      <c r="C9260" t="s">
        <v>1393</v>
      </c>
      <c r="D9260" s="7">
        <f>DATE(2005,2,17)</f>
        <v>38400</v>
      </c>
      <c r="E9260" s="8">
        <f t="shared" si="153"/>
        <v>2005</v>
      </c>
      <c r="F9260" t="s">
        <v>1394</v>
      </c>
      <c r="G9260" s="9">
        <v>1500</v>
      </c>
      <c r="H9260" s="8">
        <v>3041</v>
      </c>
    </row>
    <row r="9261" spans="2:8" x14ac:dyDescent="0.4">
      <c r="B9261" s="3" t="s">
        <v>7</v>
      </c>
      <c r="C9261" s="3" t="s">
        <v>1393</v>
      </c>
      <c r="D9261" s="4">
        <f>DATE(2004,3,11)</f>
        <v>38057</v>
      </c>
      <c r="E9261" s="5">
        <f t="shared" si="153"/>
        <v>2004</v>
      </c>
      <c r="F9261" s="3" t="s">
        <v>1394</v>
      </c>
      <c r="G9261" s="6">
        <v>498</v>
      </c>
      <c r="H9261" s="5">
        <v>2368</v>
      </c>
    </row>
    <row r="9262" spans="2:8" x14ac:dyDescent="0.4">
      <c r="B9262" s="3" t="s">
        <v>7</v>
      </c>
      <c r="C9262" s="3" t="s">
        <v>1393</v>
      </c>
      <c r="D9262" s="4">
        <f>DATE(2004,3,30)</f>
        <v>38076</v>
      </c>
      <c r="E9262" s="5">
        <f t="shared" si="153"/>
        <v>2004</v>
      </c>
      <c r="F9262" s="3" t="s">
        <v>1394</v>
      </c>
      <c r="G9262" s="6">
        <v>996</v>
      </c>
      <c r="H9262" s="5">
        <v>2523</v>
      </c>
    </row>
    <row r="9263" spans="2:8" x14ac:dyDescent="0.4">
      <c r="B9263" s="3" t="s">
        <v>7</v>
      </c>
      <c r="C9263" s="3" t="s">
        <v>1393</v>
      </c>
      <c r="D9263" s="4">
        <f>DATE(2004,8,6)</f>
        <v>38205</v>
      </c>
      <c r="E9263" s="5">
        <f t="shared" si="153"/>
        <v>2004</v>
      </c>
      <c r="F9263" s="3" t="s">
        <v>1394</v>
      </c>
      <c r="G9263" s="6">
        <v>506</v>
      </c>
      <c r="H9263" s="5">
        <v>3231</v>
      </c>
    </row>
    <row r="9264" spans="2:8" x14ac:dyDescent="0.4">
      <c r="B9264" s="3" t="s">
        <v>7</v>
      </c>
      <c r="C9264" s="3" t="s">
        <v>1393</v>
      </c>
      <c r="D9264" s="4">
        <f>DATE(2004,9,27)</f>
        <v>38257</v>
      </c>
      <c r="E9264" s="5">
        <f t="shared" si="153"/>
        <v>2004</v>
      </c>
      <c r="F9264" s="3" t="s">
        <v>1394</v>
      </c>
      <c r="G9264" s="6">
        <v>498</v>
      </c>
      <c r="H9264" s="5">
        <v>3469</v>
      </c>
    </row>
    <row r="9265" spans="2:8" x14ac:dyDescent="0.4">
      <c r="B9265" s="3" t="s">
        <v>7</v>
      </c>
      <c r="C9265" s="3" t="s">
        <v>1393</v>
      </c>
      <c r="D9265" s="4">
        <f>DATE(2005,2,14)</f>
        <v>38397</v>
      </c>
      <c r="E9265" s="5">
        <f t="shared" si="153"/>
        <v>2005</v>
      </c>
      <c r="F9265" s="3" t="s">
        <v>1394</v>
      </c>
      <c r="G9265" s="6">
        <v>1046</v>
      </c>
      <c r="H9265" s="5">
        <v>4136</v>
      </c>
    </row>
    <row r="9266" spans="2:8" x14ac:dyDescent="0.4">
      <c r="B9266" s="3" t="s">
        <v>7</v>
      </c>
      <c r="C9266" s="3" t="s">
        <v>1393</v>
      </c>
      <c r="D9266" s="4">
        <f>DATE(2005,2,24)</f>
        <v>38407</v>
      </c>
      <c r="E9266" s="5">
        <f t="shared" si="153"/>
        <v>2005</v>
      </c>
      <c r="F9266" s="3" t="s">
        <v>1394</v>
      </c>
      <c r="G9266" s="6">
        <v>49.1</v>
      </c>
      <c r="H9266" s="5">
        <v>4198</v>
      </c>
    </row>
    <row r="9267" spans="2:8" x14ac:dyDescent="0.4">
      <c r="B9267" s="3" t="s">
        <v>7</v>
      </c>
      <c r="C9267" s="3" t="s">
        <v>1393</v>
      </c>
      <c r="D9267" s="4">
        <f>DATE(2005,3,14)</f>
        <v>38425</v>
      </c>
      <c r="E9267" s="5">
        <f t="shared" si="153"/>
        <v>2005</v>
      </c>
      <c r="F9267" s="3" t="s">
        <v>1394</v>
      </c>
      <c r="G9267" s="6">
        <v>3138</v>
      </c>
      <c r="H9267" s="5">
        <v>4334</v>
      </c>
    </row>
    <row r="9268" spans="2:8" x14ac:dyDescent="0.4">
      <c r="B9268" s="3" t="s">
        <v>7</v>
      </c>
      <c r="C9268" s="3" t="s">
        <v>1393</v>
      </c>
      <c r="D9268" s="4">
        <f>DATE(2005,3,24)</f>
        <v>38435</v>
      </c>
      <c r="E9268" s="5">
        <f t="shared" si="153"/>
        <v>2005</v>
      </c>
      <c r="F9268" s="3" t="s">
        <v>1394</v>
      </c>
      <c r="G9268" s="6">
        <v>1046</v>
      </c>
      <c r="H9268" s="5">
        <v>4374</v>
      </c>
    </row>
    <row r="9269" spans="2:8" x14ac:dyDescent="0.4">
      <c r="B9269" s="3" t="s">
        <v>7</v>
      </c>
      <c r="C9269" s="3" t="s">
        <v>1393</v>
      </c>
      <c r="D9269" s="4">
        <f>DATE(2005,9,15)</f>
        <v>38610</v>
      </c>
      <c r="E9269" s="5">
        <f t="shared" si="153"/>
        <v>2005</v>
      </c>
      <c r="F9269" s="3" t="s">
        <v>1394</v>
      </c>
      <c r="G9269" s="6">
        <v>1046</v>
      </c>
      <c r="H9269" s="5">
        <v>5268</v>
      </c>
    </row>
    <row r="9270" spans="2:8" x14ac:dyDescent="0.4">
      <c r="B9270" s="3" t="s">
        <v>7</v>
      </c>
      <c r="C9270" s="3" t="s">
        <v>1393</v>
      </c>
      <c r="D9270" s="4">
        <f>DATE(2006,4,18)</f>
        <v>38825</v>
      </c>
      <c r="E9270" s="5">
        <f t="shared" si="153"/>
        <v>2006</v>
      </c>
      <c r="F9270" s="3" t="s">
        <v>1394</v>
      </c>
      <c r="G9270" s="6">
        <v>1046</v>
      </c>
      <c r="H9270" s="5">
        <v>6534</v>
      </c>
    </row>
    <row r="9271" spans="2:8" x14ac:dyDescent="0.4">
      <c r="B9271" s="3" t="s">
        <v>7</v>
      </c>
      <c r="C9271" s="3" t="s">
        <v>1393</v>
      </c>
      <c r="D9271" s="4">
        <f>DATE(2006,10,11)</f>
        <v>39001</v>
      </c>
      <c r="E9271" s="5">
        <f t="shared" si="153"/>
        <v>2006</v>
      </c>
      <c r="F9271" s="3" t="s">
        <v>1394</v>
      </c>
      <c r="G9271" s="6">
        <v>1046</v>
      </c>
      <c r="H9271" s="5">
        <v>7366</v>
      </c>
    </row>
    <row r="9272" spans="2:8" x14ac:dyDescent="0.4">
      <c r="B9272" s="3" t="s">
        <v>7</v>
      </c>
      <c r="C9272" s="3" t="s">
        <v>1393</v>
      </c>
      <c r="D9272" s="4">
        <f>DATE(2007,5,1)</f>
        <v>39203</v>
      </c>
      <c r="E9272" s="5">
        <f t="shared" si="153"/>
        <v>2007</v>
      </c>
      <c r="F9272" s="3" t="s">
        <v>1394</v>
      </c>
      <c r="G9272" s="6">
        <v>1046</v>
      </c>
      <c r="H9272" s="5">
        <v>8482</v>
      </c>
    </row>
    <row r="9273" spans="2:8" x14ac:dyDescent="0.4">
      <c r="B9273" s="3" t="s">
        <v>7</v>
      </c>
      <c r="C9273" s="3" t="s">
        <v>1393</v>
      </c>
      <c r="D9273" s="4">
        <f>DATE(2007,5,9)</f>
        <v>39211</v>
      </c>
      <c r="E9273" s="5">
        <f t="shared" si="153"/>
        <v>2007</v>
      </c>
      <c r="F9273" s="3" t="s">
        <v>1394</v>
      </c>
      <c r="G9273" s="6">
        <v>2092</v>
      </c>
      <c r="H9273" s="5">
        <v>8540</v>
      </c>
    </row>
    <row r="9274" spans="2:8" x14ac:dyDescent="0.4">
      <c r="B9274" s="3" t="s">
        <v>7</v>
      </c>
      <c r="C9274" s="3" t="s">
        <v>1393</v>
      </c>
      <c r="D9274" s="4">
        <f>DATE(2011,4,4)</f>
        <v>40637</v>
      </c>
      <c r="E9274" s="5">
        <f t="shared" si="153"/>
        <v>2011</v>
      </c>
      <c r="F9274" s="3" t="s">
        <v>1394</v>
      </c>
      <c r="G9274" s="6">
        <v>1569</v>
      </c>
      <c r="H9274" s="5">
        <v>15367</v>
      </c>
    </row>
    <row r="9275" spans="2:8" x14ac:dyDescent="0.4">
      <c r="B9275" s="3" t="s">
        <v>7</v>
      </c>
      <c r="C9275" s="3" t="s">
        <v>1393</v>
      </c>
      <c r="D9275" s="4">
        <f>DATE(2012,3,26)</f>
        <v>40994</v>
      </c>
      <c r="E9275" s="5">
        <f t="shared" si="153"/>
        <v>2012</v>
      </c>
      <c r="F9275" s="3" t="s">
        <v>1394</v>
      </c>
      <c r="G9275" s="6">
        <v>1569</v>
      </c>
      <c r="H9275" s="5">
        <v>16827</v>
      </c>
    </row>
    <row r="9276" spans="2:8" x14ac:dyDescent="0.4">
      <c r="B9276" s="3" t="s">
        <v>7</v>
      </c>
      <c r="C9276" s="3" t="s">
        <v>1393</v>
      </c>
      <c r="D9276" s="4">
        <f>DATE(2012,4,4)</f>
        <v>41003</v>
      </c>
      <c r="E9276" s="5">
        <f t="shared" si="153"/>
        <v>2012</v>
      </c>
      <c r="F9276" s="3" t="s">
        <v>1394</v>
      </c>
      <c r="G9276" s="6">
        <v>1569</v>
      </c>
      <c r="H9276" s="5">
        <v>16893</v>
      </c>
    </row>
    <row r="9277" spans="2:8" x14ac:dyDescent="0.4">
      <c r="B9277" s="3" t="s">
        <v>7</v>
      </c>
      <c r="C9277" s="3" t="s">
        <v>1393</v>
      </c>
      <c r="D9277" s="4">
        <f>DATE(2012,11,12)</f>
        <v>41225</v>
      </c>
      <c r="E9277" s="5">
        <f t="shared" si="153"/>
        <v>2012</v>
      </c>
      <c r="F9277" s="3" t="s">
        <v>1394</v>
      </c>
      <c r="G9277" s="6">
        <v>1569</v>
      </c>
      <c r="H9277" s="5">
        <v>17815</v>
      </c>
    </row>
    <row r="9278" spans="2:8" x14ac:dyDescent="0.4">
      <c r="B9278" s="3" t="s">
        <v>7</v>
      </c>
      <c r="C9278" s="3" t="s">
        <v>1393</v>
      </c>
      <c r="D9278" s="4">
        <f>DATE(2012,11,14)</f>
        <v>41227</v>
      </c>
      <c r="E9278" s="5">
        <f t="shared" si="153"/>
        <v>2012</v>
      </c>
      <c r="F9278" s="3" t="s">
        <v>1394</v>
      </c>
      <c r="G9278" s="6">
        <v>3138</v>
      </c>
      <c r="H9278" s="5">
        <v>17833</v>
      </c>
    </row>
    <row r="9279" spans="2:8" x14ac:dyDescent="0.4">
      <c r="B9279" t="s">
        <v>7</v>
      </c>
      <c r="C9279" t="s">
        <v>1395</v>
      </c>
      <c r="D9279" s="7">
        <f>DATE(2007,5,1)</f>
        <v>39203</v>
      </c>
      <c r="E9279" s="8">
        <f t="shared" si="153"/>
        <v>2007</v>
      </c>
      <c r="F9279" t="s">
        <v>1396</v>
      </c>
      <c r="G9279" s="9">
        <v>19392.169999999998</v>
      </c>
      <c r="H9279" s="8">
        <v>5804</v>
      </c>
    </row>
    <row r="9280" spans="2:8" x14ac:dyDescent="0.4">
      <c r="B9280" s="3" t="s">
        <v>7</v>
      </c>
      <c r="C9280" s="3" t="s">
        <v>1395</v>
      </c>
      <c r="D9280" s="4">
        <f>DATE(2010,6,22)</f>
        <v>40351</v>
      </c>
      <c r="E9280" s="5">
        <f t="shared" si="153"/>
        <v>2010</v>
      </c>
      <c r="F9280" s="3" t="s">
        <v>1396</v>
      </c>
      <c r="G9280" s="6">
        <v>134472.60999999999</v>
      </c>
      <c r="H9280" s="5">
        <v>3843</v>
      </c>
    </row>
    <row r="9281" spans="2:8" x14ac:dyDescent="0.4">
      <c r="B9281" s="3" t="s">
        <v>7</v>
      </c>
      <c r="C9281" s="3" t="s">
        <v>1395</v>
      </c>
      <c r="D9281" s="4">
        <f>DATE(2006,7,24)</f>
        <v>38922</v>
      </c>
      <c r="E9281" s="5">
        <f t="shared" si="153"/>
        <v>2006</v>
      </c>
      <c r="F9281" s="3" t="s">
        <v>1396</v>
      </c>
      <c r="G9281" s="6">
        <v>2283.33</v>
      </c>
      <c r="H9281" s="5">
        <v>6966</v>
      </c>
    </row>
    <row r="9282" spans="2:8" x14ac:dyDescent="0.4">
      <c r="B9282" s="3" t="s">
        <v>7</v>
      </c>
      <c r="C9282" s="3" t="s">
        <v>1395</v>
      </c>
      <c r="D9282" s="4">
        <f>DATE(2006,8,8)</f>
        <v>38937</v>
      </c>
      <c r="E9282" s="5">
        <f t="shared" si="153"/>
        <v>2006</v>
      </c>
      <c r="F9282" s="3" t="s">
        <v>1396</v>
      </c>
      <c r="G9282" s="6">
        <v>122.75</v>
      </c>
      <c r="H9282" s="5">
        <v>7050</v>
      </c>
    </row>
    <row r="9283" spans="2:8" x14ac:dyDescent="0.4">
      <c r="B9283" s="3" t="s">
        <v>7</v>
      </c>
      <c r="C9283" s="3" t="s">
        <v>1395</v>
      </c>
      <c r="D9283" s="4">
        <f>DATE(2007,4,4)</f>
        <v>39176</v>
      </c>
      <c r="E9283" s="5">
        <f t="shared" ref="E9283:E9346" si="154">YEAR(D9283)</f>
        <v>2007</v>
      </c>
      <c r="F9283" s="3" t="s">
        <v>1396</v>
      </c>
      <c r="G9283" s="6">
        <v>21887.37</v>
      </c>
      <c r="H9283" s="5">
        <v>8051</v>
      </c>
    </row>
    <row r="9284" spans="2:8" x14ac:dyDescent="0.4">
      <c r="B9284" s="3" t="s">
        <v>7</v>
      </c>
      <c r="C9284" s="3" t="s">
        <v>1395</v>
      </c>
      <c r="D9284" s="4">
        <f>DATE(2008,4,24)</f>
        <v>39562</v>
      </c>
      <c r="E9284" s="5">
        <f t="shared" si="154"/>
        <v>2008</v>
      </c>
      <c r="F9284" s="3" t="s">
        <v>1396</v>
      </c>
      <c r="G9284" s="6">
        <v>4973.6499999999996</v>
      </c>
      <c r="H9284" s="5">
        <v>10507</v>
      </c>
    </row>
    <row r="9285" spans="2:8" x14ac:dyDescent="0.4">
      <c r="B9285" s="3" t="s">
        <v>7</v>
      </c>
      <c r="C9285" s="3" t="s">
        <v>1395</v>
      </c>
      <c r="D9285" s="4">
        <f>DATE(2008,10,1)</f>
        <v>39722</v>
      </c>
      <c r="E9285" s="5">
        <f t="shared" si="154"/>
        <v>2008</v>
      </c>
      <c r="F9285" s="3" t="s">
        <v>1396</v>
      </c>
      <c r="G9285" s="6">
        <v>2736.08</v>
      </c>
      <c r="H9285" s="5">
        <v>10724</v>
      </c>
    </row>
    <row r="9286" spans="2:8" x14ac:dyDescent="0.4">
      <c r="B9286" s="3" t="s">
        <v>7</v>
      </c>
      <c r="C9286" s="3" t="s">
        <v>1395</v>
      </c>
      <c r="D9286" s="4">
        <f>DATE(2009,8,20)</f>
        <v>40045</v>
      </c>
      <c r="E9286" s="5">
        <f t="shared" si="154"/>
        <v>2009</v>
      </c>
      <c r="F9286" s="3" t="s">
        <v>1396</v>
      </c>
      <c r="G9286" s="6">
        <v>3751.56</v>
      </c>
      <c r="H9286" s="5">
        <v>12937</v>
      </c>
    </row>
    <row r="9287" spans="2:8" x14ac:dyDescent="0.4">
      <c r="B9287" s="3" t="s">
        <v>16</v>
      </c>
      <c r="C9287" s="3" t="s">
        <v>1395</v>
      </c>
      <c r="D9287" s="4">
        <f>DATE(2008,6,13)</f>
        <v>39612</v>
      </c>
      <c r="E9287" s="5">
        <f t="shared" si="154"/>
        <v>2008</v>
      </c>
      <c r="F9287" s="3" t="s">
        <v>1396</v>
      </c>
      <c r="G9287" s="6">
        <v>2370.5</v>
      </c>
      <c r="H9287" s="5">
        <v>10850</v>
      </c>
    </row>
    <row r="9288" spans="2:8" x14ac:dyDescent="0.4">
      <c r="B9288" t="s">
        <v>7</v>
      </c>
      <c r="C9288" t="s">
        <v>1397</v>
      </c>
      <c r="D9288" s="7">
        <f>DATE(2008,7,28)</f>
        <v>39657</v>
      </c>
      <c r="E9288" s="8">
        <f t="shared" si="154"/>
        <v>2008</v>
      </c>
      <c r="F9288" t="s">
        <v>1398</v>
      </c>
      <c r="G9288" s="9">
        <v>5146.76</v>
      </c>
      <c r="H9288" s="8">
        <v>7641</v>
      </c>
    </row>
    <row r="9289" spans="2:8" x14ac:dyDescent="0.4">
      <c r="B9289" t="s">
        <v>7</v>
      </c>
      <c r="C9289" t="s">
        <v>1397</v>
      </c>
      <c r="D9289" s="7">
        <f>DATE(2008,9,24)</f>
        <v>39715</v>
      </c>
      <c r="E9289" s="8">
        <f t="shared" si="154"/>
        <v>2008</v>
      </c>
      <c r="F9289" t="s">
        <v>1398</v>
      </c>
      <c r="G9289" s="9">
        <v>9656.18</v>
      </c>
      <c r="H9289" s="8">
        <v>7845</v>
      </c>
    </row>
    <row r="9290" spans="2:8" x14ac:dyDescent="0.4">
      <c r="B9290" s="3" t="s">
        <v>7</v>
      </c>
      <c r="C9290" s="3" t="s">
        <v>1397</v>
      </c>
      <c r="D9290" s="4">
        <f>DATE(2012,5,2)</f>
        <v>41031</v>
      </c>
      <c r="E9290" s="5">
        <f t="shared" si="154"/>
        <v>2012</v>
      </c>
      <c r="F9290" s="3" t="s">
        <v>1398</v>
      </c>
      <c r="G9290" s="6">
        <v>1680.79</v>
      </c>
      <c r="H9290" s="5">
        <v>17071</v>
      </c>
    </row>
    <row r="9291" spans="2:8" x14ac:dyDescent="0.4">
      <c r="B9291" t="s">
        <v>7</v>
      </c>
      <c r="C9291" t="s">
        <v>1399</v>
      </c>
      <c r="D9291" s="7">
        <f>DATE(2017,7,26)</f>
        <v>42942</v>
      </c>
      <c r="E9291" s="8">
        <f t="shared" si="154"/>
        <v>2017</v>
      </c>
      <c r="F9291" t="s">
        <v>1400</v>
      </c>
      <c r="G9291" s="9">
        <v>8760</v>
      </c>
      <c r="H9291" s="8">
        <v>25269</v>
      </c>
    </row>
    <row r="9292" spans="2:8" x14ac:dyDescent="0.4">
      <c r="B9292" t="s">
        <v>7</v>
      </c>
      <c r="C9292" t="s">
        <v>1399</v>
      </c>
      <c r="D9292" s="7">
        <f>DATE(2011,7,7)</f>
        <v>40731</v>
      </c>
      <c r="E9292" s="8">
        <f t="shared" si="154"/>
        <v>2011</v>
      </c>
      <c r="F9292" t="s">
        <v>1400</v>
      </c>
      <c r="G9292" s="9">
        <v>7475</v>
      </c>
      <c r="H9292" s="8">
        <v>10833</v>
      </c>
    </row>
    <row r="9293" spans="2:8" x14ac:dyDescent="0.4">
      <c r="B9293" t="s">
        <v>7</v>
      </c>
      <c r="C9293" t="s">
        <v>1399</v>
      </c>
      <c r="D9293" s="7">
        <f>DATE(2012,6,12)</f>
        <v>41072</v>
      </c>
      <c r="E9293" s="8">
        <f t="shared" si="154"/>
        <v>2012</v>
      </c>
      <c r="F9293" t="s">
        <v>1400</v>
      </c>
      <c r="G9293" s="9">
        <v>7951</v>
      </c>
      <c r="H9293" s="8">
        <v>11666</v>
      </c>
    </row>
    <row r="9294" spans="2:8" x14ac:dyDescent="0.4">
      <c r="B9294" t="s">
        <v>7</v>
      </c>
      <c r="C9294" t="s">
        <v>1401</v>
      </c>
      <c r="D9294" s="7">
        <f>DATE(2019,5,16)</f>
        <v>43601</v>
      </c>
      <c r="E9294" s="8">
        <f t="shared" si="154"/>
        <v>2019</v>
      </c>
      <c r="F9294" t="s">
        <v>1402</v>
      </c>
      <c r="G9294" s="9">
        <v>20078.5</v>
      </c>
      <c r="H9294" s="8">
        <v>28760</v>
      </c>
    </row>
    <row r="9295" spans="2:8" x14ac:dyDescent="0.4">
      <c r="B9295" t="s">
        <v>7</v>
      </c>
      <c r="C9295" t="s">
        <v>1401</v>
      </c>
      <c r="D9295" s="7">
        <f>DATE(2015,9,1)</f>
        <v>42248</v>
      </c>
      <c r="E9295" s="8">
        <f t="shared" si="154"/>
        <v>2015</v>
      </c>
      <c r="F9295" t="s">
        <v>1402</v>
      </c>
      <c r="G9295" s="9">
        <v>3800</v>
      </c>
      <c r="H9295" s="8">
        <v>20652</v>
      </c>
    </row>
    <row r="9296" spans="2:8" x14ac:dyDescent="0.4">
      <c r="B9296" t="s">
        <v>7</v>
      </c>
      <c r="C9296" t="s">
        <v>1401</v>
      </c>
      <c r="D9296" s="7">
        <f>DATE(2015,9,1)</f>
        <v>42248</v>
      </c>
      <c r="E9296" s="8">
        <f t="shared" si="154"/>
        <v>2015</v>
      </c>
      <c r="F9296" t="s">
        <v>1402</v>
      </c>
      <c r="G9296" s="9">
        <v>1822.5</v>
      </c>
      <c r="H9296" s="8">
        <v>20738</v>
      </c>
    </row>
    <row r="9297" spans="2:8" x14ac:dyDescent="0.4">
      <c r="B9297" t="s">
        <v>7</v>
      </c>
      <c r="C9297" t="s">
        <v>1401</v>
      </c>
      <c r="D9297" s="7">
        <f>DATE(2015,9,1)</f>
        <v>42248</v>
      </c>
      <c r="E9297" s="8">
        <f t="shared" si="154"/>
        <v>2015</v>
      </c>
      <c r="F9297" t="s">
        <v>1402</v>
      </c>
      <c r="G9297" s="9">
        <v>1656</v>
      </c>
      <c r="H9297" s="8">
        <v>20592</v>
      </c>
    </row>
    <row r="9298" spans="2:8" x14ac:dyDescent="0.4">
      <c r="B9298" t="s">
        <v>7</v>
      </c>
      <c r="C9298" t="s">
        <v>1401</v>
      </c>
      <c r="D9298" s="7">
        <f>DATE(2015,9,1)</f>
        <v>42248</v>
      </c>
      <c r="E9298" s="8">
        <f t="shared" si="154"/>
        <v>2015</v>
      </c>
      <c r="F9298" t="s">
        <v>1402</v>
      </c>
      <c r="G9298" s="9">
        <v>2172</v>
      </c>
      <c r="H9298" s="8">
        <v>20593</v>
      </c>
    </row>
    <row r="9299" spans="2:8" x14ac:dyDescent="0.4">
      <c r="B9299" t="s">
        <v>7</v>
      </c>
      <c r="C9299" t="s">
        <v>1401</v>
      </c>
      <c r="D9299" s="7">
        <f>DATE(2015,9,1)</f>
        <v>42248</v>
      </c>
      <c r="E9299" s="8">
        <f t="shared" si="154"/>
        <v>2015</v>
      </c>
      <c r="F9299" t="s">
        <v>1402</v>
      </c>
      <c r="G9299" s="9">
        <v>3800</v>
      </c>
      <c r="H9299" s="8">
        <v>20590</v>
      </c>
    </row>
    <row r="9300" spans="2:8" x14ac:dyDescent="0.4">
      <c r="B9300" t="s">
        <v>7</v>
      </c>
      <c r="C9300" t="s">
        <v>1401</v>
      </c>
      <c r="D9300" s="7">
        <f>DATE(2016,4,1)</f>
        <v>42461</v>
      </c>
      <c r="E9300" s="8">
        <f t="shared" si="154"/>
        <v>2016</v>
      </c>
      <c r="F9300" t="s">
        <v>1402</v>
      </c>
      <c r="G9300" s="9">
        <v>5131.28</v>
      </c>
      <c r="H9300" s="8">
        <v>22205</v>
      </c>
    </row>
    <row r="9301" spans="2:8" x14ac:dyDescent="0.4">
      <c r="B9301" t="s">
        <v>7</v>
      </c>
      <c r="C9301" t="s">
        <v>1401</v>
      </c>
      <c r="D9301" s="7">
        <f>DATE(2016,4,1)</f>
        <v>42461</v>
      </c>
      <c r="E9301" s="8">
        <f t="shared" si="154"/>
        <v>2016</v>
      </c>
      <c r="F9301" t="s">
        <v>1402</v>
      </c>
      <c r="G9301" s="9">
        <v>5245.23</v>
      </c>
      <c r="H9301" s="8">
        <v>22206</v>
      </c>
    </row>
    <row r="9302" spans="2:8" x14ac:dyDescent="0.4">
      <c r="B9302" t="s">
        <v>7</v>
      </c>
      <c r="C9302" t="s">
        <v>1401</v>
      </c>
      <c r="D9302" s="7">
        <f>DATE(2016,3,29)</f>
        <v>42458</v>
      </c>
      <c r="E9302" s="8">
        <f t="shared" si="154"/>
        <v>2016</v>
      </c>
      <c r="F9302" t="s">
        <v>1402</v>
      </c>
      <c r="G9302" s="9">
        <v>5400</v>
      </c>
      <c r="H9302" s="8">
        <v>22380</v>
      </c>
    </row>
    <row r="9303" spans="2:8" x14ac:dyDescent="0.4">
      <c r="B9303" t="s">
        <v>7</v>
      </c>
      <c r="C9303" t="s">
        <v>1401</v>
      </c>
      <c r="D9303" s="7">
        <f>DATE(2016,4,21)</f>
        <v>42481</v>
      </c>
      <c r="E9303" s="8">
        <f t="shared" si="154"/>
        <v>2016</v>
      </c>
      <c r="F9303" t="s">
        <v>1402</v>
      </c>
      <c r="G9303" s="9">
        <v>6551.78</v>
      </c>
      <c r="H9303" s="8">
        <v>22661</v>
      </c>
    </row>
    <row r="9304" spans="2:8" x14ac:dyDescent="0.4">
      <c r="B9304" t="s">
        <v>7</v>
      </c>
      <c r="C9304" t="s">
        <v>1401</v>
      </c>
      <c r="D9304" s="7">
        <f>DATE(2016,9,15)</f>
        <v>42628</v>
      </c>
      <c r="E9304" s="8">
        <f t="shared" si="154"/>
        <v>2016</v>
      </c>
      <c r="F9304" t="s">
        <v>1402</v>
      </c>
      <c r="G9304" s="9">
        <v>2907</v>
      </c>
      <c r="H9304" s="8">
        <v>23227</v>
      </c>
    </row>
    <row r="9305" spans="2:8" x14ac:dyDescent="0.4">
      <c r="B9305" t="s">
        <v>7</v>
      </c>
      <c r="C9305" t="s">
        <v>1401</v>
      </c>
      <c r="D9305" s="7">
        <f>DATE(2017,5,31)</f>
        <v>42886</v>
      </c>
      <c r="E9305" s="8">
        <f t="shared" si="154"/>
        <v>2017</v>
      </c>
      <c r="F9305" t="s">
        <v>1402</v>
      </c>
      <c r="G9305" s="9">
        <v>15302.93</v>
      </c>
      <c r="H9305" s="8">
        <v>24784</v>
      </c>
    </row>
    <row r="9306" spans="2:8" x14ac:dyDescent="0.4">
      <c r="B9306" t="s">
        <v>7</v>
      </c>
      <c r="C9306" t="s">
        <v>1401</v>
      </c>
      <c r="D9306" s="7">
        <f>DATE(2018,5,10)</f>
        <v>43230</v>
      </c>
      <c r="E9306" s="8">
        <f t="shared" si="154"/>
        <v>2018</v>
      </c>
      <c r="F9306" t="s">
        <v>1402</v>
      </c>
      <c r="G9306" s="9">
        <v>6989.44</v>
      </c>
      <c r="H9306" s="8">
        <v>26866</v>
      </c>
    </row>
    <row r="9307" spans="2:8" x14ac:dyDescent="0.4">
      <c r="B9307" t="s">
        <v>7</v>
      </c>
      <c r="C9307" t="s">
        <v>1401</v>
      </c>
      <c r="D9307" s="7">
        <f>DATE(2016,3,29)</f>
        <v>42458</v>
      </c>
      <c r="E9307" s="8">
        <f t="shared" si="154"/>
        <v>2016</v>
      </c>
      <c r="F9307" t="s">
        <v>1402</v>
      </c>
      <c r="G9307" s="9">
        <v>3747.42</v>
      </c>
      <c r="H9307" s="8">
        <v>22495</v>
      </c>
    </row>
    <row r="9308" spans="2:8" x14ac:dyDescent="0.4">
      <c r="B9308" t="s">
        <v>7</v>
      </c>
      <c r="C9308" t="s">
        <v>1401</v>
      </c>
      <c r="D9308" s="7">
        <f>DATE(2018,6,27)</f>
        <v>43278</v>
      </c>
      <c r="E9308" s="8">
        <f t="shared" si="154"/>
        <v>2018</v>
      </c>
      <c r="F9308" t="s">
        <v>1402</v>
      </c>
      <c r="G9308" s="9">
        <v>2326.35</v>
      </c>
      <c r="H9308" s="8">
        <v>27234</v>
      </c>
    </row>
    <row r="9309" spans="2:8" x14ac:dyDescent="0.4">
      <c r="B9309" t="s">
        <v>7</v>
      </c>
      <c r="C9309" t="s">
        <v>1401</v>
      </c>
      <c r="D9309" s="7">
        <f>DATE(2011,12,21)</f>
        <v>40898</v>
      </c>
      <c r="E9309" s="8">
        <f t="shared" si="154"/>
        <v>2011</v>
      </c>
      <c r="F9309" t="s">
        <v>1402</v>
      </c>
      <c r="G9309" s="9">
        <v>7660.47</v>
      </c>
      <c r="H9309" s="8">
        <v>11187</v>
      </c>
    </row>
    <row r="9310" spans="2:8" x14ac:dyDescent="0.4">
      <c r="B9310" t="s">
        <v>7</v>
      </c>
      <c r="C9310" t="s">
        <v>1401</v>
      </c>
      <c r="D9310" s="7">
        <f>DATE(2004,4,30)</f>
        <v>38107</v>
      </c>
      <c r="E9310" s="8">
        <f t="shared" si="154"/>
        <v>2004</v>
      </c>
      <c r="F9310" t="s">
        <v>1402</v>
      </c>
      <c r="G9310" s="9">
        <v>3183.8</v>
      </c>
      <c r="H9310" s="8">
        <v>1696</v>
      </c>
    </row>
    <row r="9311" spans="2:8" x14ac:dyDescent="0.4">
      <c r="B9311" t="s">
        <v>7</v>
      </c>
      <c r="C9311" t="s">
        <v>1401</v>
      </c>
      <c r="D9311" s="7">
        <f>DATE(2004,6,7)</f>
        <v>38145</v>
      </c>
      <c r="E9311" s="8">
        <f t="shared" si="154"/>
        <v>2004</v>
      </c>
      <c r="F9311" t="s">
        <v>1402</v>
      </c>
      <c r="G9311" s="9">
        <v>5005.5</v>
      </c>
      <c r="H9311" s="8">
        <v>1855</v>
      </c>
    </row>
    <row r="9312" spans="2:8" x14ac:dyDescent="0.4">
      <c r="B9312" t="s">
        <v>7</v>
      </c>
      <c r="C9312" t="s">
        <v>1401</v>
      </c>
      <c r="D9312" s="7">
        <f>DATE(2004,8,23)</f>
        <v>38222</v>
      </c>
      <c r="E9312" s="8">
        <f t="shared" si="154"/>
        <v>2004</v>
      </c>
      <c r="F9312" t="s">
        <v>1402</v>
      </c>
      <c r="G9312" s="9">
        <v>1871.45</v>
      </c>
      <c r="H9312" s="8">
        <v>2096</v>
      </c>
    </row>
    <row r="9313" spans="2:8" x14ac:dyDescent="0.4">
      <c r="B9313" t="s">
        <v>7</v>
      </c>
      <c r="C9313" t="s">
        <v>1401</v>
      </c>
      <c r="D9313" s="7">
        <f>DATE(2004,9,18)</f>
        <v>38248</v>
      </c>
      <c r="E9313" s="8">
        <f t="shared" si="154"/>
        <v>2004</v>
      </c>
      <c r="F9313" t="s">
        <v>1402</v>
      </c>
      <c r="G9313" s="9">
        <v>2857.5</v>
      </c>
      <c r="H9313" s="8">
        <v>2221</v>
      </c>
    </row>
    <row r="9314" spans="2:8" x14ac:dyDescent="0.4">
      <c r="B9314" t="s">
        <v>7</v>
      </c>
      <c r="C9314" t="s">
        <v>1401</v>
      </c>
      <c r="D9314" s="7">
        <f>DATE(2004,10,17)</f>
        <v>38277</v>
      </c>
      <c r="E9314" s="8">
        <f t="shared" si="154"/>
        <v>2004</v>
      </c>
      <c r="F9314" t="s">
        <v>1402</v>
      </c>
      <c r="G9314" s="9">
        <v>2179.77</v>
      </c>
      <c r="H9314" s="8">
        <v>2299</v>
      </c>
    </row>
    <row r="9315" spans="2:8" x14ac:dyDescent="0.4">
      <c r="B9315" t="s">
        <v>7</v>
      </c>
      <c r="C9315" t="s">
        <v>1401</v>
      </c>
      <c r="D9315" s="7">
        <f>DATE(2004,12,16)</f>
        <v>38337</v>
      </c>
      <c r="E9315" s="8">
        <f t="shared" si="154"/>
        <v>2004</v>
      </c>
      <c r="F9315" t="s">
        <v>1402</v>
      </c>
      <c r="G9315" s="9">
        <v>3538.83</v>
      </c>
      <c r="H9315" s="8">
        <v>2444</v>
      </c>
    </row>
    <row r="9316" spans="2:8" x14ac:dyDescent="0.4">
      <c r="B9316" t="s">
        <v>7</v>
      </c>
      <c r="C9316" t="s">
        <v>1401</v>
      </c>
      <c r="D9316" s="7">
        <f>DATE(2005,1,31)</f>
        <v>38383</v>
      </c>
      <c r="E9316" s="8">
        <f t="shared" si="154"/>
        <v>2005</v>
      </c>
      <c r="F9316" t="s">
        <v>1402</v>
      </c>
      <c r="G9316" s="9">
        <v>13515.35</v>
      </c>
      <c r="H9316" s="8">
        <v>2653</v>
      </c>
    </row>
    <row r="9317" spans="2:8" x14ac:dyDescent="0.4">
      <c r="B9317" t="s">
        <v>7</v>
      </c>
      <c r="C9317" t="s">
        <v>1401</v>
      </c>
      <c r="D9317" s="7">
        <f>DATE(2005,2,6)</f>
        <v>38389</v>
      </c>
      <c r="E9317" s="8">
        <f t="shared" si="154"/>
        <v>2005</v>
      </c>
      <c r="F9317" t="s">
        <v>1402</v>
      </c>
      <c r="G9317" s="9">
        <v>20631.580000000002</v>
      </c>
      <c r="H9317" s="8">
        <v>2532</v>
      </c>
    </row>
    <row r="9318" spans="2:8" x14ac:dyDescent="0.4">
      <c r="B9318" t="s">
        <v>7</v>
      </c>
      <c r="C9318" t="s">
        <v>1401</v>
      </c>
      <c r="D9318" s="7">
        <f>DATE(2005,2,10)</f>
        <v>38393</v>
      </c>
      <c r="E9318" s="8">
        <f t="shared" si="154"/>
        <v>2005</v>
      </c>
      <c r="F9318" t="s">
        <v>1402</v>
      </c>
      <c r="G9318" s="9">
        <v>15228.04</v>
      </c>
      <c r="H9318" s="8">
        <v>2533</v>
      </c>
    </row>
    <row r="9319" spans="2:8" x14ac:dyDescent="0.4">
      <c r="B9319" t="s">
        <v>7</v>
      </c>
      <c r="C9319" t="s">
        <v>1401</v>
      </c>
      <c r="D9319" s="7">
        <f>DATE(2005,3,29)</f>
        <v>38440</v>
      </c>
      <c r="E9319" s="8">
        <f t="shared" si="154"/>
        <v>2005</v>
      </c>
      <c r="F9319" t="s">
        <v>1402</v>
      </c>
      <c r="G9319" s="9">
        <v>2621.9</v>
      </c>
      <c r="H9319" s="8">
        <v>2995</v>
      </c>
    </row>
    <row r="9320" spans="2:8" x14ac:dyDescent="0.4">
      <c r="B9320" t="s">
        <v>7</v>
      </c>
      <c r="C9320" t="s">
        <v>1401</v>
      </c>
      <c r="D9320" s="7">
        <f>DATE(2005,3,30)</f>
        <v>38441</v>
      </c>
      <c r="E9320" s="8">
        <f t="shared" si="154"/>
        <v>2005</v>
      </c>
      <c r="F9320" t="s">
        <v>1402</v>
      </c>
      <c r="G9320" s="9">
        <v>17532.61</v>
      </c>
      <c r="H9320" s="8">
        <v>2980</v>
      </c>
    </row>
    <row r="9321" spans="2:8" x14ac:dyDescent="0.4">
      <c r="B9321" t="s">
        <v>7</v>
      </c>
      <c r="C9321" t="s">
        <v>1401</v>
      </c>
      <c r="D9321" s="7">
        <f>DATE(2005,4,4)</f>
        <v>38446</v>
      </c>
      <c r="E9321" s="8">
        <f t="shared" si="154"/>
        <v>2005</v>
      </c>
      <c r="F9321" t="s">
        <v>1402</v>
      </c>
      <c r="G9321" s="9">
        <v>9350.42</v>
      </c>
      <c r="H9321" s="8">
        <v>2985</v>
      </c>
    </row>
    <row r="9322" spans="2:8" x14ac:dyDescent="0.4">
      <c r="B9322" t="s">
        <v>7</v>
      </c>
      <c r="C9322" t="s">
        <v>1401</v>
      </c>
      <c r="D9322" s="7">
        <f>DATE(2005,4,11)</f>
        <v>38453</v>
      </c>
      <c r="E9322" s="8">
        <f t="shared" si="154"/>
        <v>2005</v>
      </c>
      <c r="F9322" t="s">
        <v>1402</v>
      </c>
      <c r="G9322" s="9">
        <v>5276.72</v>
      </c>
      <c r="H9322" s="8">
        <v>3027</v>
      </c>
    </row>
    <row r="9323" spans="2:8" x14ac:dyDescent="0.4">
      <c r="B9323" t="s">
        <v>7</v>
      </c>
      <c r="C9323" t="s">
        <v>1401</v>
      </c>
      <c r="D9323" s="7">
        <f>DATE(2005,5,28)</f>
        <v>38500</v>
      </c>
      <c r="E9323" s="8">
        <f t="shared" si="154"/>
        <v>2005</v>
      </c>
      <c r="F9323" t="s">
        <v>1402</v>
      </c>
      <c r="G9323" s="9">
        <v>42747</v>
      </c>
      <c r="H9323" s="8">
        <v>3180</v>
      </c>
    </row>
    <row r="9324" spans="2:8" x14ac:dyDescent="0.4">
      <c r="B9324" t="s">
        <v>7</v>
      </c>
      <c r="C9324" t="s">
        <v>1401</v>
      </c>
      <c r="D9324" s="7">
        <f>DATE(2005,7,21)</f>
        <v>38554</v>
      </c>
      <c r="E9324" s="8">
        <f t="shared" si="154"/>
        <v>2005</v>
      </c>
      <c r="F9324" t="s">
        <v>1402</v>
      </c>
      <c r="G9324" s="9">
        <v>5091.3900000000003</v>
      </c>
      <c r="H9324" s="8">
        <v>3387</v>
      </c>
    </row>
    <row r="9325" spans="2:8" x14ac:dyDescent="0.4">
      <c r="B9325" t="s">
        <v>7</v>
      </c>
      <c r="C9325" t="s">
        <v>1401</v>
      </c>
      <c r="D9325" s="7">
        <f>DATE(2005,7,29)</f>
        <v>38562</v>
      </c>
      <c r="E9325" s="8">
        <f t="shared" si="154"/>
        <v>2005</v>
      </c>
      <c r="F9325" t="s">
        <v>1402</v>
      </c>
      <c r="G9325" s="9">
        <v>7092.04</v>
      </c>
      <c r="H9325" s="8">
        <v>3418</v>
      </c>
    </row>
    <row r="9326" spans="2:8" x14ac:dyDescent="0.4">
      <c r="B9326" t="s">
        <v>7</v>
      </c>
      <c r="C9326" t="s">
        <v>1401</v>
      </c>
      <c r="D9326" s="7">
        <f>DATE(2005,8,20)</f>
        <v>38584</v>
      </c>
      <c r="E9326" s="8">
        <f t="shared" si="154"/>
        <v>2005</v>
      </c>
      <c r="F9326" t="s">
        <v>1402</v>
      </c>
      <c r="G9326" s="9">
        <v>2775.71</v>
      </c>
      <c r="H9326" s="8">
        <v>3508</v>
      </c>
    </row>
    <row r="9327" spans="2:8" x14ac:dyDescent="0.4">
      <c r="B9327" t="s">
        <v>7</v>
      </c>
      <c r="C9327" t="s">
        <v>1401</v>
      </c>
      <c r="D9327" s="7">
        <f>DATE(2005,8,16)</f>
        <v>38580</v>
      </c>
      <c r="E9327" s="8">
        <f t="shared" si="154"/>
        <v>2005</v>
      </c>
      <c r="F9327" t="s">
        <v>1402</v>
      </c>
      <c r="G9327" s="9">
        <v>2584.61</v>
      </c>
      <c r="H9327" s="8">
        <v>3487</v>
      </c>
    </row>
    <row r="9328" spans="2:8" x14ac:dyDescent="0.4">
      <c r="B9328" t="s">
        <v>7</v>
      </c>
      <c r="C9328" t="s">
        <v>1401</v>
      </c>
      <c r="D9328" s="7">
        <f>DATE(2005,9,5)</f>
        <v>38600</v>
      </c>
      <c r="E9328" s="8">
        <f t="shared" si="154"/>
        <v>2005</v>
      </c>
      <c r="F9328" t="s">
        <v>1402</v>
      </c>
      <c r="G9328" s="9">
        <v>21800</v>
      </c>
      <c r="H9328" s="8">
        <v>3550</v>
      </c>
    </row>
    <row r="9329" spans="2:8" x14ac:dyDescent="0.4">
      <c r="B9329" t="s">
        <v>7</v>
      </c>
      <c r="C9329" t="s">
        <v>1401</v>
      </c>
      <c r="D9329" s="7">
        <f>DATE(2005,10,9)</f>
        <v>38634</v>
      </c>
      <c r="E9329" s="8">
        <f t="shared" si="154"/>
        <v>2005</v>
      </c>
      <c r="F9329" t="s">
        <v>1402</v>
      </c>
      <c r="G9329" s="9">
        <v>3531.91</v>
      </c>
      <c r="H9329" s="8">
        <v>3666</v>
      </c>
    </row>
    <row r="9330" spans="2:8" x14ac:dyDescent="0.4">
      <c r="B9330" t="s">
        <v>7</v>
      </c>
      <c r="C9330" t="s">
        <v>1401</v>
      </c>
      <c r="D9330" s="7">
        <f>DATE(2005,12,10)</f>
        <v>38696</v>
      </c>
      <c r="E9330" s="8">
        <f t="shared" si="154"/>
        <v>2005</v>
      </c>
      <c r="F9330" t="s">
        <v>1402</v>
      </c>
      <c r="G9330" s="9">
        <v>3308.85</v>
      </c>
      <c r="H9330" s="8">
        <v>3840</v>
      </c>
    </row>
    <row r="9331" spans="2:8" x14ac:dyDescent="0.4">
      <c r="B9331" t="s">
        <v>7</v>
      </c>
      <c r="C9331" t="s">
        <v>1401</v>
      </c>
      <c r="D9331" s="7">
        <f>DATE(2006,1,15)</f>
        <v>38732</v>
      </c>
      <c r="E9331" s="8">
        <f t="shared" si="154"/>
        <v>2006</v>
      </c>
      <c r="F9331" t="s">
        <v>1402</v>
      </c>
      <c r="G9331" s="9">
        <v>12900</v>
      </c>
      <c r="H9331" s="8">
        <v>3685</v>
      </c>
    </row>
    <row r="9332" spans="2:8" x14ac:dyDescent="0.4">
      <c r="B9332" t="s">
        <v>7</v>
      </c>
      <c r="C9332" t="s">
        <v>1401</v>
      </c>
      <c r="D9332" s="7">
        <f>DATE(2006,1,15)</f>
        <v>38732</v>
      </c>
      <c r="E9332" s="8">
        <f t="shared" si="154"/>
        <v>2006</v>
      </c>
      <c r="F9332" t="s">
        <v>1402</v>
      </c>
      <c r="G9332" s="9">
        <v>4827</v>
      </c>
      <c r="H9332" s="8">
        <v>3692</v>
      </c>
    </row>
    <row r="9333" spans="2:8" x14ac:dyDescent="0.4">
      <c r="B9333" t="s">
        <v>7</v>
      </c>
      <c r="C9333" t="s">
        <v>1401</v>
      </c>
      <c r="D9333" s="7">
        <f>DATE(2006,1,28)</f>
        <v>38745</v>
      </c>
      <c r="E9333" s="8">
        <f t="shared" si="154"/>
        <v>2006</v>
      </c>
      <c r="F9333" t="s">
        <v>1402</v>
      </c>
      <c r="G9333" s="9">
        <v>5294.57</v>
      </c>
      <c r="H9333" s="8">
        <v>3984</v>
      </c>
    </row>
    <row r="9334" spans="2:8" x14ac:dyDescent="0.4">
      <c r="B9334" t="s">
        <v>7</v>
      </c>
      <c r="C9334" t="s">
        <v>1401</v>
      </c>
      <c r="D9334" s="7">
        <f>DATE(2006,1,29)</f>
        <v>38746</v>
      </c>
      <c r="E9334" s="8">
        <f t="shared" si="154"/>
        <v>2006</v>
      </c>
      <c r="F9334" t="s">
        <v>1402</v>
      </c>
      <c r="G9334" s="9">
        <v>9832</v>
      </c>
      <c r="H9334" s="8">
        <v>4003</v>
      </c>
    </row>
    <row r="9335" spans="2:8" x14ac:dyDescent="0.4">
      <c r="B9335" t="s">
        <v>7</v>
      </c>
      <c r="C9335" t="s">
        <v>1401</v>
      </c>
      <c r="D9335" s="7">
        <f>DATE(2006,1,31)</f>
        <v>38748</v>
      </c>
      <c r="E9335" s="8">
        <f t="shared" si="154"/>
        <v>2006</v>
      </c>
      <c r="F9335" t="s">
        <v>1402</v>
      </c>
      <c r="G9335" s="9">
        <v>3524.25</v>
      </c>
      <c r="H9335" s="8">
        <v>4042</v>
      </c>
    </row>
    <row r="9336" spans="2:8" x14ac:dyDescent="0.4">
      <c r="B9336" t="s">
        <v>7</v>
      </c>
      <c r="C9336" t="s">
        <v>1401</v>
      </c>
      <c r="D9336" s="7">
        <f>DATE(2006,2,2)</f>
        <v>38750</v>
      </c>
      <c r="E9336" s="8">
        <f t="shared" si="154"/>
        <v>2006</v>
      </c>
      <c r="F9336" t="s">
        <v>1402</v>
      </c>
      <c r="G9336" s="9">
        <v>2702.07</v>
      </c>
      <c r="H9336" s="8">
        <v>4041</v>
      </c>
    </row>
    <row r="9337" spans="2:8" x14ac:dyDescent="0.4">
      <c r="B9337" t="s">
        <v>7</v>
      </c>
      <c r="C9337" t="s">
        <v>1401</v>
      </c>
      <c r="D9337" s="7">
        <f>DATE(2006,3,6)</f>
        <v>38782</v>
      </c>
      <c r="E9337" s="8">
        <f t="shared" si="154"/>
        <v>2006</v>
      </c>
      <c r="F9337" t="s">
        <v>1402</v>
      </c>
      <c r="G9337" s="9">
        <v>2453.4299999999998</v>
      </c>
      <c r="H9337" s="8">
        <v>4274</v>
      </c>
    </row>
    <row r="9338" spans="2:8" x14ac:dyDescent="0.4">
      <c r="B9338" t="s">
        <v>7</v>
      </c>
      <c r="C9338" t="s">
        <v>1401</v>
      </c>
      <c r="D9338" s="7">
        <f>DATE(2006,3,10)</f>
        <v>38786</v>
      </c>
      <c r="E9338" s="8">
        <f t="shared" si="154"/>
        <v>2006</v>
      </c>
      <c r="F9338" t="s">
        <v>1402</v>
      </c>
      <c r="G9338" s="9">
        <v>2616.5</v>
      </c>
      <c r="H9338" s="8">
        <v>4294</v>
      </c>
    </row>
    <row r="9339" spans="2:8" x14ac:dyDescent="0.4">
      <c r="B9339" t="s">
        <v>7</v>
      </c>
      <c r="C9339" t="s">
        <v>1401</v>
      </c>
      <c r="D9339" s="7">
        <f>DATE(2006,5,31)</f>
        <v>38868</v>
      </c>
      <c r="E9339" s="8">
        <f t="shared" si="154"/>
        <v>2006</v>
      </c>
      <c r="F9339" t="s">
        <v>1402</v>
      </c>
      <c r="G9339" s="9">
        <v>2762.49</v>
      </c>
      <c r="H9339" s="8">
        <v>4660</v>
      </c>
    </row>
    <row r="9340" spans="2:8" x14ac:dyDescent="0.4">
      <c r="B9340" t="s">
        <v>7</v>
      </c>
      <c r="C9340" t="s">
        <v>1401</v>
      </c>
      <c r="D9340" s="7">
        <f>DATE(2006,7,24)</f>
        <v>38922</v>
      </c>
      <c r="E9340" s="8">
        <f t="shared" si="154"/>
        <v>2006</v>
      </c>
      <c r="F9340" t="s">
        <v>1402</v>
      </c>
      <c r="G9340" s="9">
        <v>2895.92</v>
      </c>
      <c r="H9340" s="8">
        <v>4811</v>
      </c>
    </row>
    <row r="9341" spans="2:8" x14ac:dyDescent="0.4">
      <c r="B9341" t="s">
        <v>7</v>
      </c>
      <c r="C9341" t="s">
        <v>1401</v>
      </c>
      <c r="D9341" s="7">
        <f>DATE(2006,8,12)</f>
        <v>38941</v>
      </c>
      <c r="E9341" s="8">
        <f t="shared" si="154"/>
        <v>2006</v>
      </c>
      <c r="F9341" t="s">
        <v>1402</v>
      </c>
      <c r="G9341" s="9">
        <v>2679.8</v>
      </c>
      <c r="H9341" s="8">
        <v>4890</v>
      </c>
    </row>
    <row r="9342" spans="2:8" x14ac:dyDescent="0.4">
      <c r="B9342" t="s">
        <v>7</v>
      </c>
      <c r="C9342" t="s">
        <v>1401</v>
      </c>
      <c r="D9342" s="7">
        <f>DATE(2006,8,3)</f>
        <v>38932</v>
      </c>
      <c r="E9342" s="8">
        <f t="shared" si="154"/>
        <v>2006</v>
      </c>
      <c r="F9342" t="s">
        <v>1402</v>
      </c>
      <c r="G9342" s="9">
        <v>2876.35</v>
      </c>
      <c r="H9342" s="8">
        <v>4848</v>
      </c>
    </row>
    <row r="9343" spans="2:8" x14ac:dyDescent="0.4">
      <c r="B9343" t="s">
        <v>7</v>
      </c>
      <c r="C9343" t="s">
        <v>1401</v>
      </c>
      <c r="D9343" s="7">
        <f>DATE(2006,9,27)</f>
        <v>38987</v>
      </c>
      <c r="E9343" s="8">
        <f t="shared" si="154"/>
        <v>2006</v>
      </c>
      <c r="F9343" t="s">
        <v>1402</v>
      </c>
      <c r="G9343" s="9">
        <v>2726.91</v>
      </c>
      <c r="H9343" s="8">
        <v>5023</v>
      </c>
    </row>
    <row r="9344" spans="2:8" x14ac:dyDescent="0.4">
      <c r="B9344" t="s">
        <v>7</v>
      </c>
      <c r="C9344" t="s">
        <v>1401</v>
      </c>
      <c r="D9344" s="7">
        <f>DATE(2006,10,15)</f>
        <v>39005</v>
      </c>
      <c r="E9344" s="8">
        <f t="shared" si="154"/>
        <v>2006</v>
      </c>
      <c r="F9344" t="s">
        <v>1402</v>
      </c>
      <c r="G9344" s="9">
        <v>3303.42</v>
      </c>
      <c r="H9344" s="8">
        <v>5087</v>
      </c>
    </row>
    <row r="9345" spans="2:8" x14ac:dyDescent="0.4">
      <c r="B9345" t="s">
        <v>7</v>
      </c>
      <c r="C9345" t="s">
        <v>1401</v>
      </c>
      <c r="D9345" s="7">
        <f>DATE(2006,11,1)</f>
        <v>39022</v>
      </c>
      <c r="E9345" s="8">
        <f t="shared" si="154"/>
        <v>2006</v>
      </c>
      <c r="F9345" t="s">
        <v>1402</v>
      </c>
      <c r="G9345" s="9">
        <v>2645</v>
      </c>
      <c r="H9345" s="8">
        <v>5108</v>
      </c>
    </row>
    <row r="9346" spans="2:8" x14ac:dyDescent="0.4">
      <c r="B9346" t="s">
        <v>7</v>
      </c>
      <c r="C9346" t="s">
        <v>1401</v>
      </c>
      <c r="D9346" s="7">
        <f>DATE(2007,1,8)</f>
        <v>39090</v>
      </c>
      <c r="E9346" s="8">
        <f t="shared" si="154"/>
        <v>2007</v>
      </c>
      <c r="F9346" t="s">
        <v>1402</v>
      </c>
      <c r="G9346" s="9">
        <v>1880.55</v>
      </c>
      <c r="H9346" s="8">
        <v>5299</v>
      </c>
    </row>
    <row r="9347" spans="2:8" x14ac:dyDescent="0.4">
      <c r="B9347" t="s">
        <v>7</v>
      </c>
      <c r="C9347" t="s">
        <v>1401</v>
      </c>
      <c r="D9347" s="7">
        <f>DATE(2007,1,6)</f>
        <v>39088</v>
      </c>
      <c r="E9347" s="8">
        <f t="shared" ref="E9347:E9410" si="155">YEAR(D9347)</f>
        <v>2007</v>
      </c>
      <c r="F9347" t="s">
        <v>1402</v>
      </c>
      <c r="G9347" s="9">
        <v>22500</v>
      </c>
      <c r="H9347" s="8">
        <v>4877</v>
      </c>
    </row>
    <row r="9348" spans="2:8" x14ac:dyDescent="0.4">
      <c r="B9348" t="s">
        <v>7</v>
      </c>
      <c r="C9348" t="s">
        <v>1401</v>
      </c>
      <c r="D9348" s="7">
        <f>DATE(2007,1,8)</f>
        <v>39090</v>
      </c>
      <c r="E9348" s="8">
        <f t="shared" si="155"/>
        <v>2007</v>
      </c>
      <c r="F9348" t="s">
        <v>1402</v>
      </c>
      <c r="G9348" s="9">
        <v>4000</v>
      </c>
      <c r="H9348" s="8">
        <v>5300</v>
      </c>
    </row>
    <row r="9349" spans="2:8" x14ac:dyDescent="0.4">
      <c r="B9349" t="s">
        <v>7</v>
      </c>
      <c r="C9349" t="s">
        <v>1401</v>
      </c>
      <c r="D9349" s="7">
        <f>DATE(2007,1,8)</f>
        <v>39090</v>
      </c>
      <c r="E9349" s="8">
        <f t="shared" si="155"/>
        <v>2007</v>
      </c>
      <c r="F9349" t="s">
        <v>1402</v>
      </c>
      <c r="G9349" s="9">
        <v>6980</v>
      </c>
      <c r="H9349" s="8">
        <v>5301</v>
      </c>
    </row>
    <row r="9350" spans="2:8" x14ac:dyDescent="0.4">
      <c r="B9350" t="s">
        <v>7</v>
      </c>
      <c r="C9350" t="s">
        <v>1401</v>
      </c>
      <c r="D9350" s="7">
        <f>DATE(2007,4,15)</f>
        <v>39187</v>
      </c>
      <c r="E9350" s="8">
        <f t="shared" si="155"/>
        <v>2007</v>
      </c>
      <c r="F9350" t="s">
        <v>1402</v>
      </c>
      <c r="G9350" s="9">
        <v>23740</v>
      </c>
      <c r="H9350" s="8">
        <v>5868</v>
      </c>
    </row>
    <row r="9351" spans="2:8" x14ac:dyDescent="0.4">
      <c r="B9351" t="s">
        <v>7</v>
      </c>
      <c r="C9351" t="s">
        <v>1401</v>
      </c>
      <c r="D9351" s="7">
        <f>DATE(2007,6,17)</f>
        <v>39250</v>
      </c>
      <c r="E9351" s="8">
        <f t="shared" si="155"/>
        <v>2007</v>
      </c>
      <c r="F9351" t="s">
        <v>1402</v>
      </c>
      <c r="G9351" s="9">
        <v>17300</v>
      </c>
      <c r="H9351" s="8">
        <v>6027</v>
      </c>
    </row>
    <row r="9352" spans="2:8" x14ac:dyDescent="0.4">
      <c r="B9352" t="s">
        <v>7</v>
      </c>
      <c r="C9352" t="s">
        <v>1401</v>
      </c>
      <c r="D9352" s="7">
        <f>DATE(2007,7,9)</f>
        <v>39272</v>
      </c>
      <c r="E9352" s="8">
        <f t="shared" si="155"/>
        <v>2007</v>
      </c>
      <c r="F9352" t="s">
        <v>1402</v>
      </c>
      <c r="G9352" s="9">
        <v>3173.53</v>
      </c>
      <c r="H9352" s="8">
        <v>6159</v>
      </c>
    </row>
    <row r="9353" spans="2:8" x14ac:dyDescent="0.4">
      <c r="B9353" t="s">
        <v>7</v>
      </c>
      <c r="C9353" t="s">
        <v>1401</v>
      </c>
      <c r="D9353" s="7">
        <f>DATE(2007,7,19)</f>
        <v>39282</v>
      </c>
      <c r="E9353" s="8">
        <f t="shared" si="155"/>
        <v>2007</v>
      </c>
      <c r="F9353" t="s">
        <v>1402</v>
      </c>
      <c r="G9353" s="9">
        <v>9652.9</v>
      </c>
      <c r="H9353" s="8">
        <v>6184</v>
      </c>
    </row>
    <row r="9354" spans="2:8" x14ac:dyDescent="0.4">
      <c r="B9354" t="s">
        <v>7</v>
      </c>
      <c r="C9354" t="s">
        <v>1401</v>
      </c>
      <c r="D9354" s="7">
        <f>DATE(2007,8,4)</f>
        <v>39298</v>
      </c>
      <c r="E9354" s="8">
        <f t="shared" si="155"/>
        <v>2007</v>
      </c>
      <c r="F9354" t="s">
        <v>1402</v>
      </c>
      <c r="G9354" s="9">
        <v>2105</v>
      </c>
      <c r="H9354" s="8">
        <v>6216</v>
      </c>
    </row>
    <row r="9355" spans="2:8" x14ac:dyDescent="0.4">
      <c r="B9355" t="s">
        <v>7</v>
      </c>
      <c r="C9355" t="s">
        <v>1401</v>
      </c>
      <c r="D9355" s="7">
        <f>DATE(2007,8,4)</f>
        <v>39298</v>
      </c>
      <c r="E9355" s="8">
        <f t="shared" si="155"/>
        <v>2007</v>
      </c>
      <c r="F9355" t="s">
        <v>1402</v>
      </c>
      <c r="G9355" s="9">
        <v>4991.25</v>
      </c>
      <c r="H9355" s="8">
        <v>6214</v>
      </c>
    </row>
    <row r="9356" spans="2:8" x14ac:dyDescent="0.4">
      <c r="B9356" t="s">
        <v>7</v>
      </c>
      <c r="C9356" t="s">
        <v>1401</v>
      </c>
      <c r="D9356" s="7">
        <f>DATE(2007,7,13)</f>
        <v>39276</v>
      </c>
      <c r="E9356" s="8">
        <f t="shared" si="155"/>
        <v>2007</v>
      </c>
      <c r="F9356" t="s">
        <v>1402</v>
      </c>
      <c r="G9356" s="9">
        <v>4669.2</v>
      </c>
      <c r="H9356" s="8">
        <v>6173</v>
      </c>
    </row>
    <row r="9357" spans="2:8" x14ac:dyDescent="0.4">
      <c r="B9357" t="s">
        <v>7</v>
      </c>
      <c r="C9357" t="s">
        <v>1401</v>
      </c>
      <c r="D9357" s="7">
        <f>DATE(2007,9,17)</f>
        <v>39342</v>
      </c>
      <c r="E9357" s="8">
        <f t="shared" si="155"/>
        <v>2007</v>
      </c>
      <c r="F9357" t="s">
        <v>1402</v>
      </c>
      <c r="G9357" s="9">
        <v>11212.61</v>
      </c>
      <c r="H9357" s="8">
        <v>6374</v>
      </c>
    </row>
    <row r="9358" spans="2:8" x14ac:dyDescent="0.4">
      <c r="B9358" t="s">
        <v>7</v>
      </c>
      <c r="C9358" t="s">
        <v>1401</v>
      </c>
      <c r="D9358" s="7">
        <f>DATE(2008,1,28)</f>
        <v>39475</v>
      </c>
      <c r="E9358" s="8">
        <f t="shared" si="155"/>
        <v>2008</v>
      </c>
      <c r="F9358" t="s">
        <v>1402</v>
      </c>
      <c r="G9358" s="9">
        <v>1180</v>
      </c>
      <c r="H9358" s="8">
        <v>6889</v>
      </c>
    </row>
    <row r="9359" spans="2:8" x14ac:dyDescent="0.4">
      <c r="B9359" t="s">
        <v>7</v>
      </c>
      <c r="C9359" t="s">
        <v>1401</v>
      </c>
      <c r="D9359" s="7">
        <f>DATE(2008,1,29)</f>
        <v>39476</v>
      </c>
      <c r="E9359" s="8">
        <f t="shared" si="155"/>
        <v>2008</v>
      </c>
      <c r="F9359" t="s">
        <v>1402</v>
      </c>
      <c r="G9359" s="9">
        <v>6500</v>
      </c>
      <c r="H9359" s="8">
        <v>6185</v>
      </c>
    </row>
    <row r="9360" spans="2:8" x14ac:dyDescent="0.4">
      <c r="B9360" t="s">
        <v>7</v>
      </c>
      <c r="C9360" t="s">
        <v>1401</v>
      </c>
      <c r="D9360" s="7">
        <f>DATE(2008,2,21)</f>
        <v>39499</v>
      </c>
      <c r="E9360" s="8">
        <f t="shared" si="155"/>
        <v>2008</v>
      </c>
      <c r="F9360" t="s">
        <v>1402</v>
      </c>
      <c r="G9360" s="9">
        <v>1138.83</v>
      </c>
      <c r="H9360" s="8">
        <v>7041</v>
      </c>
    </row>
    <row r="9361" spans="2:8" x14ac:dyDescent="0.4">
      <c r="B9361" t="s">
        <v>7</v>
      </c>
      <c r="C9361" t="s">
        <v>1401</v>
      </c>
      <c r="D9361" s="7">
        <f>DATE(2008,4,20)</f>
        <v>39558</v>
      </c>
      <c r="E9361" s="8">
        <f t="shared" si="155"/>
        <v>2008</v>
      </c>
      <c r="F9361" t="s">
        <v>1402</v>
      </c>
      <c r="G9361" s="9">
        <v>3310.14</v>
      </c>
      <c r="H9361" s="8">
        <v>7338</v>
      </c>
    </row>
    <row r="9362" spans="2:8" x14ac:dyDescent="0.4">
      <c r="B9362" t="s">
        <v>7</v>
      </c>
      <c r="C9362" t="s">
        <v>1401</v>
      </c>
      <c r="D9362" s="7">
        <f>DATE(2008,6,27)</f>
        <v>39626</v>
      </c>
      <c r="E9362" s="8">
        <f t="shared" si="155"/>
        <v>2008</v>
      </c>
      <c r="F9362" t="s">
        <v>1402</v>
      </c>
      <c r="G9362" s="9">
        <v>5124.3100000000004</v>
      </c>
      <c r="H9362" s="8">
        <v>7561</v>
      </c>
    </row>
    <row r="9363" spans="2:8" x14ac:dyDescent="0.4">
      <c r="B9363" t="s">
        <v>7</v>
      </c>
      <c r="C9363" t="s">
        <v>1401</v>
      </c>
      <c r="D9363" s="7">
        <f>DATE(2008,7,3)</f>
        <v>39632</v>
      </c>
      <c r="E9363" s="8">
        <f t="shared" si="155"/>
        <v>2008</v>
      </c>
      <c r="F9363" t="s">
        <v>1402</v>
      </c>
      <c r="G9363" s="9">
        <v>5315.77</v>
      </c>
      <c r="H9363" s="8">
        <v>7578</v>
      </c>
    </row>
    <row r="9364" spans="2:8" x14ac:dyDescent="0.4">
      <c r="B9364" t="s">
        <v>7</v>
      </c>
      <c r="C9364" t="s">
        <v>1401</v>
      </c>
      <c r="D9364" s="7">
        <f>DATE(2008,7,19)</f>
        <v>39648</v>
      </c>
      <c r="E9364" s="8">
        <f t="shared" si="155"/>
        <v>2008</v>
      </c>
      <c r="F9364" t="s">
        <v>1402</v>
      </c>
      <c r="G9364" s="9">
        <v>3080.42</v>
      </c>
      <c r="H9364" s="8">
        <v>7628</v>
      </c>
    </row>
    <row r="9365" spans="2:8" x14ac:dyDescent="0.4">
      <c r="B9365" t="s">
        <v>7</v>
      </c>
      <c r="C9365" t="s">
        <v>1401</v>
      </c>
      <c r="D9365" s="7">
        <f>DATE(2008,7,31)</f>
        <v>39660</v>
      </c>
      <c r="E9365" s="8">
        <f t="shared" si="155"/>
        <v>2008</v>
      </c>
      <c r="F9365" t="s">
        <v>1402</v>
      </c>
      <c r="G9365" s="9">
        <v>3790.99</v>
      </c>
      <c r="H9365" s="8">
        <v>7667</v>
      </c>
    </row>
    <row r="9366" spans="2:8" x14ac:dyDescent="0.4">
      <c r="B9366" t="s">
        <v>7</v>
      </c>
      <c r="C9366" t="s">
        <v>1401</v>
      </c>
      <c r="D9366" s="7">
        <f>DATE(2008,8,10)</f>
        <v>39670</v>
      </c>
      <c r="E9366" s="8">
        <f t="shared" si="155"/>
        <v>2008</v>
      </c>
      <c r="F9366" t="s">
        <v>1402</v>
      </c>
      <c r="G9366" s="9">
        <v>2445.0100000000002</v>
      </c>
      <c r="H9366" s="8">
        <v>7705</v>
      </c>
    </row>
    <row r="9367" spans="2:8" x14ac:dyDescent="0.4">
      <c r="B9367" t="s">
        <v>7</v>
      </c>
      <c r="C9367" t="s">
        <v>1401</v>
      </c>
      <c r="D9367" s="7">
        <f>DATE(2008,11,2)</f>
        <v>39754</v>
      </c>
      <c r="E9367" s="8">
        <f t="shared" si="155"/>
        <v>2008</v>
      </c>
      <c r="F9367" t="s">
        <v>1402</v>
      </c>
      <c r="G9367" s="9">
        <v>3632.84</v>
      </c>
      <c r="H9367" s="8">
        <v>8000</v>
      </c>
    </row>
    <row r="9368" spans="2:8" x14ac:dyDescent="0.4">
      <c r="B9368" t="s">
        <v>7</v>
      </c>
      <c r="C9368" t="s">
        <v>1401</v>
      </c>
      <c r="D9368" s="7">
        <f>DATE(2008,11,1)</f>
        <v>39753</v>
      </c>
      <c r="E9368" s="8">
        <f t="shared" si="155"/>
        <v>2008</v>
      </c>
      <c r="F9368" t="s">
        <v>1402</v>
      </c>
      <c r="G9368" s="9">
        <v>1862.04</v>
      </c>
      <c r="H9368" s="8">
        <v>8001</v>
      </c>
    </row>
    <row r="9369" spans="2:8" x14ac:dyDescent="0.4">
      <c r="B9369" t="s">
        <v>7</v>
      </c>
      <c r="C9369" t="s">
        <v>1401</v>
      </c>
      <c r="D9369" s="7">
        <f>DATE(2009,2,26)</f>
        <v>39870</v>
      </c>
      <c r="E9369" s="8">
        <f t="shared" si="155"/>
        <v>2009</v>
      </c>
      <c r="F9369" t="s">
        <v>1402</v>
      </c>
      <c r="G9369" s="9">
        <v>2026.25</v>
      </c>
      <c r="H9369" s="8">
        <v>8377</v>
      </c>
    </row>
    <row r="9370" spans="2:8" x14ac:dyDescent="0.4">
      <c r="B9370" t="s">
        <v>7</v>
      </c>
      <c r="C9370" t="s">
        <v>1401</v>
      </c>
      <c r="D9370" s="7">
        <f>DATE(2009,7,16)</f>
        <v>40010</v>
      </c>
      <c r="E9370" s="8">
        <f t="shared" si="155"/>
        <v>2009</v>
      </c>
      <c r="F9370" t="s">
        <v>1402</v>
      </c>
      <c r="G9370" s="9">
        <v>2754</v>
      </c>
      <c r="H9370" s="8">
        <v>8801</v>
      </c>
    </row>
    <row r="9371" spans="2:8" x14ac:dyDescent="0.4">
      <c r="B9371" t="s">
        <v>7</v>
      </c>
      <c r="C9371" t="s">
        <v>1401</v>
      </c>
      <c r="D9371" s="7">
        <f>DATE(2009,8,4)</f>
        <v>40029</v>
      </c>
      <c r="E9371" s="8">
        <f t="shared" si="155"/>
        <v>2009</v>
      </c>
      <c r="F9371" t="s">
        <v>1402</v>
      </c>
      <c r="G9371" s="9">
        <v>2285.67</v>
      </c>
      <c r="H9371" s="8">
        <v>8800</v>
      </c>
    </row>
    <row r="9372" spans="2:8" x14ac:dyDescent="0.4">
      <c r="B9372" t="s">
        <v>7</v>
      </c>
      <c r="C9372" t="s">
        <v>1401</v>
      </c>
      <c r="D9372" s="7">
        <f>DATE(2009,9,2)</f>
        <v>40058</v>
      </c>
      <c r="E9372" s="8">
        <f t="shared" si="155"/>
        <v>2009</v>
      </c>
      <c r="F9372" t="s">
        <v>1402</v>
      </c>
      <c r="G9372" s="9">
        <v>3761.81</v>
      </c>
      <c r="H9372" s="8">
        <v>9001</v>
      </c>
    </row>
    <row r="9373" spans="2:8" x14ac:dyDescent="0.4">
      <c r="B9373" t="s">
        <v>7</v>
      </c>
      <c r="C9373" t="s">
        <v>1401</v>
      </c>
      <c r="D9373" s="7">
        <f>DATE(2009,9,29)</f>
        <v>40085</v>
      </c>
      <c r="E9373" s="8">
        <f t="shared" si="155"/>
        <v>2009</v>
      </c>
      <c r="F9373" t="s">
        <v>1402</v>
      </c>
      <c r="G9373" s="9">
        <v>2200.11</v>
      </c>
      <c r="H9373" s="8">
        <v>9091</v>
      </c>
    </row>
    <row r="9374" spans="2:8" x14ac:dyDescent="0.4">
      <c r="B9374" t="s">
        <v>7</v>
      </c>
      <c r="C9374" t="s">
        <v>1401</v>
      </c>
      <c r="D9374" s="7">
        <f>DATE(2009,11,16)</f>
        <v>40133</v>
      </c>
      <c r="E9374" s="8">
        <f t="shared" si="155"/>
        <v>2009</v>
      </c>
      <c r="F9374" t="s">
        <v>1402</v>
      </c>
      <c r="G9374" s="9">
        <v>16663</v>
      </c>
      <c r="H9374" s="8">
        <v>8657</v>
      </c>
    </row>
    <row r="9375" spans="2:8" x14ac:dyDescent="0.4">
      <c r="B9375" t="s">
        <v>7</v>
      </c>
      <c r="C9375" t="s">
        <v>1401</v>
      </c>
      <c r="D9375" s="7">
        <f>DATE(2009,11,19)</f>
        <v>40136</v>
      </c>
      <c r="E9375" s="8">
        <f t="shared" si="155"/>
        <v>2009</v>
      </c>
      <c r="F9375" t="s">
        <v>1402</v>
      </c>
      <c r="G9375" s="9">
        <v>23395</v>
      </c>
      <c r="H9375" s="8">
        <v>8641</v>
      </c>
    </row>
    <row r="9376" spans="2:8" x14ac:dyDescent="0.4">
      <c r="B9376" t="s">
        <v>7</v>
      </c>
      <c r="C9376" t="s">
        <v>1401</v>
      </c>
      <c r="D9376" s="7">
        <f>DATE(2009,11,19)</f>
        <v>40136</v>
      </c>
      <c r="E9376" s="8">
        <f t="shared" si="155"/>
        <v>2009</v>
      </c>
      <c r="F9376" t="s">
        <v>1402</v>
      </c>
      <c r="G9376" s="9">
        <v>4505</v>
      </c>
      <c r="H9376" s="8">
        <v>8642</v>
      </c>
    </row>
    <row r="9377" spans="2:8" x14ac:dyDescent="0.4">
      <c r="B9377" t="s">
        <v>7</v>
      </c>
      <c r="C9377" t="s">
        <v>1401</v>
      </c>
      <c r="D9377" s="7">
        <f>DATE(2009,12,16)</f>
        <v>40163</v>
      </c>
      <c r="E9377" s="8">
        <f t="shared" si="155"/>
        <v>2009</v>
      </c>
      <c r="F9377" t="s">
        <v>1402</v>
      </c>
      <c r="G9377" s="9">
        <v>2781.07</v>
      </c>
      <c r="H9377" s="8">
        <v>9295</v>
      </c>
    </row>
    <row r="9378" spans="2:8" x14ac:dyDescent="0.4">
      <c r="B9378" t="s">
        <v>7</v>
      </c>
      <c r="C9378" t="s">
        <v>1401</v>
      </c>
      <c r="D9378" s="7">
        <f>DATE(2010,2,16)</f>
        <v>40225</v>
      </c>
      <c r="E9378" s="8">
        <f t="shared" si="155"/>
        <v>2010</v>
      </c>
      <c r="F9378" t="s">
        <v>1402</v>
      </c>
      <c r="G9378" s="9">
        <v>16000</v>
      </c>
      <c r="H9378" s="8">
        <v>9476</v>
      </c>
    </row>
    <row r="9379" spans="2:8" x14ac:dyDescent="0.4">
      <c r="B9379" t="s">
        <v>7</v>
      </c>
      <c r="C9379" t="s">
        <v>1401</v>
      </c>
      <c r="D9379" s="7">
        <f>DATE(2010,2,24)</f>
        <v>40233</v>
      </c>
      <c r="E9379" s="8">
        <f t="shared" si="155"/>
        <v>2010</v>
      </c>
      <c r="F9379" t="s">
        <v>1402</v>
      </c>
      <c r="G9379" s="9">
        <v>10978.72</v>
      </c>
      <c r="H9379" s="8">
        <v>8694</v>
      </c>
    </row>
    <row r="9380" spans="2:8" x14ac:dyDescent="0.4">
      <c r="B9380" t="s">
        <v>7</v>
      </c>
      <c r="C9380" t="s">
        <v>1401</v>
      </c>
      <c r="D9380" s="7">
        <f>DATE(2010,2,6)</f>
        <v>40215</v>
      </c>
      <c r="E9380" s="8">
        <f t="shared" si="155"/>
        <v>2010</v>
      </c>
      <c r="F9380" t="s">
        <v>1402</v>
      </c>
      <c r="G9380" s="9">
        <v>18159.21</v>
      </c>
      <c r="H9380" s="8">
        <v>8687</v>
      </c>
    </row>
    <row r="9381" spans="2:8" x14ac:dyDescent="0.4">
      <c r="B9381" t="s">
        <v>7</v>
      </c>
      <c r="C9381" t="s">
        <v>1401</v>
      </c>
      <c r="D9381" s="7">
        <f>DATE(2010,4,8)</f>
        <v>40276</v>
      </c>
      <c r="E9381" s="8">
        <f t="shared" si="155"/>
        <v>2010</v>
      </c>
      <c r="F9381" t="s">
        <v>1402</v>
      </c>
      <c r="G9381" s="9">
        <v>8070.95</v>
      </c>
      <c r="H9381" s="8">
        <v>9693</v>
      </c>
    </row>
    <row r="9382" spans="2:8" x14ac:dyDescent="0.4">
      <c r="B9382" t="s">
        <v>7</v>
      </c>
      <c r="C9382" t="s">
        <v>1401</v>
      </c>
      <c r="D9382" s="7">
        <f>DATE(2010,7,12)</f>
        <v>40371</v>
      </c>
      <c r="E9382" s="8">
        <f t="shared" si="155"/>
        <v>2010</v>
      </c>
      <c r="F9382" t="s">
        <v>1402</v>
      </c>
      <c r="G9382" s="9">
        <v>4377.82</v>
      </c>
      <c r="H9382" s="8">
        <v>9918</v>
      </c>
    </row>
    <row r="9383" spans="2:8" x14ac:dyDescent="0.4">
      <c r="B9383" t="s">
        <v>7</v>
      </c>
      <c r="C9383" t="s">
        <v>1401</v>
      </c>
      <c r="D9383" s="7">
        <f>DATE(2010,6,25)</f>
        <v>40354</v>
      </c>
      <c r="E9383" s="8">
        <f t="shared" si="155"/>
        <v>2010</v>
      </c>
      <c r="F9383" t="s">
        <v>1402</v>
      </c>
      <c r="G9383" s="9">
        <v>3389.44</v>
      </c>
      <c r="H9383" s="8">
        <v>9919</v>
      </c>
    </row>
    <row r="9384" spans="2:8" x14ac:dyDescent="0.4">
      <c r="B9384" t="s">
        <v>7</v>
      </c>
      <c r="C9384" t="s">
        <v>1401</v>
      </c>
      <c r="D9384" s="7">
        <f>DATE(2011,7,21)</f>
        <v>40745</v>
      </c>
      <c r="E9384" s="8">
        <f t="shared" si="155"/>
        <v>2011</v>
      </c>
      <c r="F9384" t="s">
        <v>1402</v>
      </c>
      <c r="G9384" s="9">
        <v>3906.58</v>
      </c>
      <c r="H9384" s="8">
        <v>10890</v>
      </c>
    </row>
    <row r="9385" spans="2:8" x14ac:dyDescent="0.4">
      <c r="B9385" t="s">
        <v>7</v>
      </c>
      <c r="C9385" t="s">
        <v>1401</v>
      </c>
      <c r="D9385" s="7">
        <f>DATE(2012,8,1)</f>
        <v>41122</v>
      </c>
      <c r="E9385" s="8">
        <f t="shared" si="155"/>
        <v>2012</v>
      </c>
      <c r="F9385" t="s">
        <v>1402</v>
      </c>
      <c r="G9385" s="9">
        <v>4441</v>
      </c>
      <c r="H9385" s="8">
        <v>11704</v>
      </c>
    </row>
    <row r="9386" spans="2:8" x14ac:dyDescent="0.4">
      <c r="B9386" t="s">
        <v>7</v>
      </c>
      <c r="C9386" t="s">
        <v>1401</v>
      </c>
      <c r="D9386" s="7">
        <f>DATE(2012,8,1)</f>
        <v>41122</v>
      </c>
      <c r="E9386" s="8">
        <f t="shared" si="155"/>
        <v>2012</v>
      </c>
      <c r="F9386" t="s">
        <v>1402</v>
      </c>
      <c r="G9386" s="9">
        <v>4177</v>
      </c>
      <c r="H9386" s="8">
        <v>11703</v>
      </c>
    </row>
    <row r="9387" spans="2:8" x14ac:dyDescent="0.4">
      <c r="B9387" t="s">
        <v>7</v>
      </c>
      <c r="C9387" t="s">
        <v>1401</v>
      </c>
      <c r="D9387" s="7">
        <f>DATE(2012,8,1)</f>
        <v>41122</v>
      </c>
      <c r="E9387" s="8">
        <f t="shared" si="155"/>
        <v>2012</v>
      </c>
      <c r="F9387" t="s">
        <v>1402</v>
      </c>
      <c r="G9387" s="9">
        <v>2741.11</v>
      </c>
      <c r="H9387" s="8">
        <v>11763</v>
      </c>
    </row>
    <row r="9388" spans="2:8" x14ac:dyDescent="0.4">
      <c r="B9388" t="s">
        <v>7</v>
      </c>
      <c r="C9388" t="s">
        <v>1401</v>
      </c>
      <c r="D9388" s="7">
        <f>DATE(2010,12,7)</f>
        <v>40519</v>
      </c>
      <c r="E9388" s="8">
        <f t="shared" si="155"/>
        <v>2010</v>
      </c>
      <c r="F9388" t="s">
        <v>1402</v>
      </c>
      <c r="G9388" s="9">
        <v>3948.82</v>
      </c>
      <c r="H9388" s="8">
        <v>10277</v>
      </c>
    </row>
    <row r="9389" spans="2:8" x14ac:dyDescent="0.4">
      <c r="B9389" t="s">
        <v>7</v>
      </c>
      <c r="C9389" t="s">
        <v>1401</v>
      </c>
      <c r="D9389" s="7">
        <f>DATE(2011,3,9)</f>
        <v>40611</v>
      </c>
      <c r="E9389" s="8">
        <f t="shared" si="155"/>
        <v>2011</v>
      </c>
      <c r="F9389" t="s">
        <v>1402</v>
      </c>
      <c r="G9389" s="9">
        <v>4928.68</v>
      </c>
      <c r="H9389" s="8">
        <v>10476</v>
      </c>
    </row>
    <row r="9390" spans="2:8" x14ac:dyDescent="0.4">
      <c r="B9390" t="s">
        <v>7</v>
      </c>
      <c r="C9390" t="s">
        <v>1401</v>
      </c>
      <c r="D9390" s="7">
        <f>DATE(2011,8,11)</f>
        <v>40766</v>
      </c>
      <c r="E9390" s="8">
        <f t="shared" si="155"/>
        <v>2011</v>
      </c>
      <c r="F9390" t="s">
        <v>1402</v>
      </c>
      <c r="G9390" s="9">
        <v>4363.7</v>
      </c>
      <c r="H9390" s="8">
        <v>10860</v>
      </c>
    </row>
    <row r="9391" spans="2:8" x14ac:dyDescent="0.4">
      <c r="B9391" t="s">
        <v>7</v>
      </c>
      <c r="C9391" t="s">
        <v>1401</v>
      </c>
      <c r="D9391" s="7">
        <f>DATE(2012,2,1)</f>
        <v>40940</v>
      </c>
      <c r="E9391" s="8">
        <f t="shared" si="155"/>
        <v>2012</v>
      </c>
      <c r="F9391" t="s">
        <v>1402</v>
      </c>
      <c r="G9391" s="9">
        <v>4375.2</v>
      </c>
      <c r="H9391" s="8">
        <v>11203</v>
      </c>
    </row>
    <row r="9392" spans="2:8" x14ac:dyDescent="0.4">
      <c r="B9392" t="s">
        <v>7</v>
      </c>
      <c r="C9392" t="s">
        <v>1401</v>
      </c>
      <c r="D9392" s="7">
        <f>DATE(2012,3,22)</f>
        <v>40990</v>
      </c>
      <c r="E9392" s="8">
        <f t="shared" si="155"/>
        <v>2012</v>
      </c>
      <c r="F9392" t="s">
        <v>1402</v>
      </c>
      <c r="G9392" s="9">
        <v>4174.26</v>
      </c>
      <c r="H9392" s="8">
        <v>11451</v>
      </c>
    </row>
    <row r="9393" spans="2:8" x14ac:dyDescent="0.4">
      <c r="B9393" s="3" t="s">
        <v>7</v>
      </c>
      <c r="C9393" s="3" t="s">
        <v>1401</v>
      </c>
      <c r="D9393" s="4">
        <f>DATE(2003,1,29)</f>
        <v>37650</v>
      </c>
      <c r="E9393" s="5">
        <f t="shared" si="155"/>
        <v>2003</v>
      </c>
      <c r="F9393" s="3" t="s">
        <v>1402</v>
      </c>
      <c r="G9393" s="6">
        <v>2811</v>
      </c>
      <c r="H9393" s="5">
        <v>107</v>
      </c>
    </row>
    <row r="9394" spans="2:8" x14ac:dyDescent="0.4">
      <c r="B9394" s="3" t="s">
        <v>7</v>
      </c>
      <c r="C9394" s="3" t="s">
        <v>1401</v>
      </c>
      <c r="D9394" s="4">
        <f>DATE(2003,4,4)</f>
        <v>37715</v>
      </c>
      <c r="E9394" s="5">
        <f t="shared" si="155"/>
        <v>2003</v>
      </c>
      <c r="F9394" s="3" t="s">
        <v>1402</v>
      </c>
      <c r="G9394" s="6">
        <v>636</v>
      </c>
      <c r="H9394" s="5">
        <v>698</v>
      </c>
    </row>
    <row r="9395" spans="2:8" x14ac:dyDescent="0.4">
      <c r="B9395" s="3" t="s">
        <v>7</v>
      </c>
      <c r="C9395" s="3" t="s">
        <v>1401</v>
      </c>
      <c r="D9395" s="4">
        <f>DATE(2006,2,23)</f>
        <v>38771</v>
      </c>
      <c r="E9395" s="5">
        <f t="shared" si="155"/>
        <v>2006</v>
      </c>
      <c r="F9395" s="3" t="s">
        <v>1402</v>
      </c>
      <c r="G9395" s="6">
        <v>963</v>
      </c>
      <c r="H9395" s="5">
        <v>6033</v>
      </c>
    </row>
    <row r="9396" spans="2:8" x14ac:dyDescent="0.4">
      <c r="B9396" s="3" t="s">
        <v>7</v>
      </c>
      <c r="C9396" s="3" t="s">
        <v>1401</v>
      </c>
      <c r="D9396" s="4">
        <f>DATE(2009,2,26)</f>
        <v>39870</v>
      </c>
      <c r="E9396" s="5">
        <f t="shared" si="155"/>
        <v>2009</v>
      </c>
      <c r="F9396" s="3" t="s">
        <v>1402</v>
      </c>
      <c r="G9396" s="6">
        <v>598.5</v>
      </c>
      <c r="H9396" s="5">
        <v>12019</v>
      </c>
    </row>
    <row r="9397" spans="2:8" x14ac:dyDescent="0.4">
      <c r="B9397" s="3" t="s">
        <v>7</v>
      </c>
      <c r="C9397" s="3" t="s">
        <v>1401</v>
      </c>
      <c r="D9397" s="4">
        <f>DATE(2009,7,14)</f>
        <v>40008</v>
      </c>
      <c r="E9397" s="5">
        <f t="shared" si="155"/>
        <v>2009</v>
      </c>
      <c r="F9397" s="3" t="s">
        <v>1402</v>
      </c>
      <c r="G9397" s="6">
        <v>1140</v>
      </c>
      <c r="H9397" s="5">
        <v>12681</v>
      </c>
    </row>
    <row r="9398" spans="2:8" x14ac:dyDescent="0.4">
      <c r="B9398" s="3" t="s">
        <v>7</v>
      </c>
      <c r="C9398" s="3" t="s">
        <v>1401</v>
      </c>
      <c r="D9398" s="4">
        <f>DATE(2010,2,5)</f>
        <v>40214</v>
      </c>
      <c r="E9398" s="5">
        <f t="shared" si="155"/>
        <v>2010</v>
      </c>
      <c r="F9398" s="3" t="s">
        <v>1402</v>
      </c>
      <c r="G9398" s="6">
        <v>1175</v>
      </c>
      <c r="H9398" s="5">
        <v>13530</v>
      </c>
    </row>
    <row r="9399" spans="2:8" x14ac:dyDescent="0.4">
      <c r="B9399" t="s">
        <v>7</v>
      </c>
      <c r="C9399" t="s">
        <v>1401</v>
      </c>
      <c r="D9399" s="7">
        <f>DATE(2008,12,22)</f>
        <v>39804</v>
      </c>
      <c r="E9399" s="8">
        <f t="shared" si="155"/>
        <v>2008</v>
      </c>
      <c r="F9399" t="s">
        <v>1402</v>
      </c>
      <c r="G9399" s="9">
        <v>114000</v>
      </c>
      <c r="H9399" s="8">
        <v>183</v>
      </c>
    </row>
    <row r="9400" spans="2:8" x14ac:dyDescent="0.4">
      <c r="B9400" t="s">
        <v>7</v>
      </c>
      <c r="C9400" t="s">
        <v>1403</v>
      </c>
      <c r="D9400" s="7">
        <f>DATE(2004,5,28)</f>
        <v>38135</v>
      </c>
      <c r="E9400" s="8">
        <f t="shared" si="155"/>
        <v>2004</v>
      </c>
      <c r="F9400" t="s">
        <v>1404</v>
      </c>
      <c r="G9400" s="9">
        <v>2099</v>
      </c>
      <c r="H9400" s="8">
        <v>1816</v>
      </c>
    </row>
    <row r="9401" spans="2:8" x14ac:dyDescent="0.4">
      <c r="B9401" t="s">
        <v>7</v>
      </c>
      <c r="C9401" t="s">
        <v>1405</v>
      </c>
      <c r="D9401" s="7">
        <f>DATE(2017,11,10)</f>
        <v>43049</v>
      </c>
      <c r="E9401" s="8">
        <f t="shared" si="155"/>
        <v>2017</v>
      </c>
      <c r="F9401" t="s">
        <v>1406</v>
      </c>
      <c r="G9401" s="9">
        <v>2990.8</v>
      </c>
      <c r="H9401" s="8">
        <v>25785</v>
      </c>
    </row>
    <row r="9402" spans="2:8" x14ac:dyDescent="0.4">
      <c r="B9402" t="s">
        <v>7</v>
      </c>
      <c r="C9402" t="s">
        <v>1405</v>
      </c>
      <c r="D9402" s="7">
        <f>DATE(2017,12,8)</f>
        <v>43077</v>
      </c>
      <c r="E9402" s="8">
        <f t="shared" si="155"/>
        <v>2017</v>
      </c>
      <c r="F9402" t="s">
        <v>1406</v>
      </c>
      <c r="G9402" s="9">
        <v>2744</v>
      </c>
      <c r="H9402" s="8">
        <v>25930</v>
      </c>
    </row>
    <row r="9403" spans="2:8" x14ac:dyDescent="0.4">
      <c r="B9403" t="s">
        <v>7</v>
      </c>
      <c r="C9403" t="s">
        <v>1405</v>
      </c>
      <c r="D9403" s="7">
        <f>DATE(2018,7,25)</f>
        <v>43306</v>
      </c>
      <c r="E9403" s="8">
        <f t="shared" si="155"/>
        <v>2018</v>
      </c>
      <c r="F9403" t="s">
        <v>1406</v>
      </c>
      <c r="G9403" s="9">
        <v>2307.5100000000002</v>
      </c>
      <c r="H9403" s="8">
        <v>27217</v>
      </c>
    </row>
    <row r="9404" spans="2:8" x14ac:dyDescent="0.4">
      <c r="B9404" t="s">
        <v>7</v>
      </c>
      <c r="C9404" t="s">
        <v>1405</v>
      </c>
      <c r="D9404" s="7">
        <f>DATE(2017,11,10)</f>
        <v>43049</v>
      </c>
      <c r="E9404" s="8">
        <f t="shared" si="155"/>
        <v>2017</v>
      </c>
      <c r="F9404" t="s">
        <v>1406</v>
      </c>
      <c r="G9404" s="9">
        <v>1987.35</v>
      </c>
      <c r="H9404" s="8">
        <v>25789</v>
      </c>
    </row>
    <row r="9405" spans="2:8" x14ac:dyDescent="0.4">
      <c r="B9405" t="s">
        <v>7</v>
      </c>
      <c r="C9405" t="s">
        <v>1405</v>
      </c>
      <c r="D9405" s="7">
        <f>DATE(2017,12,8)</f>
        <v>43077</v>
      </c>
      <c r="E9405" s="8">
        <f t="shared" si="155"/>
        <v>2017</v>
      </c>
      <c r="F9405" t="s">
        <v>1406</v>
      </c>
      <c r="G9405" s="9">
        <v>1908.35</v>
      </c>
      <c r="H9405" s="8">
        <v>25931</v>
      </c>
    </row>
    <row r="9406" spans="2:8" x14ac:dyDescent="0.4">
      <c r="B9406" t="s">
        <v>7</v>
      </c>
      <c r="C9406" t="s">
        <v>1405</v>
      </c>
      <c r="D9406" s="7">
        <f>DATE(2018,7,25)</f>
        <v>43306</v>
      </c>
      <c r="E9406" s="8">
        <f t="shared" si="155"/>
        <v>2018</v>
      </c>
      <c r="F9406" t="s">
        <v>1406</v>
      </c>
      <c r="G9406" s="9">
        <v>36898.85</v>
      </c>
      <c r="H9406" s="8">
        <v>27150</v>
      </c>
    </row>
    <row r="9407" spans="2:8" x14ac:dyDescent="0.4">
      <c r="B9407" t="s">
        <v>7</v>
      </c>
      <c r="C9407" t="s">
        <v>1405</v>
      </c>
      <c r="D9407" s="7">
        <f>DATE(2019,5,13)</f>
        <v>43598</v>
      </c>
      <c r="E9407" s="8">
        <f t="shared" si="155"/>
        <v>2019</v>
      </c>
      <c r="F9407" t="s">
        <v>1406</v>
      </c>
      <c r="G9407" s="9">
        <v>8913.2099999999991</v>
      </c>
      <c r="H9407" s="8">
        <v>28185</v>
      </c>
    </row>
    <row r="9408" spans="2:8" x14ac:dyDescent="0.4">
      <c r="B9408" t="s">
        <v>16</v>
      </c>
      <c r="C9408" t="s">
        <v>1405</v>
      </c>
      <c r="D9408" s="7">
        <f>DATE(2017,9,1)</f>
        <v>42979</v>
      </c>
      <c r="E9408" s="8">
        <f t="shared" si="155"/>
        <v>2017</v>
      </c>
      <c r="F9408" t="s">
        <v>1406</v>
      </c>
      <c r="G9408" s="9">
        <v>913.35</v>
      </c>
      <c r="H9408" s="8">
        <v>25507</v>
      </c>
    </row>
    <row r="9409" spans="2:8" x14ac:dyDescent="0.4">
      <c r="B9409" t="s">
        <v>7</v>
      </c>
      <c r="C9409" t="s">
        <v>1407</v>
      </c>
      <c r="D9409" s="7">
        <f>DATE(2018,10,30)</f>
        <v>43403</v>
      </c>
      <c r="E9409" s="8">
        <f t="shared" si="155"/>
        <v>2018</v>
      </c>
      <c r="F9409" t="s">
        <v>1408</v>
      </c>
      <c r="G9409" s="9">
        <v>92000.09</v>
      </c>
      <c r="H9409" s="8">
        <v>27756</v>
      </c>
    </row>
    <row r="9410" spans="2:8" x14ac:dyDescent="0.4">
      <c r="B9410" t="s">
        <v>7</v>
      </c>
      <c r="C9410" t="s">
        <v>1403</v>
      </c>
      <c r="D9410" s="7">
        <f>DATE(2003,4,22)</f>
        <v>37733</v>
      </c>
      <c r="E9410" s="8">
        <f t="shared" si="155"/>
        <v>2003</v>
      </c>
      <c r="F9410" t="s">
        <v>1409</v>
      </c>
      <c r="G9410" s="9">
        <v>6907</v>
      </c>
      <c r="H9410" s="8">
        <v>103</v>
      </c>
    </row>
    <row r="9411" spans="2:8" x14ac:dyDescent="0.4">
      <c r="B9411" t="s">
        <v>7</v>
      </c>
      <c r="C9411" t="s">
        <v>1403</v>
      </c>
      <c r="D9411" s="7">
        <f>DATE(2003,4,22)</f>
        <v>37733</v>
      </c>
      <c r="E9411" s="8">
        <f t="shared" ref="E9411:E9474" si="156">YEAR(D9411)</f>
        <v>2003</v>
      </c>
      <c r="F9411" t="s">
        <v>1409</v>
      </c>
      <c r="G9411" s="9">
        <v>2821</v>
      </c>
      <c r="H9411" s="8">
        <v>104</v>
      </c>
    </row>
    <row r="9412" spans="2:8" x14ac:dyDescent="0.4">
      <c r="B9412" t="s">
        <v>7</v>
      </c>
      <c r="C9412" t="s">
        <v>1403</v>
      </c>
      <c r="D9412" s="7">
        <f>DATE(2004,9,8)</f>
        <v>38238</v>
      </c>
      <c r="E9412" s="8">
        <f t="shared" si="156"/>
        <v>2004</v>
      </c>
      <c r="F9412" t="s">
        <v>1409</v>
      </c>
      <c r="G9412" s="9">
        <v>2298.63</v>
      </c>
      <c r="H9412" s="8">
        <v>2134</v>
      </c>
    </row>
    <row r="9413" spans="2:8" x14ac:dyDescent="0.4">
      <c r="B9413" t="s">
        <v>7</v>
      </c>
      <c r="C9413" t="s">
        <v>1403</v>
      </c>
      <c r="D9413" s="7">
        <f>DATE(2004,11,17)</f>
        <v>38308</v>
      </c>
      <c r="E9413" s="8">
        <f t="shared" si="156"/>
        <v>2004</v>
      </c>
      <c r="F9413" t="s">
        <v>1409</v>
      </c>
      <c r="G9413" s="9">
        <v>6900</v>
      </c>
      <c r="H9413" s="8">
        <v>2372</v>
      </c>
    </row>
    <row r="9414" spans="2:8" x14ac:dyDescent="0.4">
      <c r="B9414" t="s">
        <v>7</v>
      </c>
      <c r="C9414" t="s">
        <v>1403</v>
      </c>
      <c r="D9414" s="7">
        <f>DATE(2005,1,11)</f>
        <v>38363</v>
      </c>
      <c r="E9414" s="8">
        <f t="shared" si="156"/>
        <v>2005</v>
      </c>
      <c r="F9414" t="s">
        <v>1409</v>
      </c>
      <c r="G9414" s="9">
        <v>6900</v>
      </c>
      <c r="H9414" s="8">
        <v>2531</v>
      </c>
    </row>
    <row r="9415" spans="2:8" x14ac:dyDescent="0.4">
      <c r="B9415" t="s">
        <v>7</v>
      </c>
      <c r="C9415" t="s">
        <v>1403</v>
      </c>
      <c r="D9415" s="7">
        <f>DATE(2006,1,7)</f>
        <v>38724</v>
      </c>
      <c r="E9415" s="8">
        <f t="shared" si="156"/>
        <v>2006</v>
      </c>
      <c r="F9415" t="s">
        <v>1409</v>
      </c>
      <c r="G9415" s="9">
        <v>6488.15</v>
      </c>
      <c r="H9415" s="8">
        <v>3884</v>
      </c>
    </row>
    <row r="9416" spans="2:8" x14ac:dyDescent="0.4">
      <c r="B9416" t="s">
        <v>7</v>
      </c>
      <c r="C9416" t="s">
        <v>1403</v>
      </c>
      <c r="D9416" s="7">
        <f>DATE(2006,1,7)</f>
        <v>38724</v>
      </c>
      <c r="E9416" s="8">
        <f t="shared" si="156"/>
        <v>2006</v>
      </c>
      <c r="F9416" t="s">
        <v>1409</v>
      </c>
      <c r="G9416" s="9">
        <v>5026.3500000000004</v>
      </c>
      <c r="H9416" s="8">
        <v>3910</v>
      </c>
    </row>
    <row r="9417" spans="2:8" x14ac:dyDescent="0.4">
      <c r="B9417" t="s">
        <v>7</v>
      </c>
      <c r="C9417" t="s">
        <v>1403</v>
      </c>
      <c r="D9417" s="7">
        <f>DATE(2006,2,14)</f>
        <v>38762</v>
      </c>
      <c r="E9417" s="8">
        <f t="shared" si="156"/>
        <v>2006</v>
      </c>
      <c r="F9417" t="s">
        <v>1409</v>
      </c>
      <c r="G9417" s="9">
        <v>6173.15</v>
      </c>
      <c r="H9417" s="8">
        <v>3883</v>
      </c>
    </row>
    <row r="9418" spans="2:8" x14ac:dyDescent="0.4">
      <c r="B9418" t="s">
        <v>7</v>
      </c>
      <c r="C9418" t="s">
        <v>1403</v>
      </c>
      <c r="D9418" s="7">
        <f>DATE(2008,2,1)</f>
        <v>39479</v>
      </c>
      <c r="E9418" s="8">
        <f t="shared" si="156"/>
        <v>2008</v>
      </c>
      <c r="F9418" t="s">
        <v>1409</v>
      </c>
      <c r="G9418" s="9">
        <v>7418</v>
      </c>
      <c r="H9418" s="8">
        <v>6855</v>
      </c>
    </row>
    <row r="9419" spans="2:8" x14ac:dyDescent="0.4">
      <c r="B9419" t="s">
        <v>7</v>
      </c>
      <c r="C9419" t="s">
        <v>1403</v>
      </c>
      <c r="D9419" s="7">
        <f>DATE(2008,9,18)</f>
        <v>39709</v>
      </c>
      <c r="E9419" s="8">
        <f t="shared" si="156"/>
        <v>2008</v>
      </c>
      <c r="F9419" t="s">
        <v>1409</v>
      </c>
      <c r="G9419" s="9">
        <v>8539.27</v>
      </c>
      <c r="H9419" s="8">
        <v>7736</v>
      </c>
    </row>
    <row r="9420" spans="2:8" x14ac:dyDescent="0.4">
      <c r="B9420" t="s">
        <v>7</v>
      </c>
      <c r="C9420" t="s">
        <v>1403</v>
      </c>
      <c r="D9420" s="7">
        <f>DATE(2008,12,9)</f>
        <v>39791</v>
      </c>
      <c r="E9420" s="8">
        <f t="shared" si="156"/>
        <v>2008</v>
      </c>
      <c r="F9420" t="s">
        <v>1409</v>
      </c>
      <c r="G9420" s="9">
        <v>6372</v>
      </c>
      <c r="H9420" s="8">
        <v>8032</v>
      </c>
    </row>
    <row r="9421" spans="2:8" x14ac:dyDescent="0.4">
      <c r="B9421" t="s">
        <v>7</v>
      </c>
      <c r="C9421" t="s">
        <v>1403</v>
      </c>
      <c r="D9421" s="7">
        <f>DATE(2009,1,7)</f>
        <v>39820</v>
      </c>
      <c r="E9421" s="8">
        <f t="shared" si="156"/>
        <v>2009</v>
      </c>
      <c r="F9421" t="s">
        <v>1409</v>
      </c>
      <c r="G9421" s="9">
        <v>7250</v>
      </c>
      <c r="H9421" s="8">
        <v>8049</v>
      </c>
    </row>
    <row r="9422" spans="2:8" x14ac:dyDescent="0.4">
      <c r="B9422" t="s">
        <v>7</v>
      </c>
      <c r="C9422" t="s">
        <v>1403</v>
      </c>
      <c r="D9422" s="7">
        <f>DATE(2009,1,14)</f>
        <v>39827</v>
      </c>
      <c r="E9422" s="8">
        <f t="shared" si="156"/>
        <v>2009</v>
      </c>
      <c r="F9422" t="s">
        <v>1409</v>
      </c>
      <c r="G9422" s="9">
        <v>7250</v>
      </c>
      <c r="H9422" s="8">
        <v>8171</v>
      </c>
    </row>
    <row r="9423" spans="2:8" x14ac:dyDescent="0.4">
      <c r="B9423" t="s">
        <v>7</v>
      </c>
      <c r="C9423" t="s">
        <v>1403</v>
      </c>
      <c r="D9423" s="7">
        <f>DATE(2009,8,20)</f>
        <v>40045</v>
      </c>
      <c r="E9423" s="8">
        <f t="shared" si="156"/>
        <v>2009</v>
      </c>
      <c r="F9423" t="s">
        <v>1409</v>
      </c>
      <c r="G9423" s="9">
        <v>13698.6</v>
      </c>
      <c r="H9423" s="8">
        <v>8972</v>
      </c>
    </row>
    <row r="9424" spans="2:8" x14ac:dyDescent="0.4">
      <c r="B9424" t="s">
        <v>7</v>
      </c>
      <c r="C9424" t="s">
        <v>1403</v>
      </c>
      <c r="D9424" s="7">
        <f>DATE(2010,1,28)</f>
        <v>40206</v>
      </c>
      <c r="E9424" s="8">
        <f t="shared" si="156"/>
        <v>2010</v>
      </c>
      <c r="F9424" t="s">
        <v>1409</v>
      </c>
      <c r="G9424" s="9">
        <v>7100</v>
      </c>
      <c r="H9424" s="8">
        <v>9367</v>
      </c>
    </row>
    <row r="9425" spans="2:8" x14ac:dyDescent="0.4">
      <c r="B9425" t="s">
        <v>7</v>
      </c>
      <c r="C9425" t="s">
        <v>1403</v>
      </c>
      <c r="D9425" s="7">
        <f>DATE(2010,2,11)</f>
        <v>40220</v>
      </c>
      <c r="E9425" s="8">
        <f t="shared" si="156"/>
        <v>2010</v>
      </c>
      <c r="F9425" t="s">
        <v>1409</v>
      </c>
      <c r="G9425" s="9">
        <v>8267</v>
      </c>
      <c r="H9425" s="8">
        <v>9477</v>
      </c>
    </row>
    <row r="9426" spans="2:8" x14ac:dyDescent="0.4">
      <c r="B9426" t="s">
        <v>7</v>
      </c>
      <c r="C9426" t="s">
        <v>1403</v>
      </c>
      <c r="D9426" s="7">
        <f>DATE(2010,9,20)</f>
        <v>40441</v>
      </c>
      <c r="E9426" s="8">
        <f t="shared" si="156"/>
        <v>2010</v>
      </c>
      <c r="F9426" t="s">
        <v>1409</v>
      </c>
      <c r="G9426" s="9">
        <v>6850</v>
      </c>
      <c r="H9426" s="8">
        <v>10131</v>
      </c>
    </row>
    <row r="9427" spans="2:8" x14ac:dyDescent="0.4">
      <c r="B9427" t="s">
        <v>7</v>
      </c>
      <c r="C9427" t="s">
        <v>1403</v>
      </c>
      <c r="D9427" s="7">
        <f>DATE(2010,9,27)</f>
        <v>40448</v>
      </c>
      <c r="E9427" s="8">
        <f t="shared" si="156"/>
        <v>2010</v>
      </c>
      <c r="F9427" t="s">
        <v>1409</v>
      </c>
      <c r="G9427" s="9">
        <v>9100</v>
      </c>
      <c r="H9427" s="8">
        <v>10136</v>
      </c>
    </row>
    <row r="9428" spans="2:8" x14ac:dyDescent="0.4">
      <c r="B9428" t="s">
        <v>7</v>
      </c>
      <c r="C9428" t="s">
        <v>1403</v>
      </c>
      <c r="D9428" s="7">
        <f>DATE(2010,10,1)</f>
        <v>40452</v>
      </c>
      <c r="E9428" s="8">
        <f t="shared" si="156"/>
        <v>2010</v>
      </c>
      <c r="F9428" t="s">
        <v>1409</v>
      </c>
      <c r="G9428" s="9">
        <v>7710</v>
      </c>
      <c r="H9428" s="8">
        <v>10141</v>
      </c>
    </row>
    <row r="9429" spans="2:8" x14ac:dyDescent="0.4">
      <c r="B9429" t="s">
        <v>7</v>
      </c>
      <c r="C9429" t="s">
        <v>1403</v>
      </c>
      <c r="D9429" s="7">
        <f>DATE(2010,10,2)</f>
        <v>40453</v>
      </c>
      <c r="E9429" s="8">
        <f t="shared" si="156"/>
        <v>2010</v>
      </c>
      <c r="F9429" t="s">
        <v>1409</v>
      </c>
      <c r="G9429" s="9">
        <v>2688</v>
      </c>
      <c r="H9429" s="8">
        <v>10146</v>
      </c>
    </row>
    <row r="9430" spans="2:8" x14ac:dyDescent="0.4">
      <c r="B9430" t="s">
        <v>7</v>
      </c>
      <c r="C9430" t="s">
        <v>1403</v>
      </c>
      <c r="D9430" s="7">
        <f>DATE(2011,4,25)</f>
        <v>40658</v>
      </c>
      <c r="E9430" s="8">
        <f t="shared" si="156"/>
        <v>2011</v>
      </c>
      <c r="F9430" t="s">
        <v>1409</v>
      </c>
      <c r="G9430" s="9">
        <v>9920.4500000000007</v>
      </c>
      <c r="H9430" s="8">
        <v>10630</v>
      </c>
    </row>
    <row r="9431" spans="2:8" x14ac:dyDescent="0.4">
      <c r="B9431" t="s">
        <v>16</v>
      </c>
      <c r="C9431" t="s">
        <v>1403</v>
      </c>
      <c r="D9431" s="7">
        <f>DATE(2004,5,27)</f>
        <v>38134</v>
      </c>
      <c r="E9431" s="8">
        <f t="shared" si="156"/>
        <v>2004</v>
      </c>
      <c r="F9431" t="s">
        <v>1409</v>
      </c>
      <c r="G9431" s="9">
        <v>2135</v>
      </c>
      <c r="H9431" s="8">
        <v>2139</v>
      </c>
    </row>
    <row r="9432" spans="2:8" x14ac:dyDescent="0.4">
      <c r="B9432" t="s">
        <v>7</v>
      </c>
      <c r="C9432" t="s">
        <v>1403</v>
      </c>
      <c r="D9432" s="7">
        <f>DATE(2015,1,20)</f>
        <v>42024</v>
      </c>
      <c r="E9432" s="8">
        <f t="shared" si="156"/>
        <v>2015</v>
      </c>
      <c r="F9432" t="s">
        <v>1410</v>
      </c>
      <c r="G9432" s="9">
        <v>8830.51</v>
      </c>
      <c r="H9432" s="8">
        <v>12</v>
      </c>
    </row>
    <row r="9433" spans="2:8" x14ac:dyDescent="0.4">
      <c r="B9433" t="s">
        <v>7</v>
      </c>
      <c r="C9433" t="s">
        <v>1403</v>
      </c>
      <c r="D9433" s="7">
        <f>DATE(2015,2,5)</f>
        <v>42040</v>
      </c>
      <c r="E9433" s="8">
        <f t="shared" si="156"/>
        <v>2015</v>
      </c>
      <c r="F9433" t="s">
        <v>1410</v>
      </c>
      <c r="G9433" s="9">
        <v>10199.4</v>
      </c>
      <c r="H9433" s="8">
        <v>72</v>
      </c>
    </row>
    <row r="9434" spans="2:8" x14ac:dyDescent="0.4">
      <c r="B9434" t="s">
        <v>7</v>
      </c>
      <c r="C9434" t="s">
        <v>1403</v>
      </c>
      <c r="D9434" s="7">
        <f>DATE(2015,8,26)</f>
        <v>42242</v>
      </c>
      <c r="E9434" s="8">
        <f t="shared" si="156"/>
        <v>2015</v>
      </c>
      <c r="F9434" t="s">
        <v>1410</v>
      </c>
      <c r="G9434" s="9">
        <v>8480.14</v>
      </c>
      <c r="H9434" s="8">
        <v>21090</v>
      </c>
    </row>
    <row r="9435" spans="2:8" x14ac:dyDescent="0.4">
      <c r="B9435" t="s">
        <v>7</v>
      </c>
      <c r="C9435" t="s">
        <v>1403</v>
      </c>
      <c r="D9435" s="7">
        <f>DATE(2015,12,9)</f>
        <v>42347</v>
      </c>
      <c r="E9435" s="8">
        <f t="shared" si="156"/>
        <v>2015</v>
      </c>
      <c r="F9435" t="s">
        <v>1410</v>
      </c>
      <c r="G9435" s="9">
        <v>9369.4699999999993</v>
      </c>
      <c r="H9435" s="8">
        <v>21353</v>
      </c>
    </row>
    <row r="9436" spans="2:8" x14ac:dyDescent="0.4">
      <c r="B9436" t="s">
        <v>7</v>
      </c>
      <c r="C9436" t="s">
        <v>1403</v>
      </c>
      <c r="D9436" s="7">
        <f>DATE(2016,1,4)</f>
        <v>42373</v>
      </c>
      <c r="E9436" s="8">
        <f t="shared" si="156"/>
        <v>2016</v>
      </c>
      <c r="F9436" t="s">
        <v>1410</v>
      </c>
      <c r="G9436" s="9">
        <v>8954.51</v>
      </c>
      <c r="H9436" s="8">
        <v>21540</v>
      </c>
    </row>
    <row r="9437" spans="2:8" x14ac:dyDescent="0.4">
      <c r="B9437" t="s">
        <v>7</v>
      </c>
      <c r="C9437" t="s">
        <v>1403</v>
      </c>
      <c r="D9437" s="7">
        <f>DATE(2016,5,6)</f>
        <v>42496</v>
      </c>
      <c r="E9437" s="8">
        <f t="shared" si="156"/>
        <v>2016</v>
      </c>
      <c r="F9437" t="s">
        <v>1410</v>
      </c>
      <c r="G9437" s="9">
        <v>8732.14</v>
      </c>
      <c r="H9437" s="8">
        <v>22471</v>
      </c>
    </row>
    <row r="9438" spans="2:8" x14ac:dyDescent="0.4">
      <c r="B9438" t="s">
        <v>7</v>
      </c>
      <c r="C9438" t="s">
        <v>1403</v>
      </c>
      <c r="D9438" s="7">
        <f>DATE(2016,11,30)</f>
        <v>42704</v>
      </c>
      <c r="E9438" s="8">
        <f t="shared" si="156"/>
        <v>2016</v>
      </c>
      <c r="F9438" t="s">
        <v>1410</v>
      </c>
      <c r="G9438" s="9">
        <v>7866.14</v>
      </c>
      <c r="H9438" s="8">
        <v>22472</v>
      </c>
    </row>
    <row r="9439" spans="2:8" x14ac:dyDescent="0.4">
      <c r="B9439" t="s">
        <v>7</v>
      </c>
      <c r="C9439" t="s">
        <v>1403</v>
      </c>
      <c r="D9439" s="7">
        <f>DATE(2017,1,3)</f>
        <v>42738</v>
      </c>
      <c r="E9439" s="8">
        <f t="shared" si="156"/>
        <v>2017</v>
      </c>
      <c r="F9439" t="s">
        <v>1410</v>
      </c>
      <c r="G9439" s="9">
        <v>8974.51</v>
      </c>
      <c r="H9439" s="8">
        <v>23833</v>
      </c>
    </row>
    <row r="9440" spans="2:8" x14ac:dyDescent="0.4">
      <c r="B9440" t="s">
        <v>7</v>
      </c>
      <c r="C9440" t="s">
        <v>1403</v>
      </c>
      <c r="D9440" s="7">
        <f>DATE(2017,1,11)</f>
        <v>42746</v>
      </c>
      <c r="E9440" s="8">
        <f t="shared" si="156"/>
        <v>2017</v>
      </c>
      <c r="F9440" t="s">
        <v>1410</v>
      </c>
      <c r="G9440" s="9">
        <v>8955.4</v>
      </c>
      <c r="H9440" s="8">
        <v>23886</v>
      </c>
    </row>
    <row r="9441" spans="2:8" x14ac:dyDescent="0.4">
      <c r="B9441" t="s">
        <v>7</v>
      </c>
      <c r="C9441" t="s">
        <v>1403</v>
      </c>
      <c r="D9441" s="7">
        <f>DATE(2017,4,26)</f>
        <v>42851</v>
      </c>
      <c r="E9441" s="8">
        <f t="shared" si="156"/>
        <v>2017</v>
      </c>
      <c r="F9441" t="s">
        <v>1410</v>
      </c>
      <c r="G9441" s="9">
        <v>8732.14</v>
      </c>
      <c r="H9441" s="8">
        <v>24485</v>
      </c>
    </row>
    <row r="9442" spans="2:8" x14ac:dyDescent="0.4">
      <c r="B9442" t="s">
        <v>7</v>
      </c>
      <c r="C9442" t="s">
        <v>1403</v>
      </c>
      <c r="D9442" s="7">
        <f>DATE(2017,11,3)</f>
        <v>43042</v>
      </c>
      <c r="E9442" s="8">
        <f t="shared" si="156"/>
        <v>2017</v>
      </c>
      <c r="F9442" t="s">
        <v>1410</v>
      </c>
      <c r="G9442" s="9">
        <v>10280.469999999999</v>
      </c>
      <c r="H9442" s="8">
        <v>23955</v>
      </c>
    </row>
    <row r="9443" spans="2:8" x14ac:dyDescent="0.4">
      <c r="B9443" t="s">
        <v>7</v>
      </c>
      <c r="C9443" t="s">
        <v>1403</v>
      </c>
      <c r="D9443" s="7">
        <f>DATE(2018,1,19)</f>
        <v>43119</v>
      </c>
      <c r="E9443" s="8">
        <f t="shared" si="156"/>
        <v>2018</v>
      </c>
      <c r="F9443" t="s">
        <v>1410</v>
      </c>
      <c r="G9443" s="9">
        <v>10532.51</v>
      </c>
      <c r="H9443" s="8">
        <v>26070</v>
      </c>
    </row>
    <row r="9444" spans="2:8" x14ac:dyDescent="0.4">
      <c r="B9444" t="s">
        <v>7</v>
      </c>
      <c r="C9444" t="s">
        <v>1403</v>
      </c>
      <c r="D9444" s="7">
        <f>DATE(2018,2,12)</f>
        <v>43143</v>
      </c>
      <c r="E9444" s="8">
        <f t="shared" si="156"/>
        <v>2018</v>
      </c>
      <c r="F9444" t="s">
        <v>1410</v>
      </c>
      <c r="G9444" s="9">
        <v>10610.64</v>
      </c>
      <c r="H9444" s="8">
        <v>26072</v>
      </c>
    </row>
    <row r="9445" spans="2:8" x14ac:dyDescent="0.4">
      <c r="B9445" t="s">
        <v>7</v>
      </c>
      <c r="C9445" t="s">
        <v>1403</v>
      </c>
      <c r="D9445" s="7">
        <f>DATE(2018,4,27)</f>
        <v>43217</v>
      </c>
      <c r="E9445" s="8">
        <f t="shared" si="156"/>
        <v>2018</v>
      </c>
      <c r="F9445" t="s">
        <v>1410</v>
      </c>
      <c r="G9445" s="9">
        <v>7971.7</v>
      </c>
      <c r="H9445" s="8">
        <v>26410</v>
      </c>
    </row>
    <row r="9446" spans="2:8" x14ac:dyDescent="0.4">
      <c r="B9446" t="s">
        <v>7</v>
      </c>
      <c r="C9446" t="s">
        <v>1403</v>
      </c>
      <c r="D9446" s="7">
        <f>DATE(2018,12,12)</f>
        <v>43446</v>
      </c>
      <c r="E9446" s="8">
        <f t="shared" si="156"/>
        <v>2018</v>
      </c>
      <c r="F9446" t="s">
        <v>1410</v>
      </c>
      <c r="G9446" s="9">
        <v>10871.5</v>
      </c>
      <c r="H9446" s="8">
        <v>27965</v>
      </c>
    </row>
    <row r="9447" spans="2:8" x14ac:dyDescent="0.4">
      <c r="B9447" t="s">
        <v>7</v>
      </c>
      <c r="C9447" t="s">
        <v>1403</v>
      </c>
      <c r="D9447" s="7">
        <f>DATE(2018,12,27)</f>
        <v>43461</v>
      </c>
      <c r="E9447" s="8">
        <f t="shared" si="156"/>
        <v>2018</v>
      </c>
      <c r="F9447" t="s">
        <v>1410</v>
      </c>
      <c r="G9447" s="9">
        <v>7000</v>
      </c>
      <c r="H9447" s="8">
        <v>27966</v>
      </c>
    </row>
    <row r="9448" spans="2:8" x14ac:dyDescent="0.4">
      <c r="B9448" t="s">
        <v>7</v>
      </c>
      <c r="C9448" t="s">
        <v>1403</v>
      </c>
      <c r="D9448" s="7">
        <f>DATE(2018,12,31)</f>
        <v>43465</v>
      </c>
      <c r="E9448" s="8">
        <f t="shared" si="156"/>
        <v>2018</v>
      </c>
      <c r="F9448" t="s">
        <v>1410</v>
      </c>
      <c r="G9448" s="9">
        <v>8995</v>
      </c>
      <c r="H9448" s="8">
        <v>28111</v>
      </c>
    </row>
    <row r="9449" spans="2:8" x14ac:dyDescent="0.4">
      <c r="B9449" t="s">
        <v>7</v>
      </c>
      <c r="C9449" t="s">
        <v>1403</v>
      </c>
      <c r="D9449" s="7">
        <f>DATE(2019,1,24)</f>
        <v>43489</v>
      </c>
      <c r="E9449" s="8">
        <f t="shared" si="156"/>
        <v>2019</v>
      </c>
      <c r="F9449" t="s">
        <v>1410</v>
      </c>
      <c r="G9449" s="9">
        <v>13069.5</v>
      </c>
      <c r="H9449" s="8">
        <v>28109</v>
      </c>
    </row>
    <row r="9450" spans="2:8" x14ac:dyDescent="0.4">
      <c r="B9450" t="s">
        <v>7</v>
      </c>
      <c r="C9450" t="s">
        <v>1403</v>
      </c>
      <c r="D9450" s="7">
        <f>DATE(2018,10,23)</f>
        <v>43396</v>
      </c>
      <c r="E9450" s="8">
        <f t="shared" si="156"/>
        <v>2018</v>
      </c>
      <c r="F9450" t="s">
        <v>1410</v>
      </c>
      <c r="G9450" s="9">
        <v>3973.97</v>
      </c>
      <c r="H9450" s="8">
        <v>27653</v>
      </c>
    </row>
    <row r="9451" spans="2:8" x14ac:dyDescent="0.4">
      <c r="B9451" t="s">
        <v>7</v>
      </c>
      <c r="C9451" t="s">
        <v>1403</v>
      </c>
      <c r="D9451" s="7">
        <f>DATE(2018,10,23)</f>
        <v>43396</v>
      </c>
      <c r="E9451" s="8">
        <f t="shared" si="156"/>
        <v>2018</v>
      </c>
      <c r="F9451" t="s">
        <v>1410</v>
      </c>
      <c r="G9451" s="9">
        <v>1182</v>
      </c>
      <c r="H9451" s="8">
        <v>27863</v>
      </c>
    </row>
    <row r="9452" spans="2:8" x14ac:dyDescent="0.4">
      <c r="B9452" t="s">
        <v>7</v>
      </c>
      <c r="C9452" t="s">
        <v>1403</v>
      </c>
      <c r="D9452" s="7">
        <f>DATE(2011,5,16)</f>
        <v>40679</v>
      </c>
      <c r="E9452" s="8">
        <f t="shared" si="156"/>
        <v>2011</v>
      </c>
      <c r="F9452" t="s">
        <v>1410</v>
      </c>
      <c r="G9452" s="9">
        <v>9243.3799999999992</v>
      </c>
      <c r="H9452" s="8">
        <v>10671</v>
      </c>
    </row>
    <row r="9453" spans="2:8" x14ac:dyDescent="0.4">
      <c r="B9453" t="s">
        <v>7</v>
      </c>
      <c r="C9453" t="s">
        <v>1403</v>
      </c>
      <c r="D9453" s="7">
        <f>DATE(2011,9,26)</f>
        <v>40812</v>
      </c>
      <c r="E9453" s="8">
        <f t="shared" si="156"/>
        <v>2011</v>
      </c>
      <c r="F9453" t="s">
        <v>1410</v>
      </c>
      <c r="G9453" s="9">
        <v>9100</v>
      </c>
      <c r="H9453" s="8">
        <v>11025</v>
      </c>
    </row>
    <row r="9454" spans="2:8" x14ac:dyDescent="0.4">
      <c r="B9454" t="s">
        <v>7</v>
      </c>
      <c r="C9454" t="s">
        <v>1403</v>
      </c>
      <c r="D9454" s="7">
        <f>DATE(2011,11,1)</f>
        <v>40848</v>
      </c>
      <c r="E9454" s="8">
        <f t="shared" si="156"/>
        <v>2011</v>
      </c>
      <c r="F9454" t="s">
        <v>1410</v>
      </c>
      <c r="G9454" s="9">
        <v>7419.78</v>
      </c>
      <c r="H9454" s="8">
        <v>11073</v>
      </c>
    </row>
    <row r="9455" spans="2:8" x14ac:dyDescent="0.4">
      <c r="B9455" t="s">
        <v>7</v>
      </c>
      <c r="C9455" t="s">
        <v>1403</v>
      </c>
      <c r="D9455" s="7">
        <f>DATE(2011,12,1)</f>
        <v>40878</v>
      </c>
      <c r="E9455" s="8">
        <f t="shared" si="156"/>
        <v>2011</v>
      </c>
      <c r="F9455" t="s">
        <v>1410</v>
      </c>
      <c r="G9455" s="9">
        <v>7468.78</v>
      </c>
      <c r="H9455" s="8">
        <v>11146</v>
      </c>
    </row>
    <row r="9456" spans="2:8" x14ac:dyDescent="0.4">
      <c r="B9456" t="s">
        <v>7</v>
      </c>
      <c r="C9456" t="s">
        <v>1403</v>
      </c>
      <c r="D9456" s="7">
        <f>DATE(2012,1,6)</f>
        <v>40914</v>
      </c>
      <c r="E9456" s="8">
        <f t="shared" si="156"/>
        <v>2012</v>
      </c>
      <c r="F9456" t="s">
        <v>1410</v>
      </c>
      <c r="G9456" s="9">
        <v>8840.3700000000008</v>
      </c>
      <c r="H9456" s="8">
        <v>11182</v>
      </c>
    </row>
    <row r="9457" spans="2:8" x14ac:dyDescent="0.4">
      <c r="B9457" t="s">
        <v>7</v>
      </c>
      <c r="C9457" t="s">
        <v>1403</v>
      </c>
      <c r="D9457" s="7">
        <f>DATE(2012,8,29)</f>
        <v>41150</v>
      </c>
      <c r="E9457" s="8">
        <f t="shared" si="156"/>
        <v>2012</v>
      </c>
      <c r="F9457" t="s">
        <v>1410</v>
      </c>
      <c r="G9457" s="9">
        <v>9400</v>
      </c>
      <c r="H9457" s="8">
        <v>11813</v>
      </c>
    </row>
    <row r="9458" spans="2:8" x14ac:dyDescent="0.4">
      <c r="B9458" t="s">
        <v>7</v>
      </c>
      <c r="C9458" t="s">
        <v>1403</v>
      </c>
      <c r="D9458" s="7">
        <f>DATE(2012,9,6)</f>
        <v>41158</v>
      </c>
      <c r="E9458" s="8">
        <f t="shared" si="156"/>
        <v>2012</v>
      </c>
      <c r="F9458" t="s">
        <v>1410</v>
      </c>
      <c r="G9458" s="9">
        <v>7470.82</v>
      </c>
      <c r="H9458" s="8">
        <v>11811</v>
      </c>
    </row>
    <row r="9459" spans="2:8" x14ac:dyDescent="0.4">
      <c r="B9459" t="s">
        <v>7</v>
      </c>
      <c r="C9459" t="s">
        <v>1403</v>
      </c>
      <c r="D9459" s="7">
        <f>DATE(2012,12,11)</f>
        <v>41254</v>
      </c>
      <c r="E9459" s="8">
        <f t="shared" si="156"/>
        <v>2012</v>
      </c>
      <c r="F9459" t="s">
        <v>1410</v>
      </c>
      <c r="G9459" s="9">
        <v>7014.82</v>
      </c>
      <c r="H9459" s="8">
        <v>11974</v>
      </c>
    </row>
    <row r="9460" spans="2:8" x14ac:dyDescent="0.4">
      <c r="B9460" t="s">
        <v>7</v>
      </c>
      <c r="C9460" t="s">
        <v>1403</v>
      </c>
      <c r="D9460" s="7">
        <f>DATE(2013,1,11)</f>
        <v>41285</v>
      </c>
      <c r="E9460" s="8">
        <f t="shared" si="156"/>
        <v>2013</v>
      </c>
      <c r="F9460" t="s">
        <v>1410</v>
      </c>
      <c r="G9460" s="9">
        <v>8241</v>
      </c>
      <c r="H9460" s="8">
        <v>11975</v>
      </c>
    </row>
    <row r="9461" spans="2:8" x14ac:dyDescent="0.4">
      <c r="B9461" t="s">
        <v>7</v>
      </c>
      <c r="C9461" t="s">
        <v>1403</v>
      </c>
      <c r="D9461" s="7">
        <f>DATE(2013,6,3)</f>
        <v>41428</v>
      </c>
      <c r="E9461" s="8">
        <f t="shared" si="156"/>
        <v>2013</v>
      </c>
      <c r="F9461" t="s">
        <v>1410</v>
      </c>
      <c r="G9461" s="9">
        <v>10732.61</v>
      </c>
      <c r="H9461" s="8">
        <v>12484</v>
      </c>
    </row>
    <row r="9462" spans="2:8" x14ac:dyDescent="0.4">
      <c r="B9462" t="s">
        <v>7</v>
      </c>
      <c r="C9462" t="s">
        <v>1403</v>
      </c>
      <c r="D9462" s="7">
        <f>DATE(2013,9,16)</f>
        <v>41533</v>
      </c>
      <c r="E9462" s="8">
        <f t="shared" si="156"/>
        <v>2013</v>
      </c>
      <c r="F9462" t="s">
        <v>1410</v>
      </c>
      <c r="G9462" s="9">
        <v>7470.82</v>
      </c>
      <c r="H9462" s="8">
        <v>12655</v>
      </c>
    </row>
    <row r="9463" spans="2:8" x14ac:dyDescent="0.4">
      <c r="B9463" t="s">
        <v>7</v>
      </c>
      <c r="C9463" t="s">
        <v>1403</v>
      </c>
      <c r="D9463" s="7">
        <f>DATE(2013,9,27)</f>
        <v>41544</v>
      </c>
      <c r="E9463" s="8">
        <f t="shared" si="156"/>
        <v>2013</v>
      </c>
      <c r="F9463" t="s">
        <v>1410</v>
      </c>
      <c r="G9463" s="9">
        <v>7014.82</v>
      </c>
      <c r="H9463" s="8">
        <v>12656</v>
      </c>
    </row>
    <row r="9464" spans="2:8" x14ac:dyDescent="0.4">
      <c r="B9464" t="s">
        <v>7</v>
      </c>
      <c r="C9464" t="s">
        <v>1403</v>
      </c>
      <c r="D9464" s="7">
        <f>DATE(2014,1,13)</f>
        <v>41652</v>
      </c>
      <c r="E9464" s="8">
        <f t="shared" si="156"/>
        <v>2014</v>
      </c>
      <c r="F9464" t="s">
        <v>1410</v>
      </c>
      <c r="G9464" s="9">
        <v>10725.33</v>
      </c>
      <c r="H9464" s="8">
        <v>12840</v>
      </c>
    </row>
    <row r="9465" spans="2:8" x14ac:dyDescent="0.4">
      <c r="B9465" t="s">
        <v>7</v>
      </c>
      <c r="C9465" t="s">
        <v>1403</v>
      </c>
      <c r="D9465" s="7">
        <f>DATE(2014,1,20)</f>
        <v>41659</v>
      </c>
      <c r="E9465" s="8">
        <f t="shared" si="156"/>
        <v>2014</v>
      </c>
      <c r="F9465" t="s">
        <v>1410</v>
      </c>
      <c r="G9465" s="9">
        <v>8714.6299999999992</v>
      </c>
      <c r="H9465" s="8">
        <v>12841</v>
      </c>
    </row>
    <row r="9466" spans="2:8" x14ac:dyDescent="0.4">
      <c r="B9466" t="s">
        <v>7</v>
      </c>
      <c r="C9466" t="s">
        <v>1403</v>
      </c>
      <c r="D9466" s="7">
        <f>DATE(2014,2,10)</f>
        <v>41680</v>
      </c>
      <c r="E9466" s="8">
        <f t="shared" si="156"/>
        <v>2014</v>
      </c>
      <c r="F9466" t="s">
        <v>1410</v>
      </c>
      <c r="G9466" s="9">
        <v>7984.36</v>
      </c>
      <c r="H9466" s="8">
        <v>12842</v>
      </c>
    </row>
    <row r="9467" spans="2:8" x14ac:dyDescent="0.4">
      <c r="B9467" t="s">
        <v>7</v>
      </c>
      <c r="C9467" t="s">
        <v>1403</v>
      </c>
      <c r="D9467" s="7">
        <f>DATE(2014,3,7)</f>
        <v>41705</v>
      </c>
      <c r="E9467" s="8">
        <f t="shared" si="156"/>
        <v>2014</v>
      </c>
      <c r="F9467" t="s">
        <v>1410</v>
      </c>
      <c r="G9467" s="9">
        <v>7470.82</v>
      </c>
      <c r="H9467" s="8">
        <v>12940</v>
      </c>
    </row>
    <row r="9468" spans="2:8" x14ac:dyDescent="0.4">
      <c r="B9468" t="s">
        <v>7</v>
      </c>
      <c r="C9468" t="s">
        <v>1403</v>
      </c>
      <c r="D9468" s="7">
        <f>DATE(2014,10,27)</f>
        <v>41939</v>
      </c>
      <c r="E9468" s="8">
        <f t="shared" si="156"/>
        <v>2014</v>
      </c>
      <c r="F9468" t="s">
        <v>1410</v>
      </c>
      <c r="G9468" s="9">
        <v>7027.34</v>
      </c>
      <c r="H9468" s="8">
        <v>13354</v>
      </c>
    </row>
    <row r="9469" spans="2:8" x14ac:dyDescent="0.4">
      <c r="B9469" t="s">
        <v>7</v>
      </c>
      <c r="C9469" t="s">
        <v>1403</v>
      </c>
      <c r="D9469" s="7">
        <f>DATE(2014,12,8)</f>
        <v>41981</v>
      </c>
      <c r="E9469" s="8">
        <f t="shared" si="156"/>
        <v>2014</v>
      </c>
      <c r="F9469" t="s">
        <v>1410</v>
      </c>
      <c r="G9469" s="9">
        <v>7984.36</v>
      </c>
      <c r="H9469" s="8">
        <v>13600</v>
      </c>
    </row>
    <row r="9470" spans="2:8" x14ac:dyDescent="0.4">
      <c r="B9470" t="s">
        <v>7</v>
      </c>
      <c r="C9470" t="s">
        <v>1403</v>
      </c>
      <c r="D9470" s="7">
        <f>DATE(2003,2,6)</f>
        <v>37658</v>
      </c>
      <c r="E9470" s="8">
        <f t="shared" si="156"/>
        <v>2003</v>
      </c>
      <c r="F9470" t="s">
        <v>1411</v>
      </c>
      <c r="G9470" s="9">
        <v>5808</v>
      </c>
      <c r="H9470" s="8">
        <v>101</v>
      </c>
    </row>
    <row r="9471" spans="2:8" x14ac:dyDescent="0.4">
      <c r="B9471" t="s">
        <v>7</v>
      </c>
      <c r="C9471" t="s">
        <v>1403</v>
      </c>
      <c r="D9471" s="7">
        <f>DATE(2003,2,5)</f>
        <v>37657</v>
      </c>
      <c r="E9471" s="8">
        <f t="shared" si="156"/>
        <v>2003</v>
      </c>
      <c r="F9471" t="s">
        <v>1411</v>
      </c>
      <c r="G9471" s="9">
        <v>2167</v>
      </c>
      <c r="H9471" s="8">
        <v>102</v>
      </c>
    </row>
    <row r="9472" spans="2:8" x14ac:dyDescent="0.4">
      <c r="B9472" t="s">
        <v>7</v>
      </c>
      <c r="C9472" t="s">
        <v>1403</v>
      </c>
      <c r="D9472" s="7">
        <f>DATE(2003,12,6)</f>
        <v>37961</v>
      </c>
      <c r="E9472" s="8">
        <f t="shared" si="156"/>
        <v>2003</v>
      </c>
      <c r="F9472" t="s">
        <v>1411</v>
      </c>
      <c r="G9472" s="9">
        <v>6900</v>
      </c>
      <c r="H9472" s="8">
        <v>1053</v>
      </c>
    </row>
    <row r="9473" spans="2:8" x14ac:dyDescent="0.4">
      <c r="B9473" t="s">
        <v>7</v>
      </c>
      <c r="C9473" t="s">
        <v>1403</v>
      </c>
      <c r="D9473" s="7">
        <f>DATE(2004,1,15)</f>
        <v>38001</v>
      </c>
      <c r="E9473" s="8">
        <f t="shared" si="156"/>
        <v>2004</v>
      </c>
      <c r="F9473" t="s">
        <v>1411</v>
      </c>
      <c r="G9473" s="9">
        <v>8016.95</v>
      </c>
      <c r="H9473" s="8">
        <v>1129</v>
      </c>
    </row>
    <row r="9474" spans="2:8" x14ac:dyDescent="0.4">
      <c r="B9474" t="s">
        <v>7</v>
      </c>
      <c r="C9474" t="s">
        <v>1403</v>
      </c>
      <c r="D9474" s="7">
        <f>DATE(2003,2,4)</f>
        <v>37656</v>
      </c>
      <c r="E9474" s="8">
        <f t="shared" si="156"/>
        <v>2003</v>
      </c>
      <c r="F9474" t="s">
        <v>1411</v>
      </c>
      <c r="G9474" s="9">
        <v>7850.9</v>
      </c>
      <c r="H9474" s="8">
        <v>1195</v>
      </c>
    </row>
    <row r="9475" spans="2:8" x14ac:dyDescent="0.4">
      <c r="B9475" t="s">
        <v>7</v>
      </c>
      <c r="C9475" t="s">
        <v>1403</v>
      </c>
      <c r="D9475" s="7">
        <f>DATE(2004,5,27)</f>
        <v>38134</v>
      </c>
      <c r="E9475" s="8">
        <f t="shared" ref="E9475:E9538" si="157">YEAR(D9475)</f>
        <v>2004</v>
      </c>
      <c r="F9475" t="s">
        <v>1411</v>
      </c>
      <c r="G9475" s="9">
        <v>5835</v>
      </c>
      <c r="H9475" s="8">
        <v>1750</v>
      </c>
    </row>
    <row r="9476" spans="2:8" x14ac:dyDescent="0.4">
      <c r="B9476" t="s">
        <v>7</v>
      </c>
      <c r="C9476" t="s">
        <v>1412</v>
      </c>
      <c r="D9476" s="7">
        <f>DATE(2012,5,24)</f>
        <v>41053</v>
      </c>
      <c r="E9476" s="8">
        <f t="shared" si="157"/>
        <v>2012</v>
      </c>
      <c r="F9476" t="s">
        <v>1413</v>
      </c>
      <c r="G9476" s="9">
        <v>22897.41</v>
      </c>
      <c r="H9476" s="8">
        <v>11286</v>
      </c>
    </row>
    <row r="9477" spans="2:8" x14ac:dyDescent="0.4">
      <c r="B9477" t="s">
        <v>7</v>
      </c>
      <c r="C9477" t="s">
        <v>1412</v>
      </c>
      <c r="D9477" s="7">
        <f>DATE(2012,5,22)</f>
        <v>41051</v>
      </c>
      <c r="E9477" s="8">
        <f t="shared" si="157"/>
        <v>2012</v>
      </c>
      <c r="F9477" t="s">
        <v>1413</v>
      </c>
      <c r="G9477" s="9">
        <v>21065.93</v>
      </c>
      <c r="H9477" s="8">
        <v>11285</v>
      </c>
    </row>
    <row r="9478" spans="2:8" x14ac:dyDescent="0.4">
      <c r="B9478" t="s">
        <v>7</v>
      </c>
      <c r="C9478" t="s">
        <v>1414</v>
      </c>
      <c r="D9478" s="7">
        <f>DATE(2015,5,13)</f>
        <v>42137</v>
      </c>
      <c r="E9478" s="8">
        <f t="shared" si="157"/>
        <v>2015</v>
      </c>
      <c r="F9478" t="s">
        <v>1415</v>
      </c>
      <c r="G9478" s="9">
        <v>8638.49</v>
      </c>
      <c r="H9478" s="8">
        <v>20269</v>
      </c>
    </row>
    <row r="9479" spans="2:8" x14ac:dyDescent="0.4">
      <c r="B9479" t="s">
        <v>7</v>
      </c>
      <c r="C9479" t="s">
        <v>1414</v>
      </c>
      <c r="D9479" s="7">
        <f>DATE(2010,4,29)</f>
        <v>40297</v>
      </c>
      <c r="E9479" s="8">
        <f t="shared" si="157"/>
        <v>2010</v>
      </c>
      <c r="F9479" t="s">
        <v>1415</v>
      </c>
      <c r="G9479" s="9">
        <v>3731</v>
      </c>
      <c r="H9479" s="8">
        <v>9763</v>
      </c>
    </row>
    <row r="9480" spans="2:8" x14ac:dyDescent="0.4">
      <c r="B9480" t="s">
        <v>7</v>
      </c>
      <c r="C9480" t="s">
        <v>1414</v>
      </c>
      <c r="D9480" s="7">
        <f>DATE(2003,5,16)</f>
        <v>37757</v>
      </c>
      <c r="E9480" s="8">
        <f t="shared" si="157"/>
        <v>2003</v>
      </c>
      <c r="F9480" t="s">
        <v>1415</v>
      </c>
      <c r="G9480" s="9">
        <v>6860.42</v>
      </c>
      <c r="H9480" s="8">
        <v>572</v>
      </c>
    </row>
    <row r="9481" spans="2:8" x14ac:dyDescent="0.4">
      <c r="B9481" t="s">
        <v>7</v>
      </c>
      <c r="C9481" t="s">
        <v>1414</v>
      </c>
      <c r="D9481" s="7">
        <f>DATE(2004,6,4)</f>
        <v>38142</v>
      </c>
      <c r="E9481" s="8">
        <f t="shared" si="157"/>
        <v>2004</v>
      </c>
      <c r="F9481" t="s">
        <v>1415</v>
      </c>
      <c r="G9481" s="9">
        <v>6869.59</v>
      </c>
      <c r="H9481" s="8">
        <v>1800</v>
      </c>
    </row>
    <row r="9482" spans="2:8" x14ac:dyDescent="0.4">
      <c r="B9482" t="s">
        <v>7</v>
      </c>
      <c r="C9482" t="s">
        <v>1414</v>
      </c>
      <c r="D9482" s="7">
        <f>DATE(2005,6,1)</f>
        <v>38504</v>
      </c>
      <c r="E9482" s="8">
        <f t="shared" si="157"/>
        <v>2005</v>
      </c>
      <c r="F9482" t="s">
        <v>1415</v>
      </c>
      <c r="G9482" s="9">
        <v>1711.13</v>
      </c>
      <c r="H9482" s="8">
        <v>3241</v>
      </c>
    </row>
    <row r="9483" spans="2:8" x14ac:dyDescent="0.4">
      <c r="B9483" t="s">
        <v>7</v>
      </c>
      <c r="C9483" t="s">
        <v>1414</v>
      </c>
      <c r="D9483" s="7">
        <f>DATE(2005,6,15)</f>
        <v>38518</v>
      </c>
      <c r="E9483" s="8">
        <f t="shared" si="157"/>
        <v>2005</v>
      </c>
      <c r="F9483" t="s">
        <v>1415</v>
      </c>
      <c r="G9483" s="9">
        <v>12196.04</v>
      </c>
      <c r="H9483" s="8">
        <v>2756</v>
      </c>
    </row>
    <row r="9484" spans="2:8" x14ac:dyDescent="0.4">
      <c r="B9484" t="s">
        <v>7</v>
      </c>
      <c r="C9484" t="s">
        <v>1414</v>
      </c>
      <c r="D9484" s="7">
        <f>DATE(2005,6,15)</f>
        <v>38518</v>
      </c>
      <c r="E9484" s="8">
        <f t="shared" si="157"/>
        <v>2005</v>
      </c>
      <c r="F9484" t="s">
        <v>1415</v>
      </c>
      <c r="G9484" s="9">
        <v>22252.19</v>
      </c>
      <c r="H9484" s="8">
        <v>2762</v>
      </c>
    </row>
    <row r="9485" spans="2:8" x14ac:dyDescent="0.4">
      <c r="B9485" t="s">
        <v>7</v>
      </c>
      <c r="C9485" t="s">
        <v>1414</v>
      </c>
      <c r="D9485" s="7">
        <f>DATE(2006,4,12)</f>
        <v>38819</v>
      </c>
      <c r="E9485" s="8">
        <f t="shared" si="157"/>
        <v>2006</v>
      </c>
      <c r="F9485" t="s">
        <v>1415</v>
      </c>
      <c r="G9485" s="9">
        <v>7814.69</v>
      </c>
      <c r="H9485" s="8">
        <v>4069</v>
      </c>
    </row>
    <row r="9486" spans="2:8" x14ac:dyDescent="0.4">
      <c r="B9486" t="s">
        <v>7</v>
      </c>
      <c r="C9486" t="s">
        <v>1414</v>
      </c>
      <c r="D9486" s="7">
        <f>DATE(2007,4,16)</f>
        <v>39188</v>
      </c>
      <c r="E9486" s="8">
        <f t="shared" si="157"/>
        <v>2007</v>
      </c>
      <c r="F9486" t="s">
        <v>1415</v>
      </c>
      <c r="G9486" s="9">
        <v>7462.19</v>
      </c>
      <c r="H9486" s="8">
        <v>5618</v>
      </c>
    </row>
    <row r="9487" spans="2:8" x14ac:dyDescent="0.4">
      <c r="B9487" t="s">
        <v>7</v>
      </c>
      <c r="C9487" t="s">
        <v>1414</v>
      </c>
      <c r="D9487" s="7">
        <f>DATE(2007,4,16)</f>
        <v>39188</v>
      </c>
      <c r="E9487" s="8">
        <f t="shared" si="157"/>
        <v>2007</v>
      </c>
      <c r="F9487" t="s">
        <v>1415</v>
      </c>
      <c r="G9487" s="9">
        <v>4140</v>
      </c>
      <c r="H9487" s="8">
        <v>5547</v>
      </c>
    </row>
    <row r="9488" spans="2:8" x14ac:dyDescent="0.4">
      <c r="B9488" t="s">
        <v>7</v>
      </c>
      <c r="C9488" t="s">
        <v>1414</v>
      </c>
      <c r="D9488" s="7">
        <f>DATE(2008,4,17)</f>
        <v>39555</v>
      </c>
      <c r="E9488" s="8">
        <f t="shared" si="157"/>
        <v>2008</v>
      </c>
      <c r="F9488" t="s">
        <v>1415</v>
      </c>
      <c r="G9488" s="9">
        <v>7691.34</v>
      </c>
      <c r="H9488" s="8">
        <v>7091</v>
      </c>
    </row>
    <row r="9489" spans="2:8" x14ac:dyDescent="0.4">
      <c r="B9489" t="s">
        <v>7</v>
      </c>
      <c r="C9489" t="s">
        <v>1414</v>
      </c>
      <c r="D9489" s="7">
        <f>DATE(2009,4,17)</f>
        <v>39920</v>
      </c>
      <c r="E9489" s="8">
        <f t="shared" si="157"/>
        <v>2009</v>
      </c>
      <c r="F9489" t="s">
        <v>1415</v>
      </c>
      <c r="G9489" s="9">
        <v>7920.33</v>
      </c>
      <c r="H9489" s="8">
        <v>8221</v>
      </c>
    </row>
    <row r="9490" spans="2:8" x14ac:dyDescent="0.4">
      <c r="B9490" t="s">
        <v>7</v>
      </c>
      <c r="C9490" t="s">
        <v>1414</v>
      </c>
      <c r="D9490" s="7">
        <f>DATE(2009,4,17)</f>
        <v>39920</v>
      </c>
      <c r="E9490" s="8">
        <f t="shared" si="157"/>
        <v>2009</v>
      </c>
      <c r="F9490" t="s">
        <v>1415</v>
      </c>
      <c r="G9490" s="9">
        <v>5978</v>
      </c>
      <c r="H9490" s="8">
        <v>8226</v>
      </c>
    </row>
    <row r="9491" spans="2:8" x14ac:dyDescent="0.4">
      <c r="B9491" t="s">
        <v>7</v>
      </c>
      <c r="C9491" t="s">
        <v>1414</v>
      </c>
      <c r="D9491" s="7">
        <f>DATE(2010,4,27)</f>
        <v>40295</v>
      </c>
      <c r="E9491" s="8">
        <f t="shared" si="157"/>
        <v>2010</v>
      </c>
      <c r="F9491" t="s">
        <v>1415</v>
      </c>
      <c r="G9491" s="9">
        <v>7937.64</v>
      </c>
      <c r="H9491" s="8">
        <v>9514</v>
      </c>
    </row>
    <row r="9492" spans="2:8" x14ac:dyDescent="0.4">
      <c r="B9492" t="s">
        <v>7</v>
      </c>
      <c r="C9492" t="s">
        <v>1414</v>
      </c>
      <c r="D9492" s="7">
        <f>DATE(2010,4,27)</f>
        <v>40295</v>
      </c>
      <c r="E9492" s="8">
        <f t="shared" si="157"/>
        <v>2010</v>
      </c>
      <c r="F9492" t="s">
        <v>1415</v>
      </c>
      <c r="G9492" s="9">
        <v>1563.48</v>
      </c>
      <c r="H9492" s="8">
        <v>9743</v>
      </c>
    </row>
    <row r="9493" spans="2:8" x14ac:dyDescent="0.4">
      <c r="B9493" t="s">
        <v>7</v>
      </c>
      <c r="C9493" t="s">
        <v>1414</v>
      </c>
      <c r="D9493" s="7">
        <f>DATE(2011,4,15)</f>
        <v>40648</v>
      </c>
      <c r="E9493" s="8">
        <f t="shared" si="157"/>
        <v>2011</v>
      </c>
      <c r="F9493" t="s">
        <v>1415</v>
      </c>
      <c r="G9493" s="9">
        <v>8322.91</v>
      </c>
      <c r="H9493" s="8">
        <v>10484</v>
      </c>
    </row>
    <row r="9494" spans="2:8" x14ac:dyDescent="0.4">
      <c r="B9494" t="s">
        <v>7</v>
      </c>
      <c r="C9494" t="s">
        <v>1414</v>
      </c>
      <c r="D9494" s="7">
        <f>DATE(2012,5,9)</f>
        <v>41038</v>
      </c>
      <c r="E9494" s="8">
        <f t="shared" si="157"/>
        <v>2012</v>
      </c>
      <c r="F9494" t="s">
        <v>1415</v>
      </c>
      <c r="G9494" s="9">
        <v>8791.74</v>
      </c>
      <c r="H9494" s="8">
        <v>11501</v>
      </c>
    </row>
    <row r="9495" spans="2:8" x14ac:dyDescent="0.4">
      <c r="B9495" t="s">
        <v>7</v>
      </c>
      <c r="C9495" t="s">
        <v>1414</v>
      </c>
      <c r="D9495" s="7">
        <f>DATE(2013,5,20)</f>
        <v>41414</v>
      </c>
      <c r="E9495" s="8">
        <f t="shared" si="157"/>
        <v>2013</v>
      </c>
      <c r="F9495" t="s">
        <v>1415</v>
      </c>
      <c r="G9495" s="9">
        <v>8697.02</v>
      </c>
      <c r="H9495" s="8">
        <v>12358</v>
      </c>
    </row>
    <row r="9496" spans="2:8" x14ac:dyDescent="0.4">
      <c r="B9496" t="s">
        <v>7</v>
      </c>
      <c r="C9496" t="s">
        <v>1414</v>
      </c>
      <c r="D9496" s="7">
        <f>DATE(2014,5,12)</f>
        <v>41771</v>
      </c>
      <c r="E9496" s="8">
        <f t="shared" si="157"/>
        <v>2014</v>
      </c>
      <c r="F9496" t="s">
        <v>1415</v>
      </c>
      <c r="G9496" s="9">
        <v>8638.49</v>
      </c>
      <c r="H9496" s="8">
        <v>13092</v>
      </c>
    </row>
    <row r="9497" spans="2:8" x14ac:dyDescent="0.4">
      <c r="B9497" t="s">
        <v>7</v>
      </c>
      <c r="C9497" t="s">
        <v>1414</v>
      </c>
      <c r="D9497" s="7">
        <f>DATE(2013,12,10)</f>
        <v>41618</v>
      </c>
      <c r="E9497" s="8">
        <f t="shared" si="157"/>
        <v>2013</v>
      </c>
      <c r="F9497" t="s">
        <v>1415</v>
      </c>
      <c r="G9497" s="9">
        <v>2576.73</v>
      </c>
      <c r="H9497" s="8">
        <v>12834</v>
      </c>
    </row>
    <row r="9498" spans="2:8" x14ac:dyDescent="0.4">
      <c r="B9498" t="s">
        <v>7</v>
      </c>
      <c r="C9498" t="s">
        <v>1414</v>
      </c>
      <c r="D9498" s="7">
        <f>DATE(2012,5,1)</f>
        <v>41030</v>
      </c>
      <c r="E9498" s="8">
        <f t="shared" si="157"/>
        <v>2012</v>
      </c>
      <c r="F9498" t="s">
        <v>1416</v>
      </c>
      <c r="G9498" s="9">
        <v>8900</v>
      </c>
      <c r="H9498" s="8">
        <v>11582</v>
      </c>
    </row>
    <row r="9499" spans="2:8" x14ac:dyDescent="0.4">
      <c r="B9499" t="s">
        <v>7</v>
      </c>
      <c r="C9499" t="s">
        <v>1417</v>
      </c>
      <c r="D9499" s="7">
        <f>DATE(2015,3,10)</f>
        <v>42073</v>
      </c>
      <c r="E9499" s="8">
        <f t="shared" si="157"/>
        <v>2015</v>
      </c>
      <c r="F9499" t="s">
        <v>1418</v>
      </c>
      <c r="G9499" s="9">
        <v>2004.53</v>
      </c>
      <c r="H9499" s="8">
        <v>5030</v>
      </c>
    </row>
    <row r="9500" spans="2:8" x14ac:dyDescent="0.4">
      <c r="B9500" t="s">
        <v>7</v>
      </c>
      <c r="C9500" t="s">
        <v>1417</v>
      </c>
      <c r="D9500" s="7">
        <f>DATE(2017,4,3)</f>
        <v>42828</v>
      </c>
      <c r="E9500" s="8">
        <f t="shared" si="157"/>
        <v>2017</v>
      </c>
      <c r="F9500" t="s">
        <v>1418</v>
      </c>
      <c r="G9500" s="9">
        <v>1312.48</v>
      </c>
      <c r="H9500" s="8">
        <v>24466</v>
      </c>
    </row>
    <row r="9501" spans="2:8" x14ac:dyDescent="0.4">
      <c r="B9501" t="s">
        <v>7</v>
      </c>
      <c r="C9501" t="s">
        <v>1417</v>
      </c>
      <c r="D9501" s="7">
        <f>DATE(2004,12,9)</f>
        <v>38330</v>
      </c>
      <c r="E9501" s="8">
        <f t="shared" si="157"/>
        <v>2004</v>
      </c>
      <c r="F9501" t="s">
        <v>1418</v>
      </c>
      <c r="G9501" s="9">
        <v>8200</v>
      </c>
      <c r="H9501" s="8">
        <v>2337</v>
      </c>
    </row>
    <row r="9502" spans="2:8" x14ac:dyDescent="0.4">
      <c r="B9502" t="s">
        <v>7</v>
      </c>
      <c r="C9502" t="s">
        <v>1417</v>
      </c>
      <c r="D9502" s="7">
        <f>DATE(2006,11,28)</f>
        <v>39049</v>
      </c>
      <c r="E9502" s="8">
        <f t="shared" si="157"/>
        <v>2006</v>
      </c>
      <c r="F9502" t="s">
        <v>1418</v>
      </c>
      <c r="G9502" s="9">
        <v>6078.01</v>
      </c>
      <c r="H9502" s="8">
        <v>5193</v>
      </c>
    </row>
    <row r="9503" spans="2:8" x14ac:dyDescent="0.4">
      <c r="B9503" t="s">
        <v>7</v>
      </c>
      <c r="C9503" t="s">
        <v>1417</v>
      </c>
      <c r="D9503" s="7">
        <f>DATE(2007,11,1)</f>
        <v>39387</v>
      </c>
      <c r="E9503" s="8">
        <f t="shared" si="157"/>
        <v>2007</v>
      </c>
      <c r="F9503" t="s">
        <v>1418</v>
      </c>
      <c r="G9503" s="9">
        <v>1226.07</v>
      </c>
      <c r="H9503" s="8">
        <v>6563</v>
      </c>
    </row>
    <row r="9504" spans="2:8" x14ac:dyDescent="0.4">
      <c r="B9504" t="s">
        <v>7</v>
      </c>
      <c r="C9504" t="s">
        <v>1417</v>
      </c>
      <c r="D9504" s="7">
        <f>DATE(2011,4,13)</f>
        <v>40646</v>
      </c>
      <c r="E9504" s="8">
        <f t="shared" si="157"/>
        <v>2011</v>
      </c>
      <c r="F9504" t="s">
        <v>1418</v>
      </c>
      <c r="G9504" s="9">
        <v>11850</v>
      </c>
      <c r="H9504" s="8">
        <v>10611</v>
      </c>
    </row>
    <row r="9505" spans="2:8" x14ac:dyDescent="0.4">
      <c r="B9505" s="3" t="s">
        <v>7</v>
      </c>
      <c r="C9505" s="3" t="s">
        <v>1417</v>
      </c>
      <c r="D9505" s="4">
        <f>DATE(2003,4,3)</f>
        <v>37714</v>
      </c>
      <c r="E9505" s="5">
        <f t="shared" si="157"/>
        <v>2003</v>
      </c>
      <c r="F9505" s="3" t="s">
        <v>1418</v>
      </c>
      <c r="G9505" s="6">
        <v>1183.75</v>
      </c>
      <c r="H9505" s="5">
        <v>678</v>
      </c>
    </row>
    <row r="9506" spans="2:8" x14ac:dyDescent="0.4">
      <c r="B9506" s="3" t="s">
        <v>7</v>
      </c>
      <c r="C9506" s="3" t="s">
        <v>1417</v>
      </c>
      <c r="D9506" s="4">
        <f>DATE(2003,5,2)</f>
        <v>37743</v>
      </c>
      <c r="E9506" s="5">
        <f t="shared" si="157"/>
        <v>2003</v>
      </c>
      <c r="F9506" s="3" t="s">
        <v>1418</v>
      </c>
      <c r="G9506" s="6">
        <v>1710.75</v>
      </c>
      <c r="H9506" s="5">
        <v>885</v>
      </c>
    </row>
    <row r="9507" spans="2:8" x14ac:dyDescent="0.4">
      <c r="B9507" s="3" t="s">
        <v>7</v>
      </c>
      <c r="C9507" s="3" t="s">
        <v>1417</v>
      </c>
      <c r="D9507" s="4">
        <f>DATE(2003,5,9)</f>
        <v>37750</v>
      </c>
      <c r="E9507" s="5">
        <f t="shared" si="157"/>
        <v>2003</v>
      </c>
      <c r="F9507" s="3" t="s">
        <v>1418</v>
      </c>
      <c r="G9507" s="6">
        <v>3365.75</v>
      </c>
      <c r="H9507" s="5">
        <v>919</v>
      </c>
    </row>
    <row r="9508" spans="2:8" x14ac:dyDescent="0.4">
      <c r="B9508" s="3" t="s">
        <v>7</v>
      </c>
      <c r="C9508" s="3" t="s">
        <v>1417</v>
      </c>
      <c r="D9508" s="4">
        <f>DATE(2003,5,20)</f>
        <v>37761</v>
      </c>
      <c r="E9508" s="5">
        <f t="shared" si="157"/>
        <v>2003</v>
      </c>
      <c r="F9508" s="3" t="s">
        <v>1418</v>
      </c>
      <c r="G9508" s="6">
        <v>1156</v>
      </c>
      <c r="H9508" s="5">
        <v>995</v>
      </c>
    </row>
    <row r="9509" spans="2:8" x14ac:dyDescent="0.4">
      <c r="B9509" s="3" t="s">
        <v>7</v>
      </c>
      <c r="C9509" s="3" t="s">
        <v>1417</v>
      </c>
      <c r="D9509" s="4">
        <f>DATE(2003,5,30)</f>
        <v>37771</v>
      </c>
      <c r="E9509" s="5">
        <f t="shared" si="157"/>
        <v>2003</v>
      </c>
      <c r="F9509" s="3" t="s">
        <v>1418</v>
      </c>
      <c r="G9509" s="6">
        <v>640</v>
      </c>
      <c r="H9509" s="5">
        <v>1042</v>
      </c>
    </row>
    <row r="9510" spans="2:8" x14ac:dyDescent="0.4">
      <c r="B9510" s="3" t="s">
        <v>7</v>
      </c>
      <c r="C9510" s="3" t="s">
        <v>1417</v>
      </c>
      <c r="D9510" s="4">
        <f>DATE(2003,10,22)</f>
        <v>37916</v>
      </c>
      <c r="E9510" s="5">
        <f t="shared" si="157"/>
        <v>2003</v>
      </c>
      <c r="F9510" s="3" t="s">
        <v>1418</v>
      </c>
      <c r="G9510" s="6">
        <v>1561</v>
      </c>
      <c r="H9510" s="5">
        <v>1678</v>
      </c>
    </row>
    <row r="9511" spans="2:8" x14ac:dyDescent="0.4">
      <c r="B9511" s="3" t="s">
        <v>7</v>
      </c>
      <c r="C9511" s="3" t="s">
        <v>1417</v>
      </c>
      <c r="D9511" s="4">
        <f>DATE(2004,1,12)</f>
        <v>37998</v>
      </c>
      <c r="E9511" s="5">
        <f t="shared" si="157"/>
        <v>2004</v>
      </c>
      <c r="F9511" s="3" t="s">
        <v>1418</v>
      </c>
      <c r="G9511" s="6">
        <v>1461</v>
      </c>
      <c r="H9511" s="5">
        <v>1980</v>
      </c>
    </row>
    <row r="9512" spans="2:8" x14ac:dyDescent="0.4">
      <c r="B9512" s="3" t="s">
        <v>7</v>
      </c>
      <c r="C9512" s="3" t="s">
        <v>1417</v>
      </c>
      <c r="D9512" s="4">
        <f>DATE(2004,3,1)</f>
        <v>38047</v>
      </c>
      <c r="E9512" s="5">
        <f t="shared" si="157"/>
        <v>2004</v>
      </c>
      <c r="F9512" s="3" t="s">
        <v>1418</v>
      </c>
      <c r="G9512" s="6">
        <v>73</v>
      </c>
      <c r="H9512" s="5">
        <v>2299</v>
      </c>
    </row>
    <row r="9513" spans="2:8" x14ac:dyDescent="0.4">
      <c r="B9513" s="3" t="s">
        <v>7</v>
      </c>
      <c r="C9513" s="3" t="s">
        <v>1417</v>
      </c>
      <c r="D9513" s="4">
        <f>DATE(2004,5,11)</f>
        <v>38118</v>
      </c>
      <c r="E9513" s="5">
        <f t="shared" si="157"/>
        <v>2004</v>
      </c>
      <c r="F9513" s="3" t="s">
        <v>1418</v>
      </c>
      <c r="G9513" s="6">
        <v>1461</v>
      </c>
      <c r="H9513" s="5">
        <v>2864</v>
      </c>
    </row>
    <row r="9514" spans="2:8" x14ac:dyDescent="0.4">
      <c r="B9514" s="3" t="s">
        <v>7</v>
      </c>
      <c r="C9514" s="3" t="s">
        <v>1417</v>
      </c>
      <c r="D9514" s="4">
        <f>DATE(2004,9,2)</f>
        <v>38232</v>
      </c>
      <c r="E9514" s="5">
        <f t="shared" si="157"/>
        <v>2004</v>
      </c>
      <c r="F9514" s="3" t="s">
        <v>1418</v>
      </c>
      <c r="G9514" s="6">
        <v>2986</v>
      </c>
      <c r="H9514" s="5">
        <v>3324</v>
      </c>
    </row>
    <row r="9515" spans="2:8" x14ac:dyDescent="0.4">
      <c r="B9515" s="3" t="s">
        <v>7</v>
      </c>
      <c r="C9515" s="3" t="s">
        <v>1417</v>
      </c>
      <c r="D9515" s="4">
        <f>DATE(2004,10,5)</f>
        <v>38265</v>
      </c>
      <c r="E9515" s="5">
        <f t="shared" si="157"/>
        <v>2004</v>
      </c>
      <c r="F9515" s="3" t="s">
        <v>1418</v>
      </c>
      <c r="G9515" s="6">
        <v>3823.44</v>
      </c>
      <c r="H9515" s="5">
        <v>3515</v>
      </c>
    </row>
    <row r="9516" spans="2:8" x14ac:dyDescent="0.4">
      <c r="B9516" s="3" t="s">
        <v>7</v>
      </c>
      <c r="C9516" s="3" t="s">
        <v>1417</v>
      </c>
      <c r="D9516" s="4">
        <f>DATE(2004,11,5)</f>
        <v>38296</v>
      </c>
      <c r="E9516" s="5">
        <f t="shared" si="157"/>
        <v>2004</v>
      </c>
      <c r="F9516" s="3" t="s">
        <v>1418</v>
      </c>
      <c r="G9516" s="6">
        <v>633</v>
      </c>
      <c r="H9516" s="5">
        <v>3554</v>
      </c>
    </row>
    <row r="9517" spans="2:8" x14ac:dyDescent="0.4">
      <c r="B9517" s="3" t="s">
        <v>7</v>
      </c>
      <c r="C9517" s="3" t="s">
        <v>1417</v>
      </c>
      <c r="D9517" s="4">
        <f>DATE(2004,11,15)</f>
        <v>38306</v>
      </c>
      <c r="E9517" s="5">
        <f t="shared" si="157"/>
        <v>2004</v>
      </c>
      <c r="F9517" s="3" t="s">
        <v>1418</v>
      </c>
      <c r="G9517" s="6">
        <v>1262</v>
      </c>
      <c r="H9517" s="5">
        <v>3706</v>
      </c>
    </row>
    <row r="9518" spans="2:8" x14ac:dyDescent="0.4">
      <c r="B9518" s="3" t="s">
        <v>7</v>
      </c>
      <c r="C9518" s="3" t="s">
        <v>1417</v>
      </c>
      <c r="D9518" s="4">
        <f>DATE(2004,11,22)</f>
        <v>38313</v>
      </c>
      <c r="E9518" s="5">
        <f t="shared" si="157"/>
        <v>2004</v>
      </c>
      <c r="F9518" s="3" t="s">
        <v>1418</v>
      </c>
      <c r="G9518" s="6">
        <v>1677.59</v>
      </c>
      <c r="H9518" s="5">
        <v>3714</v>
      </c>
    </row>
    <row r="9519" spans="2:8" x14ac:dyDescent="0.4">
      <c r="B9519" s="3" t="s">
        <v>7</v>
      </c>
      <c r="C9519" s="3" t="s">
        <v>1417</v>
      </c>
      <c r="D9519" s="4">
        <f>DATE(2004,11,22)</f>
        <v>38313</v>
      </c>
      <c r="E9519" s="5">
        <f t="shared" si="157"/>
        <v>2004</v>
      </c>
      <c r="F9519" s="3" t="s">
        <v>1418</v>
      </c>
      <c r="G9519" s="6">
        <v>1292</v>
      </c>
      <c r="H9519" s="5">
        <v>3780</v>
      </c>
    </row>
    <row r="9520" spans="2:8" x14ac:dyDescent="0.4">
      <c r="B9520" s="3" t="s">
        <v>7</v>
      </c>
      <c r="C9520" s="3" t="s">
        <v>1417</v>
      </c>
      <c r="D9520" s="4">
        <f>DATE(2005,2,15)</f>
        <v>38398</v>
      </c>
      <c r="E9520" s="5">
        <f t="shared" si="157"/>
        <v>2005</v>
      </c>
      <c r="F9520" s="3" t="s">
        <v>1418</v>
      </c>
      <c r="G9520" s="6">
        <v>3126</v>
      </c>
      <c r="H9520" s="5">
        <v>4141</v>
      </c>
    </row>
    <row r="9521" spans="2:8" x14ac:dyDescent="0.4">
      <c r="B9521" s="3" t="s">
        <v>7</v>
      </c>
      <c r="C9521" s="3" t="s">
        <v>1417</v>
      </c>
      <c r="D9521" s="4">
        <f>DATE(2005,3,7)</f>
        <v>38418</v>
      </c>
      <c r="E9521" s="5">
        <f t="shared" si="157"/>
        <v>2005</v>
      </c>
      <c r="F9521" s="3" t="s">
        <v>1418</v>
      </c>
      <c r="G9521" s="6">
        <v>369.75</v>
      </c>
      <c r="H9521" s="5">
        <v>4272</v>
      </c>
    </row>
    <row r="9522" spans="2:8" x14ac:dyDescent="0.4">
      <c r="B9522" s="3" t="s">
        <v>7</v>
      </c>
      <c r="C9522" s="3" t="s">
        <v>1417</v>
      </c>
      <c r="D9522" s="4">
        <f>DATE(2005,3,10)</f>
        <v>38421</v>
      </c>
      <c r="E9522" s="5">
        <f t="shared" si="157"/>
        <v>2005</v>
      </c>
      <c r="F9522" s="3" t="s">
        <v>1418</v>
      </c>
      <c r="G9522" s="6">
        <v>923.5</v>
      </c>
      <c r="H9522" s="5">
        <v>4306</v>
      </c>
    </row>
    <row r="9523" spans="2:8" x14ac:dyDescent="0.4">
      <c r="B9523" s="3" t="s">
        <v>7</v>
      </c>
      <c r="C9523" s="3" t="s">
        <v>1417</v>
      </c>
      <c r="D9523" s="4">
        <f>DATE(2005,6,17)</f>
        <v>38520</v>
      </c>
      <c r="E9523" s="5">
        <f t="shared" si="157"/>
        <v>2005</v>
      </c>
      <c r="F9523" s="3" t="s">
        <v>1418</v>
      </c>
      <c r="G9523" s="6">
        <v>382</v>
      </c>
      <c r="H9523" s="5">
        <v>4892</v>
      </c>
    </row>
    <row r="9524" spans="2:8" x14ac:dyDescent="0.4">
      <c r="B9524" s="3" t="s">
        <v>7</v>
      </c>
      <c r="C9524" s="3" t="s">
        <v>1417</v>
      </c>
      <c r="D9524" s="4">
        <f>DATE(2005,7,13)</f>
        <v>38546</v>
      </c>
      <c r="E9524" s="5">
        <f t="shared" si="157"/>
        <v>2005</v>
      </c>
      <c r="F9524" s="3" t="s">
        <v>1418</v>
      </c>
      <c r="G9524" s="6">
        <v>648</v>
      </c>
      <c r="H9524" s="5">
        <v>4979</v>
      </c>
    </row>
    <row r="9525" spans="2:8" x14ac:dyDescent="0.4">
      <c r="B9525" s="3" t="s">
        <v>7</v>
      </c>
      <c r="C9525" s="3" t="s">
        <v>1417</v>
      </c>
      <c r="D9525" s="4">
        <f>DATE(2005,7,20)</f>
        <v>38553</v>
      </c>
      <c r="E9525" s="5">
        <f t="shared" si="157"/>
        <v>2005</v>
      </c>
      <c r="F9525" s="3" t="s">
        <v>1418</v>
      </c>
      <c r="G9525" s="6">
        <v>634</v>
      </c>
      <c r="H9525" s="5">
        <v>5003</v>
      </c>
    </row>
    <row r="9526" spans="2:8" x14ac:dyDescent="0.4">
      <c r="B9526" s="3" t="s">
        <v>7</v>
      </c>
      <c r="C9526" s="3" t="s">
        <v>1417</v>
      </c>
      <c r="D9526" s="4">
        <f>DATE(2005,8,9)</f>
        <v>38573</v>
      </c>
      <c r="E9526" s="5">
        <f t="shared" si="157"/>
        <v>2005</v>
      </c>
      <c r="F9526" s="3" t="s">
        <v>1418</v>
      </c>
      <c r="G9526" s="6">
        <v>1010</v>
      </c>
      <c r="H9526" s="5">
        <v>5082</v>
      </c>
    </row>
    <row r="9527" spans="2:8" x14ac:dyDescent="0.4">
      <c r="B9527" s="3" t="s">
        <v>7</v>
      </c>
      <c r="C9527" s="3" t="s">
        <v>1417</v>
      </c>
      <c r="D9527" s="4">
        <f>DATE(2006,6,8)</f>
        <v>38876</v>
      </c>
      <c r="E9527" s="5">
        <f t="shared" si="157"/>
        <v>2006</v>
      </c>
      <c r="F9527" s="3" t="s">
        <v>1418</v>
      </c>
      <c r="G9527" s="6">
        <v>3904.17</v>
      </c>
      <c r="H9527" s="5">
        <v>6835</v>
      </c>
    </row>
    <row r="9528" spans="2:8" x14ac:dyDescent="0.4">
      <c r="B9528" s="3" t="s">
        <v>7</v>
      </c>
      <c r="C9528" s="3" t="s">
        <v>1417</v>
      </c>
      <c r="D9528" s="4">
        <f>DATE(2006,6,8)</f>
        <v>38876</v>
      </c>
      <c r="E9528" s="5">
        <f t="shared" si="157"/>
        <v>2006</v>
      </c>
      <c r="F9528" s="3" t="s">
        <v>1418</v>
      </c>
      <c r="G9528" s="6">
        <v>4577.2299999999996</v>
      </c>
      <c r="H9528" s="5">
        <v>6836</v>
      </c>
    </row>
    <row r="9529" spans="2:8" x14ac:dyDescent="0.4">
      <c r="B9529" s="3" t="s">
        <v>7</v>
      </c>
      <c r="C9529" s="3" t="s">
        <v>1417</v>
      </c>
      <c r="D9529" s="4">
        <f>DATE(2006,9,5)</f>
        <v>38965</v>
      </c>
      <c r="E9529" s="5">
        <f t="shared" si="157"/>
        <v>2006</v>
      </c>
      <c r="F9529" s="3" t="s">
        <v>1418</v>
      </c>
      <c r="G9529" s="6">
        <v>2282.1</v>
      </c>
      <c r="H9529" s="5">
        <v>7186</v>
      </c>
    </row>
    <row r="9530" spans="2:8" x14ac:dyDescent="0.4">
      <c r="B9530" s="3" t="s">
        <v>7</v>
      </c>
      <c r="C9530" s="3" t="s">
        <v>1417</v>
      </c>
      <c r="D9530" s="4">
        <f>DATE(2006,9,7)</f>
        <v>38967</v>
      </c>
      <c r="E9530" s="5">
        <f t="shared" si="157"/>
        <v>2006</v>
      </c>
      <c r="F9530" s="3" t="s">
        <v>1418</v>
      </c>
      <c r="G9530" s="6">
        <v>483.34</v>
      </c>
      <c r="H9530" s="5">
        <v>7206</v>
      </c>
    </row>
    <row r="9531" spans="2:8" x14ac:dyDescent="0.4">
      <c r="B9531" s="3" t="s">
        <v>7</v>
      </c>
      <c r="C9531" s="3" t="s">
        <v>1417</v>
      </c>
      <c r="D9531" s="4">
        <f>DATE(2006,11,6)</f>
        <v>39027</v>
      </c>
      <c r="E9531" s="5">
        <f t="shared" si="157"/>
        <v>2006</v>
      </c>
      <c r="F9531" s="3" t="s">
        <v>1418</v>
      </c>
      <c r="G9531" s="6">
        <v>2054.0300000000002</v>
      </c>
      <c r="H9531" s="5">
        <v>7484</v>
      </c>
    </row>
    <row r="9532" spans="2:8" x14ac:dyDescent="0.4">
      <c r="B9532" s="3" t="s">
        <v>7</v>
      </c>
      <c r="C9532" s="3" t="s">
        <v>1417</v>
      </c>
      <c r="D9532" s="4">
        <f>DATE(2006,11,28)</f>
        <v>39049</v>
      </c>
      <c r="E9532" s="5">
        <f t="shared" si="157"/>
        <v>2006</v>
      </c>
      <c r="F9532" s="3" t="s">
        <v>1418</v>
      </c>
      <c r="G9532" s="6">
        <v>4471</v>
      </c>
      <c r="H9532" s="5">
        <v>7581</v>
      </c>
    </row>
    <row r="9533" spans="2:8" x14ac:dyDescent="0.4">
      <c r="B9533" s="3" t="s">
        <v>7</v>
      </c>
      <c r="C9533" s="3" t="s">
        <v>1417</v>
      </c>
      <c r="D9533" s="4">
        <f>DATE(2007,1,30)</f>
        <v>39112</v>
      </c>
      <c r="E9533" s="5">
        <f t="shared" si="157"/>
        <v>2007</v>
      </c>
      <c r="F9533" s="3" t="s">
        <v>1418</v>
      </c>
      <c r="G9533" s="6">
        <v>438</v>
      </c>
      <c r="H9533" s="5">
        <v>7847</v>
      </c>
    </row>
    <row r="9534" spans="2:8" x14ac:dyDescent="0.4">
      <c r="B9534" s="3" t="s">
        <v>7</v>
      </c>
      <c r="C9534" s="3" t="s">
        <v>1417</v>
      </c>
      <c r="D9534" s="4">
        <f>DATE(2007,2,9)</f>
        <v>39122</v>
      </c>
      <c r="E9534" s="5">
        <f t="shared" si="157"/>
        <v>2007</v>
      </c>
      <c r="F9534" s="3" t="s">
        <v>1418</v>
      </c>
      <c r="G9534" s="6">
        <v>939.63</v>
      </c>
      <c r="H9534" s="5">
        <v>7888</v>
      </c>
    </row>
    <row r="9535" spans="2:8" x14ac:dyDescent="0.4">
      <c r="B9535" s="3" t="s">
        <v>7</v>
      </c>
      <c r="C9535" s="3" t="s">
        <v>1417</v>
      </c>
      <c r="D9535" s="4">
        <f>DATE(2007,7,31)</f>
        <v>39294</v>
      </c>
      <c r="E9535" s="5">
        <f t="shared" si="157"/>
        <v>2007</v>
      </c>
      <c r="F9535" s="3" t="s">
        <v>1418</v>
      </c>
      <c r="G9535" s="6">
        <v>4470</v>
      </c>
      <c r="H9535" s="5">
        <v>8929</v>
      </c>
    </row>
    <row r="9536" spans="2:8" x14ac:dyDescent="0.4">
      <c r="B9536" s="3" t="s">
        <v>7</v>
      </c>
      <c r="C9536" s="3" t="s">
        <v>1417</v>
      </c>
      <c r="D9536" s="4">
        <f>DATE(2007,8,13)</f>
        <v>39307</v>
      </c>
      <c r="E9536" s="5">
        <f t="shared" si="157"/>
        <v>2007</v>
      </c>
      <c r="F9536" s="3" t="s">
        <v>1418</v>
      </c>
      <c r="G9536" s="6">
        <v>1514</v>
      </c>
      <c r="H9536" s="5">
        <v>9001</v>
      </c>
    </row>
    <row r="9537" spans="2:8" x14ac:dyDescent="0.4">
      <c r="B9537" s="3" t="s">
        <v>7</v>
      </c>
      <c r="C9537" s="3" t="s">
        <v>1417</v>
      </c>
      <c r="D9537" s="4">
        <f>DATE(2007,11,7)</f>
        <v>39393</v>
      </c>
      <c r="E9537" s="5">
        <f t="shared" si="157"/>
        <v>2007</v>
      </c>
      <c r="F9537" s="3" t="s">
        <v>1418</v>
      </c>
      <c r="G9537" s="6">
        <v>4470</v>
      </c>
      <c r="H9537" s="5">
        <v>9442</v>
      </c>
    </row>
    <row r="9538" spans="2:8" x14ac:dyDescent="0.4">
      <c r="B9538" s="3" t="s">
        <v>7</v>
      </c>
      <c r="C9538" s="3" t="s">
        <v>1417</v>
      </c>
      <c r="D9538" s="4">
        <f>DATE(2007,11,13)</f>
        <v>39399</v>
      </c>
      <c r="E9538" s="5">
        <f t="shared" si="157"/>
        <v>2007</v>
      </c>
      <c r="F9538" s="3" t="s">
        <v>1418</v>
      </c>
      <c r="G9538" s="6">
        <v>422</v>
      </c>
      <c r="H9538" s="5">
        <v>9473</v>
      </c>
    </row>
    <row r="9539" spans="2:8" x14ac:dyDescent="0.4">
      <c r="B9539" s="3" t="s">
        <v>7</v>
      </c>
      <c r="C9539" s="3" t="s">
        <v>1417</v>
      </c>
      <c r="D9539" s="4">
        <f>DATE(2007,11,20)</f>
        <v>39406</v>
      </c>
      <c r="E9539" s="5">
        <f t="shared" ref="E9539:E9602" si="158">YEAR(D9539)</f>
        <v>2007</v>
      </c>
      <c r="F9539" s="3" t="s">
        <v>1418</v>
      </c>
      <c r="G9539" s="6">
        <v>2746.85</v>
      </c>
      <c r="H9539" s="5">
        <v>9411</v>
      </c>
    </row>
    <row r="9540" spans="2:8" x14ac:dyDescent="0.4">
      <c r="B9540" s="3" t="s">
        <v>7</v>
      </c>
      <c r="C9540" s="3" t="s">
        <v>1417</v>
      </c>
      <c r="D9540" s="4">
        <f>DATE(2008,1,17)</f>
        <v>39464</v>
      </c>
      <c r="E9540" s="5">
        <f t="shared" si="158"/>
        <v>2008</v>
      </c>
      <c r="F9540" s="3" t="s">
        <v>1418</v>
      </c>
      <c r="G9540" s="6">
        <v>1158</v>
      </c>
      <c r="H9540" s="5">
        <v>9722</v>
      </c>
    </row>
    <row r="9541" spans="2:8" x14ac:dyDescent="0.4">
      <c r="B9541" s="3" t="s">
        <v>7</v>
      </c>
      <c r="C9541" s="3" t="s">
        <v>1417</v>
      </c>
      <c r="D9541" s="4">
        <f>DATE(2008,2,19)</f>
        <v>39497</v>
      </c>
      <c r="E9541" s="5">
        <f t="shared" si="158"/>
        <v>2008</v>
      </c>
      <c r="F9541" s="3" t="s">
        <v>1418</v>
      </c>
      <c r="G9541" s="6">
        <v>3575</v>
      </c>
      <c r="H9541" s="5">
        <v>9978</v>
      </c>
    </row>
    <row r="9542" spans="2:8" x14ac:dyDescent="0.4">
      <c r="B9542" s="3" t="s">
        <v>7</v>
      </c>
      <c r="C9542" s="3" t="s">
        <v>1417</v>
      </c>
      <c r="D9542" s="4">
        <f>DATE(2008,4,7)</f>
        <v>39545</v>
      </c>
      <c r="E9542" s="5">
        <f t="shared" si="158"/>
        <v>2008</v>
      </c>
      <c r="F9542" s="3" t="s">
        <v>1418</v>
      </c>
      <c r="G9542" s="6">
        <v>4471</v>
      </c>
      <c r="H9542" s="5">
        <v>10392</v>
      </c>
    </row>
    <row r="9543" spans="2:8" x14ac:dyDescent="0.4">
      <c r="B9543" s="3" t="s">
        <v>7</v>
      </c>
      <c r="C9543" s="3" t="s">
        <v>1417</v>
      </c>
      <c r="D9543" s="4">
        <f>DATE(2008,5,1)</f>
        <v>39569</v>
      </c>
      <c r="E9543" s="5">
        <f t="shared" si="158"/>
        <v>2008</v>
      </c>
      <c r="F9543" s="3" t="s">
        <v>1418</v>
      </c>
      <c r="G9543" s="6">
        <v>1199.1400000000001</v>
      </c>
      <c r="H9543" s="5">
        <v>10600</v>
      </c>
    </row>
    <row r="9544" spans="2:8" x14ac:dyDescent="0.4">
      <c r="B9544" s="3" t="s">
        <v>7</v>
      </c>
      <c r="C9544" s="3" t="s">
        <v>1417</v>
      </c>
      <c r="D9544" s="4">
        <f>DATE(2008,6,3)</f>
        <v>39602</v>
      </c>
      <c r="E9544" s="5">
        <f t="shared" si="158"/>
        <v>2008</v>
      </c>
      <c r="F9544" s="3" t="s">
        <v>1418</v>
      </c>
      <c r="G9544" s="6">
        <v>3575</v>
      </c>
      <c r="H9544" s="5">
        <v>10791</v>
      </c>
    </row>
    <row r="9545" spans="2:8" x14ac:dyDescent="0.4">
      <c r="B9545" s="3" t="s">
        <v>7</v>
      </c>
      <c r="C9545" s="3" t="s">
        <v>1417</v>
      </c>
      <c r="D9545" s="4">
        <f>DATE(2008,5,29)</f>
        <v>39597</v>
      </c>
      <c r="E9545" s="5">
        <f t="shared" si="158"/>
        <v>2008</v>
      </c>
      <c r="F9545" s="3" t="s">
        <v>1418</v>
      </c>
      <c r="G9545" s="6">
        <v>1093.3</v>
      </c>
      <c r="H9545" s="5">
        <v>10618</v>
      </c>
    </row>
    <row r="9546" spans="2:8" x14ac:dyDescent="0.4">
      <c r="B9546" s="3" t="s">
        <v>7</v>
      </c>
      <c r="C9546" s="3" t="s">
        <v>1417</v>
      </c>
      <c r="D9546" s="4">
        <f>DATE(2008,7,15)</f>
        <v>39644</v>
      </c>
      <c r="E9546" s="5">
        <f t="shared" si="158"/>
        <v>2008</v>
      </c>
      <c r="F9546" s="3" t="s">
        <v>1418</v>
      </c>
      <c r="G9546" s="6">
        <v>2683</v>
      </c>
      <c r="H9546" s="5">
        <v>10950</v>
      </c>
    </row>
    <row r="9547" spans="2:8" x14ac:dyDescent="0.4">
      <c r="B9547" s="3" t="s">
        <v>7</v>
      </c>
      <c r="C9547" s="3" t="s">
        <v>1417</v>
      </c>
      <c r="D9547" s="4">
        <f>DATE(2008,8,14)</f>
        <v>39674</v>
      </c>
      <c r="E9547" s="5">
        <f t="shared" si="158"/>
        <v>2008</v>
      </c>
      <c r="F9547" s="3" t="s">
        <v>1418</v>
      </c>
      <c r="G9547" s="6">
        <v>5502.34</v>
      </c>
      <c r="H9547" s="5">
        <v>11124</v>
      </c>
    </row>
    <row r="9548" spans="2:8" x14ac:dyDescent="0.4">
      <c r="B9548" s="3" t="s">
        <v>7</v>
      </c>
      <c r="C9548" s="3" t="s">
        <v>1417</v>
      </c>
      <c r="D9548" s="4">
        <f>DATE(2008,8,28)</f>
        <v>39688</v>
      </c>
      <c r="E9548" s="5">
        <f t="shared" si="158"/>
        <v>2008</v>
      </c>
      <c r="F9548" s="3" t="s">
        <v>1418</v>
      </c>
      <c r="G9548" s="6">
        <v>4600.8999999999996</v>
      </c>
      <c r="H9548" s="5">
        <v>11188</v>
      </c>
    </row>
    <row r="9549" spans="2:8" x14ac:dyDescent="0.4">
      <c r="B9549" s="3" t="s">
        <v>7</v>
      </c>
      <c r="C9549" s="3" t="s">
        <v>1417</v>
      </c>
      <c r="D9549" s="4">
        <f>DATE(2008,9,11)</f>
        <v>39702</v>
      </c>
      <c r="E9549" s="5">
        <f t="shared" si="158"/>
        <v>2008</v>
      </c>
      <c r="F9549" s="3" t="s">
        <v>1418</v>
      </c>
      <c r="G9549" s="6">
        <v>4472</v>
      </c>
      <c r="H9549" s="5">
        <v>11217</v>
      </c>
    </row>
    <row r="9550" spans="2:8" x14ac:dyDescent="0.4">
      <c r="B9550" s="3" t="s">
        <v>7</v>
      </c>
      <c r="C9550" s="3" t="s">
        <v>1417</v>
      </c>
      <c r="D9550" s="4">
        <f>DATE(2008,10,1)</f>
        <v>39722</v>
      </c>
      <c r="E9550" s="5">
        <f t="shared" si="158"/>
        <v>2008</v>
      </c>
      <c r="F9550" s="3" t="s">
        <v>1418</v>
      </c>
      <c r="G9550" s="6">
        <v>4472</v>
      </c>
      <c r="H9550" s="5">
        <v>11314</v>
      </c>
    </row>
    <row r="9551" spans="2:8" x14ac:dyDescent="0.4">
      <c r="B9551" s="3" t="s">
        <v>7</v>
      </c>
      <c r="C9551" s="3" t="s">
        <v>1417</v>
      </c>
      <c r="D9551" s="4">
        <f>DATE(2008,10,8)</f>
        <v>39729</v>
      </c>
      <c r="E9551" s="5">
        <f t="shared" si="158"/>
        <v>2008</v>
      </c>
      <c r="F9551" s="3" t="s">
        <v>1418</v>
      </c>
      <c r="G9551" s="6">
        <v>319.76</v>
      </c>
      <c r="H9551" s="5">
        <v>11259</v>
      </c>
    </row>
    <row r="9552" spans="2:8" x14ac:dyDescent="0.4">
      <c r="B9552" s="3" t="s">
        <v>7</v>
      </c>
      <c r="C9552" s="3" t="s">
        <v>1417</v>
      </c>
      <c r="D9552" s="4">
        <f>DATE(2008,10,22)</f>
        <v>39743</v>
      </c>
      <c r="E9552" s="5">
        <f t="shared" si="158"/>
        <v>2008</v>
      </c>
      <c r="F9552" s="3" t="s">
        <v>1418</v>
      </c>
      <c r="G9552" s="6">
        <v>4471</v>
      </c>
      <c r="H9552" s="5">
        <v>11452</v>
      </c>
    </row>
    <row r="9553" spans="2:8" x14ac:dyDescent="0.4">
      <c r="B9553" s="3" t="s">
        <v>7</v>
      </c>
      <c r="C9553" s="3" t="s">
        <v>1417</v>
      </c>
      <c r="D9553" s="4">
        <f>DATE(2009,5,1)</f>
        <v>39934</v>
      </c>
      <c r="E9553" s="5">
        <f t="shared" si="158"/>
        <v>2009</v>
      </c>
      <c r="F9553" s="3" t="s">
        <v>1418</v>
      </c>
      <c r="G9553" s="6">
        <v>1159</v>
      </c>
      <c r="H9553" s="5">
        <v>12430</v>
      </c>
    </row>
    <row r="9554" spans="2:8" x14ac:dyDescent="0.4">
      <c r="B9554" s="3" t="s">
        <v>7</v>
      </c>
      <c r="C9554" s="3" t="s">
        <v>1417</v>
      </c>
      <c r="D9554" s="4">
        <f>DATE(2009,5,29)</f>
        <v>39962</v>
      </c>
      <c r="E9554" s="5">
        <f t="shared" si="158"/>
        <v>2009</v>
      </c>
      <c r="F9554" s="3" t="s">
        <v>1418</v>
      </c>
      <c r="G9554" s="6">
        <v>4472</v>
      </c>
      <c r="H9554" s="5">
        <v>12612</v>
      </c>
    </row>
    <row r="9555" spans="2:8" x14ac:dyDescent="0.4">
      <c r="B9555" s="3" t="s">
        <v>7</v>
      </c>
      <c r="C9555" s="3" t="s">
        <v>1417</v>
      </c>
      <c r="D9555" s="4">
        <f>DATE(2009,5,29)</f>
        <v>39962</v>
      </c>
      <c r="E9555" s="5">
        <f t="shared" si="158"/>
        <v>2009</v>
      </c>
      <c r="F9555" s="3" t="s">
        <v>1418</v>
      </c>
      <c r="G9555" s="6">
        <v>643</v>
      </c>
      <c r="H9555" s="5">
        <v>12546</v>
      </c>
    </row>
    <row r="9556" spans="2:8" x14ac:dyDescent="0.4">
      <c r="B9556" s="3" t="s">
        <v>7</v>
      </c>
      <c r="C9556" s="3" t="s">
        <v>1417</v>
      </c>
      <c r="D9556" s="4">
        <f>DATE(2009,9,8)</f>
        <v>40064</v>
      </c>
      <c r="E9556" s="5">
        <f t="shared" si="158"/>
        <v>2009</v>
      </c>
      <c r="F9556" s="3" t="s">
        <v>1418</v>
      </c>
      <c r="G9556" s="6">
        <v>2237</v>
      </c>
      <c r="H9556" s="5">
        <v>12986</v>
      </c>
    </row>
    <row r="9557" spans="2:8" x14ac:dyDescent="0.4">
      <c r="B9557" s="3" t="s">
        <v>7</v>
      </c>
      <c r="C9557" s="3" t="s">
        <v>1417</v>
      </c>
      <c r="D9557" s="4">
        <f>DATE(2009,10,29)</f>
        <v>40115</v>
      </c>
      <c r="E9557" s="5">
        <f t="shared" si="158"/>
        <v>2009</v>
      </c>
      <c r="F9557" s="3" t="s">
        <v>1418</v>
      </c>
      <c r="G9557" s="6">
        <v>207.5</v>
      </c>
      <c r="H9557" s="5">
        <v>13072</v>
      </c>
    </row>
    <row r="9558" spans="2:8" x14ac:dyDescent="0.4">
      <c r="B9558" s="3" t="s">
        <v>7</v>
      </c>
      <c r="C9558" s="3" t="s">
        <v>1417</v>
      </c>
      <c r="D9558" s="4">
        <f>DATE(2010,6,11)</f>
        <v>40340</v>
      </c>
      <c r="E9558" s="5">
        <f t="shared" si="158"/>
        <v>2010</v>
      </c>
      <c r="F9558" s="3" t="s">
        <v>1418</v>
      </c>
      <c r="G9558" s="6">
        <v>5810.13</v>
      </c>
      <c r="H9558" s="5">
        <v>14162</v>
      </c>
    </row>
    <row r="9559" spans="2:8" x14ac:dyDescent="0.4">
      <c r="B9559" s="3" t="s">
        <v>7</v>
      </c>
      <c r="C9559" s="3" t="s">
        <v>1417</v>
      </c>
      <c r="D9559" s="4">
        <f>DATE(2010,6,17)</f>
        <v>40346</v>
      </c>
      <c r="E9559" s="5">
        <f t="shared" si="158"/>
        <v>2010</v>
      </c>
      <c r="F9559" s="3" t="s">
        <v>1418</v>
      </c>
      <c r="G9559" s="6">
        <v>4473</v>
      </c>
      <c r="H9559" s="5">
        <v>14180</v>
      </c>
    </row>
    <row r="9560" spans="2:8" x14ac:dyDescent="0.4">
      <c r="B9560" s="3" t="s">
        <v>7</v>
      </c>
      <c r="C9560" s="3" t="s">
        <v>1417</v>
      </c>
      <c r="D9560" s="4">
        <f>DATE(2010,6,25)</f>
        <v>40354</v>
      </c>
      <c r="E9560" s="5">
        <f t="shared" si="158"/>
        <v>2010</v>
      </c>
      <c r="F9560" s="3" t="s">
        <v>1418</v>
      </c>
      <c r="G9560" s="6">
        <v>489.13</v>
      </c>
      <c r="H9560" s="5">
        <v>14219</v>
      </c>
    </row>
    <row r="9561" spans="2:8" x14ac:dyDescent="0.4">
      <c r="B9561" s="3" t="s">
        <v>7</v>
      </c>
      <c r="C9561" s="3" t="s">
        <v>1417</v>
      </c>
      <c r="D9561" s="4">
        <f>DATE(2010,7,1)</f>
        <v>40360</v>
      </c>
      <c r="E9561" s="5">
        <f t="shared" si="158"/>
        <v>2010</v>
      </c>
      <c r="F9561" s="3" t="s">
        <v>1418</v>
      </c>
      <c r="G9561" s="6">
        <v>450</v>
      </c>
      <c r="H9561" s="5">
        <v>14227</v>
      </c>
    </row>
    <row r="9562" spans="2:8" x14ac:dyDescent="0.4">
      <c r="B9562" s="3" t="s">
        <v>7</v>
      </c>
      <c r="C9562" s="3" t="s">
        <v>1417</v>
      </c>
      <c r="D9562" s="4">
        <f>DATE(2010,10,21)</f>
        <v>40472</v>
      </c>
      <c r="E9562" s="5">
        <f t="shared" si="158"/>
        <v>2010</v>
      </c>
      <c r="F9562" s="3" t="s">
        <v>1418</v>
      </c>
      <c r="G9562" s="6">
        <v>3576</v>
      </c>
      <c r="H9562" s="5">
        <v>14648</v>
      </c>
    </row>
    <row r="9563" spans="2:8" x14ac:dyDescent="0.4">
      <c r="B9563" s="3" t="s">
        <v>7</v>
      </c>
      <c r="C9563" s="3" t="s">
        <v>1417</v>
      </c>
      <c r="D9563" s="4">
        <f>DATE(2012,6,27)</f>
        <v>41087</v>
      </c>
      <c r="E9563" s="5">
        <f t="shared" si="158"/>
        <v>2012</v>
      </c>
      <c r="F9563" s="3" t="s">
        <v>1418</v>
      </c>
      <c r="G9563" s="6">
        <v>533.34</v>
      </c>
      <c r="H9563" s="5">
        <v>17302</v>
      </c>
    </row>
    <row r="9564" spans="2:8" x14ac:dyDescent="0.4">
      <c r="B9564" s="3" t="s">
        <v>7</v>
      </c>
      <c r="C9564" s="3" t="s">
        <v>1417</v>
      </c>
      <c r="D9564" s="4">
        <f>DATE(2012,9,20)</f>
        <v>41172</v>
      </c>
      <c r="E9564" s="5">
        <f t="shared" si="158"/>
        <v>2012</v>
      </c>
      <c r="F9564" s="3" t="s">
        <v>1418</v>
      </c>
      <c r="G9564" s="6">
        <v>451</v>
      </c>
      <c r="H9564" s="5">
        <v>17626</v>
      </c>
    </row>
    <row r="9565" spans="2:8" x14ac:dyDescent="0.4">
      <c r="B9565" s="3" t="s">
        <v>7</v>
      </c>
      <c r="C9565" s="3" t="s">
        <v>1417</v>
      </c>
      <c r="D9565" s="4">
        <f>DATE(2013,7,18)</f>
        <v>41473</v>
      </c>
      <c r="E9565" s="5">
        <f t="shared" si="158"/>
        <v>2013</v>
      </c>
      <c r="F9565" s="3" t="s">
        <v>1418</v>
      </c>
      <c r="G9565" s="6">
        <v>8972.65</v>
      </c>
      <c r="H9565" s="5">
        <v>18774</v>
      </c>
    </row>
    <row r="9566" spans="2:8" x14ac:dyDescent="0.4">
      <c r="B9566" t="s">
        <v>7</v>
      </c>
      <c r="C9566" t="s">
        <v>1419</v>
      </c>
      <c r="D9566" s="7">
        <f>DATE(2018,2,15)</f>
        <v>43146</v>
      </c>
      <c r="E9566" s="8">
        <f t="shared" si="158"/>
        <v>2018</v>
      </c>
      <c r="F9566" t="s">
        <v>1420</v>
      </c>
      <c r="G9566" s="9">
        <v>203902.28</v>
      </c>
      <c r="H9566" s="8">
        <v>26055</v>
      </c>
    </row>
    <row r="9567" spans="2:8" x14ac:dyDescent="0.4">
      <c r="B9567" t="s">
        <v>7</v>
      </c>
      <c r="C9567" t="s">
        <v>1419</v>
      </c>
      <c r="D9567" s="7">
        <f>DATE(2018,2,15)</f>
        <v>43146</v>
      </c>
      <c r="E9567" s="8">
        <f t="shared" si="158"/>
        <v>2018</v>
      </c>
      <c r="F9567" t="s">
        <v>1420</v>
      </c>
      <c r="G9567" s="9">
        <v>362659.02</v>
      </c>
      <c r="H9567" s="8">
        <v>26406</v>
      </c>
    </row>
    <row r="9568" spans="2:8" x14ac:dyDescent="0.4">
      <c r="B9568" t="s">
        <v>16</v>
      </c>
      <c r="C9568" t="s">
        <v>1419</v>
      </c>
      <c r="D9568" s="7">
        <f>DATE(2018,6,30)</f>
        <v>43281</v>
      </c>
      <c r="E9568" s="8">
        <f t="shared" si="158"/>
        <v>2018</v>
      </c>
      <c r="F9568" t="s">
        <v>1420</v>
      </c>
      <c r="G9568" s="9">
        <v>20390.23</v>
      </c>
      <c r="H9568" s="8">
        <v>27324</v>
      </c>
    </row>
    <row r="9569" spans="2:8" x14ac:dyDescent="0.4">
      <c r="B9569" t="s">
        <v>16</v>
      </c>
      <c r="C9569" t="s">
        <v>1419</v>
      </c>
      <c r="D9569" s="7">
        <f>DATE(2018,6,30)</f>
        <v>43281</v>
      </c>
      <c r="E9569" s="8">
        <f t="shared" si="158"/>
        <v>2018</v>
      </c>
      <c r="F9569" t="s">
        <v>1420</v>
      </c>
      <c r="G9569" s="9">
        <v>36265.74</v>
      </c>
      <c r="H9569" s="8">
        <v>27325</v>
      </c>
    </row>
    <row r="9570" spans="2:8" x14ac:dyDescent="0.4">
      <c r="B9570" t="s">
        <v>7</v>
      </c>
      <c r="C9570" t="s">
        <v>1421</v>
      </c>
      <c r="D9570" s="7">
        <f>DATE(2015,7,28)</f>
        <v>42213</v>
      </c>
      <c r="E9570" s="8">
        <f t="shared" si="158"/>
        <v>2015</v>
      </c>
      <c r="F9570" t="s">
        <v>1422</v>
      </c>
      <c r="G9570" s="9">
        <v>9822.02</v>
      </c>
      <c r="H9570" s="8">
        <v>20958</v>
      </c>
    </row>
    <row r="9571" spans="2:8" x14ac:dyDescent="0.4">
      <c r="B9571" s="3" t="s">
        <v>7</v>
      </c>
      <c r="C9571" s="3" t="s">
        <v>1423</v>
      </c>
      <c r="D9571" s="4">
        <f>DATE(2004,10,8)</f>
        <v>38268</v>
      </c>
      <c r="E9571" s="5">
        <f t="shared" si="158"/>
        <v>2004</v>
      </c>
      <c r="F9571" s="3" t="s">
        <v>1424</v>
      </c>
      <c r="G9571" s="6">
        <v>3639.61</v>
      </c>
      <c r="H9571" s="5">
        <v>808</v>
      </c>
    </row>
    <row r="9572" spans="2:8" x14ac:dyDescent="0.4">
      <c r="B9572" s="3" t="s">
        <v>7</v>
      </c>
      <c r="C9572" s="3" t="s">
        <v>1425</v>
      </c>
      <c r="D9572" s="4">
        <f>DATE(2008,4,22)</f>
        <v>39560</v>
      </c>
      <c r="E9572" s="5">
        <f t="shared" si="158"/>
        <v>2008</v>
      </c>
      <c r="F9572" s="3" t="s">
        <v>1426</v>
      </c>
      <c r="G9572" s="6">
        <v>910.22</v>
      </c>
      <c r="H9572" s="5">
        <v>10330</v>
      </c>
    </row>
    <row r="9573" spans="2:8" x14ac:dyDescent="0.4">
      <c r="B9573" s="3" t="s">
        <v>7</v>
      </c>
      <c r="C9573" s="3" t="s">
        <v>1423</v>
      </c>
      <c r="D9573" s="4">
        <f>DATE(2005,9,7)</f>
        <v>38602</v>
      </c>
      <c r="E9573" s="5">
        <f t="shared" si="158"/>
        <v>2005</v>
      </c>
      <c r="F9573" s="3" t="s">
        <v>1427</v>
      </c>
      <c r="G9573" s="6">
        <v>1035.3800000000001</v>
      </c>
      <c r="H9573" s="5">
        <v>1216</v>
      </c>
    </row>
    <row r="9574" spans="2:8" x14ac:dyDescent="0.4">
      <c r="B9574" s="3" t="s">
        <v>7</v>
      </c>
      <c r="C9574" s="3" t="s">
        <v>1423</v>
      </c>
      <c r="D9574" s="4">
        <f>DATE(2006,8,10)</f>
        <v>38939</v>
      </c>
      <c r="E9574" s="5">
        <f t="shared" si="158"/>
        <v>2006</v>
      </c>
      <c r="F9574" s="3" t="s">
        <v>1427</v>
      </c>
      <c r="G9574" s="6">
        <v>26089.03</v>
      </c>
      <c r="H9574" s="5">
        <v>1620</v>
      </c>
    </row>
    <row r="9575" spans="2:8" x14ac:dyDescent="0.4">
      <c r="B9575" s="3" t="s">
        <v>7</v>
      </c>
      <c r="C9575" s="3" t="s">
        <v>1428</v>
      </c>
      <c r="D9575" s="4">
        <f>DATE(2008,10,10)</f>
        <v>39731</v>
      </c>
      <c r="E9575" s="5">
        <f t="shared" si="158"/>
        <v>2008</v>
      </c>
      <c r="F9575" s="3" t="s">
        <v>1429</v>
      </c>
      <c r="G9575" s="6">
        <v>3078.5</v>
      </c>
      <c r="H9575" s="5">
        <v>11405</v>
      </c>
    </row>
    <row r="9576" spans="2:8" x14ac:dyDescent="0.4">
      <c r="B9576" t="s">
        <v>7</v>
      </c>
      <c r="C9576" t="s">
        <v>1430</v>
      </c>
      <c r="D9576" s="7">
        <f>DATE(2003,1,23)</f>
        <v>37644</v>
      </c>
      <c r="E9576" s="8">
        <f t="shared" si="158"/>
        <v>2003</v>
      </c>
      <c r="F9576" t="s">
        <v>1431</v>
      </c>
      <c r="G9576" s="9">
        <v>5082.3900000000003</v>
      </c>
      <c r="H9576" s="8">
        <v>79</v>
      </c>
    </row>
    <row r="9577" spans="2:8" x14ac:dyDescent="0.4">
      <c r="B9577" t="s">
        <v>7</v>
      </c>
      <c r="C9577" t="s">
        <v>1430</v>
      </c>
      <c r="D9577" s="7">
        <f>DATE(2005,6,12)</f>
        <v>38515</v>
      </c>
      <c r="E9577" s="8">
        <f t="shared" si="158"/>
        <v>2005</v>
      </c>
      <c r="F9577" t="s">
        <v>1431</v>
      </c>
      <c r="G9577" s="9">
        <v>32701</v>
      </c>
      <c r="H9577" s="8">
        <v>3274</v>
      </c>
    </row>
    <row r="9578" spans="2:8" x14ac:dyDescent="0.4">
      <c r="B9578" t="s">
        <v>7</v>
      </c>
      <c r="C9578" t="s">
        <v>1430</v>
      </c>
      <c r="D9578" s="7">
        <f>DATE(2005,10,1)</f>
        <v>38626</v>
      </c>
      <c r="E9578" s="8">
        <f t="shared" si="158"/>
        <v>2005</v>
      </c>
      <c r="F9578" t="s">
        <v>1431</v>
      </c>
      <c r="G9578" s="9">
        <v>3465.25</v>
      </c>
      <c r="H9578" s="8">
        <v>3653</v>
      </c>
    </row>
    <row r="9579" spans="2:8" x14ac:dyDescent="0.4">
      <c r="B9579" t="s">
        <v>7</v>
      </c>
      <c r="C9579" t="s">
        <v>1430</v>
      </c>
      <c r="D9579" s="7">
        <f>DATE(2006,4,6)</f>
        <v>38813</v>
      </c>
      <c r="E9579" s="8">
        <f t="shared" si="158"/>
        <v>2006</v>
      </c>
      <c r="F9579" t="s">
        <v>1431</v>
      </c>
      <c r="G9579" s="9">
        <v>31806.5</v>
      </c>
      <c r="H9579" s="8">
        <v>4420</v>
      </c>
    </row>
    <row r="9580" spans="2:8" x14ac:dyDescent="0.4">
      <c r="B9580" t="s">
        <v>7</v>
      </c>
      <c r="C9580" t="s">
        <v>1430</v>
      </c>
      <c r="D9580" s="7">
        <f>DATE(2006,4,13)</f>
        <v>38820</v>
      </c>
      <c r="E9580" s="8">
        <f t="shared" si="158"/>
        <v>2006</v>
      </c>
      <c r="F9580" t="s">
        <v>1431</v>
      </c>
      <c r="G9580" s="9">
        <v>3197</v>
      </c>
      <c r="H9580" s="8">
        <v>4494</v>
      </c>
    </row>
    <row r="9581" spans="2:8" x14ac:dyDescent="0.4">
      <c r="B9581" t="s">
        <v>7</v>
      </c>
      <c r="C9581" t="s">
        <v>1430</v>
      </c>
      <c r="D9581" s="7">
        <f>DATE(2007,6,1)</f>
        <v>39234</v>
      </c>
      <c r="E9581" s="8">
        <f t="shared" si="158"/>
        <v>2007</v>
      </c>
      <c r="F9581" t="s">
        <v>1431</v>
      </c>
      <c r="G9581" s="9">
        <v>25087.34</v>
      </c>
      <c r="H9581" s="8">
        <v>6038</v>
      </c>
    </row>
    <row r="9582" spans="2:8" x14ac:dyDescent="0.4">
      <c r="B9582" t="s">
        <v>7</v>
      </c>
      <c r="C9582" t="s">
        <v>1430</v>
      </c>
      <c r="D9582" s="7">
        <f>DATE(2007,6,1)</f>
        <v>39234</v>
      </c>
      <c r="E9582" s="8">
        <f t="shared" si="158"/>
        <v>2007</v>
      </c>
      <c r="F9582" t="s">
        <v>1431</v>
      </c>
      <c r="G9582" s="9">
        <v>13881.31</v>
      </c>
      <c r="H9582" s="8">
        <v>5891</v>
      </c>
    </row>
    <row r="9583" spans="2:8" x14ac:dyDescent="0.4">
      <c r="B9583" t="s">
        <v>7</v>
      </c>
      <c r="C9583" t="s">
        <v>1430</v>
      </c>
      <c r="D9583" s="7">
        <f>DATE(2007,6,1)</f>
        <v>39234</v>
      </c>
      <c r="E9583" s="8">
        <f t="shared" si="158"/>
        <v>2007</v>
      </c>
      <c r="F9583" t="s">
        <v>1431</v>
      </c>
      <c r="G9583" s="9">
        <v>25087.34</v>
      </c>
      <c r="H9583" s="8">
        <v>6108</v>
      </c>
    </row>
    <row r="9584" spans="2:8" x14ac:dyDescent="0.4">
      <c r="B9584" t="s">
        <v>7</v>
      </c>
      <c r="C9584" t="s">
        <v>1430</v>
      </c>
      <c r="D9584" s="7">
        <f>DATE(2007,6,1)</f>
        <v>39234</v>
      </c>
      <c r="E9584" s="8">
        <f t="shared" si="158"/>
        <v>2007</v>
      </c>
      <c r="F9584" t="s">
        <v>1431</v>
      </c>
      <c r="G9584" s="9">
        <v>13881.31</v>
      </c>
      <c r="H9584" s="8">
        <v>6109</v>
      </c>
    </row>
    <row r="9585" spans="2:8" x14ac:dyDescent="0.4">
      <c r="B9585" t="s">
        <v>7</v>
      </c>
      <c r="C9585" t="s">
        <v>1430</v>
      </c>
      <c r="D9585" s="7">
        <f>DATE(2008,5,5)</f>
        <v>39573</v>
      </c>
      <c r="E9585" s="8">
        <f t="shared" si="158"/>
        <v>2008</v>
      </c>
      <c r="F9585" t="s">
        <v>1431</v>
      </c>
      <c r="G9585" s="9">
        <v>33700</v>
      </c>
      <c r="H9585" s="8">
        <v>7409</v>
      </c>
    </row>
    <row r="9586" spans="2:8" x14ac:dyDescent="0.4">
      <c r="B9586" t="s">
        <v>7</v>
      </c>
      <c r="C9586" t="s">
        <v>1430</v>
      </c>
      <c r="D9586" s="7">
        <f>DATE(2008,6,1)</f>
        <v>39600</v>
      </c>
      <c r="E9586" s="8">
        <f t="shared" si="158"/>
        <v>2008</v>
      </c>
      <c r="F9586" t="s">
        <v>1431</v>
      </c>
      <c r="G9586" s="9">
        <v>27628</v>
      </c>
      <c r="H9586" s="8">
        <v>7469</v>
      </c>
    </row>
    <row r="9587" spans="2:8" x14ac:dyDescent="0.4">
      <c r="B9587" t="s">
        <v>7</v>
      </c>
      <c r="C9587" t="s">
        <v>1430</v>
      </c>
      <c r="D9587" s="7">
        <f>DATE(2009,2,19)</f>
        <v>39863</v>
      </c>
      <c r="E9587" s="8">
        <f t="shared" si="158"/>
        <v>2009</v>
      </c>
      <c r="F9587" t="s">
        <v>1431</v>
      </c>
      <c r="G9587" s="9">
        <v>26285.86</v>
      </c>
      <c r="H9587" s="8">
        <v>8352</v>
      </c>
    </row>
    <row r="9588" spans="2:8" x14ac:dyDescent="0.4">
      <c r="B9588" t="s">
        <v>16</v>
      </c>
      <c r="C9588" t="s">
        <v>1430</v>
      </c>
      <c r="D9588" s="7">
        <f>DATE(2007,6,1)</f>
        <v>39234</v>
      </c>
      <c r="E9588" s="8">
        <f t="shared" si="158"/>
        <v>2007</v>
      </c>
      <c r="F9588" t="s">
        <v>1431</v>
      </c>
      <c r="G9588" s="9">
        <v>25087.34</v>
      </c>
      <c r="H9588" s="8">
        <v>6105</v>
      </c>
    </row>
    <row r="9589" spans="2:8" x14ac:dyDescent="0.4">
      <c r="B9589" t="s">
        <v>16</v>
      </c>
      <c r="C9589" t="s">
        <v>1430</v>
      </c>
      <c r="D9589" s="7">
        <f>DATE(2007,6,1)</f>
        <v>39234</v>
      </c>
      <c r="E9589" s="8">
        <f t="shared" si="158"/>
        <v>2007</v>
      </c>
      <c r="F9589" t="s">
        <v>1431</v>
      </c>
      <c r="G9589" s="9">
        <v>13881.31</v>
      </c>
      <c r="H9589" s="8">
        <v>6106</v>
      </c>
    </row>
    <row r="9590" spans="2:8" x14ac:dyDescent="0.4">
      <c r="B9590" s="3" t="s">
        <v>7</v>
      </c>
      <c r="C9590" s="3" t="s">
        <v>1432</v>
      </c>
      <c r="D9590" s="4">
        <f>DATE(2011,9,14)</f>
        <v>40800</v>
      </c>
      <c r="E9590" s="5">
        <f t="shared" si="158"/>
        <v>2011</v>
      </c>
      <c r="F9590" s="3" t="s">
        <v>1433</v>
      </c>
      <c r="G9590" s="6">
        <v>28222.42</v>
      </c>
      <c r="H9590" s="5">
        <v>4605</v>
      </c>
    </row>
    <row r="9591" spans="2:8" x14ac:dyDescent="0.4">
      <c r="B9591" t="s">
        <v>7</v>
      </c>
      <c r="C9591" t="s">
        <v>1434</v>
      </c>
      <c r="D9591" s="7">
        <f>DATE(2011,12,21)</f>
        <v>40898</v>
      </c>
      <c r="E9591" s="8">
        <f t="shared" si="158"/>
        <v>2011</v>
      </c>
      <c r="F9591" t="s">
        <v>1435</v>
      </c>
      <c r="G9591" s="9">
        <v>458</v>
      </c>
      <c r="H9591" s="8">
        <v>11198</v>
      </c>
    </row>
    <row r="9592" spans="2:8" x14ac:dyDescent="0.4">
      <c r="B9592" t="s">
        <v>7</v>
      </c>
      <c r="C9592" t="s">
        <v>1434</v>
      </c>
      <c r="D9592" s="7">
        <f>DATE(2012,3,23)</f>
        <v>40991</v>
      </c>
      <c r="E9592" s="8">
        <f t="shared" si="158"/>
        <v>2012</v>
      </c>
      <c r="F9592" t="s">
        <v>1435</v>
      </c>
      <c r="G9592" s="9">
        <v>218</v>
      </c>
      <c r="H9592" s="8">
        <v>11498</v>
      </c>
    </row>
    <row r="9593" spans="2:8" x14ac:dyDescent="0.4">
      <c r="B9593" s="3" t="s">
        <v>7</v>
      </c>
      <c r="C9593" s="3" t="s">
        <v>1434</v>
      </c>
      <c r="D9593" s="4">
        <f>DATE(2005,11,1)</f>
        <v>38657</v>
      </c>
      <c r="E9593" s="5">
        <f t="shared" si="158"/>
        <v>2005</v>
      </c>
      <c r="F9593" s="3" t="s">
        <v>1435</v>
      </c>
      <c r="G9593" s="6">
        <v>1421</v>
      </c>
      <c r="H9593" s="5">
        <v>5511</v>
      </c>
    </row>
    <row r="9594" spans="2:8" x14ac:dyDescent="0.4">
      <c r="B9594" s="3" t="s">
        <v>7</v>
      </c>
      <c r="C9594" s="3" t="s">
        <v>1434</v>
      </c>
      <c r="D9594" s="4">
        <f>DATE(2006,11,21)</f>
        <v>39042</v>
      </c>
      <c r="E9594" s="5">
        <f t="shared" si="158"/>
        <v>2006</v>
      </c>
      <c r="F9594" s="3" t="s">
        <v>1435</v>
      </c>
      <c r="G9594" s="6">
        <v>366.2</v>
      </c>
      <c r="H9594" s="5">
        <v>7571</v>
      </c>
    </row>
    <row r="9595" spans="2:8" x14ac:dyDescent="0.4">
      <c r="B9595" s="3" t="s">
        <v>7</v>
      </c>
      <c r="C9595" s="3" t="s">
        <v>1434</v>
      </c>
      <c r="D9595" s="4">
        <f>DATE(2007,3,14)</f>
        <v>39155</v>
      </c>
      <c r="E9595" s="5">
        <f t="shared" si="158"/>
        <v>2007</v>
      </c>
      <c r="F9595" s="3" t="s">
        <v>1435</v>
      </c>
      <c r="G9595" s="6">
        <v>2352.13</v>
      </c>
      <c r="H9595" s="5">
        <v>8149</v>
      </c>
    </row>
    <row r="9596" spans="2:8" x14ac:dyDescent="0.4">
      <c r="B9596" s="3" t="s">
        <v>7</v>
      </c>
      <c r="C9596" s="3" t="s">
        <v>1434</v>
      </c>
      <c r="D9596" s="4">
        <f>DATE(2011,3,15)</f>
        <v>40617</v>
      </c>
      <c r="E9596" s="5">
        <f t="shared" si="158"/>
        <v>2011</v>
      </c>
      <c r="F9596" s="3" t="s">
        <v>1435</v>
      </c>
      <c r="G9596" s="6">
        <v>2111.0500000000002</v>
      </c>
      <c r="H9596" s="5">
        <v>15200</v>
      </c>
    </row>
    <row r="9597" spans="2:8" x14ac:dyDescent="0.4">
      <c r="B9597" s="3" t="s">
        <v>7</v>
      </c>
      <c r="C9597" s="3" t="s">
        <v>1434</v>
      </c>
      <c r="D9597" s="4">
        <f>DATE(2011,4,26)</f>
        <v>40659</v>
      </c>
      <c r="E9597" s="5">
        <f t="shared" si="158"/>
        <v>2011</v>
      </c>
      <c r="F9597" s="3" t="s">
        <v>1435</v>
      </c>
      <c r="G9597" s="6">
        <v>953</v>
      </c>
      <c r="H9597" s="5">
        <v>15477</v>
      </c>
    </row>
    <row r="9598" spans="2:8" x14ac:dyDescent="0.4">
      <c r="B9598" s="3" t="s">
        <v>7</v>
      </c>
      <c r="C9598" s="3" t="s">
        <v>1434</v>
      </c>
      <c r="D9598" s="4">
        <f>DATE(2012,10,11)</f>
        <v>41193</v>
      </c>
      <c r="E9598" s="5">
        <f t="shared" si="158"/>
        <v>2012</v>
      </c>
      <c r="F9598" s="3" t="s">
        <v>1435</v>
      </c>
      <c r="G9598" s="6">
        <v>98.37</v>
      </c>
      <c r="H9598" s="5">
        <v>17710</v>
      </c>
    </row>
    <row r="9599" spans="2:8" x14ac:dyDescent="0.4">
      <c r="B9599" s="3" t="s">
        <v>7</v>
      </c>
      <c r="C9599" s="3" t="s">
        <v>1434</v>
      </c>
      <c r="D9599" s="4">
        <f>DATE(2013,2,22)</f>
        <v>41327</v>
      </c>
      <c r="E9599" s="5">
        <f t="shared" si="158"/>
        <v>2013</v>
      </c>
      <c r="F9599" s="3" t="s">
        <v>1435</v>
      </c>
      <c r="G9599" s="6">
        <v>1429</v>
      </c>
      <c r="H9599" s="5">
        <v>18203</v>
      </c>
    </row>
    <row r="9600" spans="2:8" x14ac:dyDescent="0.4">
      <c r="B9600" s="3" t="s">
        <v>7</v>
      </c>
      <c r="C9600" s="3" t="s">
        <v>1434</v>
      </c>
      <c r="D9600" s="4">
        <f>DATE(2013,8,2)</f>
        <v>41488</v>
      </c>
      <c r="E9600" s="5">
        <f t="shared" si="158"/>
        <v>2013</v>
      </c>
      <c r="F9600" s="3" t="s">
        <v>1435</v>
      </c>
      <c r="G9600" s="6">
        <v>1429</v>
      </c>
      <c r="H9600" s="5">
        <v>18827</v>
      </c>
    </row>
    <row r="9601" spans="2:8" x14ac:dyDescent="0.4">
      <c r="B9601" t="s">
        <v>7</v>
      </c>
      <c r="C9601" t="s">
        <v>1436</v>
      </c>
      <c r="D9601" s="7">
        <f>DATE(2013,1,21)</f>
        <v>41295</v>
      </c>
      <c r="E9601" s="8">
        <f t="shared" si="158"/>
        <v>2013</v>
      </c>
      <c r="F9601" t="s">
        <v>1437</v>
      </c>
      <c r="G9601" s="9">
        <v>23994.86</v>
      </c>
      <c r="H9601" s="8">
        <v>12106</v>
      </c>
    </row>
    <row r="9602" spans="2:8" x14ac:dyDescent="0.4">
      <c r="B9602" t="s">
        <v>7</v>
      </c>
      <c r="C9602" t="s">
        <v>1436</v>
      </c>
      <c r="D9602" s="7">
        <f>DATE(2013,1,21)</f>
        <v>41295</v>
      </c>
      <c r="E9602" s="8">
        <f t="shared" si="158"/>
        <v>2013</v>
      </c>
      <c r="F9602" t="s">
        <v>1437</v>
      </c>
      <c r="G9602" s="9">
        <v>9989</v>
      </c>
      <c r="H9602" s="8">
        <v>12103</v>
      </c>
    </row>
    <row r="9603" spans="2:8" x14ac:dyDescent="0.4">
      <c r="B9603" s="3" t="s">
        <v>7</v>
      </c>
      <c r="C9603" s="3" t="s">
        <v>1438</v>
      </c>
      <c r="D9603" s="4">
        <f>DATE(2003,1,23)</f>
        <v>37644</v>
      </c>
      <c r="E9603" s="5">
        <f t="shared" ref="E9603:E9666" si="159">YEAR(D9603)</f>
        <v>2003</v>
      </c>
      <c r="F9603" s="3" t="s">
        <v>1439</v>
      </c>
      <c r="G9603" s="6">
        <v>9770.3799999999992</v>
      </c>
      <c r="H9603" s="5">
        <v>83</v>
      </c>
    </row>
    <row r="9604" spans="2:8" x14ac:dyDescent="0.4">
      <c r="B9604" s="3" t="s">
        <v>7</v>
      </c>
      <c r="C9604" s="3" t="s">
        <v>1438</v>
      </c>
      <c r="D9604" s="4">
        <f>DATE(2003,5,27)</f>
        <v>37768</v>
      </c>
      <c r="E9604" s="5">
        <f t="shared" si="159"/>
        <v>2003</v>
      </c>
      <c r="F9604" s="3" t="s">
        <v>1439</v>
      </c>
      <c r="G9604" s="6">
        <v>1774</v>
      </c>
      <c r="H9604" s="5">
        <v>876</v>
      </c>
    </row>
    <row r="9605" spans="2:8" x14ac:dyDescent="0.4">
      <c r="B9605" t="s">
        <v>7</v>
      </c>
      <c r="C9605" t="s">
        <v>1438</v>
      </c>
      <c r="D9605" s="7">
        <f>DATE(2018,12,19)</f>
        <v>43453</v>
      </c>
      <c r="E9605" s="8">
        <f t="shared" si="159"/>
        <v>2018</v>
      </c>
      <c r="F9605" t="s">
        <v>1440</v>
      </c>
      <c r="G9605" s="9">
        <v>6106.4</v>
      </c>
      <c r="H9605" s="8">
        <v>28082</v>
      </c>
    </row>
    <row r="9606" spans="2:8" x14ac:dyDescent="0.4">
      <c r="B9606" t="s">
        <v>7</v>
      </c>
      <c r="C9606" t="s">
        <v>1438</v>
      </c>
      <c r="D9606" s="7">
        <f>DATE(2006,10,21)</f>
        <v>39011</v>
      </c>
      <c r="E9606" s="8">
        <f t="shared" si="159"/>
        <v>2006</v>
      </c>
      <c r="F9606" t="s">
        <v>1440</v>
      </c>
      <c r="G9606" s="9">
        <v>16881.939999999999</v>
      </c>
      <c r="H9606" s="8">
        <v>4988</v>
      </c>
    </row>
    <row r="9607" spans="2:8" x14ac:dyDescent="0.4">
      <c r="B9607" t="s">
        <v>7</v>
      </c>
      <c r="C9607" t="s">
        <v>1438</v>
      </c>
      <c r="D9607" s="7">
        <f>DATE(2007,8,1)</f>
        <v>39295</v>
      </c>
      <c r="E9607" s="8">
        <f t="shared" si="159"/>
        <v>2007</v>
      </c>
      <c r="F9607" t="s">
        <v>1440</v>
      </c>
      <c r="G9607" s="9">
        <v>230</v>
      </c>
      <c r="H9607" s="8">
        <v>6067</v>
      </c>
    </row>
    <row r="9608" spans="2:8" x14ac:dyDescent="0.4">
      <c r="B9608" s="3" t="s">
        <v>7</v>
      </c>
      <c r="C9608" s="3" t="s">
        <v>1438</v>
      </c>
      <c r="D9608" s="4">
        <f>DATE(2004,6,24)</f>
        <v>38162</v>
      </c>
      <c r="E9608" s="5">
        <f t="shared" si="159"/>
        <v>2004</v>
      </c>
      <c r="F9608" s="3" t="s">
        <v>1440</v>
      </c>
      <c r="G9608" s="6">
        <v>925.5</v>
      </c>
      <c r="H9608" s="5">
        <v>3003</v>
      </c>
    </row>
    <row r="9609" spans="2:8" x14ac:dyDescent="0.4">
      <c r="B9609" s="3" t="s">
        <v>7</v>
      </c>
      <c r="C9609" s="3" t="s">
        <v>1438</v>
      </c>
      <c r="D9609" s="4">
        <f>DATE(2005,7,6)</f>
        <v>38539</v>
      </c>
      <c r="E9609" s="5">
        <f t="shared" si="159"/>
        <v>2005</v>
      </c>
      <c r="F9609" s="3" t="s">
        <v>1440</v>
      </c>
      <c r="G9609" s="6">
        <v>1392.5</v>
      </c>
      <c r="H9609" s="5">
        <v>4940</v>
      </c>
    </row>
    <row r="9610" spans="2:8" x14ac:dyDescent="0.4">
      <c r="B9610" s="3" t="s">
        <v>7</v>
      </c>
      <c r="C9610" s="3" t="s">
        <v>1438</v>
      </c>
      <c r="D9610" s="4">
        <f>DATE(2006,1,25)</f>
        <v>38742</v>
      </c>
      <c r="E9610" s="5">
        <f t="shared" si="159"/>
        <v>2006</v>
      </c>
      <c r="F9610" s="3" t="s">
        <v>1440</v>
      </c>
      <c r="G9610" s="6">
        <v>541.85</v>
      </c>
      <c r="H9610" s="5">
        <v>5293</v>
      </c>
    </row>
    <row r="9611" spans="2:8" x14ac:dyDescent="0.4">
      <c r="B9611" s="3" t="s">
        <v>7</v>
      </c>
      <c r="C9611" s="3" t="s">
        <v>1438</v>
      </c>
      <c r="D9611" s="4">
        <f>DATE(2006,1,25)</f>
        <v>38742</v>
      </c>
      <c r="E9611" s="5">
        <f t="shared" si="159"/>
        <v>2006</v>
      </c>
      <c r="F9611" s="3" t="s">
        <v>1440</v>
      </c>
      <c r="G9611" s="6">
        <v>310</v>
      </c>
      <c r="H9611" s="5">
        <v>5691</v>
      </c>
    </row>
    <row r="9612" spans="2:8" x14ac:dyDescent="0.4">
      <c r="B9612" s="3" t="s">
        <v>7</v>
      </c>
      <c r="C9612" s="3" t="s">
        <v>1438</v>
      </c>
      <c r="D9612" s="4">
        <f>DATE(2006,3,31)</f>
        <v>38807</v>
      </c>
      <c r="E9612" s="5">
        <f t="shared" si="159"/>
        <v>2006</v>
      </c>
      <c r="F9612" s="3" t="s">
        <v>1440</v>
      </c>
      <c r="G9612" s="6">
        <v>5698.8</v>
      </c>
      <c r="H9612" s="5">
        <v>6420</v>
      </c>
    </row>
    <row r="9613" spans="2:8" x14ac:dyDescent="0.4">
      <c r="B9613" s="3" t="s">
        <v>7</v>
      </c>
      <c r="C9613" s="3" t="s">
        <v>1438</v>
      </c>
      <c r="D9613" s="4">
        <f>DATE(2006,5,18)</f>
        <v>38855</v>
      </c>
      <c r="E9613" s="5">
        <f t="shared" si="159"/>
        <v>2006</v>
      </c>
      <c r="F9613" s="3" t="s">
        <v>1440</v>
      </c>
      <c r="G9613" s="6">
        <v>1982.98</v>
      </c>
      <c r="H9613" s="5">
        <v>6718</v>
      </c>
    </row>
    <row r="9614" spans="2:8" x14ac:dyDescent="0.4">
      <c r="B9614" s="3" t="s">
        <v>7</v>
      </c>
      <c r="C9614" s="3" t="s">
        <v>1438</v>
      </c>
      <c r="D9614" s="4">
        <f>DATE(2006,8,8)</f>
        <v>38937</v>
      </c>
      <c r="E9614" s="5">
        <f t="shared" si="159"/>
        <v>2006</v>
      </c>
      <c r="F9614" s="3" t="s">
        <v>1440</v>
      </c>
      <c r="G9614" s="6">
        <v>7976.87</v>
      </c>
      <c r="H9614" s="5">
        <v>7031</v>
      </c>
    </row>
    <row r="9615" spans="2:8" x14ac:dyDescent="0.4">
      <c r="B9615" s="3" t="s">
        <v>7</v>
      </c>
      <c r="C9615" s="3" t="s">
        <v>1438</v>
      </c>
      <c r="D9615" s="4">
        <f>DATE(2006,9,20)</f>
        <v>38980</v>
      </c>
      <c r="E9615" s="5">
        <f t="shared" si="159"/>
        <v>2006</v>
      </c>
      <c r="F9615" s="3" t="s">
        <v>1440</v>
      </c>
      <c r="G9615" s="6">
        <v>420</v>
      </c>
      <c r="H9615" s="5">
        <v>7232</v>
      </c>
    </row>
    <row r="9616" spans="2:8" x14ac:dyDescent="0.4">
      <c r="B9616" s="3" t="s">
        <v>7</v>
      </c>
      <c r="C9616" s="3" t="s">
        <v>1438</v>
      </c>
      <c r="D9616" s="4">
        <f>DATE(2006,9,20)</f>
        <v>38980</v>
      </c>
      <c r="E9616" s="5">
        <f t="shared" si="159"/>
        <v>2006</v>
      </c>
      <c r="F9616" s="3" t="s">
        <v>1440</v>
      </c>
      <c r="G9616" s="6">
        <v>37.86</v>
      </c>
      <c r="H9616" s="5">
        <v>7945</v>
      </c>
    </row>
    <row r="9617" spans="2:8" x14ac:dyDescent="0.4">
      <c r="B9617" s="3" t="s">
        <v>7</v>
      </c>
      <c r="C9617" s="3" t="s">
        <v>1438</v>
      </c>
      <c r="D9617" s="4">
        <f>DATE(2007,5,18)</f>
        <v>39220</v>
      </c>
      <c r="E9617" s="5">
        <f t="shared" si="159"/>
        <v>2007</v>
      </c>
      <c r="F9617" s="3" t="s">
        <v>1440</v>
      </c>
      <c r="G9617" s="6">
        <v>8200</v>
      </c>
      <c r="H9617" s="5">
        <v>8451</v>
      </c>
    </row>
    <row r="9618" spans="2:8" x14ac:dyDescent="0.4">
      <c r="B9618" s="3" t="s">
        <v>7</v>
      </c>
      <c r="C9618" s="3" t="s">
        <v>1438</v>
      </c>
      <c r="D9618" s="4">
        <f>DATE(2007,7,27)</f>
        <v>39290</v>
      </c>
      <c r="E9618" s="5">
        <f t="shared" si="159"/>
        <v>2007</v>
      </c>
      <c r="F9618" s="3" t="s">
        <v>1440</v>
      </c>
      <c r="G9618" s="6">
        <v>2810</v>
      </c>
      <c r="H9618" s="5">
        <v>8865</v>
      </c>
    </row>
    <row r="9619" spans="2:8" x14ac:dyDescent="0.4">
      <c r="B9619" s="3" t="s">
        <v>7</v>
      </c>
      <c r="C9619" s="3" t="s">
        <v>1438</v>
      </c>
      <c r="D9619" s="4">
        <f>DATE(2008,5,9)</f>
        <v>39577</v>
      </c>
      <c r="E9619" s="5">
        <f t="shared" si="159"/>
        <v>2008</v>
      </c>
      <c r="F9619" s="3" t="s">
        <v>1440</v>
      </c>
      <c r="G9619" s="6">
        <v>10760.18</v>
      </c>
      <c r="H9619" s="5">
        <v>10482</v>
      </c>
    </row>
    <row r="9620" spans="2:8" x14ac:dyDescent="0.4">
      <c r="B9620" s="3" t="s">
        <v>7</v>
      </c>
      <c r="C9620" s="3" t="s">
        <v>1438</v>
      </c>
      <c r="D9620" s="4">
        <f>DATE(2008,8,29)</f>
        <v>39689</v>
      </c>
      <c r="E9620" s="5">
        <f t="shared" si="159"/>
        <v>2008</v>
      </c>
      <c r="F9620" s="3" t="s">
        <v>1440</v>
      </c>
      <c r="G9620" s="6">
        <v>15936</v>
      </c>
      <c r="H9620" s="5">
        <v>11150</v>
      </c>
    </row>
    <row r="9621" spans="2:8" x14ac:dyDescent="0.4">
      <c r="B9621" s="3" t="s">
        <v>7</v>
      </c>
      <c r="C9621" s="3" t="s">
        <v>1438</v>
      </c>
      <c r="D9621" s="4">
        <f>DATE(2009,3,5)</f>
        <v>39877</v>
      </c>
      <c r="E9621" s="5">
        <f t="shared" si="159"/>
        <v>2009</v>
      </c>
      <c r="F9621" s="3" t="s">
        <v>1440</v>
      </c>
      <c r="G9621" s="6">
        <v>6125</v>
      </c>
      <c r="H9621" s="5">
        <v>11983</v>
      </c>
    </row>
    <row r="9622" spans="2:8" x14ac:dyDescent="0.4">
      <c r="B9622" s="3" t="s">
        <v>7</v>
      </c>
      <c r="C9622" s="3" t="s">
        <v>1438</v>
      </c>
      <c r="D9622" s="4">
        <f>DATE(2009,7,7)</f>
        <v>40001</v>
      </c>
      <c r="E9622" s="5">
        <f t="shared" si="159"/>
        <v>2009</v>
      </c>
      <c r="F9622" s="3" t="s">
        <v>1440</v>
      </c>
      <c r="G9622" s="6">
        <v>1985</v>
      </c>
      <c r="H9622" s="5">
        <v>12738</v>
      </c>
    </row>
    <row r="9623" spans="2:8" x14ac:dyDescent="0.4">
      <c r="B9623" s="3" t="s">
        <v>7</v>
      </c>
      <c r="C9623" s="3" t="s">
        <v>1438</v>
      </c>
      <c r="D9623" s="4">
        <f>DATE(2010,8,17)</f>
        <v>40407</v>
      </c>
      <c r="E9623" s="5">
        <f t="shared" si="159"/>
        <v>2010</v>
      </c>
      <c r="F9623" s="3" t="s">
        <v>1440</v>
      </c>
      <c r="G9623" s="6">
        <v>1466.9</v>
      </c>
      <c r="H9623" s="5">
        <v>14372</v>
      </c>
    </row>
    <row r="9624" spans="2:8" x14ac:dyDescent="0.4">
      <c r="B9624" s="3" t="s">
        <v>7</v>
      </c>
      <c r="C9624" s="3" t="s">
        <v>1438</v>
      </c>
      <c r="D9624" s="4">
        <f>DATE(2010,12,15)</f>
        <v>40527</v>
      </c>
      <c r="E9624" s="5">
        <f t="shared" si="159"/>
        <v>2010</v>
      </c>
      <c r="F9624" s="3" t="s">
        <v>1440</v>
      </c>
      <c r="G9624" s="6">
        <v>4750</v>
      </c>
      <c r="H9624" s="5">
        <v>14772</v>
      </c>
    </row>
    <row r="9625" spans="2:8" x14ac:dyDescent="0.4">
      <c r="B9625" s="3" t="s">
        <v>7</v>
      </c>
      <c r="C9625" s="3" t="s">
        <v>1438</v>
      </c>
      <c r="D9625" s="4">
        <f>DATE(2011,8,30)</f>
        <v>40785</v>
      </c>
      <c r="E9625" s="5">
        <f t="shared" si="159"/>
        <v>2011</v>
      </c>
      <c r="F9625" s="3" t="s">
        <v>1440</v>
      </c>
      <c r="G9625" s="6">
        <v>13788.5</v>
      </c>
      <c r="H9625" s="5">
        <v>15819</v>
      </c>
    </row>
    <row r="9626" spans="2:8" x14ac:dyDescent="0.4">
      <c r="B9626" s="3" t="s">
        <v>7</v>
      </c>
      <c r="C9626" s="3" t="s">
        <v>1438</v>
      </c>
      <c r="D9626" s="4">
        <f>DATE(2012,11,15)</f>
        <v>41228</v>
      </c>
      <c r="E9626" s="5">
        <f t="shared" si="159"/>
        <v>2012</v>
      </c>
      <c r="F9626" s="3" t="s">
        <v>1440</v>
      </c>
      <c r="G9626" s="6">
        <v>730</v>
      </c>
      <c r="H9626" s="5">
        <v>17734</v>
      </c>
    </row>
    <row r="9627" spans="2:8" x14ac:dyDescent="0.4">
      <c r="B9627" s="3" t="s">
        <v>7</v>
      </c>
      <c r="C9627" s="3" t="s">
        <v>1438</v>
      </c>
      <c r="D9627" s="4">
        <f>DATE(2013,3,11)</f>
        <v>41344</v>
      </c>
      <c r="E9627" s="5">
        <f t="shared" si="159"/>
        <v>2013</v>
      </c>
      <c r="F9627" s="3" t="s">
        <v>1440</v>
      </c>
      <c r="G9627" s="6">
        <v>575</v>
      </c>
      <c r="H9627" s="5">
        <v>18239</v>
      </c>
    </row>
    <row r="9628" spans="2:8" x14ac:dyDescent="0.4">
      <c r="B9628" s="3" t="s">
        <v>7</v>
      </c>
      <c r="C9628" s="3" t="s">
        <v>1438</v>
      </c>
      <c r="D9628" s="4">
        <f>DATE(2013,4,24)</f>
        <v>41388</v>
      </c>
      <c r="E9628" s="5">
        <f t="shared" si="159"/>
        <v>2013</v>
      </c>
      <c r="F9628" s="3" t="s">
        <v>1440</v>
      </c>
      <c r="G9628" s="6">
        <v>2450</v>
      </c>
      <c r="H9628" s="5">
        <v>18484</v>
      </c>
    </row>
    <row r="9629" spans="2:8" x14ac:dyDescent="0.4">
      <c r="B9629" s="3" t="s">
        <v>7</v>
      </c>
      <c r="C9629" s="3" t="s">
        <v>1438</v>
      </c>
      <c r="D9629" s="4">
        <f>DATE(2014,7,9)</f>
        <v>41829</v>
      </c>
      <c r="E9629" s="5">
        <f t="shared" si="159"/>
        <v>2014</v>
      </c>
      <c r="F9629" s="3" t="s">
        <v>1440</v>
      </c>
      <c r="G9629" s="6">
        <v>3000</v>
      </c>
      <c r="H9629" s="5">
        <v>20066</v>
      </c>
    </row>
    <row r="9630" spans="2:8" x14ac:dyDescent="0.4">
      <c r="B9630" t="s">
        <v>7</v>
      </c>
      <c r="C9630" t="s">
        <v>1441</v>
      </c>
      <c r="D9630" s="7">
        <f>DATE(2016,5,31)</f>
        <v>42521</v>
      </c>
      <c r="E9630" s="8">
        <f t="shared" si="159"/>
        <v>2016</v>
      </c>
      <c r="F9630" t="s">
        <v>1442</v>
      </c>
      <c r="G9630" s="9">
        <v>13380</v>
      </c>
      <c r="H9630" s="8">
        <v>22145</v>
      </c>
    </row>
    <row r="9631" spans="2:8" x14ac:dyDescent="0.4">
      <c r="B9631" s="3" t="s">
        <v>7</v>
      </c>
      <c r="C9631" s="3" t="s">
        <v>1441</v>
      </c>
      <c r="D9631" s="4">
        <f>DATE(2013,7,18)</f>
        <v>41473</v>
      </c>
      <c r="E9631" s="5">
        <f t="shared" si="159"/>
        <v>2013</v>
      </c>
      <c r="F9631" s="3" t="s">
        <v>1442</v>
      </c>
      <c r="G9631" s="6">
        <v>13380</v>
      </c>
      <c r="H9631" s="5">
        <v>18670</v>
      </c>
    </row>
    <row r="9632" spans="2:8" x14ac:dyDescent="0.4">
      <c r="B9632" s="3" t="s">
        <v>7</v>
      </c>
      <c r="C9632" s="3" t="s">
        <v>1356</v>
      </c>
      <c r="D9632" s="4">
        <f>DATE(2011,2,10)</f>
        <v>40584</v>
      </c>
      <c r="E9632" s="5">
        <f t="shared" si="159"/>
        <v>2011</v>
      </c>
      <c r="F9632" s="3" t="s">
        <v>1443</v>
      </c>
      <c r="G9632" s="6">
        <v>122511.09</v>
      </c>
      <c r="H9632" s="5">
        <v>4163</v>
      </c>
    </row>
    <row r="9633" spans="2:8" x14ac:dyDescent="0.4">
      <c r="B9633" s="3" t="s">
        <v>7</v>
      </c>
      <c r="C9633" s="3" t="s">
        <v>1444</v>
      </c>
      <c r="D9633" s="4">
        <f>DATE(2012,12,11)</f>
        <v>41254</v>
      </c>
      <c r="E9633" s="5">
        <f t="shared" si="159"/>
        <v>2012</v>
      </c>
      <c r="F9633" s="3" t="s">
        <v>1445</v>
      </c>
      <c r="G9633" s="6">
        <v>2520</v>
      </c>
      <c r="H9633" s="5">
        <v>5311</v>
      </c>
    </row>
    <row r="9634" spans="2:8" x14ac:dyDescent="0.4">
      <c r="B9634" t="s">
        <v>7</v>
      </c>
      <c r="C9634" t="s">
        <v>1446</v>
      </c>
      <c r="D9634" s="7">
        <f>DATE(2009,1,30)</f>
        <v>39843</v>
      </c>
      <c r="E9634" s="8">
        <f t="shared" si="159"/>
        <v>2009</v>
      </c>
      <c r="F9634" t="s">
        <v>1447</v>
      </c>
      <c r="G9634" s="9">
        <v>11598.09</v>
      </c>
      <c r="H9634" s="8">
        <v>8075</v>
      </c>
    </row>
    <row r="9635" spans="2:8" x14ac:dyDescent="0.4">
      <c r="B9635" t="s">
        <v>7</v>
      </c>
      <c r="C9635" t="s">
        <v>1260</v>
      </c>
      <c r="D9635" s="7">
        <f>DATE(2003,4,22)</f>
        <v>37733</v>
      </c>
      <c r="E9635" s="8">
        <f t="shared" si="159"/>
        <v>2003</v>
      </c>
      <c r="F9635" t="s">
        <v>1448</v>
      </c>
      <c r="G9635" s="9">
        <v>5072.92</v>
      </c>
      <c r="H9635" s="8">
        <v>374</v>
      </c>
    </row>
    <row r="9636" spans="2:8" x14ac:dyDescent="0.4">
      <c r="B9636" t="s">
        <v>7</v>
      </c>
      <c r="C9636" t="s">
        <v>1260</v>
      </c>
      <c r="D9636" s="7">
        <f>DATE(2003,5,20)</f>
        <v>37761</v>
      </c>
      <c r="E9636" s="8">
        <f t="shared" si="159"/>
        <v>2003</v>
      </c>
      <c r="F9636" t="s">
        <v>1448</v>
      </c>
      <c r="G9636" s="9">
        <v>2660.22</v>
      </c>
      <c r="H9636" s="8">
        <v>618</v>
      </c>
    </row>
    <row r="9637" spans="2:8" x14ac:dyDescent="0.4">
      <c r="B9637" t="s">
        <v>7</v>
      </c>
      <c r="C9637" t="s">
        <v>1260</v>
      </c>
      <c r="D9637" s="7">
        <f>DATE(2004,2,12)</f>
        <v>38029</v>
      </c>
      <c r="E9637" s="8">
        <f t="shared" si="159"/>
        <v>2004</v>
      </c>
      <c r="F9637" t="s">
        <v>1448</v>
      </c>
      <c r="G9637" s="9">
        <v>3962.77</v>
      </c>
      <c r="H9637" s="8">
        <v>1254</v>
      </c>
    </row>
    <row r="9638" spans="2:8" x14ac:dyDescent="0.4">
      <c r="B9638" t="s">
        <v>7</v>
      </c>
      <c r="C9638" t="s">
        <v>1260</v>
      </c>
      <c r="D9638" s="7">
        <f>DATE(2004,10,14)</f>
        <v>38274</v>
      </c>
      <c r="E9638" s="8">
        <f t="shared" si="159"/>
        <v>2004</v>
      </c>
      <c r="F9638" t="s">
        <v>1448</v>
      </c>
      <c r="G9638" s="9">
        <v>6342.32</v>
      </c>
      <c r="H9638" s="8">
        <v>2278</v>
      </c>
    </row>
    <row r="9639" spans="2:8" x14ac:dyDescent="0.4">
      <c r="B9639" t="s">
        <v>7</v>
      </c>
      <c r="C9639" t="s">
        <v>1260</v>
      </c>
      <c r="D9639" s="7">
        <f>DATE(2005,5,11)</f>
        <v>38483</v>
      </c>
      <c r="E9639" s="8">
        <f t="shared" si="159"/>
        <v>2005</v>
      </c>
      <c r="F9639" t="s">
        <v>1448</v>
      </c>
      <c r="G9639" s="9">
        <v>59600</v>
      </c>
      <c r="H9639" s="8">
        <v>3110</v>
      </c>
    </row>
    <row r="9640" spans="2:8" x14ac:dyDescent="0.4">
      <c r="B9640" t="s">
        <v>7</v>
      </c>
      <c r="C9640" t="s">
        <v>1260</v>
      </c>
      <c r="D9640" s="7">
        <f>DATE(2005,5,15)</f>
        <v>38487</v>
      </c>
      <c r="E9640" s="8">
        <f t="shared" si="159"/>
        <v>2005</v>
      </c>
      <c r="F9640" t="s">
        <v>1448</v>
      </c>
      <c r="G9640" s="9">
        <v>4520</v>
      </c>
      <c r="H9640" s="8">
        <v>3200</v>
      </c>
    </row>
    <row r="9641" spans="2:8" x14ac:dyDescent="0.4">
      <c r="B9641" t="s">
        <v>7</v>
      </c>
      <c r="C9641" t="s">
        <v>1260</v>
      </c>
      <c r="D9641" s="7">
        <f>DATE(2005,7,28)</f>
        <v>38561</v>
      </c>
      <c r="E9641" s="8">
        <f t="shared" si="159"/>
        <v>2005</v>
      </c>
      <c r="F9641" t="s">
        <v>1448</v>
      </c>
      <c r="G9641" s="9">
        <v>5274.79</v>
      </c>
      <c r="H9641" s="8">
        <v>3393</v>
      </c>
    </row>
    <row r="9642" spans="2:8" x14ac:dyDescent="0.4">
      <c r="B9642" t="s">
        <v>7</v>
      </c>
      <c r="C9642" t="s">
        <v>1260</v>
      </c>
      <c r="D9642" s="7">
        <f>DATE(2006,3,16)</f>
        <v>38792</v>
      </c>
      <c r="E9642" s="8">
        <f t="shared" si="159"/>
        <v>2006</v>
      </c>
      <c r="F9642" t="s">
        <v>1448</v>
      </c>
      <c r="G9642" s="9">
        <v>5520.64</v>
      </c>
      <c r="H9642" s="8">
        <v>4205</v>
      </c>
    </row>
    <row r="9643" spans="2:8" x14ac:dyDescent="0.4">
      <c r="B9643" t="s">
        <v>7</v>
      </c>
      <c r="C9643" t="s">
        <v>1260</v>
      </c>
      <c r="D9643" s="7">
        <f>DATE(2006,5,28)</f>
        <v>38865</v>
      </c>
      <c r="E9643" s="8">
        <f t="shared" si="159"/>
        <v>2006</v>
      </c>
      <c r="F9643" t="s">
        <v>1448</v>
      </c>
      <c r="G9643" s="9">
        <v>86000</v>
      </c>
      <c r="H9643" s="8">
        <v>4491</v>
      </c>
    </row>
    <row r="9644" spans="2:8" x14ac:dyDescent="0.4">
      <c r="B9644" t="s">
        <v>7</v>
      </c>
      <c r="C9644" t="s">
        <v>1260</v>
      </c>
      <c r="D9644" s="7">
        <f>DATE(2006,5,27)</f>
        <v>38864</v>
      </c>
      <c r="E9644" s="8">
        <f t="shared" si="159"/>
        <v>2006</v>
      </c>
      <c r="F9644" t="s">
        <v>1448</v>
      </c>
      <c r="G9644" s="9">
        <v>4520</v>
      </c>
      <c r="H9644" s="8">
        <v>4642</v>
      </c>
    </row>
    <row r="9645" spans="2:8" x14ac:dyDescent="0.4">
      <c r="B9645" t="s">
        <v>7</v>
      </c>
      <c r="C9645" t="s">
        <v>1260</v>
      </c>
      <c r="D9645" s="7">
        <f>DATE(2006,6,14)</f>
        <v>38882</v>
      </c>
      <c r="E9645" s="8">
        <f t="shared" si="159"/>
        <v>2006</v>
      </c>
      <c r="F9645" t="s">
        <v>1448</v>
      </c>
      <c r="G9645" s="9">
        <v>5544.01</v>
      </c>
      <c r="H9645" s="8">
        <v>4690</v>
      </c>
    </row>
    <row r="9646" spans="2:8" x14ac:dyDescent="0.4">
      <c r="B9646" t="s">
        <v>7</v>
      </c>
      <c r="C9646" t="s">
        <v>1260</v>
      </c>
      <c r="D9646" s="7">
        <f>DATE(2007,3,15)</f>
        <v>39156</v>
      </c>
      <c r="E9646" s="8">
        <f t="shared" si="159"/>
        <v>2007</v>
      </c>
      <c r="F9646" t="s">
        <v>1448</v>
      </c>
      <c r="G9646" s="9">
        <v>5129.8100000000004</v>
      </c>
      <c r="H9646" s="8">
        <v>5687</v>
      </c>
    </row>
    <row r="9647" spans="2:8" x14ac:dyDescent="0.4">
      <c r="B9647" t="s">
        <v>7</v>
      </c>
      <c r="C9647" t="s">
        <v>1260</v>
      </c>
      <c r="D9647" s="7">
        <f>DATE(2007,5,19)</f>
        <v>39221</v>
      </c>
      <c r="E9647" s="8">
        <f t="shared" si="159"/>
        <v>2007</v>
      </c>
      <c r="F9647" t="s">
        <v>1448</v>
      </c>
      <c r="G9647" s="9">
        <v>70405</v>
      </c>
      <c r="H9647" s="8">
        <v>5695</v>
      </c>
    </row>
    <row r="9648" spans="2:8" x14ac:dyDescent="0.4">
      <c r="B9648" t="s">
        <v>7</v>
      </c>
      <c r="C9648" t="s">
        <v>1260</v>
      </c>
      <c r="D9648" s="7">
        <f>DATE(2007,6,17)</f>
        <v>39250</v>
      </c>
      <c r="E9648" s="8">
        <f t="shared" si="159"/>
        <v>2007</v>
      </c>
      <c r="F9648" t="s">
        <v>1448</v>
      </c>
      <c r="G9648" s="9">
        <v>4632.72</v>
      </c>
      <c r="H9648" s="8">
        <v>6090</v>
      </c>
    </row>
    <row r="9649" spans="2:8" x14ac:dyDescent="0.4">
      <c r="B9649" t="s">
        <v>7</v>
      </c>
      <c r="C9649" t="s">
        <v>1260</v>
      </c>
      <c r="D9649" s="7">
        <f>DATE(2008,4,16)</f>
        <v>39554</v>
      </c>
      <c r="E9649" s="8">
        <f t="shared" si="159"/>
        <v>2008</v>
      </c>
      <c r="F9649" t="s">
        <v>1448</v>
      </c>
      <c r="G9649" s="9">
        <v>3747.75</v>
      </c>
      <c r="H9649" s="8">
        <v>7274</v>
      </c>
    </row>
    <row r="9650" spans="2:8" x14ac:dyDescent="0.4">
      <c r="B9650" t="s">
        <v>7</v>
      </c>
      <c r="C9650" t="s">
        <v>1260</v>
      </c>
      <c r="D9650" s="7">
        <f>DATE(2008,5,13)</f>
        <v>39581</v>
      </c>
      <c r="E9650" s="8">
        <f t="shared" si="159"/>
        <v>2008</v>
      </c>
      <c r="F9650" t="s">
        <v>1448</v>
      </c>
      <c r="G9650" s="9">
        <v>84885.84</v>
      </c>
      <c r="H9650" s="8">
        <v>7268</v>
      </c>
    </row>
    <row r="9651" spans="2:8" x14ac:dyDescent="0.4">
      <c r="B9651" t="s">
        <v>7</v>
      </c>
      <c r="C9651" t="s">
        <v>1260</v>
      </c>
      <c r="D9651" s="7">
        <f>DATE(2009,4,21)</f>
        <v>39924</v>
      </c>
      <c r="E9651" s="8">
        <f t="shared" si="159"/>
        <v>2009</v>
      </c>
      <c r="F9651" t="s">
        <v>1448</v>
      </c>
      <c r="G9651" s="9">
        <v>81512.899999999994</v>
      </c>
      <c r="H9651" s="8">
        <v>8506</v>
      </c>
    </row>
    <row r="9652" spans="2:8" x14ac:dyDescent="0.4">
      <c r="B9652" t="s">
        <v>7</v>
      </c>
      <c r="C9652" t="s">
        <v>1260</v>
      </c>
      <c r="D9652" s="7">
        <f>DATE(2010,5,10)</f>
        <v>40308</v>
      </c>
      <c r="E9652" s="8">
        <f t="shared" si="159"/>
        <v>2010</v>
      </c>
      <c r="F9652" t="s">
        <v>1448</v>
      </c>
      <c r="G9652" s="9">
        <v>106705.4</v>
      </c>
      <c r="H9652" s="8">
        <v>9352</v>
      </c>
    </row>
    <row r="9653" spans="2:8" x14ac:dyDescent="0.4">
      <c r="B9653" t="s">
        <v>7</v>
      </c>
      <c r="C9653" t="s">
        <v>1260</v>
      </c>
      <c r="D9653" s="7">
        <f>DATE(2011,6,1)</f>
        <v>40695</v>
      </c>
      <c r="E9653" s="8">
        <f t="shared" si="159"/>
        <v>2011</v>
      </c>
      <c r="F9653" t="s">
        <v>1448</v>
      </c>
      <c r="G9653" s="9">
        <v>85892.1</v>
      </c>
      <c r="H9653" s="8">
        <v>10621</v>
      </c>
    </row>
    <row r="9654" spans="2:8" x14ac:dyDescent="0.4">
      <c r="B9654" t="s">
        <v>7</v>
      </c>
      <c r="C9654" t="s">
        <v>1260</v>
      </c>
      <c r="D9654" s="7">
        <f>DATE(2012,5,18)</f>
        <v>41047</v>
      </c>
      <c r="E9654" s="8">
        <f t="shared" si="159"/>
        <v>2012</v>
      </c>
      <c r="F9654" t="s">
        <v>1448</v>
      </c>
      <c r="G9654" s="9">
        <v>119817.74</v>
      </c>
      <c r="H9654" s="8">
        <v>11250</v>
      </c>
    </row>
    <row r="9655" spans="2:8" x14ac:dyDescent="0.4">
      <c r="B9655" t="s">
        <v>7</v>
      </c>
      <c r="C9655" t="s">
        <v>1260</v>
      </c>
      <c r="D9655" s="7">
        <f>DATE(2012,12,5)</f>
        <v>41248</v>
      </c>
      <c r="E9655" s="8">
        <f t="shared" si="159"/>
        <v>2012</v>
      </c>
      <c r="F9655" t="s">
        <v>1448</v>
      </c>
      <c r="G9655" s="9">
        <v>5786.78</v>
      </c>
      <c r="H9655" s="8">
        <v>12009</v>
      </c>
    </row>
    <row r="9656" spans="2:8" x14ac:dyDescent="0.4">
      <c r="B9656" s="3" t="s">
        <v>7</v>
      </c>
      <c r="C9656" s="3" t="s">
        <v>1260</v>
      </c>
      <c r="D9656" s="4">
        <f>DATE(2003,5,22)</f>
        <v>37763</v>
      </c>
      <c r="E9656" s="5">
        <f t="shared" si="159"/>
        <v>2003</v>
      </c>
      <c r="F9656" s="3" t="s">
        <v>1448</v>
      </c>
      <c r="G9656" s="6">
        <v>59600</v>
      </c>
      <c r="H9656" s="5">
        <v>131</v>
      </c>
    </row>
    <row r="9657" spans="2:8" x14ac:dyDescent="0.4">
      <c r="B9657" t="s">
        <v>7</v>
      </c>
      <c r="C9657" t="s">
        <v>1449</v>
      </c>
      <c r="D9657" s="7">
        <f>DATE(2009,1,22)</f>
        <v>39835</v>
      </c>
      <c r="E9657" s="8">
        <f t="shared" si="159"/>
        <v>2009</v>
      </c>
      <c r="F9657" t="s">
        <v>1450</v>
      </c>
      <c r="G9657" s="9">
        <v>3747.18</v>
      </c>
      <c r="H9657" s="8">
        <v>8180</v>
      </c>
    </row>
    <row r="9658" spans="2:8" x14ac:dyDescent="0.4">
      <c r="B9658" t="s">
        <v>7</v>
      </c>
      <c r="C9658" t="s">
        <v>1451</v>
      </c>
      <c r="D9658" s="7">
        <f>DATE(2004,12,8)</f>
        <v>38329</v>
      </c>
      <c r="E9658" s="8">
        <f t="shared" si="159"/>
        <v>2004</v>
      </c>
      <c r="F9658" t="s">
        <v>1452</v>
      </c>
      <c r="G9658" s="9">
        <v>5567.63</v>
      </c>
      <c r="H9658" s="8">
        <v>2360</v>
      </c>
    </row>
    <row r="9659" spans="2:8" x14ac:dyDescent="0.4">
      <c r="B9659" t="s">
        <v>16</v>
      </c>
      <c r="C9659" t="s">
        <v>1451</v>
      </c>
      <c r="D9659" s="7">
        <f>DATE(2004,12,8)</f>
        <v>38329</v>
      </c>
      <c r="E9659" s="8">
        <f t="shared" si="159"/>
        <v>2004</v>
      </c>
      <c r="F9659" t="s">
        <v>1453</v>
      </c>
      <c r="G9659" s="9">
        <v>912.42</v>
      </c>
      <c r="H9659" s="8">
        <v>3007</v>
      </c>
    </row>
    <row r="9660" spans="2:8" x14ac:dyDescent="0.4">
      <c r="B9660" t="s">
        <v>7</v>
      </c>
      <c r="C9660" t="s">
        <v>1454</v>
      </c>
      <c r="D9660" s="7">
        <f>DATE(2004,6,8)</f>
        <v>38146</v>
      </c>
      <c r="E9660" s="8">
        <f t="shared" si="159"/>
        <v>2004</v>
      </c>
      <c r="F9660" t="s">
        <v>1455</v>
      </c>
      <c r="G9660" s="9">
        <v>1509</v>
      </c>
      <c r="H9660" s="8">
        <v>1873</v>
      </c>
    </row>
    <row r="9661" spans="2:8" x14ac:dyDescent="0.4">
      <c r="B9661" t="s">
        <v>7</v>
      </c>
      <c r="C9661" t="s">
        <v>1456</v>
      </c>
      <c r="D9661" s="7">
        <f>DATE(2016,7,29)</f>
        <v>42580</v>
      </c>
      <c r="E9661" s="8">
        <f t="shared" si="159"/>
        <v>2016</v>
      </c>
      <c r="F9661" t="s">
        <v>1457</v>
      </c>
      <c r="G9661" s="9">
        <v>14803.14</v>
      </c>
      <c r="H9661" s="8">
        <v>23214</v>
      </c>
    </row>
    <row r="9662" spans="2:8" x14ac:dyDescent="0.4">
      <c r="B9662" t="s">
        <v>7</v>
      </c>
      <c r="C9662" t="s">
        <v>1456</v>
      </c>
      <c r="D9662" s="7">
        <f>DATE(2016,11,1)</f>
        <v>42675</v>
      </c>
      <c r="E9662" s="8">
        <f t="shared" si="159"/>
        <v>2016</v>
      </c>
      <c r="F9662" t="s">
        <v>1457</v>
      </c>
      <c r="G9662" s="9">
        <v>13326.69</v>
      </c>
      <c r="H9662" s="8">
        <v>23614</v>
      </c>
    </row>
    <row r="9663" spans="2:8" x14ac:dyDescent="0.4">
      <c r="B9663" t="s">
        <v>7</v>
      </c>
      <c r="C9663" t="s">
        <v>1456</v>
      </c>
      <c r="D9663" s="7">
        <f>DATE(2017,4,14)</f>
        <v>42839</v>
      </c>
      <c r="E9663" s="8">
        <f t="shared" si="159"/>
        <v>2017</v>
      </c>
      <c r="F9663" t="s">
        <v>1457</v>
      </c>
      <c r="G9663" s="9">
        <v>9204.07</v>
      </c>
      <c r="H9663" s="8">
        <v>24779</v>
      </c>
    </row>
    <row r="9664" spans="2:8" x14ac:dyDescent="0.4">
      <c r="B9664" t="s">
        <v>7</v>
      </c>
      <c r="C9664" t="s">
        <v>1456</v>
      </c>
      <c r="D9664" s="7">
        <f>DATE(2017,5,17)</f>
        <v>42872</v>
      </c>
      <c r="E9664" s="8">
        <f t="shared" si="159"/>
        <v>2017</v>
      </c>
      <c r="F9664" t="s">
        <v>1457</v>
      </c>
      <c r="G9664" s="9">
        <v>1500</v>
      </c>
      <c r="H9664" s="8">
        <v>24963</v>
      </c>
    </row>
    <row r="9665" spans="2:8" x14ac:dyDescent="0.4">
      <c r="B9665" t="s">
        <v>7</v>
      </c>
      <c r="C9665" t="s">
        <v>1456</v>
      </c>
      <c r="D9665" s="7">
        <f>DATE(2017,6,15)</f>
        <v>42901</v>
      </c>
      <c r="E9665" s="8">
        <f t="shared" si="159"/>
        <v>2017</v>
      </c>
      <c r="F9665" t="s">
        <v>1457</v>
      </c>
      <c r="G9665" s="9">
        <v>1500</v>
      </c>
      <c r="H9665" s="8">
        <v>25130</v>
      </c>
    </row>
    <row r="9666" spans="2:8" x14ac:dyDescent="0.4">
      <c r="B9666" t="s">
        <v>7</v>
      </c>
      <c r="C9666" t="s">
        <v>1456</v>
      </c>
      <c r="D9666" s="7">
        <f>DATE(2017,7,21)</f>
        <v>42937</v>
      </c>
      <c r="E9666" s="8">
        <f t="shared" si="159"/>
        <v>2017</v>
      </c>
      <c r="F9666" t="s">
        <v>1457</v>
      </c>
      <c r="G9666" s="9">
        <v>1500</v>
      </c>
      <c r="H9666" s="8">
        <v>25287</v>
      </c>
    </row>
    <row r="9667" spans="2:8" x14ac:dyDescent="0.4">
      <c r="B9667" t="s">
        <v>7</v>
      </c>
      <c r="C9667" t="s">
        <v>1456</v>
      </c>
      <c r="D9667" s="7">
        <f>DATE(2017,8,16)</f>
        <v>42963</v>
      </c>
      <c r="E9667" s="8">
        <f t="shared" ref="E9667:E9730" si="160">YEAR(D9667)</f>
        <v>2017</v>
      </c>
      <c r="F9667" t="s">
        <v>1457</v>
      </c>
      <c r="G9667" s="9">
        <v>1500</v>
      </c>
      <c r="H9667" s="8">
        <v>25432</v>
      </c>
    </row>
    <row r="9668" spans="2:8" x14ac:dyDescent="0.4">
      <c r="B9668" t="s">
        <v>7</v>
      </c>
      <c r="C9668" t="s">
        <v>1456</v>
      </c>
      <c r="D9668" s="7">
        <f>DATE(2017,9,15)</f>
        <v>42993</v>
      </c>
      <c r="E9668" s="8">
        <f t="shared" si="160"/>
        <v>2017</v>
      </c>
      <c r="F9668" t="s">
        <v>1457</v>
      </c>
      <c r="G9668" s="9">
        <v>1500</v>
      </c>
      <c r="H9668" s="8">
        <v>25595</v>
      </c>
    </row>
    <row r="9669" spans="2:8" x14ac:dyDescent="0.4">
      <c r="B9669" t="s">
        <v>7</v>
      </c>
      <c r="C9669" t="s">
        <v>1456</v>
      </c>
      <c r="D9669" s="7">
        <f>DATE(2017,10,19)</f>
        <v>43027</v>
      </c>
      <c r="E9669" s="8">
        <f t="shared" si="160"/>
        <v>2017</v>
      </c>
      <c r="F9669" t="s">
        <v>1457</v>
      </c>
      <c r="G9669" s="9">
        <v>1500</v>
      </c>
      <c r="H9669" s="8">
        <v>25758</v>
      </c>
    </row>
    <row r="9670" spans="2:8" x14ac:dyDescent="0.4">
      <c r="B9670" t="s">
        <v>7</v>
      </c>
      <c r="C9670" t="s">
        <v>1456</v>
      </c>
      <c r="D9670" s="7">
        <f>DATE(2017,12,21)</f>
        <v>43090</v>
      </c>
      <c r="E9670" s="8">
        <f t="shared" si="160"/>
        <v>2017</v>
      </c>
      <c r="F9670" t="s">
        <v>1457</v>
      </c>
      <c r="G9670" s="9">
        <v>10574.48</v>
      </c>
      <c r="H9670" s="8">
        <v>25849</v>
      </c>
    </row>
    <row r="9671" spans="2:8" x14ac:dyDescent="0.4">
      <c r="B9671" t="s">
        <v>7</v>
      </c>
      <c r="C9671" t="s">
        <v>1456</v>
      </c>
      <c r="D9671" s="7">
        <f>DATE(2018,2,1)</f>
        <v>43132</v>
      </c>
      <c r="E9671" s="8">
        <f t="shared" si="160"/>
        <v>2018</v>
      </c>
      <c r="F9671" t="s">
        <v>1457</v>
      </c>
      <c r="G9671" s="9">
        <v>1924</v>
      </c>
      <c r="H9671" s="8">
        <v>26372</v>
      </c>
    </row>
    <row r="9672" spans="2:8" x14ac:dyDescent="0.4">
      <c r="B9672" t="s">
        <v>7</v>
      </c>
      <c r="C9672" t="s">
        <v>1456</v>
      </c>
      <c r="D9672" s="7">
        <f>DATE(2018,3,30)</f>
        <v>43189</v>
      </c>
      <c r="E9672" s="8">
        <f t="shared" si="160"/>
        <v>2018</v>
      </c>
      <c r="F9672" t="s">
        <v>1457</v>
      </c>
      <c r="G9672" s="9">
        <v>4960</v>
      </c>
      <c r="H9672" s="8">
        <v>26601</v>
      </c>
    </row>
    <row r="9673" spans="2:8" x14ac:dyDescent="0.4">
      <c r="B9673" t="s">
        <v>7</v>
      </c>
      <c r="C9673" t="s">
        <v>1456</v>
      </c>
      <c r="D9673" s="7">
        <f>DATE(2015,1,13)</f>
        <v>42017</v>
      </c>
      <c r="E9673" s="8">
        <f t="shared" si="160"/>
        <v>2015</v>
      </c>
      <c r="F9673" t="s">
        <v>1457</v>
      </c>
      <c r="G9673" s="9">
        <v>7463.34</v>
      </c>
      <c r="H9673" s="8">
        <v>208</v>
      </c>
    </row>
    <row r="9674" spans="2:8" x14ac:dyDescent="0.4">
      <c r="B9674" t="s">
        <v>7</v>
      </c>
      <c r="C9674" t="s">
        <v>1456</v>
      </c>
      <c r="D9674" s="7">
        <f>DATE(2015,4,10)</f>
        <v>42104</v>
      </c>
      <c r="E9674" s="8">
        <f t="shared" si="160"/>
        <v>2015</v>
      </c>
      <c r="F9674" t="s">
        <v>1457</v>
      </c>
      <c r="G9674" s="9">
        <v>4600.3500000000004</v>
      </c>
      <c r="H9674" s="8">
        <v>208</v>
      </c>
    </row>
    <row r="9675" spans="2:8" x14ac:dyDescent="0.4">
      <c r="B9675" t="s">
        <v>7</v>
      </c>
      <c r="C9675" t="s">
        <v>1456</v>
      </c>
      <c r="D9675" s="7">
        <f>DATE(2015,6,4)</f>
        <v>42159</v>
      </c>
      <c r="E9675" s="8">
        <f t="shared" si="160"/>
        <v>2015</v>
      </c>
      <c r="F9675" t="s">
        <v>1457</v>
      </c>
      <c r="G9675" s="9">
        <v>16250.35</v>
      </c>
      <c r="H9675" s="8">
        <v>20420</v>
      </c>
    </row>
    <row r="9676" spans="2:8" x14ac:dyDescent="0.4">
      <c r="B9676" t="s">
        <v>7</v>
      </c>
      <c r="C9676" t="s">
        <v>1456</v>
      </c>
      <c r="D9676" s="7">
        <f>DATE(2015,6,5)</f>
        <v>42160</v>
      </c>
      <c r="E9676" s="8">
        <f t="shared" si="160"/>
        <v>2015</v>
      </c>
      <c r="F9676" t="s">
        <v>1457</v>
      </c>
      <c r="G9676" s="9">
        <v>4995.95</v>
      </c>
      <c r="H9676" s="8">
        <v>20420</v>
      </c>
    </row>
    <row r="9677" spans="2:8" x14ac:dyDescent="0.4">
      <c r="B9677" t="s">
        <v>7</v>
      </c>
      <c r="C9677" t="s">
        <v>1456</v>
      </c>
      <c r="D9677" s="7">
        <f>DATE(2015,6,5)</f>
        <v>42160</v>
      </c>
      <c r="E9677" s="8">
        <f t="shared" si="160"/>
        <v>2015</v>
      </c>
      <c r="F9677" t="s">
        <v>1457</v>
      </c>
      <c r="G9677" s="9">
        <v>3005.2</v>
      </c>
      <c r="H9677" s="8">
        <v>20420</v>
      </c>
    </row>
    <row r="9678" spans="2:8" x14ac:dyDescent="0.4">
      <c r="B9678" t="s">
        <v>7</v>
      </c>
      <c r="C9678" t="s">
        <v>1456</v>
      </c>
      <c r="D9678" s="7">
        <f>DATE(2015,7,22)</f>
        <v>42207</v>
      </c>
      <c r="E9678" s="8">
        <f t="shared" si="160"/>
        <v>2015</v>
      </c>
      <c r="F9678" t="s">
        <v>1457</v>
      </c>
      <c r="G9678" s="9">
        <v>8686.25</v>
      </c>
      <c r="H9678" s="8">
        <v>20420</v>
      </c>
    </row>
    <row r="9679" spans="2:8" x14ac:dyDescent="0.4">
      <c r="B9679" t="s">
        <v>7</v>
      </c>
      <c r="C9679" t="s">
        <v>1456</v>
      </c>
      <c r="D9679" s="7">
        <f>DATE(2015,9,18)</f>
        <v>42265</v>
      </c>
      <c r="E9679" s="8">
        <f t="shared" si="160"/>
        <v>2015</v>
      </c>
      <c r="F9679" t="s">
        <v>1457</v>
      </c>
      <c r="G9679" s="9">
        <v>12800</v>
      </c>
      <c r="H9679" s="8">
        <v>20420</v>
      </c>
    </row>
    <row r="9680" spans="2:8" x14ac:dyDescent="0.4">
      <c r="B9680" t="s">
        <v>7</v>
      </c>
      <c r="C9680" t="s">
        <v>1456</v>
      </c>
      <c r="D9680" s="7">
        <f>DATE(2014,11,21)</f>
        <v>41964</v>
      </c>
      <c r="E9680" s="8">
        <f t="shared" si="160"/>
        <v>2014</v>
      </c>
      <c r="F9680" t="s">
        <v>1457</v>
      </c>
      <c r="G9680" s="9">
        <v>970</v>
      </c>
      <c r="H9680" s="8">
        <v>13534</v>
      </c>
    </row>
    <row r="9681" spans="2:8" x14ac:dyDescent="0.4">
      <c r="B9681" t="s">
        <v>7</v>
      </c>
      <c r="C9681" t="s">
        <v>1456</v>
      </c>
      <c r="D9681" s="7">
        <f>DATE(2014,11,21)</f>
        <v>41964</v>
      </c>
      <c r="E9681" s="8">
        <f t="shared" si="160"/>
        <v>2014</v>
      </c>
      <c r="F9681" t="s">
        <v>1457</v>
      </c>
      <c r="G9681" s="9">
        <v>676.43</v>
      </c>
      <c r="H9681" s="8">
        <v>13534</v>
      </c>
    </row>
    <row r="9682" spans="2:8" x14ac:dyDescent="0.4">
      <c r="B9682" t="s">
        <v>7</v>
      </c>
      <c r="C9682" t="s">
        <v>1456</v>
      </c>
      <c r="D9682" s="7">
        <f>DATE(2014,12,17)</f>
        <v>41990</v>
      </c>
      <c r="E9682" s="8">
        <f t="shared" si="160"/>
        <v>2014</v>
      </c>
      <c r="F9682" t="s">
        <v>1457</v>
      </c>
      <c r="G9682" s="9">
        <v>13891.91</v>
      </c>
      <c r="H9682" s="8">
        <v>13534</v>
      </c>
    </row>
    <row r="9683" spans="2:8" x14ac:dyDescent="0.4">
      <c r="B9683" s="3" t="s">
        <v>7</v>
      </c>
      <c r="C9683" s="3" t="s">
        <v>1458</v>
      </c>
      <c r="D9683" s="4">
        <f>DATE(2008,9,3)</f>
        <v>39694</v>
      </c>
      <c r="E9683" s="5">
        <f t="shared" si="160"/>
        <v>2008</v>
      </c>
      <c r="F9683" s="3" t="s">
        <v>1459</v>
      </c>
      <c r="G9683" s="6">
        <v>135.9</v>
      </c>
      <c r="H9683" s="5">
        <v>11198</v>
      </c>
    </row>
    <row r="9684" spans="2:8" x14ac:dyDescent="0.4">
      <c r="B9684" t="s">
        <v>7</v>
      </c>
      <c r="C9684" t="s">
        <v>1458</v>
      </c>
      <c r="D9684" s="7">
        <f>DATE(2008,8,26)</f>
        <v>39686</v>
      </c>
      <c r="E9684" s="8">
        <f t="shared" si="160"/>
        <v>2008</v>
      </c>
      <c r="F9684" t="s">
        <v>1460</v>
      </c>
      <c r="G9684" s="9">
        <v>8343</v>
      </c>
      <c r="H9684" s="8">
        <v>7733</v>
      </c>
    </row>
    <row r="9685" spans="2:8" x14ac:dyDescent="0.4">
      <c r="B9685" t="s">
        <v>7</v>
      </c>
      <c r="C9685" t="s">
        <v>1461</v>
      </c>
      <c r="D9685" s="7">
        <f>DATE(2015,6,12)</f>
        <v>42167</v>
      </c>
      <c r="E9685" s="8">
        <f t="shared" si="160"/>
        <v>2015</v>
      </c>
      <c r="F9685" t="s">
        <v>1462</v>
      </c>
      <c r="G9685" s="9">
        <v>10061.209999999999</v>
      </c>
      <c r="H9685" s="8">
        <v>20587</v>
      </c>
    </row>
    <row r="9686" spans="2:8" x14ac:dyDescent="0.4">
      <c r="B9686" t="s">
        <v>7</v>
      </c>
      <c r="C9686" t="s">
        <v>1463</v>
      </c>
      <c r="D9686" s="7">
        <f>DATE(2018,1,12)</f>
        <v>43112</v>
      </c>
      <c r="E9686" s="8">
        <f t="shared" si="160"/>
        <v>2018</v>
      </c>
      <c r="F9686" t="s">
        <v>1464</v>
      </c>
      <c r="G9686" s="9">
        <v>15928.07</v>
      </c>
      <c r="H9686" s="8">
        <v>26053</v>
      </c>
    </row>
    <row r="9687" spans="2:8" x14ac:dyDescent="0.4">
      <c r="B9687" t="s">
        <v>7</v>
      </c>
      <c r="C9687" t="s">
        <v>1463</v>
      </c>
      <c r="D9687" s="7">
        <f>DATE(2018,1,24)</f>
        <v>43124</v>
      </c>
      <c r="E9687" s="8">
        <f t="shared" si="160"/>
        <v>2018</v>
      </c>
      <c r="F9687" t="s">
        <v>1464</v>
      </c>
      <c r="G9687" s="9">
        <v>13900</v>
      </c>
      <c r="H9687" s="8">
        <v>26221</v>
      </c>
    </row>
    <row r="9688" spans="2:8" x14ac:dyDescent="0.4">
      <c r="B9688" t="s">
        <v>7</v>
      </c>
      <c r="C9688" t="s">
        <v>1463</v>
      </c>
      <c r="D9688" s="7">
        <f>DATE(2018,1,12)</f>
        <v>43112</v>
      </c>
      <c r="E9688" s="8">
        <f t="shared" si="160"/>
        <v>2018</v>
      </c>
      <c r="F9688" t="s">
        <v>1464</v>
      </c>
      <c r="G9688" s="9">
        <v>32400</v>
      </c>
      <c r="H9688" s="8">
        <v>26052</v>
      </c>
    </row>
    <row r="9689" spans="2:8" x14ac:dyDescent="0.4">
      <c r="B9689" t="s">
        <v>7</v>
      </c>
      <c r="C9689" t="s">
        <v>1463</v>
      </c>
      <c r="D9689" s="7">
        <f>DATE(2018,1,16)</f>
        <v>43116</v>
      </c>
      <c r="E9689" s="8">
        <f t="shared" si="160"/>
        <v>2018</v>
      </c>
      <c r="F9689" t="s">
        <v>1464</v>
      </c>
      <c r="G9689" s="9">
        <v>687.5</v>
      </c>
      <c r="H9689" s="8">
        <v>26171</v>
      </c>
    </row>
    <row r="9690" spans="2:8" x14ac:dyDescent="0.4">
      <c r="B9690" t="s">
        <v>7</v>
      </c>
      <c r="C9690" t="s">
        <v>1465</v>
      </c>
      <c r="D9690" s="7">
        <f>DATE(2004,10,3)</f>
        <v>38263</v>
      </c>
      <c r="E9690" s="8">
        <f t="shared" si="160"/>
        <v>2004</v>
      </c>
      <c r="F9690" t="s">
        <v>1466</v>
      </c>
      <c r="G9690" s="9">
        <v>2924.59</v>
      </c>
      <c r="H9690" s="8">
        <v>2256</v>
      </c>
    </row>
    <row r="9691" spans="2:8" x14ac:dyDescent="0.4">
      <c r="B9691" t="s">
        <v>7</v>
      </c>
      <c r="C9691" t="s">
        <v>1467</v>
      </c>
      <c r="D9691" s="7">
        <f>DATE(2007,8,1)</f>
        <v>39295</v>
      </c>
      <c r="E9691" s="8">
        <f t="shared" si="160"/>
        <v>2007</v>
      </c>
      <c r="F9691" t="s">
        <v>1468</v>
      </c>
      <c r="G9691" s="9">
        <v>2157.79</v>
      </c>
      <c r="H9691" s="8">
        <v>6234</v>
      </c>
    </row>
    <row r="9692" spans="2:8" x14ac:dyDescent="0.4">
      <c r="B9692" t="s">
        <v>7</v>
      </c>
      <c r="C9692" t="s">
        <v>1467</v>
      </c>
      <c r="D9692" s="7">
        <f>DATE(2007,8,8)</f>
        <v>39302</v>
      </c>
      <c r="E9692" s="8">
        <f t="shared" si="160"/>
        <v>2007</v>
      </c>
      <c r="F9692" t="s">
        <v>1468</v>
      </c>
      <c r="G9692" s="9">
        <v>3280.69</v>
      </c>
      <c r="H9692" s="8">
        <v>6257</v>
      </c>
    </row>
    <row r="9693" spans="2:8" x14ac:dyDescent="0.4">
      <c r="B9693" t="s">
        <v>7</v>
      </c>
      <c r="C9693" t="s">
        <v>1467</v>
      </c>
      <c r="D9693" s="7">
        <f>DATE(2008,5,15)</f>
        <v>39583</v>
      </c>
      <c r="E9693" s="8">
        <f t="shared" si="160"/>
        <v>2008</v>
      </c>
      <c r="F9693" t="s">
        <v>1468</v>
      </c>
      <c r="G9693" s="9">
        <v>6298</v>
      </c>
      <c r="H9693" s="8">
        <v>7005</v>
      </c>
    </row>
    <row r="9694" spans="2:8" x14ac:dyDescent="0.4">
      <c r="B9694" t="s">
        <v>7</v>
      </c>
      <c r="C9694" t="s">
        <v>1467</v>
      </c>
      <c r="D9694" s="7">
        <f>DATE(2008,5,15)</f>
        <v>39583</v>
      </c>
      <c r="E9694" s="8">
        <f t="shared" si="160"/>
        <v>2008</v>
      </c>
      <c r="F9694" t="s">
        <v>1468</v>
      </c>
      <c r="G9694" s="9">
        <v>6862</v>
      </c>
      <c r="H9694" s="8">
        <v>7003</v>
      </c>
    </row>
    <row r="9695" spans="2:8" x14ac:dyDescent="0.4">
      <c r="B9695" t="s">
        <v>7</v>
      </c>
      <c r="C9695" t="s">
        <v>1467</v>
      </c>
      <c r="D9695" s="7">
        <f>DATE(2009,8,18)</f>
        <v>40043</v>
      </c>
      <c r="E9695" s="8">
        <f t="shared" si="160"/>
        <v>2009</v>
      </c>
      <c r="F9695" t="s">
        <v>1468</v>
      </c>
      <c r="G9695" s="9">
        <v>2429.52</v>
      </c>
      <c r="H9695" s="8">
        <v>8952</v>
      </c>
    </row>
    <row r="9696" spans="2:8" x14ac:dyDescent="0.4">
      <c r="B9696" t="s">
        <v>7</v>
      </c>
      <c r="C9696" t="s">
        <v>1467</v>
      </c>
      <c r="D9696" s="7">
        <f>DATE(2009,12,10)</f>
        <v>40157</v>
      </c>
      <c r="E9696" s="8">
        <f t="shared" si="160"/>
        <v>2009</v>
      </c>
      <c r="F9696" t="s">
        <v>1468</v>
      </c>
      <c r="G9696" s="9">
        <v>2167.13</v>
      </c>
      <c r="H9696" s="8">
        <v>9297</v>
      </c>
    </row>
    <row r="9697" spans="2:8" x14ac:dyDescent="0.4">
      <c r="B9697" s="3" t="s">
        <v>7</v>
      </c>
      <c r="C9697" s="3" t="s">
        <v>1467</v>
      </c>
      <c r="D9697" s="4">
        <f>DATE(2011,9,14)</f>
        <v>40800</v>
      </c>
      <c r="E9697" s="5">
        <f t="shared" si="160"/>
        <v>2011</v>
      </c>
      <c r="F9697" s="3" t="s">
        <v>1468</v>
      </c>
      <c r="G9697" s="6">
        <v>9114</v>
      </c>
      <c r="H9697" s="5">
        <v>4570</v>
      </c>
    </row>
    <row r="9698" spans="2:8" x14ac:dyDescent="0.4">
      <c r="B9698" s="3" t="s">
        <v>7</v>
      </c>
      <c r="C9698" s="3" t="s">
        <v>1467</v>
      </c>
      <c r="D9698" s="4">
        <f>DATE(2007,7,27)</f>
        <v>39290</v>
      </c>
      <c r="E9698" s="5">
        <f t="shared" si="160"/>
        <v>2007</v>
      </c>
      <c r="F9698" s="3" t="s">
        <v>1468</v>
      </c>
      <c r="G9698" s="6">
        <v>1626.36</v>
      </c>
      <c r="H9698" s="5">
        <v>8937</v>
      </c>
    </row>
    <row r="9699" spans="2:8" x14ac:dyDescent="0.4">
      <c r="B9699" s="3" t="s">
        <v>7</v>
      </c>
      <c r="C9699" s="3" t="s">
        <v>1467</v>
      </c>
      <c r="D9699" s="4">
        <f>DATE(2007,8,1)</f>
        <v>39295</v>
      </c>
      <c r="E9699" s="5">
        <f t="shared" si="160"/>
        <v>2007</v>
      </c>
      <c r="F9699" s="3" t="s">
        <v>1468</v>
      </c>
      <c r="G9699" s="6">
        <v>739.35</v>
      </c>
      <c r="H9699" s="5">
        <v>8969</v>
      </c>
    </row>
    <row r="9700" spans="2:8" x14ac:dyDescent="0.4">
      <c r="B9700" s="3" t="s">
        <v>7</v>
      </c>
      <c r="C9700" s="3" t="s">
        <v>1467</v>
      </c>
      <c r="D9700" s="4">
        <f>DATE(2007,8,1)</f>
        <v>39295</v>
      </c>
      <c r="E9700" s="5">
        <f t="shared" si="160"/>
        <v>2007</v>
      </c>
      <c r="F9700" s="3" t="s">
        <v>1468</v>
      </c>
      <c r="G9700" s="6">
        <v>657.05</v>
      </c>
      <c r="H9700" s="5">
        <v>8971</v>
      </c>
    </row>
    <row r="9701" spans="2:8" x14ac:dyDescent="0.4">
      <c r="B9701" s="3" t="s">
        <v>7</v>
      </c>
      <c r="C9701" s="3" t="s">
        <v>1467</v>
      </c>
      <c r="D9701" s="4">
        <f>DATE(2007,8,13)</f>
        <v>39307</v>
      </c>
      <c r="E9701" s="5">
        <f t="shared" si="160"/>
        <v>2007</v>
      </c>
      <c r="F9701" s="3" t="s">
        <v>1468</v>
      </c>
      <c r="G9701" s="6">
        <v>492.9</v>
      </c>
      <c r="H9701" s="5">
        <v>9006</v>
      </c>
    </row>
    <row r="9702" spans="2:8" x14ac:dyDescent="0.4">
      <c r="B9702" s="3" t="s">
        <v>7</v>
      </c>
      <c r="C9702" s="3" t="s">
        <v>1467</v>
      </c>
      <c r="D9702" s="4">
        <f>DATE(2007,8,15)</f>
        <v>39309</v>
      </c>
      <c r="E9702" s="5">
        <f t="shared" si="160"/>
        <v>2007</v>
      </c>
      <c r="F9702" s="3" t="s">
        <v>1468</v>
      </c>
      <c r="G9702" s="6">
        <v>1232.25</v>
      </c>
      <c r="H9702" s="5">
        <v>9007</v>
      </c>
    </row>
    <row r="9703" spans="2:8" x14ac:dyDescent="0.4">
      <c r="B9703" s="3" t="s">
        <v>7</v>
      </c>
      <c r="C9703" s="3" t="s">
        <v>1467</v>
      </c>
      <c r="D9703" s="4">
        <f>DATE(2008,4,1)</f>
        <v>39539</v>
      </c>
      <c r="E9703" s="5">
        <f t="shared" si="160"/>
        <v>2008</v>
      </c>
      <c r="F9703" s="3" t="s">
        <v>1468</v>
      </c>
      <c r="G9703" s="6">
        <v>750.8</v>
      </c>
      <c r="H9703" s="5">
        <v>8968</v>
      </c>
    </row>
    <row r="9704" spans="2:8" x14ac:dyDescent="0.4">
      <c r="B9704" s="3" t="s">
        <v>7</v>
      </c>
      <c r="C9704" s="3" t="s">
        <v>1467</v>
      </c>
      <c r="D9704" s="4">
        <f>DATE(2009,12,10)</f>
        <v>40157</v>
      </c>
      <c r="E9704" s="5">
        <f t="shared" si="160"/>
        <v>2009</v>
      </c>
      <c r="F9704" s="3" t="s">
        <v>1468</v>
      </c>
      <c r="G9704" s="6">
        <v>815.14</v>
      </c>
      <c r="H9704" s="5">
        <v>13330</v>
      </c>
    </row>
    <row r="9705" spans="2:8" x14ac:dyDescent="0.4">
      <c r="B9705" t="s">
        <v>7</v>
      </c>
      <c r="C9705" t="s">
        <v>1467</v>
      </c>
      <c r="D9705" s="7">
        <f>DATE(2003,12,4)</f>
        <v>37959</v>
      </c>
      <c r="E9705" s="8">
        <f t="shared" si="160"/>
        <v>2003</v>
      </c>
      <c r="F9705" t="s">
        <v>1469</v>
      </c>
      <c r="G9705" s="9">
        <v>4760</v>
      </c>
      <c r="H9705" s="8">
        <v>1046</v>
      </c>
    </row>
    <row r="9706" spans="2:8" x14ac:dyDescent="0.4">
      <c r="B9706" t="s">
        <v>7</v>
      </c>
      <c r="C9706" t="s">
        <v>1467</v>
      </c>
      <c r="D9706" s="7">
        <f>DATE(2004,10,14)</f>
        <v>38274</v>
      </c>
      <c r="E9706" s="8">
        <f t="shared" si="160"/>
        <v>2004</v>
      </c>
      <c r="F9706" t="s">
        <v>1469</v>
      </c>
      <c r="G9706" s="9">
        <v>4700</v>
      </c>
      <c r="H9706" s="8">
        <v>2233</v>
      </c>
    </row>
    <row r="9707" spans="2:8" x14ac:dyDescent="0.4">
      <c r="B9707" s="3" t="s">
        <v>7</v>
      </c>
      <c r="C9707" s="3" t="s">
        <v>1467</v>
      </c>
      <c r="D9707" s="4">
        <f>DATE(2008,3,5)</f>
        <v>39512</v>
      </c>
      <c r="E9707" s="5">
        <f t="shared" si="160"/>
        <v>2008</v>
      </c>
      <c r="F9707" s="3" t="s">
        <v>1469</v>
      </c>
      <c r="G9707" s="6">
        <v>494.17</v>
      </c>
      <c r="H9707" s="5">
        <v>10093</v>
      </c>
    </row>
    <row r="9708" spans="2:8" x14ac:dyDescent="0.4">
      <c r="B9708" s="3" t="s">
        <v>7</v>
      </c>
      <c r="C9708" s="3" t="s">
        <v>1470</v>
      </c>
      <c r="D9708" s="4">
        <f>DATE(2008,7,30)</f>
        <v>39659</v>
      </c>
      <c r="E9708" s="5">
        <f t="shared" si="160"/>
        <v>2008</v>
      </c>
      <c r="F9708" s="3" t="s">
        <v>1471</v>
      </c>
      <c r="G9708" s="6">
        <v>616.5</v>
      </c>
      <c r="H9708" s="5">
        <v>2941</v>
      </c>
    </row>
    <row r="9709" spans="2:8" x14ac:dyDescent="0.4">
      <c r="B9709" s="3" t="s">
        <v>7</v>
      </c>
      <c r="C9709" s="3" t="s">
        <v>1470</v>
      </c>
      <c r="D9709" s="4">
        <f>DATE(2004,10,19)</f>
        <v>38279</v>
      </c>
      <c r="E9709" s="5">
        <f t="shared" si="160"/>
        <v>2004</v>
      </c>
      <c r="F9709" s="3" t="s">
        <v>1472</v>
      </c>
      <c r="G9709" s="6">
        <v>370.63</v>
      </c>
      <c r="H9709" s="5">
        <v>816</v>
      </c>
    </row>
    <row r="9710" spans="2:8" x14ac:dyDescent="0.4">
      <c r="B9710" t="s">
        <v>7</v>
      </c>
      <c r="C9710" t="s">
        <v>1470</v>
      </c>
      <c r="D9710" s="7">
        <f>DATE(2015,2,2)</f>
        <v>42037</v>
      </c>
      <c r="E9710" s="8">
        <f t="shared" si="160"/>
        <v>2015</v>
      </c>
      <c r="F9710" t="s">
        <v>1473</v>
      </c>
      <c r="G9710" s="9">
        <v>1425</v>
      </c>
      <c r="H9710" s="8">
        <v>255</v>
      </c>
    </row>
    <row r="9711" spans="2:8" x14ac:dyDescent="0.4">
      <c r="B9711" t="s">
        <v>7</v>
      </c>
      <c r="C9711" t="s">
        <v>1470</v>
      </c>
      <c r="D9711" s="7">
        <f>DATE(2015,3,26)</f>
        <v>42089</v>
      </c>
      <c r="E9711" s="8">
        <f t="shared" si="160"/>
        <v>2015</v>
      </c>
      <c r="F9711" t="s">
        <v>1473</v>
      </c>
      <c r="G9711" s="9">
        <v>157.6</v>
      </c>
      <c r="H9711" s="8">
        <v>20233</v>
      </c>
    </row>
    <row r="9712" spans="2:8" x14ac:dyDescent="0.4">
      <c r="B9712" t="s">
        <v>7</v>
      </c>
      <c r="C9712" t="s">
        <v>1470</v>
      </c>
      <c r="D9712" s="7">
        <f>DATE(2015,4,23)</f>
        <v>42117</v>
      </c>
      <c r="E9712" s="8">
        <f t="shared" si="160"/>
        <v>2015</v>
      </c>
      <c r="F9712" t="s">
        <v>1473</v>
      </c>
      <c r="G9712" s="9">
        <v>137</v>
      </c>
      <c r="H9712" s="8">
        <v>20438</v>
      </c>
    </row>
    <row r="9713" spans="2:8" x14ac:dyDescent="0.4">
      <c r="B9713" t="s">
        <v>7</v>
      </c>
      <c r="C9713" t="s">
        <v>1470</v>
      </c>
      <c r="D9713" s="7">
        <f>DATE(2016,8,17)</f>
        <v>42599</v>
      </c>
      <c r="E9713" s="8">
        <f t="shared" si="160"/>
        <v>2016</v>
      </c>
      <c r="F9713" t="s">
        <v>1473</v>
      </c>
      <c r="G9713" s="9">
        <v>189</v>
      </c>
      <c r="H9713" s="8">
        <v>23281</v>
      </c>
    </row>
    <row r="9714" spans="2:8" x14ac:dyDescent="0.4">
      <c r="B9714" t="s">
        <v>7</v>
      </c>
      <c r="C9714" t="s">
        <v>1470</v>
      </c>
      <c r="D9714" s="7">
        <f>DATE(2016,9,6)</f>
        <v>42619</v>
      </c>
      <c r="E9714" s="8">
        <f t="shared" si="160"/>
        <v>2016</v>
      </c>
      <c r="F9714" t="s">
        <v>1473</v>
      </c>
      <c r="G9714" s="9">
        <v>1205.25</v>
      </c>
      <c r="H9714" s="8">
        <v>23393</v>
      </c>
    </row>
    <row r="9715" spans="2:8" x14ac:dyDescent="0.4">
      <c r="B9715" t="s">
        <v>7</v>
      </c>
      <c r="C9715" t="s">
        <v>1470</v>
      </c>
      <c r="D9715" s="7">
        <f>DATE(2016,9,22)</f>
        <v>42635</v>
      </c>
      <c r="E9715" s="8">
        <f t="shared" si="160"/>
        <v>2016</v>
      </c>
      <c r="F9715" t="s">
        <v>1473</v>
      </c>
      <c r="G9715" s="9">
        <v>788</v>
      </c>
      <c r="H9715" s="8">
        <v>23442</v>
      </c>
    </row>
    <row r="9716" spans="2:8" x14ac:dyDescent="0.4">
      <c r="B9716" t="s">
        <v>7</v>
      </c>
      <c r="C9716" t="s">
        <v>1470</v>
      </c>
      <c r="D9716" s="7">
        <f>DATE(2016,12,6)</f>
        <v>42710</v>
      </c>
      <c r="E9716" s="8">
        <f t="shared" si="160"/>
        <v>2016</v>
      </c>
      <c r="F9716" t="s">
        <v>1473</v>
      </c>
      <c r="G9716" s="9">
        <v>411</v>
      </c>
      <c r="H9716" s="8">
        <v>23905</v>
      </c>
    </row>
    <row r="9717" spans="2:8" x14ac:dyDescent="0.4">
      <c r="B9717" t="s">
        <v>7</v>
      </c>
      <c r="C9717" t="s">
        <v>1470</v>
      </c>
      <c r="D9717" s="7">
        <f>DATE(2017,1,11)</f>
        <v>42746</v>
      </c>
      <c r="E9717" s="8">
        <f t="shared" si="160"/>
        <v>2017</v>
      </c>
      <c r="F9717" t="s">
        <v>1473</v>
      </c>
      <c r="G9717" s="9">
        <v>890.5</v>
      </c>
      <c r="H9717" s="8">
        <v>24085</v>
      </c>
    </row>
    <row r="9718" spans="2:8" x14ac:dyDescent="0.4">
      <c r="B9718" t="s">
        <v>7</v>
      </c>
      <c r="C9718" t="s">
        <v>1470</v>
      </c>
      <c r="D9718" s="7">
        <f>DATE(2017,1,12)</f>
        <v>42747</v>
      </c>
      <c r="E9718" s="8">
        <f t="shared" si="160"/>
        <v>2017</v>
      </c>
      <c r="F9718" t="s">
        <v>1473</v>
      </c>
      <c r="G9718" s="9">
        <v>137</v>
      </c>
      <c r="H9718" s="8">
        <v>24041</v>
      </c>
    </row>
    <row r="9719" spans="2:8" x14ac:dyDescent="0.4">
      <c r="B9719" t="s">
        <v>7</v>
      </c>
      <c r="C9719" t="s">
        <v>1470</v>
      </c>
      <c r="D9719" s="7">
        <f>DATE(2017,1,19)</f>
        <v>42754</v>
      </c>
      <c r="E9719" s="8">
        <f t="shared" si="160"/>
        <v>2017</v>
      </c>
      <c r="F9719" t="s">
        <v>1473</v>
      </c>
      <c r="G9719" s="9">
        <v>411</v>
      </c>
      <c r="H9719" s="8">
        <v>24122</v>
      </c>
    </row>
    <row r="9720" spans="2:8" x14ac:dyDescent="0.4">
      <c r="B9720" t="s">
        <v>7</v>
      </c>
      <c r="C9720" t="s">
        <v>1470</v>
      </c>
      <c r="D9720" s="7">
        <f>DATE(2017,2,7)</f>
        <v>42773</v>
      </c>
      <c r="E9720" s="8">
        <f t="shared" si="160"/>
        <v>2017</v>
      </c>
      <c r="F9720" t="s">
        <v>1473</v>
      </c>
      <c r="G9720" s="9">
        <v>1233</v>
      </c>
      <c r="H9720" s="8">
        <v>24223</v>
      </c>
    </row>
    <row r="9721" spans="2:8" x14ac:dyDescent="0.4">
      <c r="B9721" t="s">
        <v>7</v>
      </c>
      <c r="C9721" t="s">
        <v>1470</v>
      </c>
      <c r="D9721" s="7">
        <f>DATE(2017,4,13)</f>
        <v>42838</v>
      </c>
      <c r="E9721" s="8">
        <f t="shared" si="160"/>
        <v>2017</v>
      </c>
      <c r="F9721" t="s">
        <v>1473</v>
      </c>
      <c r="G9721" s="9">
        <v>137</v>
      </c>
      <c r="H9721" s="8">
        <v>24644</v>
      </c>
    </row>
    <row r="9722" spans="2:8" x14ac:dyDescent="0.4">
      <c r="B9722" t="s">
        <v>7</v>
      </c>
      <c r="C9722" t="s">
        <v>1470</v>
      </c>
      <c r="D9722" s="7">
        <f>DATE(2017,5,10)</f>
        <v>42865</v>
      </c>
      <c r="E9722" s="8">
        <f t="shared" si="160"/>
        <v>2017</v>
      </c>
      <c r="F9722" t="s">
        <v>1473</v>
      </c>
      <c r="G9722" s="9">
        <v>685</v>
      </c>
      <c r="H9722" s="8">
        <v>24864</v>
      </c>
    </row>
    <row r="9723" spans="2:8" x14ac:dyDescent="0.4">
      <c r="B9723" t="s">
        <v>7</v>
      </c>
      <c r="C9723" t="s">
        <v>1470</v>
      </c>
      <c r="D9723" s="7">
        <f>DATE(2017,6,7)</f>
        <v>42893</v>
      </c>
      <c r="E9723" s="8">
        <f t="shared" si="160"/>
        <v>2017</v>
      </c>
      <c r="F9723" t="s">
        <v>1473</v>
      </c>
      <c r="G9723" s="9">
        <v>274</v>
      </c>
      <c r="H9723" s="8">
        <v>25043</v>
      </c>
    </row>
    <row r="9724" spans="2:8" x14ac:dyDescent="0.4">
      <c r="B9724" t="s">
        <v>7</v>
      </c>
      <c r="C9724" t="s">
        <v>1470</v>
      </c>
      <c r="D9724" s="7">
        <f>DATE(2017,7,3)</f>
        <v>42919</v>
      </c>
      <c r="E9724" s="8">
        <f t="shared" si="160"/>
        <v>2017</v>
      </c>
      <c r="F9724" t="s">
        <v>1473</v>
      </c>
      <c r="G9724" s="9">
        <v>959</v>
      </c>
      <c r="H9724" s="8">
        <v>25151</v>
      </c>
    </row>
    <row r="9725" spans="2:8" x14ac:dyDescent="0.4">
      <c r="B9725" t="s">
        <v>7</v>
      </c>
      <c r="C9725" t="s">
        <v>1470</v>
      </c>
      <c r="D9725" s="7">
        <f>DATE(2017,7,3)</f>
        <v>42919</v>
      </c>
      <c r="E9725" s="8">
        <f t="shared" si="160"/>
        <v>2017</v>
      </c>
      <c r="F9725" t="s">
        <v>1473</v>
      </c>
      <c r="G9725" s="9">
        <v>78.8</v>
      </c>
      <c r="H9725" s="8">
        <v>25166</v>
      </c>
    </row>
    <row r="9726" spans="2:8" x14ac:dyDescent="0.4">
      <c r="B9726" t="s">
        <v>7</v>
      </c>
      <c r="C9726" t="s">
        <v>1470</v>
      </c>
      <c r="D9726" s="7">
        <f>DATE(2017,7,10)</f>
        <v>42926</v>
      </c>
      <c r="E9726" s="8">
        <f t="shared" si="160"/>
        <v>2017</v>
      </c>
      <c r="F9726" t="s">
        <v>1473</v>
      </c>
      <c r="G9726" s="9">
        <v>157.6</v>
      </c>
      <c r="H9726" s="8">
        <v>25219</v>
      </c>
    </row>
    <row r="9727" spans="2:8" x14ac:dyDescent="0.4">
      <c r="B9727" t="s">
        <v>7</v>
      </c>
      <c r="C9727" t="s">
        <v>1470</v>
      </c>
      <c r="D9727" s="7">
        <f>DATE(2017,10,27)</f>
        <v>43035</v>
      </c>
      <c r="E9727" s="8">
        <f t="shared" si="160"/>
        <v>2017</v>
      </c>
      <c r="F9727" t="s">
        <v>1473</v>
      </c>
      <c r="G9727" s="9">
        <v>189</v>
      </c>
      <c r="H9727" s="8">
        <v>25806</v>
      </c>
    </row>
    <row r="9728" spans="2:8" x14ac:dyDescent="0.4">
      <c r="B9728" t="s">
        <v>7</v>
      </c>
      <c r="C9728" t="s">
        <v>1470</v>
      </c>
      <c r="D9728" s="7">
        <f>DATE(2017,12,1)</f>
        <v>43070</v>
      </c>
      <c r="E9728" s="8">
        <f t="shared" si="160"/>
        <v>2017</v>
      </c>
      <c r="F9728" t="s">
        <v>1473</v>
      </c>
      <c r="G9728" s="9">
        <v>1870</v>
      </c>
      <c r="H9728" s="8">
        <v>25969</v>
      </c>
    </row>
    <row r="9729" spans="2:8" x14ac:dyDescent="0.4">
      <c r="B9729" t="s">
        <v>7</v>
      </c>
      <c r="C9729" t="s">
        <v>1470</v>
      </c>
      <c r="D9729" s="7">
        <f>DATE(2018,1,30)</f>
        <v>43130</v>
      </c>
      <c r="E9729" s="8">
        <f t="shared" si="160"/>
        <v>2018</v>
      </c>
      <c r="F9729" t="s">
        <v>1473</v>
      </c>
      <c r="G9729" s="9">
        <v>157.6</v>
      </c>
      <c r="H9729" s="8">
        <v>26323</v>
      </c>
    </row>
    <row r="9730" spans="2:8" x14ac:dyDescent="0.4">
      <c r="B9730" t="s">
        <v>7</v>
      </c>
      <c r="C9730" t="s">
        <v>1470</v>
      </c>
      <c r="D9730" s="7">
        <f>DATE(2018,3,6)</f>
        <v>43165</v>
      </c>
      <c r="E9730" s="8">
        <f t="shared" si="160"/>
        <v>2018</v>
      </c>
      <c r="F9730" t="s">
        <v>1473</v>
      </c>
      <c r="G9730" s="9">
        <v>1670</v>
      </c>
      <c r="H9730" s="8">
        <v>26513</v>
      </c>
    </row>
    <row r="9731" spans="2:8" x14ac:dyDescent="0.4">
      <c r="B9731" t="s">
        <v>7</v>
      </c>
      <c r="C9731" t="s">
        <v>1470</v>
      </c>
      <c r="D9731" s="7">
        <f>DATE(2018,4,18)</f>
        <v>43208</v>
      </c>
      <c r="E9731" s="8">
        <f t="shared" ref="E9731:E9794" si="161">YEAR(D9731)</f>
        <v>2018</v>
      </c>
      <c r="F9731" t="s">
        <v>1473</v>
      </c>
      <c r="G9731" s="9">
        <v>189</v>
      </c>
      <c r="H9731" s="8">
        <v>26881</v>
      </c>
    </row>
    <row r="9732" spans="2:8" x14ac:dyDescent="0.4">
      <c r="B9732" t="s">
        <v>7</v>
      </c>
      <c r="C9732" t="s">
        <v>1470</v>
      </c>
      <c r="D9732" s="7">
        <f>DATE(2018,5,23)</f>
        <v>43243</v>
      </c>
      <c r="E9732" s="8">
        <f t="shared" si="161"/>
        <v>2018</v>
      </c>
      <c r="F9732" t="s">
        <v>1473</v>
      </c>
      <c r="G9732" s="9">
        <v>1622.5</v>
      </c>
      <c r="H9732" s="8">
        <v>27090</v>
      </c>
    </row>
    <row r="9733" spans="2:8" x14ac:dyDescent="0.4">
      <c r="B9733" t="s">
        <v>7</v>
      </c>
      <c r="C9733" t="s">
        <v>1470</v>
      </c>
      <c r="D9733" s="7">
        <f>DATE(2018,7,6)</f>
        <v>43287</v>
      </c>
      <c r="E9733" s="8">
        <f t="shared" si="161"/>
        <v>2018</v>
      </c>
      <c r="F9733" t="s">
        <v>1473</v>
      </c>
      <c r="G9733" s="9">
        <v>250.5</v>
      </c>
      <c r="H9733" s="8">
        <v>27332</v>
      </c>
    </row>
    <row r="9734" spans="2:8" x14ac:dyDescent="0.4">
      <c r="B9734" t="s">
        <v>7</v>
      </c>
      <c r="C9734" t="s">
        <v>1470</v>
      </c>
      <c r="D9734" s="7">
        <f>DATE(2018,7,12)</f>
        <v>43293</v>
      </c>
      <c r="E9734" s="8">
        <f t="shared" si="161"/>
        <v>2018</v>
      </c>
      <c r="F9734" t="s">
        <v>1473</v>
      </c>
      <c r="G9734" s="9">
        <v>274</v>
      </c>
      <c r="H9734" s="8">
        <v>27337</v>
      </c>
    </row>
    <row r="9735" spans="2:8" x14ac:dyDescent="0.4">
      <c r="B9735" t="s">
        <v>7</v>
      </c>
      <c r="C9735" t="s">
        <v>1470</v>
      </c>
      <c r="D9735" s="7">
        <f>DATE(2018,8,21)</f>
        <v>43333</v>
      </c>
      <c r="E9735" s="8">
        <f t="shared" si="161"/>
        <v>2018</v>
      </c>
      <c r="F9735" t="s">
        <v>1473</v>
      </c>
      <c r="G9735" s="9">
        <v>93.5</v>
      </c>
      <c r="H9735" s="8">
        <v>27499</v>
      </c>
    </row>
    <row r="9736" spans="2:8" x14ac:dyDescent="0.4">
      <c r="B9736" t="s">
        <v>7</v>
      </c>
      <c r="C9736" t="s">
        <v>1470</v>
      </c>
      <c r="D9736" s="7">
        <f>DATE(2018,11,5)</f>
        <v>43409</v>
      </c>
      <c r="E9736" s="8">
        <f t="shared" si="161"/>
        <v>2018</v>
      </c>
      <c r="F9736" t="s">
        <v>1473</v>
      </c>
      <c r="G9736" s="9">
        <v>501</v>
      </c>
      <c r="H9736" s="8">
        <v>27911</v>
      </c>
    </row>
    <row r="9737" spans="2:8" x14ac:dyDescent="0.4">
      <c r="B9737" t="s">
        <v>7</v>
      </c>
      <c r="C9737" t="s">
        <v>1470</v>
      </c>
      <c r="D9737" s="7">
        <f>DATE(2019,1,18)</f>
        <v>43483</v>
      </c>
      <c r="E9737" s="8">
        <f t="shared" si="161"/>
        <v>2019</v>
      </c>
      <c r="F9737" t="s">
        <v>1473</v>
      </c>
      <c r="G9737" s="9">
        <v>501</v>
      </c>
      <c r="H9737" s="8">
        <v>28258</v>
      </c>
    </row>
    <row r="9738" spans="2:8" x14ac:dyDescent="0.4">
      <c r="B9738" t="s">
        <v>7</v>
      </c>
      <c r="C9738" t="s">
        <v>1470</v>
      </c>
      <c r="D9738" s="7">
        <f>DATE(2019,1,25)</f>
        <v>43490</v>
      </c>
      <c r="E9738" s="8">
        <f t="shared" si="161"/>
        <v>2019</v>
      </c>
      <c r="F9738" t="s">
        <v>1473</v>
      </c>
      <c r="G9738" s="9">
        <v>280.5</v>
      </c>
      <c r="H9738" s="8">
        <v>28295</v>
      </c>
    </row>
    <row r="9739" spans="2:8" x14ac:dyDescent="0.4">
      <c r="B9739" t="s">
        <v>7</v>
      </c>
      <c r="C9739" t="s">
        <v>1470</v>
      </c>
      <c r="D9739" s="7">
        <f>DATE(2019,2,11)</f>
        <v>43507</v>
      </c>
      <c r="E9739" s="8">
        <f t="shared" si="161"/>
        <v>2019</v>
      </c>
      <c r="F9739" t="s">
        <v>1473</v>
      </c>
      <c r="G9739" s="9">
        <v>501</v>
      </c>
      <c r="H9739" s="8">
        <v>28372</v>
      </c>
    </row>
    <row r="9740" spans="2:8" x14ac:dyDescent="0.4">
      <c r="B9740" t="s">
        <v>7</v>
      </c>
      <c r="C9740" t="s">
        <v>1470</v>
      </c>
      <c r="D9740" s="7">
        <f>DATE(2019,3,18)</f>
        <v>43542</v>
      </c>
      <c r="E9740" s="8">
        <f t="shared" si="161"/>
        <v>2019</v>
      </c>
      <c r="F9740" t="s">
        <v>1473</v>
      </c>
      <c r="G9740" s="9">
        <v>378</v>
      </c>
      <c r="H9740" s="8">
        <v>28617</v>
      </c>
    </row>
    <row r="9741" spans="2:8" x14ac:dyDescent="0.4">
      <c r="B9741" t="s">
        <v>7</v>
      </c>
      <c r="C9741" t="s">
        <v>1470</v>
      </c>
      <c r="D9741" s="7">
        <f>DATE(2019,4,2)</f>
        <v>43557</v>
      </c>
      <c r="E9741" s="8">
        <f t="shared" si="161"/>
        <v>2019</v>
      </c>
      <c r="F9741" t="s">
        <v>1473</v>
      </c>
      <c r="G9741" s="9">
        <v>2805</v>
      </c>
      <c r="H9741" s="8">
        <v>28641</v>
      </c>
    </row>
    <row r="9742" spans="2:8" x14ac:dyDescent="0.4">
      <c r="B9742" t="s">
        <v>7</v>
      </c>
      <c r="C9742" t="s">
        <v>1470</v>
      </c>
      <c r="D9742" s="7">
        <f>DATE(2019,4,2)</f>
        <v>43557</v>
      </c>
      <c r="E9742" s="8">
        <f t="shared" si="161"/>
        <v>2019</v>
      </c>
      <c r="F9742" t="s">
        <v>1473</v>
      </c>
      <c r="G9742" s="9">
        <v>417.5</v>
      </c>
      <c r="H9742" s="8">
        <v>28713</v>
      </c>
    </row>
    <row r="9743" spans="2:8" x14ac:dyDescent="0.4">
      <c r="B9743" t="s">
        <v>7</v>
      </c>
      <c r="C9743" t="s">
        <v>1470</v>
      </c>
      <c r="D9743" s="7">
        <f>DATE(2019,5,17)</f>
        <v>43602</v>
      </c>
      <c r="E9743" s="8">
        <f t="shared" si="161"/>
        <v>2019</v>
      </c>
      <c r="F9743" t="s">
        <v>1473</v>
      </c>
      <c r="G9743" s="9">
        <v>378</v>
      </c>
      <c r="H9743" s="8">
        <v>29021</v>
      </c>
    </row>
    <row r="9744" spans="2:8" x14ac:dyDescent="0.4">
      <c r="B9744" s="3" t="s">
        <v>7</v>
      </c>
      <c r="C9744" s="3" t="s">
        <v>1470</v>
      </c>
      <c r="D9744" s="4">
        <f>DATE(2003,1,23)</f>
        <v>37644</v>
      </c>
      <c r="E9744" s="5">
        <f t="shared" si="161"/>
        <v>2003</v>
      </c>
      <c r="F9744" s="3" t="s">
        <v>1473</v>
      </c>
      <c r="G9744" s="6">
        <v>602.41</v>
      </c>
      <c r="H9744" s="5">
        <v>11</v>
      </c>
    </row>
    <row r="9745" spans="2:8" x14ac:dyDescent="0.4">
      <c r="B9745" s="3" t="s">
        <v>7</v>
      </c>
      <c r="C9745" s="3" t="s">
        <v>1470</v>
      </c>
      <c r="D9745" s="4">
        <f>DATE(2003,2,6)</f>
        <v>37658</v>
      </c>
      <c r="E9745" s="5">
        <f t="shared" si="161"/>
        <v>2003</v>
      </c>
      <c r="F9745" s="3" t="s">
        <v>1473</v>
      </c>
      <c r="G9745" s="6">
        <v>328.8</v>
      </c>
      <c r="H9745" s="5">
        <v>32</v>
      </c>
    </row>
    <row r="9746" spans="2:8" x14ac:dyDescent="0.4">
      <c r="B9746" s="3" t="s">
        <v>7</v>
      </c>
      <c r="C9746" s="3" t="s">
        <v>1470</v>
      </c>
      <c r="D9746" s="4">
        <f>DATE(2003,2,20)</f>
        <v>37672</v>
      </c>
      <c r="E9746" s="5">
        <f t="shared" si="161"/>
        <v>2003</v>
      </c>
      <c r="F9746" s="3" t="s">
        <v>1473</v>
      </c>
      <c r="G9746" s="6">
        <v>128.87</v>
      </c>
      <c r="H9746" s="5">
        <v>38</v>
      </c>
    </row>
    <row r="9747" spans="2:8" x14ac:dyDescent="0.4">
      <c r="B9747" s="3" t="s">
        <v>7</v>
      </c>
      <c r="C9747" s="3" t="s">
        <v>1470</v>
      </c>
      <c r="D9747" s="4">
        <f>DATE(2003,3,11)</f>
        <v>37691</v>
      </c>
      <c r="E9747" s="5">
        <f t="shared" si="161"/>
        <v>2003</v>
      </c>
      <c r="F9747" s="3" t="s">
        <v>1473</v>
      </c>
      <c r="G9747" s="6">
        <v>66.680000000000007</v>
      </c>
      <c r="H9747" s="5">
        <v>59</v>
      </c>
    </row>
    <row r="9748" spans="2:8" x14ac:dyDescent="0.4">
      <c r="B9748" s="3" t="s">
        <v>7</v>
      </c>
      <c r="C9748" s="3" t="s">
        <v>1470</v>
      </c>
      <c r="D9748" s="4">
        <f>DATE(2003,3,5)</f>
        <v>37685</v>
      </c>
      <c r="E9748" s="5">
        <f t="shared" si="161"/>
        <v>2003</v>
      </c>
      <c r="F9748" s="3" t="s">
        <v>1473</v>
      </c>
      <c r="G9748" s="6">
        <v>121.87</v>
      </c>
      <c r="H9748" s="5">
        <v>55</v>
      </c>
    </row>
    <row r="9749" spans="2:8" x14ac:dyDescent="0.4">
      <c r="B9749" s="3" t="s">
        <v>7</v>
      </c>
      <c r="C9749" s="3" t="s">
        <v>1470</v>
      </c>
      <c r="D9749" s="4">
        <f>DATE(2003,3,27)</f>
        <v>37707</v>
      </c>
      <c r="E9749" s="5">
        <f t="shared" si="161"/>
        <v>2003</v>
      </c>
      <c r="F9749" s="3" t="s">
        <v>1473</v>
      </c>
      <c r="G9749" s="6">
        <v>186.28</v>
      </c>
      <c r="H9749" s="5">
        <v>85</v>
      </c>
    </row>
    <row r="9750" spans="2:8" x14ac:dyDescent="0.4">
      <c r="B9750" s="3" t="s">
        <v>7</v>
      </c>
      <c r="C9750" s="3" t="s">
        <v>1470</v>
      </c>
      <c r="D9750" s="4">
        <f>DATE(2003,4,4)</f>
        <v>37715</v>
      </c>
      <c r="E9750" s="5">
        <f t="shared" si="161"/>
        <v>2003</v>
      </c>
      <c r="F9750" s="3" t="s">
        <v>1473</v>
      </c>
      <c r="G9750" s="6">
        <v>836.24</v>
      </c>
      <c r="H9750" s="5">
        <v>108</v>
      </c>
    </row>
    <row r="9751" spans="2:8" x14ac:dyDescent="0.4">
      <c r="B9751" s="3" t="s">
        <v>7</v>
      </c>
      <c r="C9751" s="3" t="s">
        <v>1470</v>
      </c>
      <c r="D9751" s="4">
        <f>DATE(2003,4,9)</f>
        <v>37720</v>
      </c>
      <c r="E9751" s="5">
        <f t="shared" si="161"/>
        <v>2003</v>
      </c>
      <c r="F9751" s="3" t="s">
        <v>1473</v>
      </c>
      <c r="G9751" s="6">
        <v>98.88</v>
      </c>
      <c r="H9751" s="5">
        <v>113</v>
      </c>
    </row>
    <row r="9752" spans="2:8" x14ac:dyDescent="0.4">
      <c r="B9752" s="3" t="s">
        <v>7</v>
      </c>
      <c r="C9752" s="3" t="s">
        <v>1470</v>
      </c>
      <c r="D9752" s="4">
        <f>DATE(2003,4,14)</f>
        <v>37725</v>
      </c>
      <c r="E9752" s="5">
        <f t="shared" si="161"/>
        <v>2003</v>
      </c>
      <c r="F9752" s="3" t="s">
        <v>1473</v>
      </c>
      <c r="G9752" s="6">
        <v>85.64</v>
      </c>
      <c r="H9752" s="5">
        <v>117</v>
      </c>
    </row>
    <row r="9753" spans="2:8" x14ac:dyDescent="0.4">
      <c r="B9753" s="3" t="s">
        <v>7</v>
      </c>
      <c r="C9753" s="3" t="s">
        <v>1470</v>
      </c>
      <c r="D9753" s="4">
        <f>DATE(2003,4,24)</f>
        <v>37735</v>
      </c>
      <c r="E9753" s="5">
        <f t="shared" si="161"/>
        <v>2003</v>
      </c>
      <c r="F9753" s="3" t="s">
        <v>1473</v>
      </c>
      <c r="G9753" s="6">
        <v>145.32</v>
      </c>
      <c r="H9753" s="5">
        <v>133</v>
      </c>
    </row>
    <row r="9754" spans="2:8" x14ac:dyDescent="0.4">
      <c r="B9754" s="3" t="s">
        <v>7</v>
      </c>
      <c r="C9754" s="3" t="s">
        <v>1470</v>
      </c>
      <c r="D9754" s="4">
        <f>DATE(2003,4,25)</f>
        <v>37736</v>
      </c>
      <c r="E9754" s="5">
        <f t="shared" si="161"/>
        <v>2003</v>
      </c>
      <c r="F9754" s="3" t="s">
        <v>1473</v>
      </c>
      <c r="G9754" s="6">
        <v>430.88</v>
      </c>
      <c r="H9754" s="5">
        <v>134</v>
      </c>
    </row>
    <row r="9755" spans="2:8" x14ac:dyDescent="0.4">
      <c r="B9755" s="3" t="s">
        <v>7</v>
      </c>
      <c r="C9755" s="3" t="s">
        <v>1470</v>
      </c>
      <c r="D9755" s="4">
        <f>DATE(2003,5,5)</f>
        <v>37746</v>
      </c>
      <c r="E9755" s="5">
        <f t="shared" si="161"/>
        <v>2003</v>
      </c>
      <c r="F9755" s="3" t="s">
        <v>1473</v>
      </c>
      <c r="G9755" s="6">
        <v>55.04</v>
      </c>
      <c r="H9755" s="5">
        <v>149</v>
      </c>
    </row>
    <row r="9756" spans="2:8" x14ac:dyDescent="0.4">
      <c r="B9756" s="3" t="s">
        <v>7</v>
      </c>
      <c r="C9756" s="3" t="s">
        <v>1470</v>
      </c>
      <c r="D9756" s="4">
        <f>DATE(2003,4,30)</f>
        <v>37741</v>
      </c>
      <c r="E9756" s="5">
        <f t="shared" si="161"/>
        <v>2003</v>
      </c>
      <c r="F9756" s="3" t="s">
        <v>1473</v>
      </c>
      <c r="G9756" s="6">
        <v>207.64</v>
      </c>
      <c r="H9756" s="5">
        <v>154</v>
      </c>
    </row>
    <row r="9757" spans="2:8" x14ac:dyDescent="0.4">
      <c r="B9757" s="3" t="s">
        <v>7</v>
      </c>
      <c r="C9757" s="3" t="s">
        <v>1470</v>
      </c>
      <c r="D9757" s="4">
        <f>DATE(2003,5,7)</f>
        <v>37748</v>
      </c>
      <c r="E9757" s="5">
        <f t="shared" si="161"/>
        <v>2003</v>
      </c>
      <c r="F9757" s="3" t="s">
        <v>1473</v>
      </c>
      <c r="G9757" s="6">
        <v>285.86</v>
      </c>
      <c r="H9757" s="5">
        <v>156</v>
      </c>
    </row>
    <row r="9758" spans="2:8" x14ac:dyDescent="0.4">
      <c r="B9758" s="3" t="s">
        <v>7</v>
      </c>
      <c r="C9758" s="3" t="s">
        <v>1470</v>
      </c>
      <c r="D9758" s="4">
        <f>DATE(2003,5,19)</f>
        <v>37760</v>
      </c>
      <c r="E9758" s="5">
        <f t="shared" si="161"/>
        <v>2003</v>
      </c>
      <c r="F9758" s="3" t="s">
        <v>1473</v>
      </c>
      <c r="G9758" s="6">
        <v>485.72</v>
      </c>
      <c r="H9758" s="5">
        <v>166</v>
      </c>
    </row>
    <row r="9759" spans="2:8" x14ac:dyDescent="0.4">
      <c r="B9759" s="3" t="s">
        <v>7</v>
      </c>
      <c r="C9759" s="3" t="s">
        <v>1470</v>
      </c>
      <c r="D9759" s="4">
        <f>DATE(2003,6,3)</f>
        <v>37775</v>
      </c>
      <c r="E9759" s="5">
        <f t="shared" si="161"/>
        <v>2003</v>
      </c>
      <c r="F9759" s="3" t="s">
        <v>1473</v>
      </c>
      <c r="G9759" s="6">
        <v>719.92</v>
      </c>
      <c r="H9759" s="5">
        <v>195</v>
      </c>
    </row>
    <row r="9760" spans="2:8" x14ac:dyDescent="0.4">
      <c r="B9760" s="3" t="s">
        <v>7</v>
      </c>
      <c r="C9760" s="3" t="s">
        <v>1470</v>
      </c>
      <c r="D9760" s="4">
        <f>DATE(2003,6,12)</f>
        <v>37784</v>
      </c>
      <c r="E9760" s="5">
        <f t="shared" si="161"/>
        <v>2003</v>
      </c>
      <c r="F9760" s="3" t="s">
        <v>1473</v>
      </c>
      <c r="G9760" s="6">
        <v>232.58</v>
      </c>
      <c r="H9760" s="5">
        <v>209</v>
      </c>
    </row>
    <row r="9761" spans="2:8" x14ac:dyDescent="0.4">
      <c r="B9761" s="3" t="s">
        <v>7</v>
      </c>
      <c r="C9761" s="3" t="s">
        <v>1470</v>
      </c>
      <c r="D9761" s="4">
        <f>DATE(2003,6,17)</f>
        <v>37789</v>
      </c>
      <c r="E9761" s="5">
        <f t="shared" si="161"/>
        <v>2003</v>
      </c>
      <c r="F9761" s="3" t="s">
        <v>1473</v>
      </c>
      <c r="G9761" s="6">
        <v>38.909999999999997</v>
      </c>
      <c r="H9761" s="5">
        <v>214</v>
      </c>
    </row>
    <row r="9762" spans="2:8" x14ac:dyDescent="0.4">
      <c r="B9762" s="3" t="s">
        <v>7</v>
      </c>
      <c r="C9762" s="3" t="s">
        <v>1470</v>
      </c>
      <c r="D9762" s="4">
        <f>DATE(2003,6,20)</f>
        <v>37792</v>
      </c>
      <c r="E9762" s="5">
        <f t="shared" si="161"/>
        <v>2003</v>
      </c>
      <c r="F9762" s="3" t="s">
        <v>1473</v>
      </c>
      <c r="G9762" s="6">
        <v>98.96</v>
      </c>
      <c r="H9762" s="5">
        <v>219</v>
      </c>
    </row>
    <row r="9763" spans="2:8" x14ac:dyDescent="0.4">
      <c r="B9763" s="3" t="s">
        <v>7</v>
      </c>
      <c r="C9763" s="3" t="s">
        <v>1470</v>
      </c>
      <c r="D9763" s="4">
        <f>DATE(2003,7,10)</f>
        <v>37812</v>
      </c>
      <c r="E9763" s="5">
        <f t="shared" si="161"/>
        <v>2003</v>
      </c>
      <c r="F9763" s="3" t="s">
        <v>1473</v>
      </c>
      <c r="G9763" s="6">
        <v>191.24</v>
      </c>
      <c r="H9763" s="5">
        <v>240</v>
      </c>
    </row>
    <row r="9764" spans="2:8" x14ac:dyDescent="0.4">
      <c r="B9764" s="3" t="s">
        <v>7</v>
      </c>
      <c r="C9764" s="3" t="s">
        <v>1470</v>
      </c>
      <c r="D9764" s="4">
        <f>DATE(2003,7,22)</f>
        <v>37824</v>
      </c>
      <c r="E9764" s="5">
        <f t="shared" si="161"/>
        <v>2003</v>
      </c>
      <c r="F9764" s="3" t="s">
        <v>1473</v>
      </c>
      <c r="G9764" s="6">
        <v>407.55</v>
      </c>
      <c r="H9764" s="5">
        <v>247</v>
      </c>
    </row>
    <row r="9765" spans="2:8" x14ac:dyDescent="0.4">
      <c r="B9765" s="3" t="s">
        <v>7</v>
      </c>
      <c r="C9765" s="3" t="s">
        <v>1470</v>
      </c>
      <c r="D9765" s="4">
        <f>DATE(2003,8,1)</f>
        <v>37834</v>
      </c>
      <c r="E9765" s="5">
        <f t="shared" si="161"/>
        <v>2003</v>
      </c>
      <c r="F9765" s="3" t="s">
        <v>1473</v>
      </c>
      <c r="G9765" s="6">
        <v>138.9</v>
      </c>
      <c r="H9765" s="5">
        <v>275</v>
      </c>
    </row>
    <row r="9766" spans="2:8" x14ac:dyDescent="0.4">
      <c r="B9766" s="3" t="s">
        <v>7</v>
      </c>
      <c r="C9766" s="3" t="s">
        <v>1470</v>
      </c>
      <c r="D9766" s="4">
        <f>DATE(2003,7,31)</f>
        <v>37833</v>
      </c>
      <c r="E9766" s="5">
        <f t="shared" si="161"/>
        <v>2003</v>
      </c>
      <c r="F9766" s="3" t="s">
        <v>1473</v>
      </c>
      <c r="G9766" s="6">
        <v>932.31</v>
      </c>
      <c r="H9766" s="5">
        <v>274</v>
      </c>
    </row>
    <row r="9767" spans="2:8" x14ac:dyDescent="0.4">
      <c r="B9767" s="3" t="s">
        <v>7</v>
      </c>
      <c r="C9767" s="3" t="s">
        <v>1470</v>
      </c>
      <c r="D9767" s="4">
        <f>DATE(2003,8,18)</f>
        <v>37851</v>
      </c>
      <c r="E9767" s="5">
        <f t="shared" si="161"/>
        <v>2003</v>
      </c>
      <c r="F9767" s="3" t="s">
        <v>1473</v>
      </c>
      <c r="G9767" s="6">
        <v>2660.23</v>
      </c>
      <c r="H9767" s="5">
        <v>293</v>
      </c>
    </row>
    <row r="9768" spans="2:8" x14ac:dyDescent="0.4">
      <c r="B9768" s="3" t="s">
        <v>7</v>
      </c>
      <c r="C9768" s="3" t="s">
        <v>1470</v>
      </c>
      <c r="D9768" s="4">
        <f>DATE(2003,8,21)</f>
        <v>37854</v>
      </c>
      <c r="E9768" s="5">
        <f t="shared" si="161"/>
        <v>2003</v>
      </c>
      <c r="F9768" s="3" t="s">
        <v>1473</v>
      </c>
      <c r="G9768" s="6">
        <v>232.64</v>
      </c>
      <c r="H9768" s="5">
        <v>295</v>
      </c>
    </row>
    <row r="9769" spans="2:8" x14ac:dyDescent="0.4">
      <c r="B9769" s="3" t="s">
        <v>7</v>
      </c>
      <c r="C9769" s="3" t="s">
        <v>1470</v>
      </c>
      <c r="D9769" s="4">
        <f>DATE(2003,8,15)</f>
        <v>37848</v>
      </c>
      <c r="E9769" s="5">
        <f t="shared" si="161"/>
        <v>2003</v>
      </c>
      <c r="F9769" s="3" t="s">
        <v>1473</v>
      </c>
      <c r="G9769" s="6">
        <v>406.24</v>
      </c>
      <c r="H9769" s="5">
        <v>288</v>
      </c>
    </row>
    <row r="9770" spans="2:8" x14ac:dyDescent="0.4">
      <c r="B9770" s="3" t="s">
        <v>7</v>
      </c>
      <c r="C9770" s="3" t="s">
        <v>1470</v>
      </c>
      <c r="D9770" s="4">
        <f>DATE(2003,8,27)</f>
        <v>37860</v>
      </c>
      <c r="E9770" s="5">
        <f t="shared" si="161"/>
        <v>2003</v>
      </c>
      <c r="F9770" s="3" t="s">
        <v>1473</v>
      </c>
      <c r="G9770" s="6">
        <v>134.32</v>
      </c>
      <c r="H9770" s="5">
        <v>302</v>
      </c>
    </row>
    <row r="9771" spans="2:8" x14ac:dyDescent="0.4">
      <c r="B9771" s="3" t="s">
        <v>7</v>
      </c>
      <c r="C9771" s="3" t="s">
        <v>1470</v>
      </c>
      <c r="D9771" s="4">
        <f>DATE(2003,9,9)</f>
        <v>37873</v>
      </c>
      <c r="E9771" s="5">
        <f t="shared" si="161"/>
        <v>2003</v>
      </c>
      <c r="F9771" s="3" t="s">
        <v>1473</v>
      </c>
      <c r="G9771" s="6">
        <v>285.73</v>
      </c>
      <c r="H9771" s="5">
        <v>314</v>
      </c>
    </row>
    <row r="9772" spans="2:8" x14ac:dyDescent="0.4">
      <c r="B9772" s="3" t="s">
        <v>7</v>
      </c>
      <c r="C9772" s="3" t="s">
        <v>1470</v>
      </c>
      <c r="D9772" s="4">
        <f>DATE(2003,9,18)</f>
        <v>37882</v>
      </c>
      <c r="E9772" s="5">
        <f t="shared" si="161"/>
        <v>2003</v>
      </c>
      <c r="F9772" s="3" t="s">
        <v>1473</v>
      </c>
      <c r="G9772" s="6">
        <v>245.45</v>
      </c>
      <c r="H9772" s="5">
        <v>329</v>
      </c>
    </row>
    <row r="9773" spans="2:8" x14ac:dyDescent="0.4">
      <c r="B9773" s="3" t="s">
        <v>7</v>
      </c>
      <c r="C9773" s="3" t="s">
        <v>1470</v>
      </c>
      <c r="D9773" s="4">
        <f>DATE(2003,10,2)</f>
        <v>37896</v>
      </c>
      <c r="E9773" s="5">
        <f t="shared" si="161"/>
        <v>2003</v>
      </c>
      <c r="F9773" s="3" t="s">
        <v>1473</v>
      </c>
      <c r="G9773" s="6">
        <v>52.9</v>
      </c>
      <c r="H9773" s="5">
        <v>347</v>
      </c>
    </row>
    <row r="9774" spans="2:8" x14ac:dyDescent="0.4">
      <c r="B9774" s="3" t="s">
        <v>7</v>
      </c>
      <c r="C9774" s="3" t="s">
        <v>1470</v>
      </c>
      <c r="D9774" s="4">
        <f>DATE(2003,10,3)</f>
        <v>37897</v>
      </c>
      <c r="E9774" s="5">
        <f t="shared" si="161"/>
        <v>2003</v>
      </c>
      <c r="F9774" s="3" t="s">
        <v>1473</v>
      </c>
      <c r="G9774" s="6">
        <v>607.82000000000005</v>
      </c>
      <c r="H9774" s="5">
        <v>349</v>
      </c>
    </row>
    <row r="9775" spans="2:8" x14ac:dyDescent="0.4">
      <c r="B9775" s="3" t="s">
        <v>7</v>
      </c>
      <c r="C9775" s="3" t="s">
        <v>1470</v>
      </c>
      <c r="D9775" s="4">
        <f>DATE(2003,10,16)</f>
        <v>37910</v>
      </c>
      <c r="E9775" s="5">
        <f t="shared" si="161"/>
        <v>2003</v>
      </c>
      <c r="F9775" s="3" t="s">
        <v>1473</v>
      </c>
      <c r="G9775" s="6">
        <v>66.7</v>
      </c>
      <c r="H9775" s="5">
        <v>388</v>
      </c>
    </row>
    <row r="9776" spans="2:8" x14ac:dyDescent="0.4">
      <c r="B9776" s="3" t="s">
        <v>7</v>
      </c>
      <c r="C9776" s="3" t="s">
        <v>1470</v>
      </c>
      <c r="D9776" s="4">
        <f>DATE(2003,10,28)</f>
        <v>37922</v>
      </c>
      <c r="E9776" s="5">
        <f t="shared" si="161"/>
        <v>2003</v>
      </c>
      <c r="F9776" s="3" t="s">
        <v>1473</v>
      </c>
      <c r="G9776" s="6">
        <v>55.85</v>
      </c>
      <c r="H9776" s="5">
        <v>400</v>
      </c>
    </row>
    <row r="9777" spans="2:8" x14ac:dyDescent="0.4">
      <c r="B9777" s="3" t="s">
        <v>7</v>
      </c>
      <c r="C9777" s="3" t="s">
        <v>1470</v>
      </c>
      <c r="D9777" s="4">
        <f>DATE(2003,10,24)</f>
        <v>37918</v>
      </c>
      <c r="E9777" s="5">
        <f t="shared" si="161"/>
        <v>2003</v>
      </c>
      <c r="F9777" s="3" t="s">
        <v>1473</v>
      </c>
      <c r="G9777" s="6">
        <v>160.72</v>
      </c>
      <c r="H9777" s="5">
        <v>402</v>
      </c>
    </row>
    <row r="9778" spans="2:8" x14ac:dyDescent="0.4">
      <c r="B9778" s="3" t="s">
        <v>7</v>
      </c>
      <c r="C9778" s="3" t="s">
        <v>1470</v>
      </c>
      <c r="D9778" s="4">
        <f>DATE(2003,10,31)</f>
        <v>37925</v>
      </c>
      <c r="E9778" s="5">
        <f t="shared" si="161"/>
        <v>2003</v>
      </c>
      <c r="F9778" s="3" t="s">
        <v>1473</v>
      </c>
      <c r="G9778" s="6">
        <v>84.73</v>
      </c>
      <c r="H9778" s="5">
        <v>408</v>
      </c>
    </row>
    <row r="9779" spans="2:8" x14ac:dyDescent="0.4">
      <c r="B9779" s="3" t="s">
        <v>7</v>
      </c>
      <c r="C9779" s="3" t="s">
        <v>1470</v>
      </c>
      <c r="D9779" s="4">
        <f>DATE(2003,11,19)</f>
        <v>37944</v>
      </c>
      <c r="E9779" s="5">
        <f t="shared" si="161"/>
        <v>2003</v>
      </c>
      <c r="F9779" s="3" t="s">
        <v>1473</v>
      </c>
      <c r="G9779" s="6">
        <v>145.55000000000001</v>
      </c>
      <c r="H9779" s="5">
        <v>425</v>
      </c>
    </row>
    <row r="9780" spans="2:8" x14ac:dyDescent="0.4">
      <c r="B9780" s="3" t="s">
        <v>7</v>
      </c>
      <c r="C9780" s="3" t="s">
        <v>1470</v>
      </c>
      <c r="D9780" s="4">
        <f>DATE(2003,12,8)</f>
        <v>37963</v>
      </c>
      <c r="E9780" s="5">
        <f t="shared" si="161"/>
        <v>2003</v>
      </c>
      <c r="F9780" s="3" t="s">
        <v>1473</v>
      </c>
      <c r="G9780" s="6">
        <v>607.54999999999995</v>
      </c>
      <c r="H9780" s="5">
        <v>454</v>
      </c>
    </row>
    <row r="9781" spans="2:8" x14ac:dyDescent="0.4">
      <c r="B9781" s="3" t="s">
        <v>7</v>
      </c>
      <c r="C9781" s="3" t="s">
        <v>1470</v>
      </c>
      <c r="D9781" s="4">
        <f>DATE(2003,12,18)</f>
        <v>37973</v>
      </c>
      <c r="E9781" s="5">
        <f t="shared" si="161"/>
        <v>2003</v>
      </c>
      <c r="F9781" s="3" t="s">
        <v>1473</v>
      </c>
      <c r="G9781" s="6">
        <v>98.6</v>
      </c>
      <c r="H9781" s="5">
        <v>482</v>
      </c>
    </row>
    <row r="9782" spans="2:8" x14ac:dyDescent="0.4">
      <c r="B9782" s="3" t="s">
        <v>7</v>
      </c>
      <c r="C9782" s="3" t="s">
        <v>1470</v>
      </c>
      <c r="D9782" s="4">
        <f>DATE(2003,12,18)</f>
        <v>37973</v>
      </c>
      <c r="E9782" s="5">
        <f t="shared" si="161"/>
        <v>2003</v>
      </c>
      <c r="F9782" s="3" t="s">
        <v>1473</v>
      </c>
      <c r="G9782" s="6">
        <v>159.56</v>
      </c>
      <c r="H9782" s="5">
        <v>483</v>
      </c>
    </row>
    <row r="9783" spans="2:8" x14ac:dyDescent="0.4">
      <c r="B9783" s="3" t="s">
        <v>7</v>
      </c>
      <c r="C9783" s="3" t="s">
        <v>1470</v>
      </c>
      <c r="D9783" s="4">
        <f>DATE(2003,12,30)</f>
        <v>37985</v>
      </c>
      <c r="E9783" s="5">
        <f t="shared" si="161"/>
        <v>2003</v>
      </c>
      <c r="F9783" s="3" t="s">
        <v>1473</v>
      </c>
      <c r="G9783" s="6">
        <v>361.42</v>
      </c>
      <c r="H9783" s="5">
        <v>484</v>
      </c>
    </row>
    <row r="9784" spans="2:8" x14ac:dyDescent="0.4">
      <c r="B9784" s="3" t="s">
        <v>7</v>
      </c>
      <c r="C9784" s="3" t="s">
        <v>1470</v>
      </c>
      <c r="D9784" s="4">
        <f>DATE(2004,1,5)</f>
        <v>37991</v>
      </c>
      <c r="E9784" s="5">
        <f t="shared" si="161"/>
        <v>2004</v>
      </c>
      <c r="F9784" s="3" t="s">
        <v>1473</v>
      </c>
      <c r="G9784" s="6">
        <v>245.3</v>
      </c>
      <c r="H9784" s="5">
        <v>499</v>
      </c>
    </row>
    <row r="9785" spans="2:8" x14ac:dyDescent="0.4">
      <c r="B9785" s="3" t="s">
        <v>7</v>
      </c>
      <c r="C9785" s="3" t="s">
        <v>1470</v>
      </c>
      <c r="D9785" s="4">
        <f>DATE(2004,1,20)</f>
        <v>38006</v>
      </c>
      <c r="E9785" s="5">
        <f t="shared" si="161"/>
        <v>2004</v>
      </c>
      <c r="F9785" s="3" t="s">
        <v>1473</v>
      </c>
      <c r="G9785" s="6">
        <v>678.57</v>
      </c>
      <c r="H9785" s="5">
        <v>513</v>
      </c>
    </row>
    <row r="9786" spans="2:8" x14ac:dyDescent="0.4">
      <c r="B9786" s="3" t="s">
        <v>7</v>
      </c>
      <c r="C9786" s="3" t="s">
        <v>1470</v>
      </c>
      <c r="D9786" s="4">
        <f>DATE(2004,1,28)</f>
        <v>38014</v>
      </c>
      <c r="E9786" s="5">
        <f t="shared" si="161"/>
        <v>2004</v>
      </c>
      <c r="F9786" s="3" t="s">
        <v>1473</v>
      </c>
      <c r="G9786" s="6">
        <v>322.64999999999998</v>
      </c>
      <c r="H9786" s="5">
        <v>516</v>
      </c>
    </row>
    <row r="9787" spans="2:8" x14ac:dyDescent="0.4">
      <c r="B9787" s="3" t="s">
        <v>7</v>
      </c>
      <c r="C9787" s="3" t="s">
        <v>1470</v>
      </c>
      <c r="D9787" s="4">
        <f>DATE(2004,2,6)</f>
        <v>38023</v>
      </c>
      <c r="E9787" s="5">
        <f t="shared" si="161"/>
        <v>2004</v>
      </c>
      <c r="F9787" s="3" t="s">
        <v>1473</v>
      </c>
      <c r="G9787" s="6">
        <v>98.67</v>
      </c>
      <c r="H9787" s="5">
        <v>521</v>
      </c>
    </row>
    <row r="9788" spans="2:8" x14ac:dyDescent="0.4">
      <c r="B9788" s="3" t="s">
        <v>7</v>
      </c>
      <c r="C9788" s="3" t="s">
        <v>1470</v>
      </c>
      <c r="D9788" s="4">
        <f>DATE(2004,2,20)</f>
        <v>38037</v>
      </c>
      <c r="E9788" s="5">
        <f t="shared" si="161"/>
        <v>2004</v>
      </c>
      <c r="F9788" s="3" t="s">
        <v>1473</v>
      </c>
      <c r="G9788" s="6">
        <v>251.03</v>
      </c>
      <c r="H9788" s="5">
        <v>547</v>
      </c>
    </row>
    <row r="9789" spans="2:8" x14ac:dyDescent="0.4">
      <c r="B9789" s="3" t="s">
        <v>7</v>
      </c>
      <c r="C9789" s="3" t="s">
        <v>1470</v>
      </c>
      <c r="D9789" s="4">
        <f>DATE(2004,3,4)</f>
        <v>38050</v>
      </c>
      <c r="E9789" s="5">
        <f t="shared" si="161"/>
        <v>2004</v>
      </c>
      <c r="F9789" s="3" t="s">
        <v>1473</v>
      </c>
      <c r="G9789" s="6">
        <v>824.59</v>
      </c>
      <c r="H9789" s="5">
        <v>556</v>
      </c>
    </row>
    <row r="9790" spans="2:8" x14ac:dyDescent="0.4">
      <c r="B9790" s="3" t="s">
        <v>7</v>
      </c>
      <c r="C9790" s="3" t="s">
        <v>1470</v>
      </c>
      <c r="D9790" s="4">
        <f>DATE(2004,3,16)</f>
        <v>38062</v>
      </c>
      <c r="E9790" s="5">
        <f t="shared" si="161"/>
        <v>2004</v>
      </c>
      <c r="F9790" s="3" t="s">
        <v>1473</v>
      </c>
      <c r="G9790" s="6">
        <v>759.33</v>
      </c>
      <c r="H9790" s="5">
        <v>568</v>
      </c>
    </row>
    <row r="9791" spans="2:8" x14ac:dyDescent="0.4">
      <c r="B9791" s="3" t="s">
        <v>7</v>
      </c>
      <c r="C9791" s="3" t="s">
        <v>1470</v>
      </c>
      <c r="D9791" s="4">
        <f>DATE(2004,3,26)</f>
        <v>38072</v>
      </c>
      <c r="E9791" s="5">
        <f t="shared" si="161"/>
        <v>2004</v>
      </c>
      <c r="F9791" s="3" t="s">
        <v>1473</v>
      </c>
      <c r="G9791" s="6">
        <v>431.68</v>
      </c>
      <c r="H9791" s="5">
        <v>577</v>
      </c>
    </row>
    <row r="9792" spans="2:8" x14ac:dyDescent="0.4">
      <c r="B9792" s="3" t="s">
        <v>7</v>
      </c>
      <c r="C9792" s="3" t="s">
        <v>1470</v>
      </c>
      <c r="D9792" s="4">
        <f>DATE(2004,4,6)</f>
        <v>38083</v>
      </c>
      <c r="E9792" s="5">
        <f t="shared" si="161"/>
        <v>2004</v>
      </c>
      <c r="F9792" s="3" t="s">
        <v>1473</v>
      </c>
      <c r="G9792" s="6">
        <v>228.3</v>
      </c>
      <c r="H9792" s="5">
        <v>599</v>
      </c>
    </row>
    <row r="9793" spans="2:8" x14ac:dyDescent="0.4">
      <c r="B9793" s="3" t="s">
        <v>7</v>
      </c>
      <c r="C9793" s="3" t="s">
        <v>1470</v>
      </c>
      <c r="D9793" s="4">
        <f>DATE(2004,4,15)</f>
        <v>38092</v>
      </c>
      <c r="E9793" s="5">
        <f t="shared" si="161"/>
        <v>2004</v>
      </c>
      <c r="F9793" s="3" t="s">
        <v>1473</v>
      </c>
      <c r="G9793" s="6">
        <v>478.06</v>
      </c>
      <c r="H9793" s="5">
        <v>614</v>
      </c>
    </row>
    <row r="9794" spans="2:8" x14ac:dyDescent="0.4">
      <c r="B9794" s="3" t="s">
        <v>7</v>
      </c>
      <c r="C9794" s="3" t="s">
        <v>1470</v>
      </c>
      <c r="D9794" s="4">
        <f>DATE(2004,4,28)</f>
        <v>38105</v>
      </c>
      <c r="E9794" s="5">
        <f t="shared" si="161"/>
        <v>2004</v>
      </c>
      <c r="F9794" s="3" t="s">
        <v>1473</v>
      </c>
      <c r="G9794" s="6">
        <v>74.72</v>
      </c>
      <c r="H9794" s="5">
        <v>645</v>
      </c>
    </row>
    <row r="9795" spans="2:8" x14ac:dyDescent="0.4">
      <c r="B9795" s="3" t="s">
        <v>7</v>
      </c>
      <c r="C9795" s="3" t="s">
        <v>1470</v>
      </c>
      <c r="D9795" s="4">
        <f>DATE(2004,5,20)</f>
        <v>38127</v>
      </c>
      <c r="E9795" s="5">
        <f t="shared" ref="E9795:E9858" si="162">YEAR(D9795)</f>
        <v>2004</v>
      </c>
      <c r="F9795" s="3" t="s">
        <v>1473</v>
      </c>
      <c r="G9795" s="6">
        <v>208.12</v>
      </c>
      <c r="H9795" s="5">
        <v>668</v>
      </c>
    </row>
    <row r="9796" spans="2:8" x14ac:dyDescent="0.4">
      <c r="B9796" s="3" t="s">
        <v>7</v>
      </c>
      <c r="C9796" s="3" t="s">
        <v>1470</v>
      </c>
      <c r="D9796" s="4">
        <f>DATE(2004,6,7)</f>
        <v>38145</v>
      </c>
      <c r="E9796" s="5">
        <f t="shared" si="162"/>
        <v>2004</v>
      </c>
      <c r="F9796" s="3" t="s">
        <v>1473</v>
      </c>
      <c r="G9796" s="6">
        <v>106.78</v>
      </c>
      <c r="H9796" s="5">
        <v>678</v>
      </c>
    </row>
    <row r="9797" spans="2:8" x14ac:dyDescent="0.4">
      <c r="B9797" s="3" t="s">
        <v>7</v>
      </c>
      <c r="C9797" s="3" t="s">
        <v>1470</v>
      </c>
      <c r="D9797" s="4">
        <f>DATE(2004,6,3)</f>
        <v>38141</v>
      </c>
      <c r="E9797" s="5">
        <f t="shared" si="162"/>
        <v>2004</v>
      </c>
      <c r="F9797" s="3" t="s">
        <v>1473</v>
      </c>
      <c r="G9797" s="6">
        <v>106.78</v>
      </c>
      <c r="H9797" s="5">
        <v>680</v>
      </c>
    </row>
    <row r="9798" spans="2:8" x14ac:dyDescent="0.4">
      <c r="B9798" s="3" t="s">
        <v>7</v>
      </c>
      <c r="C9798" s="3" t="s">
        <v>1470</v>
      </c>
      <c r="D9798" s="4">
        <f>DATE(2004,6,7)</f>
        <v>38145</v>
      </c>
      <c r="E9798" s="5">
        <f t="shared" si="162"/>
        <v>2004</v>
      </c>
      <c r="F9798" s="3" t="s">
        <v>1473</v>
      </c>
      <c r="G9798" s="6">
        <v>354.33</v>
      </c>
      <c r="H9798" s="5">
        <v>685</v>
      </c>
    </row>
    <row r="9799" spans="2:8" x14ac:dyDescent="0.4">
      <c r="B9799" s="3" t="s">
        <v>7</v>
      </c>
      <c r="C9799" s="3" t="s">
        <v>1470</v>
      </c>
      <c r="D9799" s="4">
        <f>DATE(2004,6,11)</f>
        <v>38149</v>
      </c>
      <c r="E9799" s="5">
        <f t="shared" si="162"/>
        <v>2004</v>
      </c>
      <c r="F9799" s="3" t="s">
        <v>1473</v>
      </c>
      <c r="G9799" s="6">
        <v>327.72</v>
      </c>
      <c r="H9799" s="5">
        <v>689</v>
      </c>
    </row>
    <row r="9800" spans="2:8" x14ac:dyDescent="0.4">
      <c r="B9800" s="3" t="s">
        <v>7</v>
      </c>
      <c r="C9800" s="3" t="s">
        <v>1470</v>
      </c>
      <c r="D9800" s="4">
        <f>DATE(2004,6,21)</f>
        <v>38159</v>
      </c>
      <c r="E9800" s="5">
        <f t="shared" si="162"/>
        <v>2004</v>
      </c>
      <c r="F9800" s="3" t="s">
        <v>1473</v>
      </c>
      <c r="G9800" s="6">
        <v>1673.84</v>
      </c>
      <c r="H9800" s="5">
        <v>697</v>
      </c>
    </row>
    <row r="9801" spans="2:8" x14ac:dyDescent="0.4">
      <c r="B9801" s="3" t="s">
        <v>7</v>
      </c>
      <c r="C9801" s="3" t="s">
        <v>1470</v>
      </c>
      <c r="D9801" s="4">
        <f>DATE(2004,7,23)</f>
        <v>38191</v>
      </c>
      <c r="E9801" s="5">
        <f t="shared" si="162"/>
        <v>2004</v>
      </c>
      <c r="F9801" s="3" t="s">
        <v>1473</v>
      </c>
      <c r="G9801" s="6">
        <v>254.91</v>
      </c>
      <c r="H9801" s="5">
        <v>725</v>
      </c>
    </row>
    <row r="9802" spans="2:8" x14ac:dyDescent="0.4">
      <c r="B9802" s="3" t="s">
        <v>7</v>
      </c>
      <c r="C9802" s="3" t="s">
        <v>1470</v>
      </c>
      <c r="D9802" s="4">
        <f>DATE(2004,8,5)</f>
        <v>38204</v>
      </c>
      <c r="E9802" s="5">
        <f t="shared" si="162"/>
        <v>2004</v>
      </c>
      <c r="F9802" s="3" t="s">
        <v>1473</v>
      </c>
      <c r="G9802" s="6">
        <v>430.78</v>
      </c>
      <c r="H9802" s="5">
        <v>740</v>
      </c>
    </row>
    <row r="9803" spans="2:8" x14ac:dyDescent="0.4">
      <c r="B9803" s="3" t="s">
        <v>7</v>
      </c>
      <c r="C9803" s="3" t="s">
        <v>1470</v>
      </c>
      <c r="D9803" s="4">
        <f>DATE(2004,7,29)</f>
        <v>38197</v>
      </c>
      <c r="E9803" s="5">
        <f t="shared" si="162"/>
        <v>2004</v>
      </c>
      <c r="F9803" s="3" t="s">
        <v>1473</v>
      </c>
      <c r="G9803" s="6">
        <v>95.78</v>
      </c>
      <c r="H9803" s="5">
        <v>741</v>
      </c>
    </row>
    <row r="9804" spans="2:8" x14ac:dyDescent="0.4">
      <c r="B9804" s="3" t="s">
        <v>7</v>
      </c>
      <c r="C9804" s="3" t="s">
        <v>1470</v>
      </c>
      <c r="D9804" s="4">
        <f>DATE(2004,8,6)</f>
        <v>38205</v>
      </c>
      <c r="E9804" s="5">
        <f t="shared" si="162"/>
        <v>2004</v>
      </c>
      <c r="F9804" s="3" t="s">
        <v>1473</v>
      </c>
      <c r="G9804" s="6">
        <v>320.24</v>
      </c>
      <c r="H9804" s="5">
        <v>742</v>
      </c>
    </row>
    <row r="9805" spans="2:8" x14ac:dyDescent="0.4">
      <c r="B9805" s="3" t="s">
        <v>7</v>
      </c>
      <c r="C9805" s="3" t="s">
        <v>1470</v>
      </c>
      <c r="D9805" s="4">
        <f>DATE(2004,4,6)</f>
        <v>38083</v>
      </c>
      <c r="E9805" s="5">
        <f t="shared" si="162"/>
        <v>2004</v>
      </c>
      <c r="F9805" s="3" t="s">
        <v>1473</v>
      </c>
      <c r="G9805" s="6">
        <v>213</v>
      </c>
      <c r="H9805" s="5">
        <v>771</v>
      </c>
    </row>
    <row r="9806" spans="2:8" x14ac:dyDescent="0.4">
      <c r="B9806" s="3" t="s">
        <v>7</v>
      </c>
      <c r="C9806" s="3" t="s">
        <v>1470</v>
      </c>
      <c r="D9806" s="4">
        <f>DATE(2004,8,30)</f>
        <v>38229</v>
      </c>
      <c r="E9806" s="5">
        <f t="shared" si="162"/>
        <v>2004</v>
      </c>
      <c r="F9806" s="3" t="s">
        <v>1473</v>
      </c>
      <c r="G9806" s="6">
        <v>208.12</v>
      </c>
      <c r="H9806" s="5">
        <v>769</v>
      </c>
    </row>
    <row r="9807" spans="2:8" x14ac:dyDescent="0.4">
      <c r="B9807" s="3" t="s">
        <v>7</v>
      </c>
      <c r="C9807" s="3" t="s">
        <v>1470</v>
      </c>
      <c r="D9807" s="4">
        <f>DATE(2004,8,31)</f>
        <v>38230</v>
      </c>
      <c r="E9807" s="5">
        <f t="shared" si="162"/>
        <v>2004</v>
      </c>
      <c r="F9807" s="3" t="s">
        <v>1473</v>
      </c>
      <c r="G9807" s="6">
        <v>73.319999999999993</v>
      </c>
      <c r="H9807" s="5">
        <v>767</v>
      </c>
    </row>
    <row r="9808" spans="2:8" x14ac:dyDescent="0.4">
      <c r="B9808" s="3" t="s">
        <v>7</v>
      </c>
      <c r="C9808" s="3" t="s">
        <v>1470</v>
      </c>
      <c r="D9808" s="4">
        <f>DATE(2004,9,9)</f>
        <v>38239</v>
      </c>
      <c r="E9808" s="5">
        <f t="shared" si="162"/>
        <v>2004</v>
      </c>
      <c r="F9808" s="3" t="s">
        <v>1473</v>
      </c>
      <c r="G9808" s="6">
        <v>208.12</v>
      </c>
      <c r="H9808" s="5">
        <v>773</v>
      </c>
    </row>
    <row r="9809" spans="2:8" x14ac:dyDescent="0.4">
      <c r="B9809" s="3" t="s">
        <v>7</v>
      </c>
      <c r="C9809" s="3" t="s">
        <v>1470</v>
      </c>
      <c r="D9809" s="4">
        <f>DATE(2004,11,8)</f>
        <v>38299</v>
      </c>
      <c r="E9809" s="5">
        <f t="shared" si="162"/>
        <v>2004</v>
      </c>
      <c r="F9809" s="3" t="s">
        <v>1473</v>
      </c>
      <c r="G9809" s="6">
        <v>68.97</v>
      </c>
      <c r="H9809" s="5">
        <v>841</v>
      </c>
    </row>
    <row r="9810" spans="2:8" x14ac:dyDescent="0.4">
      <c r="B9810" s="3" t="s">
        <v>7</v>
      </c>
      <c r="C9810" s="3" t="s">
        <v>1470</v>
      </c>
      <c r="D9810" s="4">
        <f>DATE(2004,11,8)</f>
        <v>38299</v>
      </c>
      <c r="E9810" s="5">
        <f t="shared" si="162"/>
        <v>2004</v>
      </c>
      <c r="F9810" s="3" t="s">
        <v>1473</v>
      </c>
      <c r="G9810" s="6">
        <v>208.12</v>
      </c>
      <c r="H9810" s="5">
        <v>842</v>
      </c>
    </row>
    <row r="9811" spans="2:8" x14ac:dyDescent="0.4">
      <c r="B9811" s="3" t="s">
        <v>7</v>
      </c>
      <c r="C9811" s="3" t="s">
        <v>1470</v>
      </c>
      <c r="D9811" s="4">
        <f>DATE(2004,11,10)</f>
        <v>38301</v>
      </c>
      <c r="E9811" s="5">
        <f t="shared" si="162"/>
        <v>2004</v>
      </c>
      <c r="F9811" s="3" t="s">
        <v>1473</v>
      </c>
      <c r="G9811" s="6">
        <v>41.02</v>
      </c>
      <c r="H9811" s="5">
        <v>846</v>
      </c>
    </row>
    <row r="9812" spans="2:8" x14ac:dyDescent="0.4">
      <c r="B9812" s="3" t="s">
        <v>7</v>
      </c>
      <c r="C9812" s="3" t="s">
        <v>1470</v>
      </c>
      <c r="D9812" s="4">
        <f>DATE(2004,11,15)</f>
        <v>38306</v>
      </c>
      <c r="E9812" s="5">
        <f t="shared" si="162"/>
        <v>2004</v>
      </c>
      <c r="F9812" s="3" t="s">
        <v>1473</v>
      </c>
      <c r="G9812" s="6">
        <v>239.63</v>
      </c>
      <c r="H9812" s="5">
        <v>856</v>
      </c>
    </row>
    <row r="9813" spans="2:8" x14ac:dyDescent="0.4">
      <c r="B9813" s="3" t="s">
        <v>7</v>
      </c>
      <c r="C9813" s="3" t="s">
        <v>1470</v>
      </c>
      <c r="D9813" s="4">
        <f>DATE(2004,11,23)</f>
        <v>38314</v>
      </c>
      <c r="E9813" s="5">
        <f t="shared" si="162"/>
        <v>2004</v>
      </c>
      <c r="F9813" s="3" t="s">
        <v>1473</v>
      </c>
      <c r="G9813" s="6">
        <v>238.28</v>
      </c>
      <c r="H9813" s="5">
        <v>863</v>
      </c>
    </row>
    <row r="9814" spans="2:8" x14ac:dyDescent="0.4">
      <c r="B9814" s="3" t="s">
        <v>7</v>
      </c>
      <c r="C9814" s="3" t="s">
        <v>1470</v>
      </c>
      <c r="D9814" s="4">
        <f>DATE(2004,12,21)</f>
        <v>38342</v>
      </c>
      <c r="E9814" s="5">
        <f t="shared" si="162"/>
        <v>2004</v>
      </c>
      <c r="F9814" s="3" t="s">
        <v>1473</v>
      </c>
      <c r="G9814" s="6">
        <v>68.97</v>
      </c>
      <c r="H9814" s="5">
        <v>897</v>
      </c>
    </row>
    <row r="9815" spans="2:8" x14ac:dyDescent="0.4">
      <c r="B9815" s="3" t="s">
        <v>7</v>
      </c>
      <c r="C9815" s="3" t="s">
        <v>1470</v>
      </c>
      <c r="D9815" s="4">
        <f>DATE(2005,1,27)</f>
        <v>38379</v>
      </c>
      <c r="E9815" s="5">
        <f t="shared" si="162"/>
        <v>2005</v>
      </c>
      <c r="F9815" s="3" t="s">
        <v>1473</v>
      </c>
      <c r="G9815" s="6">
        <v>434.35</v>
      </c>
      <c r="H9815" s="5">
        <v>929</v>
      </c>
    </row>
    <row r="9816" spans="2:8" x14ac:dyDescent="0.4">
      <c r="B9816" s="3" t="s">
        <v>7</v>
      </c>
      <c r="C9816" s="3" t="s">
        <v>1470</v>
      </c>
      <c r="D9816" s="4">
        <f>DATE(2005,2,3)</f>
        <v>38386</v>
      </c>
      <c r="E9816" s="5">
        <f t="shared" si="162"/>
        <v>2005</v>
      </c>
      <c r="F9816" s="3" t="s">
        <v>1473</v>
      </c>
      <c r="G9816" s="6">
        <v>770.35</v>
      </c>
      <c r="H9816" s="5">
        <v>948</v>
      </c>
    </row>
    <row r="9817" spans="2:8" x14ac:dyDescent="0.4">
      <c r="B9817" s="3" t="s">
        <v>7</v>
      </c>
      <c r="C9817" s="3" t="s">
        <v>1470</v>
      </c>
      <c r="D9817" s="4">
        <f>DATE(2005,3,4)</f>
        <v>38415</v>
      </c>
      <c r="E9817" s="5">
        <f t="shared" si="162"/>
        <v>2005</v>
      </c>
      <c r="F9817" s="3" t="s">
        <v>1473</v>
      </c>
      <c r="G9817" s="6">
        <v>1137.6500000000001</v>
      </c>
      <c r="H9817" s="5">
        <v>979</v>
      </c>
    </row>
    <row r="9818" spans="2:8" x14ac:dyDescent="0.4">
      <c r="B9818" s="3" t="s">
        <v>7</v>
      </c>
      <c r="C9818" s="3" t="s">
        <v>1470</v>
      </c>
      <c r="D9818" s="4">
        <f>DATE(2005,3,15)</f>
        <v>38426</v>
      </c>
      <c r="E9818" s="5">
        <f t="shared" si="162"/>
        <v>2005</v>
      </c>
      <c r="F9818" s="3" t="s">
        <v>1473</v>
      </c>
      <c r="G9818" s="6">
        <v>789.73</v>
      </c>
      <c r="H9818" s="5">
        <v>993</v>
      </c>
    </row>
    <row r="9819" spans="2:8" x14ac:dyDescent="0.4">
      <c r="B9819" s="3" t="s">
        <v>7</v>
      </c>
      <c r="C9819" s="3" t="s">
        <v>1470</v>
      </c>
      <c r="D9819" s="4">
        <f>DATE(2005,4,14)</f>
        <v>38456</v>
      </c>
      <c r="E9819" s="5">
        <f t="shared" si="162"/>
        <v>2005</v>
      </c>
      <c r="F9819" s="3" t="s">
        <v>1473</v>
      </c>
      <c r="G9819" s="6">
        <v>209.48</v>
      </c>
      <c r="H9819" s="5">
        <v>1031</v>
      </c>
    </row>
    <row r="9820" spans="2:8" x14ac:dyDescent="0.4">
      <c r="B9820" s="3" t="s">
        <v>7</v>
      </c>
      <c r="C9820" s="3" t="s">
        <v>1470</v>
      </c>
      <c r="D9820" s="4">
        <f>DATE(2005,4,13)</f>
        <v>38455</v>
      </c>
      <c r="E9820" s="5">
        <f t="shared" si="162"/>
        <v>2005</v>
      </c>
      <c r="F9820" s="3" t="s">
        <v>1473</v>
      </c>
      <c r="G9820" s="6">
        <v>226.98</v>
      </c>
      <c r="H9820" s="5">
        <v>1033</v>
      </c>
    </row>
    <row r="9821" spans="2:8" x14ac:dyDescent="0.4">
      <c r="B9821" s="3" t="s">
        <v>7</v>
      </c>
      <c r="C9821" s="3" t="s">
        <v>1470</v>
      </c>
      <c r="D9821" s="4">
        <f>DATE(2005,4,19)</f>
        <v>38461</v>
      </c>
      <c r="E9821" s="5">
        <f t="shared" si="162"/>
        <v>2005</v>
      </c>
      <c r="F9821" s="3" t="s">
        <v>1473</v>
      </c>
      <c r="G9821" s="6">
        <v>405.51</v>
      </c>
      <c r="H9821" s="5">
        <v>1039</v>
      </c>
    </row>
    <row r="9822" spans="2:8" x14ac:dyDescent="0.4">
      <c r="B9822" s="3" t="s">
        <v>7</v>
      </c>
      <c r="C9822" s="3" t="s">
        <v>1470</v>
      </c>
      <c r="D9822" s="4">
        <f>DATE(2005,5,3)</f>
        <v>38475</v>
      </c>
      <c r="E9822" s="5">
        <f t="shared" si="162"/>
        <v>2005</v>
      </c>
      <c r="F9822" s="3" t="s">
        <v>1473</v>
      </c>
      <c r="G9822" s="6">
        <v>812.54</v>
      </c>
      <c r="H9822" s="5">
        <v>1050</v>
      </c>
    </row>
    <row r="9823" spans="2:8" x14ac:dyDescent="0.4">
      <c r="B9823" s="3" t="s">
        <v>7</v>
      </c>
      <c r="C9823" s="3" t="s">
        <v>1470</v>
      </c>
      <c r="D9823" s="4">
        <f>DATE(2005,5,5)</f>
        <v>38477</v>
      </c>
      <c r="E9823" s="5">
        <f t="shared" si="162"/>
        <v>2005</v>
      </c>
      <c r="F9823" s="3" t="s">
        <v>1473</v>
      </c>
      <c r="G9823" s="6">
        <v>281.83</v>
      </c>
      <c r="H9823" s="5">
        <v>1065</v>
      </c>
    </row>
    <row r="9824" spans="2:8" x14ac:dyDescent="0.4">
      <c r="B9824" s="3" t="s">
        <v>7</v>
      </c>
      <c r="C9824" s="3" t="s">
        <v>1470</v>
      </c>
      <c r="D9824" s="4">
        <f>DATE(2005,5,6)</f>
        <v>38478</v>
      </c>
      <c r="E9824" s="5">
        <f t="shared" si="162"/>
        <v>2005</v>
      </c>
      <c r="F9824" s="3" t="s">
        <v>1473</v>
      </c>
      <c r="G9824" s="6">
        <v>399.06</v>
      </c>
      <c r="H9824" s="5">
        <v>1064</v>
      </c>
    </row>
    <row r="9825" spans="2:8" x14ac:dyDescent="0.4">
      <c r="B9825" s="3" t="s">
        <v>7</v>
      </c>
      <c r="C9825" s="3" t="s">
        <v>1470</v>
      </c>
      <c r="D9825" s="4">
        <f>DATE(2005,6,2)</f>
        <v>38505</v>
      </c>
      <c r="E9825" s="5">
        <f t="shared" si="162"/>
        <v>2005</v>
      </c>
      <c r="F9825" s="3" t="s">
        <v>1473</v>
      </c>
      <c r="G9825" s="6">
        <v>425.28</v>
      </c>
      <c r="H9825" s="5">
        <v>1070</v>
      </c>
    </row>
    <row r="9826" spans="2:8" x14ac:dyDescent="0.4">
      <c r="B9826" s="3" t="s">
        <v>7</v>
      </c>
      <c r="C9826" s="3" t="s">
        <v>1470</v>
      </c>
      <c r="D9826" s="4">
        <f>DATE(2005,6,2)</f>
        <v>38505</v>
      </c>
      <c r="E9826" s="5">
        <f t="shared" si="162"/>
        <v>2005</v>
      </c>
      <c r="F9826" s="3" t="s">
        <v>1473</v>
      </c>
      <c r="G9826" s="6">
        <v>549.42999999999995</v>
      </c>
      <c r="H9826" s="5">
        <v>1087</v>
      </c>
    </row>
    <row r="9827" spans="2:8" x14ac:dyDescent="0.4">
      <c r="B9827" s="3" t="s">
        <v>7</v>
      </c>
      <c r="C9827" s="3" t="s">
        <v>1470</v>
      </c>
      <c r="D9827" s="4">
        <f>DATE(2005,7,7)</f>
        <v>38540</v>
      </c>
      <c r="E9827" s="5">
        <f t="shared" si="162"/>
        <v>2005</v>
      </c>
      <c r="F9827" s="3" t="s">
        <v>1473</v>
      </c>
      <c r="G9827" s="6">
        <v>216.98</v>
      </c>
      <c r="H9827" s="5">
        <v>1157</v>
      </c>
    </row>
    <row r="9828" spans="2:8" x14ac:dyDescent="0.4">
      <c r="B9828" s="3" t="s">
        <v>7</v>
      </c>
      <c r="C9828" s="3" t="s">
        <v>1470</v>
      </c>
      <c r="D9828" s="4">
        <f>DATE(2005,7,13)</f>
        <v>38546</v>
      </c>
      <c r="E9828" s="5">
        <f t="shared" si="162"/>
        <v>2005</v>
      </c>
      <c r="F9828" s="3" t="s">
        <v>1473</v>
      </c>
      <c r="G9828" s="6">
        <v>1347.85</v>
      </c>
      <c r="H9828" s="5">
        <v>1158</v>
      </c>
    </row>
    <row r="9829" spans="2:8" x14ac:dyDescent="0.4">
      <c r="B9829" s="3" t="s">
        <v>7</v>
      </c>
      <c r="C9829" s="3" t="s">
        <v>1470</v>
      </c>
      <c r="D9829" s="4">
        <f>DATE(2005,8,3)</f>
        <v>38567</v>
      </c>
      <c r="E9829" s="5">
        <f t="shared" si="162"/>
        <v>2005</v>
      </c>
      <c r="F9829" s="3" t="s">
        <v>1473</v>
      </c>
      <c r="G9829" s="6">
        <v>209.48</v>
      </c>
      <c r="H9829" s="5">
        <v>1184</v>
      </c>
    </row>
    <row r="9830" spans="2:8" x14ac:dyDescent="0.4">
      <c r="B9830" s="3" t="s">
        <v>7</v>
      </c>
      <c r="C9830" s="3" t="s">
        <v>1470</v>
      </c>
      <c r="D9830" s="4">
        <f>DATE(2005,8,3)</f>
        <v>38567</v>
      </c>
      <c r="E9830" s="5">
        <f t="shared" si="162"/>
        <v>2005</v>
      </c>
      <c r="F9830" s="3" t="s">
        <v>1473</v>
      </c>
      <c r="G9830" s="6">
        <v>197.9</v>
      </c>
      <c r="H9830" s="5">
        <v>1185</v>
      </c>
    </row>
    <row r="9831" spans="2:8" x14ac:dyDescent="0.4">
      <c r="B9831" s="3" t="s">
        <v>7</v>
      </c>
      <c r="C9831" s="3" t="s">
        <v>1470</v>
      </c>
      <c r="D9831" s="4">
        <f>DATE(2005,8,31)</f>
        <v>38595</v>
      </c>
      <c r="E9831" s="5">
        <f t="shared" si="162"/>
        <v>2005</v>
      </c>
      <c r="F9831" s="3" t="s">
        <v>1473</v>
      </c>
      <c r="G9831" s="6">
        <v>424</v>
      </c>
      <c r="H9831" s="5">
        <v>1227</v>
      </c>
    </row>
    <row r="9832" spans="2:8" x14ac:dyDescent="0.4">
      <c r="B9832" s="3" t="s">
        <v>7</v>
      </c>
      <c r="C9832" s="3" t="s">
        <v>1470</v>
      </c>
      <c r="D9832" s="4">
        <f>DATE(2005,10,13)</f>
        <v>38638</v>
      </c>
      <c r="E9832" s="5">
        <f t="shared" si="162"/>
        <v>2005</v>
      </c>
      <c r="F9832" s="3" t="s">
        <v>1473</v>
      </c>
      <c r="G9832" s="6">
        <v>96.5</v>
      </c>
      <c r="H9832" s="5">
        <v>1264</v>
      </c>
    </row>
    <row r="9833" spans="2:8" x14ac:dyDescent="0.4">
      <c r="B9833" s="3" t="s">
        <v>7</v>
      </c>
      <c r="C9833" s="3" t="s">
        <v>1470</v>
      </c>
      <c r="D9833" s="4">
        <f>DATE(2005,11,15)</f>
        <v>38671</v>
      </c>
      <c r="E9833" s="5">
        <f t="shared" si="162"/>
        <v>2005</v>
      </c>
      <c r="F9833" s="3" t="s">
        <v>1473</v>
      </c>
      <c r="G9833" s="6">
        <v>1222.1500000000001</v>
      </c>
      <c r="H9833" s="5">
        <v>1284</v>
      </c>
    </row>
    <row r="9834" spans="2:8" x14ac:dyDescent="0.4">
      <c r="B9834" s="3" t="s">
        <v>7</v>
      </c>
      <c r="C9834" s="3" t="s">
        <v>1470</v>
      </c>
      <c r="D9834" s="4">
        <f>DATE(2005,12,16)</f>
        <v>38702</v>
      </c>
      <c r="E9834" s="5">
        <f t="shared" si="162"/>
        <v>2005</v>
      </c>
      <c r="F9834" s="3" t="s">
        <v>1473</v>
      </c>
      <c r="G9834" s="6">
        <v>528.98</v>
      </c>
      <c r="H9834" s="5">
        <v>1336</v>
      </c>
    </row>
    <row r="9835" spans="2:8" x14ac:dyDescent="0.4">
      <c r="B9835" s="3" t="s">
        <v>7</v>
      </c>
      <c r="C9835" s="3" t="s">
        <v>1470</v>
      </c>
      <c r="D9835" s="4">
        <f>DATE(2006,1,26)</f>
        <v>38743</v>
      </c>
      <c r="E9835" s="5">
        <f t="shared" si="162"/>
        <v>2006</v>
      </c>
      <c r="F9835" s="3" t="s">
        <v>1473</v>
      </c>
      <c r="G9835" s="6">
        <v>74.16</v>
      </c>
      <c r="H9835" s="5">
        <v>1417</v>
      </c>
    </row>
    <row r="9836" spans="2:8" x14ac:dyDescent="0.4">
      <c r="B9836" s="3" t="s">
        <v>7</v>
      </c>
      <c r="C9836" s="3" t="s">
        <v>1470</v>
      </c>
      <c r="D9836" s="4">
        <f>DATE(2006,2,28)</f>
        <v>38776</v>
      </c>
      <c r="E9836" s="5">
        <f t="shared" si="162"/>
        <v>2006</v>
      </c>
      <c r="F9836" s="3" t="s">
        <v>1473</v>
      </c>
      <c r="G9836" s="6">
        <v>325</v>
      </c>
      <c r="H9836" s="5">
        <v>1463</v>
      </c>
    </row>
    <row r="9837" spans="2:8" x14ac:dyDescent="0.4">
      <c r="B9837" s="3" t="s">
        <v>7</v>
      </c>
      <c r="C9837" s="3" t="s">
        <v>1470</v>
      </c>
      <c r="D9837" s="4">
        <f>DATE(2006,3,20)</f>
        <v>38796</v>
      </c>
      <c r="E9837" s="5">
        <f t="shared" si="162"/>
        <v>2006</v>
      </c>
      <c r="F9837" s="3" t="s">
        <v>1473</v>
      </c>
      <c r="G9837" s="6">
        <v>269.16000000000003</v>
      </c>
      <c r="H9837" s="5">
        <v>1492</v>
      </c>
    </row>
    <row r="9838" spans="2:8" x14ac:dyDescent="0.4">
      <c r="B9838" s="3" t="s">
        <v>7</v>
      </c>
      <c r="C9838" s="3" t="s">
        <v>1470</v>
      </c>
      <c r="D9838" s="4">
        <f>DATE(2006,5,5)</f>
        <v>38842</v>
      </c>
      <c r="E9838" s="5">
        <f t="shared" si="162"/>
        <v>2006</v>
      </c>
      <c r="F9838" s="3" t="s">
        <v>1473</v>
      </c>
      <c r="G9838" s="6">
        <v>799.85</v>
      </c>
      <c r="H9838" s="5">
        <v>1549</v>
      </c>
    </row>
    <row r="9839" spans="2:8" x14ac:dyDescent="0.4">
      <c r="B9839" s="3" t="s">
        <v>7</v>
      </c>
      <c r="C9839" s="3" t="s">
        <v>1470</v>
      </c>
      <c r="D9839" s="4">
        <f>DATE(2006,5,26)</f>
        <v>38863</v>
      </c>
      <c r="E9839" s="5">
        <f t="shared" si="162"/>
        <v>2006</v>
      </c>
      <c r="F9839" s="3" t="s">
        <v>1473</v>
      </c>
      <c r="G9839" s="6">
        <v>459.16</v>
      </c>
      <c r="H9839" s="5">
        <v>1584</v>
      </c>
    </row>
    <row r="9840" spans="2:8" x14ac:dyDescent="0.4">
      <c r="B9840" s="3" t="s">
        <v>7</v>
      </c>
      <c r="C9840" s="3" t="s">
        <v>1470</v>
      </c>
      <c r="D9840" s="4">
        <f>DATE(2006,5,31)</f>
        <v>38868</v>
      </c>
      <c r="E9840" s="5">
        <f t="shared" si="162"/>
        <v>2006</v>
      </c>
      <c r="F9840" s="3" t="s">
        <v>1473</v>
      </c>
      <c r="G9840" s="6">
        <v>399.16</v>
      </c>
      <c r="H9840" s="5">
        <v>1605</v>
      </c>
    </row>
    <row r="9841" spans="2:8" x14ac:dyDescent="0.4">
      <c r="B9841" s="3" t="s">
        <v>7</v>
      </c>
      <c r="C9841" s="3" t="s">
        <v>1470</v>
      </c>
      <c r="D9841" s="4">
        <f>DATE(2006,8,7)</f>
        <v>38936</v>
      </c>
      <c r="E9841" s="5">
        <f t="shared" si="162"/>
        <v>2006</v>
      </c>
      <c r="F9841" s="3" t="s">
        <v>1473</v>
      </c>
      <c r="G9841" s="6">
        <v>399.16</v>
      </c>
      <c r="H9841" s="5">
        <v>1715</v>
      </c>
    </row>
    <row r="9842" spans="2:8" x14ac:dyDescent="0.4">
      <c r="B9842" s="3" t="s">
        <v>7</v>
      </c>
      <c r="C9842" s="3" t="s">
        <v>1470</v>
      </c>
      <c r="D9842" s="4">
        <f>DATE(2006,10,3)</f>
        <v>38993</v>
      </c>
      <c r="E9842" s="5">
        <f t="shared" si="162"/>
        <v>2006</v>
      </c>
      <c r="F9842" s="3" t="s">
        <v>1473</v>
      </c>
      <c r="G9842" s="6">
        <v>533.32000000000005</v>
      </c>
      <c r="H9842" s="5">
        <v>1810</v>
      </c>
    </row>
    <row r="9843" spans="2:8" x14ac:dyDescent="0.4">
      <c r="B9843" s="3" t="s">
        <v>7</v>
      </c>
      <c r="C9843" s="3" t="s">
        <v>1470</v>
      </c>
      <c r="D9843" s="4">
        <f>DATE(2006,10,3)</f>
        <v>38993</v>
      </c>
      <c r="E9843" s="5">
        <f t="shared" si="162"/>
        <v>2006</v>
      </c>
      <c r="F9843" s="3" t="s">
        <v>1473</v>
      </c>
      <c r="G9843" s="6">
        <v>390</v>
      </c>
      <c r="H9843" s="5">
        <v>1814</v>
      </c>
    </row>
    <row r="9844" spans="2:8" x14ac:dyDescent="0.4">
      <c r="B9844" s="3" t="s">
        <v>7</v>
      </c>
      <c r="C9844" s="3" t="s">
        <v>1470</v>
      </c>
      <c r="D9844" s="4">
        <f>DATE(2006,10,9)</f>
        <v>38999</v>
      </c>
      <c r="E9844" s="5">
        <f t="shared" si="162"/>
        <v>2006</v>
      </c>
      <c r="F9844" s="3" t="s">
        <v>1473</v>
      </c>
      <c r="G9844" s="6">
        <v>2990</v>
      </c>
      <c r="H9844" s="5">
        <v>1801</v>
      </c>
    </row>
    <row r="9845" spans="2:8" x14ac:dyDescent="0.4">
      <c r="B9845" s="3" t="s">
        <v>7</v>
      </c>
      <c r="C9845" s="3" t="s">
        <v>1470</v>
      </c>
      <c r="D9845" s="4">
        <f>DATE(2006,11,1)</f>
        <v>39022</v>
      </c>
      <c r="E9845" s="5">
        <f t="shared" si="162"/>
        <v>2006</v>
      </c>
      <c r="F9845" s="3" t="s">
        <v>1473</v>
      </c>
      <c r="G9845" s="6">
        <v>390</v>
      </c>
      <c r="H9845" s="5">
        <v>1875</v>
      </c>
    </row>
    <row r="9846" spans="2:8" x14ac:dyDescent="0.4">
      <c r="B9846" s="3" t="s">
        <v>7</v>
      </c>
      <c r="C9846" s="3" t="s">
        <v>1470</v>
      </c>
      <c r="D9846" s="4">
        <f>DATE(2006,11,15)</f>
        <v>39036</v>
      </c>
      <c r="E9846" s="5">
        <f t="shared" si="162"/>
        <v>2006</v>
      </c>
      <c r="F9846" s="3" t="s">
        <v>1473</v>
      </c>
      <c r="G9846" s="6">
        <v>650</v>
      </c>
      <c r="H9846" s="5">
        <v>1898</v>
      </c>
    </row>
    <row r="9847" spans="2:8" x14ac:dyDescent="0.4">
      <c r="B9847" s="3" t="s">
        <v>7</v>
      </c>
      <c r="C9847" s="3" t="s">
        <v>1470</v>
      </c>
      <c r="D9847" s="4">
        <f>DATE(2007,1,12)</f>
        <v>39094</v>
      </c>
      <c r="E9847" s="5">
        <f t="shared" si="162"/>
        <v>2007</v>
      </c>
      <c r="F9847" s="3" t="s">
        <v>1473</v>
      </c>
      <c r="G9847" s="6">
        <v>825</v>
      </c>
      <c r="H9847" s="5">
        <v>1999</v>
      </c>
    </row>
    <row r="9848" spans="2:8" x14ac:dyDescent="0.4">
      <c r="B9848" s="3" t="s">
        <v>7</v>
      </c>
      <c r="C9848" s="3" t="s">
        <v>1470</v>
      </c>
      <c r="D9848" s="4">
        <f>DATE(2007,2,6)</f>
        <v>39119</v>
      </c>
      <c r="E9848" s="5">
        <f t="shared" si="162"/>
        <v>2007</v>
      </c>
      <c r="F9848" s="3" t="s">
        <v>1473</v>
      </c>
      <c r="G9848" s="6">
        <v>195</v>
      </c>
      <c r="H9848" s="5">
        <v>2044</v>
      </c>
    </row>
    <row r="9849" spans="2:8" x14ac:dyDescent="0.4">
      <c r="B9849" s="3" t="s">
        <v>7</v>
      </c>
      <c r="C9849" s="3" t="s">
        <v>1470</v>
      </c>
      <c r="D9849" s="4">
        <f>DATE(2007,3,5)</f>
        <v>39146</v>
      </c>
      <c r="E9849" s="5">
        <f t="shared" si="162"/>
        <v>2007</v>
      </c>
      <c r="F9849" s="3" t="s">
        <v>1473</v>
      </c>
      <c r="G9849" s="6">
        <v>3120</v>
      </c>
      <c r="H9849" s="5">
        <v>2085</v>
      </c>
    </row>
    <row r="9850" spans="2:8" x14ac:dyDescent="0.4">
      <c r="B9850" s="3" t="s">
        <v>7</v>
      </c>
      <c r="C9850" s="3" t="s">
        <v>1470</v>
      </c>
      <c r="D9850" s="4">
        <f>DATE(2007,3,26)</f>
        <v>39167</v>
      </c>
      <c r="E9850" s="5">
        <f t="shared" si="162"/>
        <v>2007</v>
      </c>
      <c r="F9850" s="3" t="s">
        <v>1473</v>
      </c>
      <c r="G9850" s="6">
        <v>65</v>
      </c>
      <c r="H9850" s="5">
        <v>2142</v>
      </c>
    </row>
    <row r="9851" spans="2:8" x14ac:dyDescent="0.4">
      <c r="B9851" s="3" t="s">
        <v>7</v>
      </c>
      <c r="C9851" s="3" t="s">
        <v>1470</v>
      </c>
      <c r="D9851" s="4">
        <f>DATE(2007,3,30)</f>
        <v>39171</v>
      </c>
      <c r="E9851" s="5">
        <f t="shared" si="162"/>
        <v>2007</v>
      </c>
      <c r="F9851" s="3" t="s">
        <v>1473</v>
      </c>
      <c r="G9851" s="6">
        <v>1575</v>
      </c>
      <c r="H9851" s="5">
        <v>2154</v>
      </c>
    </row>
    <row r="9852" spans="2:8" x14ac:dyDescent="0.4">
      <c r="B9852" s="3" t="s">
        <v>7</v>
      </c>
      <c r="C9852" s="3" t="s">
        <v>1470</v>
      </c>
      <c r="D9852" s="4">
        <f>DATE(2007,4,20)</f>
        <v>39192</v>
      </c>
      <c r="E9852" s="5">
        <f t="shared" si="162"/>
        <v>2007</v>
      </c>
      <c r="F9852" s="3" t="s">
        <v>1473</v>
      </c>
      <c r="G9852" s="6">
        <v>562.5</v>
      </c>
      <c r="H9852" s="5">
        <v>2163</v>
      </c>
    </row>
    <row r="9853" spans="2:8" x14ac:dyDescent="0.4">
      <c r="B9853" s="3" t="s">
        <v>7</v>
      </c>
      <c r="C9853" s="3" t="s">
        <v>1470</v>
      </c>
      <c r="D9853" s="4">
        <f>DATE(2007,5,1)</f>
        <v>39203</v>
      </c>
      <c r="E9853" s="5">
        <f t="shared" si="162"/>
        <v>2007</v>
      </c>
      <c r="F9853" s="3" t="s">
        <v>1473</v>
      </c>
      <c r="G9853" s="6">
        <v>585</v>
      </c>
      <c r="H9853" s="5">
        <v>2221</v>
      </c>
    </row>
    <row r="9854" spans="2:8" x14ac:dyDescent="0.4">
      <c r="B9854" s="3" t="s">
        <v>7</v>
      </c>
      <c r="C9854" s="3" t="s">
        <v>1470</v>
      </c>
      <c r="D9854" s="4">
        <f>DATE(2007,6,25)</f>
        <v>39258</v>
      </c>
      <c r="E9854" s="5">
        <f t="shared" si="162"/>
        <v>2007</v>
      </c>
      <c r="F9854" s="3" t="s">
        <v>1473</v>
      </c>
      <c r="G9854" s="6">
        <v>720</v>
      </c>
      <c r="H9854" s="5">
        <v>2303</v>
      </c>
    </row>
    <row r="9855" spans="2:8" x14ac:dyDescent="0.4">
      <c r="B9855" s="3" t="s">
        <v>7</v>
      </c>
      <c r="C9855" s="3" t="s">
        <v>1470</v>
      </c>
      <c r="D9855" s="4">
        <f>DATE(2007,7,31)</f>
        <v>39294</v>
      </c>
      <c r="E9855" s="5">
        <f t="shared" si="162"/>
        <v>2007</v>
      </c>
      <c r="F9855" s="3" t="s">
        <v>1473</v>
      </c>
      <c r="G9855" s="6">
        <v>137</v>
      </c>
      <c r="H9855" s="5">
        <v>2345</v>
      </c>
    </row>
    <row r="9856" spans="2:8" x14ac:dyDescent="0.4">
      <c r="B9856" s="3" t="s">
        <v>7</v>
      </c>
      <c r="C9856" s="3" t="s">
        <v>1470</v>
      </c>
      <c r="D9856" s="4">
        <f>DATE(2007,8,8)</f>
        <v>39302</v>
      </c>
      <c r="E9856" s="5">
        <f t="shared" si="162"/>
        <v>2007</v>
      </c>
      <c r="F9856" s="3" t="s">
        <v>1473</v>
      </c>
      <c r="G9856" s="6">
        <v>411</v>
      </c>
      <c r="H9856" s="5">
        <v>2361</v>
      </c>
    </row>
    <row r="9857" spans="2:8" x14ac:dyDescent="0.4">
      <c r="B9857" s="3" t="s">
        <v>7</v>
      </c>
      <c r="C9857" s="3" t="s">
        <v>1470</v>
      </c>
      <c r="D9857" s="4">
        <f>DATE(2007,8,23)</f>
        <v>39317</v>
      </c>
      <c r="E9857" s="5">
        <f t="shared" si="162"/>
        <v>2007</v>
      </c>
      <c r="F9857" s="3" t="s">
        <v>1473</v>
      </c>
      <c r="G9857" s="6">
        <v>411</v>
      </c>
      <c r="H9857" s="5">
        <v>2371</v>
      </c>
    </row>
    <row r="9858" spans="2:8" x14ac:dyDescent="0.4">
      <c r="B9858" s="3" t="s">
        <v>7</v>
      </c>
      <c r="C9858" s="3" t="s">
        <v>1470</v>
      </c>
      <c r="D9858" s="4">
        <f>DATE(2007,8,30)</f>
        <v>39324</v>
      </c>
      <c r="E9858" s="5">
        <f t="shared" si="162"/>
        <v>2007</v>
      </c>
      <c r="F9858" s="3" t="s">
        <v>1473</v>
      </c>
      <c r="G9858" s="6">
        <v>731.25</v>
      </c>
      <c r="H9858" s="5">
        <v>2377</v>
      </c>
    </row>
    <row r="9859" spans="2:8" x14ac:dyDescent="0.4">
      <c r="B9859" s="3" t="s">
        <v>7</v>
      </c>
      <c r="C9859" s="3" t="s">
        <v>1470</v>
      </c>
      <c r="D9859" s="4">
        <f>DATE(2007,9,7)</f>
        <v>39332</v>
      </c>
      <c r="E9859" s="5">
        <f t="shared" ref="E9859:E9922" si="163">YEAR(D9859)</f>
        <v>2007</v>
      </c>
      <c r="F9859" s="3" t="s">
        <v>1473</v>
      </c>
      <c r="G9859" s="6">
        <v>1027.5</v>
      </c>
      <c r="H9859" s="5">
        <v>2386</v>
      </c>
    </row>
    <row r="9860" spans="2:8" x14ac:dyDescent="0.4">
      <c r="B9860" s="3" t="s">
        <v>7</v>
      </c>
      <c r="C9860" s="3" t="s">
        <v>1470</v>
      </c>
      <c r="D9860" s="4">
        <f>DATE(2007,9,10)</f>
        <v>39335</v>
      </c>
      <c r="E9860" s="5">
        <f t="shared" si="163"/>
        <v>2007</v>
      </c>
      <c r="F9860" s="3" t="s">
        <v>1473</v>
      </c>
      <c r="G9860" s="6">
        <v>189</v>
      </c>
      <c r="H9860" s="5">
        <v>2387</v>
      </c>
    </row>
    <row r="9861" spans="2:8" x14ac:dyDescent="0.4">
      <c r="B9861" s="3" t="s">
        <v>7</v>
      </c>
      <c r="C9861" s="3" t="s">
        <v>1470</v>
      </c>
      <c r="D9861" s="4">
        <f>DATE(2007,9,28)</f>
        <v>39353</v>
      </c>
      <c r="E9861" s="5">
        <f t="shared" si="163"/>
        <v>2007</v>
      </c>
      <c r="F9861" s="3" t="s">
        <v>1473</v>
      </c>
      <c r="G9861" s="6">
        <v>2940</v>
      </c>
      <c r="H9861" s="5">
        <v>2412</v>
      </c>
    </row>
    <row r="9862" spans="2:8" x14ac:dyDescent="0.4">
      <c r="B9862" s="3" t="s">
        <v>7</v>
      </c>
      <c r="C9862" s="3" t="s">
        <v>1470</v>
      </c>
      <c r="D9862" s="4">
        <f>DATE(2007,10,1)</f>
        <v>39356</v>
      </c>
      <c r="E9862" s="5">
        <f t="shared" si="163"/>
        <v>2007</v>
      </c>
      <c r="F9862" s="3" t="s">
        <v>1473</v>
      </c>
      <c r="G9862" s="6">
        <v>411</v>
      </c>
      <c r="H9862" s="5">
        <v>2416</v>
      </c>
    </row>
    <row r="9863" spans="2:8" x14ac:dyDescent="0.4">
      <c r="B9863" s="3" t="s">
        <v>7</v>
      </c>
      <c r="C9863" s="3" t="s">
        <v>1470</v>
      </c>
      <c r="D9863" s="4">
        <f>DATE(2007,10,15)</f>
        <v>39370</v>
      </c>
      <c r="E9863" s="5">
        <f t="shared" si="163"/>
        <v>2007</v>
      </c>
      <c r="F9863" s="3" t="s">
        <v>1473</v>
      </c>
      <c r="G9863" s="6">
        <v>672</v>
      </c>
      <c r="H9863" s="5">
        <v>2433</v>
      </c>
    </row>
    <row r="9864" spans="2:8" x14ac:dyDescent="0.4">
      <c r="B9864" s="3" t="s">
        <v>7</v>
      </c>
      <c r="C9864" s="3" t="s">
        <v>1470</v>
      </c>
      <c r="D9864" s="4">
        <f>DATE(2007,10,30)</f>
        <v>39385</v>
      </c>
      <c r="E9864" s="5">
        <f t="shared" si="163"/>
        <v>2007</v>
      </c>
      <c r="F9864" s="3" t="s">
        <v>1473</v>
      </c>
      <c r="G9864" s="6">
        <v>2100</v>
      </c>
      <c r="H9864" s="5">
        <v>2450</v>
      </c>
    </row>
    <row r="9865" spans="2:8" x14ac:dyDescent="0.4">
      <c r="B9865" s="3" t="s">
        <v>7</v>
      </c>
      <c r="C9865" s="3" t="s">
        <v>1470</v>
      </c>
      <c r="D9865" s="4">
        <f>DATE(2007,11,15)</f>
        <v>39401</v>
      </c>
      <c r="E9865" s="5">
        <f t="shared" si="163"/>
        <v>2007</v>
      </c>
      <c r="F9865" s="3" t="s">
        <v>1473</v>
      </c>
      <c r="G9865" s="6">
        <v>756</v>
      </c>
      <c r="H9865" s="5">
        <v>2478</v>
      </c>
    </row>
    <row r="9866" spans="2:8" x14ac:dyDescent="0.4">
      <c r="B9866" s="3" t="s">
        <v>7</v>
      </c>
      <c r="C9866" s="3" t="s">
        <v>1470</v>
      </c>
      <c r="D9866" s="4">
        <f>DATE(2007,11,23)</f>
        <v>39409</v>
      </c>
      <c r="E9866" s="5">
        <f t="shared" si="163"/>
        <v>2007</v>
      </c>
      <c r="F9866" s="3" t="s">
        <v>1473</v>
      </c>
      <c r="G9866" s="6">
        <v>883.8</v>
      </c>
      <c r="H9866" s="5">
        <v>2500</v>
      </c>
    </row>
    <row r="9867" spans="2:8" x14ac:dyDescent="0.4">
      <c r="B9867" s="3" t="s">
        <v>7</v>
      </c>
      <c r="C9867" s="3" t="s">
        <v>1470</v>
      </c>
      <c r="D9867" s="4">
        <f>DATE(2007,12,31)</f>
        <v>39447</v>
      </c>
      <c r="E9867" s="5">
        <f t="shared" si="163"/>
        <v>2007</v>
      </c>
      <c r="F9867" s="3" t="s">
        <v>1473</v>
      </c>
      <c r="G9867" s="6">
        <v>1027.5</v>
      </c>
      <c r="H9867" s="5">
        <v>2555</v>
      </c>
    </row>
    <row r="9868" spans="2:8" x14ac:dyDescent="0.4">
      <c r="B9868" s="3" t="s">
        <v>7</v>
      </c>
      <c r="C9868" s="3" t="s">
        <v>1470</v>
      </c>
      <c r="D9868" s="4">
        <f>DATE(2008,1,14)</f>
        <v>39461</v>
      </c>
      <c r="E9868" s="5">
        <f t="shared" si="163"/>
        <v>2008</v>
      </c>
      <c r="F9868" s="3" t="s">
        <v>1473</v>
      </c>
      <c r="G9868" s="6">
        <v>68.5</v>
      </c>
      <c r="H9868" s="5">
        <v>2572</v>
      </c>
    </row>
    <row r="9869" spans="2:8" x14ac:dyDescent="0.4">
      <c r="B9869" s="3" t="s">
        <v>7</v>
      </c>
      <c r="C9869" s="3" t="s">
        <v>1470</v>
      </c>
      <c r="D9869" s="4">
        <f>DATE(2008,1,17)</f>
        <v>39464</v>
      </c>
      <c r="E9869" s="5">
        <f t="shared" si="163"/>
        <v>2008</v>
      </c>
      <c r="F9869" s="3" t="s">
        <v>1473</v>
      </c>
      <c r="G9869" s="6">
        <v>915</v>
      </c>
      <c r="H9869" s="5">
        <v>2588</v>
      </c>
    </row>
    <row r="9870" spans="2:8" x14ac:dyDescent="0.4">
      <c r="B9870" s="3" t="s">
        <v>7</v>
      </c>
      <c r="C9870" s="3" t="s">
        <v>1470</v>
      </c>
      <c r="D9870" s="4">
        <f>DATE(2008,2,7)</f>
        <v>39485</v>
      </c>
      <c r="E9870" s="5">
        <f t="shared" si="163"/>
        <v>2008</v>
      </c>
      <c r="F9870" s="3" t="s">
        <v>1473</v>
      </c>
      <c r="G9870" s="6">
        <v>1370</v>
      </c>
      <c r="H9870" s="5">
        <v>2640</v>
      </c>
    </row>
    <row r="9871" spans="2:8" x14ac:dyDescent="0.4">
      <c r="B9871" s="3" t="s">
        <v>7</v>
      </c>
      <c r="C9871" s="3" t="s">
        <v>1470</v>
      </c>
      <c r="D9871" s="4">
        <f>DATE(2008,2,20)</f>
        <v>39498</v>
      </c>
      <c r="E9871" s="5">
        <f t="shared" si="163"/>
        <v>2008</v>
      </c>
      <c r="F9871" s="3" t="s">
        <v>1473</v>
      </c>
      <c r="G9871" s="6">
        <v>205.5</v>
      </c>
      <c r="H9871" s="5">
        <v>2664</v>
      </c>
    </row>
    <row r="9872" spans="2:8" x14ac:dyDescent="0.4">
      <c r="B9872" s="3" t="s">
        <v>7</v>
      </c>
      <c r="C9872" s="3" t="s">
        <v>1470</v>
      </c>
      <c r="D9872" s="4">
        <f>DATE(2008,3,5)</f>
        <v>39512</v>
      </c>
      <c r="E9872" s="5">
        <f t="shared" si="163"/>
        <v>2008</v>
      </c>
      <c r="F9872" s="3" t="s">
        <v>1473</v>
      </c>
      <c r="G9872" s="6">
        <v>342.5</v>
      </c>
      <c r="H9872" s="5">
        <v>2700</v>
      </c>
    </row>
    <row r="9873" spans="2:8" x14ac:dyDescent="0.4">
      <c r="B9873" s="3" t="s">
        <v>7</v>
      </c>
      <c r="C9873" s="3" t="s">
        <v>1470</v>
      </c>
      <c r="D9873" s="4">
        <f>DATE(2008,4,7)</f>
        <v>39545</v>
      </c>
      <c r="E9873" s="5">
        <f t="shared" si="163"/>
        <v>2008</v>
      </c>
      <c r="F9873" s="3" t="s">
        <v>1473</v>
      </c>
      <c r="G9873" s="6">
        <v>411</v>
      </c>
      <c r="H9873" s="5">
        <v>2746</v>
      </c>
    </row>
    <row r="9874" spans="2:8" x14ac:dyDescent="0.4">
      <c r="B9874" s="3" t="s">
        <v>7</v>
      </c>
      <c r="C9874" s="3" t="s">
        <v>1470</v>
      </c>
      <c r="D9874" s="4">
        <f>DATE(2008,4,8)</f>
        <v>39546</v>
      </c>
      <c r="E9874" s="5">
        <f t="shared" si="163"/>
        <v>2008</v>
      </c>
      <c r="F9874" s="3" t="s">
        <v>1473</v>
      </c>
      <c r="G9874" s="6">
        <v>411</v>
      </c>
      <c r="H9874" s="5">
        <v>2742</v>
      </c>
    </row>
    <row r="9875" spans="2:8" x14ac:dyDescent="0.4">
      <c r="B9875" s="3" t="s">
        <v>7</v>
      </c>
      <c r="C9875" s="3" t="s">
        <v>1470</v>
      </c>
      <c r="D9875" s="4">
        <f>DATE(2008,4,11)</f>
        <v>39549</v>
      </c>
      <c r="E9875" s="5">
        <f t="shared" si="163"/>
        <v>2008</v>
      </c>
      <c r="F9875" s="3" t="s">
        <v>1473</v>
      </c>
      <c r="G9875" s="6">
        <v>822</v>
      </c>
      <c r="H9875" s="5">
        <v>2766</v>
      </c>
    </row>
    <row r="9876" spans="2:8" x14ac:dyDescent="0.4">
      <c r="B9876" s="3" t="s">
        <v>7</v>
      </c>
      <c r="C9876" s="3" t="s">
        <v>1470</v>
      </c>
      <c r="D9876" s="4">
        <f>DATE(2008,4,18)</f>
        <v>39556</v>
      </c>
      <c r="E9876" s="5">
        <f t="shared" si="163"/>
        <v>2008</v>
      </c>
      <c r="F9876" s="3" t="s">
        <v>1473</v>
      </c>
      <c r="G9876" s="6">
        <v>2603</v>
      </c>
      <c r="H9876" s="5">
        <v>2780</v>
      </c>
    </row>
    <row r="9877" spans="2:8" x14ac:dyDescent="0.4">
      <c r="B9877" s="3" t="s">
        <v>7</v>
      </c>
      <c r="C9877" s="3" t="s">
        <v>1470</v>
      </c>
      <c r="D9877" s="4">
        <f>DATE(2008,5,2)</f>
        <v>39570</v>
      </c>
      <c r="E9877" s="5">
        <f t="shared" si="163"/>
        <v>2008</v>
      </c>
      <c r="F9877" s="3" t="s">
        <v>1473</v>
      </c>
      <c r="G9877" s="6">
        <v>137</v>
      </c>
      <c r="H9877" s="5">
        <v>2798</v>
      </c>
    </row>
    <row r="9878" spans="2:8" x14ac:dyDescent="0.4">
      <c r="B9878" s="3" t="s">
        <v>7</v>
      </c>
      <c r="C9878" s="3" t="s">
        <v>1470</v>
      </c>
      <c r="D9878" s="4">
        <f>DATE(2008,6,9)</f>
        <v>39608</v>
      </c>
      <c r="E9878" s="5">
        <f t="shared" si="163"/>
        <v>2008</v>
      </c>
      <c r="F9878" s="3" t="s">
        <v>1473</v>
      </c>
      <c r="G9878" s="6">
        <v>756</v>
      </c>
      <c r="H9878" s="5">
        <v>2877</v>
      </c>
    </row>
    <row r="9879" spans="2:8" x14ac:dyDescent="0.4">
      <c r="B9879" s="3" t="s">
        <v>7</v>
      </c>
      <c r="C9879" s="3" t="s">
        <v>1470</v>
      </c>
      <c r="D9879" s="4">
        <f>DATE(2008,6,23)</f>
        <v>39622</v>
      </c>
      <c r="E9879" s="5">
        <f t="shared" si="163"/>
        <v>2008</v>
      </c>
      <c r="F9879" s="3" t="s">
        <v>1473</v>
      </c>
      <c r="G9879" s="6">
        <v>411</v>
      </c>
      <c r="H9879" s="5">
        <v>2899</v>
      </c>
    </row>
    <row r="9880" spans="2:8" x14ac:dyDescent="0.4">
      <c r="B9880" s="3" t="s">
        <v>7</v>
      </c>
      <c r="C9880" s="3" t="s">
        <v>1470</v>
      </c>
      <c r="D9880" s="4">
        <f>DATE(2008,7,21)</f>
        <v>39650</v>
      </c>
      <c r="E9880" s="5">
        <f t="shared" si="163"/>
        <v>2008</v>
      </c>
      <c r="F9880" s="3" t="s">
        <v>1473</v>
      </c>
      <c r="G9880" s="6">
        <v>205.5</v>
      </c>
      <c r="H9880" s="5">
        <v>2931</v>
      </c>
    </row>
    <row r="9881" spans="2:8" x14ac:dyDescent="0.4">
      <c r="B9881" s="3" t="s">
        <v>7</v>
      </c>
      <c r="C9881" s="3" t="s">
        <v>1470</v>
      </c>
      <c r="D9881" s="4">
        <f>DATE(2008,8,4)</f>
        <v>39664</v>
      </c>
      <c r="E9881" s="5">
        <f t="shared" si="163"/>
        <v>2008</v>
      </c>
      <c r="F9881" s="3" t="s">
        <v>1473</v>
      </c>
      <c r="G9881" s="6">
        <v>756</v>
      </c>
      <c r="H9881" s="5">
        <v>2938</v>
      </c>
    </row>
    <row r="9882" spans="2:8" x14ac:dyDescent="0.4">
      <c r="B9882" s="3" t="s">
        <v>7</v>
      </c>
      <c r="C9882" s="3" t="s">
        <v>1470</v>
      </c>
      <c r="D9882" s="4">
        <f>DATE(2008,9,9)</f>
        <v>39700</v>
      </c>
      <c r="E9882" s="5">
        <f t="shared" si="163"/>
        <v>2008</v>
      </c>
      <c r="F9882" s="3" t="s">
        <v>1473</v>
      </c>
      <c r="G9882" s="6">
        <v>411</v>
      </c>
      <c r="H9882" s="5">
        <v>3024</v>
      </c>
    </row>
    <row r="9883" spans="2:8" x14ac:dyDescent="0.4">
      <c r="B9883" s="3" t="s">
        <v>7</v>
      </c>
      <c r="C9883" s="3" t="s">
        <v>1470</v>
      </c>
      <c r="D9883" s="4">
        <f>DATE(2008,9,24)</f>
        <v>39715</v>
      </c>
      <c r="E9883" s="5">
        <f t="shared" si="163"/>
        <v>2008</v>
      </c>
      <c r="F9883" s="3" t="s">
        <v>1473</v>
      </c>
      <c r="G9883" s="6">
        <v>342.5</v>
      </c>
      <c r="H9883" s="5">
        <v>3069</v>
      </c>
    </row>
    <row r="9884" spans="2:8" x14ac:dyDescent="0.4">
      <c r="B9884" s="3" t="s">
        <v>7</v>
      </c>
      <c r="C9884" s="3" t="s">
        <v>1470</v>
      </c>
      <c r="D9884" s="4">
        <f>DATE(2008,9,24)</f>
        <v>39715</v>
      </c>
      <c r="E9884" s="5">
        <f t="shared" si="163"/>
        <v>2008</v>
      </c>
      <c r="F9884" s="3" t="s">
        <v>1473</v>
      </c>
      <c r="G9884" s="6">
        <v>78.8</v>
      </c>
      <c r="H9884" s="5">
        <v>3052</v>
      </c>
    </row>
    <row r="9885" spans="2:8" x14ac:dyDescent="0.4">
      <c r="B9885" s="3" t="s">
        <v>7</v>
      </c>
      <c r="C9885" s="3" t="s">
        <v>1470</v>
      </c>
      <c r="D9885" s="4">
        <f>DATE(2008,10,8)</f>
        <v>39729</v>
      </c>
      <c r="E9885" s="5">
        <f t="shared" si="163"/>
        <v>2008</v>
      </c>
      <c r="F9885" s="3" t="s">
        <v>1473</v>
      </c>
      <c r="G9885" s="6">
        <v>1023.8</v>
      </c>
      <c r="H9885" s="5">
        <v>3075</v>
      </c>
    </row>
    <row r="9886" spans="2:8" x14ac:dyDescent="0.4">
      <c r="B9886" s="3" t="s">
        <v>7</v>
      </c>
      <c r="C9886" s="3" t="s">
        <v>1470</v>
      </c>
      <c r="D9886" s="4">
        <f>DATE(2008,11,7)</f>
        <v>39759</v>
      </c>
      <c r="E9886" s="5">
        <f t="shared" si="163"/>
        <v>2008</v>
      </c>
      <c r="F9886" s="3" t="s">
        <v>1473</v>
      </c>
      <c r="G9886" s="6">
        <v>274</v>
      </c>
      <c r="H9886" s="5">
        <v>3147</v>
      </c>
    </row>
    <row r="9887" spans="2:8" x14ac:dyDescent="0.4">
      <c r="B9887" s="3" t="s">
        <v>7</v>
      </c>
      <c r="C9887" s="3" t="s">
        <v>1470</v>
      </c>
      <c r="D9887" s="4">
        <f>DATE(2008,12,4)</f>
        <v>39786</v>
      </c>
      <c r="E9887" s="5">
        <f t="shared" si="163"/>
        <v>2008</v>
      </c>
      <c r="F9887" s="3" t="s">
        <v>1473</v>
      </c>
      <c r="G9887" s="6">
        <v>205.5</v>
      </c>
      <c r="H9887" s="5">
        <v>3169</v>
      </c>
    </row>
    <row r="9888" spans="2:8" x14ac:dyDescent="0.4">
      <c r="B9888" s="3" t="s">
        <v>7</v>
      </c>
      <c r="C9888" s="3" t="s">
        <v>1470</v>
      </c>
      <c r="D9888" s="4">
        <f>DATE(2009,2,20)</f>
        <v>39864</v>
      </c>
      <c r="E9888" s="5">
        <f t="shared" si="163"/>
        <v>2009</v>
      </c>
      <c r="F9888" s="3" t="s">
        <v>1473</v>
      </c>
      <c r="G9888" s="6">
        <v>10960</v>
      </c>
      <c r="H9888" s="5">
        <v>3249</v>
      </c>
    </row>
    <row r="9889" spans="2:8" x14ac:dyDescent="0.4">
      <c r="B9889" s="3" t="s">
        <v>7</v>
      </c>
      <c r="C9889" s="3" t="s">
        <v>1470</v>
      </c>
      <c r="D9889" s="4">
        <f>DATE(2009,3,16)</f>
        <v>39888</v>
      </c>
      <c r="E9889" s="5">
        <f t="shared" si="163"/>
        <v>2009</v>
      </c>
      <c r="F9889" s="3" t="s">
        <v>1473</v>
      </c>
      <c r="G9889" s="6">
        <v>205.5</v>
      </c>
      <c r="H9889" s="5">
        <v>3298</v>
      </c>
    </row>
    <row r="9890" spans="2:8" x14ac:dyDescent="0.4">
      <c r="B9890" s="3" t="s">
        <v>7</v>
      </c>
      <c r="C9890" s="3" t="s">
        <v>1470</v>
      </c>
      <c r="D9890" s="4">
        <f>DATE(2009,3,27)</f>
        <v>39899</v>
      </c>
      <c r="E9890" s="5">
        <f t="shared" si="163"/>
        <v>2009</v>
      </c>
      <c r="F9890" s="3" t="s">
        <v>1473</v>
      </c>
      <c r="G9890" s="6">
        <v>103</v>
      </c>
      <c r="H9890" s="5">
        <v>3321</v>
      </c>
    </row>
    <row r="9891" spans="2:8" x14ac:dyDescent="0.4">
      <c r="B9891" s="3" t="s">
        <v>7</v>
      </c>
      <c r="C9891" s="3" t="s">
        <v>1470</v>
      </c>
      <c r="D9891" s="4">
        <f>DATE(2009,4,13)</f>
        <v>39916</v>
      </c>
      <c r="E9891" s="5">
        <f t="shared" si="163"/>
        <v>2009</v>
      </c>
      <c r="F9891" s="3" t="s">
        <v>1473</v>
      </c>
      <c r="G9891" s="6">
        <v>68.5</v>
      </c>
      <c r="H9891" s="5">
        <v>3376</v>
      </c>
    </row>
    <row r="9892" spans="2:8" x14ac:dyDescent="0.4">
      <c r="B9892" s="3" t="s">
        <v>7</v>
      </c>
      <c r="C9892" s="3" t="s">
        <v>1470</v>
      </c>
      <c r="D9892" s="4">
        <f>DATE(2009,5,19)</f>
        <v>39952</v>
      </c>
      <c r="E9892" s="5">
        <f t="shared" si="163"/>
        <v>2009</v>
      </c>
      <c r="F9892" s="3" t="s">
        <v>1473</v>
      </c>
      <c r="G9892" s="6">
        <v>504</v>
      </c>
      <c r="H9892" s="5">
        <v>3442</v>
      </c>
    </row>
    <row r="9893" spans="2:8" x14ac:dyDescent="0.4">
      <c r="B9893" s="3" t="s">
        <v>7</v>
      </c>
      <c r="C9893" s="3" t="s">
        <v>1470</v>
      </c>
      <c r="D9893" s="4">
        <f>DATE(2009,6,4)</f>
        <v>39968</v>
      </c>
      <c r="E9893" s="5">
        <f t="shared" si="163"/>
        <v>2009</v>
      </c>
      <c r="F9893" s="3" t="s">
        <v>1473</v>
      </c>
      <c r="G9893" s="6">
        <v>479.5</v>
      </c>
      <c r="H9893" s="5">
        <v>3462</v>
      </c>
    </row>
    <row r="9894" spans="2:8" x14ac:dyDescent="0.4">
      <c r="B9894" s="3" t="s">
        <v>7</v>
      </c>
      <c r="C9894" s="3" t="s">
        <v>1470</v>
      </c>
      <c r="D9894" s="4">
        <f>DATE(2009,6,11)</f>
        <v>39975</v>
      </c>
      <c r="E9894" s="5">
        <f t="shared" si="163"/>
        <v>2009</v>
      </c>
      <c r="F9894" s="3" t="s">
        <v>1473</v>
      </c>
      <c r="G9894" s="6">
        <v>274</v>
      </c>
      <c r="H9894" s="5">
        <v>3471</v>
      </c>
    </row>
    <row r="9895" spans="2:8" x14ac:dyDescent="0.4">
      <c r="B9895" s="3" t="s">
        <v>7</v>
      </c>
      <c r="C9895" s="3" t="s">
        <v>1470</v>
      </c>
      <c r="D9895" s="4">
        <f>DATE(2009,7,2)</f>
        <v>39996</v>
      </c>
      <c r="E9895" s="5">
        <f t="shared" si="163"/>
        <v>2009</v>
      </c>
      <c r="F9895" s="3" t="s">
        <v>1473</v>
      </c>
      <c r="G9895" s="6">
        <v>567</v>
      </c>
      <c r="H9895" s="5">
        <v>3492</v>
      </c>
    </row>
    <row r="9896" spans="2:8" x14ac:dyDescent="0.4">
      <c r="B9896" s="3" t="s">
        <v>7</v>
      </c>
      <c r="C9896" s="3" t="s">
        <v>1470</v>
      </c>
      <c r="D9896" s="4">
        <f>DATE(2009,7,16)</f>
        <v>40010</v>
      </c>
      <c r="E9896" s="5">
        <f t="shared" si="163"/>
        <v>2009</v>
      </c>
      <c r="F9896" s="3" t="s">
        <v>1473</v>
      </c>
      <c r="G9896" s="6">
        <v>1134</v>
      </c>
      <c r="H9896" s="5">
        <v>3514</v>
      </c>
    </row>
    <row r="9897" spans="2:8" x14ac:dyDescent="0.4">
      <c r="B9897" s="3" t="s">
        <v>7</v>
      </c>
      <c r="C9897" s="3" t="s">
        <v>1470</v>
      </c>
      <c r="D9897" s="4">
        <f>DATE(2009,8,7)</f>
        <v>40032</v>
      </c>
      <c r="E9897" s="5">
        <f t="shared" si="163"/>
        <v>2009</v>
      </c>
      <c r="F9897" s="3" t="s">
        <v>1473</v>
      </c>
      <c r="G9897" s="6">
        <v>68.5</v>
      </c>
      <c r="H9897" s="5">
        <v>3541</v>
      </c>
    </row>
    <row r="9898" spans="2:8" x14ac:dyDescent="0.4">
      <c r="B9898" s="3" t="s">
        <v>7</v>
      </c>
      <c r="C9898" s="3" t="s">
        <v>1470</v>
      </c>
      <c r="D9898" s="4">
        <f>DATE(2009,8,20)</f>
        <v>40045</v>
      </c>
      <c r="E9898" s="5">
        <f t="shared" si="163"/>
        <v>2009</v>
      </c>
      <c r="F9898" s="3" t="s">
        <v>1473</v>
      </c>
      <c r="G9898" s="6">
        <v>189</v>
      </c>
      <c r="H9898" s="5">
        <v>3545</v>
      </c>
    </row>
    <row r="9899" spans="2:8" x14ac:dyDescent="0.4">
      <c r="B9899" s="3" t="s">
        <v>7</v>
      </c>
      <c r="C9899" s="3" t="s">
        <v>1470</v>
      </c>
      <c r="D9899" s="4">
        <f>DATE(2009,9,3)</f>
        <v>40059</v>
      </c>
      <c r="E9899" s="5">
        <f t="shared" si="163"/>
        <v>2009</v>
      </c>
      <c r="F9899" s="3" t="s">
        <v>1473</v>
      </c>
      <c r="G9899" s="6">
        <v>479.5</v>
      </c>
      <c r="H9899" s="5">
        <v>3559</v>
      </c>
    </row>
    <row r="9900" spans="2:8" x14ac:dyDescent="0.4">
      <c r="B9900" s="3" t="s">
        <v>7</v>
      </c>
      <c r="C9900" s="3" t="s">
        <v>1470</v>
      </c>
      <c r="D9900" s="4">
        <f>DATE(2009,10,15)</f>
        <v>40101</v>
      </c>
      <c r="E9900" s="5">
        <f t="shared" si="163"/>
        <v>2009</v>
      </c>
      <c r="F9900" s="3" t="s">
        <v>1473</v>
      </c>
      <c r="G9900" s="6">
        <v>1096</v>
      </c>
      <c r="H9900" s="5">
        <v>3609</v>
      </c>
    </row>
    <row r="9901" spans="2:8" x14ac:dyDescent="0.4">
      <c r="B9901" s="3" t="s">
        <v>7</v>
      </c>
      <c r="C9901" s="3" t="s">
        <v>1470</v>
      </c>
      <c r="D9901" s="4">
        <f>DATE(2009,12,23)</f>
        <v>40170</v>
      </c>
      <c r="E9901" s="5">
        <f t="shared" si="163"/>
        <v>2009</v>
      </c>
      <c r="F9901" s="3" t="s">
        <v>1473</v>
      </c>
      <c r="G9901" s="6">
        <v>3014</v>
      </c>
      <c r="H9901" s="5">
        <v>3697</v>
      </c>
    </row>
    <row r="9902" spans="2:8" x14ac:dyDescent="0.4">
      <c r="B9902" s="3" t="s">
        <v>7</v>
      </c>
      <c r="C9902" s="3" t="s">
        <v>1470</v>
      </c>
      <c r="D9902" s="4">
        <f>DATE(2010,1,6)</f>
        <v>40184</v>
      </c>
      <c r="E9902" s="5">
        <f t="shared" si="163"/>
        <v>2010</v>
      </c>
      <c r="F9902" s="3" t="s">
        <v>1473</v>
      </c>
      <c r="G9902" s="6">
        <v>347.46</v>
      </c>
      <c r="H9902" s="5">
        <v>3720</v>
      </c>
    </row>
    <row r="9903" spans="2:8" x14ac:dyDescent="0.4">
      <c r="B9903" s="3" t="s">
        <v>7</v>
      </c>
      <c r="C9903" s="3" t="s">
        <v>1470</v>
      </c>
      <c r="D9903" s="4">
        <f>DATE(2010,1,31)</f>
        <v>40209</v>
      </c>
      <c r="E9903" s="5">
        <f t="shared" si="163"/>
        <v>2010</v>
      </c>
      <c r="F9903" s="3" t="s">
        <v>1473</v>
      </c>
      <c r="G9903" s="6">
        <v>894.1</v>
      </c>
      <c r="H9903" s="5">
        <v>3739</v>
      </c>
    </row>
    <row r="9904" spans="2:8" x14ac:dyDescent="0.4">
      <c r="B9904" s="3" t="s">
        <v>7</v>
      </c>
      <c r="C9904" s="3" t="s">
        <v>1470</v>
      </c>
      <c r="D9904" s="4">
        <f>DATE(2010,2,22)</f>
        <v>40231</v>
      </c>
      <c r="E9904" s="5">
        <f t="shared" si="163"/>
        <v>2010</v>
      </c>
      <c r="F9904" s="3" t="s">
        <v>1473</v>
      </c>
      <c r="G9904" s="6">
        <v>378</v>
      </c>
      <c r="H9904" s="5">
        <v>3776</v>
      </c>
    </row>
    <row r="9905" spans="2:8" x14ac:dyDescent="0.4">
      <c r="B9905" s="3" t="s">
        <v>7</v>
      </c>
      <c r="C9905" s="3" t="s">
        <v>1470</v>
      </c>
      <c r="D9905" s="4">
        <f>DATE(2010,3,25)</f>
        <v>40262</v>
      </c>
      <c r="E9905" s="5">
        <f t="shared" si="163"/>
        <v>2010</v>
      </c>
      <c r="F9905" s="3" t="s">
        <v>1473</v>
      </c>
      <c r="G9905" s="6">
        <v>548</v>
      </c>
      <c r="H9905" s="5">
        <v>3855</v>
      </c>
    </row>
    <row r="9906" spans="2:8" x14ac:dyDescent="0.4">
      <c r="B9906" s="3" t="s">
        <v>7</v>
      </c>
      <c r="C9906" s="3" t="s">
        <v>1470</v>
      </c>
      <c r="D9906" s="4">
        <f>DATE(2010,3,25)</f>
        <v>40262</v>
      </c>
      <c r="E9906" s="5">
        <f t="shared" si="163"/>
        <v>2010</v>
      </c>
      <c r="F9906" s="3" t="s">
        <v>1473</v>
      </c>
      <c r="G9906" s="6">
        <v>378</v>
      </c>
      <c r="H9906" s="5">
        <v>3846</v>
      </c>
    </row>
    <row r="9907" spans="2:8" x14ac:dyDescent="0.4">
      <c r="B9907" s="3" t="s">
        <v>7</v>
      </c>
      <c r="C9907" s="3" t="s">
        <v>1470</v>
      </c>
      <c r="D9907" s="4">
        <f>DATE(2010,4,1)</f>
        <v>40269</v>
      </c>
      <c r="E9907" s="5">
        <f t="shared" si="163"/>
        <v>2010</v>
      </c>
      <c r="F9907" s="3" t="s">
        <v>1473</v>
      </c>
      <c r="G9907" s="6">
        <v>1438.5</v>
      </c>
      <c r="H9907" s="5">
        <v>3871</v>
      </c>
    </row>
    <row r="9908" spans="2:8" x14ac:dyDescent="0.4">
      <c r="B9908" s="3" t="s">
        <v>7</v>
      </c>
      <c r="C9908" s="3" t="s">
        <v>1470</v>
      </c>
      <c r="D9908" s="4">
        <f>DATE(2010,4,1)</f>
        <v>40269</v>
      </c>
      <c r="E9908" s="5">
        <f t="shared" si="163"/>
        <v>2010</v>
      </c>
      <c r="F9908" s="3" t="s">
        <v>1473</v>
      </c>
      <c r="G9908" s="6">
        <v>205.5</v>
      </c>
      <c r="H9908" s="5">
        <v>3884</v>
      </c>
    </row>
    <row r="9909" spans="2:8" x14ac:dyDescent="0.4">
      <c r="B9909" s="3" t="s">
        <v>7</v>
      </c>
      <c r="C9909" s="3" t="s">
        <v>1470</v>
      </c>
      <c r="D9909" s="4">
        <f>DATE(2010,4,1)</f>
        <v>40269</v>
      </c>
      <c r="E9909" s="5">
        <f t="shared" si="163"/>
        <v>2010</v>
      </c>
      <c r="F9909" s="3" t="s">
        <v>1473</v>
      </c>
      <c r="G9909" s="6">
        <v>1370</v>
      </c>
      <c r="H9909" s="5">
        <v>3874</v>
      </c>
    </row>
    <row r="9910" spans="2:8" x14ac:dyDescent="0.4">
      <c r="B9910" s="3" t="s">
        <v>7</v>
      </c>
      <c r="C9910" s="3" t="s">
        <v>1470</v>
      </c>
      <c r="D9910" s="4">
        <f>DATE(2010,4,8)</f>
        <v>40276</v>
      </c>
      <c r="E9910" s="5">
        <f t="shared" si="163"/>
        <v>2010</v>
      </c>
      <c r="F9910" s="3" t="s">
        <v>1473</v>
      </c>
      <c r="G9910" s="6">
        <v>855</v>
      </c>
      <c r="H9910" s="5">
        <v>3891</v>
      </c>
    </row>
    <row r="9911" spans="2:8" x14ac:dyDescent="0.4">
      <c r="B9911" s="3" t="s">
        <v>7</v>
      </c>
      <c r="C9911" s="3" t="s">
        <v>1470</v>
      </c>
      <c r="D9911" s="4">
        <f>DATE(2010,4,16)</f>
        <v>40284</v>
      </c>
      <c r="E9911" s="5">
        <f t="shared" si="163"/>
        <v>2010</v>
      </c>
      <c r="F9911" s="3" t="s">
        <v>1473</v>
      </c>
      <c r="G9911" s="6">
        <v>2397.5</v>
      </c>
      <c r="H9911" s="5">
        <v>3894</v>
      </c>
    </row>
    <row r="9912" spans="2:8" x14ac:dyDescent="0.4">
      <c r="B9912" s="3" t="s">
        <v>7</v>
      </c>
      <c r="C9912" s="3" t="s">
        <v>1470</v>
      </c>
      <c r="D9912" s="4">
        <f>DATE(2010,5,27)</f>
        <v>40325</v>
      </c>
      <c r="E9912" s="5">
        <f t="shared" si="163"/>
        <v>2010</v>
      </c>
      <c r="F9912" s="3" t="s">
        <v>1473</v>
      </c>
      <c r="G9912" s="6">
        <v>479.5</v>
      </c>
      <c r="H9912" s="5">
        <v>3945</v>
      </c>
    </row>
    <row r="9913" spans="2:8" x14ac:dyDescent="0.4">
      <c r="B9913" s="3" t="s">
        <v>7</v>
      </c>
      <c r="C9913" s="3" t="s">
        <v>1470</v>
      </c>
      <c r="D9913" s="4">
        <f>DATE(2010,5,27)</f>
        <v>40325</v>
      </c>
      <c r="E9913" s="5">
        <f t="shared" si="163"/>
        <v>2010</v>
      </c>
      <c r="F9913" s="3" t="s">
        <v>1473</v>
      </c>
      <c r="G9913" s="6">
        <v>1096</v>
      </c>
      <c r="H9913" s="5">
        <v>3947</v>
      </c>
    </row>
    <row r="9914" spans="2:8" x14ac:dyDescent="0.4">
      <c r="B9914" s="3" t="s">
        <v>7</v>
      </c>
      <c r="C9914" s="3" t="s">
        <v>1470</v>
      </c>
      <c r="D9914" s="4">
        <f>DATE(2010,6,10)</f>
        <v>40339</v>
      </c>
      <c r="E9914" s="5">
        <f t="shared" si="163"/>
        <v>2010</v>
      </c>
      <c r="F9914" s="3" t="s">
        <v>1473</v>
      </c>
      <c r="G9914" s="6">
        <v>205.5</v>
      </c>
      <c r="H9914" s="5">
        <v>3980</v>
      </c>
    </row>
    <row r="9915" spans="2:8" x14ac:dyDescent="0.4">
      <c r="B9915" s="3" t="s">
        <v>7</v>
      </c>
      <c r="C9915" s="3" t="s">
        <v>1470</v>
      </c>
      <c r="D9915" s="4">
        <f>DATE(2010,6,29)</f>
        <v>40358</v>
      </c>
      <c r="E9915" s="5">
        <f t="shared" si="163"/>
        <v>2010</v>
      </c>
      <c r="F9915" s="3" t="s">
        <v>1473</v>
      </c>
      <c r="G9915" s="6">
        <v>1134</v>
      </c>
      <c r="H9915" s="5">
        <v>4005</v>
      </c>
    </row>
    <row r="9916" spans="2:8" x14ac:dyDescent="0.4">
      <c r="B9916" s="3" t="s">
        <v>7</v>
      </c>
      <c r="C9916" s="3" t="s">
        <v>1470</v>
      </c>
      <c r="D9916" s="4">
        <f>DATE(2010,6,30)</f>
        <v>40359</v>
      </c>
      <c r="E9916" s="5">
        <f t="shared" si="163"/>
        <v>2010</v>
      </c>
      <c r="F9916" s="3" t="s">
        <v>1473</v>
      </c>
      <c r="G9916" s="6">
        <v>1205.7</v>
      </c>
      <c r="H9916" s="5">
        <v>3997</v>
      </c>
    </row>
    <row r="9917" spans="2:8" x14ac:dyDescent="0.4">
      <c r="B9917" s="3" t="s">
        <v>7</v>
      </c>
      <c r="C9917" s="3" t="s">
        <v>1470</v>
      </c>
      <c r="D9917" s="4">
        <f>DATE(2010,7,20)</f>
        <v>40379</v>
      </c>
      <c r="E9917" s="5">
        <f t="shared" si="163"/>
        <v>2010</v>
      </c>
      <c r="F9917" s="3" t="s">
        <v>1473</v>
      </c>
      <c r="G9917" s="6">
        <v>205.5</v>
      </c>
      <c r="H9917" s="5">
        <v>4022</v>
      </c>
    </row>
    <row r="9918" spans="2:8" x14ac:dyDescent="0.4">
      <c r="B9918" s="3" t="s">
        <v>7</v>
      </c>
      <c r="C9918" s="3" t="s">
        <v>1470</v>
      </c>
      <c r="D9918" s="4">
        <f>DATE(2010,7,20)</f>
        <v>40379</v>
      </c>
      <c r="E9918" s="5">
        <f t="shared" si="163"/>
        <v>2010</v>
      </c>
      <c r="F9918" s="3" t="s">
        <v>1473</v>
      </c>
      <c r="G9918" s="6">
        <v>189</v>
      </c>
      <c r="H9918" s="5">
        <v>4016</v>
      </c>
    </row>
    <row r="9919" spans="2:8" x14ac:dyDescent="0.4">
      <c r="B9919" s="3" t="s">
        <v>7</v>
      </c>
      <c r="C9919" s="3" t="s">
        <v>1470</v>
      </c>
      <c r="D9919" s="4">
        <f>DATE(2010,7,29)</f>
        <v>40388</v>
      </c>
      <c r="E9919" s="5">
        <f t="shared" si="163"/>
        <v>2010</v>
      </c>
      <c r="F9919" s="3" t="s">
        <v>1473</v>
      </c>
      <c r="G9919" s="6">
        <v>68.5</v>
      </c>
      <c r="H9919" s="5">
        <v>4037</v>
      </c>
    </row>
    <row r="9920" spans="2:8" x14ac:dyDescent="0.4">
      <c r="B9920" s="3" t="s">
        <v>7</v>
      </c>
      <c r="C9920" s="3" t="s">
        <v>1470</v>
      </c>
      <c r="D9920" s="4">
        <f>DATE(2010,7,29)</f>
        <v>40388</v>
      </c>
      <c r="E9920" s="5">
        <f t="shared" si="163"/>
        <v>2010</v>
      </c>
      <c r="F9920" s="3" t="s">
        <v>1473</v>
      </c>
      <c r="G9920" s="6">
        <v>157.6</v>
      </c>
      <c r="H9920" s="5">
        <v>4041</v>
      </c>
    </row>
    <row r="9921" spans="2:8" x14ac:dyDescent="0.4">
      <c r="B9921" s="3" t="s">
        <v>7</v>
      </c>
      <c r="C9921" s="3" t="s">
        <v>1470</v>
      </c>
      <c r="D9921" s="4">
        <f>DATE(2010,8,26)</f>
        <v>40416</v>
      </c>
      <c r="E9921" s="5">
        <f t="shared" si="163"/>
        <v>2010</v>
      </c>
      <c r="F9921" s="3" t="s">
        <v>1473</v>
      </c>
      <c r="G9921" s="6">
        <v>2877</v>
      </c>
      <c r="H9921" s="5">
        <v>4051</v>
      </c>
    </row>
    <row r="9922" spans="2:8" x14ac:dyDescent="0.4">
      <c r="B9922" s="3" t="s">
        <v>7</v>
      </c>
      <c r="C9922" s="3" t="s">
        <v>1470</v>
      </c>
      <c r="D9922" s="4">
        <f>DATE(2010,9,22)</f>
        <v>40443</v>
      </c>
      <c r="E9922" s="5">
        <f t="shared" si="163"/>
        <v>2010</v>
      </c>
      <c r="F9922" s="3" t="s">
        <v>1473</v>
      </c>
      <c r="G9922" s="6">
        <v>2674</v>
      </c>
      <c r="H9922" s="5">
        <v>4112</v>
      </c>
    </row>
    <row r="9923" spans="2:8" x14ac:dyDescent="0.4">
      <c r="B9923" s="3" t="s">
        <v>7</v>
      </c>
      <c r="C9923" s="3" t="s">
        <v>1470</v>
      </c>
      <c r="D9923" s="4">
        <f>DATE(2010,9,23)</f>
        <v>40444</v>
      </c>
      <c r="E9923" s="5">
        <f t="shared" ref="E9923:E9986" si="164">YEAR(D9923)</f>
        <v>2010</v>
      </c>
      <c r="F9923" s="3" t="s">
        <v>1473</v>
      </c>
      <c r="G9923" s="6">
        <v>1438.5</v>
      </c>
      <c r="H9923" s="5">
        <v>4123</v>
      </c>
    </row>
    <row r="9924" spans="2:8" x14ac:dyDescent="0.4">
      <c r="B9924" s="3" t="s">
        <v>7</v>
      </c>
      <c r="C9924" s="3" t="s">
        <v>1470</v>
      </c>
      <c r="D9924" s="4">
        <f>DATE(2010,10,6)</f>
        <v>40457</v>
      </c>
      <c r="E9924" s="5">
        <f t="shared" si="164"/>
        <v>2010</v>
      </c>
      <c r="F9924" s="3" t="s">
        <v>1473</v>
      </c>
      <c r="G9924" s="6">
        <v>685</v>
      </c>
      <c r="H9924" s="5">
        <v>4127</v>
      </c>
    </row>
    <row r="9925" spans="2:8" x14ac:dyDescent="0.4">
      <c r="B9925" s="3" t="s">
        <v>7</v>
      </c>
      <c r="C9925" s="3" t="s">
        <v>1470</v>
      </c>
      <c r="D9925" s="4">
        <f>DATE(2010,10,29)</f>
        <v>40480</v>
      </c>
      <c r="E9925" s="5">
        <f t="shared" si="164"/>
        <v>2010</v>
      </c>
      <c r="F9925" s="3" t="s">
        <v>1473</v>
      </c>
      <c r="G9925" s="6">
        <v>6028</v>
      </c>
      <c r="H9925" s="5">
        <v>4170</v>
      </c>
    </row>
    <row r="9926" spans="2:8" x14ac:dyDescent="0.4">
      <c r="B9926" s="3" t="s">
        <v>7</v>
      </c>
      <c r="C9926" s="3" t="s">
        <v>1470</v>
      </c>
      <c r="D9926" s="4">
        <f>DATE(2010,10,29)</f>
        <v>40480</v>
      </c>
      <c r="E9926" s="5">
        <f t="shared" si="164"/>
        <v>2010</v>
      </c>
      <c r="F9926" s="3" t="s">
        <v>1473</v>
      </c>
      <c r="G9926" s="6">
        <v>5434.4</v>
      </c>
      <c r="H9926" s="5">
        <v>4104</v>
      </c>
    </row>
    <row r="9927" spans="2:8" x14ac:dyDescent="0.4">
      <c r="B9927" s="3" t="s">
        <v>7</v>
      </c>
      <c r="C9927" s="3" t="s">
        <v>1470</v>
      </c>
      <c r="D9927" s="4">
        <f>DATE(2010,11,10)</f>
        <v>40492</v>
      </c>
      <c r="E9927" s="5">
        <f t="shared" si="164"/>
        <v>2010</v>
      </c>
      <c r="F9927" s="3" t="s">
        <v>1473</v>
      </c>
      <c r="G9927" s="6">
        <v>788</v>
      </c>
      <c r="H9927" s="5">
        <v>4178</v>
      </c>
    </row>
    <row r="9928" spans="2:8" x14ac:dyDescent="0.4">
      <c r="B9928" s="3" t="s">
        <v>7</v>
      </c>
      <c r="C9928" s="3" t="s">
        <v>1470</v>
      </c>
      <c r="D9928" s="4">
        <f>DATE(2010,11,17)</f>
        <v>40499</v>
      </c>
      <c r="E9928" s="5">
        <f t="shared" si="164"/>
        <v>2010</v>
      </c>
      <c r="F9928" s="3" t="s">
        <v>1473</v>
      </c>
      <c r="G9928" s="6">
        <v>3853.5</v>
      </c>
      <c r="H9928" s="5">
        <v>4188</v>
      </c>
    </row>
    <row r="9929" spans="2:8" x14ac:dyDescent="0.4">
      <c r="B9929" s="3" t="s">
        <v>7</v>
      </c>
      <c r="C9929" s="3" t="s">
        <v>1470</v>
      </c>
      <c r="D9929" s="4">
        <f>DATE(2010,11,19)</f>
        <v>40501</v>
      </c>
      <c r="E9929" s="5">
        <f t="shared" si="164"/>
        <v>2010</v>
      </c>
      <c r="F9929" s="3" t="s">
        <v>1473</v>
      </c>
      <c r="G9929" s="6">
        <v>285.5</v>
      </c>
      <c r="H9929" s="5">
        <v>4213</v>
      </c>
    </row>
    <row r="9930" spans="2:8" x14ac:dyDescent="0.4">
      <c r="B9930" s="3" t="s">
        <v>7</v>
      </c>
      <c r="C9930" s="3" t="s">
        <v>1470</v>
      </c>
      <c r="D9930" s="4">
        <f>DATE(2010,11,29)</f>
        <v>40511</v>
      </c>
      <c r="E9930" s="5">
        <f t="shared" si="164"/>
        <v>2010</v>
      </c>
      <c r="F9930" s="3" t="s">
        <v>1473</v>
      </c>
      <c r="G9930" s="6">
        <v>78.8</v>
      </c>
      <c r="H9930" s="5">
        <v>4208</v>
      </c>
    </row>
    <row r="9931" spans="2:8" x14ac:dyDescent="0.4">
      <c r="B9931" s="3" t="s">
        <v>7</v>
      </c>
      <c r="C9931" s="3" t="s">
        <v>1470</v>
      </c>
      <c r="D9931" s="4">
        <f>DATE(2010,11,29)</f>
        <v>40511</v>
      </c>
      <c r="E9931" s="5">
        <f t="shared" si="164"/>
        <v>2010</v>
      </c>
      <c r="F9931" s="3" t="s">
        <v>1473</v>
      </c>
      <c r="G9931" s="6">
        <v>479.5</v>
      </c>
      <c r="H9931" s="5">
        <v>4217</v>
      </c>
    </row>
    <row r="9932" spans="2:8" x14ac:dyDescent="0.4">
      <c r="B9932" s="3" t="s">
        <v>7</v>
      </c>
      <c r="C9932" s="3" t="s">
        <v>1470</v>
      </c>
      <c r="D9932" s="4">
        <f>DATE(2010,12,6)</f>
        <v>40518</v>
      </c>
      <c r="E9932" s="5">
        <f t="shared" si="164"/>
        <v>2010</v>
      </c>
      <c r="F9932" s="3" t="s">
        <v>1473</v>
      </c>
      <c r="G9932" s="6">
        <v>78.8</v>
      </c>
      <c r="H9932" s="5">
        <v>4240</v>
      </c>
    </row>
    <row r="9933" spans="2:8" x14ac:dyDescent="0.4">
      <c r="B9933" s="3" t="s">
        <v>7</v>
      </c>
      <c r="C9933" s="3" t="s">
        <v>1470</v>
      </c>
      <c r="D9933" s="4">
        <f>DATE(2010,12,6)</f>
        <v>40518</v>
      </c>
      <c r="E9933" s="5">
        <f t="shared" si="164"/>
        <v>2010</v>
      </c>
      <c r="F9933" s="3" t="s">
        <v>1473</v>
      </c>
      <c r="G9933" s="6">
        <v>822</v>
      </c>
      <c r="H9933" s="5">
        <v>4215</v>
      </c>
    </row>
    <row r="9934" spans="2:8" x14ac:dyDescent="0.4">
      <c r="B9934" s="3" t="s">
        <v>7</v>
      </c>
      <c r="C9934" s="3" t="s">
        <v>1470</v>
      </c>
      <c r="D9934" s="4">
        <f>DATE(2010,12,13)</f>
        <v>40525</v>
      </c>
      <c r="E9934" s="5">
        <f t="shared" si="164"/>
        <v>2010</v>
      </c>
      <c r="F9934" s="3" t="s">
        <v>1473</v>
      </c>
      <c r="G9934" s="6">
        <v>942</v>
      </c>
      <c r="H9934" s="5">
        <v>4212</v>
      </c>
    </row>
    <row r="9935" spans="2:8" x14ac:dyDescent="0.4">
      <c r="B9935" s="3" t="s">
        <v>7</v>
      </c>
      <c r="C9935" s="3" t="s">
        <v>1470</v>
      </c>
      <c r="D9935" s="4">
        <f>DATE(2010,12,13)</f>
        <v>40525</v>
      </c>
      <c r="E9935" s="5">
        <f t="shared" si="164"/>
        <v>2010</v>
      </c>
      <c r="F9935" s="3" t="s">
        <v>1473</v>
      </c>
      <c r="G9935" s="6">
        <v>1844.5</v>
      </c>
      <c r="H9935" s="5">
        <v>4233</v>
      </c>
    </row>
    <row r="9936" spans="2:8" x14ac:dyDescent="0.4">
      <c r="B9936" s="3" t="s">
        <v>7</v>
      </c>
      <c r="C9936" s="3" t="s">
        <v>1470</v>
      </c>
      <c r="D9936" s="4">
        <f>DATE(2011,2,15)</f>
        <v>40589</v>
      </c>
      <c r="E9936" s="5">
        <f t="shared" si="164"/>
        <v>2011</v>
      </c>
      <c r="F9936" s="3" t="s">
        <v>1473</v>
      </c>
      <c r="G9936" s="6">
        <v>551.6</v>
      </c>
      <c r="H9936" s="5">
        <v>4311</v>
      </c>
    </row>
    <row r="9937" spans="2:8" x14ac:dyDescent="0.4">
      <c r="B9937" s="3" t="s">
        <v>7</v>
      </c>
      <c r="C9937" s="3" t="s">
        <v>1470</v>
      </c>
      <c r="D9937" s="4">
        <f>DATE(2011,3,3)</f>
        <v>40605</v>
      </c>
      <c r="E9937" s="5">
        <f t="shared" si="164"/>
        <v>2011</v>
      </c>
      <c r="F9937" s="3" t="s">
        <v>1473</v>
      </c>
      <c r="G9937" s="6">
        <v>472.8</v>
      </c>
      <c r="H9937" s="5">
        <v>4326</v>
      </c>
    </row>
    <row r="9938" spans="2:8" x14ac:dyDescent="0.4">
      <c r="B9938" s="3" t="s">
        <v>7</v>
      </c>
      <c r="C9938" s="3" t="s">
        <v>1470</v>
      </c>
      <c r="D9938" s="4">
        <f>DATE(2011,2,23)</f>
        <v>40597</v>
      </c>
      <c r="E9938" s="5">
        <f t="shared" si="164"/>
        <v>2011</v>
      </c>
      <c r="F9938" s="3" t="s">
        <v>1473</v>
      </c>
      <c r="G9938" s="6">
        <v>822</v>
      </c>
      <c r="H9938" s="5">
        <v>4316</v>
      </c>
    </row>
    <row r="9939" spans="2:8" x14ac:dyDescent="0.4">
      <c r="B9939" s="3" t="s">
        <v>7</v>
      </c>
      <c r="C9939" s="3" t="s">
        <v>1470</v>
      </c>
      <c r="D9939" s="4">
        <f>DATE(2011,3,24)</f>
        <v>40626</v>
      </c>
      <c r="E9939" s="5">
        <f t="shared" si="164"/>
        <v>2011</v>
      </c>
      <c r="F9939" s="3" t="s">
        <v>1473</v>
      </c>
      <c r="G9939" s="6">
        <v>525</v>
      </c>
      <c r="H9939" s="5">
        <v>4366</v>
      </c>
    </row>
    <row r="9940" spans="2:8" x14ac:dyDescent="0.4">
      <c r="B9940" s="3" t="s">
        <v>7</v>
      </c>
      <c r="C9940" s="3" t="s">
        <v>1470</v>
      </c>
      <c r="D9940" s="4">
        <f>DATE(2011,4,1)</f>
        <v>40634</v>
      </c>
      <c r="E9940" s="5">
        <f t="shared" si="164"/>
        <v>2011</v>
      </c>
      <c r="F9940" s="3" t="s">
        <v>1473</v>
      </c>
      <c r="G9940" s="6">
        <v>2466</v>
      </c>
      <c r="H9940" s="5">
        <v>4369</v>
      </c>
    </row>
    <row r="9941" spans="2:8" x14ac:dyDescent="0.4">
      <c r="B9941" s="3" t="s">
        <v>7</v>
      </c>
      <c r="C9941" s="3" t="s">
        <v>1470</v>
      </c>
      <c r="D9941" s="4">
        <f>DATE(2011,4,19)</f>
        <v>40652</v>
      </c>
      <c r="E9941" s="5">
        <f t="shared" si="164"/>
        <v>2011</v>
      </c>
      <c r="F9941" s="3" t="s">
        <v>1473</v>
      </c>
      <c r="G9941" s="6">
        <v>1644</v>
      </c>
      <c r="H9941" s="5">
        <v>4393</v>
      </c>
    </row>
    <row r="9942" spans="2:8" x14ac:dyDescent="0.4">
      <c r="B9942" s="3" t="s">
        <v>7</v>
      </c>
      <c r="C9942" s="3" t="s">
        <v>1470</v>
      </c>
      <c r="D9942" s="4">
        <f>DATE(2011,4,19)</f>
        <v>40652</v>
      </c>
      <c r="E9942" s="5">
        <f t="shared" si="164"/>
        <v>2011</v>
      </c>
      <c r="F9942" s="3" t="s">
        <v>1473</v>
      </c>
      <c r="G9942" s="6">
        <v>548</v>
      </c>
      <c r="H9942" s="5">
        <v>4376</v>
      </c>
    </row>
    <row r="9943" spans="2:8" x14ac:dyDescent="0.4">
      <c r="B9943" s="3" t="s">
        <v>7</v>
      </c>
      <c r="C9943" s="3" t="s">
        <v>1470</v>
      </c>
      <c r="D9943" s="4">
        <f>DATE(2011,4,19)</f>
        <v>40652</v>
      </c>
      <c r="E9943" s="5">
        <f t="shared" si="164"/>
        <v>2011</v>
      </c>
      <c r="F9943" s="3" t="s">
        <v>1473</v>
      </c>
      <c r="G9943" s="6">
        <v>3836</v>
      </c>
      <c r="H9943" s="5">
        <v>4382</v>
      </c>
    </row>
    <row r="9944" spans="2:8" x14ac:dyDescent="0.4">
      <c r="B9944" s="3" t="s">
        <v>7</v>
      </c>
      <c r="C9944" s="3" t="s">
        <v>1470</v>
      </c>
      <c r="D9944" s="4">
        <f>DATE(2011,6,8)</f>
        <v>40702</v>
      </c>
      <c r="E9944" s="5">
        <f t="shared" si="164"/>
        <v>2011</v>
      </c>
      <c r="F9944" s="3" t="s">
        <v>1473</v>
      </c>
      <c r="G9944" s="6">
        <v>945.6</v>
      </c>
      <c r="H9944" s="5">
        <v>4444</v>
      </c>
    </row>
    <row r="9945" spans="2:8" x14ac:dyDescent="0.4">
      <c r="B9945" s="3" t="s">
        <v>7</v>
      </c>
      <c r="C9945" s="3" t="s">
        <v>1470</v>
      </c>
      <c r="D9945" s="4">
        <f>DATE(2011,6,8)</f>
        <v>40702</v>
      </c>
      <c r="E9945" s="5">
        <f t="shared" si="164"/>
        <v>2011</v>
      </c>
      <c r="F9945" s="3" t="s">
        <v>1473</v>
      </c>
      <c r="G9945" s="6">
        <v>342.5</v>
      </c>
      <c r="H9945" s="5">
        <v>4484</v>
      </c>
    </row>
    <row r="9946" spans="2:8" x14ac:dyDescent="0.4">
      <c r="B9946" s="3" t="s">
        <v>7</v>
      </c>
      <c r="C9946" s="3" t="s">
        <v>1470</v>
      </c>
      <c r="D9946" s="4">
        <f>DATE(2011,6,8)</f>
        <v>40702</v>
      </c>
      <c r="E9946" s="5">
        <f t="shared" si="164"/>
        <v>2011</v>
      </c>
      <c r="F9946" s="3" t="s">
        <v>1473</v>
      </c>
      <c r="G9946" s="6">
        <v>1568</v>
      </c>
      <c r="H9946" s="5">
        <v>4448</v>
      </c>
    </row>
    <row r="9947" spans="2:8" x14ac:dyDescent="0.4">
      <c r="B9947" s="3" t="s">
        <v>7</v>
      </c>
      <c r="C9947" s="3" t="s">
        <v>1470</v>
      </c>
      <c r="D9947" s="4">
        <f>DATE(2011,7,21)</f>
        <v>40745</v>
      </c>
      <c r="E9947" s="5">
        <f t="shared" si="164"/>
        <v>2011</v>
      </c>
      <c r="F9947" s="3" t="s">
        <v>1473</v>
      </c>
      <c r="G9947" s="6">
        <v>548</v>
      </c>
      <c r="H9947" s="5">
        <v>4512</v>
      </c>
    </row>
    <row r="9948" spans="2:8" x14ac:dyDescent="0.4">
      <c r="B9948" s="3" t="s">
        <v>7</v>
      </c>
      <c r="C9948" s="3" t="s">
        <v>1470</v>
      </c>
      <c r="D9948" s="4">
        <f>DATE(2011,8,24)</f>
        <v>40779</v>
      </c>
      <c r="E9948" s="5">
        <f t="shared" si="164"/>
        <v>2011</v>
      </c>
      <c r="F9948" s="3" t="s">
        <v>1473</v>
      </c>
      <c r="G9948" s="6">
        <v>378</v>
      </c>
      <c r="H9948" s="5">
        <v>4598</v>
      </c>
    </row>
    <row r="9949" spans="2:8" x14ac:dyDescent="0.4">
      <c r="B9949" s="3" t="s">
        <v>7</v>
      </c>
      <c r="C9949" s="3" t="s">
        <v>1470</v>
      </c>
      <c r="D9949" s="4">
        <f>DATE(2011,10,19)</f>
        <v>40835</v>
      </c>
      <c r="E9949" s="5">
        <f t="shared" si="164"/>
        <v>2011</v>
      </c>
      <c r="F9949" s="3" t="s">
        <v>1473</v>
      </c>
      <c r="G9949" s="6">
        <v>197.9</v>
      </c>
      <c r="H9949" s="5">
        <v>4664</v>
      </c>
    </row>
    <row r="9950" spans="2:8" x14ac:dyDescent="0.4">
      <c r="B9950" s="3" t="s">
        <v>7</v>
      </c>
      <c r="C9950" s="3" t="s">
        <v>1470</v>
      </c>
      <c r="D9950" s="4">
        <f>DATE(2011,10,28)</f>
        <v>40844</v>
      </c>
      <c r="E9950" s="5">
        <f t="shared" si="164"/>
        <v>2011</v>
      </c>
      <c r="F9950" s="3" t="s">
        <v>1473</v>
      </c>
      <c r="G9950" s="6">
        <v>378</v>
      </c>
      <c r="H9950" s="5">
        <v>4680</v>
      </c>
    </row>
    <row r="9951" spans="2:8" x14ac:dyDescent="0.4">
      <c r="B9951" s="3" t="s">
        <v>7</v>
      </c>
      <c r="C9951" s="3" t="s">
        <v>1470</v>
      </c>
      <c r="D9951" s="4">
        <f>DATE(2011,10,28)</f>
        <v>40844</v>
      </c>
      <c r="E9951" s="5">
        <f t="shared" si="164"/>
        <v>2011</v>
      </c>
      <c r="F9951" s="3" t="s">
        <v>1473</v>
      </c>
      <c r="G9951" s="6">
        <v>378</v>
      </c>
      <c r="H9951" s="5">
        <v>4686</v>
      </c>
    </row>
    <row r="9952" spans="2:8" x14ac:dyDescent="0.4">
      <c r="B9952" s="3" t="s">
        <v>7</v>
      </c>
      <c r="C9952" s="3" t="s">
        <v>1470</v>
      </c>
      <c r="D9952" s="4">
        <f>DATE(2012,1,5)</f>
        <v>40913</v>
      </c>
      <c r="E9952" s="5">
        <f t="shared" si="164"/>
        <v>2012</v>
      </c>
      <c r="F9952" s="3" t="s">
        <v>1473</v>
      </c>
      <c r="G9952" s="6">
        <v>236.4</v>
      </c>
      <c r="H9952" s="5">
        <v>4763</v>
      </c>
    </row>
    <row r="9953" spans="2:8" x14ac:dyDescent="0.4">
      <c r="B9953" s="3" t="s">
        <v>7</v>
      </c>
      <c r="C9953" s="3" t="s">
        <v>1470</v>
      </c>
      <c r="D9953" s="4">
        <f>DATE(2012,1,30)</f>
        <v>40938</v>
      </c>
      <c r="E9953" s="5">
        <f t="shared" si="164"/>
        <v>2012</v>
      </c>
      <c r="F9953" s="3" t="s">
        <v>1473</v>
      </c>
      <c r="G9953" s="6">
        <v>1504.21</v>
      </c>
      <c r="H9953" s="5">
        <v>4780</v>
      </c>
    </row>
    <row r="9954" spans="2:8" x14ac:dyDescent="0.4">
      <c r="B9954" s="3" t="s">
        <v>7</v>
      </c>
      <c r="C9954" s="3" t="s">
        <v>1470</v>
      </c>
      <c r="D9954" s="4">
        <f>DATE(2012,6,22)</f>
        <v>41082</v>
      </c>
      <c r="E9954" s="5">
        <f t="shared" si="164"/>
        <v>2012</v>
      </c>
      <c r="F9954" s="3" t="s">
        <v>1473</v>
      </c>
      <c r="G9954" s="6">
        <v>4224</v>
      </c>
      <c r="H9954" s="5">
        <v>5113</v>
      </c>
    </row>
    <row r="9955" spans="2:8" x14ac:dyDescent="0.4">
      <c r="B9955" s="3" t="s">
        <v>7</v>
      </c>
      <c r="C9955" s="3" t="s">
        <v>1470</v>
      </c>
      <c r="D9955" s="4">
        <f>DATE(2012,8,10)</f>
        <v>41131</v>
      </c>
      <c r="E9955" s="5">
        <f t="shared" si="164"/>
        <v>2012</v>
      </c>
      <c r="F9955" s="3" t="s">
        <v>1473</v>
      </c>
      <c r="G9955" s="6">
        <v>479.5</v>
      </c>
      <c r="H9955" s="5">
        <v>5168</v>
      </c>
    </row>
    <row r="9956" spans="2:8" x14ac:dyDescent="0.4">
      <c r="B9956" s="3" t="s">
        <v>7</v>
      </c>
      <c r="C9956" s="3" t="s">
        <v>1470</v>
      </c>
      <c r="D9956" s="4">
        <f>DATE(2012,9,14)</f>
        <v>41166</v>
      </c>
      <c r="E9956" s="5">
        <f t="shared" si="164"/>
        <v>2012</v>
      </c>
      <c r="F9956" s="3" t="s">
        <v>1473</v>
      </c>
      <c r="G9956" s="6">
        <v>2268</v>
      </c>
      <c r="H9956" s="5">
        <v>5206</v>
      </c>
    </row>
    <row r="9957" spans="2:8" x14ac:dyDescent="0.4">
      <c r="B9957" s="3" t="s">
        <v>7</v>
      </c>
      <c r="C9957" s="3" t="s">
        <v>1470</v>
      </c>
      <c r="D9957" s="4">
        <f>DATE(2012,9,28)</f>
        <v>41180</v>
      </c>
      <c r="E9957" s="5">
        <f t="shared" si="164"/>
        <v>2012</v>
      </c>
      <c r="F9957" s="3" t="s">
        <v>1473</v>
      </c>
      <c r="G9957" s="6">
        <v>2129.16</v>
      </c>
      <c r="H9957" s="5">
        <v>5238</v>
      </c>
    </row>
    <row r="9958" spans="2:8" x14ac:dyDescent="0.4">
      <c r="B9958" s="3" t="s">
        <v>7</v>
      </c>
      <c r="C9958" s="3" t="s">
        <v>1470</v>
      </c>
      <c r="D9958" s="4">
        <f>DATE(2012,10,9)</f>
        <v>41191</v>
      </c>
      <c r="E9958" s="5">
        <f t="shared" si="164"/>
        <v>2012</v>
      </c>
      <c r="F9958" s="3" t="s">
        <v>1473</v>
      </c>
      <c r="G9958" s="6">
        <v>756</v>
      </c>
      <c r="H9958" s="5">
        <v>5238</v>
      </c>
    </row>
    <row r="9959" spans="2:8" x14ac:dyDescent="0.4">
      <c r="B9959" s="3" t="s">
        <v>7</v>
      </c>
      <c r="C9959" s="3" t="s">
        <v>1470</v>
      </c>
      <c r="D9959" s="4">
        <f>DATE(2012,10,23)</f>
        <v>41205</v>
      </c>
      <c r="E9959" s="5">
        <f t="shared" si="164"/>
        <v>2012</v>
      </c>
      <c r="F9959" s="3" t="s">
        <v>1473</v>
      </c>
      <c r="G9959" s="6">
        <v>378</v>
      </c>
      <c r="H9959" s="5">
        <v>5259</v>
      </c>
    </row>
    <row r="9960" spans="2:8" x14ac:dyDescent="0.4">
      <c r="B9960" s="3" t="s">
        <v>7</v>
      </c>
      <c r="C9960" s="3" t="s">
        <v>1470</v>
      </c>
      <c r="D9960" s="4">
        <f>DATE(2013,3,21)</f>
        <v>41354</v>
      </c>
      <c r="E9960" s="5">
        <f t="shared" si="164"/>
        <v>2013</v>
      </c>
      <c r="F9960" s="3" t="s">
        <v>1473</v>
      </c>
      <c r="G9960" s="6">
        <v>486.17</v>
      </c>
      <c r="H9960" s="5">
        <v>5508</v>
      </c>
    </row>
    <row r="9961" spans="2:8" x14ac:dyDescent="0.4">
      <c r="B9961" s="3" t="s">
        <v>7</v>
      </c>
      <c r="C9961" s="3" t="s">
        <v>1470</v>
      </c>
      <c r="D9961" s="4">
        <f>DATE(2013,5,17)</f>
        <v>41411</v>
      </c>
      <c r="E9961" s="5">
        <f t="shared" si="164"/>
        <v>2013</v>
      </c>
      <c r="F9961" s="3" t="s">
        <v>1473</v>
      </c>
      <c r="G9961" s="6">
        <v>791.6</v>
      </c>
      <c r="H9961" s="5">
        <v>5589</v>
      </c>
    </row>
    <row r="9962" spans="2:8" x14ac:dyDescent="0.4">
      <c r="B9962" s="3" t="s">
        <v>7</v>
      </c>
      <c r="C9962" s="3" t="s">
        <v>1470</v>
      </c>
      <c r="D9962" s="4">
        <f>DATE(2013,7,19)</f>
        <v>41474</v>
      </c>
      <c r="E9962" s="5">
        <f t="shared" si="164"/>
        <v>2013</v>
      </c>
      <c r="F9962" s="3" t="s">
        <v>1473</v>
      </c>
      <c r="G9962" s="6">
        <v>796.6</v>
      </c>
      <c r="H9962" s="5">
        <v>5708</v>
      </c>
    </row>
    <row r="9963" spans="2:8" x14ac:dyDescent="0.4">
      <c r="B9963" s="3" t="s">
        <v>7</v>
      </c>
      <c r="C9963" s="3" t="s">
        <v>1470</v>
      </c>
      <c r="D9963" s="4">
        <f>DATE(2013,7,31)</f>
        <v>41486</v>
      </c>
      <c r="E9963" s="5">
        <f t="shared" si="164"/>
        <v>2013</v>
      </c>
      <c r="F9963" s="3" t="s">
        <v>1473</v>
      </c>
      <c r="G9963" s="6">
        <v>685</v>
      </c>
      <c r="H9963" s="5">
        <v>5735</v>
      </c>
    </row>
    <row r="9964" spans="2:8" x14ac:dyDescent="0.4">
      <c r="B9964" s="3" t="s">
        <v>7</v>
      </c>
      <c r="C9964" s="3" t="s">
        <v>1470</v>
      </c>
      <c r="D9964" s="4">
        <f>DATE(2014,4,9)</f>
        <v>41738</v>
      </c>
      <c r="E9964" s="5">
        <f t="shared" si="164"/>
        <v>2014</v>
      </c>
      <c r="F9964" s="3" t="s">
        <v>1473</v>
      </c>
      <c r="G9964" s="6">
        <v>394</v>
      </c>
      <c r="H9964" s="5">
        <v>6124</v>
      </c>
    </row>
    <row r="9965" spans="2:8" x14ac:dyDescent="0.4">
      <c r="B9965" s="3" t="s">
        <v>7</v>
      </c>
      <c r="C9965" s="3" t="s">
        <v>1470</v>
      </c>
      <c r="D9965" s="4">
        <f>DATE(2014,7,21)</f>
        <v>41841</v>
      </c>
      <c r="E9965" s="5">
        <f t="shared" si="164"/>
        <v>2014</v>
      </c>
      <c r="F9965" s="3" t="s">
        <v>1473</v>
      </c>
      <c r="G9965" s="6">
        <v>756</v>
      </c>
      <c r="H9965" s="5">
        <v>6282</v>
      </c>
    </row>
    <row r="9966" spans="2:8" x14ac:dyDescent="0.4">
      <c r="B9966" s="3" t="s">
        <v>7</v>
      </c>
      <c r="C9966" s="3" t="s">
        <v>1470</v>
      </c>
      <c r="D9966" s="4">
        <f>DATE(2014,7,21)</f>
        <v>41841</v>
      </c>
      <c r="E9966" s="5">
        <f t="shared" si="164"/>
        <v>2014</v>
      </c>
      <c r="F9966" s="3" t="s">
        <v>1473</v>
      </c>
      <c r="G9966" s="6">
        <v>589.20000000000005</v>
      </c>
      <c r="H9966" s="5">
        <v>6291</v>
      </c>
    </row>
    <row r="9967" spans="2:8" x14ac:dyDescent="0.4">
      <c r="B9967" s="3" t="s">
        <v>7</v>
      </c>
      <c r="C9967" s="3" t="s">
        <v>1470</v>
      </c>
      <c r="D9967" s="4">
        <f>DATE(2014,12,19)</f>
        <v>41992</v>
      </c>
      <c r="E9967" s="5">
        <f t="shared" si="164"/>
        <v>2014</v>
      </c>
      <c r="F9967" s="3" t="s">
        <v>1473</v>
      </c>
      <c r="G9967" s="6">
        <v>525</v>
      </c>
      <c r="H9967" s="5">
        <v>6516</v>
      </c>
    </row>
    <row r="9968" spans="2:8" x14ac:dyDescent="0.4">
      <c r="B9968" s="3" t="s">
        <v>7</v>
      </c>
      <c r="C9968" s="3" t="s">
        <v>1470</v>
      </c>
      <c r="D9968" s="4">
        <f>DATE(2011,9,16)</f>
        <v>40802</v>
      </c>
      <c r="E9968" s="5">
        <f t="shared" si="164"/>
        <v>2011</v>
      </c>
      <c r="F9968" s="3" t="s">
        <v>1473</v>
      </c>
      <c r="G9968" s="6">
        <v>3396.31</v>
      </c>
      <c r="H9968" s="5">
        <v>4560</v>
      </c>
    </row>
    <row r="9969" spans="2:8" x14ac:dyDescent="0.4">
      <c r="B9969" s="3" t="s">
        <v>16</v>
      </c>
      <c r="C9969" s="3" t="s">
        <v>1470</v>
      </c>
      <c r="D9969" s="4">
        <f>DATE(2013,9,12)</f>
        <v>41529</v>
      </c>
      <c r="E9969" s="5">
        <f t="shared" si="164"/>
        <v>2013</v>
      </c>
      <c r="F9969" s="3" t="s">
        <v>1473</v>
      </c>
      <c r="G9969" s="6">
        <v>554.12</v>
      </c>
      <c r="H9969" s="5">
        <v>5811</v>
      </c>
    </row>
    <row r="9970" spans="2:8" x14ac:dyDescent="0.4">
      <c r="B9970" t="s">
        <v>7</v>
      </c>
      <c r="C9970" t="s">
        <v>1467</v>
      </c>
      <c r="D9970" s="7">
        <f>DATE(2003,10,8)</f>
        <v>37902</v>
      </c>
      <c r="E9970" s="8">
        <f t="shared" si="164"/>
        <v>2003</v>
      </c>
      <c r="F9970" t="s">
        <v>1474</v>
      </c>
      <c r="G9970" s="9">
        <v>2600</v>
      </c>
      <c r="H9970" s="8">
        <v>922</v>
      </c>
    </row>
    <row r="9971" spans="2:8" x14ac:dyDescent="0.4">
      <c r="B9971" t="s">
        <v>7</v>
      </c>
      <c r="C9971" t="s">
        <v>1467</v>
      </c>
      <c r="D9971" s="7">
        <f>DATE(2004,4,21)</f>
        <v>38098</v>
      </c>
      <c r="E9971" s="8">
        <f t="shared" si="164"/>
        <v>2004</v>
      </c>
      <c r="F9971" t="s">
        <v>1474</v>
      </c>
      <c r="G9971" s="9">
        <v>3593</v>
      </c>
      <c r="H9971" s="8">
        <v>1656</v>
      </c>
    </row>
    <row r="9972" spans="2:8" x14ac:dyDescent="0.4">
      <c r="B9972" t="s">
        <v>7</v>
      </c>
      <c r="C9972" t="s">
        <v>1475</v>
      </c>
      <c r="D9972" s="7">
        <f>DATE(2019,3,21)</f>
        <v>43545</v>
      </c>
      <c r="E9972" s="8">
        <f t="shared" si="164"/>
        <v>2019</v>
      </c>
      <c r="F9972" t="s">
        <v>1476</v>
      </c>
      <c r="G9972" s="9">
        <v>4412.3</v>
      </c>
      <c r="H9972" s="8">
        <v>28560</v>
      </c>
    </row>
    <row r="9973" spans="2:8" x14ac:dyDescent="0.4">
      <c r="B9973" t="s">
        <v>7</v>
      </c>
      <c r="C9973" t="s">
        <v>1477</v>
      </c>
      <c r="D9973" s="7">
        <f>DATE(2017,12,15)</f>
        <v>43084</v>
      </c>
      <c r="E9973" s="8">
        <f t="shared" si="164"/>
        <v>2017</v>
      </c>
      <c r="F9973" t="s">
        <v>1478</v>
      </c>
      <c r="G9973" s="9">
        <v>5338.66</v>
      </c>
      <c r="H9973" s="8">
        <v>26032</v>
      </c>
    </row>
    <row r="9974" spans="2:8" x14ac:dyDescent="0.4">
      <c r="B9974" t="s">
        <v>7</v>
      </c>
      <c r="C9974" t="s">
        <v>1477</v>
      </c>
      <c r="D9974" s="7">
        <f>DATE(2008,5,15)</f>
        <v>39583</v>
      </c>
      <c r="E9974" s="8">
        <f t="shared" si="164"/>
        <v>2008</v>
      </c>
      <c r="F9974" t="s">
        <v>1478</v>
      </c>
      <c r="G9974" s="9">
        <v>5268.35</v>
      </c>
      <c r="H9974" s="8">
        <v>7439</v>
      </c>
    </row>
    <row r="9975" spans="2:8" x14ac:dyDescent="0.4">
      <c r="B9975" t="s">
        <v>7</v>
      </c>
      <c r="C9975" t="s">
        <v>1477</v>
      </c>
      <c r="D9975" s="7">
        <f>DATE(2009,4,23)</f>
        <v>39926</v>
      </c>
      <c r="E9975" s="8">
        <f t="shared" si="164"/>
        <v>2009</v>
      </c>
      <c r="F9975" t="s">
        <v>1478</v>
      </c>
      <c r="G9975" s="9">
        <v>4252.58</v>
      </c>
      <c r="H9975" s="8">
        <v>8563</v>
      </c>
    </row>
    <row r="9976" spans="2:8" x14ac:dyDescent="0.4">
      <c r="B9976" t="s">
        <v>7</v>
      </c>
      <c r="C9976" t="s">
        <v>1477</v>
      </c>
      <c r="D9976" s="7">
        <f>DATE(2010,4,29)</f>
        <v>40297</v>
      </c>
      <c r="E9976" s="8">
        <f t="shared" si="164"/>
        <v>2010</v>
      </c>
      <c r="F9976" t="s">
        <v>1478</v>
      </c>
      <c r="G9976" s="9">
        <v>4896.7700000000004</v>
      </c>
      <c r="H9976" s="8">
        <v>9689</v>
      </c>
    </row>
    <row r="9977" spans="2:8" x14ac:dyDescent="0.4">
      <c r="B9977" t="s">
        <v>7</v>
      </c>
      <c r="C9977" t="s">
        <v>1479</v>
      </c>
      <c r="D9977" s="7">
        <f>DATE(2007,8,29)</f>
        <v>39323</v>
      </c>
      <c r="E9977" s="8">
        <f t="shared" si="164"/>
        <v>2007</v>
      </c>
      <c r="F9977" t="s">
        <v>1480</v>
      </c>
      <c r="G9977" s="9">
        <v>2536.38</v>
      </c>
      <c r="H9977" s="8">
        <v>6292</v>
      </c>
    </row>
    <row r="9978" spans="2:8" x14ac:dyDescent="0.4">
      <c r="B9978" t="s">
        <v>7</v>
      </c>
      <c r="C9978" t="s">
        <v>1479</v>
      </c>
      <c r="D9978" s="7">
        <f>DATE(2007,8,29)</f>
        <v>39323</v>
      </c>
      <c r="E9978" s="8">
        <f t="shared" si="164"/>
        <v>2007</v>
      </c>
      <c r="F9978" t="s">
        <v>1480</v>
      </c>
      <c r="G9978" s="9">
        <v>2536.38</v>
      </c>
      <c r="H9978" s="8">
        <v>6293</v>
      </c>
    </row>
    <row r="9979" spans="2:8" x14ac:dyDescent="0.4">
      <c r="B9979" t="s">
        <v>7</v>
      </c>
      <c r="C9979" t="s">
        <v>1479</v>
      </c>
      <c r="D9979" s="7">
        <f>DATE(2007,8,29)</f>
        <v>39323</v>
      </c>
      <c r="E9979" s="8">
        <f t="shared" si="164"/>
        <v>2007</v>
      </c>
      <c r="F9979" t="s">
        <v>1480</v>
      </c>
      <c r="G9979" s="9">
        <v>2536.38</v>
      </c>
      <c r="H9979" s="8">
        <v>6294</v>
      </c>
    </row>
    <row r="9980" spans="2:8" x14ac:dyDescent="0.4">
      <c r="B9980" t="s">
        <v>7</v>
      </c>
      <c r="C9980" t="s">
        <v>1479</v>
      </c>
      <c r="D9980" s="7">
        <f>DATE(2003,5,22)</f>
        <v>37763</v>
      </c>
      <c r="E9980" s="8">
        <f t="shared" si="164"/>
        <v>2003</v>
      </c>
      <c r="F9980" t="s">
        <v>1481</v>
      </c>
      <c r="G9980" s="9">
        <v>8382.6200000000008</v>
      </c>
      <c r="H9980" s="8">
        <v>499</v>
      </c>
    </row>
    <row r="9981" spans="2:8" x14ac:dyDescent="0.4">
      <c r="B9981" t="s">
        <v>7</v>
      </c>
      <c r="C9981" t="s">
        <v>1479</v>
      </c>
      <c r="D9981" s="7">
        <f>DATE(2003,5,22)</f>
        <v>37763</v>
      </c>
      <c r="E9981" s="8">
        <f t="shared" si="164"/>
        <v>2003</v>
      </c>
      <c r="F9981" t="s">
        <v>1481</v>
      </c>
      <c r="G9981" s="9">
        <v>13685.14</v>
      </c>
      <c r="H9981" s="8">
        <v>535</v>
      </c>
    </row>
    <row r="9982" spans="2:8" x14ac:dyDescent="0.4">
      <c r="B9982" t="s">
        <v>7</v>
      </c>
      <c r="C9982" t="s">
        <v>1479</v>
      </c>
      <c r="D9982" s="7">
        <f>DATE(2003,5,7)</f>
        <v>37748</v>
      </c>
      <c r="E9982" s="8">
        <f t="shared" si="164"/>
        <v>2003</v>
      </c>
      <c r="F9982" t="s">
        <v>1481</v>
      </c>
      <c r="G9982" s="9">
        <v>8332.6200000000008</v>
      </c>
      <c r="H9982" s="8">
        <v>574</v>
      </c>
    </row>
    <row r="9983" spans="2:8" x14ac:dyDescent="0.4">
      <c r="B9983" t="s">
        <v>7</v>
      </c>
      <c r="C9983" t="s">
        <v>1479</v>
      </c>
      <c r="D9983" s="7">
        <f>DATE(2003,6,5)</f>
        <v>37777</v>
      </c>
      <c r="E9983" s="8">
        <f t="shared" si="164"/>
        <v>2003</v>
      </c>
      <c r="F9983" t="s">
        <v>1481</v>
      </c>
      <c r="G9983" s="9">
        <v>8499.85</v>
      </c>
      <c r="H9983" s="8">
        <v>623</v>
      </c>
    </row>
    <row r="9984" spans="2:8" x14ac:dyDescent="0.4">
      <c r="B9984" t="s">
        <v>7</v>
      </c>
      <c r="C9984" t="s">
        <v>1479</v>
      </c>
      <c r="D9984" s="7">
        <f>DATE(2004,5,18)</f>
        <v>38125</v>
      </c>
      <c r="E9984" s="8">
        <f t="shared" si="164"/>
        <v>2004</v>
      </c>
      <c r="F9984" t="s">
        <v>1481</v>
      </c>
      <c r="G9984" s="9">
        <v>8592.6200000000008</v>
      </c>
      <c r="H9984" s="8">
        <v>1789</v>
      </c>
    </row>
    <row r="9985" spans="2:8" x14ac:dyDescent="0.4">
      <c r="B9985" t="s">
        <v>7</v>
      </c>
      <c r="C9985" t="s">
        <v>1479</v>
      </c>
      <c r="D9985" s="7">
        <f>DATE(2004,5,29)</f>
        <v>38136</v>
      </c>
      <c r="E9985" s="8">
        <f t="shared" si="164"/>
        <v>2004</v>
      </c>
      <c r="F9985" t="s">
        <v>1481</v>
      </c>
      <c r="G9985" s="9">
        <v>8397.6200000000008</v>
      </c>
      <c r="H9985" s="8">
        <v>1587</v>
      </c>
    </row>
    <row r="9986" spans="2:8" x14ac:dyDescent="0.4">
      <c r="B9986" t="s">
        <v>7</v>
      </c>
      <c r="C9986" t="s">
        <v>1479</v>
      </c>
      <c r="D9986" s="7">
        <f>DATE(2004,5,30)</f>
        <v>38137</v>
      </c>
      <c r="E9986" s="8">
        <f t="shared" si="164"/>
        <v>2004</v>
      </c>
      <c r="F9986" t="s">
        <v>1481</v>
      </c>
      <c r="G9986" s="9">
        <v>17095.5</v>
      </c>
      <c r="H9986" s="8">
        <v>1837</v>
      </c>
    </row>
    <row r="9987" spans="2:8" x14ac:dyDescent="0.4">
      <c r="B9987" t="s">
        <v>7</v>
      </c>
      <c r="C9987" t="s">
        <v>1479</v>
      </c>
      <c r="D9987" s="7">
        <f>DATE(2004,6,16)</f>
        <v>38154</v>
      </c>
      <c r="E9987" s="8">
        <f t="shared" ref="E9987:E10050" si="165">YEAR(D9987)</f>
        <v>2004</v>
      </c>
      <c r="F9987" t="s">
        <v>1481</v>
      </c>
      <c r="G9987" s="9">
        <v>8671.82</v>
      </c>
      <c r="H9987" s="8">
        <v>1882</v>
      </c>
    </row>
    <row r="9988" spans="2:8" x14ac:dyDescent="0.4">
      <c r="B9988" t="s">
        <v>7</v>
      </c>
      <c r="C9988" t="s">
        <v>1479</v>
      </c>
      <c r="D9988" s="7">
        <f>DATE(2004,8,31)</f>
        <v>38230</v>
      </c>
      <c r="E9988" s="8">
        <f t="shared" si="165"/>
        <v>2004</v>
      </c>
      <c r="F9988" t="s">
        <v>1481</v>
      </c>
      <c r="G9988" s="9">
        <v>1029.25</v>
      </c>
      <c r="H9988" s="8">
        <v>2127</v>
      </c>
    </row>
    <row r="9989" spans="2:8" x14ac:dyDescent="0.4">
      <c r="B9989" t="s">
        <v>7</v>
      </c>
      <c r="C9989" t="s">
        <v>1479</v>
      </c>
      <c r="D9989" s="7">
        <f>DATE(2004,9,2)</f>
        <v>38232</v>
      </c>
      <c r="E9989" s="8">
        <f t="shared" si="165"/>
        <v>2004</v>
      </c>
      <c r="F9989" t="s">
        <v>1481</v>
      </c>
      <c r="G9989" s="9">
        <v>7782.62</v>
      </c>
      <c r="H9989" s="8">
        <v>2137</v>
      </c>
    </row>
    <row r="9990" spans="2:8" x14ac:dyDescent="0.4">
      <c r="B9990" t="s">
        <v>7</v>
      </c>
      <c r="C9990" t="s">
        <v>1479</v>
      </c>
      <c r="D9990" s="7">
        <f>DATE(2004,9,24)</f>
        <v>38254</v>
      </c>
      <c r="E9990" s="8">
        <f t="shared" si="165"/>
        <v>2004</v>
      </c>
      <c r="F9990" t="s">
        <v>1481</v>
      </c>
      <c r="G9990" s="9">
        <v>3397.89</v>
      </c>
      <c r="H9990" s="8">
        <v>2238</v>
      </c>
    </row>
    <row r="9991" spans="2:8" x14ac:dyDescent="0.4">
      <c r="B9991" t="s">
        <v>7</v>
      </c>
      <c r="C9991" t="s">
        <v>1479</v>
      </c>
      <c r="D9991" s="7">
        <f>DATE(2005,2,14)</f>
        <v>38397</v>
      </c>
      <c r="E9991" s="8">
        <f t="shared" si="165"/>
        <v>2005</v>
      </c>
      <c r="F9991" t="s">
        <v>1481</v>
      </c>
      <c r="G9991" s="9">
        <v>5859.18</v>
      </c>
      <c r="H9991" s="8">
        <v>2757</v>
      </c>
    </row>
    <row r="9992" spans="2:8" x14ac:dyDescent="0.4">
      <c r="B9992" t="s">
        <v>7</v>
      </c>
      <c r="C9992" t="s">
        <v>1479</v>
      </c>
      <c r="D9992" s="7">
        <f>DATE(2005,4,28)</f>
        <v>38470</v>
      </c>
      <c r="E9992" s="8">
        <f t="shared" si="165"/>
        <v>2005</v>
      </c>
      <c r="F9992" t="s">
        <v>1481</v>
      </c>
      <c r="G9992" s="9">
        <v>14302.5</v>
      </c>
      <c r="H9992" s="8">
        <v>3121</v>
      </c>
    </row>
    <row r="9993" spans="2:8" x14ac:dyDescent="0.4">
      <c r="B9993" t="s">
        <v>7</v>
      </c>
      <c r="C9993" t="s">
        <v>1479</v>
      </c>
      <c r="D9993" s="7">
        <f>DATE(2005,4,28)</f>
        <v>38470</v>
      </c>
      <c r="E9993" s="8">
        <f t="shared" si="165"/>
        <v>2005</v>
      </c>
      <c r="F9993" t="s">
        <v>1481</v>
      </c>
      <c r="G9993" s="9">
        <v>2400</v>
      </c>
      <c r="H9993" s="8">
        <v>3172</v>
      </c>
    </row>
    <row r="9994" spans="2:8" x14ac:dyDescent="0.4">
      <c r="B9994" t="s">
        <v>7</v>
      </c>
      <c r="C9994" t="s">
        <v>1479</v>
      </c>
      <c r="D9994" s="7">
        <f>DATE(2005,5,18)</f>
        <v>38490</v>
      </c>
      <c r="E9994" s="8">
        <f t="shared" si="165"/>
        <v>2005</v>
      </c>
      <c r="F9994" t="s">
        <v>1481</v>
      </c>
      <c r="G9994" s="9">
        <v>4335.3</v>
      </c>
      <c r="H9994" s="8">
        <v>3214</v>
      </c>
    </row>
    <row r="9995" spans="2:8" x14ac:dyDescent="0.4">
      <c r="B9995" t="s">
        <v>7</v>
      </c>
      <c r="C9995" t="s">
        <v>1479</v>
      </c>
      <c r="D9995" s="7">
        <f>DATE(2005,5,17)</f>
        <v>38489</v>
      </c>
      <c r="E9995" s="8">
        <f t="shared" si="165"/>
        <v>2005</v>
      </c>
      <c r="F9995" t="s">
        <v>1481</v>
      </c>
      <c r="G9995" s="9">
        <v>10250</v>
      </c>
      <c r="H9995" s="8">
        <v>3197</v>
      </c>
    </row>
    <row r="9996" spans="2:8" x14ac:dyDescent="0.4">
      <c r="B9996" t="s">
        <v>7</v>
      </c>
      <c r="C9996" t="s">
        <v>1479</v>
      </c>
      <c r="D9996" s="7">
        <f>DATE(2005,5,19)</f>
        <v>38491</v>
      </c>
      <c r="E9996" s="8">
        <f t="shared" si="165"/>
        <v>2005</v>
      </c>
      <c r="F9996" t="s">
        <v>1481</v>
      </c>
      <c r="G9996" s="9">
        <v>10250</v>
      </c>
      <c r="H9996" s="8">
        <v>3235</v>
      </c>
    </row>
    <row r="9997" spans="2:8" x14ac:dyDescent="0.4">
      <c r="B9997" t="s">
        <v>7</v>
      </c>
      <c r="C9997" t="s">
        <v>1479</v>
      </c>
      <c r="D9997" s="7">
        <f>DATE(2005,6,17)</f>
        <v>38520</v>
      </c>
      <c r="E9997" s="8">
        <f t="shared" si="165"/>
        <v>2005</v>
      </c>
      <c r="F9997" t="s">
        <v>1481</v>
      </c>
      <c r="G9997" s="9">
        <v>11250</v>
      </c>
      <c r="H9997" s="8">
        <v>3292</v>
      </c>
    </row>
    <row r="9998" spans="2:8" x14ac:dyDescent="0.4">
      <c r="B9998" t="s">
        <v>7</v>
      </c>
      <c r="C9998" t="s">
        <v>1479</v>
      </c>
      <c r="D9998" s="7">
        <f>DATE(2005,7,18)</f>
        <v>38551</v>
      </c>
      <c r="E9998" s="8">
        <f t="shared" si="165"/>
        <v>2005</v>
      </c>
      <c r="F9998" t="s">
        <v>1481</v>
      </c>
      <c r="G9998" s="9">
        <v>3406.61</v>
      </c>
      <c r="H9998" s="8">
        <v>3386</v>
      </c>
    </row>
    <row r="9999" spans="2:8" x14ac:dyDescent="0.4">
      <c r="B9999" t="s">
        <v>7</v>
      </c>
      <c r="C9999" t="s">
        <v>1479</v>
      </c>
      <c r="D9999" s="7">
        <f>DATE(2005,8,25)</f>
        <v>38589</v>
      </c>
      <c r="E9999" s="8">
        <f t="shared" si="165"/>
        <v>2005</v>
      </c>
      <c r="F9999" t="s">
        <v>1481</v>
      </c>
      <c r="G9999" s="9">
        <v>2638.41</v>
      </c>
      <c r="H9999" s="8">
        <v>3536</v>
      </c>
    </row>
    <row r="10000" spans="2:8" x14ac:dyDescent="0.4">
      <c r="B10000" t="s">
        <v>7</v>
      </c>
      <c r="C10000" t="s">
        <v>1479</v>
      </c>
      <c r="D10000" s="7">
        <f>DATE(2005,8,22)</f>
        <v>38586</v>
      </c>
      <c r="E10000" s="8">
        <f t="shared" si="165"/>
        <v>2005</v>
      </c>
      <c r="F10000" t="s">
        <v>1481</v>
      </c>
      <c r="G10000" s="9">
        <v>2030</v>
      </c>
      <c r="H10000" s="8">
        <v>3513</v>
      </c>
    </row>
    <row r="10001" spans="2:8" x14ac:dyDescent="0.4">
      <c r="B10001" t="s">
        <v>7</v>
      </c>
      <c r="C10001" t="s">
        <v>1479</v>
      </c>
      <c r="D10001" s="7">
        <f>DATE(2005,9,10)</f>
        <v>38605</v>
      </c>
      <c r="E10001" s="8">
        <f t="shared" si="165"/>
        <v>2005</v>
      </c>
      <c r="F10001" t="s">
        <v>1481</v>
      </c>
      <c r="G10001" s="9">
        <v>1198</v>
      </c>
      <c r="H10001" s="8">
        <v>3570</v>
      </c>
    </row>
    <row r="10002" spans="2:8" x14ac:dyDescent="0.4">
      <c r="B10002" t="s">
        <v>7</v>
      </c>
      <c r="C10002" t="s">
        <v>1479</v>
      </c>
      <c r="D10002" s="7">
        <f>DATE(2005,9,30)</f>
        <v>38625</v>
      </c>
      <c r="E10002" s="8">
        <f t="shared" si="165"/>
        <v>2005</v>
      </c>
      <c r="F10002" t="s">
        <v>1481</v>
      </c>
      <c r="G10002" s="9">
        <v>2032.18</v>
      </c>
      <c r="H10002" s="8">
        <v>3651</v>
      </c>
    </row>
    <row r="10003" spans="2:8" x14ac:dyDescent="0.4">
      <c r="B10003" t="s">
        <v>7</v>
      </c>
      <c r="C10003" t="s">
        <v>1479</v>
      </c>
      <c r="D10003" s="7">
        <f>DATE(2006,1,25)</f>
        <v>38742</v>
      </c>
      <c r="E10003" s="8">
        <f t="shared" si="165"/>
        <v>2006</v>
      </c>
      <c r="F10003" t="s">
        <v>1481</v>
      </c>
      <c r="G10003" s="9">
        <v>2725.42</v>
      </c>
      <c r="H10003" s="8">
        <v>4000</v>
      </c>
    </row>
    <row r="10004" spans="2:8" x14ac:dyDescent="0.4">
      <c r="B10004" t="s">
        <v>7</v>
      </c>
      <c r="C10004" t="s">
        <v>1479</v>
      </c>
      <c r="D10004" s="7">
        <f>DATE(2006,2,10)</f>
        <v>38758</v>
      </c>
      <c r="E10004" s="8">
        <f t="shared" si="165"/>
        <v>2006</v>
      </c>
      <c r="F10004" t="s">
        <v>1481</v>
      </c>
      <c r="G10004" s="9">
        <v>2930</v>
      </c>
      <c r="H10004" s="8">
        <v>4118</v>
      </c>
    </row>
    <row r="10005" spans="2:8" x14ac:dyDescent="0.4">
      <c r="B10005" t="s">
        <v>7</v>
      </c>
      <c r="C10005" t="s">
        <v>1479</v>
      </c>
      <c r="D10005" s="7">
        <f>DATE(2006,2,15)</f>
        <v>38763</v>
      </c>
      <c r="E10005" s="8">
        <f t="shared" si="165"/>
        <v>2006</v>
      </c>
      <c r="F10005" t="s">
        <v>1481</v>
      </c>
      <c r="G10005" s="9">
        <v>19750</v>
      </c>
      <c r="H10005" s="8">
        <v>4104</v>
      </c>
    </row>
    <row r="10006" spans="2:8" x14ac:dyDescent="0.4">
      <c r="B10006" t="s">
        <v>7</v>
      </c>
      <c r="C10006" t="s">
        <v>1479</v>
      </c>
      <c r="D10006" s="7">
        <f>DATE(2006,4,19)</f>
        <v>38826</v>
      </c>
      <c r="E10006" s="8">
        <f t="shared" si="165"/>
        <v>2006</v>
      </c>
      <c r="F10006" t="s">
        <v>1481</v>
      </c>
      <c r="G10006" s="9">
        <v>4950</v>
      </c>
      <c r="H10006" s="8">
        <v>4505</v>
      </c>
    </row>
    <row r="10007" spans="2:8" x14ac:dyDescent="0.4">
      <c r="B10007" t="s">
        <v>7</v>
      </c>
      <c r="C10007" t="s">
        <v>1479</v>
      </c>
      <c r="D10007" s="7">
        <f>DATE(2006,6,25)</f>
        <v>38893</v>
      </c>
      <c r="E10007" s="8">
        <f t="shared" si="165"/>
        <v>2006</v>
      </c>
      <c r="F10007" t="s">
        <v>1481</v>
      </c>
      <c r="G10007" s="9">
        <v>21000</v>
      </c>
      <c r="H10007" s="8">
        <v>4729</v>
      </c>
    </row>
    <row r="10008" spans="2:8" x14ac:dyDescent="0.4">
      <c r="B10008" t="s">
        <v>7</v>
      </c>
      <c r="C10008" t="s">
        <v>1479</v>
      </c>
      <c r="D10008" s="7">
        <f>DATE(2006,8,25)</f>
        <v>38954</v>
      </c>
      <c r="E10008" s="8">
        <f t="shared" si="165"/>
        <v>2006</v>
      </c>
      <c r="F10008" t="s">
        <v>1481</v>
      </c>
      <c r="G10008" s="9">
        <v>10500</v>
      </c>
      <c r="H10008" s="8">
        <v>4935</v>
      </c>
    </row>
    <row r="10009" spans="2:8" x14ac:dyDescent="0.4">
      <c r="B10009" t="s">
        <v>7</v>
      </c>
      <c r="C10009" t="s">
        <v>1479</v>
      </c>
      <c r="D10009" s="7">
        <f>DATE(2006,8,27)</f>
        <v>38956</v>
      </c>
      <c r="E10009" s="8">
        <f t="shared" si="165"/>
        <v>2006</v>
      </c>
      <c r="F10009" t="s">
        <v>1481</v>
      </c>
      <c r="G10009" s="9">
        <v>10500</v>
      </c>
      <c r="H10009" s="8">
        <v>4930</v>
      </c>
    </row>
    <row r="10010" spans="2:8" x14ac:dyDescent="0.4">
      <c r="B10010" t="s">
        <v>7</v>
      </c>
      <c r="C10010" t="s">
        <v>1479</v>
      </c>
      <c r="D10010" s="7">
        <f>DATE(2007,1,18)</f>
        <v>39100</v>
      </c>
      <c r="E10010" s="8">
        <f t="shared" si="165"/>
        <v>2007</v>
      </c>
      <c r="F10010" t="s">
        <v>1481</v>
      </c>
      <c r="G10010" s="9">
        <v>10500</v>
      </c>
      <c r="H10010" s="8">
        <v>5322</v>
      </c>
    </row>
    <row r="10011" spans="2:8" x14ac:dyDescent="0.4">
      <c r="B10011" t="s">
        <v>7</v>
      </c>
      <c r="C10011" t="s">
        <v>1479</v>
      </c>
      <c r="D10011" s="7">
        <f>DATE(2007,5,21)</f>
        <v>39223</v>
      </c>
      <c r="E10011" s="8">
        <f t="shared" si="165"/>
        <v>2007</v>
      </c>
      <c r="F10011" t="s">
        <v>1481</v>
      </c>
      <c r="G10011" s="9">
        <v>11550</v>
      </c>
      <c r="H10011" s="8">
        <v>6009</v>
      </c>
    </row>
    <row r="10012" spans="2:8" x14ac:dyDescent="0.4">
      <c r="B10012" t="s">
        <v>7</v>
      </c>
      <c r="C10012" t="s">
        <v>1479</v>
      </c>
      <c r="D10012" s="7">
        <f>DATE(2007,5,31)</f>
        <v>39233</v>
      </c>
      <c r="E10012" s="8">
        <f t="shared" si="165"/>
        <v>2007</v>
      </c>
      <c r="F10012" t="s">
        <v>1481</v>
      </c>
      <c r="G10012" s="9">
        <v>16850</v>
      </c>
      <c r="H10012" s="8">
        <v>5985</v>
      </c>
    </row>
    <row r="10013" spans="2:8" x14ac:dyDescent="0.4">
      <c r="B10013" t="s">
        <v>7</v>
      </c>
      <c r="C10013" t="s">
        <v>1479</v>
      </c>
      <c r="D10013" s="7">
        <f>DATE(2007,5,19)</f>
        <v>39221</v>
      </c>
      <c r="E10013" s="8">
        <f t="shared" si="165"/>
        <v>2007</v>
      </c>
      <c r="F10013" t="s">
        <v>1481</v>
      </c>
      <c r="G10013" s="9">
        <v>11800</v>
      </c>
      <c r="H10013" s="8">
        <v>5997</v>
      </c>
    </row>
    <row r="10014" spans="2:8" x14ac:dyDescent="0.4">
      <c r="B10014" t="s">
        <v>7</v>
      </c>
      <c r="C10014" t="s">
        <v>1479</v>
      </c>
      <c r="D10014" s="7">
        <f>DATE(2007,6,29)</f>
        <v>39262</v>
      </c>
      <c r="E10014" s="8">
        <f t="shared" si="165"/>
        <v>2007</v>
      </c>
      <c r="F10014" t="s">
        <v>1481</v>
      </c>
      <c r="G10014" s="9">
        <v>5286.51</v>
      </c>
      <c r="H10014" s="8">
        <v>6112</v>
      </c>
    </row>
    <row r="10015" spans="2:8" x14ac:dyDescent="0.4">
      <c r="B10015" t="s">
        <v>7</v>
      </c>
      <c r="C10015" t="s">
        <v>1479</v>
      </c>
      <c r="D10015" s="7">
        <f>DATE(2008,5,8)</f>
        <v>39576</v>
      </c>
      <c r="E10015" s="8">
        <f t="shared" si="165"/>
        <v>2008</v>
      </c>
      <c r="F10015" t="s">
        <v>1481</v>
      </c>
      <c r="G10015" s="9">
        <v>16990</v>
      </c>
      <c r="H10015" s="8">
        <v>7388</v>
      </c>
    </row>
    <row r="10016" spans="2:8" x14ac:dyDescent="0.4">
      <c r="B10016" t="s">
        <v>7</v>
      </c>
      <c r="C10016" t="s">
        <v>1479</v>
      </c>
      <c r="D10016" s="7">
        <f>DATE(2008,6,1)</f>
        <v>39600</v>
      </c>
      <c r="E10016" s="8">
        <f t="shared" si="165"/>
        <v>2008</v>
      </c>
      <c r="F10016" t="s">
        <v>1481</v>
      </c>
      <c r="G10016" s="9">
        <v>33867.5</v>
      </c>
      <c r="H10016" s="8">
        <v>7442</v>
      </c>
    </row>
    <row r="10017" spans="2:8" x14ac:dyDescent="0.4">
      <c r="B10017" t="s">
        <v>7</v>
      </c>
      <c r="C10017" t="s">
        <v>1479</v>
      </c>
      <c r="D10017" s="7">
        <f>DATE(2008,9,13)</f>
        <v>39704</v>
      </c>
      <c r="E10017" s="8">
        <f t="shared" si="165"/>
        <v>2008</v>
      </c>
      <c r="F10017" t="s">
        <v>1481</v>
      </c>
      <c r="G10017" s="9">
        <v>2249.3000000000002</v>
      </c>
      <c r="H10017" s="8">
        <v>7823</v>
      </c>
    </row>
    <row r="10018" spans="2:8" x14ac:dyDescent="0.4">
      <c r="B10018" t="s">
        <v>7</v>
      </c>
      <c r="C10018" t="s">
        <v>1479</v>
      </c>
      <c r="D10018" s="7">
        <f>DATE(2009,1,26)</f>
        <v>39839</v>
      </c>
      <c r="E10018" s="8">
        <f t="shared" si="165"/>
        <v>2009</v>
      </c>
      <c r="F10018" t="s">
        <v>1481</v>
      </c>
      <c r="G10018" s="9">
        <v>21467</v>
      </c>
      <c r="H10018" s="8">
        <v>8151</v>
      </c>
    </row>
    <row r="10019" spans="2:8" x14ac:dyDescent="0.4">
      <c r="B10019" t="s">
        <v>7</v>
      </c>
      <c r="C10019" t="s">
        <v>1479</v>
      </c>
      <c r="D10019" s="7">
        <f>DATE(2009,2,9)</f>
        <v>39853</v>
      </c>
      <c r="E10019" s="8">
        <f t="shared" si="165"/>
        <v>2009</v>
      </c>
      <c r="F10019" t="s">
        <v>1481</v>
      </c>
      <c r="G10019" s="9">
        <v>2000</v>
      </c>
      <c r="H10019" s="8">
        <v>8149</v>
      </c>
    </row>
    <row r="10020" spans="2:8" x14ac:dyDescent="0.4">
      <c r="B10020" t="s">
        <v>7</v>
      </c>
      <c r="C10020" t="s">
        <v>1479</v>
      </c>
      <c r="D10020" s="7">
        <f>DATE(2009,6,9)</f>
        <v>39973</v>
      </c>
      <c r="E10020" s="8">
        <f t="shared" si="165"/>
        <v>2009</v>
      </c>
      <c r="F10020" t="s">
        <v>1481</v>
      </c>
      <c r="G10020" s="9">
        <v>10000</v>
      </c>
      <c r="H10020" s="8">
        <v>8767</v>
      </c>
    </row>
    <row r="10021" spans="2:8" x14ac:dyDescent="0.4">
      <c r="B10021" t="s">
        <v>7</v>
      </c>
      <c r="C10021" t="s">
        <v>1479</v>
      </c>
      <c r="D10021" s="7">
        <f>DATE(2009,6,20)</f>
        <v>39984</v>
      </c>
      <c r="E10021" s="8">
        <f t="shared" si="165"/>
        <v>2009</v>
      </c>
      <c r="F10021" t="s">
        <v>1481</v>
      </c>
      <c r="G10021" s="9">
        <v>4010.9</v>
      </c>
      <c r="H10021" s="8">
        <v>8756</v>
      </c>
    </row>
    <row r="10022" spans="2:8" x14ac:dyDescent="0.4">
      <c r="B10022" t="s">
        <v>7</v>
      </c>
      <c r="C10022" t="s">
        <v>1479</v>
      </c>
      <c r="D10022" s="7">
        <f>DATE(2010,4,2)</f>
        <v>40270</v>
      </c>
      <c r="E10022" s="8">
        <f t="shared" si="165"/>
        <v>2010</v>
      </c>
      <c r="F10022" t="s">
        <v>1481</v>
      </c>
      <c r="G10022" s="9">
        <v>8900</v>
      </c>
      <c r="H10022" s="8">
        <v>9701</v>
      </c>
    </row>
    <row r="10023" spans="2:8" x14ac:dyDescent="0.4">
      <c r="B10023" t="s">
        <v>7</v>
      </c>
      <c r="C10023" t="s">
        <v>1479</v>
      </c>
      <c r="D10023" s="7">
        <f>DATE(2010,4,5)</f>
        <v>40273</v>
      </c>
      <c r="E10023" s="8">
        <f t="shared" si="165"/>
        <v>2010</v>
      </c>
      <c r="F10023" t="s">
        <v>1481</v>
      </c>
      <c r="G10023" s="9">
        <v>11710</v>
      </c>
      <c r="H10023" s="8">
        <v>9672</v>
      </c>
    </row>
    <row r="10024" spans="2:8" x14ac:dyDescent="0.4">
      <c r="B10024" t="s">
        <v>7</v>
      </c>
      <c r="C10024" t="s">
        <v>1479</v>
      </c>
      <c r="D10024" s="7">
        <f>DATE(2010,4,5)</f>
        <v>40273</v>
      </c>
      <c r="E10024" s="8">
        <f t="shared" si="165"/>
        <v>2010</v>
      </c>
      <c r="F10024" t="s">
        <v>1481</v>
      </c>
      <c r="G10024" s="9">
        <v>9500</v>
      </c>
      <c r="H10024" s="8">
        <v>9710</v>
      </c>
    </row>
    <row r="10025" spans="2:8" x14ac:dyDescent="0.4">
      <c r="B10025" t="s">
        <v>7</v>
      </c>
      <c r="C10025" t="s">
        <v>1479</v>
      </c>
      <c r="D10025" s="7">
        <f>DATE(2010,4,8)</f>
        <v>40276</v>
      </c>
      <c r="E10025" s="8">
        <f t="shared" si="165"/>
        <v>2010</v>
      </c>
      <c r="F10025" t="s">
        <v>1481</v>
      </c>
      <c r="G10025" s="9">
        <v>10420</v>
      </c>
      <c r="H10025" s="8">
        <v>9709</v>
      </c>
    </row>
    <row r="10026" spans="2:8" x14ac:dyDescent="0.4">
      <c r="B10026" t="s">
        <v>7</v>
      </c>
      <c r="C10026" t="s">
        <v>1479</v>
      </c>
      <c r="D10026" s="7">
        <f>DATE(2010,7,14)</f>
        <v>40373</v>
      </c>
      <c r="E10026" s="8">
        <f t="shared" si="165"/>
        <v>2010</v>
      </c>
      <c r="F10026" t="s">
        <v>1481</v>
      </c>
      <c r="G10026" s="9">
        <v>1239.82</v>
      </c>
      <c r="H10026" s="8">
        <v>9936</v>
      </c>
    </row>
    <row r="10027" spans="2:8" x14ac:dyDescent="0.4">
      <c r="B10027" t="s">
        <v>7</v>
      </c>
      <c r="C10027" t="s">
        <v>1479</v>
      </c>
      <c r="D10027" s="7">
        <f>DATE(2011,5,17)</f>
        <v>40680</v>
      </c>
      <c r="E10027" s="8">
        <f t="shared" si="165"/>
        <v>2011</v>
      </c>
      <c r="F10027" t="s">
        <v>1481</v>
      </c>
      <c r="G10027" s="9">
        <v>12000</v>
      </c>
      <c r="H10027" s="8">
        <v>10733</v>
      </c>
    </row>
    <row r="10028" spans="2:8" x14ac:dyDescent="0.4">
      <c r="B10028" t="s">
        <v>7</v>
      </c>
      <c r="C10028" t="s">
        <v>1479</v>
      </c>
      <c r="D10028" s="7">
        <f>DATE(2011,9,8)</f>
        <v>40794</v>
      </c>
      <c r="E10028" s="8">
        <f t="shared" si="165"/>
        <v>2011</v>
      </c>
      <c r="F10028" t="s">
        <v>1481</v>
      </c>
      <c r="G10028" s="9">
        <v>3495</v>
      </c>
      <c r="H10028" s="8">
        <v>10940</v>
      </c>
    </row>
    <row r="10029" spans="2:8" x14ac:dyDescent="0.4">
      <c r="B10029" s="3" t="s">
        <v>7</v>
      </c>
      <c r="C10029" s="3" t="s">
        <v>1479</v>
      </c>
      <c r="D10029" s="4">
        <f>DATE(2008,5,1)</f>
        <v>39569</v>
      </c>
      <c r="E10029" s="5">
        <f t="shared" si="165"/>
        <v>2008</v>
      </c>
      <c r="F10029" s="3" t="s">
        <v>1481</v>
      </c>
      <c r="G10029" s="6">
        <v>182.4</v>
      </c>
      <c r="H10029" s="5">
        <v>10602</v>
      </c>
    </row>
    <row r="10030" spans="2:8" x14ac:dyDescent="0.4">
      <c r="B10030" s="3" t="s">
        <v>7</v>
      </c>
      <c r="C10030" s="3" t="s">
        <v>1479</v>
      </c>
      <c r="D10030" s="4">
        <f>DATE(2009,5,31)</f>
        <v>39964</v>
      </c>
      <c r="E10030" s="5">
        <f t="shared" si="165"/>
        <v>2009</v>
      </c>
      <c r="F10030" s="3" t="s">
        <v>1481</v>
      </c>
      <c r="G10030" s="6">
        <v>7600</v>
      </c>
      <c r="H10030" s="5">
        <v>12622</v>
      </c>
    </row>
    <row r="10031" spans="2:8" x14ac:dyDescent="0.4">
      <c r="B10031" s="3" t="s">
        <v>7</v>
      </c>
      <c r="C10031" s="3" t="s">
        <v>1479</v>
      </c>
      <c r="D10031" s="4">
        <f>DATE(2010,3,31)</f>
        <v>40268</v>
      </c>
      <c r="E10031" s="5">
        <f t="shared" si="165"/>
        <v>2010</v>
      </c>
      <c r="F10031" s="3" t="s">
        <v>1481</v>
      </c>
      <c r="G10031" s="6">
        <v>3230</v>
      </c>
      <c r="H10031" s="5">
        <v>13813</v>
      </c>
    </row>
    <row r="10032" spans="2:8" x14ac:dyDescent="0.4">
      <c r="B10032" s="3" t="s">
        <v>7</v>
      </c>
      <c r="C10032" s="3" t="s">
        <v>1479</v>
      </c>
      <c r="D10032" s="4">
        <f>DATE(2010,4,8)</f>
        <v>40276</v>
      </c>
      <c r="E10032" s="5">
        <f t="shared" si="165"/>
        <v>2010</v>
      </c>
      <c r="F10032" s="3" t="s">
        <v>1481</v>
      </c>
      <c r="G10032" s="6">
        <v>5866</v>
      </c>
      <c r="H10032" s="5">
        <v>13816</v>
      </c>
    </row>
    <row r="10033" spans="2:8" x14ac:dyDescent="0.4">
      <c r="B10033" s="3" t="s">
        <v>7</v>
      </c>
      <c r="C10033" s="3" t="s">
        <v>1479</v>
      </c>
      <c r="D10033" s="4">
        <f>DATE(2010,4,8)</f>
        <v>40276</v>
      </c>
      <c r="E10033" s="5">
        <f t="shared" si="165"/>
        <v>2010</v>
      </c>
      <c r="F10033" s="3" t="s">
        <v>1481</v>
      </c>
      <c r="G10033" s="6">
        <v>4180</v>
      </c>
      <c r="H10033" s="5">
        <v>13826</v>
      </c>
    </row>
    <row r="10034" spans="2:8" x14ac:dyDescent="0.4">
      <c r="B10034" s="3" t="s">
        <v>7</v>
      </c>
      <c r="C10034" s="3" t="s">
        <v>1479</v>
      </c>
      <c r="D10034" s="4">
        <f>DATE(2010,4,8)</f>
        <v>40276</v>
      </c>
      <c r="E10034" s="5">
        <f t="shared" si="165"/>
        <v>2010</v>
      </c>
      <c r="F10034" s="3" t="s">
        <v>1481</v>
      </c>
      <c r="G10034" s="6">
        <v>4180</v>
      </c>
      <c r="H10034" s="5">
        <v>13825</v>
      </c>
    </row>
    <row r="10035" spans="2:8" x14ac:dyDescent="0.4">
      <c r="B10035" s="3" t="s">
        <v>7</v>
      </c>
      <c r="C10035" s="3" t="s">
        <v>1479</v>
      </c>
      <c r="D10035" s="4">
        <f>DATE(2011,5,12)</f>
        <v>40675</v>
      </c>
      <c r="E10035" s="5">
        <f t="shared" si="165"/>
        <v>2011</v>
      </c>
      <c r="F10035" s="3" t="s">
        <v>1481</v>
      </c>
      <c r="G10035" s="6">
        <v>5700</v>
      </c>
      <c r="H10035" s="5">
        <v>15508</v>
      </c>
    </row>
    <row r="10036" spans="2:8" x14ac:dyDescent="0.4">
      <c r="B10036" t="s">
        <v>7</v>
      </c>
      <c r="C10036" t="s">
        <v>1479</v>
      </c>
      <c r="D10036" s="7">
        <f>DATE(2003,6,4)</f>
        <v>37776</v>
      </c>
      <c r="E10036" s="8">
        <f t="shared" si="165"/>
        <v>2003</v>
      </c>
      <c r="F10036" t="s">
        <v>1482</v>
      </c>
      <c r="G10036" s="9">
        <v>8220.1200000000008</v>
      </c>
      <c r="H10036" s="8">
        <v>589</v>
      </c>
    </row>
    <row r="10037" spans="2:8" x14ac:dyDescent="0.4">
      <c r="B10037" s="3" t="s">
        <v>7</v>
      </c>
      <c r="C10037" s="3" t="s">
        <v>1483</v>
      </c>
      <c r="D10037" s="4">
        <f>DATE(2012,11,12)</f>
        <v>41225</v>
      </c>
      <c r="E10037" s="5">
        <f t="shared" si="165"/>
        <v>2012</v>
      </c>
      <c r="F10037" s="3" t="s">
        <v>1484</v>
      </c>
      <c r="G10037" s="6">
        <v>102.15</v>
      </c>
      <c r="H10037" s="5">
        <v>5265</v>
      </c>
    </row>
    <row r="10038" spans="2:8" x14ac:dyDescent="0.4">
      <c r="B10038" s="3" t="s">
        <v>7</v>
      </c>
      <c r="C10038" s="3" t="s">
        <v>1483</v>
      </c>
      <c r="D10038" s="4">
        <f>DATE(2013,9,23)</f>
        <v>41540</v>
      </c>
      <c r="E10038" s="5">
        <f t="shared" si="165"/>
        <v>2013</v>
      </c>
      <c r="F10038" s="3" t="s">
        <v>1484</v>
      </c>
      <c r="G10038" s="6">
        <v>752.04</v>
      </c>
      <c r="H10038" s="5">
        <v>5692</v>
      </c>
    </row>
    <row r="10039" spans="2:8" x14ac:dyDescent="0.4">
      <c r="B10039" t="s">
        <v>7</v>
      </c>
      <c r="C10039" t="s">
        <v>1485</v>
      </c>
      <c r="D10039" s="7">
        <f>DATE(2017,6,15)</f>
        <v>42901</v>
      </c>
      <c r="E10039" s="8">
        <f t="shared" si="165"/>
        <v>2017</v>
      </c>
      <c r="F10039" t="s">
        <v>1486</v>
      </c>
      <c r="G10039" s="9">
        <v>5138.62</v>
      </c>
      <c r="H10039" s="8">
        <v>25071</v>
      </c>
    </row>
    <row r="10040" spans="2:8" x14ac:dyDescent="0.4">
      <c r="B10040" t="s">
        <v>7</v>
      </c>
      <c r="C10040" t="s">
        <v>1485</v>
      </c>
      <c r="D10040" s="7">
        <f>DATE(2017,10,5)</f>
        <v>43013</v>
      </c>
      <c r="E10040" s="8">
        <f t="shared" si="165"/>
        <v>2017</v>
      </c>
      <c r="F10040" t="s">
        <v>1486</v>
      </c>
      <c r="G10040" s="9">
        <v>3470.09</v>
      </c>
      <c r="H10040" s="8">
        <v>25633</v>
      </c>
    </row>
    <row r="10041" spans="2:8" x14ac:dyDescent="0.4">
      <c r="B10041" t="s">
        <v>7</v>
      </c>
      <c r="C10041" t="s">
        <v>1485</v>
      </c>
      <c r="D10041" s="7">
        <f>DATE(2014,7,8)</f>
        <v>41828</v>
      </c>
      <c r="E10041" s="8">
        <f t="shared" si="165"/>
        <v>2014</v>
      </c>
      <c r="F10041" t="s">
        <v>1486</v>
      </c>
      <c r="G10041" s="9">
        <v>8122.62</v>
      </c>
      <c r="H10041" s="8">
        <v>13318</v>
      </c>
    </row>
    <row r="10042" spans="2:8" x14ac:dyDescent="0.4">
      <c r="B10042" t="s">
        <v>7</v>
      </c>
      <c r="C10042" t="s">
        <v>1487</v>
      </c>
      <c r="D10042" s="7">
        <f>DATE(2006,7,25)</f>
        <v>38923</v>
      </c>
      <c r="E10042" s="8">
        <f t="shared" si="165"/>
        <v>2006</v>
      </c>
      <c r="F10042" t="s">
        <v>1488</v>
      </c>
      <c r="G10042" s="9">
        <v>31635.48</v>
      </c>
      <c r="H10042" s="8">
        <v>4783</v>
      </c>
    </row>
    <row r="10043" spans="2:8" x14ac:dyDescent="0.4">
      <c r="B10043" t="s">
        <v>7</v>
      </c>
      <c r="C10043" t="s">
        <v>1487</v>
      </c>
      <c r="D10043" s="7">
        <f>DATE(2006,7,25)</f>
        <v>38923</v>
      </c>
      <c r="E10043" s="8">
        <f t="shared" si="165"/>
        <v>2006</v>
      </c>
      <c r="F10043" t="s">
        <v>1488</v>
      </c>
      <c r="G10043" s="9">
        <v>9131.0499999999993</v>
      </c>
      <c r="H10043" s="8">
        <v>4784</v>
      </c>
    </row>
    <row r="10044" spans="2:8" x14ac:dyDescent="0.4">
      <c r="B10044" s="3" t="s">
        <v>7</v>
      </c>
      <c r="C10044" s="3" t="s">
        <v>1487</v>
      </c>
      <c r="D10044" s="4">
        <f>DATE(2006,7,17)</f>
        <v>38915</v>
      </c>
      <c r="E10044" s="5">
        <f t="shared" si="165"/>
        <v>2006</v>
      </c>
      <c r="F10044" s="3" t="s">
        <v>1488</v>
      </c>
      <c r="G10044" s="6">
        <v>53703.5</v>
      </c>
      <c r="H10044" s="5">
        <v>6954</v>
      </c>
    </row>
    <row r="10045" spans="2:8" x14ac:dyDescent="0.4">
      <c r="B10045" t="s">
        <v>7</v>
      </c>
      <c r="C10045" t="s">
        <v>1489</v>
      </c>
      <c r="D10045" s="7">
        <f>DATE(2004,8,9)</f>
        <v>38208</v>
      </c>
      <c r="E10045" s="8">
        <f t="shared" si="165"/>
        <v>2004</v>
      </c>
      <c r="F10045" t="s">
        <v>1490</v>
      </c>
      <c r="G10045" s="9">
        <v>350</v>
      </c>
      <c r="H10045" s="8">
        <v>2043</v>
      </c>
    </row>
    <row r="10046" spans="2:8" x14ac:dyDescent="0.4">
      <c r="B10046" s="3" t="s">
        <v>7</v>
      </c>
      <c r="C10046" s="3" t="s">
        <v>1489</v>
      </c>
      <c r="D10046" s="4">
        <f>DATE(2003,5,15)</f>
        <v>37756</v>
      </c>
      <c r="E10046" s="5">
        <f t="shared" si="165"/>
        <v>2003</v>
      </c>
      <c r="F10046" s="3" t="s">
        <v>1490</v>
      </c>
      <c r="G10046" s="6">
        <v>1968.54</v>
      </c>
      <c r="H10046" s="5">
        <v>968</v>
      </c>
    </row>
    <row r="10047" spans="2:8" x14ac:dyDescent="0.4">
      <c r="B10047" s="3" t="s">
        <v>7</v>
      </c>
      <c r="C10047" s="3" t="s">
        <v>1489</v>
      </c>
      <c r="D10047" s="4">
        <f>DATE(2004,4,7)</f>
        <v>38084</v>
      </c>
      <c r="E10047" s="5">
        <f t="shared" si="165"/>
        <v>2004</v>
      </c>
      <c r="F10047" s="3" t="s">
        <v>1490</v>
      </c>
      <c r="G10047" s="6">
        <v>7564.05</v>
      </c>
      <c r="H10047" s="5">
        <v>2622</v>
      </c>
    </row>
    <row r="10048" spans="2:8" x14ac:dyDescent="0.4">
      <c r="B10048" s="3" t="s">
        <v>7</v>
      </c>
      <c r="C10048" s="3" t="s">
        <v>1489</v>
      </c>
      <c r="D10048" s="4">
        <f>DATE(2004,4,21)</f>
        <v>38098</v>
      </c>
      <c r="E10048" s="5">
        <f t="shared" si="165"/>
        <v>2004</v>
      </c>
      <c r="F10048" s="3" t="s">
        <v>1490</v>
      </c>
      <c r="G10048" s="6">
        <v>5042.7</v>
      </c>
      <c r="H10048" s="5">
        <v>2694</v>
      </c>
    </row>
    <row r="10049" spans="2:8" x14ac:dyDescent="0.4">
      <c r="B10049" s="3" t="s">
        <v>7</v>
      </c>
      <c r="C10049" s="3" t="s">
        <v>1489</v>
      </c>
      <c r="D10049" s="4">
        <f>DATE(2004,8,12)</f>
        <v>38211</v>
      </c>
      <c r="E10049" s="5">
        <f t="shared" si="165"/>
        <v>2004</v>
      </c>
      <c r="F10049" s="3" t="s">
        <v>1490</v>
      </c>
      <c r="G10049" s="6">
        <v>2532.13</v>
      </c>
      <c r="H10049" s="5">
        <v>3192</v>
      </c>
    </row>
    <row r="10050" spans="2:8" x14ac:dyDescent="0.4">
      <c r="B10050" s="3" t="s">
        <v>7</v>
      </c>
      <c r="C10050" s="3" t="s">
        <v>1489</v>
      </c>
      <c r="D10050" s="4">
        <f>DATE(2004,12,2)</f>
        <v>38323</v>
      </c>
      <c r="E10050" s="5">
        <f t="shared" si="165"/>
        <v>2004</v>
      </c>
      <c r="F10050" s="3" t="s">
        <v>1490</v>
      </c>
      <c r="G10050" s="6">
        <v>2772.63</v>
      </c>
      <c r="H10050" s="5">
        <v>3790</v>
      </c>
    </row>
    <row r="10051" spans="2:8" x14ac:dyDescent="0.4">
      <c r="B10051" s="3" t="s">
        <v>7</v>
      </c>
      <c r="C10051" s="3" t="s">
        <v>1489</v>
      </c>
      <c r="D10051" s="4">
        <f>DATE(2005,1,14)</f>
        <v>38366</v>
      </c>
      <c r="E10051" s="5">
        <f t="shared" ref="E10051:E10114" si="166">YEAR(D10051)</f>
        <v>2005</v>
      </c>
      <c r="F10051" s="3" t="s">
        <v>1490</v>
      </c>
      <c r="G10051" s="6">
        <v>2532.13</v>
      </c>
      <c r="H10051" s="5">
        <v>3906</v>
      </c>
    </row>
    <row r="10052" spans="2:8" x14ac:dyDescent="0.4">
      <c r="B10052" s="3" t="s">
        <v>7</v>
      </c>
      <c r="C10052" s="3" t="s">
        <v>1489</v>
      </c>
      <c r="D10052" s="4">
        <f>DATE(2005,9,22)</f>
        <v>38617</v>
      </c>
      <c r="E10052" s="5">
        <f t="shared" si="166"/>
        <v>2005</v>
      </c>
      <c r="F10052" s="3" t="s">
        <v>1490</v>
      </c>
      <c r="G10052" s="6">
        <v>6238.76</v>
      </c>
      <c r="H10052" s="5">
        <v>5139</v>
      </c>
    </row>
    <row r="10053" spans="2:8" x14ac:dyDescent="0.4">
      <c r="B10053" s="3" t="s">
        <v>7</v>
      </c>
      <c r="C10053" s="3" t="s">
        <v>1489</v>
      </c>
      <c r="D10053" s="4">
        <f>DATE(2006,6,9)</f>
        <v>38877</v>
      </c>
      <c r="E10053" s="5">
        <f t="shared" si="166"/>
        <v>2006</v>
      </c>
      <c r="F10053" s="3" t="s">
        <v>1490</v>
      </c>
      <c r="G10053" s="6">
        <v>6249.5</v>
      </c>
      <c r="H10053" s="5">
        <v>6700</v>
      </c>
    </row>
    <row r="10054" spans="2:8" x14ac:dyDescent="0.4">
      <c r="B10054" s="3" t="s">
        <v>7</v>
      </c>
      <c r="C10054" s="3" t="s">
        <v>1489</v>
      </c>
      <c r="D10054" s="4">
        <f>DATE(2007,3,22)</f>
        <v>39163</v>
      </c>
      <c r="E10054" s="5">
        <f t="shared" si="166"/>
        <v>2007</v>
      </c>
      <c r="F10054" s="3" t="s">
        <v>1490</v>
      </c>
      <c r="G10054" s="6">
        <v>3340.26</v>
      </c>
      <c r="H10054" s="5">
        <v>8086</v>
      </c>
    </row>
    <row r="10055" spans="2:8" x14ac:dyDescent="0.4">
      <c r="B10055" s="3" t="s">
        <v>16</v>
      </c>
      <c r="C10055" s="3" t="s">
        <v>1489</v>
      </c>
      <c r="D10055" s="4">
        <f>DATE(2003,6,12)</f>
        <v>37784</v>
      </c>
      <c r="E10055" s="5">
        <f t="shared" si="166"/>
        <v>2003</v>
      </c>
      <c r="F10055" s="3" t="s">
        <v>1490</v>
      </c>
      <c r="G10055" s="6">
        <v>2.09</v>
      </c>
      <c r="H10055" s="5">
        <v>1228</v>
      </c>
    </row>
    <row r="10056" spans="2:8" x14ac:dyDescent="0.4">
      <c r="B10056" t="s">
        <v>7</v>
      </c>
      <c r="C10056" t="s">
        <v>1491</v>
      </c>
      <c r="D10056" s="7">
        <f>DATE(2015,5,5)</f>
        <v>42129</v>
      </c>
      <c r="E10056" s="8">
        <f t="shared" si="166"/>
        <v>2015</v>
      </c>
      <c r="F10056" t="s">
        <v>1492</v>
      </c>
      <c r="G10056" s="9">
        <v>13148.72</v>
      </c>
      <c r="H10056" s="8">
        <v>20025</v>
      </c>
    </row>
    <row r="10057" spans="2:8" x14ac:dyDescent="0.4">
      <c r="B10057" t="s">
        <v>7</v>
      </c>
      <c r="C10057" t="s">
        <v>1491</v>
      </c>
      <c r="D10057" s="7">
        <f>DATE(2015,5,5)</f>
        <v>42129</v>
      </c>
      <c r="E10057" s="8">
        <f t="shared" si="166"/>
        <v>2015</v>
      </c>
      <c r="F10057" t="s">
        <v>1492</v>
      </c>
      <c r="G10057" s="9">
        <v>8104.5</v>
      </c>
      <c r="H10057" s="8">
        <v>20116</v>
      </c>
    </row>
    <row r="10058" spans="2:8" x14ac:dyDescent="0.4">
      <c r="B10058" t="s">
        <v>7</v>
      </c>
      <c r="C10058" t="s">
        <v>1491</v>
      </c>
      <c r="D10058" s="7">
        <f>DATE(2010,9,27)</f>
        <v>40448</v>
      </c>
      <c r="E10058" s="8">
        <f t="shared" si="166"/>
        <v>2010</v>
      </c>
      <c r="F10058" t="s">
        <v>1492</v>
      </c>
      <c r="G10058" s="9">
        <v>10223.709999999999</v>
      </c>
      <c r="H10058" s="8">
        <v>10144</v>
      </c>
    </row>
    <row r="10059" spans="2:8" x14ac:dyDescent="0.4">
      <c r="B10059" t="s">
        <v>7</v>
      </c>
      <c r="C10059" t="s">
        <v>1491</v>
      </c>
      <c r="D10059" s="7">
        <f>DATE(2012,7,24)</f>
        <v>41114</v>
      </c>
      <c r="E10059" s="8">
        <f t="shared" si="166"/>
        <v>2012</v>
      </c>
      <c r="F10059" t="s">
        <v>1492</v>
      </c>
      <c r="G10059" s="9">
        <v>16925.66</v>
      </c>
      <c r="H10059" s="8">
        <v>11590</v>
      </c>
    </row>
    <row r="10060" spans="2:8" x14ac:dyDescent="0.4">
      <c r="B10060" t="s">
        <v>7</v>
      </c>
      <c r="C10060" t="s">
        <v>1491</v>
      </c>
      <c r="D10060" s="7">
        <f>DATE(2012,8,8)</f>
        <v>41129</v>
      </c>
      <c r="E10060" s="8">
        <f t="shared" si="166"/>
        <v>2012</v>
      </c>
      <c r="F10060" t="s">
        <v>1492</v>
      </c>
      <c r="G10060" s="9">
        <v>1091.3499999999999</v>
      </c>
      <c r="H10060" s="8">
        <v>11796</v>
      </c>
    </row>
    <row r="10061" spans="2:8" x14ac:dyDescent="0.4">
      <c r="B10061" t="s">
        <v>7</v>
      </c>
      <c r="C10061" t="s">
        <v>1493</v>
      </c>
      <c r="D10061" s="7">
        <f>DATE(2005,10,5)</f>
        <v>38630</v>
      </c>
      <c r="E10061" s="8">
        <f t="shared" si="166"/>
        <v>2005</v>
      </c>
      <c r="F10061" t="s">
        <v>1494</v>
      </c>
      <c r="G10061" s="9">
        <v>2932.96</v>
      </c>
      <c r="H10061" s="8">
        <v>3652</v>
      </c>
    </row>
    <row r="10062" spans="2:8" x14ac:dyDescent="0.4">
      <c r="B10062" t="s">
        <v>7</v>
      </c>
      <c r="C10062" t="s">
        <v>1495</v>
      </c>
      <c r="D10062" s="7">
        <f>DATE(2013,10,9)</f>
        <v>41556</v>
      </c>
      <c r="E10062" s="8">
        <f t="shared" si="166"/>
        <v>2013</v>
      </c>
      <c r="F10062" t="s">
        <v>1496</v>
      </c>
      <c r="G10062" s="9">
        <v>59910</v>
      </c>
      <c r="H10062" s="8">
        <v>12685</v>
      </c>
    </row>
    <row r="10063" spans="2:8" x14ac:dyDescent="0.4">
      <c r="B10063" t="s">
        <v>7</v>
      </c>
      <c r="C10063" t="s">
        <v>747</v>
      </c>
      <c r="D10063" s="7">
        <f>DATE(2003,7,31)</f>
        <v>37833</v>
      </c>
      <c r="E10063" s="8">
        <f t="shared" si="166"/>
        <v>2003</v>
      </c>
      <c r="F10063" t="s">
        <v>1497</v>
      </c>
      <c r="G10063" s="9">
        <v>7777.81</v>
      </c>
      <c r="H10063" s="8">
        <v>721</v>
      </c>
    </row>
    <row r="10064" spans="2:8" x14ac:dyDescent="0.4">
      <c r="B10064" t="s">
        <v>16</v>
      </c>
      <c r="C10064" t="s">
        <v>747</v>
      </c>
      <c r="D10064" s="7">
        <f>DATE(2003,9,1)</f>
        <v>37865</v>
      </c>
      <c r="E10064" s="8">
        <f t="shared" si="166"/>
        <v>2003</v>
      </c>
      <c r="F10064" t="s">
        <v>1497</v>
      </c>
      <c r="G10064" s="9">
        <v>2602.19</v>
      </c>
      <c r="H10064" s="8">
        <v>903</v>
      </c>
    </row>
    <row r="10065" spans="2:8" x14ac:dyDescent="0.4">
      <c r="B10065" s="3" t="s">
        <v>7</v>
      </c>
      <c r="C10065" s="3" t="s">
        <v>747</v>
      </c>
      <c r="D10065" s="4">
        <f>DATE(2003,2,26)</f>
        <v>37678</v>
      </c>
      <c r="E10065" s="5">
        <f t="shared" si="166"/>
        <v>2003</v>
      </c>
      <c r="F10065" s="3" t="s">
        <v>1497</v>
      </c>
      <c r="G10065" s="6">
        <v>128</v>
      </c>
      <c r="H10065" s="5">
        <v>405</v>
      </c>
    </row>
    <row r="10066" spans="2:8" x14ac:dyDescent="0.4">
      <c r="B10066" s="3" t="s">
        <v>7</v>
      </c>
      <c r="C10066" s="3" t="s">
        <v>747</v>
      </c>
      <c r="D10066" s="4">
        <f>DATE(2003,5,30)</f>
        <v>37771</v>
      </c>
      <c r="E10066" s="5">
        <f t="shared" si="166"/>
        <v>2003</v>
      </c>
      <c r="F10066" s="3" t="s">
        <v>1497</v>
      </c>
      <c r="G10066" s="6">
        <v>64</v>
      </c>
      <c r="H10066" s="5">
        <v>1040</v>
      </c>
    </row>
    <row r="10067" spans="2:8" x14ac:dyDescent="0.4">
      <c r="B10067" s="3" t="s">
        <v>7</v>
      </c>
      <c r="C10067" s="3" t="s">
        <v>747</v>
      </c>
      <c r="D10067" s="4">
        <f>DATE(2003,7,23)</f>
        <v>37825</v>
      </c>
      <c r="E10067" s="5">
        <f t="shared" si="166"/>
        <v>2003</v>
      </c>
      <c r="F10067" s="3" t="s">
        <v>1497</v>
      </c>
      <c r="G10067" s="6">
        <v>64</v>
      </c>
      <c r="H10067" s="5">
        <v>1261</v>
      </c>
    </row>
    <row r="10068" spans="2:8" x14ac:dyDescent="0.4">
      <c r="B10068" s="3" t="s">
        <v>7</v>
      </c>
      <c r="C10068" s="3" t="s">
        <v>747</v>
      </c>
      <c r="D10068" s="4">
        <f>DATE(2003,9,3)</f>
        <v>37867</v>
      </c>
      <c r="E10068" s="5">
        <f t="shared" si="166"/>
        <v>2003</v>
      </c>
      <c r="F10068" s="3" t="s">
        <v>1497</v>
      </c>
      <c r="G10068" s="6">
        <v>11520</v>
      </c>
      <c r="H10068" s="5">
        <v>1436</v>
      </c>
    </row>
    <row r="10069" spans="2:8" x14ac:dyDescent="0.4">
      <c r="B10069" s="3" t="s">
        <v>7</v>
      </c>
      <c r="C10069" s="3" t="s">
        <v>747</v>
      </c>
      <c r="D10069" s="4">
        <f>DATE(2004,2,27)</f>
        <v>38044</v>
      </c>
      <c r="E10069" s="5">
        <f t="shared" si="166"/>
        <v>2004</v>
      </c>
      <c r="F10069" s="3" t="s">
        <v>1497</v>
      </c>
      <c r="G10069" s="6">
        <v>1440</v>
      </c>
      <c r="H10069" s="5">
        <v>2263</v>
      </c>
    </row>
    <row r="10070" spans="2:8" x14ac:dyDescent="0.4">
      <c r="B10070" s="3" t="s">
        <v>7</v>
      </c>
      <c r="C10070" s="3" t="s">
        <v>747</v>
      </c>
      <c r="D10070" s="4">
        <f>DATE(2004,9,2)</f>
        <v>38232</v>
      </c>
      <c r="E10070" s="5">
        <f t="shared" si="166"/>
        <v>2004</v>
      </c>
      <c r="F10070" s="3" t="s">
        <v>1497</v>
      </c>
      <c r="G10070" s="6">
        <v>1045</v>
      </c>
      <c r="H10070" s="5">
        <v>3333</v>
      </c>
    </row>
    <row r="10071" spans="2:8" x14ac:dyDescent="0.4">
      <c r="B10071" s="3" t="s">
        <v>7</v>
      </c>
      <c r="C10071" s="3" t="s">
        <v>747</v>
      </c>
      <c r="D10071" s="4">
        <f>DATE(2004,9,22)</f>
        <v>38252</v>
      </c>
      <c r="E10071" s="5">
        <f t="shared" si="166"/>
        <v>2004</v>
      </c>
      <c r="F10071" s="3" t="s">
        <v>1497</v>
      </c>
      <c r="G10071" s="6">
        <v>14400</v>
      </c>
      <c r="H10071" s="5">
        <v>3430</v>
      </c>
    </row>
    <row r="10072" spans="2:8" x14ac:dyDescent="0.4">
      <c r="B10072" s="3" t="s">
        <v>7</v>
      </c>
      <c r="C10072" s="3" t="s">
        <v>747</v>
      </c>
      <c r="D10072" s="4">
        <f>DATE(2004,10,14)</f>
        <v>38274</v>
      </c>
      <c r="E10072" s="5">
        <f t="shared" si="166"/>
        <v>2004</v>
      </c>
      <c r="F10072" s="3" t="s">
        <v>1497</v>
      </c>
      <c r="G10072" s="6">
        <v>96</v>
      </c>
      <c r="H10072" s="5">
        <v>3570</v>
      </c>
    </row>
    <row r="10073" spans="2:8" x14ac:dyDescent="0.4">
      <c r="B10073" s="3" t="s">
        <v>7</v>
      </c>
      <c r="C10073" s="3" t="s">
        <v>1498</v>
      </c>
      <c r="D10073" s="4">
        <f>DATE(2007,11,30)</f>
        <v>39416</v>
      </c>
      <c r="E10073" s="5">
        <f t="shared" si="166"/>
        <v>2007</v>
      </c>
      <c r="F10073" s="3" t="s">
        <v>1499</v>
      </c>
      <c r="G10073" s="6">
        <v>565</v>
      </c>
      <c r="H10073" s="5">
        <v>9546</v>
      </c>
    </row>
    <row r="10074" spans="2:8" x14ac:dyDescent="0.4">
      <c r="B10074" s="3" t="s">
        <v>7</v>
      </c>
      <c r="C10074" s="3" t="s">
        <v>1498</v>
      </c>
      <c r="D10074" s="4">
        <f>DATE(2011,5,24)</f>
        <v>40687</v>
      </c>
      <c r="E10074" s="5">
        <f t="shared" si="166"/>
        <v>2011</v>
      </c>
      <c r="F10074" s="3" t="s">
        <v>1499</v>
      </c>
      <c r="G10074" s="6">
        <v>712.48</v>
      </c>
      <c r="H10074" s="5">
        <v>15619</v>
      </c>
    </row>
    <row r="10075" spans="2:8" x14ac:dyDescent="0.4">
      <c r="B10075" s="3" t="s">
        <v>7</v>
      </c>
      <c r="C10075" s="3" t="s">
        <v>1498</v>
      </c>
      <c r="D10075" s="4">
        <f>DATE(2012,2,24)</f>
        <v>40963</v>
      </c>
      <c r="E10075" s="5">
        <f t="shared" si="166"/>
        <v>2012</v>
      </c>
      <c r="F10075" s="3" t="s">
        <v>1499</v>
      </c>
      <c r="G10075" s="6">
        <v>2920</v>
      </c>
      <c r="H10075" s="5">
        <v>16557</v>
      </c>
    </row>
    <row r="10076" spans="2:8" x14ac:dyDescent="0.4">
      <c r="B10076" t="s">
        <v>7</v>
      </c>
      <c r="C10076" t="s">
        <v>1500</v>
      </c>
      <c r="D10076" s="7">
        <f>DATE(2016,10,5)</f>
        <v>42648</v>
      </c>
      <c r="E10076" s="8">
        <f t="shared" si="166"/>
        <v>2016</v>
      </c>
      <c r="F10076" t="s">
        <v>1501</v>
      </c>
      <c r="G10076" s="9">
        <v>330.6</v>
      </c>
      <c r="H10076" s="8">
        <v>23583</v>
      </c>
    </row>
    <row r="10077" spans="2:8" x14ac:dyDescent="0.4">
      <c r="B10077" t="s">
        <v>7</v>
      </c>
      <c r="C10077" t="s">
        <v>1500</v>
      </c>
      <c r="D10077" s="7">
        <f>DATE(2016,10,5)</f>
        <v>42648</v>
      </c>
      <c r="E10077" s="8">
        <f t="shared" si="166"/>
        <v>2016</v>
      </c>
      <c r="F10077" t="s">
        <v>1501</v>
      </c>
      <c r="G10077" s="9">
        <v>330.6</v>
      </c>
      <c r="H10077" s="8">
        <v>23572</v>
      </c>
    </row>
    <row r="10078" spans="2:8" x14ac:dyDescent="0.4">
      <c r="B10078" s="3" t="s">
        <v>7</v>
      </c>
      <c r="C10078" s="3" t="s">
        <v>1500</v>
      </c>
      <c r="D10078" s="4">
        <f>DATE(2004,10,12)</f>
        <v>38272</v>
      </c>
      <c r="E10078" s="5">
        <f t="shared" si="166"/>
        <v>2004</v>
      </c>
      <c r="F10078" s="3" t="s">
        <v>1501</v>
      </c>
      <c r="G10078" s="6">
        <v>333.97</v>
      </c>
      <c r="H10078" s="5">
        <v>806</v>
      </c>
    </row>
    <row r="10079" spans="2:8" x14ac:dyDescent="0.4">
      <c r="B10079" s="3" t="s">
        <v>7</v>
      </c>
      <c r="C10079" s="3" t="s">
        <v>1500</v>
      </c>
      <c r="D10079" s="4">
        <f>DATE(2005,3,1)</f>
        <v>38412</v>
      </c>
      <c r="E10079" s="5">
        <f t="shared" si="166"/>
        <v>2005</v>
      </c>
      <c r="F10079" s="3" t="s">
        <v>1501</v>
      </c>
      <c r="G10079" s="6">
        <v>535.51</v>
      </c>
      <c r="H10079" s="5">
        <v>974</v>
      </c>
    </row>
    <row r="10080" spans="2:8" x14ac:dyDescent="0.4">
      <c r="B10080" s="3" t="s">
        <v>7</v>
      </c>
      <c r="C10080" s="3" t="s">
        <v>1500</v>
      </c>
      <c r="D10080" s="4">
        <f>DATE(2006,4,18)</f>
        <v>38825</v>
      </c>
      <c r="E10080" s="5">
        <f t="shared" si="166"/>
        <v>2006</v>
      </c>
      <c r="F10080" s="3" t="s">
        <v>1501</v>
      </c>
      <c r="G10080" s="6">
        <v>1169.8499999999999</v>
      </c>
      <c r="H10080" s="5">
        <v>1498</v>
      </c>
    </row>
    <row r="10081" spans="2:8" x14ac:dyDescent="0.4">
      <c r="B10081" s="3" t="s">
        <v>7</v>
      </c>
      <c r="C10081" s="3" t="s">
        <v>1500</v>
      </c>
      <c r="D10081" s="4">
        <f>DATE(2007,1,3)</f>
        <v>39085</v>
      </c>
      <c r="E10081" s="5">
        <f t="shared" si="166"/>
        <v>2007</v>
      </c>
      <c r="F10081" s="3" t="s">
        <v>1501</v>
      </c>
      <c r="G10081" s="6">
        <v>579.98</v>
      </c>
      <c r="H10081" s="5">
        <v>1976</v>
      </c>
    </row>
    <row r="10082" spans="2:8" x14ac:dyDescent="0.4">
      <c r="B10082" s="3" t="s">
        <v>7</v>
      </c>
      <c r="C10082" s="3" t="s">
        <v>1500</v>
      </c>
      <c r="D10082" s="4">
        <f>DATE(2008,6,9)</f>
        <v>39608</v>
      </c>
      <c r="E10082" s="5">
        <f t="shared" si="166"/>
        <v>2008</v>
      </c>
      <c r="F10082" s="3" t="s">
        <v>1501</v>
      </c>
      <c r="G10082" s="6">
        <v>440.8</v>
      </c>
      <c r="H10082" s="5">
        <v>2861</v>
      </c>
    </row>
    <row r="10083" spans="2:8" x14ac:dyDescent="0.4">
      <c r="B10083" s="3" t="s">
        <v>7</v>
      </c>
      <c r="C10083" s="3" t="s">
        <v>1500</v>
      </c>
      <c r="D10083" s="4">
        <f>DATE(2009,11,13)</f>
        <v>40130</v>
      </c>
      <c r="E10083" s="5">
        <f t="shared" si="166"/>
        <v>2009</v>
      </c>
      <c r="F10083" s="3" t="s">
        <v>1501</v>
      </c>
      <c r="G10083" s="6">
        <v>2145.6999999999998</v>
      </c>
      <c r="H10083" s="5">
        <v>3636</v>
      </c>
    </row>
    <row r="10084" spans="2:8" x14ac:dyDescent="0.4">
      <c r="B10084" s="3" t="s">
        <v>7</v>
      </c>
      <c r="C10084" s="3" t="s">
        <v>1500</v>
      </c>
      <c r="D10084" s="4">
        <f>DATE(2012,1,5)</f>
        <v>40913</v>
      </c>
      <c r="E10084" s="5">
        <f t="shared" si="166"/>
        <v>2012</v>
      </c>
      <c r="F10084" s="3" t="s">
        <v>1501</v>
      </c>
      <c r="G10084" s="6">
        <v>339.84</v>
      </c>
      <c r="H10084" s="5">
        <v>4704</v>
      </c>
    </row>
    <row r="10085" spans="2:8" x14ac:dyDescent="0.4">
      <c r="B10085" s="3" t="s">
        <v>7</v>
      </c>
      <c r="C10085" s="3" t="s">
        <v>1500</v>
      </c>
      <c r="D10085" s="4">
        <f>DATE(2012,11,19)</f>
        <v>41232</v>
      </c>
      <c r="E10085" s="5">
        <f t="shared" si="166"/>
        <v>2012</v>
      </c>
      <c r="F10085" s="3" t="s">
        <v>1501</v>
      </c>
      <c r="G10085" s="6">
        <v>1342.4</v>
      </c>
      <c r="H10085" s="5">
        <v>5276</v>
      </c>
    </row>
    <row r="10086" spans="2:8" x14ac:dyDescent="0.4">
      <c r="B10086" s="3" t="s">
        <v>7</v>
      </c>
      <c r="C10086" s="3" t="s">
        <v>1500</v>
      </c>
      <c r="D10086" s="4">
        <f>DATE(2013,2,1)</f>
        <v>41306</v>
      </c>
      <c r="E10086" s="5">
        <f t="shared" si="166"/>
        <v>2013</v>
      </c>
      <c r="F10086" s="3" t="s">
        <v>1501</v>
      </c>
      <c r="G10086" s="6">
        <v>881.6</v>
      </c>
      <c r="H10086" s="5">
        <v>5391</v>
      </c>
    </row>
    <row r="10087" spans="2:8" x14ac:dyDescent="0.4">
      <c r="B10087" s="3" t="s">
        <v>7</v>
      </c>
      <c r="C10087" s="3" t="s">
        <v>1500</v>
      </c>
      <c r="D10087" s="4">
        <f>DATE(2013,11,1)</f>
        <v>41579</v>
      </c>
      <c r="E10087" s="5">
        <f t="shared" si="166"/>
        <v>2013</v>
      </c>
      <c r="F10087" s="3" t="s">
        <v>1501</v>
      </c>
      <c r="G10087" s="6">
        <v>220.4</v>
      </c>
      <c r="H10087" s="5">
        <v>5870</v>
      </c>
    </row>
    <row r="10088" spans="2:8" x14ac:dyDescent="0.4">
      <c r="B10088" t="s">
        <v>7</v>
      </c>
      <c r="C10088" t="s">
        <v>1502</v>
      </c>
      <c r="D10088" s="7">
        <f>DATE(2006,9,8)</f>
        <v>38968</v>
      </c>
      <c r="E10088" s="8">
        <f t="shared" si="166"/>
        <v>2006</v>
      </c>
      <c r="F10088" t="s">
        <v>1503</v>
      </c>
      <c r="G10088" s="9">
        <v>10229.040000000001</v>
      </c>
      <c r="H10088" s="8">
        <v>4914</v>
      </c>
    </row>
    <row r="10089" spans="2:8" x14ac:dyDescent="0.4">
      <c r="B10089" t="s">
        <v>7</v>
      </c>
      <c r="C10089" t="s">
        <v>1504</v>
      </c>
      <c r="D10089" s="7">
        <f>DATE(2016,10,31)</f>
        <v>42674</v>
      </c>
      <c r="E10089" s="8">
        <f t="shared" si="166"/>
        <v>2016</v>
      </c>
      <c r="F10089" t="s">
        <v>1505</v>
      </c>
      <c r="G10089" s="9">
        <v>7148.35</v>
      </c>
      <c r="H10089" s="8">
        <v>23682</v>
      </c>
    </row>
    <row r="10090" spans="2:8" x14ac:dyDescent="0.4">
      <c r="B10090" t="s">
        <v>7</v>
      </c>
      <c r="C10090" t="s">
        <v>1504</v>
      </c>
      <c r="D10090" s="7">
        <f>DATE(2016,11,18)</f>
        <v>42692</v>
      </c>
      <c r="E10090" s="8">
        <f t="shared" si="166"/>
        <v>2016</v>
      </c>
      <c r="F10090" t="s">
        <v>1505</v>
      </c>
      <c r="G10090" s="9">
        <v>383.09</v>
      </c>
      <c r="H10090" s="8">
        <v>23843</v>
      </c>
    </row>
    <row r="10091" spans="2:8" x14ac:dyDescent="0.4">
      <c r="B10091" t="s">
        <v>7</v>
      </c>
      <c r="C10091" t="s">
        <v>1506</v>
      </c>
      <c r="D10091" s="7">
        <f>DATE(2005,8,16)</f>
        <v>38580</v>
      </c>
      <c r="E10091" s="8">
        <f t="shared" si="166"/>
        <v>2005</v>
      </c>
      <c r="F10091" t="s">
        <v>1507</v>
      </c>
      <c r="G10091" s="9">
        <v>2532.98</v>
      </c>
      <c r="H10091" s="8">
        <v>3489</v>
      </c>
    </row>
    <row r="10092" spans="2:8" x14ac:dyDescent="0.4">
      <c r="B10092" t="s">
        <v>7</v>
      </c>
      <c r="C10092" t="s">
        <v>1508</v>
      </c>
      <c r="D10092" s="7">
        <f>DATE(2014,5,30)</f>
        <v>41789</v>
      </c>
      <c r="E10092" s="8">
        <f t="shared" si="166"/>
        <v>2014</v>
      </c>
      <c r="F10092" t="s">
        <v>1509</v>
      </c>
      <c r="G10092" s="9">
        <v>4294.43</v>
      </c>
      <c r="H10092" s="8">
        <v>13197</v>
      </c>
    </row>
    <row r="10093" spans="2:8" x14ac:dyDescent="0.4">
      <c r="B10093" t="s">
        <v>7</v>
      </c>
      <c r="C10093" t="s">
        <v>1508</v>
      </c>
      <c r="D10093" s="7">
        <f>DATE(2015,5,11)</f>
        <v>42135</v>
      </c>
      <c r="E10093" s="8">
        <f t="shared" si="166"/>
        <v>2015</v>
      </c>
      <c r="F10093" t="s">
        <v>1510</v>
      </c>
      <c r="G10093" s="9">
        <v>48164.800000000003</v>
      </c>
      <c r="H10093" s="8">
        <v>20152</v>
      </c>
    </row>
    <row r="10094" spans="2:8" x14ac:dyDescent="0.4">
      <c r="B10094" t="s">
        <v>7</v>
      </c>
      <c r="C10094" t="s">
        <v>1508</v>
      </c>
      <c r="D10094" s="7">
        <f>DATE(2015,11,18)</f>
        <v>42326</v>
      </c>
      <c r="E10094" s="8">
        <f t="shared" si="166"/>
        <v>2015</v>
      </c>
      <c r="F10094" t="s">
        <v>1510</v>
      </c>
      <c r="G10094" s="9">
        <v>94548</v>
      </c>
      <c r="H10094" s="8">
        <v>20681</v>
      </c>
    </row>
    <row r="10095" spans="2:8" x14ac:dyDescent="0.4">
      <c r="B10095" t="s">
        <v>7</v>
      </c>
      <c r="C10095" t="s">
        <v>1508</v>
      </c>
      <c r="D10095" s="7">
        <f>DATE(2015,11,18)</f>
        <v>42326</v>
      </c>
      <c r="E10095" s="8">
        <f t="shared" si="166"/>
        <v>2015</v>
      </c>
      <c r="F10095" t="s">
        <v>1510</v>
      </c>
      <c r="G10095" s="9">
        <v>7027.31</v>
      </c>
      <c r="H10095" s="8">
        <v>21312</v>
      </c>
    </row>
    <row r="10096" spans="2:8" x14ac:dyDescent="0.4">
      <c r="B10096" t="s">
        <v>7</v>
      </c>
      <c r="C10096" t="s">
        <v>1508</v>
      </c>
      <c r="D10096" s="7">
        <f>DATE(2015,11,24)</f>
        <v>42332</v>
      </c>
      <c r="E10096" s="8">
        <f t="shared" si="166"/>
        <v>2015</v>
      </c>
      <c r="F10096" t="s">
        <v>1510</v>
      </c>
      <c r="G10096" s="9">
        <v>2589</v>
      </c>
      <c r="H10096" s="8">
        <v>21343</v>
      </c>
    </row>
    <row r="10097" spans="2:8" x14ac:dyDescent="0.4">
      <c r="B10097" t="s">
        <v>7</v>
      </c>
      <c r="C10097" t="s">
        <v>1508</v>
      </c>
      <c r="D10097" s="7">
        <f>DATE(2015,11,24)</f>
        <v>42332</v>
      </c>
      <c r="E10097" s="8">
        <f t="shared" si="166"/>
        <v>2015</v>
      </c>
      <c r="F10097" t="s">
        <v>1510</v>
      </c>
      <c r="G10097" s="9">
        <v>2728.46</v>
      </c>
      <c r="H10097" s="8">
        <v>20688</v>
      </c>
    </row>
    <row r="10098" spans="2:8" x14ac:dyDescent="0.4">
      <c r="B10098" t="s">
        <v>7</v>
      </c>
      <c r="C10098" t="s">
        <v>1508</v>
      </c>
      <c r="D10098" s="7">
        <f>DATE(2015,11,24)</f>
        <v>42332</v>
      </c>
      <c r="E10098" s="8">
        <f t="shared" si="166"/>
        <v>2015</v>
      </c>
      <c r="F10098" t="s">
        <v>1510</v>
      </c>
      <c r="G10098" s="9">
        <v>26349.33</v>
      </c>
      <c r="H10098" s="8">
        <v>21349</v>
      </c>
    </row>
    <row r="10099" spans="2:8" x14ac:dyDescent="0.4">
      <c r="B10099" t="s">
        <v>7</v>
      </c>
      <c r="C10099" t="s">
        <v>1508</v>
      </c>
      <c r="D10099" s="7">
        <f>DATE(2016,4,29)</f>
        <v>42489</v>
      </c>
      <c r="E10099" s="8">
        <f t="shared" si="166"/>
        <v>2016</v>
      </c>
      <c r="F10099" t="s">
        <v>1510</v>
      </c>
      <c r="G10099" s="9">
        <v>39700.959999999999</v>
      </c>
      <c r="H10099" s="8">
        <v>22401</v>
      </c>
    </row>
    <row r="10100" spans="2:8" x14ac:dyDescent="0.4">
      <c r="B10100" t="s">
        <v>7</v>
      </c>
      <c r="C10100" t="s">
        <v>1508</v>
      </c>
      <c r="D10100" s="7">
        <f>DATE(2016,10,6)</f>
        <v>42649</v>
      </c>
      <c r="E10100" s="8">
        <f t="shared" si="166"/>
        <v>2016</v>
      </c>
      <c r="F10100" t="s">
        <v>1510</v>
      </c>
      <c r="G10100" s="9">
        <v>30537.200000000001</v>
      </c>
      <c r="H10100" s="8">
        <v>22011</v>
      </c>
    </row>
    <row r="10101" spans="2:8" x14ac:dyDescent="0.4">
      <c r="B10101" t="s">
        <v>7</v>
      </c>
      <c r="C10101" t="s">
        <v>1508</v>
      </c>
      <c r="D10101" s="7">
        <f>DATE(2017,2,8)</f>
        <v>42774</v>
      </c>
      <c r="E10101" s="8">
        <f t="shared" si="166"/>
        <v>2017</v>
      </c>
      <c r="F10101" t="s">
        <v>1510</v>
      </c>
      <c r="G10101" s="9">
        <v>2709.53</v>
      </c>
      <c r="H10101" s="8">
        <v>24013</v>
      </c>
    </row>
    <row r="10102" spans="2:8" x14ac:dyDescent="0.4">
      <c r="B10102" t="s">
        <v>7</v>
      </c>
      <c r="C10102" t="s">
        <v>1508</v>
      </c>
      <c r="D10102" s="7">
        <f>DATE(2017,4,4)</f>
        <v>42829</v>
      </c>
      <c r="E10102" s="8">
        <f t="shared" si="166"/>
        <v>2017</v>
      </c>
      <c r="F10102" t="s">
        <v>1510</v>
      </c>
      <c r="G10102" s="9">
        <v>33867.03</v>
      </c>
      <c r="H10102" s="8">
        <v>24325</v>
      </c>
    </row>
    <row r="10103" spans="2:8" x14ac:dyDescent="0.4">
      <c r="B10103" t="s">
        <v>7</v>
      </c>
      <c r="C10103" t="s">
        <v>1508</v>
      </c>
      <c r="D10103" s="7">
        <f>DATE(2017,4,5)</f>
        <v>42830</v>
      </c>
      <c r="E10103" s="8">
        <f t="shared" si="166"/>
        <v>2017</v>
      </c>
      <c r="F10103" t="s">
        <v>1510</v>
      </c>
      <c r="G10103" s="9">
        <v>175884.17</v>
      </c>
      <c r="H10103" s="8">
        <v>24017</v>
      </c>
    </row>
    <row r="10104" spans="2:8" x14ac:dyDescent="0.4">
      <c r="B10104" t="s">
        <v>7</v>
      </c>
      <c r="C10104" t="s">
        <v>1508</v>
      </c>
      <c r="D10104" s="7">
        <f>DATE(2018,2,14)</f>
        <v>43145</v>
      </c>
      <c r="E10104" s="8">
        <f t="shared" si="166"/>
        <v>2018</v>
      </c>
      <c r="F10104" t="s">
        <v>1510</v>
      </c>
      <c r="G10104" s="9">
        <v>2672.1</v>
      </c>
      <c r="H10104" s="8">
        <v>26273</v>
      </c>
    </row>
    <row r="10105" spans="2:8" x14ac:dyDescent="0.4">
      <c r="B10105" t="s">
        <v>7</v>
      </c>
      <c r="C10105" t="s">
        <v>1508</v>
      </c>
      <c r="D10105" s="7">
        <f>DATE(2018,10,29)</f>
        <v>43402</v>
      </c>
      <c r="E10105" s="8">
        <f t="shared" si="166"/>
        <v>2018</v>
      </c>
      <c r="F10105" t="s">
        <v>1510</v>
      </c>
      <c r="G10105" s="9">
        <v>19643.349999999999</v>
      </c>
      <c r="H10105" s="8">
        <v>27137</v>
      </c>
    </row>
    <row r="10106" spans="2:8" x14ac:dyDescent="0.4">
      <c r="B10106" t="s">
        <v>7</v>
      </c>
      <c r="C10106" t="s">
        <v>1508</v>
      </c>
      <c r="D10106" s="7">
        <f>DATE(2018,10,29)</f>
        <v>43402</v>
      </c>
      <c r="E10106" s="8">
        <f t="shared" si="166"/>
        <v>2018</v>
      </c>
      <c r="F10106" t="s">
        <v>1510</v>
      </c>
      <c r="G10106" s="9">
        <v>192550</v>
      </c>
      <c r="H10106" s="8">
        <v>27134</v>
      </c>
    </row>
    <row r="10107" spans="2:8" x14ac:dyDescent="0.4">
      <c r="B10107" t="s">
        <v>7</v>
      </c>
      <c r="C10107" t="s">
        <v>1508</v>
      </c>
      <c r="D10107" s="7">
        <f>DATE(2019,3,21)</f>
        <v>43545</v>
      </c>
      <c r="E10107" s="8">
        <f t="shared" si="166"/>
        <v>2019</v>
      </c>
      <c r="F10107" t="s">
        <v>1510</v>
      </c>
      <c r="G10107" s="9">
        <v>12444.82</v>
      </c>
      <c r="H10107" s="8">
        <v>28095</v>
      </c>
    </row>
    <row r="10108" spans="2:8" x14ac:dyDescent="0.4">
      <c r="B10108" t="s">
        <v>7</v>
      </c>
      <c r="C10108" t="s">
        <v>1508</v>
      </c>
      <c r="D10108" s="7">
        <f>DATE(2019,5,8)</f>
        <v>43593</v>
      </c>
      <c r="E10108" s="8">
        <f t="shared" si="166"/>
        <v>2019</v>
      </c>
      <c r="F10108" t="s">
        <v>1510</v>
      </c>
      <c r="G10108" s="9">
        <v>11984.33</v>
      </c>
      <c r="H10108" s="8">
        <v>28076</v>
      </c>
    </row>
    <row r="10109" spans="2:8" x14ac:dyDescent="0.4">
      <c r="B10109" t="s">
        <v>7</v>
      </c>
      <c r="C10109" t="s">
        <v>1508</v>
      </c>
      <c r="D10109" s="7">
        <f>DATE(2015,5,11)</f>
        <v>42135</v>
      </c>
      <c r="E10109" s="8">
        <f t="shared" si="166"/>
        <v>2015</v>
      </c>
      <c r="F10109" t="s">
        <v>1510</v>
      </c>
      <c r="G10109" s="9">
        <v>19546</v>
      </c>
      <c r="H10109" s="8">
        <v>20153</v>
      </c>
    </row>
    <row r="10110" spans="2:8" x14ac:dyDescent="0.4">
      <c r="B10110" t="s">
        <v>7</v>
      </c>
      <c r="C10110" t="s">
        <v>1508</v>
      </c>
      <c r="D10110" s="7">
        <f>DATE(2015,11,24)</f>
        <v>42332</v>
      </c>
      <c r="E10110" s="8">
        <f t="shared" si="166"/>
        <v>2015</v>
      </c>
      <c r="F10110" t="s">
        <v>1510</v>
      </c>
      <c r="G10110" s="9">
        <v>1646</v>
      </c>
      <c r="H10110" s="8">
        <v>21344</v>
      </c>
    </row>
    <row r="10111" spans="2:8" x14ac:dyDescent="0.4">
      <c r="B10111" t="s">
        <v>7</v>
      </c>
      <c r="C10111" t="s">
        <v>1508</v>
      </c>
      <c r="D10111" s="7">
        <f>DATE(2015,11,24)</f>
        <v>42332</v>
      </c>
      <c r="E10111" s="8">
        <f t="shared" si="166"/>
        <v>2015</v>
      </c>
      <c r="F10111" t="s">
        <v>1510</v>
      </c>
      <c r="G10111" s="9">
        <v>14759.1</v>
      </c>
      <c r="H10111" s="8">
        <v>21351</v>
      </c>
    </row>
    <row r="10112" spans="2:8" x14ac:dyDescent="0.4">
      <c r="B10112" t="s">
        <v>7</v>
      </c>
      <c r="C10112" t="s">
        <v>1508</v>
      </c>
      <c r="D10112" s="7">
        <f>DATE(2015,12,17)</f>
        <v>42355</v>
      </c>
      <c r="E10112" s="8">
        <f t="shared" si="166"/>
        <v>2015</v>
      </c>
      <c r="F10112" t="s">
        <v>1510</v>
      </c>
      <c r="G10112" s="9">
        <v>129170.56</v>
      </c>
      <c r="H10112" s="8">
        <v>20743</v>
      </c>
    </row>
    <row r="10113" spans="2:8" x14ac:dyDescent="0.4">
      <c r="B10113" t="s">
        <v>7</v>
      </c>
      <c r="C10113" t="s">
        <v>1508</v>
      </c>
      <c r="D10113" s="7">
        <f>DATE(2015,11,18)</f>
        <v>42326</v>
      </c>
      <c r="E10113" s="8">
        <f t="shared" si="166"/>
        <v>2015</v>
      </c>
      <c r="F10113" t="s">
        <v>1510</v>
      </c>
      <c r="G10113" s="9">
        <v>368456.93</v>
      </c>
      <c r="H10113" s="8">
        <v>20694</v>
      </c>
    </row>
    <row r="10114" spans="2:8" x14ac:dyDescent="0.4">
      <c r="B10114" t="s">
        <v>7</v>
      </c>
      <c r="C10114" t="s">
        <v>1508</v>
      </c>
      <c r="D10114" s="7">
        <f>DATE(2016,1,4)</f>
        <v>42373</v>
      </c>
      <c r="E10114" s="8">
        <f t="shared" si="166"/>
        <v>2016</v>
      </c>
      <c r="F10114" t="s">
        <v>1510</v>
      </c>
      <c r="G10114" s="9">
        <v>66755.67</v>
      </c>
      <c r="H10114" s="8">
        <v>21313</v>
      </c>
    </row>
    <row r="10115" spans="2:8" x14ac:dyDescent="0.4">
      <c r="B10115" t="s">
        <v>7</v>
      </c>
      <c r="C10115" t="s">
        <v>1508</v>
      </c>
      <c r="D10115" s="7">
        <f>DATE(2016,2,1)</f>
        <v>42401</v>
      </c>
      <c r="E10115" s="8">
        <f t="shared" ref="E10115:E10178" si="167">YEAR(D10115)</f>
        <v>2016</v>
      </c>
      <c r="F10115" t="s">
        <v>1510</v>
      </c>
      <c r="G10115" s="9">
        <v>33548.83</v>
      </c>
      <c r="H10115" s="8">
        <v>21929</v>
      </c>
    </row>
    <row r="10116" spans="2:8" x14ac:dyDescent="0.4">
      <c r="B10116" t="s">
        <v>7</v>
      </c>
      <c r="C10116" t="s">
        <v>1508</v>
      </c>
      <c r="D10116" s="7">
        <f>DATE(2016,4,16)</f>
        <v>42476</v>
      </c>
      <c r="E10116" s="8">
        <f t="shared" si="167"/>
        <v>2016</v>
      </c>
      <c r="F10116" t="s">
        <v>1510</v>
      </c>
      <c r="G10116" s="9">
        <v>13782.65</v>
      </c>
      <c r="H10116" s="8">
        <v>22402</v>
      </c>
    </row>
    <row r="10117" spans="2:8" x14ac:dyDescent="0.4">
      <c r="B10117" t="s">
        <v>7</v>
      </c>
      <c r="C10117" t="s">
        <v>1508</v>
      </c>
      <c r="D10117" s="7">
        <f>DATE(2016,10,6)</f>
        <v>42649</v>
      </c>
      <c r="E10117" s="8">
        <f t="shared" si="167"/>
        <v>2016</v>
      </c>
      <c r="F10117" t="s">
        <v>1510</v>
      </c>
      <c r="G10117" s="9">
        <v>12326.28</v>
      </c>
      <c r="H10117" s="8">
        <v>22012</v>
      </c>
    </row>
    <row r="10118" spans="2:8" x14ac:dyDescent="0.4">
      <c r="B10118" t="s">
        <v>7</v>
      </c>
      <c r="C10118" t="s">
        <v>1508</v>
      </c>
      <c r="D10118" s="7">
        <f>DATE(2017,1,18)</f>
        <v>42753</v>
      </c>
      <c r="E10118" s="8">
        <f t="shared" si="167"/>
        <v>2017</v>
      </c>
      <c r="F10118" t="s">
        <v>1510</v>
      </c>
      <c r="G10118" s="9">
        <v>14305.56</v>
      </c>
      <c r="H10118" s="8">
        <v>24012</v>
      </c>
    </row>
    <row r="10119" spans="2:8" x14ac:dyDescent="0.4">
      <c r="B10119" t="s">
        <v>7</v>
      </c>
      <c r="C10119" t="s">
        <v>1508</v>
      </c>
      <c r="D10119" s="7">
        <f>DATE(2017,2,8)</f>
        <v>42774</v>
      </c>
      <c r="E10119" s="8">
        <f t="shared" si="167"/>
        <v>2017</v>
      </c>
      <c r="F10119" t="s">
        <v>1510</v>
      </c>
      <c r="G10119" s="9">
        <v>10776.9</v>
      </c>
      <c r="H10119" s="8">
        <v>24014</v>
      </c>
    </row>
    <row r="10120" spans="2:8" x14ac:dyDescent="0.4">
      <c r="B10120" t="s">
        <v>7</v>
      </c>
      <c r="C10120" t="s">
        <v>1508</v>
      </c>
      <c r="D10120" s="7">
        <f>DATE(2017,4,17)</f>
        <v>42842</v>
      </c>
      <c r="E10120" s="8">
        <f t="shared" si="167"/>
        <v>2017</v>
      </c>
      <c r="F10120" t="s">
        <v>1510</v>
      </c>
      <c r="G10120" s="9">
        <v>67542.8</v>
      </c>
      <c r="H10120" s="8">
        <v>24023</v>
      </c>
    </row>
    <row r="10121" spans="2:8" x14ac:dyDescent="0.4">
      <c r="B10121" t="s">
        <v>7</v>
      </c>
      <c r="C10121" t="s">
        <v>1508</v>
      </c>
      <c r="D10121" s="7">
        <f>DATE(2017,4,21)</f>
        <v>42846</v>
      </c>
      <c r="E10121" s="8">
        <f t="shared" si="167"/>
        <v>2017</v>
      </c>
      <c r="F10121" t="s">
        <v>1510</v>
      </c>
      <c r="G10121" s="9">
        <v>281594.44</v>
      </c>
      <c r="H10121" s="8">
        <v>24018</v>
      </c>
    </row>
    <row r="10122" spans="2:8" x14ac:dyDescent="0.4">
      <c r="B10122" t="s">
        <v>7</v>
      </c>
      <c r="C10122" t="s">
        <v>1508</v>
      </c>
      <c r="D10122" s="7">
        <f>DATE(2017,8,1)</f>
        <v>42948</v>
      </c>
      <c r="E10122" s="8">
        <f t="shared" si="167"/>
        <v>2017</v>
      </c>
      <c r="F10122" t="s">
        <v>1510</v>
      </c>
      <c r="G10122" s="9">
        <v>20102.7</v>
      </c>
      <c r="H10122" s="8">
        <v>25213</v>
      </c>
    </row>
    <row r="10123" spans="2:8" x14ac:dyDescent="0.4">
      <c r="B10123" t="s">
        <v>7</v>
      </c>
      <c r="C10123" t="s">
        <v>1508</v>
      </c>
      <c r="D10123" s="7">
        <f>DATE(2017,8,7)</f>
        <v>42954</v>
      </c>
      <c r="E10123" s="8">
        <f t="shared" si="167"/>
        <v>2017</v>
      </c>
      <c r="F10123" t="s">
        <v>1510</v>
      </c>
      <c r="G10123" s="9">
        <v>8236.08</v>
      </c>
      <c r="H10123" s="8">
        <v>25300</v>
      </c>
    </row>
    <row r="10124" spans="2:8" x14ac:dyDescent="0.4">
      <c r="B10124" t="s">
        <v>7</v>
      </c>
      <c r="C10124" t="s">
        <v>1508</v>
      </c>
      <c r="D10124" s="7">
        <f>DATE(2018,2,14)</f>
        <v>43145</v>
      </c>
      <c r="E10124" s="8">
        <f t="shared" si="167"/>
        <v>2018</v>
      </c>
      <c r="F10124" t="s">
        <v>1510</v>
      </c>
      <c r="G10124" s="9">
        <v>7520.14</v>
      </c>
      <c r="H10124" s="8">
        <v>26276</v>
      </c>
    </row>
    <row r="10125" spans="2:8" x14ac:dyDescent="0.4">
      <c r="B10125" t="s">
        <v>7</v>
      </c>
      <c r="C10125" t="s">
        <v>1508</v>
      </c>
      <c r="D10125" s="7">
        <f>DATE(2018,10,29)</f>
        <v>43402</v>
      </c>
      <c r="E10125" s="8">
        <f t="shared" si="167"/>
        <v>2018</v>
      </c>
      <c r="F10125" t="s">
        <v>1510</v>
      </c>
      <c r="G10125" s="9">
        <v>362201.25</v>
      </c>
      <c r="H10125" s="8">
        <v>27135</v>
      </c>
    </row>
    <row r="10126" spans="2:8" x14ac:dyDescent="0.4">
      <c r="B10126" t="s">
        <v>7</v>
      </c>
      <c r="C10126" t="s">
        <v>1508</v>
      </c>
      <c r="D10126" s="7">
        <f>DATE(2018,10,29)</f>
        <v>43402</v>
      </c>
      <c r="E10126" s="8">
        <f t="shared" si="167"/>
        <v>2018</v>
      </c>
      <c r="F10126" t="s">
        <v>1510</v>
      </c>
      <c r="G10126" s="9">
        <v>49139.32</v>
      </c>
      <c r="H10126" s="8">
        <v>27138</v>
      </c>
    </row>
    <row r="10127" spans="2:8" x14ac:dyDescent="0.4">
      <c r="B10127" t="s">
        <v>7</v>
      </c>
      <c r="C10127" t="s">
        <v>1508</v>
      </c>
      <c r="D10127" s="7">
        <f>DATE(2019,3,21)</f>
        <v>43545</v>
      </c>
      <c r="E10127" s="8">
        <f t="shared" si="167"/>
        <v>2019</v>
      </c>
      <c r="F10127" t="s">
        <v>1510</v>
      </c>
      <c r="G10127" s="9">
        <v>11317.34</v>
      </c>
      <c r="H10127" s="8">
        <v>28096</v>
      </c>
    </row>
    <row r="10128" spans="2:8" x14ac:dyDescent="0.4">
      <c r="B10128" t="s">
        <v>7</v>
      </c>
      <c r="C10128" t="s">
        <v>1508</v>
      </c>
      <c r="D10128" s="7">
        <f>DATE(2019,5,8)</f>
        <v>43593</v>
      </c>
      <c r="E10128" s="8">
        <f t="shared" si="167"/>
        <v>2019</v>
      </c>
      <c r="F10128" t="s">
        <v>1510</v>
      </c>
      <c r="G10128" s="9">
        <v>11439.62</v>
      </c>
      <c r="H10128" s="8">
        <v>28077</v>
      </c>
    </row>
    <row r="10129" spans="2:8" x14ac:dyDescent="0.4">
      <c r="B10129" t="s">
        <v>7</v>
      </c>
      <c r="C10129" t="s">
        <v>1508</v>
      </c>
      <c r="D10129" s="7">
        <f>DATE(2015,11,19)</f>
        <v>42327</v>
      </c>
      <c r="E10129" s="8">
        <f t="shared" si="167"/>
        <v>2015</v>
      </c>
      <c r="F10129" t="s">
        <v>1510</v>
      </c>
      <c r="G10129" s="9">
        <v>30000</v>
      </c>
      <c r="H10129" s="8">
        <v>21411</v>
      </c>
    </row>
    <row r="10130" spans="2:8" x14ac:dyDescent="0.4">
      <c r="B10130" t="s">
        <v>7</v>
      </c>
      <c r="C10130" t="s">
        <v>1508</v>
      </c>
      <c r="D10130" s="7">
        <f>DATE(2016,8,23)</f>
        <v>42605</v>
      </c>
      <c r="E10130" s="8">
        <f t="shared" si="167"/>
        <v>2016</v>
      </c>
      <c r="F10130" t="s">
        <v>1510</v>
      </c>
      <c r="G10130" s="9">
        <v>21792.86</v>
      </c>
      <c r="H10130" s="8">
        <v>23249</v>
      </c>
    </row>
    <row r="10131" spans="2:8" x14ac:dyDescent="0.4">
      <c r="B10131" t="s">
        <v>7</v>
      </c>
      <c r="C10131" t="s">
        <v>1508</v>
      </c>
      <c r="D10131" s="7">
        <f>DATE(2016,9,30)</f>
        <v>42643</v>
      </c>
      <c r="E10131" s="8">
        <f t="shared" si="167"/>
        <v>2016</v>
      </c>
      <c r="F10131" t="s">
        <v>1510</v>
      </c>
      <c r="G10131" s="9">
        <v>31809</v>
      </c>
      <c r="H10131" s="8">
        <v>23461</v>
      </c>
    </row>
    <row r="10132" spans="2:8" x14ac:dyDescent="0.4">
      <c r="B10132" t="s">
        <v>7</v>
      </c>
      <c r="C10132" t="s">
        <v>1508</v>
      </c>
      <c r="D10132" s="7">
        <f>DATE(2018,11,28)</f>
        <v>43432</v>
      </c>
      <c r="E10132" s="8">
        <f t="shared" si="167"/>
        <v>2018</v>
      </c>
      <c r="F10132" t="s">
        <v>1510</v>
      </c>
      <c r="G10132" s="9">
        <v>19391.689999999999</v>
      </c>
      <c r="H10132" s="8">
        <v>27904</v>
      </c>
    </row>
    <row r="10133" spans="2:8" x14ac:dyDescent="0.4">
      <c r="B10133" t="s">
        <v>7</v>
      </c>
      <c r="C10133" t="s">
        <v>1508</v>
      </c>
      <c r="D10133" s="7">
        <f>DATE(2015,12,15)</f>
        <v>42353</v>
      </c>
      <c r="E10133" s="8">
        <f t="shared" si="167"/>
        <v>2015</v>
      </c>
      <c r="F10133" t="s">
        <v>1510</v>
      </c>
      <c r="G10133" s="9">
        <v>43832</v>
      </c>
      <c r="H10133" s="8">
        <v>21410</v>
      </c>
    </row>
    <row r="10134" spans="2:8" x14ac:dyDescent="0.4">
      <c r="B10134" t="s">
        <v>7</v>
      </c>
      <c r="C10134" t="s">
        <v>1508</v>
      </c>
      <c r="D10134" s="7">
        <f>DATE(2016,1,4)</f>
        <v>42373</v>
      </c>
      <c r="E10134" s="8">
        <f t="shared" si="167"/>
        <v>2016</v>
      </c>
      <c r="F10134" t="s">
        <v>1510</v>
      </c>
      <c r="G10134" s="9">
        <v>8873.18</v>
      </c>
      <c r="H10134" s="8">
        <v>21646</v>
      </c>
    </row>
    <row r="10135" spans="2:8" x14ac:dyDescent="0.4">
      <c r="B10135" t="s">
        <v>7</v>
      </c>
      <c r="C10135" t="s">
        <v>1508</v>
      </c>
      <c r="D10135" s="7">
        <f>DATE(2016,1,4)</f>
        <v>42373</v>
      </c>
      <c r="E10135" s="8">
        <f t="shared" si="167"/>
        <v>2016</v>
      </c>
      <c r="F10135" t="s">
        <v>1510</v>
      </c>
      <c r="G10135" s="9">
        <v>26326.66</v>
      </c>
      <c r="H10135" s="8">
        <v>21647</v>
      </c>
    </row>
    <row r="10136" spans="2:8" x14ac:dyDescent="0.4">
      <c r="B10136" t="s">
        <v>7</v>
      </c>
      <c r="C10136" t="s">
        <v>1508</v>
      </c>
      <c r="D10136" s="7">
        <f>DATE(2015,11,30)</f>
        <v>42338</v>
      </c>
      <c r="E10136" s="8">
        <f t="shared" si="167"/>
        <v>2015</v>
      </c>
      <c r="F10136" t="s">
        <v>1510</v>
      </c>
      <c r="G10136" s="9">
        <v>16800</v>
      </c>
      <c r="H10136" s="8">
        <v>21648</v>
      </c>
    </row>
    <row r="10137" spans="2:8" x14ac:dyDescent="0.4">
      <c r="B10137" t="s">
        <v>7</v>
      </c>
      <c r="C10137" t="s">
        <v>1508</v>
      </c>
      <c r="D10137" s="7">
        <f>DATE(2015,11,24)</f>
        <v>42332</v>
      </c>
      <c r="E10137" s="8">
        <f t="shared" si="167"/>
        <v>2015</v>
      </c>
      <c r="F10137" t="s">
        <v>1510</v>
      </c>
      <c r="G10137" s="9">
        <v>11838.69</v>
      </c>
      <c r="H10137" s="8">
        <v>21649</v>
      </c>
    </row>
    <row r="10138" spans="2:8" x14ac:dyDescent="0.4">
      <c r="B10138" t="s">
        <v>7</v>
      </c>
      <c r="C10138" t="s">
        <v>1508</v>
      </c>
      <c r="D10138" s="7">
        <f>DATE(2015,11,24)</f>
        <v>42332</v>
      </c>
      <c r="E10138" s="8">
        <f t="shared" si="167"/>
        <v>2015</v>
      </c>
      <c r="F10138" t="s">
        <v>1510</v>
      </c>
      <c r="G10138" s="9">
        <v>39001.93</v>
      </c>
      <c r="H10138" s="8">
        <v>21686</v>
      </c>
    </row>
    <row r="10139" spans="2:8" x14ac:dyDescent="0.4">
      <c r="B10139" t="s">
        <v>7</v>
      </c>
      <c r="C10139" t="s">
        <v>1508</v>
      </c>
      <c r="D10139" s="7">
        <f>DATE(2017,11,7)</f>
        <v>43046</v>
      </c>
      <c r="E10139" s="8">
        <f t="shared" si="167"/>
        <v>2017</v>
      </c>
      <c r="F10139" t="s">
        <v>1510</v>
      </c>
      <c r="G10139" s="9">
        <v>5380.61</v>
      </c>
      <c r="H10139" s="8">
        <v>25597</v>
      </c>
    </row>
    <row r="10140" spans="2:8" x14ac:dyDescent="0.4">
      <c r="B10140" t="s">
        <v>16</v>
      </c>
      <c r="C10140" t="s">
        <v>1508</v>
      </c>
      <c r="D10140" s="7">
        <f>DATE(2017,3,1)</f>
        <v>42795</v>
      </c>
      <c r="E10140" s="8">
        <f t="shared" si="167"/>
        <v>2017</v>
      </c>
      <c r="F10140" t="s">
        <v>1510</v>
      </c>
      <c r="G10140" s="9">
        <v>3669.6</v>
      </c>
      <c r="H10140" s="8">
        <v>24418</v>
      </c>
    </row>
    <row r="10141" spans="2:8" x14ac:dyDescent="0.4">
      <c r="B10141" t="s">
        <v>7</v>
      </c>
      <c r="C10141" t="s">
        <v>1508</v>
      </c>
      <c r="D10141" s="7">
        <f>DATE(2012,5,3)</f>
        <v>41032</v>
      </c>
      <c r="E10141" s="8">
        <f t="shared" si="167"/>
        <v>2012</v>
      </c>
      <c r="F10141" t="s">
        <v>1510</v>
      </c>
      <c r="G10141" s="9">
        <v>342236.68</v>
      </c>
      <c r="H10141" s="8">
        <v>11372</v>
      </c>
    </row>
    <row r="10142" spans="2:8" x14ac:dyDescent="0.4">
      <c r="B10142" t="s">
        <v>7</v>
      </c>
      <c r="C10142" t="s">
        <v>1508</v>
      </c>
      <c r="D10142" s="7">
        <f>DATE(2013,8,20)</f>
        <v>41506</v>
      </c>
      <c r="E10142" s="8">
        <f t="shared" si="167"/>
        <v>2013</v>
      </c>
      <c r="F10142" t="s">
        <v>1510</v>
      </c>
      <c r="G10142" s="9">
        <v>7920</v>
      </c>
      <c r="H10142" s="8">
        <v>12497</v>
      </c>
    </row>
    <row r="10143" spans="2:8" x14ac:dyDescent="0.4">
      <c r="B10143" t="s">
        <v>7</v>
      </c>
      <c r="C10143" t="s">
        <v>1508</v>
      </c>
      <c r="D10143" s="7">
        <f>DATE(2013,11,11)</f>
        <v>41589</v>
      </c>
      <c r="E10143" s="8">
        <f t="shared" si="167"/>
        <v>2013</v>
      </c>
      <c r="F10143" t="s">
        <v>1510</v>
      </c>
      <c r="G10143" s="9">
        <v>6800</v>
      </c>
      <c r="H10143" s="8">
        <v>12499</v>
      </c>
    </row>
    <row r="10144" spans="2:8" x14ac:dyDescent="0.4">
      <c r="B10144" t="s">
        <v>7</v>
      </c>
      <c r="C10144" t="s">
        <v>1508</v>
      </c>
      <c r="D10144" s="7">
        <f>DATE(2014,3,31)</f>
        <v>41729</v>
      </c>
      <c r="E10144" s="8">
        <f t="shared" si="167"/>
        <v>2014</v>
      </c>
      <c r="F10144" t="s">
        <v>1510</v>
      </c>
      <c r="G10144" s="9">
        <v>8823</v>
      </c>
      <c r="H10144" s="8">
        <v>12995</v>
      </c>
    </row>
    <row r="10145" spans="2:8" x14ac:dyDescent="0.4">
      <c r="B10145" t="s">
        <v>7</v>
      </c>
      <c r="C10145" t="s">
        <v>1508</v>
      </c>
      <c r="D10145" s="7">
        <f>DATE(2014,3,31)</f>
        <v>41729</v>
      </c>
      <c r="E10145" s="8">
        <f t="shared" si="167"/>
        <v>2014</v>
      </c>
      <c r="F10145" t="s">
        <v>1510</v>
      </c>
      <c r="G10145" s="9">
        <v>171785.94</v>
      </c>
      <c r="H10145" s="8">
        <v>12803</v>
      </c>
    </row>
    <row r="10146" spans="2:8" x14ac:dyDescent="0.4">
      <c r="B10146" t="s">
        <v>7</v>
      </c>
      <c r="C10146" t="s">
        <v>1508</v>
      </c>
      <c r="D10146" s="7">
        <f>DATE(2014,5,30)</f>
        <v>41789</v>
      </c>
      <c r="E10146" s="8">
        <f t="shared" si="167"/>
        <v>2014</v>
      </c>
      <c r="F10146" t="s">
        <v>1510</v>
      </c>
      <c r="G10146" s="9">
        <v>6800</v>
      </c>
      <c r="H10146" s="8">
        <v>12498</v>
      </c>
    </row>
    <row r="10147" spans="2:8" x14ac:dyDescent="0.4">
      <c r="B10147" t="s">
        <v>7</v>
      </c>
      <c r="C10147" t="s">
        <v>1508</v>
      </c>
      <c r="D10147" s="7">
        <f>DATE(2003,5,18)</f>
        <v>37759</v>
      </c>
      <c r="E10147" s="8">
        <f t="shared" si="167"/>
        <v>2003</v>
      </c>
      <c r="F10147" t="s">
        <v>1510</v>
      </c>
      <c r="G10147" s="9">
        <v>5396.61</v>
      </c>
      <c r="H10147" s="8">
        <v>615</v>
      </c>
    </row>
    <row r="10148" spans="2:8" x14ac:dyDescent="0.4">
      <c r="B10148" t="s">
        <v>7</v>
      </c>
      <c r="C10148" t="s">
        <v>1508</v>
      </c>
      <c r="D10148" s="7">
        <f>DATE(2009,2,19)</f>
        <v>39863</v>
      </c>
      <c r="E10148" s="8">
        <f t="shared" si="167"/>
        <v>2009</v>
      </c>
      <c r="F10148" t="s">
        <v>1510</v>
      </c>
      <c r="G10148" s="9">
        <v>5940.43</v>
      </c>
      <c r="H10148" s="8">
        <v>7987</v>
      </c>
    </row>
    <row r="10149" spans="2:8" x14ac:dyDescent="0.4">
      <c r="B10149" t="s">
        <v>7</v>
      </c>
      <c r="C10149" t="s">
        <v>1508</v>
      </c>
      <c r="D10149" s="7">
        <f>DATE(2009,4,27)</f>
        <v>39930</v>
      </c>
      <c r="E10149" s="8">
        <f t="shared" si="167"/>
        <v>2009</v>
      </c>
      <c r="F10149" t="s">
        <v>1510</v>
      </c>
      <c r="G10149" s="9">
        <v>440.23</v>
      </c>
      <c r="H10149" s="8">
        <v>8330</v>
      </c>
    </row>
    <row r="10150" spans="2:8" x14ac:dyDescent="0.4">
      <c r="B10150" t="s">
        <v>7</v>
      </c>
      <c r="C10150" t="s">
        <v>1508</v>
      </c>
      <c r="D10150" s="7">
        <f>DATE(2012,5,1)</f>
        <v>41030</v>
      </c>
      <c r="E10150" s="8">
        <f t="shared" si="167"/>
        <v>2012</v>
      </c>
      <c r="F10150" t="s">
        <v>1510</v>
      </c>
      <c r="G10150" s="9">
        <v>129732.73</v>
      </c>
      <c r="H10150" s="8">
        <v>11317</v>
      </c>
    </row>
    <row r="10151" spans="2:8" x14ac:dyDescent="0.4">
      <c r="B10151" t="s">
        <v>7</v>
      </c>
      <c r="C10151" t="s">
        <v>1508</v>
      </c>
      <c r="D10151" s="7">
        <f>DATE(2013,8,20)</f>
        <v>41506</v>
      </c>
      <c r="E10151" s="8">
        <f t="shared" si="167"/>
        <v>2013</v>
      </c>
      <c r="F10151" t="s">
        <v>1510</v>
      </c>
      <c r="G10151" s="9">
        <v>2933.98</v>
      </c>
      <c r="H10151" s="8">
        <v>12533</v>
      </c>
    </row>
    <row r="10152" spans="2:8" x14ac:dyDescent="0.4">
      <c r="B10152" t="s">
        <v>7</v>
      </c>
      <c r="C10152" t="s">
        <v>1508</v>
      </c>
      <c r="D10152" s="7">
        <f>DATE(2013,11,11)</f>
        <v>41589</v>
      </c>
      <c r="E10152" s="8">
        <f t="shared" si="167"/>
        <v>2013</v>
      </c>
      <c r="F10152" t="s">
        <v>1510</v>
      </c>
      <c r="G10152" s="9">
        <v>7901.28</v>
      </c>
      <c r="H10152" s="8">
        <v>12706</v>
      </c>
    </row>
    <row r="10153" spans="2:8" x14ac:dyDescent="0.4">
      <c r="B10153" t="s">
        <v>7</v>
      </c>
      <c r="C10153" t="s">
        <v>1508</v>
      </c>
      <c r="D10153" s="7">
        <f>DATE(2014,3,31)</f>
        <v>41729</v>
      </c>
      <c r="E10153" s="8">
        <f t="shared" si="167"/>
        <v>2014</v>
      </c>
      <c r="F10153" t="s">
        <v>1510</v>
      </c>
      <c r="G10153" s="9">
        <v>4221.2</v>
      </c>
      <c r="H10153" s="8">
        <v>12633</v>
      </c>
    </row>
    <row r="10154" spans="2:8" x14ac:dyDescent="0.4">
      <c r="B10154" t="s">
        <v>7</v>
      </c>
      <c r="C10154" t="s">
        <v>1508</v>
      </c>
      <c r="D10154" s="7">
        <f>DATE(2014,3,31)</f>
        <v>41729</v>
      </c>
      <c r="E10154" s="8">
        <f t="shared" si="167"/>
        <v>2014</v>
      </c>
      <c r="F10154" t="s">
        <v>1510</v>
      </c>
      <c r="G10154" s="9">
        <v>6396.03</v>
      </c>
      <c r="H10154" s="8">
        <v>12633</v>
      </c>
    </row>
    <row r="10155" spans="2:8" x14ac:dyDescent="0.4">
      <c r="B10155" t="s">
        <v>7</v>
      </c>
      <c r="C10155" t="s">
        <v>1508</v>
      </c>
      <c r="D10155" s="7">
        <f>DATE(2014,3,31)</f>
        <v>41729</v>
      </c>
      <c r="E10155" s="8">
        <f t="shared" si="167"/>
        <v>2014</v>
      </c>
      <c r="F10155" t="s">
        <v>1510</v>
      </c>
      <c r="G10155" s="9">
        <v>140294.51</v>
      </c>
      <c r="H10155" s="8">
        <v>12802</v>
      </c>
    </row>
    <row r="10156" spans="2:8" x14ac:dyDescent="0.4">
      <c r="B10156" t="s">
        <v>7</v>
      </c>
      <c r="C10156" t="s">
        <v>1508</v>
      </c>
      <c r="D10156" s="7">
        <f>DATE(2014,3,31)</f>
        <v>41729</v>
      </c>
      <c r="E10156" s="8">
        <f t="shared" si="167"/>
        <v>2014</v>
      </c>
      <c r="F10156" t="s">
        <v>1510</v>
      </c>
      <c r="G10156" s="9">
        <v>16897.34</v>
      </c>
      <c r="H10156" s="8">
        <v>12994</v>
      </c>
    </row>
    <row r="10157" spans="2:8" x14ac:dyDescent="0.4">
      <c r="B10157" t="s">
        <v>7</v>
      </c>
      <c r="C10157" t="s">
        <v>1508</v>
      </c>
      <c r="D10157" s="7">
        <f>DATE(2014,5,30)</f>
        <v>41789</v>
      </c>
      <c r="E10157" s="8">
        <f t="shared" si="167"/>
        <v>2014</v>
      </c>
      <c r="F10157" t="s">
        <v>1510</v>
      </c>
      <c r="G10157" s="9">
        <v>8070.5</v>
      </c>
      <c r="H10157" s="8">
        <v>12537</v>
      </c>
    </row>
    <row r="10158" spans="2:8" x14ac:dyDescent="0.4">
      <c r="B10158" t="s">
        <v>7</v>
      </c>
      <c r="C10158" t="s">
        <v>1508</v>
      </c>
      <c r="D10158" s="7">
        <f>DATE(2011,3,23)</f>
        <v>40625</v>
      </c>
      <c r="E10158" s="8">
        <f t="shared" si="167"/>
        <v>2011</v>
      </c>
      <c r="F10158" t="s">
        <v>1510</v>
      </c>
      <c r="G10158" s="9">
        <v>8376.69</v>
      </c>
      <c r="H10158" s="8">
        <v>10480</v>
      </c>
    </row>
    <row r="10159" spans="2:8" x14ac:dyDescent="0.4">
      <c r="B10159" s="3" t="s">
        <v>7</v>
      </c>
      <c r="C10159" s="3" t="s">
        <v>1508</v>
      </c>
      <c r="D10159" s="4">
        <f>DATE(2006,12,5)</f>
        <v>39056</v>
      </c>
      <c r="E10159" s="5">
        <f t="shared" si="167"/>
        <v>2006</v>
      </c>
      <c r="F10159" s="3" t="s">
        <v>1510</v>
      </c>
      <c r="G10159" s="6">
        <v>444.15</v>
      </c>
      <c r="H10159" s="5">
        <v>7607</v>
      </c>
    </row>
    <row r="10160" spans="2:8" x14ac:dyDescent="0.4">
      <c r="B10160" s="3" t="s">
        <v>7</v>
      </c>
      <c r="C10160" s="3" t="s">
        <v>1511</v>
      </c>
      <c r="D10160" s="4">
        <f>DATE(2012,1,11)</f>
        <v>40919</v>
      </c>
      <c r="E10160" s="5">
        <f t="shared" si="167"/>
        <v>2012</v>
      </c>
      <c r="F10160" s="3" t="s">
        <v>1512</v>
      </c>
      <c r="G10160" s="6">
        <v>1250.54</v>
      </c>
      <c r="H10160" s="5">
        <v>16346</v>
      </c>
    </row>
    <row r="10161" spans="2:8" x14ac:dyDescent="0.4">
      <c r="B10161" s="3" t="s">
        <v>7</v>
      </c>
      <c r="C10161" s="3" t="s">
        <v>1513</v>
      </c>
      <c r="D10161" s="4">
        <f>DATE(2008,8,20)</f>
        <v>39680</v>
      </c>
      <c r="E10161" s="5">
        <f t="shared" si="167"/>
        <v>2008</v>
      </c>
      <c r="F10161" s="3" t="s">
        <v>1514</v>
      </c>
      <c r="G10161" s="6">
        <v>450</v>
      </c>
      <c r="H10161" s="5">
        <v>2979</v>
      </c>
    </row>
    <row r="10162" spans="2:8" x14ac:dyDescent="0.4">
      <c r="B10162" s="3" t="s">
        <v>7</v>
      </c>
      <c r="C10162" s="3" t="s">
        <v>1513</v>
      </c>
      <c r="D10162" s="4">
        <f>DATE(2003,1,27)</f>
        <v>37648</v>
      </c>
      <c r="E10162" s="5">
        <f t="shared" si="167"/>
        <v>2003</v>
      </c>
      <c r="F10162" s="3" t="s">
        <v>1515</v>
      </c>
      <c r="G10162" s="6">
        <v>66.23</v>
      </c>
      <c r="H10162" s="5">
        <v>13</v>
      </c>
    </row>
    <row r="10163" spans="2:8" x14ac:dyDescent="0.4">
      <c r="B10163" s="3" t="s">
        <v>7</v>
      </c>
      <c r="C10163" s="3" t="s">
        <v>1513</v>
      </c>
      <c r="D10163" s="4">
        <f>DATE(2005,5,25)</f>
        <v>38497</v>
      </c>
      <c r="E10163" s="5">
        <f t="shared" si="167"/>
        <v>2005</v>
      </c>
      <c r="F10163" s="3" t="s">
        <v>1516</v>
      </c>
      <c r="G10163" s="6">
        <v>113.48</v>
      </c>
      <c r="H10163" s="5">
        <v>1080</v>
      </c>
    </row>
    <row r="10164" spans="2:8" x14ac:dyDescent="0.4">
      <c r="B10164" s="3" t="s">
        <v>7</v>
      </c>
      <c r="C10164" s="3" t="s">
        <v>1513</v>
      </c>
      <c r="D10164" s="4">
        <f>DATE(2005,5,25)</f>
        <v>38497</v>
      </c>
      <c r="E10164" s="5">
        <f t="shared" si="167"/>
        <v>2005</v>
      </c>
      <c r="F10164" s="3" t="s">
        <v>1517</v>
      </c>
      <c r="G10164" s="6">
        <v>181.43</v>
      </c>
      <c r="H10164" s="5">
        <v>1127</v>
      </c>
    </row>
    <row r="10165" spans="2:8" x14ac:dyDescent="0.4">
      <c r="B10165" s="3" t="s">
        <v>7</v>
      </c>
      <c r="C10165" s="3" t="s">
        <v>1513</v>
      </c>
      <c r="D10165" s="4">
        <f>DATE(2005,9,16)</f>
        <v>38611</v>
      </c>
      <c r="E10165" s="5">
        <f t="shared" si="167"/>
        <v>2005</v>
      </c>
      <c r="F10165" s="3" t="s">
        <v>1517</v>
      </c>
      <c r="G10165" s="6">
        <v>11375</v>
      </c>
      <c r="H10165" s="5">
        <v>1207</v>
      </c>
    </row>
    <row r="10166" spans="2:8" x14ac:dyDescent="0.4">
      <c r="B10166" s="3" t="s">
        <v>7</v>
      </c>
      <c r="C10166" s="3" t="s">
        <v>1513</v>
      </c>
      <c r="D10166" s="4">
        <f>DATE(2005,9,21)</f>
        <v>38616</v>
      </c>
      <c r="E10166" s="5">
        <f t="shared" si="167"/>
        <v>2005</v>
      </c>
      <c r="F10166" s="3" t="s">
        <v>1517</v>
      </c>
      <c r="G10166" s="6">
        <v>1560</v>
      </c>
      <c r="H10166" s="5">
        <v>1245</v>
      </c>
    </row>
    <row r="10167" spans="2:8" x14ac:dyDescent="0.4">
      <c r="B10167" s="3" t="s">
        <v>7</v>
      </c>
      <c r="C10167" s="3" t="s">
        <v>1513</v>
      </c>
      <c r="D10167" s="4">
        <f>DATE(2005,10,26)</f>
        <v>38651</v>
      </c>
      <c r="E10167" s="5">
        <f t="shared" si="167"/>
        <v>2005</v>
      </c>
      <c r="F10167" s="3" t="s">
        <v>1517</v>
      </c>
      <c r="G10167" s="6">
        <v>1271.52</v>
      </c>
      <c r="H10167" s="5">
        <v>1280</v>
      </c>
    </row>
    <row r="10168" spans="2:8" x14ac:dyDescent="0.4">
      <c r="B10168" s="3" t="s">
        <v>7</v>
      </c>
      <c r="C10168" s="3" t="s">
        <v>1513</v>
      </c>
      <c r="D10168" s="4">
        <f>DATE(2005,12,16)</f>
        <v>38702</v>
      </c>
      <c r="E10168" s="5">
        <f t="shared" si="167"/>
        <v>2005</v>
      </c>
      <c r="F10168" s="3" t="s">
        <v>1517</v>
      </c>
      <c r="G10168" s="6">
        <v>3929.54</v>
      </c>
      <c r="H10168" s="5">
        <v>1326</v>
      </c>
    </row>
    <row r="10169" spans="2:8" x14ac:dyDescent="0.4">
      <c r="B10169" s="3" t="s">
        <v>7</v>
      </c>
      <c r="C10169" s="3" t="s">
        <v>1513</v>
      </c>
      <c r="D10169" s="4">
        <f>DATE(2005,12,22)</f>
        <v>38708</v>
      </c>
      <c r="E10169" s="5">
        <f t="shared" si="167"/>
        <v>2005</v>
      </c>
      <c r="F10169" s="3" t="s">
        <v>1517</v>
      </c>
      <c r="G10169" s="6">
        <v>3260.64</v>
      </c>
      <c r="H10169" s="5">
        <v>1368</v>
      </c>
    </row>
    <row r="10170" spans="2:8" x14ac:dyDescent="0.4">
      <c r="B10170" s="3" t="s">
        <v>7</v>
      </c>
      <c r="C10170" s="3" t="s">
        <v>1513</v>
      </c>
      <c r="D10170" s="4">
        <f>DATE(2006,1,9)</f>
        <v>38726</v>
      </c>
      <c r="E10170" s="5">
        <f t="shared" si="167"/>
        <v>2006</v>
      </c>
      <c r="F10170" s="3" t="s">
        <v>1517</v>
      </c>
      <c r="G10170" s="6">
        <v>1403.8</v>
      </c>
      <c r="H10170" s="5">
        <v>1377</v>
      </c>
    </row>
    <row r="10171" spans="2:8" x14ac:dyDescent="0.4">
      <c r="B10171" s="3" t="s">
        <v>7</v>
      </c>
      <c r="C10171" s="3" t="s">
        <v>1513</v>
      </c>
      <c r="D10171" s="4">
        <f>DATE(2006,1,20)</f>
        <v>38737</v>
      </c>
      <c r="E10171" s="5">
        <f t="shared" si="167"/>
        <v>2006</v>
      </c>
      <c r="F10171" s="3" t="s">
        <v>1517</v>
      </c>
      <c r="G10171" s="6">
        <v>1137.5</v>
      </c>
      <c r="H10171" s="5">
        <v>1406</v>
      </c>
    </row>
    <row r="10172" spans="2:8" x14ac:dyDescent="0.4">
      <c r="B10172" s="3" t="s">
        <v>7</v>
      </c>
      <c r="C10172" s="3" t="s">
        <v>1513</v>
      </c>
      <c r="D10172" s="4">
        <f>DATE(2006,3,10)</f>
        <v>38786</v>
      </c>
      <c r="E10172" s="5">
        <f t="shared" si="167"/>
        <v>2006</v>
      </c>
      <c r="F10172" s="3" t="s">
        <v>1517</v>
      </c>
      <c r="G10172" s="6">
        <v>5145</v>
      </c>
      <c r="H10172" s="5">
        <v>1469</v>
      </c>
    </row>
    <row r="10173" spans="2:8" x14ac:dyDescent="0.4">
      <c r="B10173" s="3" t="s">
        <v>7</v>
      </c>
      <c r="C10173" s="3" t="s">
        <v>1513</v>
      </c>
      <c r="D10173" s="4">
        <f>DATE(2006,4,18)</f>
        <v>38825</v>
      </c>
      <c r="E10173" s="5">
        <f t="shared" si="167"/>
        <v>2006</v>
      </c>
      <c r="F10173" s="3" t="s">
        <v>1517</v>
      </c>
      <c r="G10173" s="6">
        <v>6741</v>
      </c>
      <c r="H10173" s="5">
        <v>1518</v>
      </c>
    </row>
    <row r="10174" spans="2:8" x14ac:dyDescent="0.4">
      <c r="B10174" s="3" t="s">
        <v>7</v>
      </c>
      <c r="C10174" s="3" t="s">
        <v>1513</v>
      </c>
      <c r="D10174" s="4">
        <f>DATE(2006,9,26)</f>
        <v>38986</v>
      </c>
      <c r="E10174" s="5">
        <f t="shared" si="167"/>
        <v>2006</v>
      </c>
      <c r="F10174" s="3" t="s">
        <v>1517</v>
      </c>
      <c r="G10174" s="6">
        <v>1820</v>
      </c>
      <c r="H10174" s="5">
        <v>1745</v>
      </c>
    </row>
    <row r="10175" spans="2:8" x14ac:dyDescent="0.4">
      <c r="B10175" s="3" t="s">
        <v>7</v>
      </c>
      <c r="C10175" s="3" t="s">
        <v>1513</v>
      </c>
      <c r="D10175" s="4">
        <f>DATE(2006,10,17)</f>
        <v>39007</v>
      </c>
      <c r="E10175" s="5">
        <f t="shared" si="167"/>
        <v>2006</v>
      </c>
      <c r="F10175" s="3" t="s">
        <v>1517</v>
      </c>
      <c r="G10175" s="6">
        <v>5460</v>
      </c>
      <c r="H10175" s="5">
        <v>1807</v>
      </c>
    </row>
    <row r="10176" spans="2:8" x14ac:dyDescent="0.4">
      <c r="B10176" s="3" t="s">
        <v>7</v>
      </c>
      <c r="C10176" s="3" t="s">
        <v>1513</v>
      </c>
      <c r="D10176" s="4">
        <f>DATE(2006,11,15)</f>
        <v>39036</v>
      </c>
      <c r="E10176" s="5">
        <f t="shared" si="167"/>
        <v>2006</v>
      </c>
      <c r="F10176" s="3" t="s">
        <v>1517</v>
      </c>
      <c r="G10176" s="6">
        <v>1575</v>
      </c>
      <c r="H10176" s="5">
        <v>1902</v>
      </c>
    </row>
    <row r="10177" spans="2:8" x14ac:dyDescent="0.4">
      <c r="B10177" s="3" t="s">
        <v>7</v>
      </c>
      <c r="C10177" s="3" t="s">
        <v>1513</v>
      </c>
      <c r="D10177" s="4">
        <f>DATE(2006,12,15)</f>
        <v>39066</v>
      </c>
      <c r="E10177" s="5">
        <f t="shared" si="167"/>
        <v>2006</v>
      </c>
      <c r="F10177" s="3" t="s">
        <v>1517</v>
      </c>
      <c r="G10177" s="6">
        <v>4981.37</v>
      </c>
      <c r="H10177" s="5">
        <v>1941</v>
      </c>
    </row>
    <row r="10178" spans="2:8" x14ac:dyDescent="0.4">
      <c r="B10178" s="3" t="s">
        <v>7</v>
      </c>
      <c r="C10178" s="3" t="s">
        <v>1513</v>
      </c>
      <c r="D10178" s="4">
        <f>DATE(2007,1,12)</f>
        <v>39094</v>
      </c>
      <c r="E10178" s="5">
        <f t="shared" si="167"/>
        <v>2007</v>
      </c>
      <c r="F10178" s="3" t="s">
        <v>1517</v>
      </c>
      <c r="G10178" s="6">
        <v>910</v>
      </c>
      <c r="H10178" s="5">
        <v>1998</v>
      </c>
    </row>
    <row r="10179" spans="2:8" x14ac:dyDescent="0.4">
      <c r="B10179" s="3" t="s">
        <v>7</v>
      </c>
      <c r="C10179" s="3" t="s">
        <v>1513</v>
      </c>
      <c r="D10179" s="4">
        <f>DATE(2007,1,26)</f>
        <v>39108</v>
      </c>
      <c r="E10179" s="5">
        <f t="shared" ref="E10179:E10242" si="168">YEAR(D10179)</f>
        <v>2007</v>
      </c>
      <c r="F10179" s="3" t="s">
        <v>1517</v>
      </c>
      <c r="G10179" s="6">
        <v>75</v>
      </c>
      <c r="H10179" s="5">
        <v>2018</v>
      </c>
    </row>
    <row r="10180" spans="2:8" x14ac:dyDescent="0.4">
      <c r="B10180" s="3" t="s">
        <v>7</v>
      </c>
      <c r="C10180" s="3" t="s">
        <v>1513</v>
      </c>
      <c r="D10180" s="4">
        <f>DATE(2007,4,3)</f>
        <v>39175</v>
      </c>
      <c r="E10180" s="5">
        <f t="shared" si="168"/>
        <v>2007</v>
      </c>
      <c r="F10180" s="3" t="s">
        <v>1517</v>
      </c>
      <c r="G10180" s="6">
        <v>765</v>
      </c>
      <c r="H10180" s="5">
        <v>2145</v>
      </c>
    </row>
    <row r="10181" spans="2:8" x14ac:dyDescent="0.4">
      <c r="B10181" s="3" t="s">
        <v>7</v>
      </c>
      <c r="C10181" s="3" t="s">
        <v>1513</v>
      </c>
      <c r="D10181" s="4">
        <f>DATE(2007,5,16)</f>
        <v>39218</v>
      </c>
      <c r="E10181" s="5">
        <f t="shared" si="168"/>
        <v>2007</v>
      </c>
      <c r="F10181" s="3" t="s">
        <v>1517</v>
      </c>
      <c r="G10181" s="6">
        <v>2752.75</v>
      </c>
      <c r="H10181" s="5">
        <v>2237</v>
      </c>
    </row>
    <row r="10182" spans="2:8" x14ac:dyDescent="0.4">
      <c r="B10182" s="3" t="s">
        <v>7</v>
      </c>
      <c r="C10182" s="3" t="s">
        <v>1513</v>
      </c>
      <c r="D10182" s="4">
        <f>DATE(2007,5,31)</f>
        <v>39233</v>
      </c>
      <c r="E10182" s="5">
        <f t="shared" si="168"/>
        <v>2007</v>
      </c>
      <c r="F10182" s="3" t="s">
        <v>1517</v>
      </c>
      <c r="G10182" s="6">
        <v>573.75</v>
      </c>
      <c r="H10182" s="5">
        <v>2275</v>
      </c>
    </row>
    <row r="10183" spans="2:8" x14ac:dyDescent="0.4">
      <c r="B10183" s="3" t="s">
        <v>7</v>
      </c>
      <c r="C10183" s="3" t="s">
        <v>1513</v>
      </c>
      <c r="D10183" s="4">
        <f>DATE(2007,8,1)</f>
        <v>39295</v>
      </c>
      <c r="E10183" s="5">
        <f t="shared" si="168"/>
        <v>2007</v>
      </c>
      <c r="F10183" s="3" t="s">
        <v>1517</v>
      </c>
      <c r="G10183" s="6">
        <v>1507.8</v>
      </c>
      <c r="H10183" s="5">
        <v>2348</v>
      </c>
    </row>
    <row r="10184" spans="2:8" x14ac:dyDescent="0.4">
      <c r="B10184" s="3" t="s">
        <v>7</v>
      </c>
      <c r="C10184" s="3" t="s">
        <v>1513</v>
      </c>
      <c r="D10184" s="4">
        <f>DATE(2007,9,18)</f>
        <v>39343</v>
      </c>
      <c r="E10184" s="5">
        <f t="shared" si="168"/>
        <v>2007</v>
      </c>
      <c r="F10184" s="3" t="s">
        <v>1517</v>
      </c>
      <c r="G10184" s="6">
        <v>6381.17</v>
      </c>
      <c r="H10184" s="5">
        <v>2388</v>
      </c>
    </row>
    <row r="10185" spans="2:8" x14ac:dyDescent="0.4">
      <c r="B10185" s="3" t="s">
        <v>7</v>
      </c>
      <c r="C10185" s="3" t="s">
        <v>1513</v>
      </c>
      <c r="D10185" s="4">
        <f>DATE(2007,9,21)</f>
        <v>39346</v>
      </c>
      <c r="E10185" s="5">
        <f t="shared" si="168"/>
        <v>2007</v>
      </c>
      <c r="F10185" s="3" t="s">
        <v>1517</v>
      </c>
      <c r="G10185" s="6">
        <v>3425</v>
      </c>
      <c r="H10185" s="5">
        <v>2402</v>
      </c>
    </row>
    <row r="10186" spans="2:8" x14ac:dyDescent="0.4">
      <c r="B10186" s="3" t="s">
        <v>7</v>
      </c>
      <c r="C10186" s="3" t="s">
        <v>1513</v>
      </c>
      <c r="D10186" s="4">
        <f>DATE(2007,11,23)</f>
        <v>39409</v>
      </c>
      <c r="E10186" s="5">
        <f t="shared" si="168"/>
        <v>2007</v>
      </c>
      <c r="F10186" s="3" t="s">
        <v>1517</v>
      </c>
      <c r="G10186" s="6">
        <v>1912.5</v>
      </c>
      <c r="H10186" s="5">
        <v>2496</v>
      </c>
    </row>
    <row r="10187" spans="2:8" x14ac:dyDescent="0.4">
      <c r="B10187" s="3" t="s">
        <v>7</v>
      </c>
      <c r="C10187" s="3" t="s">
        <v>1513</v>
      </c>
      <c r="D10187" s="4">
        <f>DATE(2008,2,7)</f>
        <v>39485</v>
      </c>
      <c r="E10187" s="5">
        <f t="shared" si="168"/>
        <v>2008</v>
      </c>
      <c r="F10187" s="3" t="s">
        <v>1517</v>
      </c>
      <c r="G10187" s="6">
        <v>3388.4</v>
      </c>
      <c r="H10187" s="5">
        <v>2631</v>
      </c>
    </row>
    <row r="10188" spans="2:8" x14ac:dyDescent="0.4">
      <c r="B10188" s="3" t="s">
        <v>7</v>
      </c>
      <c r="C10188" s="3" t="s">
        <v>1513</v>
      </c>
      <c r="D10188" s="4">
        <f>DATE(2008,5,23)</f>
        <v>39591</v>
      </c>
      <c r="E10188" s="5">
        <f t="shared" si="168"/>
        <v>2008</v>
      </c>
      <c r="F10188" s="3" t="s">
        <v>1517</v>
      </c>
      <c r="G10188" s="6">
        <v>685</v>
      </c>
      <c r="H10188" s="5">
        <v>2836</v>
      </c>
    </row>
    <row r="10189" spans="2:8" x14ac:dyDescent="0.4">
      <c r="B10189" s="3" t="s">
        <v>7</v>
      </c>
      <c r="C10189" s="3" t="s">
        <v>1513</v>
      </c>
      <c r="D10189" s="4">
        <f>DATE(2009,2,27)</f>
        <v>39871</v>
      </c>
      <c r="E10189" s="5">
        <f t="shared" si="168"/>
        <v>2009</v>
      </c>
      <c r="F10189" s="3" t="s">
        <v>1517</v>
      </c>
      <c r="G10189" s="6">
        <v>450</v>
      </c>
      <c r="H10189" s="5">
        <v>3290</v>
      </c>
    </row>
    <row r="10190" spans="2:8" x14ac:dyDescent="0.4">
      <c r="B10190" s="3" t="s">
        <v>7</v>
      </c>
      <c r="C10190" s="3" t="s">
        <v>1513</v>
      </c>
      <c r="D10190" s="4">
        <f>DATE(2010,2,3)</f>
        <v>40212</v>
      </c>
      <c r="E10190" s="5">
        <f t="shared" si="168"/>
        <v>2010</v>
      </c>
      <c r="F10190" s="3" t="s">
        <v>1517</v>
      </c>
      <c r="G10190" s="6">
        <v>833.94</v>
      </c>
      <c r="H10190" s="5">
        <v>3762</v>
      </c>
    </row>
    <row r="10191" spans="2:8" x14ac:dyDescent="0.4">
      <c r="B10191" s="3" t="s">
        <v>7</v>
      </c>
      <c r="C10191" s="3" t="s">
        <v>1513</v>
      </c>
      <c r="D10191" s="4">
        <f>DATE(2013,6,21)</f>
        <v>41446</v>
      </c>
      <c r="E10191" s="5">
        <f t="shared" si="168"/>
        <v>2013</v>
      </c>
      <c r="F10191" s="3" t="s">
        <v>1517</v>
      </c>
      <c r="G10191" s="6">
        <v>6850</v>
      </c>
      <c r="H10191" s="5">
        <v>5621</v>
      </c>
    </row>
    <row r="10192" spans="2:8" x14ac:dyDescent="0.4">
      <c r="B10192" s="3" t="s">
        <v>7</v>
      </c>
      <c r="C10192" s="3" t="s">
        <v>1513</v>
      </c>
      <c r="D10192" s="4">
        <f>DATE(2014,2,21)</f>
        <v>41691</v>
      </c>
      <c r="E10192" s="5">
        <f t="shared" si="168"/>
        <v>2014</v>
      </c>
      <c r="F10192" s="3" t="s">
        <v>1517</v>
      </c>
      <c r="G10192" s="6">
        <v>1644</v>
      </c>
      <c r="H10192" s="5">
        <v>6043</v>
      </c>
    </row>
    <row r="10193" spans="2:8" x14ac:dyDescent="0.4">
      <c r="B10193" s="3" t="s">
        <v>7</v>
      </c>
      <c r="C10193" s="3" t="s">
        <v>1513</v>
      </c>
      <c r="D10193" s="4">
        <f>DATE(2014,4,23)</f>
        <v>41752</v>
      </c>
      <c r="E10193" s="5">
        <f t="shared" si="168"/>
        <v>2014</v>
      </c>
      <c r="F10193" s="3" t="s">
        <v>1517</v>
      </c>
      <c r="G10193" s="6">
        <v>4932</v>
      </c>
      <c r="H10193" s="5">
        <v>6135</v>
      </c>
    </row>
    <row r="10194" spans="2:8" x14ac:dyDescent="0.4">
      <c r="B10194" s="3" t="s">
        <v>7</v>
      </c>
      <c r="C10194" s="3" t="s">
        <v>1513</v>
      </c>
      <c r="D10194" s="4">
        <f>DATE(2014,5,13)</f>
        <v>41772</v>
      </c>
      <c r="E10194" s="5">
        <f t="shared" si="168"/>
        <v>2014</v>
      </c>
      <c r="F10194" s="3" t="s">
        <v>1517</v>
      </c>
      <c r="G10194" s="6">
        <v>3458.15</v>
      </c>
      <c r="H10194" s="5">
        <v>6181</v>
      </c>
    </row>
    <row r="10195" spans="2:8" x14ac:dyDescent="0.4">
      <c r="B10195" s="3" t="s">
        <v>16</v>
      </c>
      <c r="C10195" s="3" t="s">
        <v>1513</v>
      </c>
      <c r="D10195" s="4">
        <f>DATE(2005,5,25)</f>
        <v>38497</v>
      </c>
      <c r="E10195" s="5">
        <f t="shared" si="168"/>
        <v>2005</v>
      </c>
      <c r="F10195" s="3" t="s">
        <v>1517</v>
      </c>
      <c r="G10195" s="6">
        <v>8.64</v>
      </c>
      <c r="H10195" s="5">
        <v>1093</v>
      </c>
    </row>
    <row r="10196" spans="2:8" x14ac:dyDescent="0.4">
      <c r="B10196" s="3" t="s">
        <v>16</v>
      </c>
      <c r="C10196" s="3" t="s">
        <v>1513</v>
      </c>
      <c r="D10196" s="4">
        <f>DATE(2005,5,25)</f>
        <v>38497</v>
      </c>
      <c r="E10196" s="5">
        <f t="shared" si="168"/>
        <v>2005</v>
      </c>
      <c r="F10196" s="3" t="s">
        <v>1517</v>
      </c>
      <c r="G10196" s="6">
        <v>13.83</v>
      </c>
      <c r="H10196" s="5">
        <v>1147</v>
      </c>
    </row>
    <row r="10197" spans="2:8" x14ac:dyDescent="0.4">
      <c r="B10197" s="3" t="s">
        <v>16</v>
      </c>
      <c r="C10197" s="3" t="s">
        <v>1513</v>
      </c>
      <c r="D10197" s="4">
        <f>DATE(2014,9,30)</f>
        <v>41912</v>
      </c>
      <c r="E10197" s="5">
        <f t="shared" si="168"/>
        <v>2014</v>
      </c>
      <c r="F10197" s="3" t="s">
        <v>1517</v>
      </c>
      <c r="G10197" s="6">
        <v>822</v>
      </c>
      <c r="H10197" s="5">
        <v>6435</v>
      </c>
    </row>
    <row r="10198" spans="2:8" x14ac:dyDescent="0.4">
      <c r="B10198" t="s">
        <v>7</v>
      </c>
      <c r="C10198" t="s">
        <v>1518</v>
      </c>
      <c r="D10198" s="7">
        <f>DATE(2016,11,16)</f>
        <v>42690</v>
      </c>
      <c r="E10198" s="8">
        <f t="shared" si="168"/>
        <v>2016</v>
      </c>
      <c r="F10198" t="s">
        <v>1519</v>
      </c>
      <c r="G10198" s="9">
        <v>312</v>
      </c>
      <c r="H10198" s="8">
        <v>23839</v>
      </c>
    </row>
    <row r="10199" spans="2:8" x14ac:dyDescent="0.4">
      <c r="B10199" t="s">
        <v>7</v>
      </c>
      <c r="C10199" t="s">
        <v>1518</v>
      </c>
      <c r="D10199" s="7">
        <f>DATE(2003,8,31)</f>
        <v>37864</v>
      </c>
      <c r="E10199" s="8">
        <f t="shared" si="168"/>
        <v>2003</v>
      </c>
      <c r="F10199" t="s">
        <v>1519</v>
      </c>
      <c r="G10199" s="9">
        <v>9137</v>
      </c>
      <c r="H10199" s="8">
        <v>840</v>
      </c>
    </row>
    <row r="10200" spans="2:8" x14ac:dyDescent="0.4">
      <c r="B10200" s="3" t="s">
        <v>7</v>
      </c>
      <c r="C10200" s="3" t="s">
        <v>1518</v>
      </c>
      <c r="D10200" s="4">
        <f>DATE(2004,2,25)</f>
        <v>38042</v>
      </c>
      <c r="E10200" s="5">
        <f t="shared" si="168"/>
        <v>2004</v>
      </c>
      <c r="F10200" s="3" t="s">
        <v>1519</v>
      </c>
      <c r="G10200" s="6">
        <v>1748.3</v>
      </c>
      <c r="H10200" s="5">
        <v>2251</v>
      </c>
    </row>
    <row r="10201" spans="2:8" x14ac:dyDescent="0.4">
      <c r="B10201" s="3" t="s">
        <v>7</v>
      </c>
      <c r="C10201" s="3" t="s">
        <v>1518</v>
      </c>
      <c r="D10201" s="4">
        <f>DATE(2006,11,9)</f>
        <v>39030</v>
      </c>
      <c r="E10201" s="5">
        <f t="shared" si="168"/>
        <v>2006</v>
      </c>
      <c r="F10201" s="3" t="s">
        <v>1519</v>
      </c>
      <c r="G10201" s="6">
        <v>8931.67</v>
      </c>
      <c r="H10201" s="5">
        <v>7490</v>
      </c>
    </row>
    <row r="10202" spans="2:8" x14ac:dyDescent="0.4">
      <c r="B10202" s="3" t="s">
        <v>7</v>
      </c>
      <c r="C10202" s="3" t="s">
        <v>1518</v>
      </c>
      <c r="D10202" s="4">
        <f>DATE(2007,10,3)</f>
        <v>39358</v>
      </c>
      <c r="E10202" s="5">
        <f t="shared" si="168"/>
        <v>2007</v>
      </c>
      <c r="F10202" s="3" t="s">
        <v>1519</v>
      </c>
      <c r="G10202" s="6">
        <v>156</v>
      </c>
      <c r="H10202" s="5">
        <v>9265</v>
      </c>
    </row>
    <row r="10203" spans="2:8" x14ac:dyDescent="0.4">
      <c r="B10203" s="3" t="s">
        <v>7</v>
      </c>
      <c r="C10203" s="3" t="s">
        <v>1518</v>
      </c>
      <c r="D10203" s="4">
        <f>DATE(2008,1,3)</f>
        <v>39450</v>
      </c>
      <c r="E10203" s="5">
        <f t="shared" si="168"/>
        <v>2008</v>
      </c>
      <c r="F10203" s="3" t="s">
        <v>1519</v>
      </c>
      <c r="G10203" s="6">
        <v>3575</v>
      </c>
      <c r="H10203" s="5">
        <v>9665</v>
      </c>
    </row>
    <row r="10204" spans="2:8" x14ac:dyDescent="0.4">
      <c r="B10204" s="3" t="s">
        <v>7</v>
      </c>
      <c r="C10204" s="3" t="s">
        <v>1518</v>
      </c>
      <c r="D10204" s="4">
        <f>DATE(2010,4,15)</f>
        <v>40283</v>
      </c>
      <c r="E10204" s="5">
        <f t="shared" si="168"/>
        <v>2010</v>
      </c>
      <c r="F10204" s="3" t="s">
        <v>1519</v>
      </c>
      <c r="G10204" s="6">
        <v>308</v>
      </c>
      <c r="H10204" s="5">
        <v>13906</v>
      </c>
    </row>
    <row r="10205" spans="2:8" x14ac:dyDescent="0.4">
      <c r="B10205" s="3" t="s">
        <v>7</v>
      </c>
      <c r="C10205" s="3" t="s">
        <v>1518</v>
      </c>
      <c r="D10205" s="4">
        <f>DATE(2010,12,3)</f>
        <v>40515</v>
      </c>
      <c r="E10205" s="5">
        <f t="shared" si="168"/>
        <v>2010</v>
      </c>
      <c r="F10205" s="3" t="s">
        <v>1519</v>
      </c>
      <c r="G10205" s="6">
        <v>308</v>
      </c>
      <c r="H10205" s="5">
        <v>14787</v>
      </c>
    </row>
    <row r="10206" spans="2:8" x14ac:dyDescent="0.4">
      <c r="B10206" t="s">
        <v>7</v>
      </c>
      <c r="C10206" t="s">
        <v>1520</v>
      </c>
      <c r="D10206" s="7">
        <f>DATE(2017,2,23)</f>
        <v>42789</v>
      </c>
      <c r="E10206" s="8">
        <f t="shared" si="168"/>
        <v>2017</v>
      </c>
      <c r="F10206" t="s">
        <v>1521</v>
      </c>
      <c r="G10206" s="9">
        <v>9249.93</v>
      </c>
      <c r="H10206" s="8">
        <v>24268</v>
      </c>
    </row>
    <row r="10207" spans="2:8" x14ac:dyDescent="0.4">
      <c r="B10207" t="s">
        <v>7</v>
      </c>
      <c r="C10207" t="s">
        <v>1522</v>
      </c>
      <c r="D10207" s="7">
        <f>DATE(2004,2,28)</f>
        <v>38045</v>
      </c>
      <c r="E10207" s="8">
        <f t="shared" si="168"/>
        <v>2004</v>
      </c>
      <c r="F10207" t="s">
        <v>1523</v>
      </c>
      <c r="G10207" s="9">
        <v>8192.2800000000007</v>
      </c>
      <c r="H10207" s="8">
        <v>1287</v>
      </c>
    </row>
    <row r="10208" spans="2:8" x14ac:dyDescent="0.4">
      <c r="B10208" t="s">
        <v>7</v>
      </c>
      <c r="C10208" t="s">
        <v>1522</v>
      </c>
      <c r="D10208" s="7">
        <f>DATE(2007,10,25)</f>
        <v>39380</v>
      </c>
      <c r="E10208" s="8">
        <f t="shared" si="168"/>
        <v>2007</v>
      </c>
      <c r="F10208" t="s">
        <v>1523</v>
      </c>
      <c r="G10208" s="9">
        <v>7301</v>
      </c>
      <c r="H10208" s="8">
        <v>6207</v>
      </c>
    </row>
    <row r="10209" spans="2:8" x14ac:dyDescent="0.4">
      <c r="B10209" s="3" t="s">
        <v>7</v>
      </c>
      <c r="C10209" s="3" t="s">
        <v>1522</v>
      </c>
      <c r="D10209" s="4">
        <f>DATE(2005,5,2)</f>
        <v>38474</v>
      </c>
      <c r="E10209" s="5">
        <f t="shared" si="168"/>
        <v>2005</v>
      </c>
      <c r="F10209" s="3" t="s">
        <v>1523</v>
      </c>
      <c r="G10209" s="6">
        <v>203.94</v>
      </c>
      <c r="H10209" s="5">
        <v>4660</v>
      </c>
    </row>
    <row r="10210" spans="2:8" x14ac:dyDescent="0.4">
      <c r="B10210" s="3" t="s">
        <v>7</v>
      </c>
      <c r="C10210" s="3" t="s">
        <v>1522</v>
      </c>
      <c r="D10210" s="4">
        <f>DATE(2006,3,23)</f>
        <v>38799</v>
      </c>
      <c r="E10210" s="5">
        <f t="shared" si="168"/>
        <v>2006</v>
      </c>
      <c r="F10210" s="3" t="s">
        <v>1523</v>
      </c>
      <c r="G10210" s="6">
        <v>306.55</v>
      </c>
      <c r="H10210" s="5">
        <v>6355</v>
      </c>
    </row>
    <row r="10211" spans="2:8" x14ac:dyDescent="0.4">
      <c r="B10211" t="s">
        <v>7</v>
      </c>
      <c r="C10211" t="s">
        <v>1524</v>
      </c>
      <c r="D10211" s="7">
        <f>DATE(2016,6,20)</f>
        <v>42541</v>
      </c>
      <c r="E10211" s="8">
        <f t="shared" si="168"/>
        <v>2016</v>
      </c>
      <c r="F10211" t="s">
        <v>1525</v>
      </c>
      <c r="G10211" s="9">
        <v>11776.41</v>
      </c>
      <c r="H10211" s="8">
        <v>22986</v>
      </c>
    </row>
    <row r="10212" spans="2:8" x14ac:dyDescent="0.4">
      <c r="B10212" t="s">
        <v>7</v>
      </c>
      <c r="C10212" t="s">
        <v>1524</v>
      </c>
      <c r="D10212" s="7">
        <f>DATE(2017,4,21)</f>
        <v>42846</v>
      </c>
      <c r="E10212" s="8">
        <f t="shared" si="168"/>
        <v>2017</v>
      </c>
      <c r="F10212" t="s">
        <v>1525</v>
      </c>
      <c r="G10212" s="9">
        <v>6444.91</v>
      </c>
      <c r="H10212" s="8">
        <v>24776</v>
      </c>
    </row>
    <row r="10213" spans="2:8" x14ac:dyDescent="0.4">
      <c r="B10213" t="s">
        <v>7</v>
      </c>
      <c r="C10213" t="s">
        <v>1524</v>
      </c>
      <c r="D10213" s="7">
        <f>DATE(2015,5,1)</f>
        <v>42125</v>
      </c>
      <c r="E10213" s="8">
        <f t="shared" si="168"/>
        <v>2015</v>
      </c>
      <c r="F10213" t="s">
        <v>1526</v>
      </c>
      <c r="G10213" s="9">
        <v>5544.13</v>
      </c>
      <c r="H10213" s="8">
        <v>20470</v>
      </c>
    </row>
    <row r="10214" spans="2:8" x14ac:dyDescent="0.4">
      <c r="B10214" t="s">
        <v>7</v>
      </c>
      <c r="C10214" t="s">
        <v>1524</v>
      </c>
      <c r="D10214" s="7">
        <f>DATE(2015,8,10)</f>
        <v>42226</v>
      </c>
      <c r="E10214" s="8">
        <f t="shared" si="168"/>
        <v>2015</v>
      </c>
      <c r="F10214" t="s">
        <v>1526</v>
      </c>
      <c r="G10214" s="9">
        <v>10213.98</v>
      </c>
      <c r="H10214" s="8">
        <v>21033</v>
      </c>
    </row>
    <row r="10215" spans="2:8" x14ac:dyDescent="0.4">
      <c r="B10215" t="s">
        <v>7</v>
      </c>
      <c r="C10215" t="s">
        <v>1524</v>
      </c>
      <c r="D10215" s="7">
        <f>DATE(2007,6,18)</f>
        <v>39251</v>
      </c>
      <c r="E10215" s="8">
        <f t="shared" si="168"/>
        <v>2007</v>
      </c>
      <c r="F10215" t="s">
        <v>1526</v>
      </c>
      <c r="G10215" s="9">
        <v>1432</v>
      </c>
      <c r="H10215" s="8">
        <v>6087</v>
      </c>
    </row>
    <row r="10216" spans="2:8" x14ac:dyDescent="0.4">
      <c r="B10216" t="s">
        <v>7</v>
      </c>
      <c r="C10216" t="s">
        <v>1524</v>
      </c>
      <c r="D10216" s="7">
        <f>DATE(2008,8,5)</f>
        <v>39665</v>
      </c>
      <c r="E10216" s="8">
        <f t="shared" si="168"/>
        <v>2008</v>
      </c>
      <c r="F10216" t="s">
        <v>1526</v>
      </c>
      <c r="G10216" s="9">
        <v>1318</v>
      </c>
      <c r="H10216" s="8">
        <v>7680</v>
      </c>
    </row>
    <row r="10217" spans="2:8" x14ac:dyDescent="0.4">
      <c r="B10217" t="s">
        <v>7</v>
      </c>
      <c r="C10217" t="s">
        <v>1524</v>
      </c>
      <c r="D10217" s="7">
        <f>DATE(2008,8,5)</f>
        <v>39665</v>
      </c>
      <c r="E10217" s="8">
        <f t="shared" si="168"/>
        <v>2008</v>
      </c>
      <c r="F10217" t="s">
        <v>1526</v>
      </c>
      <c r="G10217" s="9">
        <v>120.68</v>
      </c>
      <c r="H10217" s="8">
        <v>7681</v>
      </c>
    </row>
    <row r="10218" spans="2:8" x14ac:dyDescent="0.4">
      <c r="B10218" t="s">
        <v>7</v>
      </c>
      <c r="C10218" t="s">
        <v>1524</v>
      </c>
      <c r="D10218" s="7">
        <f>DATE(2010,9,24)</f>
        <v>40445</v>
      </c>
      <c r="E10218" s="8">
        <f t="shared" si="168"/>
        <v>2010</v>
      </c>
      <c r="F10218" t="s">
        <v>1526</v>
      </c>
      <c r="G10218" s="9">
        <v>32</v>
      </c>
      <c r="H10218" s="8">
        <v>10145</v>
      </c>
    </row>
    <row r="10219" spans="2:8" x14ac:dyDescent="0.4">
      <c r="B10219" t="s">
        <v>7</v>
      </c>
      <c r="C10219" t="s">
        <v>1524</v>
      </c>
      <c r="D10219" s="7">
        <f>DATE(2003,6,26)</f>
        <v>37798</v>
      </c>
      <c r="E10219" s="8">
        <f t="shared" si="168"/>
        <v>2003</v>
      </c>
      <c r="F10219" t="s">
        <v>1526</v>
      </c>
      <c r="G10219" s="9">
        <v>2425.1999999999998</v>
      </c>
      <c r="H10219" s="8">
        <v>689</v>
      </c>
    </row>
    <row r="10220" spans="2:8" x14ac:dyDescent="0.4">
      <c r="B10220" t="s">
        <v>7</v>
      </c>
      <c r="C10220" t="s">
        <v>1524</v>
      </c>
      <c r="D10220" s="7">
        <f>DATE(2003,7,23)</f>
        <v>37825</v>
      </c>
      <c r="E10220" s="8">
        <f t="shared" si="168"/>
        <v>2003</v>
      </c>
      <c r="F10220" t="s">
        <v>1526</v>
      </c>
      <c r="G10220" s="9">
        <v>22150</v>
      </c>
      <c r="H10220" s="8">
        <v>693</v>
      </c>
    </row>
    <row r="10221" spans="2:8" x14ac:dyDescent="0.4">
      <c r="B10221" t="s">
        <v>7</v>
      </c>
      <c r="C10221" t="s">
        <v>1524</v>
      </c>
      <c r="D10221" s="7">
        <f>DATE(2003,12,11)</f>
        <v>37966</v>
      </c>
      <c r="E10221" s="8">
        <f t="shared" si="168"/>
        <v>2003</v>
      </c>
      <c r="F10221" t="s">
        <v>1526</v>
      </c>
      <c r="G10221" s="9">
        <v>22772</v>
      </c>
      <c r="H10221" s="8">
        <v>1035</v>
      </c>
    </row>
    <row r="10222" spans="2:8" x14ac:dyDescent="0.4">
      <c r="B10222" t="s">
        <v>7</v>
      </c>
      <c r="C10222" t="s">
        <v>1524</v>
      </c>
      <c r="D10222" s="7">
        <f>DATE(2004,2,3)</f>
        <v>38020</v>
      </c>
      <c r="E10222" s="8">
        <f t="shared" si="168"/>
        <v>2004</v>
      </c>
      <c r="F10222" t="s">
        <v>1526</v>
      </c>
      <c r="G10222" s="9">
        <v>6397.9</v>
      </c>
      <c r="H10222" s="8">
        <v>1224</v>
      </c>
    </row>
    <row r="10223" spans="2:8" x14ac:dyDescent="0.4">
      <c r="B10223" t="s">
        <v>7</v>
      </c>
      <c r="C10223" t="s">
        <v>1524</v>
      </c>
      <c r="D10223" s="7">
        <f>DATE(2004,3,27)</f>
        <v>38073</v>
      </c>
      <c r="E10223" s="8">
        <f t="shared" si="168"/>
        <v>2004</v>
      </c>
      <c r="F10223" t="s">
        <v>1526</v>
      </c>
      <c r="G10223" s="9">
        <v>7949.15</v>
      </c>
      <c r="H10223" s="8">
        <v>1526</v>
      </c>
    </row>
    <row r="10224" spans="2:8" x14ac:dyDescent="0.4">
      <c r="B10224" t="s">
        <v>7</v>
      </c>
      <c r="C10224" t="s">
        <v>1524</v>
      </c>
      <c r="D10224" s="7">
        <f>DATE(2005,2,28)</f>
        <v>38411</v>
      </c>
      <c r="E10224" s="8">
        <f t="shared" si="168"/>
        <v>2005</v>
      </c>
      <c r="F10224" t="s">
        <v>1526</v>
      </c>
      <c r="G10224" s="9">
        <v>5861.91</v>
      </c>
      <c r="H10224" s="8">
        <v>2832</v>
      </c>
    </row>
    <row r="10225" spans="2:8" x14ac:dyDescent="0.4">
      <c r="B10225" t="s">
        <v>7</v>
      </c>
      <c r="C10225" t="s">
        <v>1524</v>
      </c>
      <c r="D10225" s="7">
        <f>DATE(2005,3,17)</f>
        <v>38428</v>
      </c>
      <c r="E10225" s="8">
        <f t="shared" si="168"/>
        <v>2005</v>
      </c>
      <c r="F10225" t="s">
        <v>1526</v>
      </c>
      <c r="G10225" s="9">
        <v>4999.74</v>
      </c>
      <c r="H10225" s="8">
        <v>2947</v>
      </c>
    </row>
    <row r="10226" spans="2:8" x14ac:dyDescent="0.4">
      <c r="B10226" t="s">
        <v>7</v>
      </c>
      <c r="C10226" t="s">
        <v>1524</v>
      </c>
      <c r="D10226" s="7">
        <f>DATE(2005,4,9)</f>
        <v>38451</v>
      </c>
      <c r="E10226" s="8">
        <f t="shared" si="168"/>
        <v>2005</v>
      </c>
      <c r="F10226" t="s">
        <v>1526</v>
      </c>
      <c r="G10226" s="9">
        <v>6602.5</v>
      </c>
      <c r="H10226" s="8">
        <v>3043</v>
      </c>
    </row>
    <row r="10227" spans="2:8" x14ac:dyDescent="0.4">
      <c r="B10227" t="s">
        <v>7</v>
      </c>
      <c r="C10227" t="s">
        <v>1524</v>
      </c>
      <c r="D10227" s="7">
        <f>DATE(2007,5,1)</f>
        <v>39203</v>
      </c>
      <c r="E10227" s="8">
        <f t="shared" si="168"/>
        <v>2007</v>
      </c>
      <c r="F10227" t="s">
        <v>1526</v>
      </c>
      <c r="G10227" s="9">
        <v>5421.87</v>
      </c>
      <c r="H10227" s="8">
        <v>5696</v>
      </c>
    </row>
    <row r="10228" spans="2:8" x14ac:dyDescent="0.4">
      <c r="B10228" t="s">
        <v>7</v>
      </c>
      <c r="C10228" t="s">
        <v>1524</v>
      </c>
      <c r="D10228" s="7">
        <f>DATE(2008,8,1)</f>
        <v>39661</v>
      </c>
      <c r="E10228" s="8">
        <f t="shared" si="168"/>
        <v>2008</v>
      </c>
      <c r="F10228" t="s">
        <v>1526</v>
      </c>
      <c r="G10228" s="9">
        <v>3056.84</v>
      </c>
      <c r="H10228" s="8">
        <v>7645</v>
      </c>
    </row>
    <row r="10229" spans="2:8" x14ac:dyDescent="0.4">
      <c r="B10229" t="s">
        <v>7</v>
      </c>
      <c r="C10229" t="s">
        <v>1524</v>
      </c>
      <c r="D10229" s="7">
        <f>DATE(2009,4,7)</f>
        <v>39910</v>
      </c>
      <c r="E10229" s="8">
        <f t="shared" si="168"/>
        <v>2009</v>
      </c>
      <c r="F10229" t="s">
        <v>1526</v>
      </c>
      <c r="G10229" s="9">
        <v>6350</v>
      </c>
      <c r="H10229" s="8">
        <v>8490</v>
      </c>
    </row>
    <row r="10230" spans="2:8" x14ac:dyDescent="0.4">
      <c r="B10230" t="s">
        <v>7</v>
      </c>
      <c r="C10230" t="s">
        <v>1524</v>
      </c>
      <c r="D10230" s="7">
        <f>DATE(2009,4,14)</f>
        <v>39917</v>
      </c>
      <c r="E10230" s="8">
        <f t="shared" si="168"/>
        <v>2009</v>
      </c>
      <c r="F10230" t="s">
        <v>1526</v>
      </c>
      <c r="G10230" s="9">
        <v>8670.0499999999993</v>
      </c>
      <c r="H10230" s="8">
        <v>8349</v>
      </c>
    </row>
    <row r="10231" spans="2:8" x14ac:dyDescent="0.4">
      <c r="B10231" s="3" t="s">
        <v>7</v>
      </c>
      <c r="C10231" s="3" t="s">
        <v>1527</v>
      </c>
      <c r="D10231" s="4">
        <f>DATE(2008,5,1)</f>
        <v>39569</v>
      </c>
      <c r="E10231" s="5">
        <f t="shared" si="168"/>
        <v>2008</v>
      </c>
      <c r="F10231" s="3" t="s">
        <v>1528</v>
      </c>
      <c r="G10231" s="6">
        <v>10935.55</v>
      </c>
      <c r="H10231" s="5">
        <v>2792</v>
      </c>
    </row>
    <row r="10232" spans="2:8" x14ac:dyDescent="0.4">
      <c r="B10232" s="3" t="s">
        <v>7</v>
      </c>
      <c r="C10232" s="3" t="s">
        <v>1527</v>
      </c>
      <c r="D10232" s="4">
        <f>DATE(2008,8,10)</f>
        <v>39670</v>
      </c>
      <c r="E10232" s="5">
        <f t="shared" si="168"/>
        <v>2008</v>
      </c>
      <c r="F10232" s="3" t="s">
        <v>1528</v>
      </c>
      <c r="G10232" s="6">
        <v>26943.32</v>
      </c>
      <c r="H10232" s="5">
        <v>2966</v>
      </c>
    </row>
    <row r="10233" spans="2:8" x14ac:dyDescent="0.4">
      <c r="B10233" s="3" t="s">
        <v>7</v>
      </c>
      <c r="C10233" s="3" t="s">
        <v>1527</v>
      </c>
      <c r="D10233" s="4">
        <f>DATE(2011,3,14)</f>
        <v>40616</v>
      </c>
      <c r="E10233" s="5">
        <f t="shared" si="168"/>
        <v>2011</v>
      </c>
      <c r="F10233" s="3" t="s">
        <v>1528</v>
      </c>
      <c r="G10233" s="6">
        <v>8724.1</v>
      </c>
      <c r="H10233" s="5">
        <v>4349</v>
      </c>
    </row>
    <row r="10234" spans="2:8" x14ac:dyDescent="0.4">
      <c r="B10234" s="3" t="s">
        <v>7</v>
      </c>
      <c r="C10234" s="3" t="s">
        <v>1527</v>
      </c>
      <c r="D10234" s="4">
        <f>DATE(2013,8,16)</f>
        <v>41502</v>
      </c>
      <c r="E10234" s="5">
        <f t="shared" si="168"/>
        <v>2013</v>
      </c>
      <c r="F10234" s="3" t="s">
        <v>1528</v>
      </c>
      <c r="G10234" s="6">
        <v>12023.79</v>
      </c>
      <c r="H10234" s="5">
        <v>5698</v>
      </c>
    </row>
    <row r="10235" spans="2:8" x14ac:dyDescent="0.4">
      <c r="B10235" t="s">
        <v>7</v>
      </c>
      <c r="C10235" t="s">
        <v>1529</v>
      </c>
      <c r="D10235" s="7">
        <f>DATE(2004,6,30)</f>
        <v>38168</v>
      </c>
      <c r="E10235" s="8">
        <f t="shared" si="168"/>
        <v>2004</v>
      </c>
      <c r="F10235" t="s">
        <v>1530</v>
      </c>
      <c r="G10235" s="9">
        <v>21513.05</v>
      </c>
      <c r="H10235" s="8">
        <v>1924</v>
      </c>
    </row>
    <row r="10236" spans="2:8" x14ac:dyDescent="0.4">
      <c r="B10236" t="s">
        <v>7</v>
      </c>
      <c r="C10236" t="s">
        <v>1529</v>
      </c>
      <c r="D10236" s="7">
        <f>DATE(2007,2,23)</f>
        <v>39136</v>
      </c>
      <c r="E10236" s="8">
        <f t="shared" si="168"/>
        <v>2007</v>
      </c>
      <c r="F10236" t="s">
        <v>1530</v>
      </c>
      <c r="G10236" s="9">
        <v>34883</v>
      </c>
      <c r="H10236" s="8">
        <v>5227</v>
      </c>
    </row>
    <row r="10237" spans="2:8" x14ac:dyDescent="0.4">
      <c r="B10237" t="s">
        <v>7</v>
      </c>
      <c r="C10237" t="s">
        <v>1529</v>
      </c>
      <c r="D10237" s="7">
        <f>DATE(2007,2,22)</f>
        <v>39135</v>
      </c>
      <c r="E10237" s="8">
        <f t="shared" si="168"/>
        <v>2007</v>
      </c>
      <c r="F10237" t="s">
        <v>1530</v>
      </c>
      <c r="G10237" s="9">
        <v>1488.7</v>
      </c>
      <c r="H10237" s="8">
        <v>5592</v>
      </c>
    </row>
    <row r="10238" spans="2:8" x14ac:dyDescent="0.4">
      <c r="B10238" t="s">
        <v>7</v>
      </c>
      <c r="C10238" t="s">
        <v>1529</v>
      </c>
      <c r="D10238" s="7">
        <f>DATE(2007,2,22)</f>
        <v>39135</v>
      </c>
      <c r="E10238" s="8">
        <f t="shared" si="168"/>
        <v>2007</v>
      </c>
      <c r="F10238" t="s">
        <v>1530</v>
      </c>
      <c r="G10238" s="9">
        <v>14570.25</v>
      </c>
      <c r="H10238" s="8">
        <v>5528</v>
      </c>
    </row>
    <row r="10239" spans="2:8" x14ac:dyDescent="0.4">
      <c r="B10239" t="s">
        <v>7</v>
      </c>
      <c r="C10239" t="s">
        <v>1529</v>
      </c>
      <c r="D10239" s="7">
        <f>DATE(2007,2,25)</f>
        <v>39138</v>
      </c>
      <c r="E10239" s="8">
        <f t="shared" si="168"/>
        <v>2007</v>
      </c>
      <c r="F10239" t="s">
        <v>1530</v>
      </c>
      <c r="G10239" s="9">
        <v>4218.25</v>
      </c>
      <c r="H10239" s="8">
        <v>5593</v>
      </c>
    </row>
    <row r="10240" spans="2:8" x14ac:dyDescent="0.4">
      <c r="B10240" t="s">
        <v>7</v>
      </c>
      <c r="C10240" t="s">
        <v>1529</v>
      </c>
      <c r="D10240" s="7">
        <f>DATE(2007,4,22)</f>
        <v>39194</v>
      </c>
      <c r="E10240" s="8">
        <f t="shared" si="168"/>
        <v>2007</v>
      </c>
      <c r="F10240" t="s">
        <v>1530</v>
      </c>
      <c r="G10240" s="9">
        <v>31677.88</v>
      </c>
      <c r="H10240" s="8">
        <v>5440</v>
      </c>
    </row>
    <row r="10241" spans="2:8" x14ac:dyDescent="0.4">
      <c r="B10241" t="s">
        <v>7</v>
      </c>
      <c r="C10241" t="s">
        <v>1529</v>
      </c>
      <c r="D10241" s="7">
        <f>DATE(2007,5,1)</f>
        <v>39203</v>
      </c>
      <c r="E10241" s="8">
        <f t="shared" si="168"/>
        <v>2007</v>
      </c>
      <c r="F10241" t="s">
        <v>1530</v>
      </c>
      <c r="G10241" s="9">
        <v>14570.25</v>
      </c>
      <c r="H10241" s="8">
        <v>5529</v>
      </c>
    </row>
    <row r="10242" spans="2:8" x14ac:dyDescent="0.4">
      <c r="B10242" t="s">
        <v>7</v>
      </c>
      <c r="C10242" t="s">
        <v>1529</v>
      </c>
      <c r="D10242" s="7">
        <f>DATE(2012,3,16)</f>
        <v>40984</v>
      </c>
      <c r="E10242" s="8">
        <f t="shared" si="168"/>
        <v>2012</v>
      </c>
      <c r="F10242" t="s">
        <v>1530</v>
      </c>
      <c r="G10242" s="9">
        <v>42242.82</v>
      </c>
      <c r="H10242" s="8">
        <v>11195</v>
      </c>
    </row>
    <row r="10243" spans="2:8" x14ac:dyDescent="0.4">
      <c r="B10243" t="s">
        <v>7</v>
      </c>
      <c r="C10243" t="s">
        <v>1529</v>
      </c>
      <c r="D10243" s="7">
        <f>DATE(2013,4,25)</f>
        <v>41389</v>
      </c>
      <c r="E10243" s="8">
        <f t="shared" ref="E10243:E10306" si="169">YEAR(D10243)</f>
        <v>2013</v>
      </c>
      <c r="F10243" t="s">
        <v>1530</v>
      </c>
      <c r="G10243" s="9">
        <v>10718.71</v>
      </c>
      <c r="H10243" s="8">
        <v>12085</v>
      </c>
    </row>
    <row r="10244" spans="2:8" x14ac:dyDescent="0.4">
      <c r="B10244" t="s">
        <v>7</v>
      </c>
      <c r="C10244" t="s">
        <v>1529</v>
      </c>
      <c r="D10244" s="7">
        <f>DATE(2014,2,17)</f>
        <v>41687</v>
      </c>
      <c r="E10244" s="8">
        <f t="shared" si="169"/>
        <v>2014</v>
      </c>
      <c r="F10244" t="s">
        <v>1530</v>
      </c>
      <c r="G10244" s="9">
        <v>11638.36</v>
      </c>
      <c r="H10244" s="8">
        <v>12884</v>
      </c>
    </row>
    <row r="10245" spans="2:8" x14ac:dyDescent="0.4">
      <c r="B10245" t="s">
        <v>7</v>
      </c>
      <c r="C10245" t="s">
        <v>1529</v>
      </c>
      <c r="D10245" s="7">
        <f>DATE(2014,2,17)</f>
        <v>41687</v>
      </c>
      <c r="E10245" s="8">
        <f t="shared" si="169"/>
        <v>2014</v>
      </c>
      <c r="F10245" t="s">
        <v>1530</v>
      </c>
      <c r="G10245" s="9">
        <v>4797</v>
      </c>
      <c r="H10245" s="8">
        <v>12984</v>
      </c>
    </row>
    <row r="10246" spans="2:8" x14ac:dyDescent="0.4">
      <c r="B10246" t="s">
        <v>7</v>
      </c>
      <c r="C10246" t="s">
        <v>1529</v>
      </c>
      <c r="D10246" s="7">
        <f>DATE(2014,4,10)</f>
        <v>41739</v>
      </c>
      <c r="E10246" s="8">
        <f t="shared" si="169"/>
        <v>2014</v>
      </c>
      <c r="F10246" t="s">
        <v>1530</v>
      </c>
      <c r="G10246" s="9">
        <v>42160.49</v>
      </c>
      <c r="H10246" s="8">
        <v>12838</v>
      </c>
    </row>
    <row r="10247" spans="2:8" x14ac:dyDescent="0.4">
      <c r="B10247" t="s">
        <v>7</v>
      </c>
      <c r="C10247" t="s">
        <v>1529</v>
      </c>
      <c r="D10247" s="7">
        <f>DATE(2014,4,10)</f>
        <v>41739</v>
      </c>
      <c r="E10247" s="8">
        <f t="shared" si="169"/>
        <v>2014</v>
      </c>
      <c r="F10247" t="s">
        <v>1530</v>
      </c>
      <c r="G10247" s="9">
        <v>1370.01</v>
      </c>
      <c r="H10247" s="8">
        <v>13144</v>
      </c>
    </row>
    <row r="10248" spans="2:8" x14ac:dyDescent="0.4">
      <c r="B10248" t="s">
        <v>7</v>
      </c>
      <c r="C10248" t="s">
        <v>1529</v>
      </c>
      <c r="D10248" s="7">
        <f>DATE(2014,4,10)</f>
        <v>41739</v>
      </c>
      <c r="E10248" s="8">
        <f t="shared" si="169"/>
        <v>2014</v>
      </c>
      <c r="F10248" t="s">
        <v>1530</v>
      </c>
      <c r="G10248" s="9">
        <v>11597.37</v>
      </c>
      <c r="H10248" s="8">
        <v>13145</v>
      </c>
    </row>
    <row r="10249" spans="2:8" x14ac:dyDescent="0.4">
      <c r="B10249" s="3" t="s">
        <v>7</v>
      </c>
      <c r="C10249" s="3" t="s">
        <v>1529</v>
      </c>
      <c r="D10249" s="4">
        <f>DATE(2007,4,23)</f>
        <v>39195</v>
      </c>
      <c r="E10249" s="5">
        <f t="shared" si="169"/>
        <v>2007</v>
      </c>
      <c r="F10249" s="3" t="s">
        <v>1530</v>
      </c>
      <c r="G10249" s="6">
        <v>1336.65</v>
      </c>
      <c r="H10249" s="5">
        <v>8431</v>
      </c>
    </row>
    <row r="10250" spans="2:8" x14ac:dyDescent="0.4">
      <c r="B10250" s="3" t="s">
        <v>7</v>
      </c>
      <c r="C10250" s="3" t="s">
        <v>1529</v>
      </c>
      <c r="D10250" s="4">
        <f>DATE(2010,1,25)</f>
        <v>40203</v>
      </c>
      <c r="E10250" s="5">
        <f t="shared" si="169"/>
        <v>2010</v>
      </c>
      <c r="F10250" s="3" t="s">
        <v>1530</v>
      </c>
      <c r="G10250" s="6">
        <v>1672.58</v>
      </c>
      <c r="H10250" s="5">
        <v>13432</v>
      </c>
    </row>
    <row r="10251" spans="2:8" x14ac:dyDescent="0.4">
      <c r="B10251" s="3" t="s">
        <v>7</v>
      </c>
      <c r="C10251" s="3" t="s">
        <v>1529</v>
      </c>
      <c r="D10251" s="4">
        <f>DATE(2010,2,11)</f>
        <v>40220</v>
      </c>
      <c r="E10251" s="5">
        <f t="shared" si="169"/>
        <v>2010</v>
      </c>
      <c r="F10251" s="3" t="s">
        <v>1530</v>
      </c>
      <c r="G10251" s="6">
        <v>1338.06</v>
      </c>
      <c r="H10251" s="5">
        <v>13590</v>
      </c>
    </row>
    <row r="10252" spans="2:8" x14ac:dyDescent="0.4">
      <c r="B10252" s="3" t="s">
        <v>7</v>
      </c>
      <c r="C10252" s="3" t="s">
        <v>1529</v>
      </c>
      <c r="D10252" s="4">
        <f>DATE(2010,2,11)</f>
        <v>40220</v>
      </c>
      <c r="E10252" s="5">
        <f t="shared" si="169"/>
        <v>2010</v>
      </c>
      <c r="F10252" s="3" t="s">
        <v>1530</v>
      </c>
      <c r="G10252" s="6">
        <v>1338.06</v>
      </c>
      <c r="H10252" s="5">
        <v>13591</v>
      </c>
    </row>
    <row r="10253" spans="2:8" x14ac:dyDescent="0.4">
      <c r="B10253" s="3" t="s">
        <v>7</v>
      </c>
      <c r="C10253" s="3" t="s">
        <v>1529</v>
      </c>
      <c r="D10253" s="4">
        <f>DATE(2010,2,17)</f>
        <v>40226</v>
      </c>
      <c r="E10253" s="5">
        <f t="shared" si="169"/>
        <v>2010</v>
      </c>
      <c r="F10253" s="3" t="s">
        <v>1530</v>
      </c>
      <c r="G10253" s="6">
        <v>669.03</v>
      </c>
      <c r="H10253" s="5">
        <v>13591</v>
      </c>
    </row>
    <row r="10254" spans="2:8" x14ac:dyDescent="0.4">
      <c r="B10254" s="3" t="s">
        <v>7</v>
      </c>
      <c r="C10254" s="3" t="s">
        <v>1529</v>
      </c>
      <c r="D10254" s="4">
        <f>DATE(2014,2,26)</f>
        <v>41696</v>
      </c>
      <c r="E10254" s="5">
        <f t="shared" si="169"/>
        <v>2014</v>
      </c>
      <c r="F10254" s="3" t="s">
        <v>1530</v>
      </c>
      <c r="G10254" s="6">
        <v>2121.12</v>
      </c>
      <c r="H10254" s="5">
        <v>19593</v>
      </c>
    </row>
    <row r="10255" spans="2:8" x14ac:dyDescent="0.4">
      <c r="B10255" t="s">
        <v>7</v>
      </c>
      <c r="C10255" t="s">
        <v>1531</v>
      </c>
      <c r="D10255" s="7">
        <f>DATE(2016,1,11)</f>
        <v>42380</v>
      </c>
      <c r="E10255" s="8">
        <f t="shared" si="169"/>
        <v>2016</v>
      </c>
      <c r="F10255" t="s">
        <v>1532</v>
      </c>
      <c r="G10255" s="9">
        <v>18501</v>
      </c>
      <c r="H10255" s="8">
        <v>21816</v>
      </c>
    </row>
    <row r="10256" spans="2:8" x14ac:dyDescent="0.4">
      <c r="B10256" t="s">
        <v>7</v>
      </c>
      <c r="C10256" t="s">
        <v>1531</v>
      </c>
      <c r="D10256" s="7">
        <f>DATE(2017,4,18)</f>
        <v>42843</v>
      </c>
      <c r="E10256" s="8">
        <f t="shared" si="169"/>
        <v>2017</v>
      </c>
      <c r="F10256" t="s">
        <v>1532</v>
      </c>
      <c r="G10256" s="9">
        <v>13643.25</v>
      </c>
      <c r="H10256" s="8">
        <v>23707</v>
      </c>
    </row>
    <row r="10257" spans="2:8" x14ac:dyDescent="0.4">
      <c r="B10257" t="s">
        <v>7</v>
      </c>
      <c r="C10257" t="s">
        <v>1531</v>
      </c>
      <c r="D10257" s="7">
        <f>DATE(2018,7,3)</f>
        <v>43284</v>
      </c>
      <c r="E10257" s="8">
        <f t="shared" si="169"/>
        <v>2018</v>
      </c>
      <c r="F10257" t="s">
        <v>1532</v>
      </c>
      <c r="G10257" s="9">
        <v>15721.22</v>
      </c>
      <c r="H10257" s="8">
        <v>27281</v>
      </c>
    </row>
    <row r="10258" spans="2:8" x14ac:dyDescent="0.4">
      <c r="B10258" t="s">
        <v>7</v>
      </c>
      <c r="C10258" t="s">
        <v>1531</v>
      </c>
      <c r="D10258" s="7">
        <f>DATE(2018,12,20)</f>
        <v>43454</v>
      </c>
      <c r="E10258" s="8">
        <f t="shared" si="169"/>
        <v>2018</v>
      </c>
      <c r="F10258" t="s">
        <v>1532</v>
      </c>
      <c r="G10258" s="9">
        <v>25769.03</v>
      </c>
      <c r="H10258" s="8">
        <v>28073</v>
      </c>
    </row>
    <row r="10259" spans="2:8" x14ac:dyDescent="0.4">
      <c r="B10259" s="3" t="s">
        <v>7</v>
      </c>
      <c r="C10259" s="3" t="s">
        <v>1533</v>
      </c>
      <c r="D10259" s="4">
        <f>DATE(2009,3,6)</f>
        <v>39878</v>
      </c>
      <c r="E10259" s="5">
        <f t="shared" si="169"/>
        <v>2009</v>
      </c>
      <c r="F10259" s="3" t="s">
        <v>1534</v>
      </c>
      <c r="G10259" s="6">
        <v>3595.36</v>
      </c>
      <c r="H10259" s="5">
        <v>3257</v>
      </c>
    </row>
    <row r="10260" spans="2:8" x14ac:dyDescent="0.4">
      <c r="B10260" s="3" t="s">
        <v>7</v>
      </c>
      <c r="C10260" s="3" t="s">
        <v>1535</v>
      </c>
      <c r="D10260" s="4">
        <f>DATE(2010,8,25)</f>
        <v>40415</v>
      </c>
      <c r="E10260" s="5">
        <f t="shared" si="169"/>
        <v>2010</v>
      </c>
      <c r="F10260" s="3" t="s">
        <v>1536</v>
      </c>
      <c r="G10260" s="6">
        <v>13109.07</v>
      </c>
      <c r="H10260" s="5">
        <v>4013</v>
      </c>
    </row>
    <row r="10261" spans="2:8" x14ac:dyDescent="0.4">
      <c r="B10261" s="3" t="s">
        <v>7</v>
      </c>
      <c r="C10261" s="3" t="s">
        <v>1535</v>
      </c>
      <c r="D10261" s="4">
        <f>DATE(2012,4,26)</f>
        <v>41025</v>
      </c>
      <c r="E10261" s="5">
        <f t="shared" si="169"/>
        <v>2012</v>
      </c>
      <c r="F10261" s="3" t="s">
        <v>1536</v>
      </c>
      <c r="G10261" s="6">
        <v>2782.3</v>
      </c>
      <c r="H10261" s="5">
        <v>4972</v>
      </c>
    </row>
    <row r="10262" spans="2:8" x14ac:dyDescent="0.4">
      <c r="B10262" t="s">
        <v>7</v>
      </c>
      <c r="C10262" t="s">
        <v>1535</v>
      </c>
      <c r="D10262" s="7">
        <f>DATE(2015,7,23)</f>
        <v>42208</v>
      </c>
      <c r="E10262" s="8">
        <f t="shared" si="169"/>
        <v>2015</v>
      </c>
      <c r="F10262" t="s">
        <v>1537</v>
      </c>
      <c r="G10262" s="9">
        <v>14660</v>
      </c>
      <c r="H10262" s="8">
        <v>20747</v>
      </c>
    </row>
    <row r="10263" spans="2:8" x14ac:dyDescent="0.4">
      <c r="B10263" s="3" t="s">
        <v>7</v>
      </c>
      <c r="C10263" s="3" t="s">
        <v>1538</v>
      </c>
      <c r="D10263" s="4">
        <f>DATE(2004,2,6)</f>
        <v>38023</v>
      </c>
      <c r="E10263" s="5">
        <f t="shared" si="169"/>
        <v>2004</v>
      </c>
      <c r="F10263" s="3" t="s">
        <v>1539</v>
      </c>
      <c r="G10263" s="6">
        <v>15025</v>
      </c>
      <c r="H10263" s="5">
        <v>508</v>
      </c>
    </row>
    <row r="10264" spans="2:8" x14ac:dyDescent="0.4">
      <c r="B10264" s="3" t="s">
        <v>7</v>
      </c>
      <c r="C10264" s="3" t="s">
        <v>1538</v>
      </c>
      <c r="D10264" s="4">
        <f>DATE(2004,2,17)</f>
        <v>38034</v>
      </c>
      <c r="E10264" s="5">
        <f t="shared" si="169"/>
        <v>2004</v>
      </c>
      <c r="F10264" s="3" t="s">
        <v>1539</v>
      </c>
      <c r="G10264" s="6">
        <v>2500</v>
      </c>
      <c r="H10264" s="5">
        <v>520</v>
      </c>
    </row>
    <row r="10265" spans="2:8" x14ac:dyDescent="0.4">
      <c r="B10265" s="3" t="s">
        <v>7</v>
      </c>
      <c r="C10265" s="3" t="s">
        <v>1538</v>
      </c>
      <c r="D10265" s="4">
        <f>DATE(2004,4,29)</f>
        <v>38106</v>
      </c>
      <c r="E10265" s="5">
        <f t="shared" si="169"/>
        <v>2004</v>
      </c>
      <c r="F10265" s="3" t="s">
        <v>1539</v>
      </c>
      <c r="G10265" s="6">
        <v>12535</v>
      </c>
      <c r="H10265" s="5">
        <v>629</v>
      </c>
    </row>
    <row r="10266" spans="2:8" x14ac:dyDescent="0.4">
      <c r="B10266" s="3" t="s">
        <v>7</v>
      </c>
      <c r="C10266" s="3" t="s">
        <v>1538</v>
      </c>
      <c r="D10266" s="4">
        <f>DATE(2004,7,16)</f>
        <v>38184</v>
      </c>
      <c r="E10266" s="5">
        <f t="shared" si="169"/>
        <v>2004</v>
      </c>
      <c r="F10266" s="3" t="s">
        <v>1539</v>
      </c>
      <c r="G10266" s="6">
        <v>11433.1</v>
      </c>
      <c r="H10266" s="5">
        <v>708</v>
      </c>
    </row>
    <row r="10267" spans="2:8" x14ac:dyDescent="0.4">
      <c r="B10267" t="s">
        <v>7</v>
      </c>
      <c r="C10267" t="s">
        <v>1540</v>
      </c>
      <c r="D10267" s="7">
        <f>DATE(2019,4,19)</f>
        <v>43574</v>
      </c>
      <c r="E10267" s="8">
        <f t="shared" si="169"/>
        <v>2019</v>
      </c>
      <c r="F10267" t="s">
        <v>1541</v>
      </c>
      <c r="G10267" s="9">
        <v>76212</v>
      </c>
      <c r="H10267" s="8">
        <v>28615</v>
      </c>
    </row>
    <row r="10268" spans="2:8" x14ac:dyDescent="0.4">
      <c r="B10268" t="s">
        <v>7</v>
      </c>
      <c r="C10268" t="s">
        <v>1542</v>
      </c>
      <c r="D10268" s="7">
        <f>DATE(2016,4,19)</f>
        <v>42479</v>
      </c>
      <c r="E10268" s="8">
        <f t="shared" si="169"/>
        <v>2016</v>
      </c>
      <c r="F10268" t="s">
        <v>1543</v>
      </c>
      <c r="G10268" s="9">
        <v>12020</v>
      </c>
      <c r="H10268" s="8">
        <v>22628</v>
      </c>
    </row>
    <row r="10269" spans="2:8" x14ac:dyDescent="0.4">
      <c r="B10269" t="s">
        <v>7</v>
      </c>
      <c r="C10269" t="s">
        <v>1544</v>
      </c>
      <c r="D10269" s="7">
        <f>DATE(2008,10,5)</f>
        <v>39726</v>
      </c>
      <c r="E10269" s="8">
        <f t="shared" si="169"/>
        <v>2008</v>
      </c>
      <c r="F10269" t="s">
        <v>1545</v>
      </c>
      <c r="G10269" s="9">
        <v>6587.7</v>
      </c>
      <c r="H10269" s="8">
        <v>7889</v>
      </c>
    </row>
    <row r="10270" spans="2:8" x14ac:dyDescent="0.4">
      <c r="B10270" s="3" t="s">
        <v>7</v>
      </c>
      <c r="C10270" s="3" t="s">
        <v>1546</v>
      </c>
      <c r="D10270" s="4">
        <f>DATE(2009,8,3)</f>
        <v>40028</v>
      </c>
      <c r="E10270" s="5">
        <f t="shared" si="169"/>
        <v>2009</v>
      </c>
      <c r="F10270" s="3" t="s">
        <v>1547</v>
      </c>
      <c r="G10270" s="6">
        <v>13405.3</v>
      </c>
      <c r="H10270" s="5">
        <v>3483</v>
      </c>
    </row>
    <row r="10271" spans="2:8" x14ac:dyDescent="0.4">
      <c r="B10271" s="3" t="s">
        <v>7</v>
      </c>
      <c r="C10271" s="3" t="s">
        <v>1548</v>
      </c>
      <c r="D10271" s="4">
        <f>DATE(2010,11,18)</f>
        <v>40500</v>
      </c>
      <c r="E10271" s="5">
        <f t="shared" si="169"/>
        <v>2010</v>
      </c>
      <c r="F10271" s="3" t="s">
        <v>1549</v>
      </c>
      <c r="G10271" s="6">
        <v>437.77</v>
      </c>
      <c r="H10271" s="5">
        <v>14720</v>
      </c>
    </row>
    <row r="10272" spans="2:8" x14ac:dyDescent="0.4">
      <c r="B10272" t="s">
        <v>7</v>
      </c>
      <c r="C10272" t="s">
        <v>1550</v>
      </c>
      <c r="D10272" s="7">
        <f>DATE(2017,11,29)</f>
        <v>43068</v>
      </c>
      <c r="E10272" s="8">
        <f t="shared" si="169"/>
        <v>2017</v>
      </c>
      <c r="F10272" t="s">
        <v>1551</v>
      </c>
      <c r="G10272" s="9">
        <v>13880</v>
      </c>
      <c r="H10272" s="8">
        <v>24424</v>
      </c>
    </row>
    <row r="10273" spans="2:8" x14ac:dyDescent="0.4">
      <c r="B10273" t="s">
        <v>7</v>
      </c>
      <c r="C10273" t="s">
        <v>1552</v>
      </c>
      <c r="D10273" s="7">
        <f>DATE(2011,6,2)</f>
        <v>40696</v>
      </c>
      <c r="E10273" s="8">
        <f t="shared" si="169"/>
        <v>2011</v>
      </c>
      <c r="F10273" t="s">
        <v>1553</v>
      </c>
      <c r="G10273" s="9">
        <v>8823</v>
      </c>
      <c r="H10273" s="8">
        <v>10558</v>
      </c>
    </row>
    <row r="10274" spans="2:8" x14ac:dyDescent="0.4">
      <c r="B10274" t="s">
        <v>7</v>
      </c>
      <c r="C10274" t="s">
        <v>1552</v>
      </c>
      <c r="D10274" s="7">
        <f>DATE(2004,9,14)</f>
        <v>38244</v>
      </c>
      <c r="E10274" s="8">
        <f t="shared" si="169"/>
        <v>2004</v>
      </c>
      <c r="F10274" t="s">
        <v>1553</v>
      </c>
      <c r="G10274" s="9">
        <v>13330</v>
      </c>
      <c r="H10274" s="8">
        <v>2177</v>
      </c>
    </row>
    <row r="10275" spans="2:8" x14ac:dyDescent="0.4">
      <c r="B10275" t="s">
        <v>7</v>
      </c>
      <c r="C10275" t="s">
        <v>1552</v>
      </c>
      <c r="D10275" s="7">
        <f>DATE(2009,4,9)</f>
        <v>39912</v>
      </c>
      <c r="E10275" s="8">
        <f t="shared" si="169"/>
        <v>2009</v>
      </c>
      <c r="F10275" t="s">
        <v>1553</v>
      </c>
      <c r="G10275" s="9">
        <v>20131</v>
      </c>
      <c r="H10275" s="8">
        <v>8560</v>
      </c>
    </row>
    <row r="10276" spans="2:8" x14ac:dyDescent="0.4">
      <c r="B10276" t="s">
        <v>7</v>
      </c>
      <c r="C10276" t="s">
        <v>1552</v>
      </c>
      <c r="D10276" s="7">
        <f>DATE(2009,4,9)</f>
        <v>39912</v>
      </c>
      <c r="E10276" s="8">
        <f t="shared" si="169"/>
        <v>2009</v>
      </c>
      <c r="F10276" t="s">
        <v>1553</v>
      </c>
      <c r="G10276" s="9">
        <v>9294</v>
      </c>
      <c r="H10276" s="8">
        <v>8546</v>
      </c>
    </row>
    <row r="10277" spans="2:8" x14ac:dyDescent="0.4">
      <c r="B10277" t="s">
        <v>7</v>
      </c>
      <c r="C10277" t="s">
        <v>1552</v>
      </c>
      <c r="D10277" s="7">
        <f>DATE(2011,6,2)</f>
        <v>40696</v>
      </c>
      <c r="E10277" s="8">
        <f t="shared" si="169"/>
        <v>2011</v>
      </c>
      <c r="F10277" t="s">
        <v>1553</v>
      </c>
      <c r="G10277" s="9">
        <v>21387</v>
      </c>
      <c r="H10277" s="8">
        <v>10533</v>
      </c>
    </row>
    <row r="10278" spans="2:8" x14ac:dyDescent="0.4">
      <c r="B10278" t="s">
        <v>7</v>
      </c>
      <c r="C10278" t="s">
        <v>1552</v>
      </c>
      <c r="D10278" s="7">
        <f>DATE(2011,6,2)</f>
        <v>40696</v>
      </c>
      <c r="E10278" s="8">
        <f t="shared" si="169"/>
        <v>2011</v>
      </c>
      <c r="F10278" t="s">
        <v>1553</v>
      </c>
      <c r="G10278" s="9">
        <v>2245</v>
      </c>
      <c r="H10278" s="8">
        <v>10759</v>
      </c>
    </row>
    <row r="10279" spans="2:8" x14ac:dyDescent="0.4">
      <c r="B10279" t="s">
        <v>7</v>
      </c>
      <c r="C10279" t="s">
        <v>1552</v>
      </c>
      <c r="D10279" s="7">
        <f>DATE(2012,5,23)</f>
        <v>41052</v>
      </c>
      <c r="E10279" s="8">
        <f t="shared" si="169"/>
        <v>2012</v>
      </c>
      <c r="F10279" t="s">
        <v>1553</v>
      </c>
      <c r="G10279" s="9">
        <v>17991</v>
      </c>
      <c r="H10279" s="8">
        <v>11644</v>
      </c>
    </row>
    <row r="10280" spans="2:8" x14ac:dyDescent="0.4">
      <c r="B10280" t="s">
        <v>7</v>
      </c>
      <c r="C10280" t="s">
        <v>1552</v>
      </c>
      <c r="D10280" s="7">
        <f>DATE(2013,4,9)</f>
        <v>41373</v>
      </c>
      <c r="E10280" s="8">
        <f t="shared" si="169"/>
        <v>2013</v>
      </c>
      <c r="F10280" t="s">
        <v>1553</v>
      </c>
      <c r="G10280" s="9">
        <v>10000</v>
      </c>
      <c r="H10280" s="8">
        <v>12221</v>
      </c>
    </row>
    <row r="10281" spans="2:8" x14ac:dyDescent="0.4">
      <c r="B10281" t="s">
        <v>7</v>
      </c>
      <c r="C10281" t="s">
        <v>1552</v>
      </c>
      <c r="D10281" s="7">
        <f>DATE(2011,8,25)</f>
        <v>40780</v>
      </c>
      <c r="E10281" s="8">
        <f t="shared" si="169"/>
        <v>2011</v>
      </c>
      <c r="F10281" t="s">
        <v>1553</v>
      </c>
      <c r="G10281" s="9">
        <v>8585.92</v>
      </c>
      <c r="H10281" s="8">
        <v>10950</v>
      </c>
    </row>
    <row r="10282" spans="2:8" x14ac:dyDescent="0.4">
      <c r="B10282" t="s">
        <v>7</v>
      </c>
      <c r="C10282" t="s">
        <v>1552</v>
      </c>
      <c r="D10282" s="7">
        <f>DATE(2011,12,7)</f>
        <v>40884</v>
      </c>
      <c r="E10282" s="8">
        <f t="shared" si="169"/>
        <v>2011</v>
      </c>
      <c r="F10282" t="s">
        <v>1553</v>
      </c>
      <c r="G10282" s="9">
        <v>3979.98</v>
      </c>
      <c r="H10282" s="8">
        <v>11168</v>
      </c>
    </row>
    <row r="10283" spans="2:8" x14ac:dyDescent="0.4">
      <c r="B10283" t="s">
        <v>7</v>
      </c>
      <c r="C10283" t="s">
        <v>1552</v>
      </c>
      <c r="D10283" s="7">
        <f>DATE(2012,3,1)</f>
        <v>40969</v>
      </c>
      <c r="E10283" s="8">
        <f t="shared" si="169"/>
        <v>2012</v>
      </c>
      <c r="F10283" t="s">
        <v>1553</v>
      </c>
      <c r="G10283" s="9">
        <v>12221.02</v>
      </c>
      <c r="H10283" s="8">
        <v>11383</v>
      </c>
    </row>
    <row r="10284" spans="2:8" x14ac:dyDescent="0.4">
      <c r="B10284" t="s">
        <v>7</v>
      </c>
      <c r="C10284" t="s">
        <v>1554</v>
      </c>
      <c r="D10284" s="7">
        <f>DATE(2019,5,17)</f>
        <v>43602</v>
      </c>
      <c r="E10284" s="8">
        <f t="shared" si="169"/>
        <v>2019</v>
      </c>
      <c r="F10284" t="s">
        <v>1555</v>
      </c>
      <c r="G10284" s="9">
        <v>22.8</v>
      </c>
      <c r="H10284" s="8">
        <v>29038</v>
      </c>
    </row>
    <row r="10285" spans="2:8" x14ac:dyDescent="0.4">
      <c r="B10285" t="s">
        <v>7</v>
      </c>
      <c r="C10285" t="s">
        <v>1554</v>
      </c>
      <c r="D10285" s="7">
        <f>DATE(2015,1,22)</f>
        <v>42026</v>
      </c>
      <c r="E10285" s="8">
        <f t="shared" si="169"/>
        <v>2015</v>
      </c>
      <c r="F10285" t="s">
        <v>1555</v>
      </c>
      <c r="G10285" s="9">
        <v>548</v>
      </c>
      <c r="H10285" s="8">
        <v>193</v>
      </c>
    </row>
    <row r="10286" spans="2:8" x14ac:dyDescent="0.4">
      <c r="B10286" t="s">
        <v>7</v>
      </c>
      <c r="C10286" t="s">
        <v>1554</v>
      </c>
      <c r="D10286" s="7">
        <f>DATE(2015,12,22)</f>
        <v>42360</v>
      </c>
      <c r="E10286" s="8">
        <f t="shared" si="169"/>
        <v>2015</v>
      </c>
      <c r="F10286" t="s">
        <v>1555</v>
      </c>
      <c r="G10286" s="9">
        <v>1370</v>
      </c>
      <c r="H10286" s="8">
        <v>21881</v>
      </c>
    </row>
    <row r="10287" spans="2:8" x14ac:dyDescent="0.4">
      <c r="B10287" t="s">
        <v>7</v>
      </c>
      <c r="C10287" t="s">
        <v>1554</v>
      </c>
      <c r="D10287" s="7">
        <f>DATE(2017,2,21)</f>
        <v>42787</v>
      </c>
      <c r="E10287" s="8">
        <f t="shared" si="169"/>
        <v>2017</v>
      </c>
      <c r="F10287" t="s">
        <v>1555</v>
      </c>
      <c r="G10287" s="9">
        <v>4038.8</v>
      </c>
      <c r="H10287" s="8">
        <v>24336</v>
      </c>
    </row>
    <row r="10288" spans="2:8" x14ac:dyDescent="0.4">
      <c r="B10288" t="s">
        <v>7</v>
      </c>
      <c r="C10288" t="s">
        <v>1554</v>
      </c>
      <c r="D10288" s="7">
        <f>DATE(2018,7,6)</f>
        <v>43287</v>
      </c>
      <c r="E10288" s="8">
        <f t="shared" si="169"/>
        <v>2018</v>
      </c>
      <c r="F10288" t="s">
        <v>1555</v>
      </c>
      <c r="G10288" s="9">
        <v>894</v>
      </c>
      <c r="H10288" s="8">
        <v>27317</v>
      </c>
    </row>
    <row r="10289" spans="2:8" x14ac:dyDescent="0.4">
      <c r="B10289" t="s">
        <v>7</v>
      </c>
      <c r="C10289" t="s">
        <v>1554</v>
      </c>
      <c r="D10289" s="7">
        <f>DATE(2018,11,29)</f>
        <v>43433</v>
      </c>
      <c r="E10289" s="8">
        <f t="shared" si="169"/>
        <v>2018</v>
      </c>
      <c r="F10289" t="s">
        <v>1555</v>
      </c>
      <c r="G10289" s="9">
        <v>2774</v>
      </c>
      <c r="H10289" s="8">
        <v>28048</v>
      </c>
    </row>
    <row r="10290" spans="2:8" x14ac:dyDescent="0.4">
      <c r="B10290" t="s">
        <v>7</v>
      </c>
      <c r="C10290" t="s">
        <v>1554</v>
      </c>
      <c r="D10290" s="7">
        <f>DATE(2015,1,28)</f>
        <v>42032</v>
      </c>
      <c r="E10290" s="8">
        <f t="shared" si="169"/>
        <v>2015</v>
      </c>
      <c r="F10290" t="s">
        <v>1555</v>
      </c>
      <c r="G10290" s="9">
        <v>1584</v>
      </c>
      <c r="H10290" s="8">
        <v>24</v>
      </c>
    </row>
    <row r="10291" spans="2:8" x14ac:dyDescent="0.4">
      <c r="B10291" t="s">
        <v>7</v>
      </c>
      <c r="C10291" t="s">
        <v>1554</v>
      </c>
      <c r="D10291" s="7">
        <f>DATE(2015,4,2)</f>
        <v>42096</v>
      </c>
      <c r="E10291" s="8">
        <f t="shared" si="169"/>
        <v>2015</v>
      </c>
      <c r="F10291" t="s">
        <v>1555</v>
      </c>
      <c r="G10291" s="9">
        <v>4378.9799999999996</v>
      </c>
      <c r="H10291" s="8">
        <v>20301</v>
      </c>
    </row>
    <row r="10292" spans="2:8" x14ac:dyDescent="0.4">
      <c r="B10292" t="s">
        <v>7</v>
      </c>
      <c r="C10292" t="s">
        <v>1554</v>
      </c>
      <c r="D10292" s="7">
        <f>DATE(2015,4,9)</f>
        <v>42103</v>
      </c>
      <c r="E10292" s="8">
        <f t="shared" si="169"/>
        <v>2015</v>
      </c>
      <c r="F10292" t="s">
        <v>1555</v>
      </c>
      <c r="G10292" s="9">
        <v>7255.79</v>
      </c>
      <c r="H10292" s="8">
        <v>20346</v>
      </c>
    </row>
    <row r="10293" spans="2:8" x14ac:dyDescent="0.4">
      <c r="B10293" t="s">
        <v>7</v>
      </c>
      <c r="C10293" t="s">
        <v>1554</v>
      </c>
      <c r="D10293" s="7">
        <f>DATE(2016,2,29)</f>
        <v>42429</v>
      </c>
      <c r="E10293" s="8">
        <f t="shared" si="169"/>
        <v>2016</v>
      </c>
      <c r="F10293" t="s">
        <v>1555</v>
      </c>
      <c r="G10293" s="9">
        <v>6252.79</v>
      </c>
      <c r="H10293" s="8">
        <v>22264</v>
      </c>
    </row>
    <row r="10294" spans="2:8" x14ac:dyDescent="0.4">
      <c r="B10294" t="s">
        <v>7</v>
      </c>
      <c r="C10294" t="s">
        <v>1554</v>
      </c>
      <c r="D10294" s="7">
        <f>DATE(2016,5,25)</f>
        <v>42515</v>
      </c>
      <c r="E10294" s="8">
        <f t="shared" si="169"/>
        <v>2016</v>
      </c>
      <c r="F10294" t="s">
        <v>1555</v>
      </c>
      <c r="G10294" s="9">
        <v>1760</v>
      </c>
      <c r="H10294" s="8">
        <v>22903</v>
      </c>
    </row>
    <row r="10295" spans="2:8" x14ac:dyDescent="0.4">
      <c r="B10295" t="s">
        <v>7</v>
      </c>
      <c r="C10295" t="s">
        <v>1554</v>
      </c>
      <c r="D10295" s="7">
        <f>DATE(2016,9,22)</f>
        <v>42635</v>
      </c>
      <c r="E10295" s="8">
        <f t="shared" si="169"/>
        <v>2016</v>
      </c>
      <c r="F10295" t="s">
        <v>1555</v>
      </c>
      <c r="G10295" s="9">
        <v>70.400000000000006</v>
      </c>
      <c r="H10295" s="8">
        <v>23512</v>
      </c>
    </row>
    <row r="10296" spans="2:8" x14ac:dyDescent="0.4">
      <c r="B10296" t="s">
        <v>7</v>
      </c>
      <c r="C10296" t="s">
        <v>1554</v>
      </c>
      <c r="D10296" s="7">
        <f>DATE(2016,11,23)</f>
        <v>42697</v>
      </c>
      <c r="E10296" s="8">
        <f t="shared" si="169"/>
        <v>2016</v>
      </c>
      <c r="F10296" t="s">
        <v>1555</v>
      </c>
      <c r="G10296" s="9">
        <v>1056</v>
      </c>
      <c r="H10296" s="8">
        <v>23877</v>
      </c>
    </row>
    <row r="10297" spans="2:8" x14ac:dyDescent="0.4">
      <c r="B10297" t="s">
        <v>7</v>
      </c>
      <c r="C10297" t="s">
        <v>1554</v>
      </c>
      <c r="D10297" s="7">
        <f>DATE(2017,3,21)</f>
        <v>42815</v>
      </c>
      <c r="E10297" s="8">
        <f t="shared" si="169"/>
        <v>2017</v>
      </c>
      <c r="F10297" t="s">
        <v>1555</v>
      </c>
      <c r="G10297" s="9">
        <v>18937.009999999998</v>
      </c>
      <c r="H10297" s="8">
        <v>24311</v>
      </c>
    </row>
    <row r="10298" spans="2:8" x14ac:dyDescent="0.4">
      <c r="B10298" t="s">
        <v>7</v>
      </c>
      <c r="C10298" t="s">
        <v>1554</v>
      </c>
      <c r="D10298" s="7">
        <f>DATE(2017,6,1)</f>
        <v>42887</v>
      </c>
      <c r="E10298" s="8">
        <f t="shared" si="169"/>
        <v>2017</v>
      </c>
      <c r="F10298" t="s">
        <v>1555</v>
      </c>
      <c r="G10298" s="9">
        <v>8490</v>
      </c>
      <c r="H10298" s="8">
        <v>25033</v>
      </c>
    </row>
    <row r="10299" spans="2:8" x14ac:dyDescent="0.4">
      <c r="B10299" t="s">
        <v>7</v>
      </c>
      <c r="C10299" t="s">
        <v>1554</v>
      </c>
      <c r="D10299" s="7">
        <f>DATE(2017,6,8)</f>
        <v>42894</v>
      </c>
      <c r="E10299" s="8">
        <f t="shared" si="169"/>
        <v>2017</v>
      </c>
      <c r="F10299" t="s">
        <v>1555</v>
      </c>
      <c r="G10299" s="9">
        <v>8490</v>
      </c>
      <c r="H10299" s="8">
        <v>25089</v>
      </c>
    </row>
    <row r="10300" spans="2:8" x14ac:dyDescent="0.4">
      <c r="B10300" t="s">
        <v>7</v>
      </c>
      <c r="C10300" t="s">
        <v>1554</v>
      </c>
      <c r="D10300" s="7">
        <f>DATE(2017,8,18)</f>
        <v>42965</v>
      </c>
      <c r="E10300" s="8">
        <f t="shared" si="169"/>
        <v>2017</v>
      </c>
      <c r="F10300" t="s">
        <v>1555</v>
      </c>
      <c r="G10300" s="9">
        <v>1520</v>
      </c>
      <c r="H10300" s="8">
        <v>25444</v>
      </c>
    </row>
    <row r="10301" spans="2:8" x14ac:dyDescent="0.4">
      <c r="B10301" t="s">
        <v>7</v>
      </c>
      <c r="C10301" t="s">
        <v>1554</v>
      </c>
      <c r="D10301" s="7">
        <f>DATE(2017,10,9)</f>
        <v>43017</v>
      </c>
      <c r="E10301" s="8">
        <f t="shared" si="169"/>
        <v>2017</v>
      </c>
      <c r="F10301" t="s">
        <v>1555</v>
      </c>
      <c r="G10301" s="9">
        <v>2774</v>
      </c>
      <c r="H10301" s="8">
        <v>25699</v>
      </c>
    </row>
    <row r="10302" spans="2:8" x14ac:dyDescent="0.4">
      <c r="B10302" t="s">
        <v>7</v>
      </c>
      <c r="C10302" t="s">
        <v>1554</v>
      </c>
      <c r="D10302" s="7">
        <f>DATE(2017,10,30)</f>
        <v>43038</v>
      </c>
      <c r="E10302" s="8">
        <f t="shared" si="169"/>
        <v>2017</v>
      </c>
      <c r="F10302" t="s">
        <v>1555</v>
      </c>
      <c r="G10302" s="9">
        <v>30863.95</v>
      </c>
      <c r="H10302" s="8">
        <v>25171</v>
      </c>
    </row>
    <row r="10303" spans="2:8" x14ac:dyDescent="0.4">
      <c r="B10303" t="s">
        <v>7</v>
      </c>
      <c r="C10303" t="s">
        <v>1554</v>
      </c>
      <c r="D10303" s="7">
        <f>DATE(2018,1,25)</f>
        <v>43125</v>
      </c>
      <c r="E10303" s="8">
        <f t="shared" si="169"/>
        <v>2018</v>
      </c>
      <c r="F10303" t="s">
        <v>1555</v>
      </c>
      <c r="G10303" s="9">
        <v>2508</v>
      </c>
      <c r="H10303" s="8">
        <v>26314</v>
      </c>
    </row>
    <row r="10304" spans="2:8" x14ac:dyDescent="0.4">
      <c r="B10304" t="s">
        <v>7</v>
      </c>
      <c r="C10304" t="s">
        <v>1554</v>
      </c>
      <c r="D10304" s="7">
        <f>DATE(2018,3,2)</f>
        <v>43161</v>
      </c>
      <c r="E10304" s="8">
        <f t="shared" si="169"/>
        <v>2018</v>
      </c>
      <c r="F10304" t="s">
        <v>1555</v>
      </c>
      <c r="G10304" s="9">
        <v>380</v>
      </c>
      <c r="H10304" s="8">
        <v>26593</v>
      </c>
    </row>
    <row r="10305" spans="2:8" x14ac:dyDescent="0.4">
      <c r="B10305" t="s">
        <v>7</v>
      </c>
      <c r="C10305" t="s">
        <v>1554</v>
      </c>
      <c r="D10305" s="7">
        <f>DATE(2018,5,25)</f>
        <v>43245</v>
      </c>
      <c r="E10305" s="8">
        <f t="shared" si="169"/>
        <v>2018</v>
      </c>
      <c r="F10305" t="s">
        <v>1555</v>
      </c>
      <c r="G10305" s="9">
        <v>3800</v>
      </c>
      <c r="H10305" s="8">
        <v>27017</v>
      </c>
    </row>
    <row r="10306" spans="2:8" x14ac:dyDescent="0.4">
      <c r="B10306" t="s">
        <v>7</v>
      </c>
      <c r="C10306" t="s">
        <v>1554</v>
      </c>
      <c r="D10306" s="7">
        <f>DATE(2019,4,16)</f>
        <v>43571</v>
      </c>
      <c r="E10306" s="8">
        <f t="shared" si="169"/>
        <v>2019</v>
      </c>
      <c r="F10306" t="s">
        <v>1555</v>
      </c>
      <c r="G10306" s="9">
        <v>608</v>
      </c>
      <c r="H10306" s="8">
        <v>28856</v>
      </c>
    </row>
    <row r="10307" spans="2:8" x14ac:dyDescent="0.4">
      <c r="B10307" t="s">
        <v>16</v>
      </c>
      <c r="C10307" t="s">
        <v>1554</v>
      </c>
      <c r="D10307" s="7">
        <f>DATE(2017,11,1)</f>
        <v>43040</v>
      </c>
      <c r="E10307" s="8">
        <f t="shared" ref="E10307:E10370" si="170">YEAR(D10307)</f>
        <v>2017</v>
      </c>
      <c r="F10307" t="s">
        <v>1555</v>
      </c>
      <c r="G10307" s="9">
        <v>8490</v>
      </c>
      <c r="H10307" s="8">
        <v>25832</v>
      </c>
    </row>
    <row r="10308" spans="2:8" x14ac:dyDescent="0.4">
      <c r="B10308" t="s">
        <v>7</v>
      </c>
      <c r="C10308" t="s">
        <v>1554</v>
      </c>
      <c r="D10308" s="7">
        <f>DATE(2012,2,22)</f>
        <v>40961</v>
      </c>
      <c r="E10308" s="8">
        <f t="shared" si="170"/>
        <v>2012</v>
      </c>
      <c r="F10308" t="s">
        <v>1555</v>
      </c>
      <c r="G10308" s="9">
        <v>10545</v>
      </c>
      <c r="H10308" s="8">
        <v>11253</v>
      </c>
    </row>
    <row r="10309" spans="2:8" x14ac:dyDescent="0.4">
      <c r="B10309" s="3" t="s">
        <v>7</v>
      </c>
      <c r="C10309" s="3" t="s">
        <v>1554</v>
      </c>
      <c r="D10309" s="4">
        <f>DATE(2011,6,29)</f>
        <v>40723</v>
      </c>
      <c r="E10309" s="5">
        <f t="shared" si="170"/>
        <v>2011</v>
      </c>
      <c r="F10309" s="3" t="s">
        <v>1555</v>
      </c>
      <c r="G10309" s="6">
        <v>2147.9499999999998</v>
      </c>
      <c r="H10309" s="5">
        <v>4497</v>
      </c>
    </row>
    <row r="10310" spans="2:8" x14ac:dyDescent="0.4">
      <c r="B10310" s="3" t="s">
        <v>7</v>
      </c>
      <c r="C10310" s="3" t="s">
        <v>1554</v>
      </c>
      <c r="D10310" s="4">
        <f>DATE(2011,12,21)</f>
        <v>40898</v>
      </c>
      <c r="E10310" s="5">
        <f t="shared" si="170"/>
        <v>2011</v>
      </c>
      <c r="F10310" s="3" t="s">
        <v>1555</v>
      </c>
      <c r="G10310" s="6">
        <v>21398.78</v>
      </c>
      <c r="H10310" s="5">
        <v>4701</v>
      </c>
    </row>
    <row r="10311" spans="2:8" x14ac:dyDescent="0.4">
      <c r="B10311" s="3" t="s">
        <v>7</v>
      </c>
      <c r="C10311" s="3" t="s">
        <v>1554</v>
      </c>
      <c r="D10311" s="4">
        <f>DATE(2012,1,31)</f>
        <v>40939</v>
      </c>
      <c r="E10311" s="5">
        <f t="shared" si="170"/>
        <v>2012</v>
      </c>
      <c r="F10311" s="3" t="s">
        <v>1555</v>
      </c>
      <c r="G10311" s="6">
        <v>15000</v>
      </c>
      <c r="H10311" s="5">
        <v>4820</v>
      </c>
    </row>
    <row r="10312" spans="2:8" x14ac:dyDescent="0.4">
      <c r="B10312" s="3" t="s">
        <v>7</v>
      </c>
      <c r="C10312" s="3" t="s">
        <v>1554</v>
      </c>
      <c r="D10312" s="4">
        <f>DATE(2012,3,8)</f>
        <v>40976</v>
      </c>
      <c r="E10312" s="5">
        <f t="shared" si="170"/>
        <v>2012</v>
      </c>
      <c r="F10312" s="3" t="s">
        <v>1555</v>
      </c>
      <c r="G10312" s="6">
        <v>1770.16</v>
      </c>
      <c r="H10312" s="5">
        <v>4821</v>
      </c>
    </row>
    <row r="10313" spans="2:8" x14ac:dyDescent="0.4">
      <c r="B10313" s="3" t="s">
        <v>7</v>
      </c>
      <c r="C10313" s="3" t="s">
        <v>1554</v>
      </c>
      <c r="D10313" s="4">
        <f>DATE(2012,3,27)</f>
        <v>40995</v>
      </c>
      <c r="E10313" s="5">
        <f t="shared" si="170"/>
        <v>2012</v>
      </c>
      <c r="F10313" s="3" t="s">
        <v>1555</v>
      </c>
      <c r="G10313" s="6">
        <v>5133.3900000000003</v>
      </c>
      <c r="H10313" s="5">
        <v>4974</v>
      </c>
    </row>
    <row r="10314" spans="2:8" x14ac:dyDescent="0.4">
      <c r="B10314" s="3" t="s">
        <v>7</v>
      </c>
      <c r="C10314" s="3" t="s">
        <v>1554</v>
      </c>
      <c r="D10314" s="4">
        <f>DATE(2012,4,12)</f>
        <v>41011</v>
      </c>
      <c r="E10314" s="5">
        <f t="shared" si="170"/>
        <v>2012</v>
      </c>
      <c r="F10314" s="3" t="s">
        <v>1555</v>
      </c>
      <c r="G10314" s="6">
        <v>1115.81</v>
      </c>
      <c r="H10314" s="5">
        <v>4988</v>
      </c>
    </row>
    <row r="10315" spans="2:8" x14ac:dyDescent="0.4">
      <c r="B10315" s="3" t="s">
        <v>7</v>
      </c>
      <c r="C10315" s="3" t="s">
        <v>1554</v>
      </c>
      <c r="D10315" s="4">
        <f>DATE(2012,5,2)</f>
        <v>41031</v>
      </c>
      <c r="E10315" s="5">
        <f t="shared" si="170"/>
        <v>2012</v>
      </c>
      <c r="F10315" s="3" t="s">
        <v>1555</v>
      </c>
      <c r="G10315" s="6">
        <v>961.68</v>
      </c>
      <c r="H10315" s="5">
        <v>5056</v>
      </c>
    </row>
    <row r="10316" spans="2:8" x14ac:dyDescent="0.4">
      <c r="B10316" s="3" t="s">
        <v>7</v>
      </c>
      <c r="C10316" s="3" t="s">
        <v>1554</v>
      </c>
      <c r="D10316" s="4">
        <f>DATE(2008,6,5)</f>
        <v>39604</v>
      </c>
      <c r="E10316" s="5">
        <f t="shared" si="170"/>
        <v>2008</v>
      </c>
      <c r="F10316" s="3" t="s">
        <v>1555</v>
      </c>
      <c r="G10316" s="6">
        <v>15918.98</v>
      </c>
      <c r="H10316" s="5">
        <v>10744</v>
      </c>
    </row>
    <row r="10317" spans="2:8" x14ac:dyDescent="0.4">
      <c r="B10317" s="3" t="s">
        <v>7</v>
      </c>
      <c r="C10317" s="3" t="s">
        <v>1554</v>
      </c>
      <c r="D10317" s="4">
        <f>DATE(2010,5,25)</f>
        <v>40323</v>
      </c>
      <c r="E10317" s="5">
        <f t="shared" si="170"/>
        <v>2010</v>
      </c>
      <c r="F10317" s="3" t="s">
        <v>1555</v>
      </c>
      <c r="G10317" s="6">
        <v>2056</v>
      </c>
      <c r="H10317" s="5">
        <v>14088</v>
      </c>
    </row>
    <row r="10318" spans="2:8" x14ac:dyDescent="0.4">
      <c r="B10318" s="3" t="s">
        <v>7</v>
      </c>
      <c r="C10318" s="3" t="s">
        <v>1554</v>
      </c>
      <c r="D10318" s="4">
        <f>DATE(2010,6,8)</f>
        <v>40337</v>
      </c>
      <c r="E10318" s="5">
        <f t="shared" si="170"/>
        <v>2010</v>
      </c>
      <c r="F10318" s="3" t="s">
        <v>1555</v>
      </c>
      <c r="G10318" s="6">
        <v>5377.65</v>
      </c>
      <c r="H10318" s="5">
        <v>14144</v>
      </c>
    </row>
    <row r="10319" spans="2:8" x14ac:dyDescent="0.4">
      <c r="B10319" s="3" t="s">
        <v>7</v>
      </c>
      <c r="C10319" s="3" t="s">
        <v>1554</v>
      </c>
      <c r="D10319" s="4">
        <f>DATE(2011,6,29)</f>
        <v>40723</v>
      </c>
      <c r="E10319" s="5">
        <f t="shared" si="170"/>
        <v>2011</v>
      </c>
      <c r="F10319" s="3" t="s">
        <v>1555</v>
      </c>
      <c r="G10319" s="6">
        <v>6699.5</v>
      </c>
      <c r="H10319" s="5">
        <v>15708</v>
      </c>
    </row>
    <row r="10320" spans="2:8" x14ac:dyDescent="0.4">
      <c r="B10320" s="3" t="s">
        <v>7</v>
      </c>
      <c r="C10320" s="3" t="s">
        <v>1554</v>
      </c>
      <c r="D10320" s="4">
        <f>DATE(2012,4,4)</f>
        <v>41003</v>
      </c>
      <c r="E10320" s="5">
        <f t="shared" si="170"/>
        <v>2012</v>
      </c>
      <c r="F10320" s="3" t="s">
        <v>1555</v>
      </c>
      <c r="G10320" s="6">
        <v>1000.06</v>
      </c>
      <c r="H10320" s="5">
        <v>16902</v>
      </c>
    </row>
    <row r="10321" spans="2:8" x14ac:dyDescent="0.4">
      <c r="B10321" s="3" t="s">
        <v>7</v>
      </c>
      <c r="C10321" s="3" t="s">
        <v>1554</v>
      </c>
      <c r="D10321" s="4">
        <f>DATE(2012,11,7)</f>
        <v>41220</v>
      </c>
      <c r="E10321" s="5">
        <f t="shared" si="170"/>
        <v>2012</v>
      </c>
      <c r="F10321" s="3" t="s">
        <v>1555</v>
      </c>
      <c r="G10321" s="6">
        <v>27363.53</v>
      </c>
      <c r="H10321" s="5">
        <v>17452</v>
      </c>
    </row>
    <row r="10322" spans="2:8" x14ac:dyDescent="0.4">
      <c r="B10322" s="3" t="s">
        <v>7</v>
      </c>
      <c r="C10322" s="3" t="s">
        <v>1554</v>
      </c>
      <c r="D10322" s="4">
        <f>DATE(2013,5,23)</f>
        <v>41417</v>
      </c>
      <c r="E10322" s="5">
        <f t="shared" si="170"/>
        <v>2013</v>
      </c>
      <c r="F10322" s="3" t="s">
        <v>1555</v>
      </c>
      <c r="G10322" s="6">
        <v>3168</v>
      </c>
      <c r="H10322" s="5">
        <v>18586</v>
      </c>
    </row>
    <row r="10323" spans="2:8" x14ac:dyDescent="0.4">
      <c r="B10323" s="3" t="s">
        <v>7</v>
      </c>
      <c r="C10323" s="3" t="s">
        <v>1554</v>
      </c>
      <c r="D10323" s="4">
        <f>DATE(2013,10,8)</f>
        <v>41555</v>
      </c>
      <c r="E10323" s="5">
        <f t="shared" si="170"/>
        <v>2013</v>
      </c>
      <c r="F10323" s="3" t="s">
        <v>1555</v>
      </c>
      <c r="G10323" s="6">
        <v>2142.1</v>
      </c>
      <c r="H10323" s="5">
        <v>19035</v>
      </c>
    </row>
    <row r="10324" spans="2:8" x14ac:dyDescent="0.4">
      <c r="B10324" s="3" t="s">
        <v>7</v>
      </c>
      <c r="C10324" s="3" t="s">
        <v>1554</v>
      </c>
      <c r="D10324" s="4">
        <f>DATE(2014,2,19)</f>
        <v>41689</v>
      </c>
      <c r="E10324" s="5">
        <f t="shared" si="170"/>
        <v>2014</v>
      </c>
      <c r="F10324" s="3" t="s">
        <v>1555</v>
      </c>
      <c r="G10324" s="6">
        <v>13313.83</v>
      </c>
      <c r="H10324" s="5">
        <v>19342</v>
      </c>
    </row>
    <row r="10325" spans="2:8" x14ac:dyDescent="0.4">
      <c r="B10325" s="3" t="s">
        <v>7</v>
      </c>
      <c r="C10325" s="3" t="s">
        <v>1554</v>
      </c>
      <c r="D10325" s="4">
        <f>DATE(2014,10,10)</f>
        <v>41922</v>
      </c>
      <c r="E10325" s="5">
        <f t="shared" si="170"/>
        <v>2014</v>
      </c>
      <c r="F10325" s="3" t="s">
        <v>1555</v>
      </c>
      <c r="G10325" s="6">
        <v>3520</v>
      </c>
      <c r="H10325" s="5">
        <v>20477</v>
      </c>
    </row>
    <row r="10326" spans="2:8" x14ac:dyDescent="0.4">
      <c r="B10326" s="3" t="s">
        <v>7</v>
      </c>
      <c r="C10326" s="3" t="s">
        <v>1554</v>
      </c>
      <c r="D10326" s="4">
        <f>DATE(2014,10,10)</f>
        <v>41922</v>
      </c>
      <c r="E10326" s="5">
        <f t="shared" si="170"/>
        <v>2014</v>
      </c>
      <c r="F10326" s="3" t="s">
        <v>1555</v>
      </c>
      <c r="G10326" s="6">
        <v>2687.5</v>
      </c>
      <c r="H10326" s="5">
        <v>20498</v>
      </c>
    </row>
    <row r="10327" spans="2:8" x14ac:dyDescent="0.4">
      <c r="B10327" s="3" t="s">
        <v>7</v>
      </c>
      <c r="C10327" s="3" t="s">
        <v>1554</v>
      </c>
      <c r="D10327" s="4">
        <f>DATE(2014,11,6)</f>
        <v>41949</v>
      </c>
      <c r="E10327" s="5">
        <f t="shared" si="170"/>
        <v>2014</v>
      </c>
      <c r="F10327" s="3" t="s">
        <v>1555</v>
      </c>
      <c r="G10327" s="6">
        <v>2886.4</v>
      </c>
      <c r="H10327" s="5">
        <v>20615</v>
      </c>
    </row>
    <row r="10328" spans="2:8" x14ac:dyDescent="0.4">
      <c r="B10328" s="3" t="s">
        <v>7</v>
      </c>
      <c r="C10328" s="3" t="s">
        <v>1556</v>
      </c>
      <c r="D10328" s="4">
        <f>DATE(2013,11,11)</f>
        <v>41589</v>
      </c>
      <c r="E10328" s="5">
        <f t="shared" si="170"/>
        <v>2013</v>
      </c>
      <c r="F10328" s="3" t="s">
        <v>1557</v>
      </c>
      <c r="G10328" s="6">
        <v>551.39</v>
      </c>
      <c r="H10328" s="5">
        <v>19207</v>
      </c>
    </row>
    <row r="10329" spans="2:8" x14ac:dyDescent="0.4">
      <c r="B10329" s="3" t="s">
        <v>7</v>
      </c>
      <c r="C10329" s="3" t="s">
        <v>1556</v>
      </c>
      <c r="D10329" s="4">
        <f>DATE(2014,1,13)</f>
        <v>41652</v>
      </c>
      <c r="E10329" s="5">
        <f t="shared" si="170"/>
        <v>2014</v>
      </c>
      <c r="F10329" s="3" t="s">
        <v>1557</v>
      </c>
      <c r="G10329" s="6">
        <v>1027.7</v>
      </c>
      <c r="H10329" s="5">
        <v>19370</v>
      </c>
    </row>
    <row r="10330" spans="2:8" x14ac:dyDescent="0.4">
      <c r="B10330" s="3" t="s">
        <v>7</v>
      </c>
      <c r="C10330" s="3" t="s">
        <v>1556</v>
      </c>
      <c r="D10330" s="4">
        <f>DATE(2014,1,20)</f>
        <v>41659</v>
      </c>
      <c r="E10330" s="5">
        <f t="shared" si="170"/>
        <v>2014</v>
      </c>
      <c r="F10330" s="3" t="s">
        <v>1557</v>
      </c>
      <c r="G10330" s="6">
        <v>897</v>
      </c>
      <c r="H10330" s="5">
        <v>19402</v>
      </c>
    </row>
    <row r="10331" spans="2:8" x14ac:dyDescent="0.4">
      <c r="B10331" t="s">
        <v>7</v>
      </c>
      <c r="C10331" t="s">
        <v>1558</v>
      </c>
      <c r="D10331" s="7">
        <f>DATE(2018,5,31)</f>
        <v>43251</v>
      </c>
      <c r="E10331" s="8">
        <f t="shared" si="170"/>
        <v>2018</v>
      </c>
      <c r="F10331" t="s">
        <v>1559</v>
      </c>
      <c r="G10331" s="9">
        <v>5245.6</v>
      </c>
      <c r="H10331" s="8">
        <v>26657</v>
      </c>
    </row>
    <row r="10332" spans="2:8" x14ac:dyDescent="0.4">
      <c r="B10332" t="s">
        <v>7</v>
      </c>
      <c r="C10332" t="s">
        <v>1558</v>
      </c>
      <c r="D10332" s="7">
        <f>DATE(2019,3,8)</f>
        <v>43532</v>
      </c>
      <c r="E10332" s="8">
        <f t="shared" si="170"/>
        <v>2019</v>
      </c>
      <c r="F10332" t="s">
        <v>1559</v>
      </c>
      <c r="G10332" s="9">
        <v>30241</v>
      </c>
      <c r="H10332" s="8">
        <v>28512</v>
      </c>
    </row>
    <row r="10333" spans="2:8" x14ac:dyDescent="0.4">
      <c r="B10333" t="s">
        <v>7</v>
      </c>
      <c r="C10333" t="s">
        <v>1558</v>
      </c>
      <c r="D10333" s="7">
        <f>DATE(2019,3,8)</f>
        <v>43532</v>
      </c>
      <c r="E10333" s="8">
        <f t="shared" si="170"/>
        <v>2019</v>
      </c>
      <c r="F10333" t="s">
        <v>1559</v>
      </c>
      <c r="G10333" s="9">
        <v>3524.67</v>
      </c>
      <c r="H10333" s="8">
        <v>28577</v>
      </c>
    </row>
    <row r="10334" spans="2:8" x14ac:dyDescent="0.4">
      <c r="B10334" t="s">
        <v>16</v>
      </c>
      <c r="C10334" t="s">
        <v>1558</v>
      </c>
      <c r="D10334" s="7">
        <f>DATE(2019,4,24)</f>
        <v>43579</v>
      </c>
      <c r="E10334" s="8">
        <f t="shared" si="170"/>
        <v>2019</v>
      </c>
      <c r="F10334" t="s">
        <v>1559</v>
      </c>
      <c r="G10334" s="9">
        <v>30241</v>
      </c>
      <c r="H10334" s="8">
        <v>28875</v>
      </c>
    </row>
    <row r="10335" spans="2:8" x14ac:dyDescent="0.4">
      <c r="B10335" t="s">
        <v>16</v>
      </c>
      <c r="C10335" t="s">
        <v>1558</v>
      </c>
      <c r="D10335" s="7">
        <f>DATE(2019,4,24)</f>
        <v>43579</v>
      </c>
      <c r="E10335" s="8">
        <f t="shared" si="170"/>
        <v>2019</v>
      </c>
      <c r="F10335" t="s">
        <v>1559</v>
      </c>
      <c r="G10335" s="9">
        <v>2676.15</v>
      </c>
      <c r="H10335" s="8">
        <v>28878</v>
      </c>
    </row>
    <row r="10336" spans="2:8" x14ac:dyDescent="0.4">
      <c r="B10336" t="s">
        <v>16</v>
      </c>
      <c r="C10336" t="s">
        <v>1558</v>
      </c>
      <c r="D10336" s="7">
        <f>DATE(2019,4,25)</f>
        <v>43580</v>
      </c>
      <c r="E10336" s="8">
        <f t="shared" si="170"/>
        <v>2019</v>
      </c>
      <c r="F10336" t="s">
        <v>1559</v>
      </c>
      <c r="G10336" s="9">
        <v>848.52</v>
      </c>
      <c r="H10336" s="8">
        <v>28911</v>
      </c>
    </row>
    <row r="10337" spans="2:8" x14ac:dyDescent="0.4">
      <c r="B10337" t="s">
        <v>7</v>
      </c>
      <c r="C10337" t="s">
        <v>1558</v>
      </c>
      <c r="D10337" s="7">
        <f>DATE(2017,8,28)</f>
        <v>42975</v>
      </c>
      <c r="E10337" s="8">
        <f t="shared" si="170"/>
        <v>2017</v>
      </c>
      <c r="F10337" t="s">
        <v>1560</v>
      </c>
      <c r="G10337" s="9">
        <v>86810.16</v>
      </c>
      <c r="H10337" s="8">
        <v>25249</v>
      </c>
    </row>
    <row r="10338" spans="2:8" x14ac:dyDescent="0.4">
      <c r="B10338" t="s">
        <v>7</v>
      </c>
      <c r="C10338" t="s">
        <v>1558</v>
      </c>
      <c r="D10338" s="7">
        <f>DATE(2017,8,28)</f>
        <v>42975</v>
      </c>
      <c r="E10338" s="8">
        <f t="shared" si="170"/>
        <v>2017</v>
      </c>
      <c r="F10338" t="s">
        <v>1560</v>
      </c>
      <c r="G10338" s="9">
        <v>37444</v>
      </c>
      <c r="H10338" s="8">
        <v>25253</v>
      </c>
    </row>
    <row r="10339" spans="2:8" x14ac:dyDescent="0.4">
      <c r="B10339" t="s">
        <v>7</v>
      </c>
      <c r="C10339" t="s">
        <v>1561</v>
      </c>
      <c r="D10339" s="7">
        <f>DATE(2015,2,26)</f>
        <v>42061</v>
      </c>
      <c r="E10339" s="8">
        <f t="shared" si="170"/>
        <v>2015</v>
      </c>
      <c r="F10339" t="s">
        <v>1562</v>
      </c>
      <c r="G10339" s="9">
        <v>9680</v>
      </c>
      <c r="H10339" s="8">
        <v>395</v>
      </c>
    </row>
    <row r="10340" spans="2:8" x14ac:dyDescent="0.4">
      <c r="B10340" t="s">
        <v>7</v>
      </c>
      <c r="C10340" t="s">
        <v>1561</v>
      </c>
      <c r="D10340" s="7">
        <f>DATE(2015,3,26)</f>
        <v>42089</v>
      </c>
      <c r="E10340" s="8">
        <f t="shared" si="170"/>
        <v>2015</v>
      </c>
      <c r="F10340" t="s">
        <v>1562</v>
      </c>
      <c r="G10340" s="9">
        <v>7744</v>
      </c>
      <c r="H10340" s="8">
        <v>20185</v>
      </c>
    </row>
    <row r="10341" spans="2:8" x14ac:dyDescent="0.4">
      <c r="B10341" s="3" t="s">
        <v>7</v>
      </c>
      <c r="C10341" s="3" t="s">
        <v>1561</v>
      </c>
      <c r="D10341" s="4">
        <f>DATE(2003,7,22)</f>
        <v>37824</v>
      </c>
      <c r="E10341" s="5">
        <f t="shared" si="170"/>
        <v>2003</v>
      </c>
      <c r="F10341" s="3" t="s">
        <v>1562</v>
      </c>
      <c r="G10341" s="6">
        <v>978.2</v>
      </c>
      <c r="H10341" s="5">
        <v>248</v>
      </c>
    </row>
    <row r="10342" spans="2:8" x14ac:dyDescent="0.4">
      <c r="B10342" s="3" t="s">
        <v>7</v>
      </c>
      <c r="C10342" s="3" t="s">
        <v>1561</v>
      </c>
      <c r="D10342" s="4">
        <f>DATE(2003,10,8)</f>
        <v>37902</v>
      </c>
      <c r="E10342" s="5">
        <f t="shared" si="170"/>
        <v>2003</v>
      </c>
      <c r="F10342" s="3" t="s">
        <v>1562</v>
      </c>
      <c r="G10342" s="6">
        <v>6409.74</v>
      </c>
      <c r="H10342" s="5">
        <v>358</v>
      </c>
    </row>
    <row r="10343" spans="2:8" x14ac:dyDescent="0.4">
      <c r="B10343" s="3" t="s">
        <v>7</v>
      </c>
      <c r="C10343" s="3" t="s">
        <v>1561</v>
      </c>
      <c r="D10343" s="4">
        <f>DATE(2006,3,28)</f>
        <v>38804</v>
      </c>
      <c r="E10343" s="5">
        <f t="shared" si="170"/>
        <v>2006</v>
      </c>
      <c r="F10343" s="3" t="s">
        <v>1562</v>
      </c>
      <c r="G10343" s="6">
        <v>415.41</v>
      </c>
      <c r="H10343" s="5">
        <v>1513</v>
      </c>
    </row>
    <row r="10344" spans="2:8" x14ac:dyDescent="0.4">
      <c r="B10344" s="3" t="s">
        <v>7</v>
      </c>
      <c r="C10344" s="3" t="s">
        <v>1561</v>
      </c>
      <c r="D10344" s="4">
        <f>DATE(2012,3,2)</f>
        <v>40970</v>
      </c>
      <c r="E10344" s="5">
        <f t="shared" si="170"/>
        <v>2012</v>
      </c>
      <c r="F10344" s="3" t="s">
        <v>1562</v>
      </c>
      <c r="G10344" s="6">
        <v>5808</v>
      </c>
      <c r="H10344" s="5">
        <v>4844</v>
      </c>
    </row>
    <row r="10345" spans="2:8" x14ac:dyDescent="0.4">
      <c r="B10345" s="3" t="s">
        <v>7</v>
      </c>
      <c r="C10345" s="3" t="s">
        <v>1561</v>
      </c>
      <c r="D10345" s="4">
        <f>DATE(2013,6,7)</f>
        <v>41432</v>
      </c>
      <c r="E10345" s="5">
        <f t="shared" si="170"/>
        <v>2013</v>
      </c>
      <c r="F10345" s="3" t="s">
        <v>1562</v>
      </c>
      <c r="G10345" s="6">
        <v>2123.5</v>
      </c>
      <c r="H10345" s="5">
        <v>5578</v>
      </c>
    </row>
    <row r="10346" spans="2:8" x14ac:dyDescent="0.4">
      <c r="B10346" s="3" t="s">
        <v>16</v>
      </c>
      <c r="C10346" s="3" t="s">
        <v>1561</v>
      </c>
      <c r="D10346" s="4">
        <f>DATE(2003,8,29)</f>
        <v>37862</v>
      </c>
      <c r="E10346" s="5">
        <f t="shared" si="170"/>
        <v>2003</v>
      </c>
      <c r="F10346" s="3" t="s">
        <v>1562</v>
      </c>
      <c r="G10346" s="6">
        <v>74.56</v>
      </c>
      <c r="H10346" s="5">
        <v>310</v>
      </c>
    </row>
    <row r="10347" spans="2:8" x14ac:dyDescent="0.4">
      <c r="B10347" t="s">
        <v>7</v>
      </c>
      <c r="C10347" t="s">
        <v>1563</v>
      </c>
      <c r="D10347" s="7">
        <f>DATE(2018,6,7)</f>
        <v>43258</v>
      </c>
      <c r="E10347" s="8">
        <f t="shared" si="170"/>
        <v>2018</v>
      </c>
      <c r="F10347" t="s">
        <v>1564</v>
      </c>
      <c r="G10347" s="9">
        <v>24166.52</v>
      </c>
      <c r="H10347" s="8">
        <v>27130</v>
      </c>
    </row>
    <row r="10348" spans="2:8" x14ac:dyDescent="0.4">
      <c r="B10348" t="s">
        <v>16</v>
      </c>
      <c r="C10348" t="s">
        <v>1563</v>
      </c>
      <c r="D10348" s="7">
        <f>DATE(2019,1,31)</f>
        <v>43496</v>
      </c>
      <c r="E10348" s="8">
        <f t="shared" si="170"/>
        <v>2019</v>
      </c>
      <c r="F10348" t="s">
        <v>1564</v>
      </c>
      <c r="G10348" s="9">
        <v>7772.12</v>
      </c>
      <c r="H10348" s="8">
        <v>28352</v>
      </c>
    </row>
    <row r="10349" spans="2:8" x14ac:dyDescent="0.4">
      <c r="B10349" s="3" t="s">
        <v>7</v>
      </c>
      <c r="C10349" s="3" t="s">
        <v>1565</v>
      </c>
      <c r="D10349" s="4">
        <f>DATE(2003,10,27)</f>
        <v>37921</v>
      </c>
      <c r="E10349" s="5">
        <f t="shared" si="170"/>
        <v>2003</v>
      </c>
      <c r="F10349" s="3" t="s">
        <v>1566</v>
      </c>
      <c r="G10349" s="6">
        <v>13022.84</v>
      </c>
      <c r="H10349" s="5">
        <v>372</v>
      </c>
    </row>
    <row r="10350" spans="2:8" x14ac:dyDescent="0.4">
      <c r="B10350" s="3" t="s">
        <v>7</v>
      </c>
      <c r="C10350" s="3" t="s">
        <v>1565</v>
      </c>
      <c r="D10350" s="4">
        <f>DATE(2004,1,4)</f>
        <v>37990</v>
      </c>
      <c r="E10350" s="5">
        <f t="shared" si="170"/>
        <v>2004</v>
      </c>
      <c r="F10350" s="3" t="s">
        <v>1566</v>
      </c>
      <c r="G10350" s="6">
        <v>25303.26</v>
      </c>
      <c r="H10350" s="5">
        <v>456</v>
      </c>
    </row>
    <row r="10351" spans="2:8" x14ac:dyDescent="0.4">
      <c r="B10351" s="3" t="s">
        <v>7</v>
      </c>
      <c r="C10351" s="3" t="s">
        <v>1565</v>
      </c>
      <c r="D10351" s="4">
        <f>DATE(2004,3,8)</f>
        <v>38054</v>
      </c>
      <c r="E10351" s="5">
        <f t="shared" si="170"/>
        <v>2004</v>
      </c>
      <c r="F10351" s="3" t="s">
        <v>1566</v>
      </c>
      <c r="G10351" s="6">
        <v>16535.5</v>
      </c>
      <c r="H10351" s="5">
        <v>535</v>
      </c>
    </row>
    <row r="10352" spans="2:8" x14ac:dyDescent="0.4">
      <c r="B10352" s="3" t="s">
        <v>7</v>
      </c>
      <c r="C10352" s="3" t="s">
        <v>1565</v>
      </c>
      <c r="D10352" s="4">
        <f>DATE(2004,4,20)</f>
        <v>38097</v>
      </c>
      <c r="E10352" s="5">
        <f t="shared" si="170"/>
        <v>2004</v>
      </c>
      <c r="F10352" s="3" t="s">
        <v>1566</v>
      </c>
      <c r="G10352" s="6">
        <v>9657.1</v>
      </c>
      <c r="H10352" s="5">
        <v>612</v>
      </c>
    </row>
    <row r="10353" spans="2:8" x14ac:dyDescent="0.4">
      <c r="B10353" s="3" t="s">
        <v>7</v>
      </c>
      <c r="C10353" s="3" t="s">
        <v>1565</v>
      </c>
      <c r="D10353" s="4">
        <f>DATE(2004,6,23)</f>
        <v>38161</v>
      </c>
      <c r="E10353" s="5">
        <f t="shared" si="170"/>
        <v>2004</v>
      </c>
      <c r="F10353" s="3" t="s">
        <v>1566</v>
      </c>
      <c r="G10353" s="6">
        <v>12314.7</v>
      </c>
      <c r="H10353" s="5">
        <v>683</v>
      </c>
    </row>
    <row r="10354" spans="2:8" x14ac:dyDescent="0.4">
      <c r="B10354" s="3" t="s">
        <v>7</v>
      </c>
      <c r="C10354" s="3" t="s">
        <v>1565</v>
      </c>
      <c r="D10354" s="4">
        <f>DATE(2004,11,19)</f>
        <v>38310</v>
      </c>
      <c r="E10354" s="5">
        <f t="shared" si="170"/>
        <v>2004</v>
      </c>
      <c r="F10354" s="3" t="s">
        <v>1566</v>
      </c>
      <c r="G10354" s="6">
        <v>62089.4</v>
      </c>
      <c r="H10354" s="5">
        <v>821</v>
      </c>
    </row>
    <row r="10355" spans="2:8" x14ac:dyDescent="0.4">
      <c r="B10355" s="3" t="s">
        <v>7</v>
      </c>
      <c r="C10355" s="3" t="s">
        <v>1565</v>
      </c>
      <c r="D10355" s="4">
        <f>DATE(2004,12,6)</f>
        <v>38327</v>
      </c>
      <c r="E10355" s="5">
        <f t="shared" si="170"/>
        <v>2004</v>
      </c>
      <c r="F10355" s="3" t="s">
        <v>1566</v>
      </c>
      <c r="G10355" s="6">
        <v>23142.2</v>
      </c>
      <c r="H10355" s="5">
        <v>820</v>
      </c>
    </row>
    <row r="10356" spans="2:8" x14ac:dyDescent="0.4">
      <c r="B10356" s="3" t="s">
        <v>7</v>
      </c>
      <c r="C10356" s="3" t="s">
        <v>1565</v>
      </c>
      <c r="D10356" s="4">
        <f>DATE(2005,2,20)</f>
        <v>38403</v>
      </c>
      <c r="E10356" s="5">
        <f t="shared" si="170"/>
        <v>2005</v>
      </c>
      <c r="F10356" s="3" t="s">
        <v>1566</v>
      </c>
      <c r="G10356" s="6">
        <v>16523.7</v>
      </c>
      <c r="H10356" s="5">
        <v>940</v>
      </c>
    </row>
    <row r="10357" spans="2:8" x14ac:dyDescent="0.4">
      <c r="B10357" s="3" t="s">
        <v>7</v>
      </c>
      <c r="C10357" s="3" t="s">
        <v>1565</v>
      </c>
      <c r="D10357" s="4">
        <f>DATE(2005,3,22)</f>
        <v>38433</v>
      </c>
      <c r="E10357" s="5">
        <f t="shared" si="170"/>
        <v>2005</v>
      </c>
      <c r="F10357" s="3" t="s">
        <v>1566</v>
      </c>
      <c r="G10357" s="6">
        <v>57649</v>
      </c>
      <c r="H10357" s="5">
        <v>982</v>
      </c>
    </row>
    <row r="10358" spans="2:8" x14ac:dyDescent="0.4">
      <c r="B10358" s="3" t="s">
        <v>7</v>
      </c>
      <c r="C10358" s="3" t="s">
        <v>1565</v>
      </c>
      <c r="D10358" s="4">
        <f>DATE(2005,6,17)</f>
        <v>38520</v>
      </c>
      <c r="E10358" s="5">
        <f t="shared" si="170"/>
        <v>2005</v>
      </c>
      <c r="F10358" s="3" t="s">
        <v>1566</v>
      </c>
      <c r="G10358" s="6">
        <v>12428.6</v>
      </c>
      <c r="H10358" s="5">
        <v>1106</v>
      </c>
    </row>
    <row r="10359" spans="2:8" x14ac:dyDescent="0.4">
      <c r="B10359" s="3" t="s">
        <v>7</v>
      </c>
      <c r="C10359" s="3" t="s">
        <v>1565</v>
      </c>
      <c r="D10359" s="4">
        <f>DATE(2006,1,12)</f>
        <v>38729</v>
      </c>
      <c r="E10359" s="5">
        <f t="shared" si="170"/>
        <v>2006</v>
      </c>
      <c r="F10359" s="3" t="s">
        <v>1566</v>
      </c>
      <c r="G10359" s="6">
        <v>24929.5</v>
      </c>
      <c r="H10359" s="5">
        <v>1366</v>
      </c>
    </row>
    <row r="10360" spans="2:8" x14ac:dyDescent="0.4">
      <c r="B10360" s="3" t="s">
        <v>7</v>
      </c>
      <c r="C10360" s="3" t="s">
        <v>1567</v>
      </c>
      <c r="D10360" s="4">
        <f>DATE(2006,3,17)</f>
        <v>38793</v>
      </c>
      <c r="E10360" s="5">
        <f t="shared" si="170"/>
        <v>2006</v>
      </c>
      <c r="F10360" s="3" t="s">
        <v>1566</v>
      </c>
      <c r="G10360" s="6">
        <v>32572.91</v>
      </c>
      <c r="H10360" s="5">
        <v>1484</v>
      </c>
    </row>
    <row r="10361" spans="2:8" x14ac:dyDescent="0.4">
      <c r="B10361" s="3" t="s">
        <v>7</v>
      </c>
      <c r="C10361" s="3" t="s">
        <v>1567</v>
      </c>
      <c r="D10361" s="4">
        <f>DATE(2006,5,5)</f>
        <v>38842</v>
      </c>
      <c r="E10361" s="5">
        <f t="shared" si="170"/>
        <v>2006</v>
      </c>
      <c r="F10361" s="3" t="s">
        <v>1566</v>
      </c>
      <c r="G10361" s="6">
        <v>22280.7</v>
      </c>
      <c r="H10361" s="5">
        <v>1555</v>
      </c>
    </row>
    <row r="10362" spans="2:8" x14ac:dyDescent="0.4">
      <c r="B10362" s="3" t="s">
        <v>7</v>
      </c>
      <c r="C10362" s="3" t="s">
        <v>1565</v>
      </c>
      <c r="D10362" s="4">
        <f>DATE(2006,5,11)</f>
        <v>38848</v>
      </c>
      <c r="E10362" s="5">
        <f t="shared" si="170"/>
        <v>2006</v>
      </c>
      <c r="F10362" s="3" t="s">
        <v>1566</v>
      </c>
      <c r="G10362" s="6">
        <v>20233.8</v>
      </c>
      <c r="H10362" s="5">
        <v>1483</v>
      </c>
    </row>
    <row r="10363" spans="2:8" x14ac:dyDescent="0.4">
      <c r="B10363" s="3" t="s">
        <v>7</v>
      </c>
      <c r="C10363" s="3" t="s">
        <v>1567</v>
      </c>
      <c r="D10363" s="4">
        <f>DATE(2006,8,12)</f>
        <v>38941</v>
      </c>
      <c r="E10363" s="5">
        <f t="shared" si="170"/>
        <v>2006</v>
      </c>
      <c r="F10363" s="3" t="s">
        <v>1566</v>
      </c>
      <c r="G10363" s="6">
        <v>30029.4</v>
      </c>
      <c r="H10363" s="5">
        <v>1729</v>
      </c>
    </row>
    <row r="10364" spans="2:8" x14ac:dyDescent="0.4">
      <c r="B10364" s="3" t="s">
        <v>7</v>
      </c>
      <c r="C10364" s="3" t="s">
        <v>1567</v>
      </c>
      <c r="D10364" s="4">
        <f>DATE(2006,8,11)</f>
        <v>38940</v>
      </c>
      <c r="E10364" s="5">
        <f t="shared" si="170"/>
        <v>2006</v>
      </c>
      <c r="F10364" s="3" t="s">
        <v>1566</v>
      </c>
      <c r="G10364" s="6">
        <v>1866</v>
      </c>
      <c r="H10364" s="5">
        <v>1734</v>
      </c>
    </row>
    <row r="10365" spans="2:8" x14ac:dyDescent="0.4">
      <c r="B10365" s="3" t="s">
        <v>7</v>
      </c>
      <c r="C10365" s="3" t="s">
        <v>1565</v>
      </c>
      <c r="D10365" s="4">
        <f>DATE(2006,9,29)</f>
        <v>38989</v>
      </c>
      <c r="E10365" s="5">
        <f t="shared" si="170"/>
        <v>2006</v>
      </c>
      <c r="F10365" s="3" t="s">
        <v>1566</v>
      </c>
      <c r="G10365" s="6">
        <v>21924.2</v>
      </c>
      <c r="H10365" s="5">
        <v>1762</v>
      </c>
    </row>
    <row r="10366" spans="2:8" x14ac:dyDescent="0.4">
      <c r="B10366" s="3" t="s">
        <v>7</v>
      </c>
      <c r="C10366" s="3" t="s">
        <v>1565</v>
      </c>
      <c r="D10366" s="4">
        <f>DATE(2007,1,30)</f>
        <v>39112</v>
      </c>
      <c r="E10366" s="5">
        <f t="shared" si="170"/>
        <v>2007</v>
      </c>
      <c r="F10366" s="3" t="s">
        <v>1566</v>
      </c>
      <c r="G10366" s="6">
        <v>3112.5</v>
      </c>
      <c r="H10366" s="5">
        <v>1846</v>
      </c>
    </row>
    <row r="10367" spans="2:8" x14ac:dyDescent="0.4">
      <c r="B10367" s="3" t="s">
        <v>7</v>
      </c>
      <c r="C10367" s="3" t="s">
        <v>1565</v>
      </c>
      <c r="D10367" s="4">
        <f>DATE(2007,2,26)</f>
        <v>39139</v>
      </c>
      <c r="E10367" s="5">
        <f t="shared" si="170"/>
        <v>2007</v>
      </c>
      <c r="F10367" s="3" t="s">
        <v>1566</v>
      </c>
      <c r="G10367" s="6">
        <v>24910.5</v>
      </c>
      <c r="H10367" s="5">
        <v>2040</v>
      </c>
    </row>
    <row r="10368" spans="2:8" x14ac:dyDescent="0.4">
      <c r="B10368" s="3" t="s">
        <v>7</v>
      </c>
      <c r="C10368" s="3" t="s">
        <v>1567</v>
      </c>
      <c r="D10368" s="4">
        <f>DATE(2007,5,1)</f>
        <v>39203</v>
      </c>
      <c r="E10368" s="5">
        <f t="shared" si="170"/>
        <v>2007</v>
      </c>
      <c r="F10368" s="3" t="s">
        <v>1566</v>
      </c>
      <c r="G10368" s="6">
        <v>14646</v>
      </c>
      <c r="H10368" s="5">
        <v>2150</v>
      </c>
    </row>
    <row r="10369" spans="2:8" x14ac:dyDescent="0.4">
      <c r="B10369" s="3" t="s">
        <v>7</v>
      </c>
      <c r="C10369" s="3" t="s">
        <v>1565</v>
      </c>
      <c r="D10369" s="4">
        <f>DATE(2007,6,30)</f>
        <v>39263</v>
      </c>
      <c r="E10369" s="5">
        <f t="shared" si="170"/>
        <v>2007</v>
      </c>
      <c r="F10369" s="3" t="s">
        <v>1566</v>
      </c>
      <c r="G10369" s="6">
        <v>30521.7</v>
      </c>
      <c r="H10369" s="5">
        <v>2286</v>
      </c>
    </row>
    <row r="10370" spans="2:8" x14ac:dyDescent="0.4">
      <c r="B10370" s="3" t="s">
        <v>7</v>
      </c>
      <c r="C10370" s="3" t="s">
        <v>1565</v>
      </c>
      <c r="D10370" s="4">
        <f>DATE(2007,9,19)</f>
        <v>39344</v>
      </c>
      <c r="E10370" s="5">
        <f t="shared" si="170"/>
        <v>2007</v>
      </c>
      <c r="F10370" s="3" t="s">
        <v>1566</v>
      </c>
      <c r="G10370" s="6">
        <v>57458.5</v>
      </c>
      <c r="H10370" s="5">
        <v>2347</v>
      </c>
    </row>
    <row r="10371" spans="2:8" x14ac:dyDescent="0.4">
      <c r="B10371" s="3" t="s">
        <v>7</v>
      </c>
      <c r="C10371" s="3" t="s">
        <v>1565</v>
      </c>
      <c r="D10371" s="4">
        <f>DATE(2008,2,1)</f>
        <v>39479</v>
      </c>
      <c r="E10371" s="5">
        <f t="shared" ref="E10371:E10434" si="171">YEAR(D10371)</f>
        <v>2008</v>
      </c>
      <c r="F10371" s="3" t="s">
        <v>1566</v>
      </c>
      <c r="G10371" s="6">
        <v>38592.300000000003</v>
      </c>
      <c r="H10371" s="5">
        <v>2578</v>
      </c>
    </row>
    <row r="10372" spans="2:8" x14ac:dyDescent="0.4">
      <c r="B10372" s="3" t="s">
        <v>7</v>
      </c>
      <c r="C10372" s="3" t="s">
        <v>1565</v>
      </c>
      <c r="D10372" s="4">
        <f>DATE(2008,5,1)</f>
        <v>39569</v>
      </c>
      <c r="E10372" s="5">
        <f t="shared" si="171"/>
        <v>2008</v>
      </c>
      <c r="F10372" s="3" t="s">
        <v>1566</v>
      </c>
      <c r="G10372" s="6">
        <v>107741.9</v>
      </c>
      <c r="H10372" s="5">
        <v>2579</v>
      </c>
    </row>
    <row r="10373" spans="2:8" x14ac:dyDescent="0.4">
      <c r="B10373" s="3" t="s">
        <v>7</v>
      </c>
      <c r="C10373" s="3" t="s">
        <v>1565</v>
      </c>
      <c r="D10373" s="4">
        <f>DATE(2008,9,1)</f>
        <v>39692</v>
      </c>
      <c r="E10373" s="5">
        <f t="shared" si="171"/>
        <v>2008</v>
      </c>
      <c r="F10373" s="3" t="s">
        <v>1566</v>
      </c>
      <c r="G10373" s="6">
        <v>62116.86</v>
      </c>
      <c r="H10373" s="5">
        <v>2937</v>
      </c>
    </row>
    <row r="10374" spans="2:8" x14ac:dyDescent="0.4">
      <c r="B10374" s="3" t="s">
        <v>7</v>
      </c>
      <c r="C10374" s="3" t="s">
        <v>1567</v>
      </c>
      <c r="D10374" s="4">
        <f>DATE(2009,5,21)</f>
        <v>39954</v>
      </c>
      <c r="E10374" s="5">
        <f t="shared" si="171"/>
        <v>2009</v>
      </c>
      <c r="F10374" s="3" t="s">
        <v>1566</v>
      </c>
      <c r="G10374" s="6">
        <v>40067.08</v>
      </c>
      <c r="H10374" s="5">
        <v>3380</v>
      </c>
    </row>
    <row r="10375" spans="2:8" x14ac:dyDescent="0.4">
      <c r="B10375" s="3" t="s">
        <v>7</v>
      </c>
      <c r="C10375" s="3" t="s">
        <v>1567</v>
      </c>
      <c r="D10375" s="4">
        <f>DATE(2011,10,25)</f>
        <v>40841</v>
      </c>
      <c r="E10375" s="5">
        <f t="shared" si="171"/>
        <v>2011</v>
      </c>
      <c r="F10375" s="3" t="s">
        <v>1566</v>
      </c>
      <c r="G10375" s="6">
        <v>728534.39</v>
      </c>
      <c r="H10375" s="5">
        <v>4278</v>
      </c>
    </row>
    <row r="10376" spans="2:8" x14ac:dyDescent="0.4">
      <c r="B10376" s="3" t="s">
        <v>7</v>
      </c>
      <c r="C10376" s="3" t="s">
        <v>1567</v>
      </c>
      <c r="D10376" s="4">
        <f>DATE(2013,5,8)</f>
        <v>41402</v>
      </c>
      <c r="E10376" s="5">
        <f t="shared" si="171"/>
        <v>2013</v>
      </c>
      <c r="F10376" s="3" t="s">
        <v>1566</v>
      </c>
      <c r="G10376" s="6">
        <v>232488.73</v>
      </c>
      <c r="H10376" s="5">
        <v>5387</v>
      </c>
    </row>
    <row r="10377" spans="2:8" x14ac:dyDescent="0.4">
      <c r="B10377" s="3" t="s">
        <v>16</v>
      </c>
      <c r="C10377" s="3" t="s">
        <v>1565</v>
      </c>
      <c r="D10377" s="4">
        <f>DATE(2003,10,27)</f>
        <v>37921</v>
      </c>
      <c r="E10377" s="5">
        <f t="shared" si="171"/>
        <v>2003</v>
      </c>
      <c r="F10377" s="3" t="s">
        <v>1566</v>
      </c>
      <c r="G10377" s="6">
        <v>992.54</v>
      </c>
      <c r="H10377" s="5">
        <v>477</v>
      </c>
    </row>
    <row r="10378" spans="2:8" x14ac:dyDescent="0.4">
      <c r="B10378" t="s">
        <v>7</v>
      </c>
      <c r="C10378" t="s">
        <v>1567</v>
      </c>
      <c r="D10378" s="7">
        <f>DATE(2016,10,19)</f>
        <v>42662</v>
      </c>
      <c r="E10378" s="8">
        <f t="shared" si="171"/>
        <v>2016</v>
      </c>
      <c r="F10378" t="s">
        <v>1568</v>
      </c>
      <c r="G10378" s="9">
        <v>90737.34</v>
      </c>
      <c r="H10378" s="8">
        <v>22450</v>
      </c>
    </row>
    <row r="10379" spans="2:8" x14ac:dyDescent="0.4">
      <c r="B10379" s="3" t="s">
        <v>7</v>
      </c>
      <c r="C10379" s="3" t="s">
        <v>1567</v>
      </c>
      <c r="D10379" s="4">
        <f>DATE(2013,9,5)</f>
        <v>41522</v>
      </c>
      <c r="E10379" s="5">
        <f t="shared" si="171"/>
        <v>2013</v>
      </c>
      <c r="F10379" s="3" t="s">
        <v>1568</v>
      </c>
      <c r="G10379" s="6">
        <v>92328.47</v>
      </c>
      <c r="H10379" s="5">
        <v>5777</v>
      </c>
    </row>
    <row r="10380" spans="2:8" x14ac:dyDescent="0.4">
      <c r="B10380" s="3" t="s">
        <v>7</v>
      </c>
      <c r="C10380" s="3" t="s">
        <v>1569</v>
      </c>
      <c r="D10380" s="4">
        <f>DATE(2006,8,30)</f>
        <v>38959</v>
      </c>
      <c r="E10380" s="5">
        <f t="shared" si="171"/>
        <v>2006</v>
      </c>
      <c r="F10380" s="3" t="s">
        <v>1570</v>
      </c>
      <c r="G10380" s="6">
        <v>4069.5</v>
      </c>
      <c r="H10380" s="5">
        <v>1771</v>
      </c>
    </row>
    <row r="10381" spans="2:8" x14ac:dyDescent="0.4">
      <c r="B10381" s="3" t="s">
        <v>7</v>
      </c>
      <c r="C10381" s="3" t="s">
        <v>1571</v>
      </c>
      <c r="D10381" s="4">
        <f>DATE(2006,9,25)</f>
        <v>38985</v>
      </c>
      <c r="E10381" s="5">
        <f t="shared" si="171"/>
        <v>2006</v>
      </c>
      <c r="F10381" s="3" t="s">
        <v>1572</v>
      </c>
      <c r="G10381" s="6">
        <v>5346.6</v>
      </c>
      <c r="H10381" s="5">
        <v>1787</v>
      </c>
    </row>
    <row r="10382" spans="2:8" x14ac:dyDescent="0.4">
      <c r="B10382" s="3" t="s">
        <v>7</v>
      </c>
      <c r="C10382" s="3" t="s">
        <v>1571</v>
      </c>
      <c r="D10382" s="4">
        <f>DATE(2013,4,25)</f>
        <v>41389</v>
      </c>
      <c r="E10382" s="5">
        <f t="shared" si="171"/>
        <v>2013</v>
      </c>
      <c r="F10382" s="3" t="s">
        <v>1573</v>
      </c>
      <c r="G10382" s="6">
        <v>9891.1200000000008</v>
      </c>
      <c r="H10382" s="5">
        <v>5537</v>
      </c>
    </row>
    <row r="10383" spans="2:8" x14ac:dyDescent="0.4">
      <c r="B10383" s="3" t="s">
        <v>7</v>
      </c>
      <c r="C10383" s="3" t="s">
        <v>1565</v>
      </c>
      <c r="D10383" s="4">
        <f>DATE(2003,7,27)</f>
        <v>37829</v>
      </c>
      <c r="E10383" s="5">
        <f t="shared" si="171"/>
        <v>2003</v>
      </c>
      <c r="F10383" s="3" t="s">
        <v>1574</v>
      </c>
      <c r="G10383" s="6">
        <v>95.6</v>
      </c>
      <c r="H10383" s="5">
        <v>263</v>
      </c>
    </row>
    <row r="10384" spans="2:8" x14ac:dyDescent="0.4">
      <c r="B10384" t="s">
        <v>7</v>
      </c>
      <c r="C10384" t="s">
        <v>1575</v>
      </c>
      <c r="D10384" s="7">
        <f>DATE(2018,5,1)</f>
        <v>43221</v>
      </c>
      <c r="E10384" s="8">
        <f t="shared" si="171"/>
        <v>2018</v>
      </c>
      <c r="F10384" t="s">
        <v>1576</v>
      </c>
      <c r="G10384" s="9">
        <v>176268.52</v>
      </c>
      <c r="H10384" s="8">
        <v>26205</v>
      </c>
    </row>
    <row r="10385" spans="2:8" x14ac:dyDescent="0.4">
      <c r="B10385" t="s">
        <v>7</v>
      </c>
      <c r="C10385" t="s">
        <v>1575</v>
      </c>
      <c r="D10385" s="7">
        <f>DATE(2018,5,1)</f>
        <v>43221</v>
      </c>
      <c r="E10385" s="8">
        <f t="shared" si="171"/>
        <v>2018</v>
      </c>
      <c r="F10385" t="s">
        <v>1576</v>
      </c>
      <c r="G10385" s="9">
        <v>13187.25</v>
      </c>
      <c r="H10385" s="8">
        <v>26207</v>
      </c>
    </row>
    <row r="10386" spans="2:8" x14ac:dyDescent="0.4">
      <c r="B10386" t="s">
        <v>7</v>
      </c>
      <c r="C10386" t="s">
        <v>1575</v>
      </c>
      <c r="D10386" s="7">
        <f>DATE(2019,2,28)</f>
        <v>43524</v>
      </c>
      <c r="E10386" s="8">
        <f t="shared" si="171"/>
        <v>2019</v>
      </c>
      <c r="F10386" t="s">
        <v>1576</v>
      </c>
      <c r="G10386" s="9">
        <v>178350.5</v>
      </c>
      <c r="H10386" s="8">
        <v>26814</v>
      </c>
    </row>
    <row r="10387" spans="2:8" x14ac:dyDescent="0.4">
      <c r="B10387" t="s">
        <v>7</v>
      </c>
      <c r="C10387" t="s">
        <v>1575</v>
      </c>
      <c r="D10387" s="7">
        <f>DATE(2019,3,19)</f>
        <v>43543</v>
      </c>
      <c r="E10387" s="8">
        <f t="shared" si="171"/>
        <v>2019</v>
      </c>
      <c r="F10387" t="s">
        <v>1576</v>
      </c>
      <c r="G10387" s="9">
        <v>286663.02</v>
      </c>
      <c r="H10387" s="8">
        <v>28046</v>
      </c>
    </row>
    <row r="10388" spans="2:8" x14ac:dyDescent="0.4">
      <c r="B10388" t="s">
        <v>7</v>
      </c>
      <c r="C10388" t="s">
        <v>1575</v>
      </c>
      <c r="D10388" s="7">
        <f>DATE(2019,3,19)</f>
        <v>43543</v>
      </c>
      <c r="E10388" s="8">
        <f t="shared" si="171"/>
        <v>2019</v>
      </c>
      <c r="F10388" t="s">
        <v>1576</v>
      </c>
      <c r="G10388" s="9">
        <v>23752.57</v>
      </c>
      <c r="H10388" s="8">
        <v>28586</v>
      </c>
    </row>
    <row r="10389" spans="2:8" x14ac:dyDescent="0.4">
      <c r="B10389" t="s">
        <v>7</v>
      </c>
      <c r="C10389" t="s">
        <v>1575</v>
      </c>
      <c r="D10389" s="7">
        <f>DATE(2019,2,28)</f>
        <v>43524</v>
      </c>
      <c r="E10389" s="8">
        <f t="shared" si="171"/>
        <v>2019</v>
      </c>
      <c r="F10389" t="s">
        <v>1576</v>
      </c>
      <c r="G10389" s="9">
        <v>6300</v>
      </c>
      <c r="H10389" s="8">
        <v>27741</v>
      </c>
    </row>
    <row r="10390" spans="2:8" x14ac:dyDescent="0.4">
      <c r="B10390" t="s">
        <v>7</v>
      </c>
      <c r="C10390" t="s">
        <v>1575</v>
      </c>
      <c r="D10390" s="7">
        <f>DATE(2019,3,19)</f>
        <v>43543</v>
      </c>
      <c r="E10390" s="8">
        <f t="shared" si="171"/>
        <v>2019</v>
      </c>
      <c r="F10390" t="s">
        <v>1576</v>
      </c>
      <c r="G10390" s="9">
        <v>84142.6</v>
      </c>
      <c r="H10390" s="8">
        <v>27751</v>
      </c>
    </row>
    <row r="10391" spans="2:8" x14ac:dyDescent="0.4">
      <c r="B10391" t="s">
        <v>7</v>
      </c>
      <c r="C10391" t="s">
        <v>1577</v>
      </c>
      <c r="D10391" s="7">
        <f>DATE(2018,9,4)</f>
        <v>43347</v>
      </c>
      <c r="E10391" s="8">
        <f t="shared" si="171"/>
        <v>2018</v>
      </c>
      <c r="F10391" t="s">
        <v>1578</v>
      </c>
      <c r="G10391" s="9">
        <v>170000</v>
      </c>
      <c r="H10391" s="8">
        <v>27589</v>
      </c>
    </row>
    <row r="10392" spans="2:8" x14ac:dyDescent="0.4">
      <c r="B10392" t="s">
        <v>7</v>
      </c>
      <c r="C10392" t="s">
        <v>1577</v>
      </c>
      <c r="D10392" s="7">
        <f>DATE(2019,3,29)</f>
        <v>43553</v>
      </c>
      <c r="E10392" s="8">
        <f t="shared" si="171"/>
        <v>2019</v>
      </c>
      <c r="F10392" t="s">
        <v>1578</v>
      </c>
      <c r="G10392" s="9">
        <v>18041.39</v>
      </c>
      <c r="H10392" s="8">
        <v>26943</v>
      </c>
    </row>
    <row r="10393" spans="2:8" x14ac:dyDescent="0.4">
      <c r="B10393" t="s">
        <v>7</v>
      </c>
      <c r="C10393" t="s">
        <v>1579</v>
      </c>
      <c r="D10393" s="7">
        <f>DATE(2019,5,9)</f>
        <v>43594</v>
      </c>
      <c r="E10393" s="8">
        <f t="shared" si="171"/>
        <v>2019</v>
      </c>
      <c r="F10393" t="s">
        <v>1580</v>
      </c>
      <c r="G10393" s="9">
        <v>123033.37</v>
      </c>
      <c r="H10393" s="8">
        <v>28235</v>
      </c>
    </row>
    <row r="10394" spans="2:8" x14ac:dyDescent="0.4">
      <c r="B10394" t="s">
        <v>7</v>
      </c>
      <c r="C10394" t="s">
        <v>1579</v>
      </c>
      <c r="D10394" s="7">
        <f>DATE(2019,4,24)</f>
        <v>43579</v>
      </c>
      <c r="E10394" s="8">
        <f t="shared" si="171"/>
        <v>2019</v>
      </c>
      <c r="F10394" t="s">
        <v>1580</v>
      </c>
      <c r="G10394" s="9">
        <v>35297.300000000003</v>
      </c>
      <c r="H10394" s="8">
        <v>28835</v>
      </c>
    </row>
    <row r="10395" spans="2:8" x14ac:dyDescent="0.4">
      <c r="B10395" t="s">
        <v>7</v>
      </c>
      <c r="C10395" t="s">
        <v>1579</v>
      </c>
      <c r="D10395" s="7">
        <f>DATE(2019,4,30)</f>
        <v>43585</v>
      </c>
      <c r="E10395" s="8">
        <f t="shared" si="171"/>
        <v>2019</v>
      </c>
      <c r="F10395" t="s">
        <v>1580</v>
      </c>
      <c r="G10395" s="9">
        <v>29408.15</v>
      </c>
      <c r="H10395" s="8">
        <v>28836</v>
      </c>
    </row>
    <row r="10396" spans="2:8" x14ac:dyDescent="0.4">
      <c r="B10396" t="s">
        <v>7</v>
      </c>
      <c r="C10396" t="s">
        <v>1579</v>
      </c>
      <c r="D10396" s="7">
        <f>DATE(2019,5,9)</f>
        <v>43594</v>
      </c>
      <c r="E10396" s="8">
        <f t="shared" si="171"/>
        <v>2019</v>
      </c>
      <c r="F10396" t="s">
        <v>1580</v>
      </c>
      <c r="G10396" s="9">
        <v>71209.34</v>
      </c>
      <c r="H10396" s="8">
        <v>28236</v>
      </c>
    </row>
    <row r="10397" spans="2:8" x14ac:dyDescent="0.4">
      <c r="B10397" t="s">
        <v>7</v>
      </c>
      <c r="C10397" t="s">
        <v>1581</v>
      </c>
      <c r="D10397" s="7">
        <f>DATE(2015,10,1)</f>
        <v>42278</v>
      </c>
      <c r="E10397" s="8">
        <f t="shared" si="171"/>
        <v>2015</v>
      </c>
      <c r="F10397" t="s">
        <v>1582</v>
      </c>
      <c r="G10397" s="9">
        <v>62304.67</v>
      </c>
      <c r="H10397" s="8">
        <v>21072</v>
      </c>
    </row>
    <row r="10398" spans="2:8" x14ac:dyDescent="0.4">
      <c r="B10398" s="3" t="s">
        <v>7</v>
      </c>
      <c r="C10398" s="3" t="s">
        <v>1577</v>
      </c>
      <c r="D10398" s="4">
        <f>DATE(2008,2,1)</f>
        <v>39479</v>
      </c>
      <c r="E10398" s="5">
        <f t="shared" si="171"/>
        <v>2008</v>
      </c>
      <c r="F10398" s="3" t="s">
        <v>1583</v>
      </c>
      <c r="G10398" s="6">
        <v>9051.4</v>
      </c>
      <c r="H10398" s="5">
        <v>2599</v>
      </c>
    </row>
    <row r="10399" spans="2:8" x14ac:dyDescent="0.4">
      <c r="B10399" s="3" t="s">
        <v>7</v>
      </c>
      <c r="C10399" s="3" t="s">
        <v>1577</v>
      </c>
      <c r="D10399" s="4">
        <f>DATE(2008,2,1)</f>
        <v>39479</v>
      </c>
      <c r="E10399" s="5">
        <f t="shared" si="171"/>
        <v>2008</v>
      </c>
      <c r="F10399" s="3" t="s">
        <v>1583</v>
      </c>
      <c r="G10399" s="6">
        <v>38499.760000000002</v>
      </c>
      <c r="H10399" s="5">
        <v>2651</v>
      </c>
    </row>
    <row r="10400" spans="2:8" x14ac:dyDescent="0.4">
      <c r="B10400" s="3" t="s">
        <v>7</v>
      </c>
      <c r="C10400" s="3" t="s">
        <v>1577</v>
      </c>
      <c r="D10400" s="4">
        <f>DATE(2008,5,1)</f>
        <v>39569</v>
      </c>
      <c r="E10400" s="5">
        <f t="shared" si="171"/>
        <v>2008</v>
      </c>
      <c r="F10400" s="3" t="s">
        <v>1583</v>
      </c>
      <c r="G10400" s="6">
        <v>9862.06</v>
      </c>
      <c r="H10400" s="5">
        <v>2795</v>
      </c>
    </row>
    <row r="10401" spans="2:8" x14ac:dyDescent="0.4">
      <c r="B10401" s="3" t="s">
        <v>7</v>
      </c>
      <c r="C10401" s="3" t="s">
        <v>1577</v>
      </c>
      <c r="D10401" s="4">
        <f>DATE(2008,5,1)</f>
        <v>39569</v>
      </c>
      <c r="E10401" s="5">
        <f t="shared" si="171"/>
        <v>2008</v>
      </c>
      <c r="F10401" s="3" t="s">
        <v>1583</v>
      </c>
      <c r="G10401" s="6">
        <v>16372</v>
      </c>
      <c r="H10401" s="5">
        <v>2787</v>
      </c>
    </row>
    <row r="10402" spans="2:8" x14ac:dyDescent="0.4">
      <c r="B10402" s="3" t="s">
        <v>7</v>
      </c>
      <c r="C10402" s="3" t="s">
        <v>1577</v>
      </c>
      <c r="D10402" s="4">
        <f>DATE(2008,6,1)</f>
        <v>39600</v>
      </c>
      <c r="E10402" s="5">
        <f t="shared" si="171"/>
        <v>2008</v>
      </c>
      <c r="F10402" s="3" t="s">
        <v>1583</v>
      </c>
      <c r="G10402" s="6">
        <v>9488.4</v>
      </c>
      <c r="H10402" s="5">
        <v>2833</v>
      </c>
    </row>
    <row r="10403" spans="2:8" x14ac:dyDescent="0.4">
      <c r="B10403" s="3" t="s">
        <v>7</v>
      </c>
      <c r="C10403" s="3" t="s">
        <v>1577</v>
      </c>
      <c r="D10403" s="4">
        <f>DATE(2008,6,1)</f>
        <v>39600</v>
      </c>
      <c r="E10403" s="5">
        <f t="shared" si="171"/>
        <v>2008</v>
      </c>
      <c r="F10403" s="3" t="s">
        <v>1583</v>
      </c>
      <c r="G10403" s="6">
        <v>38636.9</v>
      </c>
      <c r="H10403" s="5">
        <v>2824</v>
      </c>
    </row>
    <row r="10404" spans="2:8" x14ac:dyDescent="0.4">
      <c r="B10404" s="3" t="s">
        <v>7</v>
      </c>
      <c r="C10404" s="3" t="s">
        <v>1577</v>
      </c>
      <c r="D10404" s="4">
        <f>DATE(2008,7,1)</f>
        <v>39630</v>
      </c>
      <c r="E10404" s="5">
        <f t="shared" si="171"/>
        <v>2008</v>
      </c>
      <c r="F10404" s="3" t="s">
        <v>1583</v>
      </c>
      <c r="G10404" s="6">
        <v>6814.8</v>
      </c>
      <c r="H10404" s="5">
        <v>2869</v>
      </c>
    </row>
    <row r="10405" spans="2:8" x14ac:dyDescent="0.4">
      <c r="B10405" s="3" t="s">
        <v>7</v>
      </c>
      <c r="C10405" s="3" t="s">
        <v>1577</v>
      </c>
      <c r="D10405" s="4">
        <f>DATE(2008,7,8)</f>
        <v>39637</v>
      </c>
      <c r="E10405" s="5">
        <f t="shared" si="171"/>
        <v>2008</v>
      </c>
      <c r="F10405" s="3" t="s">
        <v>1583</v>
      </c>
      <c r="G10405" s="6">
        <v>13648.7</v>
      </c>
      <c r="H10405" s="5">
        <v>2908</v>
      </c>
    </row>
    <row r="10406" spans="2:8" x14ac:dyDescent="0.4">
      <c r="B10406" s="3" t="s">
        <v>7</v>
      </c>
      <c r="C10406" s="3" t="s">
        <v>1577</v>
      </c>
      <c r="D10406" s="4">
        <f>DATE(2008,7,1)</f>
        <v>39630</v>
      </c>
      <c r="E10406" s="5">
        <f t="shared" si="171"/>
        <v>2008</v>
      </c>
      <c r="F10406" s="3" t="s">
        <v>1583</v>
      </c>
      <c r="G10406" s="6">
        <v>10326.700000000001</v>
      </c>
      <c r="H10406" s="5">
        <v>2881</v>
      </c>
    </row>
    <row r="10407" spans="2:8" x14ac:dyDescent="0.4">
      <c r="B10407" s="3" t="s">
        <v>7</v>
      </c>
      <c r="C10407" s="3" t="s">
        <v>1577</v>
      </c>
      <c r="D10407" s="4">
        <f>DATE(2008,7,20)</f>
        <v>39649</v>
      </c>
      <c r="E10407" s="5">
        <f t="shared" si="171"/>
        <v>2008</v>
      </c>
      <c r="F10407" s="3" t="s">
        <v>1583</v>
      </c>
      <c r="G10407" s="6">
        <v>18206.900000000001</v>
      </c>
      <c r="H10407" s="5">
        <v>2932</v>
      </c>
    </row>
    <row r="10408" spans="2:8" x14ac:dyDescent="0.4">
      <c r="B10408" s="3" t="s">
        <v>7</v>
      </c>
      <c r="C10408" s="3" t="s">
        <v>1577</v>
      </c>
      <c r="D10408" s="4">
        <f>DATE(2008,8,10)</f>
        <v>39670</v>
      </c>
      <c r="E10408" s="5">
        <f t="shared" si="171"/>
        <v>2008</v>
      </c>
      <c r="F10408" s="3" t="s">
        <v>1583</v>
      </c>
      <c r="G10408" s="6">
        <v>9204.6200000000008</v>
      </c>
      <c r="H10408" s="5">
        <v>2946</v>
      </c>
    </row>
    <row r="10409" spans="2:8" x14ac:dyDescent="0.4">
      <c r="B10409" s="3" t="s">
        <v>7</v>
      </c>
      <c r="C10409" s="3" t="s">
        <v>1577</v>
      </c>
      <c r="D10409" s="4">
        <f>DATE(2008,8,13)</f>
        <v>39673</v>
      </c>
      <c r="E10409" s="5">
        <f t="shared" si="171"/>
        <v>2008</v>
      </c>
      <c r="F10409" s="3" t="s">
        <v>1583</v>
      </c>
      <c r="G10409" s="6">
        <v>10646.24</v>
      </c>
      <c r="H10409" s="5">
        <v>2975</v>
      </c>
    </row>
    <row r="10410" spans="2:8" x14ac:dyDescent="0.4">
      <c r="B10410" s="3" t="s">
        <v>7</v>
      </c>
      <c r="C10410" s="3" t="s">
        <v>1577</v>
      </c>
      <c r="D10410" s="4">
        <f>DATE(2008,8,28)</f>
        <v>39688</v>
      </c>
      <c r="E10410" s="5">
        <f t="shared" si="171"/>
        <v>2008</v>
      </c>
      <c r="F10410" s="3" t="s">
        <v>1583</v>
      </c>
      <c r="G10410" s="6">
        <v>7059.2</v>
      </c>
      <c r="H10410" s="5">
        <v>3002</v>
      </c>
    </row>
    <row r="10411" spans="2:8" x14ac:dyDescent="0.4">
      <c r="B10411" s="3" t="s">
        <v>16</v>
      </c>
      <c r="C10411" s="3" t="s">
        <v>1577</v>
      </c>
      <c r="D10411" s="4">
        <f>DATE(2008,4,1)</f>
        <v>39539</v>
      </c>
      <c r="E10411" s="5">
        <f t="shared" si="171"/>
        <v>2008</v>
      </c>
      <c r="F10411" s="3" t="s">
        <v>1583</v>
      </c>
      <c r="G10411" s="6">
        <v>8499.76</v>
      </c>
      <c r="H10411" s="5">
        <v>2802</v>
      </c>
    </row>
    <row r="10412" spans="2:8" x14ac:dyDescent="0.4">
      <c r="B10412" t="s">
        <v>7</v>
      </c>
      <c r="C10412" t="s">
        <v>1575</v>
      </c>
      <c r="D10412" s="7">
        <f>DATE(2016,8,1)</f>
        <v>42583</v>
      </c>
      <c r="E10412" s="8">
        <f t="shared" si="171"/>
        <v>2016</v>
      </c>
      <c r="F10412" t="s">
        <v>1584</v>
      </c>
      <c r="G10412" s="9">
        <v>25966.93</v>
      </c>
      <c r="H10412" s="8">
        <v>23060</v>
      </c>
    </row>
    <row r="10413" spans="2:8" x14ac:dyDescent="0.4">
      <c r="B10413" t="s">
        <v>7</v>
      </c>
      <c r="C10413" t="s">
        <v>1575</v>
      </c>
      <c r="D10413" s="7">
        <f>DATE(2016,8,1)</f>
        <v>42583</v>
      </c>
      <c r="E10413" s="8">
        <f t="shared" si="171"/>
        <v>2016</v>
      </c>
      <c r="F10413" t="s">
        <v>1584</v>
      </c>
      <c r="G10413" s="9">
        <v>34943.49</v>
      </c>
      <c r="H10413" s="8">
        <v>23112</v>
      </c>
    </row>
    <row r="10414" spans="2:8" x14ac:dyDescent="0.4">
      <c r="B10414" t="s">
        <v>7</v>
      </c>
      <c r="C10414" t="s">
        <v>1575</v>
      </c>
      <c r="D10414" s="7">
        <f>DATE(2016,8,1)</f>
        <v>42583</v>
      </c>
      <c r="E10414" s="8">
        <f t="shared" si="171"/>
        <v>2016</v>
      </c>
      <c r="F10414" t="s">
        <v>1584</v>
      </c>
      <c r="G10414" s="9">
        <v>19875.37</v>
      </c>
      <c r="H10414" s="8">
        <v>23146</v>
      </c>
    </row>
    <row r="10415" spans="2:8" x14ac:dyDescent="0.4">
      <c r="B10415" t="s">
        <v>7</v>
      </c>
      <c r="C10415" t="s">
        <v>1575</v>
      </c>
      <c r="D10415" s="7">
        <f>DATE(2016,9,1)</f>
        <v>42614</v>
      </c>
      <c r="E10415" s="8">
        <f t="shared" si="171"/>
        <v>2016</v>
      </c>
      <c r="F10415" t="s">
        <v>1584</v>
      </c>
      <c r="G10415" s="9">
        <v>119502.79</v>
      </c>
      <c r="H10415" s="8">
        <v>23180</v>
      </c>
    </row>
    <row r="10416" spans="2:8" x14ac:dyDescent="0.4">
      <c r="B10416" t="s">
        <v>7</v>
      </c>
      <c r="C10416" t="s">
        <v>1575</v>
      </c>
      <c r="D10416" s="7">
        <f>DATE(2016,11,16)</f>
        <v>42690</v>
      </c>
      <c r="E10416" s="8">
        <f t="shared" si="171"/>
        <v>2016</v>
      </c>
      <c r="F10416" t="s">
        <v>1584</v>
      </c>
      <c r="G10416" s="9">
        <v>130085.4</v>
      </c>
      <c r="H10416" s="8">
        <v>23447</v>
      </c>
    </row>
    <row r="10417" spans="2:8" x14ac:dyDescent="0.4">
      <c r="B10417" t="s">
        <v>7</v>
      </c>
      <c r="C10417" t="s">
        <v>1575</v>
      </c>
      <c r="D10417" s="7">
        <f>DATE(2016,11,16)</f>
        <v>42690</v>
      </c>
      <c r="E10417" s="8">
        <f t="shared" si="171"/>
        <v>2016</v>
      </c>
      <c r="F10417" t="s">
        <v>1584</v>
      </c>
      <c r="G10417" s="9">
        <v>43012.93</v>
      </c>
      <c r="H10417" s="8">
        <v>23800</v>
      </c>
    </row>
    <row r="10418" spans="2:8" x14ac:dyDescent="0.4">
      <c r="B10418" t="s">
        <v>7</v>
      </c>
      <c r="C10418" t="s">
        <v>1575</v>
      </c>
      <c r="D10418" s="7">
        <f>DATE(2016,11,16)</f>
        <v>42690</v>
      </c>
      <c r="E10418" s="8">
        <f t="shared" si="171"/>
        <v>2016</v>
      </c>
      <c r="F10418" t="s">
        <v>1584</v>
      </c>
      <c r="G10418" s="9">
        <v>163848.06</v>
      </c>
      <c r="H10418" s="8">
        <v>23801</v>
      </c>
    </row>
    <row r="10419" spans="2:8" x14ac:dyDescent="0.4">
      <c r="B10419" t="s">
        <v>7</v>
      </c>
      <c r="C10419" t="s">
        <v>1575</v>
      </c>
      <c r="D10419" s="7">
        <f>DATE(2017,7,28)</f>
        <v>42944</v>
      </c>
      <c r="E10419" s="8">
        <f t="shared" si="171"/>
        <v>2017</v>
      </c>
      <c r="F10419" t="s">
        <v>1584</v>
      </c>
      <c r="G10419" s="9">
        <v>320519.33</v>
      </c>
      <c r="H10419" s="8">
        <v>22694</v>
      </c>
    </row>
    <row r="10420" spans="2:8" x14ac:dyDescent="0.4">
      <c r="B10420" s="3" t="s">
        <v>7</v>
      </c>
      <c r="C10420" s="3" t="s">
        <v>1575</v>
      </c>
      <c r="D10420" s="4">
        <f>DATE(2006,12,1)</f>
        <v>39052</v>
      </c>
      <c r="E10420" s="5">
        <f t="shared" si="171"/>
        <v>2006</v>
      </c>
      <c r="F10420" s="3" t="s">
        <v>1584</v>
      </c>
      <c r="G10420" s="6">
        <v>21937.7</v>
      </c>
      <c r="H10420" s="5">
        <v>1918</v>
      </c>
    </row>
    <row r="10421" spans="2:8" x14ac:dyDescent="0.4">
      <c r="B10421" s="3" t="s">
        <v>7</v>
      </c>
      <c r="C10421" s="3" t="s">
        <v>1575</v>
      </c>
      <c r="D10421" s="4">
        <f>DATE(2007,2,24)</f>
        <v>39137</v>
      </c>
      <c r="E10421" s="5">
        <f t="shared" si="171"/>
        <v>2007</v>
      </c>
      <c r="F10421" s="3" t="s">
        <v>1584</v>
      </c>
      <c r="G10421" s="6">
        <v>13372.4</v>
      </c>
      <c r="H10421" s="5">
        <v>2034</v>
      </c>
    </row>
    <row r="10422" spans="2:8" x14ac:dyDescent="0.4">
      <c r="B10422" s="3" t="s">
        <v>7</v>
      </c>
      <c r="C10422" s="3" t="s">
        <v>1575</v>
      </c>
      <c r="D10422" s="4">
        <f>DATE(2007,3,10)</f>
        <v>39151</v>
      </c>
      <c r="E10422" s="5">
        <f t="shared" si="171"/>
        <v>2007</v>
      </c>
      <c r="F10422" s="3" t="s">
        <v>1584</v>
      </c>
      <c r="G10422" s="6">
        <v>6365</v>
      </c>
      <c r="H10422" s="5">
        <v>2038</v>
      </c>
    </row>
    <row r="10423" spans="2:8" x14ac:dyDescent="0.4">
      <c r="B10423" s="3" t="s">
        <v>7</v>
      </c>
      <c r="C10423" s="3" t="s">
        <v>1575</v>
      </c>
      <c r="D10423" s="4">
        <f>DATE(2007,5,21)</f>
        <v>39223</v>
      </c>
      <c r="E10423" s="5">
        <f t="shared" si="171"/>
        <v>2007</v>
      </c>
      <c r="F10423" s="3" t="s">
        <v>1584</v>
      </c>
      <c r="G10423" s="6">
        <v>3004.2</v>
      </c>
      <c r="H10423" s="5">
        <v>2084</v>
      </c>
    </row>
    <row r="10424" spans="2:8" x14ac:dyDescent="0.4">
      <c r="B10424" s="3" t="s">
        <v>7</v>
      </c>
      <c r="C10424" s="3" t="s">
        <v>1575</v>
      </c>
      <c r="D10424" s="4">
        <f>DATE(2007,7,12)</f>
        <v>39275</v>
      </c>
      <c r="E10424" s="5">
        <f t="shared" si="171"/>
        <v>2007</v>
      </c>
      <c r="F10424" s="3" t="s">
        <v>1584</v>
      </c>
      <c r="G10424" s="6">
        <v>8943.7999999999993</v>
      </c>
      <c r="H10424" s="5">
        <v>2291</v>
      </c>
    </row>
    <row r="10425" spans="2:8" x14ac:dyDescent="0.4">
      <c r="B10425" s="3" t="s">
        <v>7</v>
      </c>
      <c r="C10425" s="3" t="s">
        <v>1575</v>
      </c>
      <c r="D10425" s="4">
        <f>DATE(2007,7,30)</f>
        <v>39293</v>
      </c>
      <c r="E10425" s="5">
        <f t="shared" si="171"/>
        <v>2007</v>
      </c>
      <c r="F10425" s="3" t="s">
        <v>1584</v>
      </c>
      <c r="G10425" s="6">
        <v>8374.2000000000007</v>
      </c>
      <c r="H10425" s="5">
        <v>2308</v>
      </c>
    </row>
    <row r="10426" spans="2:8" x14ac:dyDescent="0.4">
      <c r="B10426" s="3" t="s">
        <v>7</v>
      </c>
      <c r="C10426" s="3" t="s">
        <v>1575</v>
      </c>
      <c r="D10426" s="4">
        <f>DATE(2007,8,10)</f>
        <v>39304</v>
      </c>
      <c r="E10426" s="5">
        <f t="shared" si="171"/>
        <v>2007</v>
      </c>
      <c r="F10426" s="3" t="s">
        <v>1584</v>
      </c>
      <c r="G10426" s="6">
        <v>8012.8</v>
      </c>
      <c r="H10426" s="5">
        <v>2360</v>
      </c>
    </row>
    <row r="10427" spans="2:8" x14ac:dyDescent="0.4">
      <c r="B10427" s="3" t="s">
        <v>7</v>
      </c>
      <c r="C10427" s="3" t="s">
        <v>1575</v>
      </c>
      <c r="D10427" s="4">
        <f>DATE(2007,8,25)</f>
        <v>39319</v>
      </c>
      <c r="E10427" s="5">
        <f t="shared" si="171"/>
        <v>2007</v>
      </c>
      <c r="F10427" s="3" t="s">
        <v>1584</v>
      </c>
      <c r="G10427" s="6">
        <v>11206.3</v>
      </c>
      <c r="H10427" s="5">
        <v>2364</v>
      </c>
    </row>
    <row r="10428" spans="2:8" x14ac:dyDescent="0.4">
      <c r="B10428" s="3" t="s">
        <v>7</v>
      </c>
      <c r="C10428" s="3" t="s">
        <v>1575</v>
      </c>
      <c r="D10428" s="4">
        <f>DATE(2007,9,8)</f>
        <v>39333</v>
      </c>
      <c r="E10428" s="5">
        <f t="shared" si="171"/>
        <v>2007</v>
      </c>
      <c r="F10428" s="3" t="s">
        <v>1584</v>
      </c>
      <c r="G10428" s="6">
        <v>7226.6</v>
      </c>
      <c r="H10428" s="5">
        <v>2370</v>
      </c>
    </row>
    <row r="10429" spans="2:8" x14ac:dyDescent="0.4">
      <c r="B10429" s="3" t="s">
        <v>7</v>
      </c>
      <c r="C10429" s="3" t="s">
        <v>1575</v>
      </c>
      <c r="D10429" s="4">
        <f>DATE(2007,9,22)</f>
        <v>39347</v>
      </c>
      <c r="E10429" s="5">
        <f t="shared" si="171"/>
        <v>2007</v>
      </c>
      <c r="F10429" s="3" t="s">
        <v>1584</v>
      </c>
      <c r="G10429" s="6">
        <v>8452.7000000000007</v>
      </c>
      <c r="H10429" s="5">
        <v>2385</v>
      </c>
    </row>
    <row r="10430" spans="2:8" x14ac:dyDescent="0.4">
      <c r="B10430" s="3" t="s">
        <v>7</v>
      </c>
      <c r="C10430" s="3" t="s">
        <v>1575</v>
      </c>
      <c r="D10430" s="4">
        <f>DATE(2007,9,19)</f>
        <v>39344</v>
      </c>
      <c r="E10430" s="5">
        <f t="shared" si="171"/>
        <v>2007</v>
      </c>
      <c r="F10430" s="3" t="s">
        <v>1584</v>
      </c>
      <c r="G10430" s="6">
        <v>4431.8999999999996</v>
      </c>
      <c r="H10430" s="5">
        <v>2384</v>
      </c>
    </row>
    <row r="10431" spans="2:8" x14ac:dyDescent="0.4">
      <c r="B10431" s="3" t="s">
        <v>7</v>
      </c>
      <c r="C10431" s="3" t="s">
        <v>1575</v>
      </c>
      <c r="D10431" s="4">
        <f>DATE(2007,10,2)</f>
        <v>39357</v>
      </c>
      <c r="E10431" s="5">
        <f t="shared" si="171"/>
        <v>2007</v>
      </c>
      <c r="F10431" s="3" t="s">
        <v>1584</v>
      </c>
      <c r="G10431" s="6">
        <v>10335.4</v>
      </c>
      <c r="H10431" s="5">
        <v>2417</v>
      </c>
    </row>
    <row r="10432" spans="2:8" x14ac:dyDescent="0.4">
      <c r="B10432" s="3" t="s">
        <v>7</v>
      </c>
      <c r="C10432" s="3" t="s">
        <v>1575</v>
      </c>
      <c r="D10432" s="4">
        <f>DATE(2007,10,4)</f>
        <v>39359</v>
      </c>
      <c r="E10432" s="5">
        <f t="shared" si="171"/>
        <v>2007</v>
      </c>
      <c r="F10432" s="3" t="s">
        <v>1584</v>
      </c>
      <c r="G10432" s="6">
        <v>11404.1</v>
      </c>
      <c r="H10432" s="5">
        <v>2423</v>
      </c>
    </row>
    <row r="10433" spans="2:8" x14ac:dyDescent="0.4">
      <c r="B10433" s="3" t="s">
        <v>7</v>
      </c>
      <c r="C10433" s="3" t="s">
        <v>1575</v>
      </c>
      <c r="D10433" s="4">
        <f>DATE(2007,10,12)</f>
        <v>39367</v>
      </c>
      <c r="E10433" s="5">
        <f t="shared" si="171"/>
        <v>2007</v>
      </c>
      <c r="F10433" s="3" t="s">
        <v>1584</v>
      </c>
      <c r="G10433" s="6">
        <v>22625</v>
      </c>
      <c r="H10433" s="5">
        <v>2424</v>
      </c>
    </row>
    <row r="10434" spans="2:8" x14ac:dyDescent="0.4">
      <c r="B10434" s="3" t="s">
        <v>7</v>
      </c>
      <c r="C10434" s="3" t="s">
        <v>1575</v>
      </c>
      <c r="D10434" s="4">
        <f>DATE(2007,11,6)</f>
        <v>39392</v>
      </c>
      <c r="E10434" s="5">
        <f t="shared" si="171"/>
        <v>2007</v>
      </c>
      <c r="F10434" s="3" t="s">
        <v>1584</v>
      </c>
      <c r="G10434" s="6">
        <v>4473.8999999999996</v>
      </c>
      <c r="H10434" s="5">
        <v>2470</v>
      </c>
    </row>
    <row r="10435" spans="2:8" x14ac:dyDescent="0.4">
      <c r="B10435" s="3" t="s">
        <v>7</v>
      </c>
      <c r="C10435" s="3" t="s">
        <v>1575</v>
      </c>
      <c r="D10435" s="4">
        <f>DATE(2007,11,28)</f>
        <v>39414</v>
      </c>
      <c r="E10435" s="5">
        <f t="shared" ref="E10435:E10498" si="172">YEAR(D10435)</f>
        <v>2007</v>
      </c>
      <c r="F10435" s="3" t="s">
        <v>1584</v>
      </c>
      <c r="G10435" s="6">
        <v>10522.1</v>
      </c>
      <c r="H10435" s="5">
        <v>2499</v>
      </c>
    </row>
    <row r="10436" spans="2:8" x14ac:dyDescent="0.4">
      <c r="B10436" s="3" t="s">
        <v>7</v>
      </c>
      <c r="C10436" s="3" t="s">
        <v>1575</v>
      </c>
      <c r="D10436" s="4">
        <f>DATE(2007,11,29)</f>
        <v>39415</v>
      </c>
      <c r="E10436" s="5">
        <f t="shared" si="172"/>
        <v>2007</v>
      </c>
      <c r="F10436" s="3" t="s">
        <v>1584</v>
      </c>
      <c r="G10436" s="6">
        <v>4323.3999999999996</v>
      </c>
      <c r="H10436" s="5">
        <v>2509</v>
      </c>
    </row>
    <row r="10437" spans="2:8" x14ac:dyDescent="0.4">
      <c r="B10437" s="3" t="s">
        <v>7</v>
      </c>
      <c r="C10437" s="3" t="s">
        <v>1575</v>
      </c>
      <c r="D10437" s="4">
        <f>DATE(2007,12,12)</f>
        <v>39428</v>
      </c>
      <c r="E10437" s="5">
        <f t="shared" si="172"/>
        <v>2007</v>
      </c>
      <c r="F10437" s="3" t="s">
        <v>1584</v>
      </c>
      <c r="G10437" s="6">
        <v>8557.7999999999993</v>
      </c>
      <c r="H10437" s="5">
        <v>2536</v>
      </c>
    </row>
    <row r="10438" spans="2:8" x14ac:dyDescent="0.4">
      <c r="B10438" s="3" t="s">
        <v>7</v>
      </c>
      <c r="C10438" s="3" t="s">
        <v>1575</v>
      </c>
      <c r="D10438" s="4">
        <f>DATE(2007,12,13)</f>
        <v>39429</v>
      </c>
      <c r="E10438" s="5">
        <f t="shared" si="172"/>
        <v>2007</v>
      </c>
      <c r="F10438" s="3" t="s">
        <v>1584</v>
      </c>
      <c r="G10438" s="6">
        <v>3691.5</v>
      </c>
      <c r="H10438" s="5">
        <v>2546</v>
      </c>
    </row>
    <row r="10439" spans="2:8" x14ac:dyDescent="0.4">
      <c r="B10439" s="3" t="s">
        <v>7</v>
      </c>
      <c r="C10439" s="3" t="s">
        <v>1575</v>
      </c>
      <c r="D10439" s="4">
        <f>DATE(2007,12,18)</f>
        <v>39434</v>
      </c>
      <c r="E10439" s="5">
        <f t="shared" si="172"/>
        <v>2007</v>
      </c>
      <c r="F10439" s="3" t="s">
        <v>1584</v>
      </c>
      <c r="G10439" s="6">
        <v>9673.7000000000007</v>
      </c>
      <c r="H10439" s="5">
        <v>2537</v>
      </c>
    </row>
    <row r="10440" spans="2:8" x14ac:dyDescent="0.4">
      <c r="B10440" s="3" t="s">
        <v>7</v>
      </c>
      <c r="C10440" s="3" t="s">
        <v>1575</v>
      </c>
      <c r="D10440" s="4">
        <f>DATE(2007,12,17)</f>
        <v>39433</v>
      </c>
      <c r="E10440" s="5">
        <f t="shared" si="172"/>
        <v>2007</v>
      </c>
      <c r="F10440" s="3" t="s">
        <v>1584</v>
      </c>
      <c r="G10440" s="6">
        <v>8537.2999999999993</v>
      </c>
      <c r="H10440" s="5">
        <v>2538</v>
      </c>
    </row>
    <row r="10441" spans="2:8" x14ac:dyDescent="0.4">
      <c r="B10441" s="3" t="s">
        <v>7</v>
      </c>
      <c r="C10441" s="3" t="s">
        <v>1575</v>
      </c>
      <c r="D10441" s="4">
        <f>DATE(2008,6,1)</f>
        <v>39600</v>
      </c>
      <c r="E10441" s="5">
        <f t="shared" si="172"/>
        <v>2008</v>
      </c>
      <c r="F10441" s="3" t="s">
        <v>1584</v>
      </c>
      <c r="G10441" s="6">
        <v>6318.4</v>
      </c>
      <c r="H10441" s="5">
        <v>2781</v>
      </c>
    </row>
    <row r="10442" spans="2:8" x14ac:dyDescent="0.4">
      <c r="B10442" s="3" t="s">
        <v>7</v>
      </c>
      <c r="C10442" s="3" t="s">
        <v>1575</v>
      </c>
      <c r="D10442" s="4">
        <f>DATE(2012,3,20)</f>
        <v>40988</v>
      </c>
      <c r="E10442" s="5">
        <f t="shared" si="172"/>
        <v>2012</v>
      </c>
      <c r="F10442" s="3" t="s">
        <v>1584</v>
      </c>
      <c r="G10442" s="6">
        <v>153562.23999999999</v>
      </c>
      <c r="H10442" s="5">
        <v>4870</v>
      </c>
    </row>
    <row r="10443" spans="2:8" x14ac:dyDescent="0.4">
      <c r="B10443" s="3" t="s">
        <v>7</v>
      </c>
      <c r="C10443" s="3" t="s">
        <v>1575</v>
      </c>
      <c r="D10443" s="4">
        <f>DATE(2014,10,15)</f>
        <v>41927</v>
      </c>
      <c r="E10443" s="5">
        <f t="shared" si="172"/>
        <v>2014</v>
      </c>
      <c r="F10443" s="3" t="s">
        <v>1584</v>
      </c>
      <c r="G10443" s="6">
        <v>247542.88</v>
      </c>
      <c r="H10443" s="5">
        <v>5966</v>
      </c>
    </row>
    <row r="10444" spans="2:8" x14ac:dyDescent="0.4">
      <c r="B10444" s="3" t="s">
        <v>7</v>
      </c>
      <c r="C10444" s="3" t="s">
        <v>1585</v>
      </c>
      <c r="D10444" s="4">
        <f>DATE(2007,11,6)</f>
        <v>39392</v>
      </c>
      <c r="E10444" s="5">
        <f t="shared" si="172"/>
        <v>2007</v>
      </c>
      <c r="F10444" s="3" t="s">
        <v>1586</v>
      </c>
      <c r="G10444" s="6">
        <v>16908.86</v>
      </c>
      <c r="H10444" s="5">
        <v>2477</v>
      </c>
    </row>
    <row r="10445" spans="2:8" x14ac:dyDescent="0.4">
      <c r="B10445" s="3" t="s">
        <v>7</v>
      </c>
      <c r="C10445" s="3" t="s">
        <v>1585</v>
      </c>
      <c r="D10445" s="4">
        <f>DATE(2007,11,7)</f>
        <v>39393</v>
      </c>
      <c r="E10445" s="5">
        <f t="shared" si="172"/>
        <v>2007</v>
      </c>
      <c r="F10445" s="3" t="s">
        <v>1586</v>
      </c>
      <c r="G10445" s="6">
        <v>1916.99</v>
      </c>
      <c r="H10445" s="5">
        <v>2477</v>
      </c>
    </row>
    <row r="10446" spans="2:8" x14ac:dyDescent="0.4">
      <c r="B10446" t="s">
        <v>7</v>
      </c>
      <c r="C10446" t="s">
        <v>1587</v>
      </c>
      <c r="D10446" s="7">
        <f>DATE(2009,1,16)</f>
        <v>39829</v>
      </c>
      <c r="E10446" s="8">
        <f t="shared" si="172"/>
        <v>2009</v>
      </c>
      <c r="F10446" t="s">
        <v>1588</v>
      </c>
      <c r="G10446" s="9">
        <v>400</v>
      </c>
      <c r="H10446" s="8">
        <v>8243</v>
      </c>
    </row>
    <row r="10447" spans="2:8" x14ac:dyDescent="0.4">
      <c r="B10447" s="3" t="s">
        <v>7</v>
      </c>
      <c r="C10447" s="3" t="s">
        <v>1589</v>
      </c>
      <c r="D10447" s="4">
        <f>DATE(2004,5,5)</f>
        <v>38112</v>
      </c>
      <c r="E10447" s="5">
        <f t="shared" si="172"/>
        <v>2004</v>
      </c>
      <c r="F10447" s="3" t="s">
        <v>1590</v>
      </c>
      <c r="G10447" s="6">
        <v>7211</v>
      </c>
      <c r="H10447" s="5">
        <v>2795</v>
      </c>
    </row>
    <row r="10448" spans="2:8" x14ac:dyDescent="0.4">
      <c r="B10448" s="3" t="s">
        <v>7</v>
      </c>
      <c r="C10448" s="3" t="s">
        <v>1591</v>
      </c>
      <c r="D10448" s="4">
        <f>DATE(2012,3,30)</f>
        <v>40998</v>
      </c>
      <c r="E10448" s="5">
        <f t="shared" si="172"/>
        <v>2012</v>
      </c>
      <c r="F10448" s="3" t="s">
        <v>1592</v>
      </c>
      <c r="G10448" s="6">
        <v>809</v>
      </c>
      <c r="H10448" s="5">
        <v>16881</v>
      </c>
    </row>
    <row r="10449" spans="2:8" x14ac:dyDescent="0.4">
      <c r="B10449" s="3" t="s">
        <v>7</v>
      </c>
      <c r="C10449" s="3" t="s">
        <v>1593</v>
      </c>
      <c r="D10449" s="4">
        <f>DATE(2007,8,14)</f>
        <v>39308</v>
      </c>
      <c r="E10449" s="5">
        <f t="shared" si="172"/>
        <v>2007</v>
      </c>
      <c r="F10449" s="3" t="s">
        <v>1594</v>
      </c>
      <c r="G10449" s="6">
        <v>182</v>
      </c>
      <c r="H10449" s="5">
        <v>9011</v>
      </c>
    </row>
    <row r="10450" spans="2:8" x14ac:dyDescent="0.4">
      <c r="B10450" s="3" t="s">
        <v>7</v>
      </c>
      <c r="C10450" s="3" t="s">
        <v>1595</v>
      </c>
      <c r="D10450" s="4">
        <f>DATE(2005,1,6)</f>
        <v>38358</v>
      </c>
      <c r="E10450" s="5">
        <f t="shared" si="172"/>
        <v>2005</v>
      </c>
      <c r="F10450" s="3" t="s">
        <v>1596</v>
      </c>
      <c r="G10450" s="6">
        <v>9346.1</v>
      </c>
      <c r="H10450" s="5">
        <v>911</v>
      </c>
    </row>
    <row r="10451" spans="2:8" x14ac:dyDescent="0.4">
      <c r="B10451" s="3" t="s">
        <v>7</v>
      </c>
      <c r="C10451" s="3" t="s">
        <v>1595</v>
      </c>
      <c r="D10451" s="4">
        <f>DATE(2005,2,9)</f>
        <v>38392</v>
      </c>
      <c r="E10451" s="5">
        <f t="shared" si="172"/>
        <v>2005</v>
      </c>
      <c r="F10451" s="3" t="s">
        <v>1596</v>
      </c>
      <c r="G10451" s="6">
        <v>30639.8</v>
      </c>
      <c r="H10451" s="5">
        <v>936</v>
      </c>
    </row>
    <row r="10452" spans="2:8" x14ac:dyDescent="0.4">
      <c r="B10452" s="3" t="s">
        <v>7</v>
      </c>
      <c r="C10452" s="3" t="s">
        <v>1595</v>
      </c>
      <c r="D10452" s="4">
        <f>DATE(2005,4,14)</f>
        <v>38456</v>
      </c>
      <c r="E10452" s="5">
        <f t="shared" si="172"/>
        <v>2005</v>
      </c>
      <c r="F10452" s="3" t="s">
        <v>1596</v>
      </c>
      <c r="G10452" s="6">
        <v>181073.95</v>
      </c>
      <c r="H10452" s="5">
        <v>1010</v>
      </c>
    </row>
    <row r="10453" spans="2:8" x14ac:dyDescent="0.4">
      <c r="B10453" s="3" t="s">
        <v>7</v>
      </c>
      <c r="C10453" s="3" t="s">
        <v>1595</v>
      </c>
      <c r="D10453" s="4">
        <f>DATE(2005,8,3)</f>
        <v>38567</v>
      </c>
      <c r="E10453" s="5">
        <f t="shared" si="172"/>
        <v>2005</v>
      </c>
      <c r="F10453" s="3" t="s">
        <v>1596</v>
      </c>
      <c r="G10453" s="6">
        <v>27108.89</v>
      </c>
      <c r="H10453" s="5">
        <v>1164</v>
      </c>
    </row>
    <row r="10454" spans="2:8" x14ac:dyDescent="0.4">
      <c r="B10454" t="s">
        <v>7</v>
      </c>
      <c r="C10454" t="s">
        <v>1597</v>
      </c>
      <c r="D10454" s="7">
        <f>DATE(2006,2,11)</f>
        <v>38759</v>
      </c>
      <c r="E10454" s="8">
        <f t="shared" si="172"/>
        <v>2006</v>
      </c>
      <c r="F10454" t="s">
        <v>1598</v>
      </c>
      <c r="G10454" s="9">
        <v>8952.0499999999993</v>
      </c>
      <c r="H10454" s="8">
        <v>3995</v>
      </c>
    </row>
    <row r="10455" spans="2:8" x14ac:dyDescent="0.4">
      <c r="B10455" t="s">
        <v>7</v>
      </c>
      <c r="C10455" t="s">
        <v>1597</v>
      </c>
      <c r="D10455" s="7">
        <f>DATE(2006,5,5)</f>
        <v>38842</v>
      </c>
      <c r="E10455" s="8">
        <f t="shared" si="172"/>
        <v>2006</v>
      </c>
      <c r="F10455" t="s">
        <v>1598</v>
      </c>
      <c r="G10455" s="9">
        <v>8520</v>
      </c>
      <c r="H10455" s="8">
        <v>4502</v>
      </c>
    </row>
    <row r="10456" spans="2:8" x14ac:dyDescent="0.4">
      <c r="B10456" t="s">
        <v>7</v>
      </c>
      <c r="C10456" t="s">
        <v>1597</v>
      </c>
      <c r="D10456" s="7">
        <f>DATE(2006,5,29)</f>
        <v>38866</v>
      </c>
      <c r="E10456" s="8">
        <f t="shared" si="172"/>
        <v>2006</v>
      </c>
      <c r="F10456" t="s">
        <v>1599</v>
      </c>
      <c r="G10456" s="9">
        <v>10100.379999999999</v>
      </c>
      <c r="H10456" s="8">
        <v>4637</v>
      </c>
    </row>
    <row r="10457" spans="2:8" x14ac:dyDescent="0.4">
      <c r="B10457" t="s">
        <v>7</v>
      </c>
      <c r="C10457" t="s">
        <v>1597</v>
      </c>
      <c r="D10457" s="7">
        <f>DATE(2006,7,30)</f>
        <v>38928</v>
      </c>
      <c r="E10457" s="8">
        <f t="shared" si="172"/>
        <v>2006</v>
      </c>
      <c r="F10457" t="s">
        <v>1599</v>
      </c>
      <c r="G10457" s="9">
        <v>10416.620000000001</v>
      </c>
      <c r="H10457" s="8">
        <v>4832</v>
      </c>
    </row>
    <row r="10458" spans="2:8" x14ac:dyDescent="0.4">
      <c r="B10458" t="s">
        <v>7</v>
      </c>
      <c r="C10458" t="s">
        <v>1597</v>
      </c>
      <c r="D10458" s="7">
        <f>DATE(2006,10,4)</f>
        <v>38994</v>
      </c>
      <c r="E10458" s="8">
        <f t="shared" si="172"/>
        <v>2006</v>
      </c>
      <c r="F10458" t="s">
        <v>1599</v>
      </c>
      <c r="G10458" s="9">
        <v>8892</v>
      </c>
      <c r="H10458" s="8">
        <v>5042</v>
      </c>
    </row>
    <row r="10459" spans="2:8" x14ac:dyDescent="0.4">
      <c r="B10459" t="s">
        <v>7</v>
      </c>
      <c r="C10459" t="s">
        <v>1597</v>
      </c>
      <c r="D10459" s="7">
        <f>DATE(2007,3,1)</f>
        <v>39142</v>
      </c>
      <c r="E10459" s="8">
        <f t="shared" si="172"/>
        <v>2007</v>
      </c>
      <c r="F10459" t="s">
        <v>1599</v>
      </c>
      <c r="G10459" s="9">
        <v>20418</v>
      </c>
      <c r="H10459" s="8">
        <v>5566</v>
      </c>
    </row>
    <row r="10460" spans="2:8" x14ac:dyDescent="0.4">
      <c r="B10460" t="s">
        <v>7</v>
      </c>
      <c r="C10460" t="s">
        <v>1597</v>
      </c>
      <c r="D10460" s="7">
        <f>DATE(2007,5,1)</f>
        <v>39203</v>
      </c>
      <c r="E10460" s="8">
        <f t="shared" si="172"/>
        <v>2007</v>
      </c>
      <c r="F10460" t="s">
        <v>1599</v>
      </c>
      <c r="G10460" s="9">
        <v>39950.67</v>
      </c>
      <c r="H10460" s="8">
        <v>5653</v>
      </c>
    </row>
    <row r="10461" spans="2:8" x14ac:dyDescent="0.4">
      <c r="B10461" t="s">
        <v>7</v>
      </c>
      <c r="C10461" t="s">
        <v>1600</v>
      </c>
      <c r="D10461" s="7">
        <f>DATE(2006,7,13)</f>
        <v>38911</v>
      </c>
      <c r="E10461" s="8">
        <f t="shared" si="172"/>
        <v>2006</v>
      </c>
      <c r="F10461" t="s">
        <v>1601</v>
      </c>
      <c r="G10461" s="9">
        <v>47120</v>
      </c>
      <c r="H10461" s="8">
        <v>4889</v>
      </c>
    </row>
    <row r="10462" spans="2:8" x14ac:dyDescent="0.4">
      <c r="B10462" t="s">
        <v>7</v>
      </c>
      <c r="C10462" t="s">
        <v>1602</v>
      </c>
      <c r="D10462" s="7">
        <f>DATE(2005,5,12)</f>
        <v>38484</v>
      </c>
      <c r="E10462" s="8">
        <f t="shared" si="172"/>
        <v>2005</v>
      </c>
      <c r="F10462" t="s">
        <v>1603</v>
      </c>
      <c r="G10462" s="9">
        <v>5711.07</v>
      </c>
      <c r="H10462" s="8">
        <v>3151</v>
      </c>
    </row>
    <row r="10463" spans="2:8" x14ac:dyDescent="0.4">
      <c r="B10463" t="s">
        <v>7</v>
      </c>
      <c r="C10463" t="s">
        <v>1602</v>
      </c>
      <c r="D10463" s="7">
        <f>DATE(2005,10,13)</f>
        <v>38638</v>
      </c>
      <c r="E10463" s="8">
        <f t="shared" si="172"/>
        <v>2005</v>
      </c>
      <c r="F10463" t="s">
        <v>1603</v>
      </c>
      <c r="G10463" s="9">
        <v>5720.81</v>
      </c>
      <c r="H10463" s="8">
        <v>3592</v>
      </c>
    </row>
    <row r="10464" spans="2:8" x14ac:dyDescent="0.4">
      <c r="B10464" t="s">
        <v>7</v>
      </c>
      <c r="C10464" t="s">
        <v>1604</v>
      </c>
      <c r="D10464" s="7">
        <f>DATE(2003,5,18)</f>
        <v>37759</v>
      </c>
      <c r="E10464" s="8">
        <f t="shared" si="172"/>
        <v>2003</v>
      </c>
      <c r="F10464" t="s">
        <v>1605</v>
      </c>
      <c r="G10464" s="9">
        <v>7386.8</v>
      </c>
      <c r="H10464" s="8">
        <v>486</v>
      </c>
    </row>
    <row r="10465" spans="2:8" x14ac:dyDescent="0.4">
      <c r="B10465" t="s">
        <v>7</v>
      </c>
      <c r="C10465" t="s">
        <v>1604</v>
      </c>
      <c r="D10465" s="7">
        <f>DATE(2003,5,18)</f>
        <v>37759</v>
      </c>
      <c r="E10465" s="8">
        <f t="shared" si="172"/>
        <v>2003</v>
      </c>
      <c r="F10465" t="s">
        <v>1605</v>
      </c>
      <c r="G10465" s="9">
        <v>5625</v>
      </c>
      <c r="H10465" s="8">
        <v>501</v>
      </c>
    </row>
    <row r="10466" spans="2:8" x14ac:dyDescent="0.4">
      <c r="B10466" t="s">
        <v>7</v>
      </c>
      <c r="C10466" t="s">
        <v>1604</v>
      </c>
      <c r="D10466" s="7">
        <f>DATE(2005,5,12)</f>
        <v>38484</v>
      </c>
      <c r="E10466" s="8">
        <f t="shared" si="172"/>
        <v>2005</v>
      </c>
      <c r="F10466" t="s">
        <v>1605</v>
      </c>
      <c r="G10466" s="9">
        <v>5750</v>
      </c>
      <c r="H10466" s="8">
        <v>3124</v>
      </c>
    </row>
    <row r="10467" spans="2:8" x14ac:dyDescent="0.4">
      <c r="B10467" t="s">
        <v>7</v>
      </c>
      <c r="C10467" t="s">
        <v>1604</v>
      </c>
      <c r="D10467" s="7">
        <f>DATE(2005,5,13)</f>
        <v>38485</v>
      </c>
      <c r="E10467" s="8">
        <f t="shared" si="172"/>
        <v>2005</v>
      </c>
      <c r="F10467" t="s">
        <v>1605</v>
      </c>
      <c r="G10467" s="9">
        <v>10063.799999999999</v>
      </c>
      <c r="H10467" s="8">
        <v>3123</v>
      </c>
    </row>
    <row r="10468" spans="2:8" x14ac:dyDescent="0.4">
      <c r="B10468" t="s">
        <v>7</v>
      </c>
      <c r="C10468" t="s">
        <v>1604</v>
      </c>
      <c r="D10468" s="7">
        <f>DATE(2006,5,11)</f>
        <v>38848</v>
      </c>
      <c r="E10468" s="8">
        <f t="shared" si="172"/>
        <v>2006</v>
      </c>
      <c r="F10468" t="s">
        <v>1605</v>
      </c>
      <c r="G10468" s="9">
        <v>8998.4</v>
      </c>
      <c r="H10468" s="8">
        <v>4521</v>
      </c>
    </row>
    <row r="10469" spans="2:8" x14ac:dyDescent="0.4">
      <c r="B10469" t="s">
        <v>7</v>
      </c>
      <c r="C10469" t="s">
        <v>1604</v>
      </c>
      <c r="D10469" s="7">
        <f>DATE(2011,8,26)</f>
        <v>40781</v>
      </c>
      <c r="E10469" s="8">
        <f t="shared" si="172"/>
        <v>2011</v>
      </c>
      <c r="F10469" t="s">
        <v>1605</v>
      </c>
      <c r="G10469" s="9">
        <v>12466.77</v>
      </c>
      <c r="H10469" s="8">
        <v>10927</v>
      </c>
    </row>
    <row r="10470" spans="2:8" x14ac:dyDescent="0.4">
      <c r="B10470" s="3" t="s">
        <v>7</v>
      </c>
      <c r="C10470" s="3" t="s">
        <v>1606</v>
      </c>
      <c r="D10470" s="4">
        <f>DATE(2003,3,18)</f>
        <v>37698</v>
      </c>
      <c r="E10470" s="5">
        <f t="shared" si="172"/>
        <v>2003</v>
      </c>
      <c r="F10470" s="3" t="s">
        <v>1607</v>
      </c>
      <c r="G10470" s="6">
        <v>907</v>
      </c>
      <c r="H10470" s="5">
        <v>60</v>
      </c>
    </row>
    <row r="10471" spans="2:8" x14ac:dyDescent="0.4">
      <c r="B10471" s="3" t="s">
        <v>7</v>
      </c>
      <c r="C10471" s="3" t="s">
        <v>1606</v>
      </c>
      <c r="D10471" s="4">
        <f>DATE(2006,11,3)</f>
        <v>39024</v>
      </c>
      <c r="E10471" s="5">
        <f t="shared" si="172"/>
        <v>2006</v>
      </c>
      <c r="F10471" s="3" t="s">
        <v>1607</v>
      </c>
      <c r="G10471" s="6">
        <v>3900</v>
      </c>
      <c r="H10471" s="5">
        <v>1907</v>
      </c>
    </row>
    <row r="10472" spans="2:8" x14ac:dyDescent="0.4">
      <c r="B10472" t="s">
        <v>7</v>
      </c>
      <c r="C10472" t="s">
        <v>1608</v>
      </c>
      <c r="D10472" s="7">
        <f>DATE(2015,5,11)</f>
        <v>42135</v>
      </c>
      <c r="E10472" s="8">
        <f t="shared" si="172"/>
        <v>2015</v>
      </c>
      <c r="F10472" t="s">
        <v>1609</v>
      </c>
      <c r="G10472" s="9">
        <v>197638.99</v>
      </c>
      <c r="H10472" s="8">
        <v>20001</v>
      </c>
    </row>
    <row r="10473" spans="2:8" x14ac:dyDescent="0.4">
      <c r="B10473" t="s">
        <v>7</v>
      </c>
      <c r="C10473" t="s">
        <v>1608</v>
      </c>
      <c r="D10473" s="7">
        <f>DATE(2012,3,26)</f>
        <v>40994</v>
      </c>
      <c r="E10473" s="8">
        <f t="shared" si="172"/>
        <v>2012</v>
      </c>
      <c r="F10473" t="s">
        <v>1609</v>
      </c>
      <c r="G10473" s="9">
        <v>15058</v>
      </c>
      <c r="H10473" s="8">
        <v>11439</v>
      </c>
    </row>
    <row r="10474" spans="2:8" x14ac:dyDescent="0.4">
      <c r="B10474" t="s">
        <v>7</v>
      </c>
      <c r="C10474" t="s">
        <v>1608</v>
      </c>
      <c r="D10474" s="7">
        <f>DATE(2013,2,11)</f>
        <v>41316</v>
      </c>
      <c r="E10474" s="8">
        <f t="shared" si="172"/>
        <v>2013</v>
      </c>
      <c r="F10474" t="s">
        <v>1609</v>
      </c>
      <c r="G10474" s="9">
        <v>12105.92</v>
      </c>
      <c r="H10474" s="8">
        <v>12128</v>
      </c>
    </row>
    <row r="10475" spans="2:8" x14ac:dyDescent="0.4">
      <c r="B10475" t="s">
        <v>7</v>
      </c>
      <c r="C10475" t="s">
        <v>1608</v>
      </c>
      <c r="D10475" s="7">
        <f>DATE(2013,2,28)</f>
        <v>41333</v>
      </c>
      <c r="E10475" s="8">
        <f t="shared" si="172"/>
        <v>2013</v>
      </c>
      <c r="F10475" t="s">
        <v>1609</v>
      </c>
      <c r="G10475" s="9">
        <v>12921.77</v>
      </c>
      <c r="H10475" s="8">
        <v>12214</v>
      </c>
    </row>
    <row r="10476" spans="2:8" x14ac:dyDescent="0.4">
      <c r="B10476" t="s">
        <v>7</v>
      </c>
      <c r="C10476" t="s">
        <v>1608</v>
      </c>
      <c r="D10476" s="7">
        <f>DATE(2013,4,3)</f>
        <v>41367</v>
      </c>
      <c r="E10476" s="8">
        <f t="shared" si="172"/>
        <v>2013</v>
      </c>
      <c r="F10476" t="s">
        <v>1609</v>
      </c>
      <c r="G10476" s="9">
        <v>60470.53</v>
      </c>
      <c r="H10476" s="8">
        <v>12262</v>
      </c>
    </row>
    <row r="10477" spans="2:8" x14ac:dyDescent="0.4">
      <c r="B10477" t="s">
        <v>7</v>
      </c>
      <c r="C10477" t="s">
        <v>1608</v>
      </c>
      <c r="D10477" s="7">
        <f>DATE(2003,5,22)</f>
        <v>37763</v>
      </c>
      <c r="E10477" s="8">
        <f t="shared" si="172"/>
        <v>2003</v>
      </c>
      <c r="F10477" t="s">
        <v>1609</v>
      </c>
      <c r="G10477" s="9">
        <v>6424.61</v>
      </c>
      <c r="H10477" s="8">
        <v>17</v>
      </c>
    </row>
    <row r="10478" spans="2:8" x14ac:dyDescent="0.4">
      <c r="B10478" t="s">
        <v>7</v>
      </c>
      <c r="C10478" t="s">
        <v>1608</v>
      </c>
      <c r="D10478" s="7">
        <f>DATE(2013,2,4)</f>
        <v>41309</v>
      </c>
      <c r="E10478" s="8">
        <f t="shared" si="172"/>
        <v>2013</v>
      </c>
      <c r="F10478" t="s">
        <v>1609</v>
      </c>
      <c r="G10478" s="9">
        <v>13066.24</v>
      </c>
      <c r="H10478" s="8">
        <v>12058</v>
      </c>
    </row>
    <row r="10479" spans="2:8" x14ac:dyDescent="0.4">
      <c r="B10479" t="s">
        <v>7</v>
      </c>
      <c r="C10479" t="s">
        <v>1608</v>
      </c>
      <c r="D10479" s="7">
        <f>DATE(2014,11,12)</f>
        <v>41955</v>
      </c>
      <c r="E10479" s="8">
        <f t="shared" si="172"/>
        <v>2014</v>
      </c>
      <c r="F10479" t="s">
        <v>1609</v>
      </c>
      <c r="G10479" s="9">
        <v>163928.74</v>
      </c>
      <c r="H10479" s="8">
        <v>13345</v>
      </c>
    </row>
    <row r="10480" spans="2:8" x14ac:dyDescent="0.4">
      <c r="B10480" s="3" t="s">
        <v>7</v>
      </c>
      <c r="C10480" s="3" t="s">
        <v>1608</v>
      </c>
      <c r="D10480" s="4">
        <f>DATE(2003,2,27)</f>
        <v>37679</v>
      </c>
      <c r="E10480" s="5">
        <f t="shared" si="172"/>
        <v>2003</v>
      </c>
      <c r="F10480" s="3" t="s">
        <v>1609</v>
      </c>
      <c r="G10480" s="6">
        <v>16035.1</v>
      </c>
      <c r="H10480" s="5">
        <v>278</v>
      </c>
    </row>
    <row r="10481" spans="2:8" x14ac:dyDescent="0.4">
      <c r="B10481" s="3" t="s">
        <v>7</v>
      </c>
      <c r="C10481" s="3" t="s">
        <v>1608</v>
      </c>
      <c r="D10481" s="4">
        <f>DATE(2003,12,4)</f>
        <v>37959</v>
      </c>
      <c r="E10481" s="5">
        <f t="shared" si="172"/>
        <v>2003</v>
      </c>
      <c r="F10481" s="3" t="s">
        <v>1609</v>
      </c>
      <c r="G10481" s="6">
        <v>30152.83</v>
      </c>
      <c r="H10481" s="5">
        <v>1822</v>
      </c>
    </row>
    <row r="10482" spans="2:8" x14ac:dyDescent="0.4">
      <c r="B10482" s="3" t="s">
        <v>7</v>
      </c>
      <c r="C10482" s="3" t="s">
        <v>1608</v>
      </c>
      <c r="D10482" s="4">
        <f>DATE(2004,10,6)</f>
        <v>38266</v>
      </c>
      <c r="E10482" s="5">
        <f t="shared" si="172"/>
        <v>2004</v>
      </c>
      <c r="F10482" s="3" t="s">
        <v>1609</v>
      </c>
      <c r="G10482" s="6">
        <v>15600</v>
      </c>
      <c r="H10482" s="5">
        <v>3448</v>
      </c>
    </row>
    <row r="10483" spans="2:8" x14ac:dyDescent="0.4">
      <c r="B10483" s="3" t="s">
        <v>7</v>
      </c>
      <c r="C10483" s="3" t="s">
        <v>1608</v>
      </c>
      <c r="D10483" s="4">
        <f>DATE(2005,10,3)</f>
        <v>38628</v>
      </c>
      <c r="E10483" s="5">
        <f t="shared" si="172"/>
        <v>2005</v>
      </c>
      <c r="F10483" s="3" t="s">
        <v>1609</v>
      </c>
      <c r="G10483" s="6">
        <v>192.76</v>
      </c>
      <c r="H10483" s="5">
        <v>5351</v>
      </c>
    </row>
    <row r="10484" spans="2:8" x14ac:dyDescent="0.4">
      <c r="B10484" s="3" t="s">
        <v>7</v>
      </c>
      <c r="C10484" s="3" t="s">
        <v>1608</v>
      </c>
      <c r="D10484" s="4">
        <f>DATE(2005,10,11)</f>
        <v>38636</v>
      </c>
      <c r="E10484" s="5">
        <f t="shared" si="172"/>
        <v>2005</v>
      </c>
      <c r="F10484" s="3" t="s">
        <v>1609</v>
      </c>
      <c r="G10484" s="6">
        <v>1601.5</v>
      </c>
      <c r="H10484" s="5">
        <v>5413</v>
      </c>
    </row>
    <row r="10485" spans="2:8" x14ac:dyDescent="0.4">
      <c r="B10485" s="3" t="s">
        <v>7</v>
      </c>
      <c r="C10485" s="3" t="s">
        <v>1608</v>
      </c>
      <c r="D10485" s="4">
        <f>DATE(2005,10,28)</f>
        <v>38653</v>
      </c>
      <c r="E10485" s="5">
        <f t="shared" si="172"/>
        <v>2005</v>
      </c>
      <c r="F10485" s="3" t="s">
        <v>1609</v>
      </c>
      <c r="G10485" s="6">
        <v>16995.82</v>
      </c>
      <c r="H10485" s="5">
        <v>5437</v>
      </c>
    </row>
    <row r="10486" spans="2:8" x14ac:dyDescent="0.4">
      <c r="B10486" s="3" t="s">
        <v>7</v>
      </c>
      <c r="C10486" s="3" t="s">
        <v>1608</v>
      </c>
      <c r="D10486" s="4">
        <f>DATE(2006,4,14)</f>
        <v>38821</v>
      </c>
      <c r="E10486" s="5">
        <f t="shared" si="172"/>
        <v>2006</v>
      </c>
      <c r="F10486" s="3" t="s">
        <v>1609</v>
      </c>
      <c r="G10486" s="6">
        <v>16508.7</v>
      </c>
      <c r="H10486" s="5">
        <v>6469</v>
      </c>
    </row>
    <row r="10487" spans="2:8" x14ac:dyDescent="0.4">
      <c r="B10487" s="3" t="s">
        <v>7</v>
      </c>
      <c r="C10487" s="3" t="s">
        <v>1608</v>
      </c>
      <c r="D10487" s="4">
        <f>DATE(2007,4,4)</f>
        <v>39176</v>
      </c>
      <c r="E10487" s="5">
        <f t="shared" si="172"/>
        <v>2007</v>
      </c>
      <c r="F10487" s="3" t="s">
        <v>1609</v>
      </c>
      <c r="G10487" s="6">
        <v>16512.96</v>
      </c>
      <c r="H10487" s="5">
        <v>8273</v>
      </c>
    </row>
    <row r="10488" spans="2:8" x14ac:dyDescent="0.4">
      <c r="B10488" s="3" t="s">
        <v>7</v>
      </c>
      <c r="C10488" s="3" t="s">
        <v>1608</v>
      </c>
      <c r="D10488" s="4">
        <f>DATE(2007,11,14)</f>
        <v>39400</v>
      </c>
      <c r="E10488" s="5">
        <f t="shared" si="172"/>
        <v>2007</v>
      </c>
      <c r="F10488" s="3" t="s">
        <v>1609</v>
      </c>
      <c r="G10488" s="6">
        <v>16514.27</v>
      </c>
      <c r="H10488" s="5">
        <v>9463</v>
      </c>
    </row>
    <row r="10489" spans="2:8" x14ac:dyDescent="0.4">
      <c r="B10489" s="3" t="s">
        <v>7</v>
      </c>
      <c r="C10489" s="3" t="s">
        <v>1608</v>
      </c>
      <c r="D10489" s="4">
        <f>DATE(2008,9,24)</f>
        <v>39715</v>
      </c>
      <c r="E10489" s="5">
        <f t="shared" si="172"/>
        <v>2008</v>
      </c>
      <c r="F10489" s="3" t="s">
        <v>1609</v>
      </c>
      <c r="G10489" s="6">
        <v>16400</v>
      </c>
      <c r="H10489" s="5">
        <v>11310</v>
      </c>
    </row>
    <row r="10490" spans="2:8" x14ac:dyDescent="0.4">
      <c r="B10490" s="3" t="s">
        <v>7</v>
      </c>
      <c r="C10490" s="3" t="s">
        <v>1608</v>
      </c>
      <c r="D10490" s="4">
        <f>DATE(2009,4,23)</f>
        <v>39926</v>
      </c>
      <c r="E10490" s="5">
        <f t="shared" si="172"/>
        <v>2009</v>
      </c>
      <c r="F10490" s="3" t="s">
        <v>1609</v>
      </c>
      <c r="G10490" s="6">
        <v>16524.86</v>
      </c>
      <c r="H10490" s="5">
        <v>12336</v>
      </c>
    </row>
    <row r="10491" spans="2:8" x14ac:dyDescent="0.4">
      <c r="B10491" t="s">
        <v>7</v>
      </c>
      <c r="C10491" t="s">
        <v>1610</v>
      </c>
      <c r="D10491" s="7">
        <f>DATE(2016,2,10)</f>
        <v>42410</v>
      </c>
      <c r="E10491" s="8">
        <f t="shared" si="172"/>
        <v>2016</v>
      </c>
      <c r="F10491" t="s">
        <v>1611</v>
      </c>
      <c r="G10491" s="9">
        <v>1534</v>
      </c>
      <c r="H10491" s="8">
        <v>22122</v>
      </c>
    </row>
    <row r="10492" spans="2:8" x14ac:dyDescent="0.4">
      <c r="B10492" t="s">
        <v>7</v>
      </c>
      <c r="C10492" t="s">
        <v>1610</v>
      </c>
      <c r="D10492" s="7">
        <f>DATE(2017,9,22)</f>
        <v>43000</v>
      </c>
      <c r="E10492" s="8">
        <f t="shared" si="172"/>
        <v>2017</v>
      </c>
      <c r="F10492" t="s">
        <v>1611</v>
      </c>
      <c r="G10492" s="9">
        <v>4720</v>
      </c>
      <c r="H10492" s="8">
        <v>25586</v>
      </c>
    </row>
    <row r="10493" spans="2:8" x14ac:dyDescent="0.4">
      <c r="B10493" t="s">
        <v>7</v>
      </c>
      <c r="C10493" t="s">
        <v>1610</v>
      </c>
      <c r="D10493" s="7">
        <f>DATE(2019,2,13)</f>
        <v>43509</v>
      </c>
      <c r="E10493" s="8">
        <f t="shared" si="172"/>
        <v>2019</v>
      </c>
      <c r="F10493" t="s">
        <v>1611</v>
      </c>
      <c r="G10493" s="9">
        <v>7.14</v>
      </c>
      <c r="H10493" s="8">
        <v>28204</v>
      </c>
    </row>
    <row r="10494" spans="2:8" x14ac:dyDescent="0.4">
      <c r="B10494" s="3" t="s">
        <v>7</v>
      </c>
      <c r="C10494" s="3" t="s">
        <v>1610</v>
      </c>
      <c r="D10494" s="4">
        <f>DATE(2013,9,6)</f>
        <v>41523</v>
      </c>
      <c r="E10494" s="5">
        <f t="shared" si="172"/>
        <v>2013</v>
      </c>
      <c r="F10494" s="3" t="s">
        <v>1611</v>
      </c>
      <c r="G10494" s="6">
        <v>10925</v>
      </c>
      <c r="H10494" s="5">
        <v>18938</v>
      </c>
    </row>
    <row r="10495" spans="2:8" x14ac:dyDescent="0.4">
      <c r="B10495" s="3" t="s">
        <v>7</v>
      </c>
      <c r="C10495" s="3" t="s">
        <v>1612</v>
      </c>
      <c r="D10495" s="4">
        <f>DATE(2011,11,7)</f>
        <v>40854</v>
      </c>
      <c r="E10495" s="5">
        <f t="shared" si="172"/>
        <v>2011</v>
      </c>
      <c r="F10495" s="3" t="s">
        <v>1613</v>
      </c>
      <c r="G10495" s="6">
        <v>27548.7</v>
      </c>
      <c r="H10495" s="5">
        <v>15011</v>
      </c>
    </row>
    <row r="10496" spans="2:8" x14ac:dyDescent="0.4">
      <c r="B10496" s="3" t="s">
        <v>7</v>
      </c>
      <c r="C10496" s="3" t="s">
        <v>1612</v>
      </c>
      <c r="D10496" s="4">
        <f>DATE(2012,3,1)</f>
        <v>40969</v>
      </c>
      <c r="E10496" s="5">
        <f t="shared" si="172"/>
        <v>2012</v>
      </c>
      <c r="F10496" s="3" t="s">
        <v>1613</v>
      </c>
      <c r="G10496" s="6">
        <v>3984.07</v>
      </c>
      <c r="H10496" s="5">
        <v>16347</v>
      </c>
    </row>
    <row r="10497" spans="2:8" x14ac:dyDescent="0.4">
      <c r="B10497" s="3" t="s">
        <v>7</v>
      </c>
      <c r="C10497" s="3" t="s">
        <v>1612</v>
      </c>
      <c r="D10497" s="4">
        <f>DATE(2013,1,15)</f>
        <v>41289</v>
      </c>
      <c r="E10497" s="5">
        <f t="shared" si="172"/>
        <v>2013</v>
      </c>
      <c r="F10497" s="3" t="s">
        <v>1613</v>
      </c>
      <c r="G10497" s="6">
        <v>7395.5</v>
      </c>
      <c r="H10497" s="5">
        <v>17677</v>
      </c>
    </row>
    <row r="10498" spans="2:8" x14ac:dyDescent="0.4">
      <c r="B10498" s="3" t="s">
        <v>7</v>
      </c>
      <c r="C10498" s="3" t="s">
        <v>1612</v>
      </c>
      <c r="D10498" s="4">
        <f>DATE(2014,8,11)</f>
        <v>41862</v>
      </c>
      <c r="E10498" s="5">
        <f t="shared" si="172"/>
        <v>2014</v>
      </c>
      <c r="F10498" s="3" t="s">
        <v>1613</v>
      </c>
      <c r="G10498" s="6">
        <v>402.5</v>
      </c>
      <c r="H10498" s="5">
        <v>19928</v>
      </c>
    </row>
    <row r="10499" spans="2:8" x14ac:dyDescent="0.4">
      <c r="B10499" t="s">
        <v>7</v>
      </c>
      <c r="C10499" t="s">
        <v>1614</v>
      </c>
      <c r="D10499" s="7">
        <f>DATE(2017,10,23)</f>
        <v>43031</v>
      </c>
      <c r="E10499" s="8">
        <f t="shared" ref="E10499:E10562" si="173">YEAR(D10499)</f>
        <v>2017</v>
      </c>
      <c r="F10499" t="s">
        <v>1615</v>
      </c>
      <c r="G10499" s="9">
        <v>2542.6799999999998</v>
      </c>
      <c r="H10499" s="8">
        <v>25709</v>
      </c>
    </row>
    <row r="10500" spans="2:8" x14ac:dyDescent="0.4">
      <c r="B10500" t="s">
        <v>7</v>
      </c>
      <c r="C10500" t="s">
        <v>1614</v>
      </c>
      <c r="D10500" s="7">
        <f>DATE(2017,11,16)</f>
        <v>43055</v>
      </c>
      <c r="E10500" s="8">
        <f t="shared" si="173"/>
        <v>2017</v>
      </c>
      <c r="F10500" t="s">
        <v>1615</v>
      </c>
      <c r="G10500" s="9">
        <v>2208.4299999999998</v>
      </c>
      <c r="H10500" s="8">
        <v>25830</v>
      </c>
    </row>
    <row r="10501" spans="2:8" x14ac:dyDescent="0.4">
      <c r="B10501" t="s">
        <v>7</v>
      </c>
      <c r="C10501" t="s">
        <v>1616</v>
      </c>
      <c r="D10501" s="7">
        <f>DATE(2017,6,6)</f>
        <v>42892</v>
      </c>
      <c r="E10501" s="8">
        <f t="shared" si="173"/>
        <v>2017</v>
      </c>
      <c r="F10501" t="s">
        <v>1617</v>
      </c>
      <c r="G10501" s="9">
        <v>30143.98</v>
      </c>
      <c r="H10501" s="8">
        <v>24946</v>
      </c>
    </row>
    <row r="10502" spans="2:8" x14ac:dyDescent="0.4">
      <c r="B10502" t="s">
        <v>7</v>
      </c>
      <c r="C10502" t="s">
        <v>1616</v>
      </c>
      <c r="D10502" s="7">
        <f>DATE(2018,4,16)</f>
        <v>43206</v>
      </c>
      <c r="E10502" s="8">
        <f t="shared" si="173"/>
        <v>2018</v>
      </c>
      <c r="F10502" t="s">
        <v>1617</v>
      </c>
      <c r="G10502" s="9">
        <v>29705</v>
      </c>
      <c r="H10502" s="8">
        <v>26838</v>
      </c>
    </row>
    <row r="10503" spans="2:8" x14ac:dyDescent="0.4">
      <c r="B10503" t="s">
        <v>7</v>
      </c>
      <c r="C10503" t="s">
        <v>1616</v>
      </c>
      <c r="D10503" s="7">
        <f>DATE(2018,5,14)</f>
        <v>43234</v>
      </c>
      <c r="E10503" s="8">
        <f t="shared" si="173"/>
        <v>2018</v>
      </c>
      <c r="F10503" t="s">
        <v>1617</v>
      </c>
      <c r="G10503" s="9">
        <v>20872.490000000002</v>
      </c>
      <c r="H10503" s="8">
        <v>26964</v>
      </c>
    </row>
    <row r="10504" spans="2:8" x14ac:dyDescent="0.4">
      <c r="B10504" t="s">
        <v>7</v>
      </c>
      <c r="C10504" t="s">
        <v>1616</v>
      </c>
      <c r="D10504" s="7">
        <f>DATE(2018,5,31)</f>
        <v>43251</v>
      </c>
      <c r="E10504" s="8">
        <f t="shared" si="173"/>
        <v>2018</v>
      </c>
      <c r="F10504" t="s">
        <v>1617</v>
      </c>
      <c r="G10504" s="9">
        <v>13475.28</v>
      </c>
      <c r="H10504" s="8">
        <v>27084</v>
      </c>
    </row>
    <row r="10505" spans="2:8" x14ac:dyDescent="0.4">
      <c r="B10505" t="s">
        <v>7</v>
      </c>
      <c r="C10505" t="s">
        <v>1616</v>
      </c>
      <c r="D10505" s="7">
        <f>DATE(2017,6,19)</f>
        <v>42905</v>
      </c>
      <c r="E10505" s="8">
        <f t="shared" si="173"/>
        <v>2017</v>
      </c>
      <c r="F10505" t="s">
        <v>1617</v>
      </c>
      <c r="G10505" s="9">
        <v>628.08000000000004</v>
      </c>
      <c r="H10505" s="8">
        <v>25128</v>
      </c>
    </row>
    <row r="10506" spans="2:8" x14ac:dyDescent="0.4">
      <c r="B10506" t="s">
        <v>7</v>
      </c>
      <c r="C10506" t="s">
        <v>1616</v>
      </c>
      <c r="D10506" s="7">
        <f>DATE(2003,4,17)</f>
        <v>37728</v>
      </c>
      <c r="E10506" s="8">
        <f t="shared" si="173"/>
        <v>2003</v>
      </c>
      <c r="F10506" t="s">
        <v>1617</v>
      </c>
      <c r="G10506" s="9">
        <v>320</v>
      </c>
      <c r="H10506" s="8">
        <v>513</v>
      </c>
    </row>
    <row r="10507" spans="2:8" x14ac:dyDescent="0.4">
      <c r="B10507" t="s">
        <v>7</v>
      </c>
      <c r="C10507" t="s">
        <v>1616</v>
      </c>
      <c r="D10507" s="7">
        <f>DATE(2007,12,1)</f>
        <v>39417</v>
      </c>
      <c r="E10507" s="8">
        <f t="shared" si="173"/>
        <v>2007</v>
      </c>
      <c r="F10507" t="s">
        <v>1617</v>
      </c>
      <c r="G10507" s="9">
        <v>6581.42</v>
      </c>
      <c r="H10507" s="8">
        <v>6611</v>
      </c>
    </row>
    <row r="10508" spans="2:8" x14ac:dyDescent="0.4">
      <c r="B10508" t="s">
        <v>7</v>
      </c>
      <c r="C10508" t="s">
        <v>1618</v>
      </c>
      <c r="D10508" s="7">
        <f>DATE(2017,5,23)</f>
        <v>42878</v>
      </c>
      <c r="E10508" s="8">
        <f t="shared" si="173"/>
        <v>2017</v>
      </c>
      <c r="F10508" t="s">
        <v>1619</v>
      </c>
      <c r="G10508" s="9">
        <v>2632.65</v>
      </c>
      <c r="H10508" s="8">
        <v>24953</v>
      </c>
    </row>
    <row r="10509" spans="2:8" x14ac:dyDescent="0.4">
      <c r="B10509" s="3" t="s">
        <v>7</v>
      </c>
      <c r="C10509" s="3" t="s">
        <v>1620</v>
      </c>
      <c r="D10509" s="4">
        <f>DATE(2013,5,28)</f>
        <v>41422</v>
      </c>
      <c r="E10509" s="5">
        <f t="shared" si="173"/>
        <v>2013</v>
      </c>
      <c r="F10509" s="3" t="s">
        <v>1621</v>
      </c>
      <c r="G10509" s="6">
        <v>582.64</v>
      </c>
      <c r="H10509" s="5">
        <v>18621</v>
      </c>
    </row>
    <row r="10510" spans="2:8" x14ac:dyDescent="0.4">
      <c r="B10510" s="3" t="s">
        <v>7</v>
      </c>
      <c r="C10510" s="3" t="s">
        <v>1620</v>
      </c>
      <c r="D10510" s="4">
        <f>DATE(2013,6,11)</f>
        <v>41436</v>
      </c>
      <c r="E10510" s="5">
        <f t="shared" si="173"/>
        <v>2013</v>
      </c>
      <c r="F10510" s="3" t="s">
        <v>1621</v>
      </c>
      <c r="G10510" s="6">
        <v>947.6</v>
      </c>
      <c r="H10510" s="5">
        <v>18676</v>
      </c>
    </row>
    <row r="10511" spans="2:8" x14ac:dyDescent="0.4">
      <c r="B10511" s="3" t="s">
        <v>7</v>
      </c>
      <c r="C10511" s="3" t="s">
        <v>1620</v>
      </c>
      <c r="D10511" s="4">
        <f>DATE(2013,6,11)</f>
        <v>41436</v>
      </c>
      <c r="E10511" s="5">
        <f t="shared" si="173"/>
        <v>2013</v>
      </c>
      <c r="F10511" s="3" t="s">
        <v>1621</v>
      </c>
      <c r="G10511" s="6">
        <v>341.64</v>
      </c>
      <c r="H10511" s="5">
        <v>18638</v>
      </c>
    </row>
    <row r="10512" spans="2:8" x14ac:dyDescent="0.4">
      <c r="B10512" s="3" t="s">
        <v>7</v>
      </c>
      <c r="C10512" s="3" t="s">
        <v>1620</v>
      </c>
      <c r="D10512" s="4">
        <f>DATE(2014,4,24)</f>
        <v>41753</v>
      </c>
      <c r="E10512" s="5">
        <f t="shared" si="173"/>
        <v>2014</v>
      </c>
      <c r="F10512" s="3" t="s">
        <v>1621</v>
      </c>
      <c r="G10512" s="6">
        <v>2036.34</v>
      </c>
      <c r="H10512" s="5">
        <v>19840</v>
      </c>
    </row>
    <row r="10513" spans="2:8" x14ac:dyDescent="0.4">
      <c r="B10513" s="3" t="s">
        <v>7</v>
      </c>
      <c r="C10513" s="3" t="s">
        <v>1620</v>
      </c>
      <c r="D10513" s="4">
        <f>DATE(2014,8,25)</f>
        <v>41876</v>
      </c>
      <c r="E10513" s="5">
        <f t="shared" si="173"/>
        <v>2014</v>
      </c>
      <c r="F10513" s="3" t="s">
        <v>1621</v>
      </c>
      <c r="G10513" s="6">
        <v>816.78</v>
      </c>
      <c r="H10513" s="5">
        <v>20302</v>
      </c>
    </row>
    <row r="10514" spans="2:8" x14ac:dyDescent="0.4">
      <c r="B10514" t="s">
        <v>7</v>
      </c>
      <c r="C10514" t="s">
        <v>819</v>
      </c>
      <c r="D10514" s="7">
        <f>DATE(2017,3,23)</f>
        <v>42817</v>
      </c>
      <c r="E10514" s="8">
        <f t="shared" si="173"/>
        <v>2017</v>
      </c>
      <c r="F10514" t="s">
        <v>1622</v>
      </c>
      <c r="G10514" s="9">
        <v>29694.38</v>
      </c>
      <c r="H10514" s="8">
        <v>24414</v>
      </c>
    </row>
    <row r="10515" spans="2:8" x14ac:dyDescent="0.4">
      <c r="B10515" t="s">
        <v>7</v>
      </c>
      <c r="C10515" t="s">
        <v>819</v>
      </c>
      <c r="D10515" s="7">
        <f>DATE(2017,6,1)</f>
        <v>42887</v>
      </c>
      <c r="E10515" s="8">
        <f t="shared" si="173"/>
        <v>2017</v>
      </c>
      <c r="F10515" t="s">
        <v>1622</v>
      </c>
      <c r="G10515" s="9">
        <v>32346.81</v>
      </c>
      <c r="H10515" s="8">
        <v>24743</v>
      </c>
    </row>
    <row r="10516" spans="2:8" x14ac:dyDescent="0.4">
      <c r="B10516" t="s">
        <v>7</v>
      </c>
      <c r="C10516" t="s">
        <v>819</v>
      </c>
      <c r="D10516" s="7">
        <f>DATE(2017,9,1)</f>
        <v>42979</v>
      </c>
      <c r="E10516" s="8">
        <f t="shared" si="173"/>
        <v>2017</v>
      </c>
      <c r="F10516" t="s">
        <v>1622</v>
      </c>
      <c r="G10516" s="9">
        <v>38882.769999999997</v>
      </c>
      <c r="H10516" s="8">
        <v>25187</v>
      </c>
    </row>
    <row r="10517" spans="2:8" x14ac:dyDescent="0.4">
      <c r="B10517" t="s">
        <v>16</v>
      </c>
      <c r="C10517" t="s">
        <v>819</v>
      </c>
      <c r="D10517" s="7">
        <f>DATE(2017,7,17)</f>
        <v>42933</v>
      </c>
      <c r="E10517" s="8">
        <f t="shared" si="173"/>
        <v>2017</v>
      </c>
      <c r="F10517" t="s">
        <v>1622</v>
      </c>
      <c r="G10517" s="9">
        <v>32346.81</v>
      </c>
      <c r="H10517" s="8">
        <v>25246</v>
      </c>
    </row>
    <row r="10518" spans="2:8" x14ac:dyDescent="0.4">
      <c r="B10518" t="s">
        <v>7</v>
      </c>
      <c r="C10518" t="s">
        <v>1623</v>
      </c>
      <c r="D10518" s="7">
        <f>DATE(2016,11,3)</f>
        <v>42677</v>
      </c>
      <c r="E10518" s="8">
        <f t="shared" si="173"/>
        <v>2016</v>
      </c>
      <c r="F10518" t="s">
        <v>1624</v>
      </c>
      <c r="G10518" s="9">
        <v>3295</v>
      </c>
      <c r="H10518" s="8">
        <v>23723</v>
      </c>
    </row>
    <row r="10519" spans="2:8" x14ac:dyDescent="0.4">
      <c r="B10519" t="s">
        <v>7</v>
      </c>
      <c r="C10519" t="s">
        <v>1625</v>
      </c>
      <c r="D10519" s="7">
        <f>DATE(2016,2,17)</f>
        <v>42417</v>
      </c>
      <c r="E10519" s="8">
        <f t="shared" si="173"/>
        <v>2016</v>
      </c>
      <c r="F10519" t="s">
        <v>1626</v>
      </c>
      <c r="G10519" s="9">
        <v>105.8</v>
      </c>
      <c r="H10519" s="8">
        <v>22183</v>
      </c>
    </row>
    <row r="10520" spans="2:8" x14ac:dyDescent="0.4">
      <c r="B10520" t="s">
        <v>7</v>
      </c>
      <c r="C10520" t="s">
        <v>1625</v>
      </c>
      <c r="D10520" s="7">
        <f>DATE(2016,3,1)</f>
        <v>42430</v>
      </c>
      <c r="E10520" s="8">
        <f t="shared" si="173"/>
        <v>2016</v>
      </c>
      <c r="F10520" t="s">
        <v>1626</v>
      </c>
      <c r="G10520" s="9">
        <v>727.4</v>
      </c>
      <c r="H10520" s="8">
        <v>22235</v>
      </c>
    </row>
    <row r="10521" spans="2:8" x14ac:dyDescent="0.4">
      <c r="B10521" t="s">
        <v>7</v>
      </c>
      <c r="C10521" t="s">
        <v>1625</v>
      </c>
      <c r="D10521" s="7">
        <f>DATE(2016,12,14)</f>
        <v>42718</v>
      </c>
      <c r="E10521" s="8">
        <f t="shared" si="173"/>
        <v>2016</v>
      </c>
      <c r="F10521" t="s">
        <v>1626</v>
      </c>
      <c r="G10521" s="9">
        <v>308.25</v>
      </c>
      <c r="H10521" s="8">
        <v>23909</v>
      </c>
    </row>
    <row r="10522" spans="2:8" x14ac:dyDescent="0.4">
      <c r="B10522" t="s">
        <v>7</v>
      </c>
      <c r="C10522" t="s">
        <v>1625</v>
      </c>
      <c r="D10522" s="7">
        <f>DATE(2017,1,26)</f>
        <v>42761</v>
      </c>
      <c r="E10522" s="8">
        <f t="shared" si="173"/>
        <v>2017</v>
      </c>
      <c r="F10522" t="s">
        <v>1626</v>
      </c>
      <c r="G10522" s="9">
        <v>3005</v>
      </c>
      <c r="H10522" s="8">
        <v>24180</v>
      </c>
    </row>
    <row r="10523" spans="2:8" x14ac:dyDescent="0.4">
      <c r="B10523" t="s">
        <v>7</v>
      </c>
      <c r="C10523" t="s">
        <v>1625</v>
      </c>
      <c r="D10523" s="7">
        <f>DATE(2017,2,28)</f>
        <v>42794</v>
      </c>
      <c r="E10523" s="8">
        <f t="shared" si="173"/>
        <v>2017</v>
      </c>
      <c r="F10523" t="s">
        <v>1626</v>
      </c>
      <c r="G10523" s="9">
        <v>6975</v>
      </c>
      <c r="H10523" s="8">
        <v>24259</v>
      </c>
    </row>
    <row r="10524" spans="2:8" x14ac:dyDescent="0.4">
      <c r="B10524" t="s">
        <v>7</v>
      </c>
      <c r="C10524" t="s">
        <v>1625</v>
      </c>
      <c r="D10524" s="7">
        <f>DATE(2017,8,17)</f>
        <v>42964</v>
      </c>
      <c r="E10524" s="8">
        <f t="shared" si="173"/>
        <v>2017</v>
      </c>
      <c r="F10524" t="s">
        <v>1626</v>
      </c>
      <c r="G10524" s="9">
        <v>236.5</v>
      </c>
      <c r="H10524" s="8">
        <v>25417</v>
      </c>
    </row>
    <row r="10525" spans="2:8" x14ac:dyDescent="0.4">
      <c r="B10525" t="s">
        <v>7</v>
      </c>
      <c r="C10525" t="s">
        <v>1625</v>
      </c>
      <c r="D10525" s="7">
        <f>DATE(2017,11,20)</f>
        <v>43059</v>
      </c>
      <c r="E10525" s="8">
        <f t="shared" si="173"/>
        <v>2017</v>
      </c>
      <c r="F10525" t="s">
        <v>1626</v>
      </c>
      <c r="G10525" s="9">
        <v>212.85</v>
      </c>
      <c r="H10525" s="8">
        <v>25913</v>
      </c>
    </row>
    <row r="10526" spans="2:8" x14ac:dyDescent="0.4">
      <c r="B10526" t="s">
        <v>16</v>
      </c>
      <c r="C10526" t="s">
        <v>1625</v>
      </c>
      <c r="D10526" s="7">
        <f>DATE(2017,2,15)</f>
        <v>42781</v>
      </c>
      <c r="E10526" s="8">
        <f t="shared" si="173"/>
        <v>2017</v>
      </c>
      <c r="F10526" t="s">
        <v>1626</v>
      </c>
      <c r="G10526" s="9">
        <v>3005</v>
      </c>
      <c r="H10526" s="8">
        <v>24314</v>
      </c>
    </row>
    <row r="10527" spans="2:8" x14ac:dyDescent="0.4">
      <c r="B10527" s="3" t="s">
        <v>7</v>
      </c>
      <c r="C10527" s="3" t="s">
        <v>1625</v>
      </c>
      <c r="D10527" s="4">
        <f>DATE(2005,2,4)</f>
        <v>38387</v>
      </c>
      <c r="E10527" s="5">
        <f t="shared" si="173"/>
        <v>2005</v>
      </c>
      <c r="F10527" s="3" t="s">
        <v>1626</v>
      </c>
      <c r="G10527" s="6">
        <v>217.8</v>
      </c>
      <c r="H10527" s="5">
        <v>945</v>
      </c>
    </row>
    <row r="10528" spans="2:8" x14ac:dyDescent="0.4">
      <c r="B10528" s="3" t="s">
        <v>7</v>
      </c>
      <c r="C10528" s="3" t="s">
        <v>1625</v>
      </c>
      <c r="D10528" s="4">
        <f>DATE(2005,5,11)</f>
        <v>38483</v>
      </c>
      <c r="E10528" s="5">
        <f t="shared" si="173"/>
        <v>2005</v>
      </c>
      <c r="F10528" s="3" t="s">
        <v>1626</v>
      </c>
      <c r="G10528" s="6">
        <v>11242</v>
      </c>
      <c r="H10528" s="5">
        <v>1075</v>
      </c>
    </row>
    <row r="10529" spans="2:8" x14ac:dyDescent="0.4">
      <c r="B10529" s="3" t="s">
        <v>7</v>
      </c>
      <c r="C10529" s="3" t="s">
        <v>1625</v>
      </c>
      <c r="D10529" s="4">
        <f>DATE(2005,7,27)</f>
        <v>38560</v>
      </c>
      <c r="E10529" s="5">
        <f t="shared" si="173"/>
        <v>2005</v>
      </c>
      <c r="F10529" s="3" t="s">
        <v>1626</v>
      </c>
      <c r="G10529" s="6">
        <v>334.38</v>
      </c>
      <c r="H10529" s="5">
        <v>1171</v>
      </c>
    </row>
    <row r="10530" spans="2:8" x14ac:dyDescent="0.4">
      <c r="B10530" s="3" t="s">
        <v>7</v>
      </c>
      <c r="C10530" s="3" t="s">
        <v>1625</v>
      </c>
      <c r="D10530" s="4">
        <f>DATE(2006,4,12)</f>
        <v>38819</v>
      </c>
      <c r="E10530" s="5">
        <f t="shared" si="173"/>
        <v>2006</v>
      </c>
      <c r="F10530" s="3" t="s">
        <v>1626</v>
      </c>
      <c r="G10530" s="6">
        <v>2177</v>
      </c>
      <c r="H10530" s="5">
        <v>1535</v>
      </c>
    </row>
    <row r="10531" spans="2:8" x14ac:dyDescent="0.4">
      <c r="B10531" s="3" t="s">
        <v>7</v>
      </c>
      <c r="C10531" s="3" t="s">
        <v>1625</v>
      </c>
      <c r="D10531" s="4">
        <f>DATE(2007,3,28)</f>
        <v>39169</v>
      </c>
      <c r="E10531" s="5">
        <f t="shared" si="173"/>
        <v>2007</v>
      </c>
      <c r="F10531" s="3" t="s">
        <v>1626</v>
      </c>
      <c r="G10531" s="6">
        <v>1344</v>
      </c>
      <c r="H10531" s="5">
        <v>2148</v>
      </c>
    </row>
    <row r="10532" spans="2:8" x14ac:dyDescent="0.4">
      <c r="B10532" s="3" t="s">
        <v>7</v>
      </c>
      <c r="C10532" s="3" t="s">
        <v>1625</v>
      </c>
      <c r="D10532" s="4">
        <f>DATE(2007,4,3)</f>
        <v>39175</v>
      </c>
      <c r="E10532" s="5">
        <f t="shared" si="173"/>
        <v>2007</v>
      </c>
      <c r="F10532" s="3" t="s">
        <v>1626</v>
      </c>
      <c r="G10532" s="6">
        <v>2200</v>
      </c>
      <c r="H10532" s="5">
        <v>2155</v>
      </c>
    </row>
    <row r="10533" spans="2:8" x14ac:dyDescent="0.4">
      <c r="B10533" s="3" t="s">
        <v>7</v>
      </c>
      <c r="C10533" s="3" t="s">
        <v>1625</v>
      </c>
      <c r="D10533" s="4">
        <f>DATE(2007,4,9)</f>
        <v>39181</v>
      </c>
      <c r="E10533" s="5">
        <f t="shared" si="173"/>
        <v>2007</v>
      </c>
      <c r="F10533" s="3" t="s">
        <v>1626</v>
      </c>
      <c r="G10533" s="6">
        <v>340</v>
      </c>
      <c r="H10533" s="5">
        <v>2171</v>
      </c>
    </row>
    <row r="10534" spans="2:8" x14ac:dyDescent="0.4">
      <c r="B10534" s="3" t="s">
        <v>7</v>
      </c>
      <c r="C10534" s="3" t="s">
        <v>1625</v>
      </c>
      <c r="D10534" s="4">
        <f>DATE(2007,10,31)</f>
        <v>39386</v>
      </c>
      <c r="E10534" s="5">
        <f t="shared" si="173"/>
        <v>2007</v>
      </c>
      <c r="F10534" s="3" t="s">
        <v>1626</v>
      </c>
      <c r="G10534" s="6">
        <v>216.09</v>
      </c>
      <c r="H10534" s="5">
        <v>2465</v>
      </c>
    </row>
    <row r="10535" spans="2:8" x14ac:dyDescent="0.4">
      <c r="B10535" s="3" t="s">
        <v>7</v>
      </c>
      <c r="C10535" s="3" t="s">
        <v>1625</v>
      </c>
      <c r="D10535" s="4">
        <f>DATE(2007,11,26)</f>
        <v>39412</v>
      </c>
      <c r="E10535" s="5">
        <f t="shared" si="173"/>
        <v>2007</v>
      </c>
      <c r="F10535" s="3" t="s">
        <v>1626</v>
      </c>
      <c r="G10535" s="6">
        <v>1947</v>
      </c>
      <c r="H10535" s="5">
        <v>2501</v>
      </c>
    </row>
    <row r="10536" spans="2:8" x14ac:dyDescent="0.4">
      <c r="B10536" s="3" t="s">
        <v>7</v>
      </c>
      <c r="C10536" s="3" t="s">
        <v>1625</v>
      </c>
      <c r="D10536" s="4">
        <f>DATE(2009,12,9)</f>
        <v>40156</v>
      </c>
      <c r="E10536" s="5">
        <f t="shared" si="173"/>
        <v>2009</v>
      </c>
      <c r="F10536" s="3" t="s">
        <v>1626</v>
      </c>
      <c r="G10536" s="6">
        <v>1636.25</v>
      </c>
      <c r="H10536" s="5">
        <v>3707</v>
      </c>
    </row>
    <row r="10537" spans="2:8" x14ac:dyDescent="0.4">
      <c r="B10537" s="3" t="s">
        <v>7</v>
      </c>
      <c r="C10537" s="3" t="s">
        <v>1625</v>
      </c>
      <c r="D10537" s="4">
        <f>DATE(2012,1,13)</f>
        <v>40921</v>
      </c>
      <c r="E10537" s="5">
        <f t="shared" si="173"/>
        <v>2012</v>
      </c>
      <c r="F10537" s="3" t="s">
        <v>1626</v>
      </c>
      <c r="G10537" s="6">
        <v>1970.6</v>
      </c>
      <c r="H10537" s="5">
        <v>4782</v>
      </c>
    </row>
    <row r="10538" spans="2:8" x14ac:dyDescent="0.4">
      <c r="B10538" s="3" t="s">
        <v>7</v>
      </c>
      <c r="C10538" s="3" t="s">
        <v>1625</v>
      </c>
      <c r="D10538" s="4">
        <f>DATE(2012,1,13)</f>
        <v>40921</v>
      </c>
      <c r="E10538" s="5">
        <f t="shared" si="173"/>
        <v>2012</v>
      </c>
      <c r="F10538" s="3" t="s">
        <v>1626</v>
      </c>
      <c r="G10538" s="6">
        <v>7651.2</v>
      </c>
      <c r="H10538" s="5">
        <v>4745</v>
      </c>
    </row>
    <row r="10539" spans="2:8" x14ac:dyDescent="0.4">
      <c r="B10539" s="3" t="s">
        <v>7</v>
      </c>
      <c r="C10539" s="3" t="s">
        <v>1625</v>
      </c>
      <c r="D10539" s="4">
        <f>DATE(2003,2,28)</f>
        <v>37680</v>
      </c>
      <c r="E10539" s="5">
        <f t="shared" si="173"/>
        <v>2003</v>
      </c>
      <c r="F10539" s="3" t="s">
        <v>1626</v>
      </c>
      <c r="G10539" s="6">
        <v>800.4</v>
      </c>
      <c r="H10539" s="5">
        <v>407</v>
      </c>
    </row>
    <row r="10540" spans="2:8" x14ac:dyDescent="0.4">
      <c r="B10540" s="3" t="s">
        <v>7</v>
      </c>
      <c r="C10540" s="3" t="s">
        <v>1625</v>
      </c>
      <c r="D10540" s="4">
        <f>DATE(2003,10,28)</f>
        <v>37922</v>
      </c>
      <c r="E10540" s="5">
        <f t="shared" si="173"/>
        <v>2003</v>
      </c>
      <c r="F10540" s="3" t="s">
        <v>1626</v>
      </c>
      <c r="G10540" s="6">
        <v>8691.2000000000007</v>
      </c>
      <c r="H10540" s="5">
        <v>1676</v>
      </c>
    </row>
    <row r="10541" spans="2:8" x14ac:dyDescent="0.4">
      <c r="B10541" s="3" t="s">
        <v>7</v>
      </c>
      <c r="C10541" s="3" t="s">
        <v>1625</v>
      </c>
      <c r="D10541" s="4">
        <f>DATE(2003,11,14)</f>
        <v>37939</v>
      </c>
      <c r="E10541" s="5">
        <f t="shared" si="173"/>
        <v>2003</v>
      </c>
      <c r="F10541" s="3" t="s">
        <v>1626</v>
      </c>
      <c r="G10541" s="6">
        <v>540</v>
      </c>
      <c r="H10541" s="5">
        <v>1762</v>
      </c>
    </row>
    <row r="10542" spans="2:8" x14ac:dyDescent="0.4">
      <c r="B10542" s="3" t="s">
        <v>7</v>
      </c>
      <c r="C10542" s="3" t="s">
        <v>1625</v>
      </c>
      <c r="D10542" s="4">
        <f>DATE(2003,12,5)</f>
        <v>37960</v>
      </c>
      <c r="E10542" s="5">
        <f t="shared" si="173"/>
        <v>2003</v>
      </c>
      <c r="F10542" s="3" t="s">
        <v>1626</v>
      </c>
      <c r="G10542" s="6">
        <v>810</v>
      </c>
      <c r="H10542" s="5">
        <v>1849</v>
      </c>
    </row>
    <row r="10543" spans="2:8" x14ac:dyDescent="0.4">
      <c r="B10543" s="3" t="s">
        <v>7</v>
      </c>
      <c r="C10543" s="3" t="s">
        <v>1625</v>
      </c>
      <c r="D10543" s="4">
        <f>DATE(2004,4,9)</f>
        <v>38086</v>
      </c>
      <c r="E10543" s="5">
        <f t="shared" si="173"/>
        <v>2004</v>
      </c>
      <c r="F10543" s="3" t="s">
        <v>1626</v>
      </c>
      <c r="G10543" s="6">
        <v>270</v>
      </c>
      <c r="H10543" s="5">
        <v>2621</v>
      </c>
    </row>
    <row r="10544" spans="2:8" x14ac:dyDescent="0.4">
      <c r="B10544" s="3" t="s">
        <v>7</v>
      </c>
      <c r="C10544" s="3" t="s">
        <v>1625</v>
      </c>
      <c r="D10544" s="4">
        <f>DATE(2006,5,31)</f>
        <v>38868</v>
      </c>
      <c r="E10544" s="5">
        <f t="shared" si="173"/>
        <v>2006</v>
      </c>
      <c r="F10544" s="3" t="s">
        <v>1626</v>
      </c>
      <c r="G10544" s="6">
        <v>3595</v>
      </c>
      <c r="H10544" s="5">
        <v>6791</v>
      </c>
    </row>
    <row r="10545" spans="2:8" x14ac:dyDescent="0.4">
      <c r="B10545" s="3" t="s">
        <v>7</v>
      </c>
      <c r="C10545" s="3" t="s">
        <v>1625</v>
      </c>
      <c r="D10545" s="4">
        <f>DATE(2006,6,6)</f>
        <v>38874</v>
      </c>
      <c r="E10545" s="5">
        <f t="shared" si="173"/>
        <v>2006</v>
      </c>
      <c r="F10545" s="3" t="s">
        <v>1626</v>
      </c>
      <c r="G10545" s="6">
        <v>4348.8</v>
      </c>
      <c r="H10545" s="5">
        <v>6773</v>
      </c>
    </row>
    <row r="10546" spans="2:8" x14ac:dyDescent="0.4">
      <c r="B10546" s="3" t="s">
        <v>7</v>
      </c>
      <c r="C10546" s="3" t="s">
        <v>1625</v>
      </c>
      <c r="D10546" s="4">
        <f>DATE(2007,7,27)</f>
        <v>39290</v>
      </c>
      <c r="E10546" s="5">
        <f t="shared" si="173"/>
        <v>2007</v>
      </c>
      <c r="F10546" s="3" t="s">
        <v>1626</v>
      </c>
      <c r="G10546" s="6">
        <v>24981.37</v>
      </c>
      <c r="H10546" s="5">
        <v>8923</v>
      </c>
    </row>
    <row r="10547" spans="2:8" x14ac:dyDescent="0.4">
      <c r="B10547" s="3" t="s">
        <v>7</v>
      </c>
      <c r="C10547" s="3" t="s">
        <v>1625</v>
      </c>
      <c r="D10547" s="4">
        <f>DATE(2007,9,18)</f>
        <v>39343</v>
      </c>
      <c r="E10547" s="5">
        <f t="shared" si="173"/>
        <v>2007</v>
      </c>
      <c r="F10547" s="3" t="s">
        <v>1626</v>
      </c>
      <c r="G10547" s="6">
        <v>24351.06</v>
      </c>
      <c r="H10547" s="5">
        <v>9198</v>
      </c>
    </row>
    <row r="10548" spans="2:8" x14ac:dyDescent="0.4">
      <c r="B10548" s="3" t="s">
        <v>7</v>
      </c>
      <c r="C10548" s="3" t="s">
        <v>1625</v>
      </c>
      <c r="D10548" s="4">
        <f>DATE(2007,12,19)</f>
        <v>39435</v>
      </c>
      <c r="E10548" s="5">
        <f t="shared" si="173"/>
        <v>2007</v>
      </c>
      <c r="F10548" s="3" t="s">
        <v>1626</v>
      </c>
      <c r="G10548" s="6">
        <v>2985</v>
      </c>
      <c r="H10548" s="5">
        <v>9608</v>
      </c>
    </row>
    <row r="10549" spans="2:8" x14ac:dyDescent="0.4">
      <c r="B10549" s="3" t="s">
        <v>7</v>
      </c>
      <c r="C10549" s="3" t="s">
        <v>1625</v>
      </c>
      <c r="D10549" s="4">
        <f>DATE(2008,3,27)</f>
        <v>39534</v>
      </c>
      <c r="E10549" s="5">
        <f t="shared" si="173"/>
        <v>2008</v>
      </c>
      <c r="F10549" s="3" t="s">
        <v>1626</v>
      </c>
      <c r="G10549" s="6">
        <v>47100</v>
      </c>
      <c r="H10549" s="5">
        <v>10253</v>
      </c>
    </row>
    <row r="10550" spans="2:8" x14ac:dyDescent="0.4">
      <c r="B10550" s="3" t="s">
        <v>7</v>
      </c>
      <c r="C10550" s="3" t="s">
        <v>1625</v>
      </c>
      <c r="D10550" s="4">
        <f>DATE(2013,7,18)</f>
        <v>41473</v>
      </c>
      <c r="E10550" s="5">
        <f t="shared" si="173"/>
        <v>2013</v>
      </c>
      <c r="F10550" s="3" t="s">
        <v>1626</v>
      </c>
      <c r="G10550" s="6">
        <v>3005</v>
      </c>
      <c r="H10550" s="5">
        <v>18749</v>
      </c>
    </row>
    <row r="10551" spans="2:8" x14ac:dyDescent="0.4">
      <c r="B10551" s="3" t="s">
        <v>7</v>
      </c>
      <c r="C10551" s="3" t="s">
        <v>1625</v>
      </c>
      <c r="D10551" s="4">
        <f>DATE(2013,10,15)</f>
        <v>41562</v>
      </c>
      <c r="E10551" s="5">
        <f t="shared" si="173"/>
        <v>2013</v>
      </c>
      <c r="F10551" s="3" t="s">
        <v>1626</v>
      </c>
      <c r="G10551" s="6">
        <v>49.8</v>
      </c>
      <c r="H10551" s="5">
        <v>19093</v>
      </c>
    </row>
    <row r="10552" spans="2:8" x14ac:dyDescent="0.4">
      <c r="B10552" s="3" t="s">
        <v>7</v>
      </c>
      <c r="C10552" s="3" t="s">
        <v>1625</v>
      </c>
      <c r="D10552" s="4">
        <f>DATE(2013,11,8)</f>
        <v>41586</v>
      </c>
      <c r="E10552" s="5">
        <f t="shared" si="173"/>
        <v>2013</v>
      </c>
      <c r="F10552" s="3" t="s">
        <v>1626</v>
      </c>
      <c r="G10552" s="6">
        <v>77.08</v>
      </c>
      <c r="H10552" s="5">
        <v>19202</v>
      </c>
    </row>
    <row r="10553" spans="2:8" x14ac:dyDescent="0.4">
      <c r="B10553" s="3" t="s">
        <v>7</v>
      </c>
      <c r="C10553" s="3" t="s">
        <v>1625</v>
      </c>
      <c r="D10553" s="4">
        <f>DATE(2014,5,8)</f>
        <v>41767</v>
      </c>
      <c r="E10553" s="5">
        <f t="shared" si="173"/>
        <v>2014</v>
      </c>
      <c r="F10553" s="3" t="s">
        <v>1626</v>
      </c>
      <c r="G10553" s="6">
        <v>308.25</v>
      </c>
      <c r="H10553" s="5">
        <v>19941</v>
      </c>
    </row>
    <row r="10554" spans="2:8" x14ac:dyDescent="0.4">
      <c r="B10554" s="3" t="s">
        <v>7</v>
      </c>
      <c r="C10554" s="3" t="s">
        <v>138</v>
      </c>
      <c r="D10554" s="4">
        <f>DATE(2010,1,6)</f>
        <v>40184</v>
      </c>
      <c r="E10554" s="5">
        <f t="shared" si="173"/>
        <v>2010</v>
      </c>
      <c r="F10554" s="3" t="s">
        <v>1627</v>
      </c>
      <c r="G10554" s="6">
        <v>1934.47</v>
      </c>
      <c r="H10554" s="5">
        <v>3713</v>
      </c>
    </row>
    <row r="10555" spans="2:8" x14ac:dyDescent="0.4">
      <c r="B10555" s="3" t="s">
        <v>7</v>
      </c>
      <c r="C10555" s="3" t="s">
        <v>1628</v>
      </c>
      <c r="D10555" s="4">
        <f>DATE(2014,6,4)</f>
        <v>41794</v>
      </c>
      <c r="E10555" s="5">
        <f t="shared" si="173"/>
        <v>2014</v>
      </c>
      <c r="F10555" s="3" t="s">
        <v>1629</v>
      </c>
      <c r="G10555" s="6">
        <v>514.29999999999995</v>
      </c>
      <c r="H10555" s="5">
        <v>6229</v>
      </c>
    </row>
    <row r="10556" spans="2:8" x14ac:dyDescent="0.4">
      <c r="B10556" s="3" t="s">
        <v>7</v>
      </c>
      <c r="C10556" s="3" t="s">
        <v>1628</v>
      </c>
      <c r="D10556" s="4">
        <f>DATE(2014,6,12)</f>
        <v>41802</v>
      </c>
      <c r="E10556" s="5">
        <f t="shared" si="173"/>
        <v>2014</v>
      </c>
      <c r="F10556" s="3" t="s">
        <v>1629</v>
      </c>
      <c r="G10556" s="6">
        <v>2714.4</v>
      </c>
      <c r="H10556" s="5">
        <v>6189</v>
      </c>
    </row>
    <row r="10557" spans="2:8" x14ac:dyDescent="0.4">
      <c r="B10557" s="3" t="s">
        <v>7</v>
      </c>
      <c r="C10557" s="3" t="s">
        <v>1628</v>
      </c>
      <c r="D10557" s="4">
        <f>DATE(2014,6,20)</f>
        <v>41810</v>
      </c>
      <c r="E10557" s="5">
        <f t="shared" si="173"/>
        <v>2014</v>
      </c>
      <c r="F10557" s="3" t="s">
        <v>1629</v>
      </c>
      <c r="G10557" s="6">
        <v>1028.5999999999999</v>
      </c>
      <c r="H10557" s="5">
        <v>6247</v>
      </c>
    </row>
    <row r="10558" spans="2:8" x14ac:dyDescent="0.4">
      <c r="B10558" s="3" t="s">
        <v>7</v>
      </c>
      <c r="C10558" s="3" t="s">
        <v>1628</v>
      </c>
      <c r="D10558" s="4">
        <f>DATE(2014,6,20)</f>
        <v>41810</v>
      </c>
      <c r="E10558" s="5">
        <f t="shared" si="173"/>
        <v>2014</v>
      </c>
      <c r="F10558" s="3" t="s">
        <v>1629</v>
      </c>
      <c r="G10558" s="6">
        <v>61.41</v>
      </c>
      <c r="H10558" s="5">
        <v>6249</v>
      </c>
    </row>
    <row r="10559" spans="2:8" x14ac:dyDescent="0.4">
      <c r="B10559" s="3" t="s">
        <v>7</v>
      </c>
      <c r="C10559" s="3" t="s">
        <v>1628</v>
      </c>
      <c r="D10559" s="4">
        <f>DATE(2010,11,17)</f>
        <v>40499</v>
      </c>
      <c r="E10559" s="5">
        <f t="shared" si="173"/>
        <v>2010</v>
      </c>
      <c r="F10559" s="3" t="s">
        <v>1629</v>
      </c>
      <c r="G10559" s="6">
        <v>1322.5</v>
      </c>
      <c r="H10559" s="5">
        <v>14714</v>
      </c>
    </row>
    <row r="10560" spans="2:8" x14ac:dyDescent="0.4">
      <c r="B10560" s="3" t="s">
        <v>7</v>
      </c>
      <c r="C10560" s="3" t="s">
        <v>1628</v>
      </c>
      <c r="D10560" s="4">
        <f>DATE(2014,5,21)</f>
        <v>41780</v>
      </c>
      <c r="E10560" s="5">
        <f t="shared" si="173"/>
        <v>2014</v>
      </c>
      <c r="F10560" s="3" t="s">
        <v>1629</v>
      </c>
      <c r="G10560" s="6">
        <v>308.25</v>
      </c>
      <c r="H10560" s="5">
        <v>20000</v>
      </c>
    </row>
    <row r="10561" spans="2:8" x14ac:dyDescent="0.4">
      <c r="B10561" t="s">
        <v>7</v>
      </c>
      <c r="C10561" t="s">
        <v>1630</v>
      </c>
      <c r="D10561" s="7">
        <f>DATE(2009,5,29)</f>
        <v>39962</v>
      </c>
      <c r="E10561" s="8">
        <f t="shared" si="173"/>
        <v>2009</v>
      </c>
      <c r="F10561" t="s">
        <v>1631</v>
      </c>
      <c r="G10561" s="9">
        <v>23815.32</v>
      </c>
      <c r="H10561" s="8">
        <v>8608</v>
      </c>
    </row>
    <row r="10562" spans="2:8" x14ac:dyDescent="0.4">
      <c r="B10562" s="3" t="s">
        <v>7</v>
      </c>
      <c r="C10562" s="3" t="s">
        <v>1630</v>
      </c>
      <c r="D10562" s="4">
        <f>DATE(2003,3,28)</f>
        <v>37708</v>
      </c>
      <c r="E10562" s="5">
        <f t="shared" si="173"/>
        <v>2003</v>
      </c>
      <c r="F10562" s="3" t="s">
        <v>1631</v>
      </c>
      <c r="G10562" s="6">
        <v>506.75</v>
      </c>
      <c r="H10562" s="5">
        <v>654</v>
      </c>
    </row>
    <row r="10563" spans="2:8" x14ac:dyDescent="0.4">
      <c r="B10563" s="3" t="s">
        <v>7</v>
      </c>
      <c r="C10563" s="3" t="s">
        <v>1630</v>
      </c>
      <c r="D10563" s="4">
        <f>DATE(2005,10,13)</f>
        <v>38638</v>
      </c>
      <c r="E10563" s="5">
        <f t="shared" ref="E10563:E10626" si="174">YEAR(D10563)</f>
        <v>2005</v>
      </c>
      <c r="F10563" s="3" t="s">
        <v>1631</v>
      </c>
      <c r="G10563" s="6">
        <v>295.60000000000002</v>
      </c>
      <c r="H10563" s="5">
        <v>5386</v>
      </c>
    </row>
    <row r="10564" spans="2:8" x14ac:dyDescent="0.4">
      <c r="B10564" s="3" t="s">
        <v>7</v>
      </c>
      <c r="C10564" s="3" t="s">
        <v>1630</v>
      </c>
      <c r="D10564" s="4">
        <f>DATE(2006,1,12)</f>
        <v>38729</v>
      </c>
      <c r="E10564" s="5">
        <f t="shared" si="174"/>
        <v>2006</v>
      </c>
      <c r="F10564" s="3" t="s">
        <v>1631</v>
      </c>
      <c r="G10564" s="6">
        <v>379.6</v>
      </c>
      <c r="H10564" s="5">
        <v>5830</v>
      </c>
    </row>
    <row r="10565" spans="2:8" x14ac:dyDescent="0.4">
      <c r="B10565" s="3" t="s">
        <v>7</v>
      </c>
      <c r="C10565" s="3" t="s">
        <v>1630</v>
      </c>
      <c r="D10565" s="4">
        <f>DATE(2006,5,26)</f>
        <v>38863</v>
      </c>
      <c r="E10565" s="5">
        <f t="shared" si="174"/>
        <v>2006</v>
      </c>
      <c r="F10565" s="3" t="s">
        <v>1631</v>
      </c>
      <c r="G10565" s="6">
        <v>717.5</v>
      </c>
      <c r="H10565" s="5">
        <v>6775</v>
      </c>
    </row>
    <row r="10566" spans="2:8" x14ac:dyDescent="0.4">
      <c r="B10566" s="3" t="s">
        <v>7</v>
      </c>
      <c r="C10566" s="3" t="s">
        <v>1630</v>
      </c>
      <c r="D10566" s="4">
        <f>DATE(2006,12,6)</f>
        <v>39057</v>
      </c>
      <c r="E10566" s="5">
        <f t="shared" si="174"/>
        <v>2006</v>
      </c>
      <c r="F10566" s="3" t="s">
        <v>1631</v>
      </c>
      <c r="G10566" s="6">
        <v>642.53</v>
      </c>
      <c r="H10566" s="5">
        <v>7620</v>
      </c>
    </row>
    <row r="10567" spans="2:8" x14ac:dyDescent="0.4">
      <c r="B10567" s="3" t="s">
        <v>7</v>
      </c>
      <c r="C10567" s="3" t="s">
        <v>1630</v>
      </c>
      <c r="D10567" s="4">
        <f>DATE(2006,12,26)</f>
        <v>39077</v>
      </c>
      <c r="E10567" s="5">
        <f t="shared" si="174"/>
        <v>2006</v>
      </c>
      <c r="F10567" s="3" t="s">
        <v>1631</v>
      </c>
      <c r="G10567" s="6">
        <v>495.2</v>
      </c>
      <c r="H10567" s="5">
        <v>7682</v>
      </c>
    </row>
    <row r="10568" spans="2:8" x14ac:dyDescent="0.4">
      <c r="B10568" s="3" t="s">
        <v>7</v>
      </c>
      <c r="C10568" s="3" t="s">
        <v>1630</v>
      </c>
      <c r="D10568" s="4">
        <f>DATE(2007,3,9)</f>
        <v>39150</v>
      </c>
      <c r="E10568" s="5">
        <f t="shared" si="174"/>
        <v>2007</v>
      </c>
      <c r="F10568" s="3" t="s">
        <v>1631</v>
      </c>
      <c r="G10568" s="6">
        <v>469</v>
      </c>
      <c r="H10568" s="5">
        <v>8117</v>
      </c>
    </row>
    <row r="10569" spans="2:8" x14ac:dyDescent="0.4">
      <c r="B10569" s="3" t="s">
        <v>7</v>
      </c>
      <c r="C10569" s="3" t="s">
        <v>1630</v>
      </c>
      <c r="D10569" s="4">
        <f>DATE(2008,2,19)</f>
        <v>39497</v>
      </c>
      <c r="E10569" s="5">
        <f t="shared" si="174"/>
        <v>2008</v>
      </c>
      <c r="F10569" s="3" t="s">
        <v>1631</v>
      </c>
      <c r="G10569" s="6">
        <v>938</v>
      </c>
      <c r="H10569" s="5">
        <v>9977</v>
      </c>
    </row>
    <row r="10570" spans="2:8" x14ac:dyDescent="0.4">
      <c r="B10570" s="3" t="s">
        <v>7</v>
      </c>
      <c r="C10570" s="3" t="s">
        <v>1630</v>
      </c>
      <c r="D10570" s="4">
        <f>DATE(2008,9,19)</f>
        <v>39710</v>
      </c>
      <c r="E10570" s="5">
        <f t="shared" si="174"/>
        <v>2008</v>
      </c>
      <c r="F10570" s="3" t="s">
        <v>1631</v>
      </c>
      <c r="G10570" s="6">
        <v>938</v>
      </c>
      <c r="H10570" s="5">
        <v>11283</v>
      </c>
    </row>
    <row r="10571" spans="2:8" x14ac:dyDescent="0.4">
      <c r="B10571" s="3" t="s">
        <v>7</v>
      </c>
      <c r="C10571" s="3" t="s">
        <v>1630</v>
      </c>
      <c r="D10571" s="4">
        <f>DATE(2009,9,29)</f>
        <v>40085</v>
      </c>
      <c r="E10571" s="5">
        <f t="shared" si="174"/>
        <v>2009</v>
      </c>
      <c r="F10571" s="3" t="s">
        <v>1631</v>
      </c>
      <c r="G10571" s="6">
        <v>1046</v>
      </c>
      <c r="H10571" s="5">
        <v>13053</v>
      </c>
    </row>
    <row r="10572" spans="2:8" x14ac:dyDescent="0.4">
      <c r="B10572" s="3" t="s">
        <v>7</v>
      </c>
      <c r="C10572" s="3" t="s">
        <v>1630</v>
      </c>
      <c r="D10572" s="4">
        <f>DATE(2009,10,15)</f>
        <v>40101</v>
      </c>
      <c r="E10572" s="5">
        <f t="shared" si="174"/>
        <v>2009</v>
      </c>
      <c r="F10572" s="3" t="s">
        <v>1631</v>
      </c>
      <c r="G10572" s="6">
        <v>938</v>
      </c>
      <c r="H10572" s="5">
        <v>13152</v>
      </c>
    </row>
    <row r="10573" spans="2:8" x14ac:dyDescent="0.4">
      <c r="B10573" s="3" t="s">
        <v>7</v>
      </c>
      <c r="C10573" s="3" t="s">
        <v>1630</v>
      </c>
      <c r="D10573" s="4">
        <f>DATE(2009,10,29)</f>
        <v>40115</v>
      </c>
      <c r="E10573" s="5">
        <f t="shared" si="174"/>
        <v>2009</v>
      </c>
      <c r="F10573" s="3" t="s">
        <v>1631</v>
      </c>
      <c r="G10573" s="6">
        <v>256</v>
      </c>
      <c r="H10573" s="5">
        <v>13189</v>
      </c>
    </row>
    <row r="10574" spans="2:8" x14ac:dyDescent="0.4">
      <c r="B10574" s="3" t="s">
        <v>7</v>
      </c>
      <c r="C10574" s="3" t="s">
        <v>1630</v>
      </c>
      <c r="D10574" s="4">
        <f>DATE(2010,4,21)</f>
        <v>40289</v>
      </c>
      <c r="E10574" s="5">
        <f t="shared" si="174"/>
        <v>2010</v>
      </c>
      <c r="F10574" s="3" t="s">
        <v>1631</v>
      </c>
      <c r="G10574" s="6">
        <v>4690</v>
      </c>
      <c r="H10574" s="5">
        <v>13934</v>
      </c>
    </row>
    <row r="10575" spans="2:8" x14ac:dyDescent="0.4">
      <c r="B10575" s="3" t="s">
        <v>16</v>
      </c>
      <c r="C10575" s="3" t="s">
        <v>1630</v>
      </c>
      <c r="D10575" s="4">
        <f>DATE(2009,10,16)</f>
        <v>40102</v>
      </c>
      <c r="E10575" s="5">
        <f t="shared" si="174"/>
        <v>2009</v>
      </c>
      <c r="F10575" s="3" t="s">
        <v>1631</v>
      </c>
      <c r="G10575" s="6">
        <v>1046</v>
      </c>
      <c r="H10575" s="5">
        <v>13103</v>
      </c>
    </row>
    <row r="10576" spans="2:8" x14ac:dyDescent="0.4">
      <c r="B10576" s="3" t="s">
        <v>7</v>
      </c>
      <c r="C10576" s="3" t="s">
        <v>1632</v>
      </c>
      <c r="D10576" s="4">
        <f>DATE(2010,7,21)</f>
        <v>40380</v>
      </c>
      <c r="E10576" s="5">
        <f t="shared" si="174"/>
        <v>2010</v>
      </c>
      <c r="F10576" s="3" t="s">
        <v>1633</v>
      </c>
      <c r="G10576" s="6">
        <v>18329.57</v>
      </c>
      <c r="H10576" s="5">
        <v>4006</v>
      </c>
    </row>
    <row r="10577" spans="2:8" x14ac:dyDescent="0.4">
      <c r="B10577" s="3" t="s">
        <v>7</v>
      </c>
      <c r="C10577" s="3" t="s">
        <v>1634</v>
      </c>
      <c r="D10577" s="4">
        <f>DATE(2011,1,31)</f>
        <v>40574</v>
      </c>
      <c r="E10577" s="5">
        <f t="shared" si="174"/>
        <v>2011</v>
      </c>
      <c r="F10577" s="3" t="s">
        <v>1635</v>
      </c>
      <c r="G10577" s="6">
        <v>3749.95</v>
      </c>
      <c r="H10577" s="5">
        <v>4281</v>
      </c>
    </row>
    <row r="10578" spans="2:8" x14ac:dyDescent="0.4">
      <c r="B10578" s="3" t="s">
        <v>7</v>
      </c>
      <c r="C10578" s="3" t="s">
        <v>1634</v>
      </c>
      <c r="D10578" s="4">
        <f>DATE(2011,1,31)</f>
        <v>40574</v>
      </c>
      <c r="E10578" s="5">
        <f t="shared" si="174"/>
        <v>2011</v>
      </c>
      <c r="F10578" s="3" t="s">
        <v>1635</v>
      </c>
      <c r="G10578" s="6">
        <v>3442.5</v>
      </c>
      <c r="H10578" s="5">
        <v>4263</v>
      </c>
    </row>
    <row r="10579" spans="2:8" x14ac:dyDescent="0.4">
      <c r="B10579" t="s">
        <v>7</v>
      </c>
      <c r="C10579" t="s">
        <v>1636</v>
      </c>
      <c r="D10579" s="7">
        <f>DATE(2016,7,6)</f>
        <v>42557</v>
      </c>
      <c r="E10579" s="8">
        <f t="shared" si="174"/>
        <v>2016</v>
      </c>
      <c r="F10579" t="s">
        <v>1637</v>
      </c>
      <c r="G10579" s="9">
        <v>3429</v>
      </c>
      <c r="H10579" s="8">
        <v>22984</v>
      </c>
    </row>
    <row r="10580" spans="2:8" x14ac:dyDescent="0.4">
      <c r="B10580" t="s">
        <v>7</v>
      </c>
      <c r="C10580" t="s">
        <v>1636</v>
      </c>
      <c r="D10580" s="7">
        <f>DATE(2008,7,4)</f>
        <v>39633</v>
      </c>
      <c r="E10580" s="8">
        <f t="shared" si="174"/>
        <v>2008</v>
      </c>
      <c r="F10580" t="s">
        <v>1637</v>
      </c>
      <c r="G10580" s="9">
        <v>5120.2700000000004</v>
      </c>
      <c r="H10580" s="8">
        <v>7599</v>
      </c>
    </row>
    <row r="10581" spans="2:8" x14ac:dyDescent="0.4">
      <c r="B10581" t="s">
        <v>7</v>
      </c>
      <c r="C10581" t="s">
        <v>1636</v>
      </c>
      <c r="D10581" s="7">
        <f>DATE(2010,7,30)</f>
        <v>40389</v>
      </c>
      <c r="E10581" s="8">
        <f t="shared" si="174"/>
        <v>2010</v>
      </c>
      <c r="F10581" t="s">
        <v>1637</v>
      </c>
      <c r="G10581" s="9">
        <v>33489</v>
      </c>
      <c r="H10581" s="8">
        <v>9994</v>
      </c>
    </row>
    <row r="10582" spans="2:8" x14ac:dyDescent="0.4">
      <c r="B10582" t="s">
        <v>7</v>
      </c>
      <c r="C10582" t="s">
        <v>1636</v>
      </c>
      <c r="D10582" s="7">
        <f>DATE(2011,4,29)</f>
        <v>40662</v>
      </c>
      <c r="E10582" s="8">
        <f t="shared" si="174"/>
        <v>2011</v>
      </c>
      <c r="F10582" t="s">
        <v>1637</v>
      </c>
      <c r="G10582" s="9">
        <v>39475</v>
      </c>
      <c r="H10582" s="8">
        <v>10605</v>
      </c>
    </row>
    <row r="10583" spans="2:8" x14ac:dyDescent="0.4">
      <c r="B10583" t="s">
        <v>7</v>
      </c>
      <c r="C10583" t="s">
        <v>1636</v>
      </c>
      <c r="D10583" s="7">
        <f>DATE(2011,7,18)</f>
        <v>40742</v>
      </c>
      <c r="E10583" s="8">
        <f t="shared" si="174"/>
        <v>2011</v>
      </c>
      <c r="F10583" t="s">
        <v>1637</v>
      </c>
      <c r="G10583" s="9">
        <v>28400</v>
      </c>
      <c r="H10583" s="8">
        <v>10862</v>
      </c>
    </row>
    <row r="10584" spans="2:8" x14ac:dyDescent="0.4">
      <c r="B10584" s="3" t="s">
        <v>7</v>
      </c>
      <c r="C10584" s="3" t="s">
        <v>1636</v>
      </c>
      <c r="D10584" s="4">
        <f>DATE(2011,9,1)</f>
        <v>40787</v>
      </c>
      <c r="E10584" s="5">
        <f t="shared" si="174"/>
        <v>2011</v>
      </c>
      <c r="F10584" s="3" t="s">
        <v>1637</v>
      </c>
      <c r="G10584" s="6">
        <v>167247.57</v>
      </c>
      <c r="H10584" s="5">
        <v>15680</v>
      </c>
    </row>
    <row r="10585" spans="2:8" x14ac:dyDescent="0.4">
      <c r="B10585" s="3" t="s">
        <v>7</v>
      </c>
      <c r="C10585" s="3" t="s">
        <v>1636</v>
      </c>
      <c r="D10585" s="4">
        <f>DATE(2011,10,17)</f>
        <v>40833</v>
      </c>
      <c r="E10585" s="5">
        <f t="shared" si="174"/>
        <v>2011</v>
      </c>
      <c r="F10585" s="3" t="s">
        <v>1637</v>
      </c>
      <c r="G10585" s="6">
        <v>171</v>
      </c>
      <c r="H10585" s="5">
        <v>16094</v>
      </c>
    </row>
    <row r="10586" spans="2:8" x14ac:dyDescent="0.4">
      <c r="B10586" t="s">
        <v>7</v>
      </c>
      <c r="C10586" t="s">
        <v>1638</v>
      </c>
      <c r="D10586" s="7">
        <f>DATE(2015,11,9)</f>
        <v>42317</v>
      </c>
      <c r="E10586" s="8">
        <f t="shared" si="174"/>
        <v>2015</v>
      </c>
      <c r="F10586" t="s">
        <v>1639</v>
      </c>
      <c r="G10586" s="9">
        <v>155.91999999999999</v>
      </c>
      <c r="H10586" s="8">
        <v>21575</v>
      </c>
    </row>
    <row r="10587" spans="2:8" x14ac:dyDescent="0.4">
      <c r="B10587" s="3" t="s">
        <v>7</v>
      </c>
      <c r="C10587" s="3" t="s">
        <v>1640</v>
      </c>
      <c r="D10587" s="4">
        <f>DATE(2011,5,12)</f>
        <v>40675</v>
      </c>
      <c r="E10587" s="5">
        <f t="shared" si="174"/>
        <v>2011</v>
      </c>
      <c r="F10587" s="3" t="s">
        <v>1641</v>
      </c>
      <c r="G10587" s="6">
        <v>50.61</v>
      </c>
      <c r="H10587" s="5">
        <v>15544</v>
      </c>
    </row>
    <row r="10588" spans="2:8" x14ac:dyDescent="0.4">
      <c r="B10588" s="3" t="s">
        <v>7</v>
      </c>
      <c r="C10588" s="3" t="s">
        <v>1640</v>
      </c>
      <c r="D10588" s="4">
        <f>DATE(2013,4,29)</f>
        <v>41393</v>
      </c>
      <c r="E10588" s="5">
        <f t="shared" si="174"/>
        <v>2013</v>
      </c>
      <c r="F10588" s="3" t="s">
        <v>1641</v>
      </c>
      <c r="G10588" s="6">
        <v>47.3</v>
      </c>
      <c r="H10588" s="5">
        <v>18517</v>
      </c>
    </row>
    <row r="10589" spans="2:8" x14ac:dyDescent="0.4">
      <c r="B10589" s="3" t="s">
        <v>7</v>
      </c>
      <c r="C10589" s="3" t="s">
        <v>1640</v>
      </c>
      <c r="D10589" s="4">
        <f>DATE(2013,4,29)</f>
        <v>41393</v>
      </c>
      <c r="E10589" s="5">
        <f t="shared" si="174"/>
        <v>2013</v>
      </c>
      <c r="F10589" s="3" t="s">
        <v>1641</v>
      </c>
      <c r="G10589" s="6">
        <v>50.61</v>
      </c>
      <c r="H10589" s="5">
        <v>18537</v>
      </c>
    </row>
    <row r="10590" spans="2:8" x14ac:dyDescent="0.4">
      <c r="B10590" s="3" t="s">
        <v>7</v>
      </c>
      <c r="C10590" s="3" t="s">
        <v>1640</v>
      </c>
      <c r="D10590" s="4">
        <f>DATE(2013,5,9)</f>
        <v>41403</v>
      </c>
      <c r="E10590" s="5">
        <f t="shared" si="174"/>
        <v>2013</v>
      </c>
      <c r="F10590" s="3" t="s">
        <v>1641</v>
      </c>
      <c r="G10590" s="6">
        <v>60.74</v>
      </c>
      <c r="H10590" s="5">
        <v>18556</v>
      </c>
    </row>
    <row r="10591" spans="2:8" x14ac:dyDescent="0.4">
      <c r="B10591" s="3" t="s">
        <v>16</v>
      </c>
      <c r="C10591" s="3" t="s">
        <v>1640</v>
      </c>
      <c r="D10591" s="4">
        <f>DATE(2013,4,29)</f>
        <v>41393</v>
      </c>
      <c r="E10591" s="5">
        <f t="shared" si="174"/>
        <v>2013</v>
      </c>
      <c r="F10591" s="3" t="s">
        <v>1641</v>
      </c>
      <c r="G10591" s="6">
        <v>47.3</v>
      </c>
      <c r="H10591" s="5">
        <v>18536</v>
      </c>
    </row>
    <row r="10592" spans="2:8" x14ac:dyDescent="0.4">
      <c r="B10592" s="3" t="s">
        <v>7</v>
      </c>
      <c r="C10592" s="3" t="s">
        <v>1642</v>
      </c>
      <c r="D10592" s="4">
        <f>DATE(2012,5,14)</f>
        <v>41043</v>
      </c>
      <c r="E10592" s="5">
        <f t="shared" si="174"/>
        <v>2012</v>
      </c>
      <c r="F10592" s="3" t="s">
        <v>1643</v>
      </c>
      <c r="G10592" s="6">
        <v>5687.77</v>
      </c>
      <c r="H10592" s="5">
        <v>5078</v>
      </c>
    </row>
    <row r="10593" spans="2:8" x14ac:dyDescent="0.4">
      <c r="B10593" t="s">
        <v>7</v>
      </c>
      <c r="C10593" t="s">
        <v>1644</v>
      </c>
      <c r="D10593" s="7">
        <f>DATE(2003,6,4)</f>
        <v>37776</v>
      </c>
      <c r="E10593" s="8">
        <f t="shared" si="174"/>
        <v>2003</v>
      </c>
      <c r="F10593" t="s">
        <v>1645</v>
      </c>
      <c r="G10593" s="9">
        <v>5001.54</v>
      </c>
      <c r="H10593" s="8">
        <v>645</v>
      </c>
    </row>
    <row r="10594" spans="2:8" x14ac:dyDescent="0.4">
      <c r="B10594" t="s">
        <v>7</v>
      </c>
      <c r="C10594" t="s">
        <v>1644</v>
      </c>
      <c r="D10594" s="7">
        <f>DATE(2007,2,11)</f>
        <v>39124</v>
      </c>
      <c r="E10594" s="8">
        <f t="shared" si="174"/>
        <v>2007</v>
      </c>
      <c r="F10594" t="s">
        <v>1645</v>
      </c>
      <c r="G10594" s="9">
        <v>6636.01</v>
      </c>
      <c r="H10594" s="8">
        <v>5525</v>
      </c>
    </row>
    <row r="10595" spans="2:8" x14ac:dyDescent="0.4">
      <c r="B10595" t="s">
        <v>7</v>
      </c>
      <c r="C10595" t="s">
        <v>1644</v>
      </c>
      <c r="D10595" s="7">
        <f>DATE(2008,2,12)</f>
        <v>39490</v>
      </c>
      <c r="E10595" s="8">
        <f t="shared" si="174"/>
        <v>2008</v>
      </c>
      <c r="F10595" t="s">
        <v>1645</v>
      </c>
      <c r="G10595" s="9">
        <v>6098.81</v>
      </c>
      <c r="H10595" s="8">
        <v>6937</v>
      </c>
    </row>
    <row r="10596" spans="2:8" x14ac:dyDescent="0.4">
      <c r="B10596" t="s">
        <v>7</v>
      </c>
      <c r="C10596" t="s">
        <v>1644</v>
      </c>
      <c r="D10596" s="7">
        <f>DATE(2009,4,8)</f>
        <v>39911</v>
      </c>
      <c r="E10596" s="8">
        <f t="shared" si="174"/>
        <v>2009</v>
      </c>
      <c r="F10596" t="s">
        <v>1645</v>
      </c>
      <c r="G10596" s="9">
        <v>22766</v>
      </c>
      <c r="H10596" s="8">
        <v>8223</v>
      </c>
    </row>
    <row r="10597" spans="2:8" x14ac:dyDescent="0.4">
      <c r="B10597" t="s">
        <v>7</v>
      </c>
      <c r="C10597" t="s">
        <v>1644</v>
      </c>
      <c r="D10597" s="7">
        <f>DATE(2011,2,3)</f>
        <v>40577</v>
      </c>
      <c r="E10597" s="8">
        <f t="shared" si="174"/>
        <v>2011</v>
      </c>
      <c r="F10597" t="s">
        <v>1645</v>
      </c>
      <c r="G10597" s="9">
        <v>10316.18</v>
      </c>
      <c r="H10597" s="8">
        <v>10437</v>
      </c>
    </row>
    <row r="10598" spans="2:8" x14ac:dyDescent="0.4">
      <c r="B10598" s="3" t="s">
        <v>7</v>
      </c>
      <c r="C10598" s="3" t="s">
        <v>1644</v>
      </c>
      <c r="D10598" s="4">
        <f>DATE(2006,5,12)</f>
        <v>38849</v>
      </c>
      <c r="E10598" s="5">
        <f t="shared" si="174"/>
        <v>2006</v>
      </c>
      <c r="F10598" s="3" t="s">
        <v>1645</v>
      </c>
      <c r="G10598" s="6">
        <v>8754.9</v>
      </c>
      <c r="H10598" s="5">
        <v>6682</v>
      </c>
    </row>
    <row r="10599" spans="2:8" x14ac:dyDescent="0.4">
      <c r="B10599" s="3" t="s">
        <v>7</v>
      </c>
      <c r="C10599" s="3" t="s">
        <v>1644</v>
      </c>
      <c r="D10599" s="4">
        <f>DATE(2007,3,27)</f>
        <v>39168</v>
      </c>
      <c r="E10599" s="5">
        <f t="shared" si="174"/>
        <v>2007</v>
      </c>
      <c r="F10599" s="3" t="s">
        <v>1645</v>
      </c>
      <c r="G10599" s="6">
        <v>367.18</v>
      </c>
      <c r="H10599" s="5">
        <v>8257</v>
      </c>
    </row>
    <row r="10600" spans="2:8" x14ac:dyDescent="0.4">
      <c r="B10600" s="3" t="s">
        <v>7</v>
      </c>
      <c r="C10600" s="3" t="s">
        <v>1644</v>
      </c>
      <c r="D10600" s="4">
        <f>DATE(2009,4,23)</f>
        <v>39926</v>
      </c>
      <c r="E10600" s="5">
        <f t="shared" si="174"/>
        <v>2009</v>
      </c>
      <c r="F10600" s="3" t="s">
        <v>1645</v>
      </c>
      <c r="G10600" s="6">
        <v>3750</v>
      </c>
      <c r="H10600" s="5">
        <v>11814</v>
      </c>
    </row>
    <row r="10601" spans="2:8" x14ac:dyDescent="0.4">
      <c r="B10601" s="3" t="s">
        <v>7</v>
      </c>
      <c r="C10601" s="3" t="s">
        <v>1644</v>
      </c>
      <c r="D10601" s="4">
        <f>DATE(2012,6,15)</f>
        <v>41075</v>
      </c>
      <c r="E10601" s="5">
        <f t="shared" si="174"/>
        <v>2012</v>
      </c>
      <c r="F10601" s="3" t="s">
        <v>1645</v>
      </c>
      <c r="G10601" s="6">
        <v>95.28</v>
      </c>
      <c r="H10601" s="5">
        <v>17267</v>
      </c>
    </row>
    <row r="10602" spans="2:8" x14ac:dyDescent="0.4">
      <c r="B10602" t="s">
        <v>7</v>
      </c>
      <c r="C10602" t="s">
        <v>1644</v>
      </c>
      <c r="D10602" s="7">
        <f>DATE(2005,2,23)</f>
        <v>38406</v>
      </c>
      <c r="E10602" s="8">
        <f t="shared" si="174"/>
        <v>2005</v>
      </c>
      <c r="F10602" t="s">
        <v>1645</v>
      </c>
      <c r="G10602" s="9">
        <v>9300</v>
      </c>
      <c r="H10602" s="8">
        <v>59</v>
      </c>
    </row>
    <row r="10603" spans="2:8" x14ac:dyDescent="0.4">
      <c r="B10603" t="s">
        <v>7</v>
      </c>
      <c r="C10603" t="s">
        <v>1644</v>
      </c>
      <c r="D10603" s="7">
        <f>DATE(2006,5,21)</f>
        <v>38858</v>
      </c>
      <c r="E10603" s="8">
        <f t="shared" si="174"/>
        <v>2006</v>
      </c>
      <c r="F10603" t="s">
        <v>1645</v>
      </c>
      <c r="G10603" s="9">
        <v>40946.160000000003</v>
      </c>
      <c r="H10603" s="8">
        <v>116</v>
      </c>
    </row>
    <row r="10604" spans="2:8" x14ac:dyDescent="0.4">
      <c r="B10604" t="s">
        <v>7</v>
      </c>
      <c r="C10604" t="s">
        <v>1644</v>
      </c>
      <c r="D10604" s="7">
        <f>DATE(2007,4,1)</f>
        <v>39173</v>
      </c>
      <c r="E10604" s="8">
        <f t="shared" si="174"/>
        <v>2007</v>
      </c>
      <c r="F10604" t="s">
        <v>1645</v>
      </c>
      <c r="G10604" s="9">
        <v>10021.01</v>
      </c>
      <c r="H10604" s="8">
        <v>123</v>
      </c>
    </row>
    <row r="10605" spans="2:8" x14ac:dyDescent="0.4">
      <c r="B10605" t="s">
        <v>7</v>
      </c>
      <c r="C10605" t="s">
        <v>1644</v>
      </c>
      <c r="D10605" s="7">
        <f>DATE(2008,3,31)</f>
        <v>39538</v>
      </c>
      <c r="E10605" s="8">
        <f t="shared" si="174"/>
        <v>2008</v>
      </c>
      <c r="F10605" t="s">
        <v>1645</v>
      </c>
      <c r="G10605" s="9">
        <v>22851.7</v>
      </c>
      <c r="H10605" s="8">
        <v>158</v>
      </c>
    </row>
    <row r="10606" spans="2:8" x14ac:dyDescent="0.4">
      <c r="B10606" t="s">
        <v>7</v>
      </c>
      <c r="C10606" t="s">
        <v>1644</v>
      </c>
      <c r="D10606" s="7">
        <f>DATE(2009,3,27)</f>
        <v>39899</v>
      </c>
      <c r="E10606" s="8">
        <f t="shared" si="174"/>
        <v>2009</v>
      </c>
      <c r="F10606" t="s">
        <v>1645</v>
      </c>
      <c r="G10606" s="9">
        <v>36910.660000000003</v>
      </c>
      <c r="H10606" s="8">
        <v>190</v>
      </c>
    </row>
    <row r="10607" spans="2:8" x14ac:dyDescent="0.4">
      <c r="B10607" t="s">
        <v>7</v>
      </c>
      <c r="C10607" t="s">
        <v>1644</v>
      </c>
      <c r="D10607" s="7">
        <f>DATE(2010,4,27)</f>
        <v>40295</v>
      </c>
      <c r="E10607" s="8">
        <f t="shared" si="174"/>
        <v>2010</v>
      </c>
      <c r="F10607" t="s">
        <v>1645</v>
      </c>
      <c r="G10607" s="9">
        <v>33549.440000000002</v>
      </c>
      <c r="H10607" s="8">
        <v>244</v>
      </c>
    </row>
    <row r="10608" spans="2:8" x14ac:dyDescent="0.4">
      <c r="B10608" t="s">
        <v>7</v>
      </c>
      <c r="C10608" t="s">
        <v>1644</v>
      </c>
      <c r="D10608" s="7">
        <f>DATE(2012,5,7)</f>
        <v>41036</v>
      </c>
      <c r="E10608" s="8">
        <f t="shared" si="174"/>
        <v>2012</v>
      </c>
      <c r="F10608" t="s">
        <v>1645</v>
      </c>
      <c r="G10608" s="9">
        <v>33586.269999999997</v>
      </c>
      <c r="H10608" s="8">
        <v>298</v>
      </c>
    </row>
    <row r="10609" spans="2:8" x14ac:dyDescent="0.4">
      <c r="B10609" t="s">
        <v>7</v>
      </c>
      <c r="C10609" t="s">
        <v>1646</v>
      </c>
      <c r="D10609" s="7">
        <f>DATE(2016,7,1)</f>
        <v>42552</v>
      </c>
      <c r="E10609" s="8">
        <f t="shared" si="174"/>
        <v>2016</v>
      </c>
      <c r="F10609" t="s">
        <v>1647</v>
      </c>
      <c r="G10609" s="9">
        <v>39821</v>
      </c>
      <c r="H10609" s="8">
        <v>22945</v>
      </c>
    </row>
    <row r="10610" spans="2:8" x14ac:dyDescent="0.4">
      <c r="B10610" t="s">
        <v>7</v>
      </c>
      <c r="C10610" t="s">
        <v>1646</v>
      </c>
      <c r="D10610" s="7">
        <f>DATE(2017,3,23)</f>
        <v>42817</v>
      </c>
      <c r="E10610" s="8">
        <f t="shared" si="174"/>
        <v>2017</v>
      </c>
      <c r="F10610" t="s">
        <v>1647</v>
      </c>
      <c r="G10610" s="9">
        <v>18876</v>
      </c>
      <c r="H10610" s="8">
        <v>24341</v>
      </c>
    </row>
    <row r="10611" spans="2:8" x14ac:dyDescent="0.4">
      <c r="B10611" t="s">
        <v>7</v>
      </c>
      <c r="C10611" t="s">
        <v>1646</v>
      </c>
      <c r="D10611" s="7">
        <f>DATE(2017,7,3)</f>
        <v>42919</v>
      </c>
      <c r="E10611" s="8">
        <f t="shared" si="174"/>
        <v>2017</v>
      </c>
      <c r="F10611" t="s">
        <v>1647</v>
      </c>
      <c r="G10611" s="9">
        <v>18676</v>
      </c>
      <c r="H10611" s="8">
        <v>25145</v>
      </c>
    </row>
    <row r="10612" spans="2:8" x14ac:dyDescent="0.4">
      <c r="B10612" t="s">
        <v>7</v>
      </c>
      <c r="C10612" t="s">
        <v>1646</v>
      </c>
      <c r="D10612" s="7">
        <f>DATE(2018,6,22)</f>
        <v>43273</v>
      </c>
      <c r="E10612" s="8">
        <f t="shared" si="174"/>
        <v>2018</v>
      </c>
      <c r="F10612" t="s">
        <v>1647</v>
      </c>
      <c r="G10612" s="9">
        <v>18694</v>
      </c>
      <c r="H10612" s="8">
        <v>27109</v>
      </c>
    </row>
    <row r="10613" spans="2:8" x14ac:dyDescent="0.4">
      <c r="B10613" t="s">
        <v>7</v>
      </c>
      <c r="C10613" t="s">
        <v>1646</v>
      </c>
      <c r="D10613" s="7">
        <f>DATE(2016,3,30)</f>
        <v>42459</v>
      </c>
      <c r="E10613" s="8">
        <f t="shared" si="174"/>
        <v>2016</v>
      </c>
      <c r="F10613" t="s">
        <v>1647</v>
      </c>
      <c r="G10613" s="9">
        <v>10105.08</v>
      </c>
      <c r="H10613" s="8">
        <v>22455</v>
      </c>
    </row>
    <row r="10614" spans="2:8" x14ac:dyDescent="0.4">
      <c r="B10614" t="s">
        <v>7</v>
      </c>
      <c r="C10614" t="s">
        <v>1646</v>
      </c>
      <c r="D10614" s="7">
        <f>DATE(2017,4,5)</f>
        <v>42830</v>
      </c>
      <c r="E10614" s="8">
        <f t="shared" si="174"/>
        <v>2017</v>
      </c>
      <c r="F10614" t="s">
        <v>1647</v>
      </c>
      <c r="G10614" s="9">
        <v>10083.469999999999</v>
      </c>
      <c r="H10614" s="8">
        <v>24566</v>
      </c>
    </row>
    <row r="10615" spans="2:8" x14ac:dyDescent="0.4">
      <c r="B10615" s="3" t="s">
        <v>7</v>
      </c>
      <c r="C10615" s="3" t="s">
        <v>1648</v>
      </c>
      <c r="D10615" s="4">
        <f>DATE(2011,3,18)</f>
        <v>40620</v>
      </c>
      <c r="E10615" s="5">
        <f t="shared" si="174"/>
        <v>2011</v>
      </c>
      <c r="F10615" s="3" t="s">
        <v>1649</v>
      </c>
      <c r="G10615" s="6">
        <v>94.5</v>
      </c>
      <c r="H10615" s="5">
        <v>15278</v>
      </c>
    </row>
    <row r="10616" spans="2:8" x14ac:dyDescent="0.4">
      <c r="B10616" s="3" t="s">
        <v>7</v>
      </c>
      <c r="C10616" s="3" t="s">
        <v>1648</v>
      </c>
      <c r="D10616" s="4">
        <f>DATE(2012,10,9)</f>
        <v>41191</v>
      </c>
      <c r="E10616" s="5">
        <f t="shared" si="174"/>
        <v>2012</v>
      </c>
      <c r="F10616" s="3" t="s">
        <v>1649</v>
      </c>
      <c r="G10616" s="6">
        <v>2300</v>
      </c>
      <c r="H10616" s="5">
        <v>17683</v>
      </c>
    </row>
    <row r="10617" spans="2:8" x14ac:dyDescent="0.4">
      <c r="B10617" t="s">
        <v>7</v>
      </c>
      <c r="C10617" t="s">
        <v>1648</v>
      </c>
      <c r="D10617" s="7">
        <f>DATE(2007,11,1)</f>
        <v>39387</v>
      </c>
      <c r="E10617" s="8">
        <f t="shared" si="174"/>
        <v>2007</v>
      </c>
      <c r="F10617" t="s">
        <v>1650</v>
      </c>
      <c r="G10617" s="9">
        <v>53670.73</v>
      </c>
      <c r="H10617" s="8">
        <v>6524</v>
      </c>
    </row>
    <row r="10618" spans="2:8" x14ac:dyDescent="0.4">
      <c r="B10618" s="3" t="s">
        <v>7</v>
      </c>
      <c r="C10618" s="3" t="s">
        <v>1648</v>
      </c>
      <c r="D10618" s="4">
        <f>DATE(2008,1,17)</f>
        <v>39464</v>
      </c>
      <c r="E10618" s="5">
        <f t="shared" si="174"/>
        <v>2008</v>
      </c>
      <c r="F10618" s="3" t="s">
        <v>1650</v>
      </c>
      <c r="G10618" s="6">
        <v>2300</v>
      </c>
      <c r="H10618" s="5">
        <v>9743</v>
      </c>
    </row>
    <row r="10619" spans="2:8" x14ac:dyDescent="0.4">
      <c r="B10619" t="s">
        <v>7</v>
      </c>
      <c r="C10619" t="s">
        <v>1651</v>
      </c>
      <c r="D10619" s="7">
        <f>DATE(2018,3,6)</f>
        <v>43165</v>
      </c>
      <c r="E10619" s="8">
        <f t="shared" si="174"/>
        <v>2018</v>
      </c>
      <c r="F10619" t="s">
        <v>1652</v>
      </c>
      <c r="G10619" s="9">
        <v>56163.34</v>
      </c>
      <c r="H10619" s="8">
        <v>26503</v>
      </c>
    </row>
    <row r="10620" spans="2:8" x14ac:dyDescent="0.4">
      <c r="B10620" t="s">
        <v>7</v>
      </c>
      <c r="C10620" t="s">
        <v>1651</v>
      </c>
      <c r="D10620" s="7">
        <f>DATE(2017,8,10)</f>
        <v>42957</v>
      </c>
      <c r="E10620" s="8">
        <f t="shared" si="174"/>
        <v>2017</v>
      </c>
      <c r="F10620" t="s">
        <v>1653</v>
      </c>
      <c r="G10620" s="9">
        <v>37615.949999999997</v>
      </c>
      <c r="H10620" s="8">
        <v>25335</v>
      </c>
    </row>
    <row r="10621" spans="2:8" x14ac:dyDescent="0.4">
      <c r="B10621" s="3" t="s">
        <v>7</v>
      </c>
      <c r="C10621" s="3" t="s">
        <v>1654</v>
      </c>
      <c r="D10621" s="4">
        <f>DATE(2013,9,10)</f>
        <v>41527</v>
      </c>
      <c r="E10621" s="5">
        <f t="shared" si="174"/>
        <v>2013</v>
      </c>
      <c r="F10621" s="3" t="s">
        <v>1655</v>
      </c>
      <c r="G10621" s="6">
        <v>6867</v>
      </c>
      <c r="H10621" s="5">
        <v>5806</v>
      </c>
    </row>
    <row r="10622" spans="2:8" x14ac:dyDescent="0.4">
      <c r="B10622" t="s">
        <v>7</v>
      </c>
      <c r="C10622" t="s">
        <v>1656</v>
      </c>
      <c r="D10622" s="7">
        <f>DATE(2015,8,10)</f>
        <v>42226</v>
      </c>
      <c r="E10622" s="8">
        <f t="shared" si="174"/>
        <v>2015</v>
      </c>
      <c r="F10622" t="s">
        <v>1657</v>
      </c>
      <c r="G10622" s="9">
        <v>31845.08</v>
      </c>
      <c r="H10622" s="8">
        <v>20860</v>
      </c>
    </row>
    <row r="10623" spans="2:8" x14ac:dyDescent="0.4">
      <c r="B10623" t="s">
        <v>7</v>
      </c>
      <c r="C10623" t="s">
        <v>1656</v>
      </c>
      <c r="D10623" s="7">
        <f>DATE(2018,5,30)</f>
        <v>43250</v>
      </c>
      <c r="E10623" s="8">
        <f t="shared" si="174"/>
        <v>2018</v>
      </c>
      <c r="F10623" t="s">
        <v>1658</v>
      </c>
      <c r="G10623" s="9">
        <v>22863.040000000001</v>
      </c>
      <c r="H10623" s="8">
        <v>26789</v>
      </c>
    </row>
    <row r="10624" spans="2:8" x14ac:dyDescent="0.4">
      <c r="B10624" t="s">
        <v>7</v>
      </c>
      <c r="C10624" t="s">
        <v>1656</v>
      </c>
      <c r="D10624" s="7">
        <f>DATE(2019,3,18)</f>
        <v>43542</v>
      </c>
      <c r="E10624" s="8">
        <f t="shared" si="174"/>
        <v>2019</v>
      </c>
      <c r="F10624" t="s">
        <v>1658</v>
      </c>
      <c r="G10624" s="9">
        <v>24916.14</v>
      </c>
      <c r="H10624" s="8">
        <v>28435</v>
      </c>
    </row>
    <row r="10625" spans="2:8" x14ac:dyDescent="0.4">
      <c r="B10625" t="s">
        <v>7</v>
      </c>
      <c r="C10625" t="s">
        <v>1656</v>
      </c>
      <c r="D10625" s="7">
        <f>DATE(2018,5,30)</f>
        <v>43250</v>
      </c>
      <c r="E10625" s="8">
        <f t="shared" si="174"/>
        <v>2018</v>
      </c>
      <c r="F10625" t="s">
        <v>1658</v>
      </c>
      <c r="G10625" s="9">
        <v>3800</v>
      </c>
      <c r="H10625" s="8">
        <v>26804</v>
      </c>
    </row>
    <row r="10626" spans="2:8" x14ac:dyDescent="0.4">
      <c r="B10626" t="s">
        <v>16</v>
      </c>
      <c r="C10626" t="s">
        <v>1656</v>
      </c>
      <c r="D10626" s="7">
        <f>DATE(2019,1,31)</f>
        <v>43496</v>
      </c>
      <c r="E10626" s="8">
        <f t="shared" si="174"/>
        <v>2019</v>
      </c>
      <c r="F10626" t="s">
        <v>1658</v>
      </c>
      <c r="G10626" s="9">
        <v>15927.04</v>
      </c>
      <c r="H10626" s="8">
        <v>28354</v>
      </c>
    </row>
    <row r="10627" spans="2:8" x14ac:dyDescent="0.4">
      <c r="B10627" s="3" t="s">
        <v>7</v>
      </c>
      <c r="C10627" s="3" t="s">
        <v>1659</v>
      </c>
      <c r="D10627" s="4">
        <f>DATE(2011,10,31)</f>
        <v>40847</v>
      </c>
      <c r="E10627" s="5">
        <f t="shared" ref="E10627:E10690" si="175">YEAR(D10627)</f>
        <v>2011</v>
      </c>
      <c r="F10627" s="3" t="s">
        <v>1660</v>
      </c>
      <c r="G10627" s="6">
        <v>445</v>
      </c>
      <c r="H10627" s="5">
        <v>16154</v>
      </c>
    </row>
    <row r="10628" spans="2:8" x14ac:dyDescent="0.4">
      <c r="B10628" s="3" t="s">
        <v>7</v>
      </c>
      <c r="C10628" s="3" t="s">
        <v>1659</v>
      </c>
      <c r="D10628" s="4">
        <f>DATE(2011,12,7)</f>
        <v>40884</v>
      </c>
      <c r="E10628" s="5">
        <f t="shared" si="175"/>
        <v>2011</v>
      </c>
      <c r="F10628" s="3" t="s">
        <v>1660</v>
      </c>
      <c r="G10628" s="6">
        <v>1332.5</v>
      </c>
      <c r="H10628" s="5">
        <v>16231</v>
      </c>
    </row>
    <row r="10629" spans="2:8" x14ac:dyDescent="0.4">
      <c r="B10629" t="s">
        <v>7</v>
      </c>
      <c r="C10629" t="s">
        <v>1661</v>
      </c>
      <c r="D10629" s="7">
        <f>DATE(2018,8,22)</f>
        <v>43334</v>
      </c>
      <c r="E10629" s="8">
        <f t="shared" si="175"/>
        <v>2018</v>
      </c>
      <c r="F10629" t="s">
        <v>1662</v>
      </c>
      <c r="G10629" s="9">
        <v>35564.639999999999</v>
      </c>
      <c r="H10629" s="8">
        <v>27209</v>
      </c>
    </row>
    <row r="10630" spans="2:8" x14ac:dyDescent="0.4">
      <c r="B10630" t="s">
        <v>7</v>
      </c>
      <c r="C10630" t="s">
        <v>1661</v>
      </c>
      <c r="D10630" s="7">
        <f>DATE(2018,11,12)</f>
        <v>43416</v>
      </c>
      <c r="E10630" s="8">
        <f t="shared" si="175"/>
        <v>2018</v>
      </c>
      <c r="F10630" t="s">
        <v>1662</v>
      </c>
      <c r="G10630" s="9">
        <v>7732.98</v>
      </c>
      <c r="H10630" s="8">
        <v>27925</v>
      </c>
    </row>
    <row r="10631" spans="2:8" x14ac:dyDescent="0.4">
      <c r="B10631" t="s">
        <v>7</v>
      </c>
      <c r="C10631" t="s">
        <v>1661</v>
      </c>
      <c r="D10631" s="7">
        <f>DATE(2018,12,11)</f>
        <v>43445</v>
      </c>
      <c r="E10631" s="8">
        <f t="shared" si="175"/>
        <v>2018</v>
      </c>
      <c r="F10631" t="s">
        <v>1662</v>
      </c>
      <c r="G10631" s="9">
        <v>18497.7</v>
      </c>
      <c r="H10631" s="8">
        <v>28038</v>
      </c>
    </row>
    <row r="10632" spans="2:8" x14ac:dyDescent="0.4">
      <c r="B10632" t="s">
        <v>7</v>
      </c>
      <c r="C10632" t="s">
        <v>1661</v>
      </c>
      <c r="D10632" s="7">
        <f>DATE(2019,2,27)</f>
        <v>43523</v>
      </c>
      <c r="E10632" s="8">
        <f t="shared" si="175"/>
        <v>2019</v>
      </c>
      <c r="F10632" t="s">
        <v>1662</v>
      </c>
      <c r="G10632" s="9">
        <v>12929.26</v>
      </c>
      <c r="H10632" s="8">
        <v>28320</v>
      </c>
    </row>
    <row r="10633" spans="2:8" x14ac:dyDescent="0.4">
      <c r="B10633" t="s">
        <v>7</v>
      </c>
      <c r="C10633" t="s">
        <v>1661</v>
      </c>
      <c r="D10633" s="7">
        <f>DATE(2019,4,18)</f>
        <v>43573</v>
      </c>
      <c r="E10633" s="8">
        <f t="shared" si="175"/>
        <v>2019</v>
      </c>
      <c r="F10633" t="s">
        <v>1662</v>
      </c>
      <c r="G10633" s="9">
        <v>5882.62</v>
      </c>
      <c r="H10633" s="8">
        <v>28744</v>
      </c>
    </row>
    <row r="10634" spans="2:8" x14ac:dyDescent="0.4">
      <c r="B10634" t="s">
        <v>7</v>
      </c>
      <c r="C10634" t="s">
        <v>1663</v>
      </c>
      <c r="D10634" s="7">
        <f>DATE(2009,5,28)</f>
        <v>39961</v>
      </c>
      <c r="E10634" s="8">
        <f t="shared" si="175"/>
        <v>2009</v>
      </c>
      <c r="F10634" t="s">
        <v>1662</v>
      </c>
      <c r="G10634" s="9">
        <v>14500.69</v>
      </c>
      <c r="H10634" s="8">
        <v>8746</v>
      </c>
    </row>
    <row r="10635" spans="2:8" x14ac:dyDescent="0.4">
      <c r="B10635" t="s">
        <v>7</v>
      </c>
      <c r="C10635" t="s">
        <v>1663</v>
      </c>
      <c r="D10635" s="7">
        <f>DATE(2009,10,15)</f>
        <v>40101</v>
      </c>
      <c r="E10635" s="8">
        <f t="shared" si="175"/>
        <v>2009</v>
      </c>
      <c r="F10635" t="s">
        <v>1662</v>
      </c>
      <c r="G10635" s="9">
        <v>11957.42</v>
      </c>
      <c r="H10635" s="8">
        <v>9141</v>
      </c>
    </row>
    <row r="10636" spans="2:8" x14ac:dyDescent="0.4">
      <c r="B10636" t="s">
        <v>7</v>
      </c>
      <c r="C10636" t="s">
        <v>1661</v>
      </c>
      <c r="D10636" s="7">
        <f>DATE(2008,4,1)</f>
        <v>39539</v>
      </c>
      <c r="E10636" s="8">
        <f t="shared" si="175"/>
        <v>2008</v>
      </c>
      <c r="F10636" t="s">
        <v>1664</v>
      </c>
      <c r="G10636" s="9">
        <v>1800</v>
      </c>
      <c r="H10636" s="8">
        <v>7230</v>
      </c>
    </row>
    <row r="10637" spans="2:8" x14ac:dyDescent="0.4">
      <c r="B10637" s="3" t="s">
        <v>7</v>
      </c>
      <c r="C10637" s="3" t="s">
        <v>1665</v>
      </c>
      <c r="D10637" s="4">
        <f>DATE(2006,11,1)</f>
        <v>39022</v>
      </c>
      <c r="E10637" s="5">
        <f t="shared" si="175"/>
        <v>2006</v>
      </c>
      <c r="F10637" s="3" t="s">
        <v>1666</v>
      </c>
      <c r="G10637" s="6">
        <v>4250</v>
      </c>
      <c r="H10637" s="5">
        <v>1831</v>
      </c>
    </row>
    <row r="10638" spans="2:8" x14ac:dyDescent="0.4">
      <c r="B10638" s="3" t="s">
        <v>7</v>
      </c>
      <c r="C10638" s="3" t="s">
        <v>1665</v>
      </c>
      <c r="D10638" s="4">
        <f>DATE(2006,9,26)</f>
        <v>38986</v>
      </c>
      <c r="E10638" s="5">
        <f t="shared" si="175"/>
        <v>2006</v>
      </c>
      <c r="F10638" s="3" t="s">
        <v>1666</v>
      </c>
      <c r="G10638" s="6">
        <v>2900</v>
      </c>
      <c r="H10638" s="5">
        <v>1806</v>
      </c>
    </row>
    <row r="10639" spans="2:8" x14ac:dyDescent="0.4">
      <c r="B10639" s="3" t="s">
        <v>7</v>
      </c>
      <c r="C10639" s="3" t="s">
        <v>1665</v>
      </c>
      <c r="D10639" s="4">
        <f>DATE(2006,11,1)</f>
        <v>39022</v>
      </c>
      <c r="E10639" s="5">
        <f t="shared" si="175"/>
        <v>2006</v>
      </c>
      <c r="F10639" s="3" t="s">
        <v>1666</v>
      </c>
      <c r="G10639" s="6">
        <v>19192.5</v>
      </c>
      <c r="H10639" s="5">
        <v>1830</v>
      </c>
    </row>
    <row r="10640" spans="2:8" x14ac:dyDescent="0.4">
      <c r="B10640" t="s">
        <v>7</v>
      </c>
      <c r="C10640" t="s">
        <v>1667</v>
      </c>
      <c r="D10640" s="7">
        <f>DATE(2019,4,15)</f>
        <v>43570</v>
      </c>
      <c r="E10640" s="8">
        <f t="shared" si="175"/>
        <v>2019</v>
      </c>
      <c r="F10640" t="s">
        <v>1668</v>
      </c>
      <c r="G10640" s="9">
        <v>82768.19</v>
      </c>
      <c r="H10640" s="8">
        <v>28344</v>
      </c>
    </row>
    <row r="10641" spans="2:8" x14ac:dyDescent="0.4">
      <c r="B10641" t="s">
        <v>7</v>
      </c>
      <c r="C10641" t="s">
        <v>1667</v>
      </c>
      <c r="D10641" s="7">
        <f>DATE(2018,2,1)</f>
        <v>43132</v>
      </c>
      <c r="E10641" s="8">
        <f t="shared" si="175"/>
        <v>2018</v>
      </c>
      <c r="F10641" t="s">
        <v>1668</v>
      </c>
      <c r="G10641" s="9">
        <v>54865.04</v>
      </c>
      <c r="H10641" s="8">
        <v>26087</v>
      </c>
    </row>
    <row r="10642" spans="2:8" x14ac:dyDescent="0.4">
      <c r="B10642" t="s">
        <v>7</v>
      </c>
      <c r="C10642" t="s">
        <v>1667</v>
      </c>
      <c r="D10642" s="7">
        <f>DATE(2018,5,31)</f>
        <v>43251</v>
      </c>
      <c r="E10642" s="8">
        <f t="shared" si="175"/>
        <v>2018</v>
      </c>
      <c r="F10642" t="s">
        <v>1668</v>
      </c>
      <c r="G10642" s="9">
        <v>8583</v>
      </c>
      <c r="H10642" s="8">
        <v>27102</v>
      </c>
    </row>
    <row r="10643" spans="2:8" x14ac:dyDescent="0.4">
      <c r="B10643" t="s">
        <v>16</v>
      </c>
      <c r="C10643" t="s">
        <v>1667</v>
      </c>
      <c r="D10643" s="7">
        <f>DATE(2018,5,2)</f>
        <v>43222</v>
      </c>
      <c r="E10643" s="8">
        <f t="shared" si="175"/>
        <v>2018</v>
      </c>
      <c r="F10643" t="s">
        <v>1668</v>
      </c>
      <c r="G10643" s="9">
        <v>901.52</v>
      </c>
      <c r="H10643" s="8">
        <v>26992</v>
      </c>
    </row>
    <row r="10644" spans="2:8" x14ac:dyDescent="0.4">
      <c r="B10644" t="s">
        <v>16</v>
      </c>
      <c r="C10644" t="s">
        <v>1667</v>
      </c>
      <c r="D10644" s="7">
        <f>DATE(2018,5,3)</f>
        <v>43223</v>
      </c>
      <c r="E10644" s="8">
        <f t="shared" si="175"/>
        <v>2018</v>
      </c>
      <c r="F10644" t="s">
        <v>1668</v>
      </c>
      <c r="G10644" s="9">
        <v>4987.74</v>
      </c>
      <c r="H10644" s="8">
        <v>27006</v>
      </c>
    </row>
    <row r="10645" spans="2:8" x14ac:dyDescent="0.4">
      <c r="B10645" t="s">
        <v>7</v>
      </c>
      <c r="C10645" t="s">
        <v>1667</v>
      </c>
      <c r="D10645" s="7">
        <f>DATE(2018,5,1)</f>
        <v>43221</v>
      </c>
      <c r="E10645" s="8">
        <f t="shared" si="175"/>
        <v>2018</v>
      </c>
      <c r="F10645" t="s">
        <v>1669</v>
      </c>
      <c r="G10645" s="9">
        <v>9916.67</v>
      </c>
      <c r="H10645" s="8">
        <v>26565</v>
      </c>
    </row>
    <row r="10646" spans="2:8" x14ac:dyDescent="0.4">
      <c r="B10646" t="s">
        <v>7</v>
      </c>
      <c r="C10646" t="s">
        <v>1670</v>
      </c>
      <c r="D10646" s="7">
        <f>DATE(2004,12,22)</f>
        <v>38343</v>
      </c>
      <c r="E10646" s="8">
        <f t="shared" si="175"/>
        <v>2004</v>
      </c>
      <c r="F10646" t="s">
        <v>1671</v>
      </c>
      <c r="G10646" s="9">
        <v>5804.8</v>
      </c>
      <c r="H10646" s="8">
        <v>2470</v>
      </c>
    </row>
    <row r="10647" spans="2:8" x14ac:dyDescent="0.4">
      <c r="B10647" t="s">
        <v>7</v>
      </c>
      <c r="C10647" t="s">
        <v>1670</v>
      </c>
      <c r="D10647" s="7">
        <f>DATE(2005,1,28)</f>
        <v>38380</v>
      </c>
      <c r="E10647" s="8">
        <f t="shared" si="175"/>
        <v>2005</v>
      </c>
      <c r="F10647" t="s">
        <v>1671</v>
      </c>
      <c r="G10647" s="9">
        <v>7703.13</v>
      </c>
      <c r="H10647" s="8">
        <v>2643</v>
      </c>
    </row>
    <row r="10648" spans="2:8" x14ac:dyDescent="0.4">
      <c r="B10648" t="s">
        <v>7</v>
      </c>
      <c r="C10648" t="s">
        <v>1670</v>
      </c>
      <c r="D10648" s="7">
        <f>DATE(2006,4,7)</f>
        <v>38814</v>
      </c>
      <c r="E10648" s="8">
        <f t="shared" si="175"/>
        <v>2006</v>
      </c>
      <c r="F10648" t="s">
        <v>1671</v>
      </c>
      <c r="G10648" s="9">
        <v>6881.59</v>
      </c>
      <c r="H10648" s="8">
        <v>4437</v>
      </c>
    </row>
    <row r="10649" spans="2:8" x14ac:dyDescent="0.4">
      <c r="B10649" t="s">
        <v>7</v>
      </c>
      <c r="C10649" t="s">
        <v>1670</v>
      </c>
      <c r="D10649" s="7">
        <f>DATE(2007,4,1)</f>
        <v>39173</v>
      </c>
      <c r="E10649" s="8">
        <f t="shared" si="175"/>
        <v>2007</v>
      </c>
      <c r="F10649" t="s">
        <v>1671</v>
      </c>
      <c r="G10649" s="9">
        <v>29193.18</v>
      </c>
      <c r="H10649" s="8">
        <v>5397</v>
      </c>
    </row>
    <row r="10650" spans="2:8" x14ac:dyDescent="0.4">
      <c r="B10650" t="s">
        <v>7</v>
      </c>
      <c r="C10650" t="s">
        <v>1670</v>
      </c>
      <c r="D10650" s="7">
        <f>DATE(2007,4,1)</f>
        <v>39173</v>
      </c>
      <c r="E10650" s="8">
        <f t="shared" si="175"/>
        <v>2007</v>
      </c>
      <c r="F10650" t="s">
        <v>1671</v>
      </c>
      <c r="G10650" s="9">
        <v>12311.25</v>
      </c>
      <c r="H10650" s="8">
        <v>5399</v>
      </c>
    </row>
    <row r="10651" spans="2:8" x14ac:dyDescent="0.4">
      <c r="B10651" s="3" t="s">
        <v>7</v>
      </c>
      <c r="C10651" s="3" t="s">
        <v>1670</v>
      </c>
      <c r="D10651" s="4">
        <f>DATE(2004,2,16)</f>
        <v>38033</v>
      </c>
      <c r="E10651" s="5">
        <f t="shared" si="175"/>
        <v>2004</v>
      </c>
      <c r="F10651" s="3" t="s">
        <v>1671</v>
      </c>
      <c r="G10651" s="6">
        <v>584.45000000000005</v>
      </c>
      <c r="H10651" s="5">
        <v>2182</v>
      </c>
    </row>
    <row r="10652" spans="2:8" x14ac:dyDescent="0.4">
      <c r="B10652" t="s">
        <v>7</v>
      </c>
      <c r="C10652" t="s">
        <v>1670</v>
      </c>
      <c r="D10652" s="7">
        <f>DATE(2018,4,17)</f>
        <v>43207</v>
      </c>
      <c r="E10652" s="8">
        <f t="shared" si="175"/>
        <v>2018</v>
      </c>
      <c r="F10652" t="s">
        <v>1672</v>
      </c>
      <c r="G10652" s="9">
        <v>6379.71</v>
      </c>
      <c r="H10652" s="8">
        <v>26801</v>
      </c>
    </row>
    <row r="10653" spans="2:8" x14ac:dyDescent="0.4">
      <c r="B10653" t="s">
        <v>7</v>
      </c>
      <c r="C10653" t="s">
        <v>1670</v>
      </c>
      <c r="D10653" s="7">
        <f>DATE(2011,2,22)</f>
        <v>40596</v>
      </c>
      <c r="E10653" s="8">
        <f t="shared" si="175"/>
        <v>2011</v>
      </c>
      <c r="F10653" t="s">
        <v>1672</v>
      </c>
      <c r="G10653" s="9">
        <v>51155</v>
      </c>
      <c r="H10653" s="8">
        <v>10497</v>
      </c>
    </row>
    <row r="10654" spans="2:8" x14ac:dyDescent="0.4">
      <c r="B10654" t="s">
        <v>7</v>
      </c>
      <c r="C10654" t="s">
        <v>1670</v>
      </c>
      <c r="D10654" s="7">
        <f>DATE(2003,11,8)</f>
        <v>37933</v>
      </c>
      <c r="E10654" s="8">
        <f t="shared" si="175"/>
        <v>2003</v>
      </c>
      <c r="F10654" t="s">
        <v>1673</v>
      </c>
      <c r="G10654" s="9">
        <v>15199.88</v>
      </c>
      <c r="H10654" s="8">
        <v>988</v>
      </c>
    </row>
    <row r="10655" spans="2:8" x14ac:dyDescent="0.4">
      <c r="B10655" t="s">
        <v>7</v>
      </c>
      <c r="C10655" t="s">
        <v>1670</v>
      </c>
      <c r="D10655" s="7">
        <f>DATE(2003,7,24)</f>
        <v>37826</v>
      </c>
      <c r="E10655" s="8">
        <f t="shared" si="175"/>
        <v>2003</v>
      </c>
      <c r="F10655" t="s">
        <v>1674</v>
      </c>
      <c r="G10655" s="9">
        <v>32640.68</v>
      </c>
      <c r="H10655" s="8">
        <v>691</v>
      </c>
    </row>
    <row r="10656" spans="2:8" x14ac:dyDescent="0.4">
      <c r="B10656" t="s">
        <v>7</v>
      </c>
      <c r="C10656" t="s">
        <v>1670</v>
      </c>
      <c r="D10656" s="7">
        <f>DATE(2003,8,3)</f>
        <v>37836</v>
      </c>
      <c r="E10656" s="8">
        <f t="shared" si="175"/>
        <v>2003</v>
      </c>
      <c r="F10656" t="s">
        <v>1674</v>
      </c>
      <c r="G10656" s="9">
        <v>8405.69</v>
      </c>
      <c r="H10656" s="8">
        <v>782</v>
      </c>
    </row>
    <row r="10657" spans="2:8" x14ac:dyDescent="0.4">
      <c r="B10657" t="s">
        <v>7</v>
      </c>
      <c r="C10657" t="s">
        <v>1675</v>
      </c>
      <c r="D10657" s="7">
        <f>DATE(2015,5,22)</f>
        <v>42146</v>
      </c>
      <c r="E10657" s="8">
        <f t="shared" si="175"/>
        <v>2015</v>
      </c>
      <c r="F10657" t="s">
        <v>1676</v>
      </c>
      <c r="G10657" s="9">
        <v>232866.37</v>
      </c>
      <c r="H10657" s="8">
        <v>366</v>
      </c>
    </row>
    <row r="10658" spans="2:8" x14ac:dyDescent="0.4">
      <c r="B10658" t="s">
        <v>7</v>
      </c>
      <c r="C10658" t="s">
        <v>1675</v>
      </c>
      <c r="D10658" s="7">
        <f>DATE(2016,5,31)</f>
        <v>42521</v>
      </c>
      <c r="E10658" s="8">
        <f t="shared" si="175"/>
        <v>2016</v>
      </c>
      <c r="F10658" t="s">
        <v>1676</v>
      </c>
      <c r="G10658" s="9">
        <v>168367.35</v>
      </c>
      <c r="H10658" s="8">
        <v>21949</v>
      </c>
    </row>
    <row r="10659" spans="2:8" x14ac:dyDescent="0.4">
      <c r="B10659" t="s">
        <v>7</v>
      </c>
      <c r="C10659" t="s">
        <v>1675</v>
      </c>
      <c r="D10659" s="7">
        <f>DATE(2015,1,20)</f>
        <v>42024</v>
      </c>
      <c r="E10659" s="8">
        <f t="shared" si="175"/>
        <v>2015</v>
      </c>
      <c r="F10659" t="s">
        <v>1676</v>
      </c>
      <c r="G10659" s="9">
        <v>9500</v>
      </c>
      <c r="H10659" s="8">
        <v>194</v>
      </c>
    </row>
    <row r="10660" spans="2:8" x14ac:dyDescent="0.4">
      <c r="B10660" t="s">
        <v>7</v>
      </c>
      <c r="C10660" t="s">
        <v>1675</v>
      </c>
      <c r="D10660" s="7">
        <f>DATE(2015,5,22)</f>
        <v>42146</v>
      </c>
      <c r="E10660" s="8">
        <f t="shared" si="175"/>
        <v>2015</v>
      </c>
      <c r="F10660" t="s">
        <v>1676</v>
      </c>
      <c r="G10660" s="9">
        <v>60008.46</v>
      </c>
      <c r="H10660" s="8">
        <v>368</v>
      </c>
    </row>
    <row r="10661" spans="2:8" x14ac:dyDescent="0.4">
      <c r="B10661" t="s">
        <v>7</v>
      </c>
      <c r="C10661" t="s">
        <v>1675</v>
      </c>
      <c r="D10661" s="7">
        <f>DATE(2017,11,10)</f>
        <v>43049</v>
      </c>
      <c r="E10661" s="8">
        <f t="shared" si="175"/>
        <v>2017</v>
      </c>
      <c r="F10661" t="s">
        <v>1676</v>
      </c>
      <c r="G10661" s="9">
        <v>5092</v>
      </c>
      <c r="H10661" s="8">
        <v>25855</v>
      </c>
    </row>
    <row r="10662" spans="2:8" x14ac:dyDescent="0.4">
      <c r="B10662" t="s">
        <v>7</v>
      </c>
      <c r="C10662" t="s">
        <v>1675</v>
      </c>
      <c r="D10662" s="7">
        <f>DATE(2005,10,13)</f>
        <v>38638</v>
      </c>
      <c r="E10662" s="8">
        <f t="shared" si="175"/>
        <v>2005</v>
      </c>
      <c r="F10662" t="s">
        <v>1676</v>
      </c>
      <c r="G10662" s="9">
        <v>8649.11</v>
      </c>
      <c r="H10662" s="8">
        <v>3662</v>
      </c>
    </row>
    <row r="10663" spans="2:8" x14ac:dyDescent="0.4">
      <c r="B10663" t="s">
        <v>7</v>
      </c>
      <c r="C10663" t="s">
        <v>1675</v>
      </c>
      <c r="D10663" s="7">
        <f>DATE(2006,5,5)</f>
        <v>38842</v>
      </c>
      <c r="E10663" s="8">
        <f t="shared" si="175"/>
        <v>2006</v>
      </c>
      <c r="F10663" t="s">
        <v>1676</v>
      </c>
      <c r="G10663" s="9">
        <v>58352.87</v>
      </c>
      <c r="H10663" s="8">
        <v>4416</v>
      </c>
    </row>
    <row r="10664" spans="2:8" x14ac:dyDescent="0.4">
      <c r="B10664" t="s">
        <v>7</v>
      </c>
      <c r="C10664" t="s">
        <v>1675</v>
      </c>
      <c r="D10664" s="7">
        <f>DATE(2007,1,12)</f>
        <v>39094</v>
      </c>
      <c r="E10664" s="8">
        <f t="shared" si="175"/>
        <v>2007</v>
      </c>
      <c r="F10664" t="s">
        <v>1676</v>
      </c>
      <c r="G10664" s="9">
        <v>10085.049999999999</v>
      </c>
      <c r="H10664" s="8">
        <v>5334</v>
      </c>
    </row>
    <row r="10665" spans="2:8" x14ac:dyDescent="0.4">
      <c r="B10665" t="s">
        <v>7</v>
      </c>
      <c r="C10665" t="s">
        <v>1675</v>
      </c>
      <c r="D10665" s="7">
        <f>DATE(2007,5,18)</f>
        <v>39220</v>
      </c>
      <c r="E10665" s="8">
        <f t="shared" si="175"/>
        <v>2007</v>
      </c>
      <c r="F10665" t="s">
        <v>1676</v>
      </c>
      <c r="G10665" s="9">
        <v>82893.45</v>
      </c>
      <c r="H10665" s="8">
        <v>5793</v>
      </c>
    </row>
    <row r="10666" spans="2:8" x14ac:dyDescent="0.4">
      <c r="B10666" t="s">
        <v>7</v>
      </c>
      <c r="C10666" t="s">
        <v>1675</v>
      </c>
      <c r="D10666" s="7">
        <f>DATE(2008,4,27)</f>
        <v>39565</v>
      </c>
      <c r="E10666" s="8">
        <f t="shared" si="175"/>
        <v>2008</v>
      </c>
      <c r="F10666" t="s">
        <v>1676</v>
      </c>
      <c r="G10666" s="9">
        <v>80937.5</v>
      </c>
      <c r="H10666" s="8">
        <v>7022</v>
      </c>
    </row>
    <row r="10667" spans="2:8" x14ac:dyDescent="0.4">
      <c r="B10667" t="s">
        <v>7</v>
      </c>
      <c r="C10667" t="s">
        <v>1675</v>
      </c>
      <c r="D10667" s="7">
        <f>DATE(2009,4,29)</f>
        <v>39932</v>
      </c>
      <c r="E10667" s="8">
        <f t="shared" si="175"/>
        <v>2009</v>
      </c>
      <c r="F10667" t="s">
        <v>1676</v>
      </c>
      <c r="G10667" s="9">
        <v>97189.74</v>
      </c>
      <c r="H10667" s="8">
        <v>8562</v>
      </c>
    </row>
    <row r="10668" spans="2:8" x14ac:dyDescent="0.4">
      <c r="B10668" t="s">
        <v>7</v>
      </c>
      <c r="C10668" t="s">
        <v>1675</v>
      </c>
      <c r="D10668" s="7">
        <f>DATE(2009,11,23)</f>
        <v>40140</v>
      </c>
      <c r="E10668" s="8">
        <f t="shared" si="175"/>
        <v>2009</v>
      </c>
      <c r="F10668" t="s">
        <v>1676</v>
      </c>
      <c r="G10668" s="9">
        <v>112010.08</v>
      </c>
      <c r="H10668" s="8">
        <v>8817</v>
      </c>
    </row>
    <row r="10669" spans="2:8" x14ac:dyDescent="0.4">
      <c r="B10669" t="s">
        <v>7</v>
      </c>
      <c r="C10669" t="s">
        <v>1675</v>
      </c>
      <c r="D10669" s="7">
        <f>DATE(2010,5,20)</f>
        <v>40318</v>
      </c>
      <c r="E10669" s="8">
        <f t="shared" si="175"/>
        <v>2010</v>
      </c>
      <c r="F10669" t="s">
        <v>1676</v>
      </c>
      <c r="G10669" s="9">
        <v>102432.79</v>
      </c>
      <c r="H10669" s="8">
        <v>9686</v>
      </c>
    </row>
    <row r="10670" spans="2:8" x14ac:dyDescent="0.4">
      <c r="B10670" t="s">
        <v>7</v>
      </c>
      <c r="C10670" t="s">
        <v>1675</v>
      </c>
      <c r="D10670" s="7">
        <f>DATE(2011,5,3)</f>
        <v>40666</v>
      </c>
      <c r="E10670" s="8">
        <f t="shared" si="175"/>
        <v>2011</v>
      </c>
      <c r="F10670" t="s">
        <v>1676</v>
      </c>
      <c r="G10670" s="9">
        <v>126323.82</v>
      </c>
      <c r="H10670" s="8">
        <v>10452</v>
      </c>
    </row>
    <row r="10671" spans="2:8" x14ac:dyDescent="0.4">
      <c r="B10671" t="s">
        <v>7</v>
      </c>
      <c r="C10671" t="s">
        <v>1675</v>
      </c>
      <c r="D10671" s="7">
        <f>DATE(2014,5,6)</f>
        <v>41765</v>
      </c>
      <c r="E10671" s="8">
        <f t="shared" si="175"/>
        <v>2014</v>
      </c>
      <c r="F10671" t="s">
        <v>1676</v>
      </c>
      <c r="G10671" s="9">
        <v>101468.22</v>
      </c>
      <c r="H10671" s="8">
        <v>13065</v>
      </c>
    </row>
    <row r="10672" spans="2:8" x14ac:dyDescent="0.4">
      <c r="B10672" s="3" t="s">
        <v>7</v>
      </c>
      <c r="C10672" s="3" t="s">
        <v>1675</v>
      </c>
      <c r="D10672" s="4">
        <f>DATE(2003,3,19)</f>
        <v>37699</v>
      </c>
      <c r="E10672" s="5">
        <f t="shared" si="175"/>
        <v>2003</v>
      </c>
      <c r="F10672" s="3" t="s">
        <v>1676</v>
      </c>
      <c r="G10672" s="6">
        <v>760</v>
      </c>
      <c r="H10672" s="5">
        <v>565</v>
      </c>
    </row>
    <row r="10673" spans="2:8" x14ac:dyDescent="0.4">
      <c r="B10673" s="3" t="s">
        <v>7</v>
      </c>
      <c r="C10673" s="3" t="s">
        <v>1675</v>
      </c>
      <c r="D10673" s="4">
        <f>DATE(2003,3,19)</f>
        <v>37699</v>
      </c>
      <c r="E10673" s="5">
        <f t="shared" si="175"/>
        <v>2003</v>
      </c>
      <c r="F10673" s="3" t="s">
        <v>1676</v>
      </c>
      <c r="G10673" s="6">
        <v>9384</v>
      </c>
      <c r="H10673" s="5">
        <v>539</v>
      </c>
    </row>
    <row r="10674" spans="2:8" x14ac:dyDescent="0.4">
      <c r="B10674" s="3" t="s">
        <v>7</v>
      </c>
      <c r="C10674" s="3" t="s">
        <v>1675</v>
      </c>
      <c r="D10674" s="4">
        <f>DATE(2003,3,25)</f>
        <v>37705</v>
      </c>
      <c r="E10674" s="5">
        <f t="shared" si="175"/>
        <v>2003</v>
      </c>
      <c r="F10674" s="3" t="s">
        <v>1676</v>
      </c>
      <c r="G10674" s="6">
        <v>592</v>
      </c>
      <c r="H10674" s="5">
        <v>586</v>
      </c>
    </row>
    <row r="10675" spans="2:8" x14ac:dyDescent="0.4">
      <c r="B10675" s="3" t="s">
        <v>7</v>
      </c>
      <c r="C10675" s="3" t="s">
        <v>1675</v>
      </c>
      <c r="D10675" s="4">
        <f>DATE(2003,3,31)</f>
        <v>37711</v>
      </c>
      <c r="E10675" s="5">
        <f t="shared" si="175"/>
        <v>2003</v>
      </c>
      <c r="F10675" s="3" t="s">
        <v>1676</v>
      </c>
      <c r="G10675" s="6">
        <v>11079.79</v>
      </c>
      <c r="H10675" s="5">
        <v>572</v>
      </c>
    </row>
    <row r="10676" spans="2:8" x14ac:dyDescent="0.4">
      <c r="B10676" s="3" t="s">
        <v>7</v>
      </c>
      <c r="C10676" s="3" t="s">
        <v>1675</v>
      </c>
      <c r="D10676" s="4">
        <f>DATE(2003,4,14)</f>
        <v>37725</v>
      </c>
      <c r="E10676" s="5">
        <f t="shared" si="175"/>
        <v>2003</v>
      </c>
      <c r="F10676" s="3" t="s">
        <v>1676</v>
      </c>
      <c r="G10676" s="6">
        <v>7150</v>
      </c>
      <c r="H10676" s="5">
        <v>681</v>
      </c>
    </row>
    <row r="10677" spans="2:8" x14ac:dyDescent="0.4">
      <c r="B10677" s="3" t="s">
        <v>7</v>
      </c>
      <c r="C10677" s="3" t="s">
        <v>1675</v>
      </c>
      <c r="D10677" s="4">
        <f>DATE(2003,6,11)</f>
        <v>37783</v>
      </c>
      <c r="E10677" s="5">
        <f t="shared" si="175"/>
        <v>2003</v>
      </c>
      <c r="F10677" s="3" t="s">
        <v>1676</v>
      </c>
      <c r="G10677" s="6">
        <v>35510</v>
      </c>
      <c r="H10677" s="5">
        <v>1041</v>
      </c>
    </row>
    <row r="10678" spans="2:8" x14ac:dyDescent="0.4">
      <c r="B10678" s="3" t="s">
        <v>7</v>
      </c>
      <c r="C10678" s="3" t="s">
        <v>1675</v>
      </c>
      <c r="D10678" s="4">
        <f>DATE(2003,8,25)</f>
        <v>37858</v>
      </c>
      <c r="E10678" s="5">
        <f t="shared" si="175"/>
        <v>2003</v>
      </c>
      <c r="F10678" s="3" t="s">
        <v>1676</v>
      </c>
      <c r="G10678" s="6">
        <v>448</v>
      </c>
      <c r="H10678" s="5">
        <v>1396</v>
      </c>
    </row>
    <row r="10679" spans="2:8" x14ac:dyDescent="0.4">
      <c r="B10679" s="3" t="s">
        <v>7</v>
      </c>
      <c r="C10679" s="3" t="s">
        <v>1675</v>
      </c>
      <c r="D10679" s="4">
        <f>DATE(2003,9,16)</f>
        <v>37880</v>
      </c>
      <c r="E10679" s="5">
        <f t="shared" si="175"/>
        <v>2003</v>
      </c>
      <c r="F10679" s="3" t="s">
        <v>1676</v>
      </c>
      <c r="G10679" s="6">
        <v>2778</v>
      </c>
      <c r="H10679" s="5">
        <v>1504</v>
      </c>
    </row>
    <row r="10680" spans="2:8" x14ac:dyDescent="0.4">
      <c r="B10680" s="3" t="s">
        <v>7</v>
      </c>
      <c r="C10680" s="3" t="s">
        <v>1675</v>
      </c>
      <c r="D10680" s="4">
        <f>DATE(2003,9,23)</f>
        <v>37887</v>
      </c>
      <c r="E10680" s="5">
        <f t="shared" si="175"/>
        <v>2003</v>
      </c>
      <c r="F10680" s="3" t="s">
        <v>1676</v>
      </c>
      <c r="G10680" s="6">
        <v>84</v>
      </c>
      <c r="H10680" s="5">
        <v>1546</v>
      </c>
    </row>
    <row r="10681" spans="2:8" x14ac:dyDescent="0.4">
      <c r="B10681" s="3" t="s">
        <v>7</v>
      </c>
      <c r="C10681" s="3" t="s">
        <v>1675</v>
      </c>
      <c r="D10681" s="4">
        <f>DATE(2003,9,29)</f>
        <v>37893</v>
      </c>
      <c r="E10681" s="5">
        <f t="shared" si="175"/>
        <v>2003</v>
      </c>
      <c r="F10681" s="3" t="s">
        <v>1676</v>
      </c>
      <c r="G10681" s="6">
        <v>192</v>
      </c>
      <c r="H10681" s="5">
        <v>1558</v>
      </c>
    </row>
    <row r="10682" spans="2:8" x14ac:dyDescent="0.4">
      <c r="B10682" s="3" t="s">
        <v>7</v>
      </c>
      <c r="C10682" s="3" t="s">
        <v>1675</v>
      </c>
      <c r="D10682" s="4">
        <f>DATE(2003,12,30)</f>
        <v>37985</v>
      </c>
      <c r="E10682" s="5">
        <f t="shared" si="175"/>
        <v>2003</v>
      </c>
      <c r="F10682" s="3" t="s">
        <v>1676</v>
      </c>
      <c r="G10682" s="6">
        <v>11520</v>
      </c>
      <c r="H10682" s="5">
        <v>1934</v>
      </c>
    </row>
    <row r="10683" spans="2:8" x14ac:dyDescent="0.4">
      <c r="B10683" s="3" t="s">
        <v>7</v>
      </c>
      <c r="C10683" s="3" t="s">
        <v>1675</v>
      </c>
      <c r="D10683" s="4">
        <f>DATE(2005,8,22)</f>
        <v>38586</v>
      </c>
      <c r="E10683" s="5">
        <f t="shared" si="175"/>
        <v>2005</v>
      </c>
      <c r="F10683" s="3" t="s">
        <v>1676</v>
      </c>
      <c r="G10683" s="6">
        <v>42000</v>
      </c>
      <c r="H10683" s="5">
        <v>5129</v>
      </c>
    </row>
    <row r="10684" spans="2:8" x14ac:dyDescent="0.4">
      <c r="B10684" s="3" t="s">
        <v>7</v>
      </c>
      <c r="C10684" s="3" t="s">
        <v>1675</v>
      </c>
      <c r="D10684" s="4">
        <f>DATE(2005,10,12)</f>
        <v>38637</v>
      </c>
      <c r="E10684" s="5">
        <f t="shared" si="175"/>
        <v>2005</v>
      </c>
      <c r="F10684" s="3" t="s">
        <v>1676</v>
      </c>
      <c r="G10684" s="6">
        <v>38270</v>
      </c>
      <c r="H10684" s="5">
        <v>5341</v>
      </c>
    </row>
    <row r="10685" spans="2:8" x14ac:dyDescent="0.4">
      <c r="B10685" s="3" t="s">
        <v>7</v>
      </c>
      <c r="C10685" s="3" t="s">
        <v>1675</v>
      </c>
      <c r="D10685" s="4">
        <f>DATE(2005,10,13)</f>
        <v>38638</v>
      </c>
      <c r="E10685" s="5">
        <f t="shared" si="175"/>
        <v>2005</v>
      </c>
      <c r="F10685" s="3" t="s">
        <v>1676</v>
      </c>
      <c r="G10685" s="6">
        <v>947.98</v>
      </c>
      <c r="H10685" s="5">
        <v>5436</v>
      </c>
    </row>
    <row r="10686" spans="2:8" x14ac:dyDescent="0.4">
      <c r="B10686" s="3" t="s">
        <v>7</v>
      </c>
      <c r="C10686" s="3" t="s">
        <v>1675</v>
      </c>
      <c r="D10686" s="4">
        <f>DATE(2005,11,3)</f>
        <v>38659</v>
      </c>
      <c r="E10686" s="5">
        <f t="shared" si="175"/>
        <v>2005</v>
      </c>
      <c r="F10686" s="3" t="s">
        <v>1676</v>
      </c>
      <c r="G10686" s="6">
        <v>445</v>
      </c>
      <c r="H10686" s="5">
        <v>5520</v>
      </c>
    </row>
    <row r="10687" spans="2:8" x14ac:dyDescent="0.4">
      <c r="B10687" s="3" t="s">
        <v>7</v>
      </c>
      <c r="C10687" s="3" t="s">
        <v>1675</v>
      </c>
      <c r="D10687" s="4">
        <f>DATE(2005,12,1)</f>
        <v>38687</v>
      </c>
      <c r="E10687" s="5">
        <f t="shared" si="175"/>
        <v>2005</v>
      </c>
      <c r="F10687" s="3" t="s">
        <v>1676</v>
      </c>
      <c r="G10687" s="6">
        <v>267</v>
      </c>
      <c r="H10687" s="5">
        <v>5662</v>
      </c>
    </row>
    <row r="10688" spans="2:8" x14ac:dyDescent="0.4">
      <c r="B10688" s="3" t="s">
        <v>7</v>
      </c>
      <c r="C10688" s="3" t="s">
        <v>1675</v>
      </c>
      <c r="D10688" s="4">
        <f>DATE(2006,3,31)</f>
        <v>38807</v>
      </c>
      <c r="E10688" s="5">
        <f t="shared" si="175"/>
        <v>2006</v>
      </c>
      <c r="F10688" s="3" t="s">
        <v>1676</v>
      </c>
      <c r="G10688" s="6">
        <v>14039.83</v>
      </c>
      <c r="H10688" s="5">
        <v>6399</v>
      </c>
    </row>
    <row r="10689" spans="2:8" x14ac:dyDescent="0.4">
      <c r="B10689" s="3" t="s">
        <v>7</v>
      </c>
      <c r="C10689" s="3" t="s">
        <v>1675</v>
      </c>
      <c r="D10689" s="4">
        <f>DATE(2006,4,11)</f>
        <v>38818</v>
      </c>
      <c r="E10689" s="5">
        <f t="shared" si="175"/>
        <v>2006</v>
      </c>
      <c r="F10689" s="3" t="s">
        <v>1676</v>
      </c>
      <c r="G10689" s="6">
        <v>40059.379999999997</v>
      </c>
      <c r="H10689" s="5">
        <v>6399</v>
      </c>
    </row>
    <row r="10690" spans="2:8" x14ac:dyDescent="0.4">
      <c r="B10690" s="3" t="s">
        <v>7</v>
      </c>
      <c r="C10690" s="3" t="s">
        <v>1675</v>
      </c>
      <c r="D10690" s="4">
        <f>DATE(2006,9,29)</f>
        <v>38989</v>
      </c>
      <c r="E10690" s="5">
        <f t="shared" si="175"/>
        <v>2006</v>
      </c>
      <c r="F10690" s="3" t="s">
        <v>1676</v>
      </c>
      <c r="G10690" s="6">
        <v>9093.6</v>
      </c>
      <c r="H10690" s="5">
        <v>7326</v>
      </c>
    </row>
    <row r="10691" spans="2:8" x14ac:dyDescent="0.4">
      <c r="B10691" s="3" t="s">
        <v>7</v>
      </c>
      <c r="C10691" s="3" t="s">
        <v>1675</v>
      </c>
      <c r="D10691" s="4">
        <f>DATE(2006,10,11)</f>
        <v>39001</v>
      </c>
      <c r="E10691" s="5">
        <f t="shared" ref="E10691:E10754" si="176">YEAR(D10691)</f>
        <v>2006</v>
      </c>
      <c r="F10691" s="3" t="s">
        <v>1676</v>
      </c>
      <c r="G10691" s="6">
        <v>36206</v>
      </c>
      <c r="H10691" s="5">
        <v>7174</v>
      </c>
    </row>
    <row r="10692" spans="2:8" x14ac:dyDescent="0.4">
      <c r="B10692" s="3" t="s">
        <v>7</v>
      </c>
      <c r="C10692" s="3" t="s">
        <v>1675</v>
      </c>
      <c r="D10692" s="4">
        <f>DATE(2006,10,10)</f>
        <v>39000</v>
      </c>
      <c r="E10692" s="5">
        <f t="shared" si="176"/>
        <v>2006</v>
      </c>
      <c r="F10692" s="3" t="s">
        <v>1676</v>
      </c>
      <c r="G10692" s="6">
        <v>27742</v>
      </c>
      <c r="H10692" s="5">
        <v>7353</v>
      </c>
    </row>
    <row r="10693" spans="2:8" x14ac:dyDescent="0.4">
      <c r="B10693" s="3" t="s">
        <v>7</v>
      </c>
      <c r="C10693" s="3" t="s">
        <v>1675</v>
      </c>
      <c r="D10693" s="4">
        <f>DATE(2007,1,31)</f>
        <v>39113</v>
      </c>
      <c r="E10693" s="5">
        <f t="shared" si="176"/>
        <v>2007</v>
      </c>
      <c r="F10693" s="3" t="s">
        <v>1676</v>
      </c>
      <c r="G10693" s="6">
        <v>8097.8</v>
      </c>
      <c r="H10693" s="5">
        <v>7851</v>
      </c>
    </row>
    <row r="10694" spans="2:8" x14ac:dyDescent="0.4">
      <c r="B10694" s="3" t="s">
        <v>7</v>
      </c>
      <c r="C10694" s="3" t="s">
        <v>1675</v>
      </c>
      <c r="D10694" s="4">
        <f>DATE(2007,2,14)</f>
        <v>39127</v>
      </c>
      <c r="E10694" s="5">
        <f t="shared" si="176"/>
        <v>2007</v>
      </c>
      <c r="F10694" s="3" t="s">
        <v>1676</v>
      </c>
      <c r="G10694" s="6">
        <v>65</v>
      </c>
      <c r="H10694" s="5">
        <v>7713</v>
      </c>
    </row>
    <row r="10695" spans="2:8" x14ac:dyDescent="0.4">
      <c r="B10695" s="3" t="s">
        <v>7</v>
      </c>
      <c r="C10695" s="3" t="s">
        <v>1675</v>
      </c>
      <c r="D10695" s="4">
        <f>DATE(2007,3,12)</f>
        <v>39153</v>
      </c>
      <c r="E10695" s="5">
        <f t="shared" si="176"/>
        <v>2007</v>
      </c>
      <c r="F10695" s="3" t="s">
        <v>1676</v>
      </c>
      <c r="G10695" s="6">
        <v>61511</v>
      </c>
      <c r="H10695" s="5">
        <v>7985</v>
      </c>
    </row>
    <row r="10696" spans="2:8" x14ac:dyDescent="0.4">
      <c r="B10696" s="3" t="s">
        <v>7</v>
      </c>
      <c r="C10696" s="3" t="s">
        <v>1675</v>
      </c>
      <c r="D10696" s="4">
        <f>DATE(2007,4,4)</f>
        <v>39176</v>
      </c>
      <c r="E10696" s="5">
        <f t="shared" si="176"/>
        <v>2007</v>
      </c>
      <c r="F10696" s="3" t="s">
        <v>1676</v>
      </c>
      <c r="G10696" s="6">
        <v>57400</v>
      </c>
      <c r="H10696" s="5">
        <v>8116</v>
      </c>
    </row>
    <row r="10697" spans="2:8" x14ac:dyDescent="0.4">
      <c r="B10697" s="3" t="s">
        <v>7</v>
      </c>
      <c r="C10697" s="3" t="s">
        <v>1675</v>
      </c>
      <c r="D10697" s="4">
        <f>DATE(2007,5,2)</f>
        <v>39204</v>
      </c>
      <c r="E10697" s="5">
        <f t="shared" si="176"/>
        <v>2007</v>
      </c>
      <c r="F10697" s="3" t="s">
        <v>1676</v>
      </c>
      <c r="G10697" s="6">
        <v>1410</v>
      </c>
      <c r="H10697" s="5">
        <v>8495</v>
      </c>
    </row>
    <row r="10698" spans="2:8" x14ac:dyDescent="0.4">
      <c r="B10698" s="3" t="s">
        <v>7</v>
      </c>
      <c r="C10698" s="3" t="s">
        <v>1675</v>
      </c>
      <c r="D10698" s="4">
        <f>DATE(2007,5,10)</f>
        <v>39212</v>
      </c>
      <c r="E10698" s="5">
        <f t="shared" si="176"/>
        <v>2007</v>
      </c>
      <c r="F10698" s="3" t="s">
        <v>1676</v>
      </c>
      <c r="G10698" s="6">
        <v>43355</v>
      </c>
      <c r="H10698" s="5">
        <v>8463</v>
      </c>
    </row>
    <row r="10699" spans="2:8" x14ac:dyDescent="0.4">
      <c r="B10699" s="3" t="s">
        <v>7</v>
      </c>
      <c r="C10699" s="3" t="s">
        <v>1675</v>
      </c>
      <c r="D10699" s="4">
        <f>DATE(2007,5,9)</f>
        <v>39211</v>
      </c>
      <c r="E10699" s="5">
        <f t="shared" si="176"/>
        <v>2007</v>
      </c>
      <c r="F10699" s="3" t="s">
        <v>1676</v>
      </c>
      <c r="G10699" s="6">
        <v>195</v>
      </c>
      <c r="H10699" s="5">
        <v>8495</v>
      </c>
    </row>
    <row r="10700" spans="2:8" x14ac:dyDescent="0.4">
      <c r="B10700" s="3" t="s">
        <v>7</v>
      </c>
      <c r="C10700" s="3" t="s">
        <v>1675</v>
      </c>
      <c r="D10700" s="4">
        <f>DATE(2007,5,11)</f>
        <v>39213</v>
      </c>
      <c r="E10700" s="5">
        <f t="shared" si="176"/>
        <v>2007</v>
      </c>
      <c r="F10700" s="3" t="s">
        <v>1676</v>
      </c>
      <c r="G10700" s="6">
        <v>10556</v>
      </c>
      <c r="H10700" s="5">
        <v>8463</v>
      </c>
    </row>
    <row r="10701" spans="2:8" x14ac:dyDescent="0.4">
      <c r="B10701" s="3" t="s">
        <v>7</v>
      </c>
      <c r="C10701" s="3" t="s">
        <v>1675</v>
      </c>
      <c r="D10701" s="4">
        <f>DATE(2007,6,8)</f>
        <v>39241</v>
      </c>
      <c r="E10701" s="5">
        <f t="shared" si="176"/>
        <v>2007</v>
      </c>
      <c r="F10701" s="3" t="s">
        <v>1676</v>
      </c>
      <c r="G10701" s="6">
        <v>1640</v>
      </c>
      <c r="H10701" s="5">
        <v>8711</v>
      </c>
    </row>
    <row r="10702" spans="2:8" x14ac:dyDescent="0.4">
      <c r="B10702" s="3" t="s">
        <v>7</v>
      </c>
      <c r="C10702" s="3" t="s">
        <v>1675</v>
      </c>
      <c r="D10702" s="4">
        <f>DATE(2008,2,26)</f>
        <v>39504</v>
      </c>
      <c r="E10702" s="5">
        <f t="shared" si="176"/>
        <v>2008</v>
      </c>
      <c r="F10702" s="3" t="s">
        <v>1676</v>
      </c>
      <c r="G10702" s="6">
        <v>8728.2000000000007</v>
      </c>
      <c r="H10702" s="5">
        <v>9984</v>
      </c>
    </row>
    <row r="10703" spans="2:8" x14ac:dyDescent="0.4">
      <c r="B10703" s="3" t="s">
        <v>7</v>
      </c>
      <c r="C10703" s="3" t="s">
        <v>1675</v>
      </c>
      <c r="D10703" s="4">
        <f>DATE(2008,4,22)</f>
        <v>39560</v>
      </c>
      <c r="E10703" s="5">
        <f t="shared" si="176"/>
        <v>2008</v>
      </c>
      <c r="F10703" s="3" t="s">
        <v>1676</v>
      </c>
      <c r="G10703" s="6">
        <v>615</v>
      </c>
      <c r="H10703" s="5">
        <v>10519</v>
      </c>
    </row>
    <row r="10704" spans="2:8" x14ac:dyDescent="0.4">
      <c r="B10704" s="3" t="s">
        <v>7</v>
      </c>
      <c r="C10704" s="3" t="s">
        <v>1675</v>
      </c>
      <c r="D10704" s="4">
        <f>DATE(2008,10,14)</f>
        <v>39735</v>
      </c>
      <c r="E10704" s="5">
        <f t="shared" si="176"/>
        <v>2008</v>
      </c>
      <c r="F10704" s="3" t="s">
        <v>1676</v>
      </c>
      <c r="G10704" s="6">
        <v>27160</v>
      </c>
      <c r="H10704" s="5">
        <v>11355</v>
      </c>
    </row>
    <row r="10705" spans="2:8" x14ac:dyDescent="0.4">
      <c r="B10705" s="3" t="s">
        <v>7</v>
      </c>
      <c r="C10705" s="3" t="s">
        <v>1675</v>
      </c>
      <c r="D10705" s="4">
        <f>DATE(2008,11,18)</f>
        <v>39770</v>
      </c>
      <c r="E10705" s="5">
        <f t="shared" si="176"/>
        <v>2008</v>
      </c>
      <c r="F10705" s="3" t="s">
        <v>1676</v>
      </c>
      <c r="G10705" s="6">
        <v>27742</v>
      </c>
      <c r="H10705" s="5">
        <v>11562</v>
      </c>
    </row>
    <row r="10706" spans="2:8" x14ac:dyDescent="0.4">
      <c r="B10706" s="3" t="s">
        <v>7</v>
      </c>
      <c r="C10706" s="3" t="s">
        <v>1675</v>
      </c>
      <c r="D10706" s="4">
        <f>DATE(2009,3,25)</f>
        <v>39897</v>
      </c>
      <c r="E10706" s="5">
        <f t="shared" si="176"/>
        <v>2009</v>
      </c>
      <c r="F10706" s="3" t="s">
        <v>1676</v>
      </c>
      <c r="G10706" s="6">
        <v>27742</v>
      </c>
      <c r="H10706" s="5">
        <v>12224</v>
      </c>
    </row>
    <row r="10707" spans="2:8" x14ac:dyDescent="0.4">
      <c r="B10707" s="3" t="s">
        <v>7</v>
      </c>
      <c r="C10707" s="3" t="s">
        <v>1675</v>
      </c>
      <c r="D10707" s="4">
        <f>DATE(2009,5,14)</f>
        <v>39947</v>
      </c>
      <c r="E10707" s="5">
        <f t="shared" si="176"/>
        <v>2009</v>
      </c>
      <c r="F10707" s="3" t="s">
        <v>1676</v>
      </c>
      <c r="G10707" s="6">
        <v>54010</v>
      </c>
      <c r="H10707" s="5">
        <v>12471</v>
      </c>
    </row>
    <row r="10708" spans="2:8" x14ac:dyDescent="0.4">
      <c r="B10708" s="3" t="s">
        <v>7</v>
      </c>
      <c r="C10708" s="3" t="s">
        <v>1675</v>
      </c>
      <c r="D10708" s="4">
        <f>DATE(2010,10,8)</f>
        <v>40459</v>
      </c>
      <c r="E10708" s="5">
        <f t="shared" si="176"/>
        <v>2010</v>
      </c>
      <c r="F10708" s="3" t="s">
        <v>1676</v>
      </c>
      <c r="G10708" s="6">
        <v>78721.5</v>
      </c>
      <c r="H10708" s="5">
        <v>14443</v>
      </c>
    </row>
    <row r="10709" spans="2:8" x14ac:dyDescent="0.4">
      <c r="B10709" s="3" t="s">
        <v>7</v>
      </c>
      <c r="C10709" s="3" t="s">
        <v>1675</v>
      </c>
      <c r="D10709" s="4">
        <f>DATE(2010,10,21)</f>
        <v>40472</v>
      </c>
      <c r="E10709" s="5">
        <f t="shared" si="176"/>
        <v>2010</v>
      </c>
      <c r="F10709" s="3" t="s">
        <v>1676</v>
      </c>
      <c r="G10709" s="6">
        <v>26240.5</v>
      </c>
      <c r="H10709" s="5">
        <v>14619</v>
      </c>
    </row>
    <row r="10710" spans="2:8" x14ac:dyDescent="0.4">
      <c r="B10710" s="3" t="s">
        <v>7</v>
      </c>
      <c r="C10710" s="3" t="s">
        <v>1675</v>
      </c>
      <c r="D10710" s="4">
        <f>DATE(2012,1,20)</f>
        <v>40928</v>
      </c>
      <c r="E10710" s="5">
        <f t="shared" si="176"/>
        <v>2012</v>
      </c>
      <c r="F10710" s="3" t="s">
        <v>1676</v>
      </c>
      <c r="G10710" s="6">
        <v>1680</v>
      </c>
      <c r="H10710" s="5">
        <v>16417</v>
      </c>
    </row>
    <row r="10711" spans="2:8" x14ac:dyDescent="0.4">
      <c r="B10711" s="3" t="s">
        <v>7</v>
      </c>
      <c r="C10711" s="3" t="s">
        <v>1675</v>
      </c>
      <c r="D10711" s="4">
        <f>DATE(2012,1,27)</f>
        <v>40935</v>
      </c>
      <c r="E10711" s="5">
        <f t="shared" si="176"/>
        <v>2012</v>
      </c>
      <c r="F10711" s="3" t="s">
        <v>1676</v>
      </c>
      <c r="G10711" s="6">
        <v>27936</v>
      </c>
      <c r="H10711" s="5">
        <v>16385</v>
      </c>
    </row>
    <row r="10712" spans="2:8" x14ac:dyDescent="0.4">
      <c r="B10712" s="3" t="s">
        <v>7</v>
      </c>
      <c r="C10712" s="3" t="s">
        <v>1675</v>
      </c>
      <c r="D10712" s="4">
        <f>DATE(2012,2,9)</f>
        <v>40948</v>
      </c>
      <c r="E10712" s="5">
        <f t="shared" si="176"/>
        <v>2012</v>
      </c>
      <c r="F10712" s="3" t="s">
        <v>1676</v>
      </c>
      <c r="G10712" s="6">
        <v>4332</v>
      </c>
      <c r="H10712" s="5">
        <v>16530</v>
      </c>
    </row>
    <row r="10713" spans="2:8" x14ac:dyDescent="0.4">
      <c r="B10713" s="3" t="s">
        <v>7</v>
      </c>
      <c r="C10713" s="3" t="s">
        <v>1675</v>
      </c>
      <c r="D10713" s="4">
        <f>DATE(2012,2,24)</f>
        <v>40963</v>
      </c>
      <c r="E10713" s="5">
        <f t="shared" si="176"/>
        <v>2012</v>
      </c>
      <c r="F10713" s="3" t="s">
        <v>1676</v>
      </c>
      <c r="G10713" s="6">
        <v>8558.2000000000007</v>
      </c>
      <c r="H10713" s="5">
        <v>16610</v>
      </c>
    </row>
    <row r="10714" spans="2:8" x14ac:dyDescent="0.4">
      <c r="B10714" s="3" t="s">
        <v>7</v>
      </c>
      <c r="C10714" s="3" t="s">
        <v>1675</v>
      </c>
      <c r="D10714" s="4">
        <f>DATE(2012,3,16)</f>
        <v>40984</v>
      </c>
      <c r="E10714" s="5">
        <f t="shared" si="176"/>
        <v>2012</v>
      </c>
      <c r="F10714" s="3" t="s">
        <v>1676</v>
      </c>
      <c r="G10714" s="6">
        <v>32492</v>
      </c>
      <c r="H10714" s="5">
        <v>16716</v>
      </c>
    </row>
    <row r="10715" spans="2:8" x14ac:dyDescent="0.4">
      <c r="B10715" s="3" t="s">
        <v>7</v>
      </c>
      <c r="C10715" s="3" t="s">
        <v>1675</v>
      </c>
      <c r="D10715" s="4">
        <f>DATE(2012,7,18)</f>
        <v>41108</v>
      </c>
      <c r="E10715" s="5">
        <f t="shared" si="176"/>
        <v>2012</v>
      </c>
      <c r="F10715" s="3" t="s">
        <v>1676</v>
      </c>
      <c r="G10715" s="6">
        <v>3012.8</v>
      </c>
      <c r="H10715" s="5">
        <v>17351</v>
      </c>
    </row>
    <row r="10716" spans="2:8" x14ac:dyDescent="0.4">
      <c r="B10716" s="3" t="s">
        <v>7</v>
      </c>
      <c r="C10716" s="3" t="s">
        <v>1675</v>
      </c>
      <c r="D10716" s="4">
        <f>DATE(2012,9,21)</f>
        <v>41173</v>
      </c>
      <c r="E10716" s="5">
        <f t="shared" si="176"/>
        <v>2012</v>
      </c>
      <c r="F10716" s="3" t="s">
        <v>1676</v>
      </c>
      <c r="G10716" s="6">
        <v>2060</v>
      </c>
      <c r="H10716" s="5">
        <v>16389</v>
      </c>
    </row>
    <row r="10717" spans="2:8" x14ac:dyDescent="0.4">
      <c r="B10717" s="3" t="s">
        <v>7</v>
      </c>
      <c r="C10717" s="3" t="s">
        <v>1675</v>
      </c>
      <c r="D10717" s="4">
        <f>DATE(2013,3,4)</f>
        <v>41337</v>
      </c>
      <c r="E10717" s="5">
        <f t="shared" si="176"/>
        <v>2013</v>
      </c>
      <c r="F10717" s="3" t="s">
        <v>1676</v>
      </c>
      <c r="G10717" s="6">
        <v>5700</v>
      </c>
      <c r="H10717" s="5">
        <v>18259</v>
      </c>
    </row>
    <row r="10718" spans="2:8" x14ac:dyDescent="0.4">
      <c r="B10718" s="3" t="s">
        <v>7</v>
      </c>
      <c r="C10718" s="3" t="s">
        <v>1675</v>
      </c>
      <c r="D10718" s="4">
        <f>DATE(2013,6,4)</f>
        <v>41429</v>
      </c>
      <c r="E10718" s="5">
        <f t="shared" si="176"/>
        <v>2013</v>
      </c>
      <c r="F10718" s="3" t="s">
        <v>1676</v>
      </c>
      <c r="G10718" s="6">
        <v>7558.2</v>
      </c>
      <c r="H10718" s="5">
        <v>18645</v>
      </c>
    </row>
    <row r="10719" spans="2:8" x14ac:dyDescent="0.4">
      <c r="B10719" s="3" t="s">
        <v>7</v>
      </c>
      <c r="C10719" s="3" t="s">
        <v>1675</v>
      </c>
      <c r="D10719" s="4">
        <f>DATE(2014,1,24)</f>
        <v>41663</v>
      </c>
      <c r="E10719" s="5">
        <f t="shared" si="176"/>
        <v>2014</v>
      </c>
      <c r="F10719" s="3" t="s">
        <v>1676</v>
      </c>
      <c r="G10719" s="6">
        <v>9617.7999999999993</v>
      </c>
      <c r="H10719" s="5">
        <v>19406</v>
      </c>
    </row>
    <row r="10720" spans="2:8" x14ac:dyDescent="0.4">
      <c r="B10720" s="3" t="s">
        <v>7</v>
      </c>
      <c r="C10720" s="3" t="s">
        <v>1675</v>
      </c>
      <c r="D10720" s="4">
        <f>DATE(2014,4,22)</f>
        <v>41751</v>
      </c>
      <c r="E10720" s="5">
        <f t="shared" si="176"/>
        <v>2014</v>
      </c>
      <c r="F10720" s="3" t="s">
        <v>1676</v>
      </c>
      <c r="G10720" s="6">
        <v>54288</v>
      </c>
      <c r="H10720" s="5">
        <v>19653</v>
      </c>
    </row>
    <row r="10721" spans="2:8" x14ac:dyDescent="0.4">
      <c r="B10721" s="3" t="s">
        <v>7</v>
      </c>
      <c r="C10721" s="3" t="s">
        <v>1675</v>
      </c>
      <c r="D10721" s="4">
        <f>DATE(2014,9,26)</f>
        <v>41908</v>
      </c>
      <c r="E10721" s="5">
        <f t="shared" si="176"/>
        <v>2014</v>
      </c>
      <c r="F10721" s="3" t="s">
        <v>1676</v>
      </c>
      <c r="G10721" s="6">
        <v>1640</v>
      </c>
      <c r="H10721" s="5">
        <v>20457</v>
      </c>
    </row>
    <row r="10722" spans="2:8" x14ac:dyDescent="0.4">
      <c r="B10722" t="s">
        <v>7</v>
      </c>
      <c r="C10722" t="s">
        <v>1677</v>
      </c>
      <c r="D10722" s="7">
        <f>DATE(2016,5,3)</f>
        <v>42493</v>
      </c>
      <c r="E10722" s="8">
        <f t="shared" si="176"/>
        <v>2016</v>
      </c>
      <c r="F10722" t="s">
        <v>1678</v>
      </c>
      <c r="G10722" s="9">
        <v>838</v>
      </c>
      <c r="H10722" s="8">
        <v>22686</v>
      </c>
    </row>
    <row r="10723" spans="2:8" x14ac:dyDescent="0.4">
      <c r="B10723" t="s">
        <v>7</v>
      </c>
      <c r="C10723" t="s">
        <v>1677</v>
      </c>
      <c r="D10723" s="7">
        <f>DATE(2017,5,4)</f>
        <v>42859</v>
      </c>
      <c r="E10723" s="8">
        <f t="shared" si="176"/>
        <v>2017</v>
      </c>
      <c r="F10723" t="s">
        <v>1678</v>
      </c>
      <c r="G10723" s="9">
        <v>838</v>
      </c>
      <c r="H10723" s="8">
        <v>24844</v>
      </c>
    </row>
    <row r="10724" spans="2:8" x14ac:dyDescent="0.4">
      <c r="B10724" t="s">
        <v>7</v>
      </c>
      <c r="C10724" t="s">
        <v>1677</v>
      </c>
      <c r="D10724" s="7">
        <f>DATE(2018,12,31)</f>
        <v>43465</v>
      </c>
      <c r="E10724" s="8">
        <f t="shared" si="176"/>
        <v>2018</v>
      </c>
      <c r="F10724" t="s">
        <v>1678</v>
      </c>
      <c r="G10724" s="9">
        <v>2095</v>
      </c>
      <c r="H10724" s="8">
        <v>28147</v>
      </c>
    </row>
    <row r="10725" spans="2:8" x14ac:dyDescent="0.4">
      <c r="B10725" t="s">
        <v>7</v>
      </c>
      <c r="C10725" t="s">
        <v>1677</v>
      </c>
      <c r="D10725" s="7">
        <f>DATE(2006,3,24)</f>
        <v>38800</v>
      </c>
      <c r="E10725" s="8">
        <f t="shared" si="176"/>
        <v>2006</v>
      </c>
      <c r="F10725" t="s">
        <v>1678</v>
      </c>
      <c r="G10725" s="9">
        <v>12332</v>
      </c>
      <c r="H10725" s="8">
        <v>4246</v>
      </c>
    </row>
    <row r="10726" spans="2:8" x14ac:dyDescent="0.4">
      <c r="B10726" t="s">
        <v>7</v>
      </c>
      <c r="C10726" t="s">
        <v>1677</v>
      </c>
      <c r="D10726" s="7">
        <f>DATE(2006,9,19)</f>
        <v>38979</v>
      </c>
      <c r="E10726" s="8">
        <f t="shared" si="176"/>
        <v>2006</v>
      </c>
      <c r="F10726" t="s">
        <v>1678</v>
      </c>
      <c r="G10726" s="9">
        <v>51568.9</v>
      </c>
      <c r="H10726" s="8">
        <v>4893</v>
      </c>
    </row>
    <row r="10727" spans="2:8" x14ac:dyDescent="0.4">
      <c r="B10727" s="3" t="s">
        <v>7</v>
      </c>
      <c r="C10727" s="3" t="s">
        <v>1677</v>
      </c>
      <c r="D10727" s="4">
        <f>DATE(2008,3,14)</f>
        <v>39521</v>
      </c>
      <c r="E10727" s="5">
        <f t="shared" si="176"/>
        <v>2008</v>
      </c>
      <c r="F10727" s="3" t="s">
        <v>1678</v>
      </c>
      <c r="G10727" s="6">
        <v>2032.6</v>
      </c>
      <c r="H10727" s="5">
        <v>10217</v>
      </c>
    </row>
    <row r="10728" spans="2:8" x14ac:dyDescent="0.4">
      <c r="B10728" s="3" t="s">
        <v>7</v>
      </c>
      <c r="C10728" s="3" t="s">
        <v>1679</v>
      </c>
      <c r="D10728" s="4">
        <f>DATE(2010,12,10)</f>
        <v>40522</v>
      </c>
      <c r="E10728" s="5">
        <f t="shared" si="176"/>
        <v>2010</v>
      </c>
      <c r="F10728" s="3" t="s">
        <v>1680</v>
      </c>
      <c r="G10728" s="6">
        <v>3100</v>
      </c>
      <c r="H10728" s="5">
        <v>14812</v>
      </c>
    </row>
    <row r="10729" spans="2:8" x14ac:dyDescent="0.4">
      <c r="B10729" t="s">
        <v>7</v>
      </c>
      <c r="C10729" t="s">
        <v>1681</v>
      </c>
      <c r="D10729" s="7">
        <f>DATE(2010,7,1)</f>
        <v>40360</v>
      </c>
      <c r="E10729" s="8">
        <f t="shared" si="176"/>
        <v>2010</v>
      </c>
      <c r="F10729" t="s">
        <v>1682</v>
      </c>
      <c r="G10729" s="9">
        <v>3023.12</v>
      </c>
      <c r="H10729" s="8">
        <v>9943</v>
      </c>
    </row>
    <row r="10730" spans="2:8" x14ac:dyDescent="0.4">
      <c r="B10730" t="s">
        <v>7</v>
      </c>
      <c r="C10730" t="s">
        <v>1681</v>
      </c>
      <c r="D10730" s="7">
        <f>DATE(2011,7,20)</f>
        <v>40744</v>
      </c>
      <c r="E10730" s="8">
        <f t="shared" si="176"/>
        <v>2011</v>
      </c>
      <c r="F10730" t="s">
        <v>1682</v>
      </c>
      <c r="G10730" s="9">
        <v>3078.76</v>
      </c>
      <c r="H10730" s="8">
        <v>10859</v>
      </c>
    </row>
    <row r="10731" spans="2:8" x14ac:dyDescent="0.4">
      <c r="B10731" t="s">
        <v>7</v>
      </c>
      <c r="C10731" t="s">
        <v>1683</v>
      </c>
      <c r="D10731" s="7">
        <f>DATE(2012,3,15)</f>
        <v>40983</v>
      </c>
      <c r="E10731" s="8">
        <f t="shared" si="176"/>
        <v>2012</v>
      </c>
      <c r="F10731" t="s">
        <v>1684</v>
      </c>
      <c r="G10731" s="9">
        <v>18894</v>
      </c>
      <c r="H10731" s="8">
        <v>11101</v>
      </c>
    </row>
    <row r="10732" spans="2:8" x14ac:dyDescent="0.4">
      <c r="B10732" t="s">
        <v>7</v>
      </c>
      <c r="C10732" t="s">
        <v>1683</v>
      </c>
      <c r="D10732" s="7">
        <f>DATE(2012,6,5)</f>
        <v>41065</v>
      </c>
      <c r="E10732" s="8">
        <f t="shared" si="176"/>
        <v>2012</v>
      </c>
      <c r="F10732" t="s">
        <v>1684</v>
      </c>
      <c r="G10732" s="9">
        <v>18894</v>
      </c>
      <c r="H10732" s="8">
        <v>11337</v>
      </c>
    </row>
    <row r="10733" spans="2:8" x14ac:dyDescent="0.4">
      <c r="B10733" s="3" t="s">
        <v>7</v>
      </c>
      <c r="C10733" s="3" t="s">
        <v>1683</v>
      </c>
      <c r="D10733" s="4">
        <f>DATE(2004,1,28)</f>
        <v>38014</v>
      </c>
      <c r="E10733" s="5">
        <f t="shared" si="176"/>
        <v>2004</v>
      </c>
      <c r="F10733" s="3" t="s">
        <v>1684</v>
      </c>
      <c r="G10733" s="6">
        <v>13800</v>
      </c>
      <c r="H10733" s="5">
        <v>2063</v>
      </c>
    </row>
    <row r="10734" spans="2:8" x14ac:dyDescent="0.4">
      <c r="B10734" s="3" t="s">
        <v>7</v>
      </c>
      <c r="C10734" s="3" t="s">
        <v>1683</v>
      </c>
      <c r="D10734" s="4">
        <f>DATE(2004,9,24)</f>
        <v>38254</v>
      </c>
      <c r="E10734" s="5">
        <f t="shared" si="176"/>
        <v>2004</v>
      </c>
      <c r="F10734" s="3" t="s">
        <v>1684</v>
      </c>
      <c r="G10734" s="6">
        <v>7020</v>
      </c>
      <c r="H10734" s="5">
        <v>3427</v>
      </c>
    </row>
    <row r="10735" spans="2:8" x14ac:dyDescent="0.4">
      <c r="B10735" s="3" t="s">
        <v>7</v>
      </c>
      <c r="C10735" s="3" t="s">
        <v>1683</v>
      </c>
      <c r="D10735" s="4">
        <f>DATE(2004,10,7)</f>
        <v>38267</v>
      </c>
      <c r="E10735" s="5">
        <f t="shared" si="176"/>
        <v>2004</v>
      </c>
      <c r="F10735" s="3" t="s">
        <v>1684</v>
      </c>
      <c r="G10735" s="6">
        <v>5040</v>
      </c>
      <c r="H10735" s="5">
        <v>3529</v>
      </c>
    </row>
    <row r="10736" spans="2:8" x14ac:dyDescent="0.4">
      <c r="B10736" s="3" t="s">
        <v>7</v>
      </c>
      <c r="C10736" s="3" t="s">
        <v>1683</v>
      </c>
      <c r="D10736" s="4">
        <f>DATE(2005,2,21)</f>
        <v>38404</v>
      </c>
      <c r="E10736" s="5">
        <f t="shared" si="176"/>
        <v>2005</v>
      </c>
      <c r="F10736" s="3" t="s">
        <v>1684</v>
      </c>
      <c r="G10736" s="6">
        <v>11400</v>
      </c>
      <c r="H10736" s="5">
        <v>4168</v>
      </c>
    </row>
    <row r="10737" spans="2:8" x14ac:dyDescent="0.4">
      <c r="B10737" s="3" t="s">
        <v>7</v>
      </c>
      <c r="C10737" s="3" t="s">
        <v>1683</v>
      </c>
      <c r="D10737" s="4">
        <f>DATE(2007,9,24)</f>
        <v>39349</v>
      </c>
      <c r="E10737" s="5">
        <f t="shared" si="176"/>
        <v>2007</v>
      </c>
      <c r="F10737" s="3" t="s">
        <v>1684</v>
      </c>
      <c r="G10737" s="6">
        <v>11400</v>
      </c>
      <c r="H10737" s="5">
        <v>9130</v>
      </c>
    </row>
    <row r="10738" spans="2:8" x14ac:dyDescent="0.4">
      <c r="B10738" s="3" t="s">
        <v>7</v>
      </c>
      <c r="C10738" s="3" t="s">
        <v>1683</v>
      </c>
      <c r="D10738" s="4">
        <f>DATE(2008,3,7)</f>
        <v>39514</v>
      </c>
      <c r="E10738" s="5">
        <f t="shared" si="176"/>
        <v>2008</v>
      </c>
      <c r="F10738" s="3" t="s">
        <v>1684</v>
      </c>
      <c r="G10738" s="6">
        <v>1550</v>
      </c>
      <c r="H10738" s="5">
        <v>9944</v>
      </c>
    </row>
    <row r="10739" spans="2:8" x14ac:dyDescent="0.4">
      <c r="B10739" s="3" t="s">
        <v>7</v>
      </c>
      <c r="C10739" s="3" t="s">
        <v>1683</v>
      </c>
      <c r="D10739" s="4">
        <f>DATE(2008,4,11)</f>
        <v>39549</v>
      </c>
      <c r="E10739" s="5">
        <f t="shared" si="176"/>
        <v>2008</v>
      </c>
      <c r="F10739" s="3" t="s">
        <v>1684</v>
      </c>
      <c r="G10739" s="6">
        <v>11400</v>
      </c>
      <c r="H10739" s="5">
        <v>10443</v>
      </c>
    </row>
    <row r="10740" spans="2:8" x14ac:dyDescent="0.4">
      <c r="B10740" s="3" t="s">
        <v>7</v>
      </c>
      <c r="C10740" s="3" t="s">
        <v>1683</v>
      </c>
      <c r="D10740" s="4">
        <f>DATE(2010,7,15)</f>
        <v>40374</v>
      </c>
      <c r="E10740" s="5">
        <f t="shared" si="176"/>
        <v>2010</v>
      </c>
      <c r="F10740" s="3" t="s">
        <v>1684</v>
      </c>
      <c r="G10740" s="6">
        <v>3000</v>
      </c>
      <c r="H10740" s="5">
        <v>14265</v>
      </c>
    </row>
    <row r="10741" spans="2:8" x14ac:dyDescent="0.4">
      <c r="B10741" s="3" t="s">
        <v>7</v>
      </c>
      <c r="C10741" s="3" t="s">
        <v>1683</v>
      </c>
      <c r="D10741" s="4">
        <f>DATE(2012,1,11)</f>
        <v>40919</v>
      </c>
      <c r="E10741" s="5">
        <f t="shared" si="176"/>
        <v>2012</v>
      </c>
      <c r="F10741" s="3" t="s">
        <v>1684</v>
      </c>
      <c r="G10741" s="6">
        <v>4500</v>
      </c>
      <c r="H10741" s="5">
        <v>16366</v>
      </c>
    </row>
    <row r="10742" spans="2:8" x14ac:dyDescent="0.4">
      <c r="B10742" t="s">
        <v>7</v>
      </c>
      <c r="C10742" t="s">
        <v>1685</v>
      </c>
      <c r="D10742" s="7">
        <f>DATE(2017,3,30)</f>
        <v>42824</v>
      </c>
      <c r="E10742" s="8">
        <f t="shared" si="176"/>
        <v>2017</v>
      </c>
      <c r="F10742" t="s">
        <v>1686</v>
      </c>
      <c r="G10742" s="9">
        <v>2950</v>
      </c>
      <c r="H10742" s="8">
        <v>24551</v>
      </c>
    </row>
    <row r="10743" spans="2:8" x14ac:dyDescent="0.4">
      <c r="B10743" t="s">
        <v>7</v>
      </c>
      <c r="C10743" t="s">
        <v>1685</v>
      </c>
      <c r="D10743" s="7">
        <f>DATE(2018,12,18)</f>
        <v>43452</v>
      </c>
      <c r="E10743" s="8">
        <f t="shared" si="176"/>
        <v>2018</v>
      </c>
      <c r="F10743" t="s">
        <v>1686</v>
      </c>
      <c r="G10743" s="9">
        <v>767</v>
      </c>
      <c r="H10743" s="8">
        <v>28066</v>
      </c>
    </row>
    <row r="10744" spans="2:8" x14ac:dyDescent="0.4">
      <c r="B10744" t="s">
        <v>7</v>
      </c>
      <c r="C10744" t="s">
        <v>1685</v>
      </c>
      <c r="D10744" s="7">
        <f>DATE(2017,10,18)</f>
        <v>43026</v>
      </c>
      <c r="E10744" s="8">
        <f t="shared" si="176"/>
        <v>2017</v>
      </c>
      <c r="F10744" t="s">
        <v>1686</v>
      </c>
      <c r="G10744" s="9">
        <v>2119.9499999999998</v>
      </c>
      <c r="H10744" s="8">
        <v>25670</v>
      </c>
    </row>
    <row r="10745" spans="2:8" x14ac:dyDescent="0.4">
      <c r="B10745" t="s">
        <v>7</v>
      </c>
      <c r="C10745" t="s">
        <v>1685</v>
      </c>
      <c r="D10745" s="7">
        <f>DATE(2005,4,12)</f>
        <v>38454</v>
      </c>
      <c r="E10745" s="8">
        <f t="shared" si="176"/>
        <v>2005</v>
      </c>
      <c r="F10745" t="s">
        <v>1686</v>
      </c>
      <c r="G10745" s="9">
        <v>2340.35</v>
      </c>
      <c r="H10745" s="8">
        <v>3056</v>
      </c>
    </row>
    <row r="10746" spans="2:8" x14ac:dyDescent="0.4">
      <c r="B10746" t="s">
        <v>7</v>
      </c>
      <c r="C10746" t="s">
        <v>1685</v>
      </c>
      <c r="D10746" s="7">
        <f>DATE(2005,6,4)</f>
        <v>38507</v>
      </c>
      <c r="E10746" s="8">
        <f t="shared" si="176"/>
        <v>2005</v>
      </c>
      <c r="F10746" t="s">
        <v>1686</v>
      </c>
      <c r="G10746" s="9">
        <v>2926.57</v>
      </c>
      <c r="H10746" s="8">
        <v>3244</v>
      </c>
    </row>
    <row r="10747" spans="2:8" x14ac:dyDescent="0.4">
      <c r="B10747" t="s">
        <v>7</v>
      </c>
      <c r="C10747" t="s">
        <v>1685</v>
      </c>
      <c r="D10747" s="7">
        <f>DATE(2005,6,9)</f>
        <v>38512</v>
      </c>
      <c r="E10747" s="8">
        <f t="shared" si="176"/>
        <v>2005</v>
      </c>
      <c r="F10747" t="s">
        <v>1686</v>
      </c>
      <c r="G10747" s="9">
        <v>978.25</v>
      </c>
      <c r="H10747" s="8">
        <v>3269</v>
      </c>
    </row>
    <row r="10748" spans="2:8" x14ac:dyDescent="0.4">
      <c r="B10748" t="s">
        <v>7</v>
      </c>
      <c r="C10748" t="s">
        <v>1685</v>
      </c>
      <c r="D10748" s="7">
        <f>DATE(2005,7,27)</f>
        <v>38560</v>
      </c>
      <c r="E10748" s="8">
        <f t="shared" si="176"/>
        <v>2005</v>
      </c>
      <c r="F10748" t="s">
        <v>1686</v>
      </c>
      <c r="G10748" s="9">
        <v>1491.22</v>
      </c>
      <c r="H10748" s="8">
        <v>3403</v>
      </c>
    </row>
    <row r="10749" spans="2:8" x14ac:dyDescent="0.4">
      <c r="B10749" t="s">
        <v>7</v>
      </c>
      <c r="C10749" t="s">
        <v>1685</v>
      </c>
      <c r="D10749" s="7">
        <f>DATE(2005,8,20)</f>
        <v>38584</v>
      </c>
      <c r="E10749" s="8">
        <f t="shared" si="176"/>
        <v>2005</v>
      </c>
      <c r="F10749" t="s">
        <v>1686</v>
      </c>
      <c r="G10749" s="9">
        <v>2790.45</v>
      </c>
      <c r="H10749" s="8">
        <v>3477</v>
      </c>
    </row>
    <row r="10750" spans="2:8" x14ac:dyDescent="0.4">
      <c r="B10750" t="s">
        <v>7</v>
      </c>
      <c r="C10750" t="s">
        <v>1685</v>
      </c>
      <c r="D10750" s="7">
        <f>DATE(2005,11,29)</f>
        <v>38685</v>
      </c>
      <c r="E10750" s="8">
        <f t="shared" si="176"/>
        <v>2005</v>
      </c>
      <c r="F10750" t="s">
        <v>1686</v>
      </c>
      <c r="G10750" s="9">
        <v>3128</v>
      </c>
      <c r="H10750" s="8">
        <v>3792</v>
      </c>
    </row>
    <row r="10751" spans="2:8" x14ac:dyDescent="0.4">
      <c r="B10751" t="s">
        <v>7</v>
      </c>
      <c r="C10751" t="s">
        <v>1685</v>
      </c>
      <c r="D10751" s="7">
        <f>DATE(2007,2,22)</f>
        <v>39135</v>
      </c>
      <c r="E10751" s="8">
        <f t="shared" si="176"/>
        <v>2007</v>
      </c>
      <c r="F10751" t="s">
        <v>1686</v>
      </c>
      <c r="G10751" s="9">
        <v>3176</v>
      </c>
      <c r="H10751" s="8">
        <v>5601</v>
      </c>
    </row>
    <row r="10752" spans="2:8" x14ac:dyDescent="0.4">
      <c r="B10752" t="s">
        <v>7</v>
      </c>
      <c r="C10752" t="s">
        <v>1685</v>
      </c>
      <c r="D10752" s="7">
        <f>DATE(2007,5,11)</f>
        <v>39213</v>
      </c>
      <c r="E10752" s="8">
        <f t="shared" si="176"/>
        <v>2007</v>
      </c>
      <c r="F10752" t="s">
        <v>1686</v>
      </c>
      <c r="G10752" s="9">
        <v>2664</v>
      </c>
      <c r="H10752" s="8">
        <v>5977</v>
      </c>
    </row>
    <row r="10753" spans="2:8" x14ac:dyDescent="0.4">
      <c r="B10753" t="s">
        <v>7</v>
      </c>
      <c r="C10753" t="s">
        <v>1685</v>
      </c>
      <c r="D10753" s="7">
        <f>DATE(2007,7,15)</f>
        <v>39278</v>
      </c>
      <c r="E10753" s="8">
        <f t="shared" si="176"/>
        <v>2007</v>
      </c>
      <c r="F10753" t="s">
        <v>1686</v>
      </c>
      <c r="G10753" s="9">
        <v>10858.53</v>
      </c>
      <c r="H10753" s="8">
        <v>6176</v>
      </c>
    </row>
    <row r="10754" spans="2:8" x14ac:dyDescent="0.4">
      <c r="B10754" t="s">
        <v>7</v>
      </c>
      <c r="C10754" t="s">
        <v>1685</v>
      </c>
      <c r="D10754" s="7">
        <f>DATE(2007,10,5)</f>
        <v>39360</v>
      </c>
      <c r="E10754" s="8">
        <f t="shared" si="176"/>
        <v>2007</v>
      </c>
      <c r="F10754" t="s">
        <v>1686</v>
      </c>
      <c r="G10754" s="9">
        <v>3690.13</v>
      </c>
      <c r="H10754" s="8">
        <v>6456</v>
      </c>
    </row>
    <row r="10755" spans="2:8" x14ac:dyDescent="0.4">
      <c r="B10755" t="s">
        <v>7</v>
      </c>
      <c r="C10755" t="s">
        <v>1685</v>
      </c>
      <c r="D10755" s="7">
        <f>DATE(2008,1,22)</f>
        <v>39469</v>
      </c>
      <c r="E10755" s="8">
        <f t="shared" ref="E10755:E10818" si="177">YEAR(D10755)</f>
        <v>2008</v>
      </c>
      <c r="F10755" t="s">
        <v>1686</v>
      </c>
      <c r="G10755" s="9">
        <v>1136.3699999999999</v>
      </c>
      <c r="H10755" s="8">
        <v>6846</v>
      </c>
    </row>
    <row r="10756" spans="2:8" x14ac:dyDescent="0.4">
      <c r="B10756" t="s">
        <v>7</v>
      </c>
      <c r="C10756" t="s">
        <v>1685</v>
      </c>
      <c r="D10756" s="7">
        <f>DATE(2008,1,22)</f>
        <v>39469</v>
      </c>
      <c r="E10756" s="8">
        <f t="shared" si="177"/>
        <v>2008</v>
      </c>
      <c r="F10756" t="s">
        <v>1686</v>
      </c>
      <c r="G10756" s="9">
        <v>1113.8499999999999</v>
      </c>
      <c r="H10756" s="8">
        <v>6847</v>
      </c>
    </row>
    <row r="10757" spans="2:8" x14ac:dyDescent="0.4">
      <c r="B10757" t="s">
        <v>7</v>
      </c>
      <c r="C10757" t="s">
        <v>1685</v>
      </c>
      <c r="D10757" s="7">
        <f>DATE(2008,5,21)</f>
        <v>39589</v>
      </c>
      <c r="E10757" s="8">
        <f t="shared" si="177"/>
        <v>2008</v>
      </c>
      <c r="F10757" t="s">
        <v>1686</v>
      </c>
      <c r="G10757" s="9">
        <v>1881</v>
      </c>
      <c r="H10757" s="8">
        <v>7451</v>
      </c>
    </row>
    <row r="10758" spans="2:8" x14ac:dyDescent="0.4">
      <c r="B10758" t="s">
        <v>7</v>
      </c>
      <c r="C10758" t="s">
        <v>1685</v>
      </c>
      <c r="D10758" s="7">
        <f>DATE(2008,5,21)</f>
        <v>39589</v>
      </c>
      <c r="E10758" s="8">
        <f t="shared" si="177"/>
        <v>2008</v>
      </c>
      <c r="F10758" t="s">
        <v>1686</v>
      </c>
      <c r="G10758" s="9">
        <v>1881</v>
      </c>
      <c r="H10758" s="8">
        <v>7460</v>
      </c>
    </row>
    <row r="10759" spans="2:8" x14ac:dyDescent="0.4">
      <c r="B10759" t="s">
        <v>7</v>
      </c>
      <c r="C10759" t="s">
        <v>1685</v>
      </c>
      <c r="D10759" s="7">
        <f>DATE(2008,10,26)</f>
        <v>39747</v>
      </c>
      <c r="E10759" s="8">
        <f t="shared" si="177"/>
        <v>2008</v>
      </c>
      <c r="F10759" t="s">
        <v>1686</v>
      </c>
      <c r="G10759" s="9">
        <v>10059.280000000001</v>
      </c>
      <c r="H10759" s="8">
        <v>7948</v>
      </c>
    </row>
    <row r="10760" spans="2:8" x14ac:dyDescent="0.4">
      <c r="B10760" t="s">
        <v>7</v>
      </c>
      <c r="C10760" t="s">
        <v>1685</v>
      </c>
      <c r="D10760" s="7">
        <f>DATE(2009,2,20)</f>
        <v>39864</v>
      </c>
      <c r="E10760" s="8">
        <f t="shared" si="177"/>
        <v>2009</v>
      </c>
      <c r="F10760" t="s">
        <v>1686</v>
      </c>
      <c r="G10760" s="9">
        <v>2232.91</v>
      </c>
      <c r="H10760" s="8">
        <v>8371</v>
      </c>
    </row>
    <row r="10761" spans="2:8" x14ac:dyDescent="0.4">
      <c r="B10761" t="s">
        <v>7</v>
      </c>
      <c r="C10761" t="s">
        <v>1685</v>
      </c>
      <c r="D10761" s="7">
        <f>DATE(2011,3,17)</f>
        <v>40619</v>
      </c>
      <c r="E10761" s="8">
        <f t="shared" si="177"/>
        <v>2011</v>
      </c>
      <c r="F10761" t="s">
        <v>1686</v>
      </c>
      <c r="G10761" s="9">
        <v>32000</v>
      </c>
      <c r="H10761" s="8">
        <v>10574</v>
      </c>
    </row>
    <row r="10762" spans="2:8" x14ac:dyDescent="0.4">
      <c r="B10762" t="s">
        <v>7</v>
      </c>
      <c r="C10762" t="s">
        <v>1685</v>
      </c>
      <c r="D10762" s="7">
        <f>DATE(2011,10,31)</f>
        <v>40847</v>
      </c>
      <c r="E10762" s="8">
        <f t="shared" si="177"/>
        <v>2011</v>
      </c>
      <c r="F10762" t="s">
        <v>1686</v>
      </c>
      <c r="G10762" s="9">
        <v>4680</v>
      </c>
      <c r="H10762" s="8">
        <v>11088</v>
      </c>
    </row>
    <row r="10763" spans="2:8" x14ac:dyDescent="0.4">
      <c r="B10763" t="s">
        <v>7</v>
      </c>
      <c r="C10763" t="s">
        <v>1685</v>
      </c>
      <c r="D10763" s="7">
        <f>DATE(2011,11,8)</f>
        <v>40855</v>
      </c>
      <c r="E10763" s="8">
        <f t="shared" si="177"/>
        <v>2011</v>
      </c>
      <c r="F10763" t="s">
        <v>1686</v>
      </c>
      <c r="G10763" s="9">
        <v>4339.75</v>
      </c>
      <c r="H10763" s="8">
        <v>11115</v>
      </c>
    </row>
    <row r="10764" spans="2:8" x14ac:dyDescent="0.4">
      <c r="B10764" t="s">
        <v>7</v>
      </c>
      <c r="C10764" t="s">
        <v>1685</v>
      </c>
      <c r="D10764" s="7">
        <f>DATE(2012,8,1)</f>
        <v>41122</v>
      </c>
      <c r="E10764" s="8">
        <f t="shared" si="177"/>
        <v>2012</v>
      </c>
      <c r="F10764" t="s">
        <v>1686</v>
      </c>
      <c r="G10764" s="9">
        <v>5079.9399999999996</v>
      </c>
      <c r="H10764" s="8">
        <v>11716</v>
      </c>
    </row>
    <row r="10765" spans="2:8" x14ac:dyDescent="0.4">
      <c r="B10765" t="s">
        <v>7</v>
      </c>
      <c r="C10765" t="s">
        <v>1685</v>
      </c>
      <c r="D10765" s="7">
        <f>DATE(2014,1,17)</f>
        <v>41656</v>
      </c>
      <c r="E10765" s="8">
        <f t="shared" si="177"/>
        <v>2014</v>
      </c>
      <c r="F10765" t="s">
        <v>1686</v>
      </c>
      <c r="G10765" s="9">
        <v>4906.3100000000004</v>
      </c>
      <c r="H10765" s="8">
        <v>12873</v>
      </c>
    </row>
    <row r="10766" spans="2:8" x14ac:dyDescent="0.4">
      <c r="B10766" t="s">
        <v>16</v>
      </c>
      <c r="C10766" t="s">
        <v>1685</v>
      </c>
      <c r="D10766" s="7">
        <f>DATE(2011,11,4)</f>
        <v>40851</v>
      </c>
      <c r="E10766" s="8">
        <f t="shared" si="177"/>
        <v>2011</v>
      </c>
      <c r="F10766" t="s">
        <v>1686</v>
      </c>
      <c r="G10766" s="9">
        <v>4680</v>
      </c>
      <c r="H10766" s="8">
        <v>11120</v>
      </c>
    </row>
    <row r="10767" spans="2:8" x14ac:dyDescent="0.4">
      <c r="B10767" t="s">
        <v>16</v>
      </c>
      <c r="C10767" t="s">
        <v>1685</v>
      </c>
      <c r="D10767" s="7">
        <f>DATE(2007,2,22)</f>
        <v>39135</v>
      </c>
      <c r="E10767" s="8">
        <f t="shared" si="177"/>
        <v>2007</v>
      </c>
      <c r="F10767" t="s">
        <v>1686</v>
      </c>
      <c r="G10767" s="9">
        <v>168</v>
      </c>
      <c r="H10767" s="8">
        <v>5939</v>
      </c>
    </row>
    <row r="10768" spans="2:8" x14ac:dyDescent="0.4">
      <c r="B10768" t="s">
        <v>16</v>
      </c>
      <c r="C10768" t="s">
        <v>1685</v>
      </c>
      <c r="D10768" s="7">
        <f>DATE(2007,12,1)</f>
        <v>39417</v>
      </c>
      <c r="E10768" s="8">
        <f t="shared" si="177"/>
        <v>2007</v>
      </c>
      <c r="F10768" t="s">
        <v>1686</v>
      </c>
      <c r="G10768" s="9">
        <v>800</v>
      </c>
      <c r="H10768" s="8">
        <v>6808</v>
      </c>
    </row>
    <row r="10769" spans="2:8" x14ac:dyDescent="0.4">
      <c r="B10769" s="3" t="s">
        <v>7</v>
      </c>
      <c r="C10769" s="3" t="s">
        <v>1685</v>
      </c>
      <c r="D10769" s="4">
        <f>DATE(2004,2,24)</f>
        <v>38041</v>
      </c>
      <c r="E10769" s="5">
        <f t="shared" si="177"/>
        <v>2004</v>
      </c>
      <c r="F10769" s="3" t="s">
        <v>1686</v>
      </c>
      <c r="G10769" s="6">
        <v>165.8</v>
      </c>
      <c r="H10769" s="5">
        <v>2244</v>
      </c>
    </row>
    <row r="10770" spans="2:8" x14ac:dyDescent="0.4">
      <c r="B10770" s="3" t="s">
        <v>7</v>
      </c>
      <c r="C10770" s="3" t="s">
        <v>1685</v>
      </c>
      <c r="D10770" s="4">
        <f>DATE(2004,11,23)</f>
        <v>38314</v>
      </c>
      <c r="E10770" s="5">
        <f t="shared" si="177"/>
        <v>2004</v>
      </c>
      <c r="F10770" s="3" t="s">
        <v>1686</v>
      </c>
      <c r="G10770" s="6">
        <v>165.8</v>
      </c>
      <c r="H10770" s="5">
        <v>3726</v>
      </c>
    </row>
    <row r="10771" spans="2:8" x14ac:dyDescent="0.4">
      <c r="B10771" s="3" t="s">
        <v>7</v>
      </c>
      <c r="C10771" s="3" t="s">
        <v>1685</v>
      </c>
      <c r="D10771" s="4">
        <f>DATE(2007,8,10)</f>
        <v>39304</v>
      </c>
      <c r="E10771" s="5">
        <f t="shared" si="177"/>
        <v>2007</v>
      </c>
      <c r="F10771" s="3" t="s">
        <v>1686</v>
      </c>
      <c r="G10771" s="6">
        <v>637.5</v>
      </c>
      <c r="H10771" s="5">
        <v>8895</v>
      </c>
    </row>
    <row r="10772" spans="2:8" x14ac:dyDescent="0.4">
      <c r="B10772" s="3" t="s">
        <v>7</v>
      </c>
      <c r="C10772" s="3" t="s">
        <v>1685</v>
      </c>
      <c r="D10772" s="4">
        <f>DATE(2008,3,18)</f>
        <v>39525</v>
      </c>
      <c r="E10772" s="5">
        <f t="shared" si="177"/>
        <v>2008</v>
      </c>
      <c r="F10772" s="3" t="s">
        <v>1686</v>
      </c>
      <c r="G10772" s="6">
        <v>113.84</v>
      </c>
      <c r="H10772" s="5">
        <v>10238</v>
      </c>
    </row>
    <row r="10773" spans="2:8" x14ac:dyDescent="0.4">
      <c r="B10773" s="3" t="s">
        <v>7</v>
      </c>
      <c r="C10773" s="3" t="s">
        <v>1685</v>
      </c>
      <c r="D10773" s="4">
        <f>DATE(2008,6,12)</f>
        <v>39611</v>
      </c>
      <c r="E10773" s="5">
        <f t="shared" si="177"/>
        <v>2008</v>
      </c>
      <c r="F10773" s="3" t="s">
        <v>1686</v>
      </c>
      <c r="G10773" s="6">
        <v>7291.79</v>
      </c>
      <c r="H10773" s="5">
        <v>10722</v>
      </c>
    </row>
    <row r="10774" spans="2:8" x14ac:dyDescent="0.4">
      <c r="B10774" s="3" t="s">
        <v>7</v>
      </c>
      <c r="C10774" s="3" t="s">
        <v>1685</v>
      </c>
      <c r="D10774" s="4">
        <f>DATE(2008,11,6)</f>
        <v>39758</v>
      </c>
      <c r="E10774" s="5">
        <f t="shared" si="177"/>
        <v>2008</v>
      </c>
      <c r="F10774" s="3" t="s">
        <v>1686</v>
      </c>
      <c r="G10774" s="6">
        <v>5586</v>
      </c>
      <c r="H10774" s="5">
        <v>11521</v>
      </c>
    </row>
    <row r="10775" spans="2:8" x14ac:dyDescent="0.4">
      <c r="B10775" s="3" t="s">
        <v>7</v>
      </c>
      <c r="C10775" s="3" t="s">
        <v>1685</v>
      </c>
      <c r="D10775" s="4">
        <f>DATE(2009,11,24)</f>
        <v>40141</v>
      </c>
      <c r="E10775" s="5">
        <f t="shared" si="177"/>
        <v>2009</v>
      </c>
      <c r="F10775" s="3" t="s">
        <v>1686</v>
      </c>
      <c r="G10775" s="6">
        <v>561.96</v>
      </c>
      <c r="H10775" s="5">
        <v>13285</v>
      </c>
    </row>
    <row r="10776" spans="2:8" x14ac:dyDescent="0.4">
      <c r="B10776" s="3" t="s">
        <v>7</v>
      </c>
      <c r="C10776" s="3" t="s">
        <v>1685</v>
      </c>
      <c r="D10776" s="4">
        <f>DATE(2011,3,23)</f>
        <v>40625</v>
      </c>
      <c r="E10776" s="5">
        <f t="shared" si="177"/>
        <v>2011</v>
      </c>
      <c r="F10776" s="3" t="s">
        <v>1686</v>
      </c>
      <c r="G10776" s="6">
        <v>629.5</v>
      </c>
      <c r="H10776" s="5">
        <v>15291</v>
      </c>
    </row>
    <row r="10777" spans="2:8" x14ac:dyDescent="0.4">
      <c r="B10777" s="3" t="s">
        <v>7</v>
      </c>
      <c r="C10777" s="3" t="s">
        <v>1685</v>
      </c>
      <c r="D10777" s="4">
        <f>DATE(2014,5,21)</f>
        <v>41780</v>
      </c>
      <c r="E10777" s="5">
        <f t="shared" si="177"/>
        <v>2014</v>
      </c>
      <c r="F10777" s="3" t="s">
        <v>1686</v>
      </c>
      <c r="G10777" s="6">
        <v>2750</v>
      </c>
      <c r="H10777" s="5">
        <v>19778</v>
      </c>
    </row>
    <row r="10778" spans="2:8" x14ac:dyDescent="0.4">
      <c r="B10778" t="s">
        <v>7</v>
      </c>
      <c r="C10778" t="s">
        <v>1687</v>
      </c>
      <c r="D10778" s="7">
        <f>DATE(2013,9,26)</f>
        <v>41543</v>
      </c>
      <c r="E10778" s="8">
        <f t="shared" si="177"/>
        <v>2013</v>
      </c>
      <c r="F10778" t="s">
        <v>1688</v>
      </c>
      <c r="G10778" s="9">
        <v>10080.64</v>
      </c>
      <c r="H10778" s="8">
        <v>12691</v>
      </c>
    </row>
    <row r="10779" spans="2:8" x14ac:dyDescent="0.4">
      <c r="B10779" t="s">
        <v>7</v>
      </c>
      <c r="C10779" t="s">
        <v>1687</v>
      </c>
      <c r="D10779" s="7">
        <f>DATE(2013,10,29)</f>
        <v>41576</v>
      </c>
      <c r="E10779" s="8">
        <f t="shared" si="177"/>
        <v>2013</v>
      </c>
      <c r="F10779" t="s">
        <v>1688</v>
      </c>
      <c r="G10779" s="9">
        <v>24054.85</v>
      </c>
      <c r="H10779" s="8">
        <v>12591</v>
      </c>
    </row>
    <row r="10780" spans="2:8" x14ac:dyDescent="0.4">
      <c r="B10780" s="3" t="s">
        <v>7</v>
      </c>
      <c r="C10780" s="3" t="s">
        <v>1689</v>
      </c>
      <c r="D10780" s="4">
        <f>DATE(2003,9,16)</f>
        <v>37880</v>
      </c>
      <c r="E10780" s="5">
        <f t="shared" si="177"/>
        <v>2003</v>
      </c>
      <c r="F10780" s="3" t="s">
        <v>1690</v>
      </c>
      <c r="G10780" s="6">
        <v>11102.36</v>
      </c>
      <c r="H10780" s="5">
        <v>1470</v>
      </c>
    </row>
    <row r="10781" spans="2:8" x14ac:dyDescent="0.4">
      <c r="B10781" s="3" t="s">
        <v>7</v>
      </c>
      <c r="C10781" s="3" t="s">
        <v>1689</v>
      </c>
      <c r="D10781" s="4">
        <f>DATE(2005,8,29)</f>
        <v>38593</v>
      </c>
      <c r="E10781" s="5">
        <f t="shared" si="177"/>
        <v>2005</v>
      </c>
      <c r="F10781" s="3" t="s">
        <v>1690</v>
      </c>
      <c r="G10781" s="6">
        <v>2443</v>
      </c>
      <c r="H10781" s="5">
        <v>5184</v>
      </c>
    </row>
    <row r="10782" spans="2:8" x14ac:dyDescent="0.4">
      <c r="B10782" s="3" t="s">
        <v>7</v>
      </c>
      <c r="C10782" s="3" t="s">
        <v>1689</v>
      </c>
      <c r="D10782" s="4">
        <f>DATE(2005,9,21)</f>
        <v>38616</v>
      </c>
      <c r="E10782" s="5">
        <f t="shared" si="177"/>
        <v>2005</v>
      </c>
      <c r="F10782" s="3" t="s">
        <v>1690</v>
      </c>
      <c r="G10782" s="6">
        <v>2534.75</v>
      </c>
      <c r="H10782" s="5">
        <v>5304</v>
      </c>
    </row>
    <row r="10783" spans="2:8" x14ac:dyDescent="0.4">
      <c r="B10783" s="3" t="s">
        <v>16</v>
      </c>
      <c r="C10783" s="3" t="s">
        <v>1689</v>
      </c>
      <c r="D10783" s="4">
        <f>DATE(2005,9,26)</f>
        <v>38621</v>
      </c>
      <c r="E10783" s="5">
        <f t="shared" si="177"/>
        <v>2005</v>
      </c>
      <c r="F10783" s="3" t="s">
        <v>1690</v>
      </c>
      <c r="G10783" s="6">
        <v>2432</v>
      </c>
      <c r="H10783" s="5">
        <v>5305</v>
      </c>
    </row>
    <row r="10784" spans="2:8" x14ac:dyDescent="0.4">
      <c r="B10784" s="3" t="s">
        <v>7</v>
      </c>
      <c r="C10784" s="3" t="s">
        <v>1691</v>
      </c>
      <c r="D10784" s="4">
        <f>DATE(2003,11,13)</f>
        <v>37938</v>
      </c>
      <c r="E10784" s="5">
        <f t="shared" si="177"/>
        <v>2003</v>
      </c>
      <c r="F10784" s="3" t="s">
        <v>1692</v>
      </c>
      <c r="G10784" s="6">
        <v>9.7200000000000006</v>
      </c>
      <c r="H10784" s="5">
        <v>1694</v>
      </c>
    </row>
    <row r="10785" spans="2:8" x14ac:dyDescent="0.4">
      <c r="B10785" s="3" t="s">
        <v>7</v>
      </c>
      <c r="C10785" s="3" t="s">
        <v>1691</v>
      </c>
      <c r="D10785" s="4">
        <f>DATE(2003,1,16)</f>
        <v>37637</v>
      </c>
      <c r="E10785" s="5">
        <f t="shared" si="177"/>
        <v>2003</v>
      </c>
      <c r="F10785" s="3" t="s">
        <v>1693</v>
      </c>
      <c r="G10785" s="6">
        <v>123</v>
      </c>
      <c r="H10785" s="5">
        <v>14</v>
      </c>
    </row>
    <row r="10786" spans="2:8" x14ac:dyDescent="0.4">
      <c r="B10786" t="s">
        <v>7</v>
      </c>
      <c r="C10786" t="s">
        <v>1691</v>
      </c>
      <c r="D10786" s="7">
        <f>DATE(2017,2,1)</f>
        <v>42767</v>
      </c>
      <c r="E10786" s="8">
        <f t="shared" si="177"/>
        <v>2017</v>
      </c>
      <c r="F10786" t="s">
        <v>1694</v>
      </c>
      <c r="G10786" s="9">
        <v>400.32</v>
      </c>
      <c r="H10786" s="8">
        <v>24189</v>
      </c>
    </row>
    <row r="10787" spans="2:8" x14ac:dyDescent="0.4">
      <c r="B10787" s="3" t="s">
        <v>7</v>
      </c>
      <c r="C10787" s="3" t="s">
        <v>1691</v>
      </c>
      <c r="D10787" s="4">
        <f>DATE(2003,3,28)</f>
        <v>37708</v>
      </c>
      <c r="E10787" s="5">
        <f t="shared" si="177"/>
        <v>2003</v>
      </c>
      <c r="F10787" s="3" t="s">
        <v>1694</v>
      </c>
      <c r="G10787" s="6">
        <v>250</v>
      </c>
      <c r="H10787" s="5">
        <v>638</v>
      </c>
    </row>
    <row r="10788" spans="2:8" x14ac:dyDescent="0.4">
      <c r="B10788" s="3" t="s">
        <v>7</v>
      </c>
      <c r="C10788" s="3" t="s">
        <v>1691</v>
      </c>
      <c r="D10788" s="4">
        <f>DATE(2003,5,15)</f>
        <v>37756</v>
      </c>
      <c r="E10788" s="5">
        <f t="shared" si="177"/>
        <v>2003</v>
      </c>
      <c r="F10788" s="3" t="s">
        <v>1694</v>
      </c>
      <c r="G10788" s="6">
        <v>150</v>
      </c>
      <c r="H10788" s="5">
        <v>964</v>
      </c>
    </row>
    <row r="10789" spans="2:8" x14ac:dyDescent="0.4">
      <c r="B10789" s="3" t="s">
        <v>7</v>
      </c>
      <c r="C10789" s="3" t="s">
        <v>1691</v>
      </c>
      <c r="D10789" s="4">
        <f>DATE(2003,8,8)</f>
        <v>37841</v>
      </c>
      <c r="E10789" s="5">
        <f t="shared" si="177"/>
        <v>2003</v>
      </c>
      <c r="F10789" s="3" t="s">
        <v>1694</v>
      </c>
      <c r="G10789" s="6">
        <v>236</v>
      </c>
      <c r="H10789" s="5">
        <v>1298</v>
      </c>
    </row>
    <row r="10790" spans="2:8" x14ac:dyDescent="0.4">
      <c r="B10790" s="3" t="s">
        <v>7</v>
      </c>
      <c r="C10790" s="3" t="s">
        <v>1691</v>
      </c>
      <c r="D10790" s="4">
        <f>DATE(2003,10,28)</f>
        <v>37922</v>
      </c>
      <c r="E10790" s="5">
        <f t="shared" si="177"/>
        <v>2003</v>
      </c>
      <c r="F10790" s="3" t="s">
        <v>1694</v>
      </c>
      <c r="G10790" s="6">
        <v>349.28</v>
      </c>
      <c r="H10790" s="5">
        <v>1694</v>
      </c>
    </row>
    <row r="10791" spans="2:8" x14ac:dyDescent="0.4">
      <c r="B10791" s="3" t="s">
        <v>7</v>
      </c>
      <c r="C10791" s="3" t="s">
        <v>1695</v>
      </c>
      <c r="D10791" s="4">
        <f>DATE(2005,12,5)</f>
        <v>38691</v>
      </c>
      <c r="E10791" s="5">
        <f t="shared" si="177"/>
        <v>2005</v>
      </c>
      <c r="F10791" s="3" t="s">
        <v>1696</v>
      </c>
      <c r="G10791" s="6">
        <v>520.5</v>
      </c>
      <c r="H10791" s="5">
        <v>5687</v>
      </c>
    </row>
    <row r="10792" spans="2:8" x14ac:dyDescent="0.4">
      <c r="B10792" t="s">
        <v>7</v>
      </c>
      <c r="C10792" t="s">
        <v>1697</v>
      </c>
      <c r="D10792" s="7">
        <f>DATE(2015,5,26)</f>
        <v>42150</v>
      </c>
      <c r="E10792" s="8">
        <f t="shared" si="177"/>
        <v>2015</v>
      </c>
      <c r="F10792" t="s">
        <v>1698</v>
      </c>
      <c r="G10792" s="9">
        <v>15666.52</v>
      </c>
      <c r="H10792" s="8">
        <v>20600</v>
      </c>
    </row>
    <row r="10793" spans="2:8" x14ac:dyDescent="0.4">
      <c r="B10793" s="3" t="s">
        <v>7</v>
      </c>
      <c r="C10793" s="3" t="s">
        <v>1699</v>
      </c>
      <c r="D10793" s="4">
        <f>DATE(2010,5,11)</f>
        <v>40309</v>
      </c>
      <c r="E10793" s="5">
        <f t="shared" si="177"/>
        <v>2010</v>
      </c>
      <c r="F10793" s="3" t="s">
        <v>1700</v>
      </c>
      <c r="G10793" s="6">
        <v>4992.17</v>
      </c>
      <c r="H10793" s="5">
        <v>14028</v>
      </c>
    </row>
    <row r="10794" spans="2:8" x14ac:dyDescent="0.4">
      <c r="B10794" s="3" t="s">
        <v>7</v>
      </c>
      <c r="C10794" s="3" t="s">
        <v>1701</v>
      </c>
      <c r="D10794" s="4">
        <f>DATE(2006,4,26)</f>
        <v>38833</v>
      </c>
      <c r="E10794" s="5">
        <f t="shared" si="177"/>
        <v>2006</v>
      </c>
      <c r="F10794" s="3" t="s">
        <v>1702</v>
      </c>
      <c r="G10794" s="6">
        <v>6004</v>
      </c>
      <c r="H10794" s="5">
        <v>5903</v>
      </c>
    </row>
    <row r="10795" spans="2:8" x14ac:dyDescent="0.4">
      <c r="B10795" s="3" t="s">
        <v>7</v>
      </c>
      <c r="C10795" s="3" t="s">
        <v>1701</v>
      </c>
      <c r="D10795" s="4">
        <f>DATE(2003,4,3)</f>
        <v>37714</v>
      </c>
      <c r="E10795" s="5">
        <f t="shared" si="177"/>
        <v>2003</v>
      </c>
      <c r="F10795" s="3" t="s">
        <v>1703</v>
      </c>
      <c r="G10795" s="6">
        <v>3185.6</v>
      </c>
      <c r="H10795" s="5">
        <v>677</v>
      </c>
    </row>
    <row r="10796" spans="2:8" x14ac:dyDescent="0.4">
      <c r="B10796" s="3" t="s">
        <v>7</v>
      </c>
      <c r="C10796" s="3" t="s">
        <v>1701</v>
      </c>
      <c r="D10796" s="4">
        <f>DATE(2003,5,9)</f>
        <v>37750</v>
      </c>
      <c r="E10796" s="5">
        <f t="shared" si="177"/>
        <v>2003</v>
      </c>
      <c r="F10796" s="3" t="s">
        <v>1703</v>
      </c>
      <c r="G10796" s="6">
        <v>1026</v>
      </c>
      <c r="H10796" s="5">
        <v>921</v>
      </c>
    </row>
    <row r="10797" spans="2:8" x14ac:dyDescent="0.4">
      <c r="B10797" s="3" t="s">
        <v>7</v>
      </c>
      <c r="C10797" s="3" t="s">
        <v>1701</v>
      </c>
      <c r="D10797" s="4">
        <f>DATE(2004,6,18)</f>
        <v>38156</v>
      </c>
      <c r="E10797" s="5">
        <f t="shared" si="177"/>
        <v>2004</v>
      </c>
      <c r="F10797" s="3" t="s">
        <v>1703</v>
      </c>
      <c r="G10797" s="6">
        <v>6730</v>
      </c>
      <c r="H10797" s="5">
        <v>3056</v>
      </c>
    </row>
    <row r="10798" spans="2:8" x14ac:dyDescent="0.4">
      <c r="B10798" s="3" t="s">
        <v>7</v>
      </c>
      <c r="C10798" s="3" t="s">
        <v>1701</v>
      </c>
      <c r="D10798" s="4">
        <f>DATE(2004,10,14)</f>
        <v>38274</v>
      </c>
      <c r="E10798" s="5">
        <f t="shared" si="177"/>
        <v>2004</v>
      </c>
      <c r="F10798" s="3" t="s">
        <v>1703</v>
      </c>
      <c r="G10798" s="6">
        <v>478</v>
      </c>
      <c r="H10798" s="5">
        <v>3122</v>
      </c>
    </row>
    <row r="10799" spans="2:8" x14ac:dyDescent="0.4">
      <c r="B10799" s="3" t="s">
        <v>7</v>
      </c>
      <c r="C10799" s="3" t="s">
        <v>1701</v>
      </c>
      <c r="D10799" s="4">
        <f>DATE(2005,2,11)</f>
        <v>38394</v>
      </c>
      <c r="E10799" s="5">
        <f t="shared" si="177"/>
        <v>2005</v>
      </c>
      <c r="F10799" s="3" t="s">
        <v>1703</v>
      </c>
      <c r="G10799" s="6">
        <v>6730</v>
      </c>
      <c r="H10799" s="5">
        <v>4023</v>
      </c>
    </row>
    <row r="10800" spans="2:8" x14ac:dyDescent="0.4">
      <c r="B10800" s="3" t="s">
        <v>7</v>
      </c>
      <c r="C10800" s="3" t="s">
        <v>1701</v>
      </c>
      <c r="D10800" s="4">
        <f>DATE(2006,1,18)</f>
        <v>38735</v>
      </c>
      <c r="E10800" s="5">
        <f t="shared" si="177"/>
        <v>2006</v>
      </c>
      <c r="F10800" s="3" t="s">
        <v>1703</v>
      </c>
      <c r="G10800" s="6">
        <v>273.60000000000002</v>
      </c>
      <c r="H10800" s="5">
        <v>5640</v>
      </c>
    </row>
    <row r="10801" spans="2:8" x14ac:dyDescent="0.4">
      <c r="B10801" s="3" t="s">
        <v>7</v>
      </c>
      <c r="C10801" s="3" t="s">
        <v>1701</v>
      </c>
      <c r="D10801" s="4">
        <f>DATE(2006,2,27)</f>
        <v>38775</v>
      </c>
      <c r="E10801" s="5">
        <f t="shared" si="177"/>
        <v>2006</v>
      </c>
      <c r="F10801" s="3" t="s">
        <v>1703</v>
      </c>
      <c r="G10801" s="6">
        <v>988</v>
      </c>
      <c r="H10801" s="5">
        <v>5638</v>
      </c>
    </row>
    <row r="10802" spans="2:8" x14ac:dyDescent="0.4">
      <c r="B10802" s="3" t="s">
        <v>7</v>
      </c>
      <c r="C10802" s="3" t="s">
        <v>1704</v>
      </c>
      <c r="D10802" s="4">
        <f>DATE(2003,6,19)</f>
        <v>37791</v>
      </c>
      <c r="E10802" s="5">
        <f t="shared" si="177"/>
        <v>2003</v>
      </c>
      <c r="F10802" s="3" t="s">
        <v>1705</v>
      </c>
      <c r="G10802" s="6">
        <v>293.5</v>
      </c>
      <c r="H10802" s="5">
        <v>983</v>
      </c>
    </row>
    <row r="10803" spans="2:8" x14ac:dyDescent="0.4">
      <c r="B10803" s="3" t="s">
        <v>7</v>
      </c>
      <c r="C10803" s="3" t="s">
        <v>1704</v>
      </c>
      <c r="D10803" s="4">
        <f>DATE(2003,8,20)</f>
        <v>37853</v>
      </c>
      <c r="E10803" s="5">
        <f t="shared" si="177"/>
        <v>2003</v>
      </c>
      <c r="F10803" s="3" t="s">
        <v>1705</v>
      </c>
      <c r="G10803" s="6">
        <v>753.75</v>
      </c>
      <c r="H10803" s="5">
        <v>1360</v>
      </c>
    </row>
    <row r="10804" spans="2:8" x14ac:dyDescent="0.4">
      <c r="B10804" s="3" t="s">
        <v>7</v>
      </c>
      <c r="C10804" s="3" t="s">
        <v>1704</v>
      </c>
      <c r="D10804" s="4">
        <f>DATE(2003,12,8)</f>
        <v>37963</v>
      </c>
      <c r="E10804" s="5">
        <f t="shared" si="177"/>
        <v>2003</v>
      </c>
      <c r="F10804" s="3" t="s">
        <v>1705</v>
      </c>
      <c r="G10804" s="6">
        <v>255</v>
      </c>
      <c r="H10804" s="5">
        <v>1877</v>
      </c>
    </row>
    <row r="10805" spans="2:8" x14ac:dyDescent="0.4">
      <c r="B10805" s="3" t="s">
        <v>7</v>
      </c>
      <c r="C10805" s="3" t="s">
        <v>1704</v>
      </c>
      <c r="D10805" s="4">
        <f>DATE(2004,3,10)</f>
        <v>38056</v>
      </c>
      <c r="E10805" s="5">
        <f t="shared" si="177"/>
        <v>2004</v>
      </c>
      <c r="F10805" s="3" t="s">
        <v>1705</v>
      </c>
      <c r="G10805" s="6">
        <v>354.85</v>
      </c>
      <c r="H10805" s="5">
        <v>2320</v>
      </c>
    </row>
    <row r="10806" spans="2:8" x14ac:dyDescent="0.4">
      <c r="B10806" s="3" t="s">
        <v>7</v>
      </c>
      <c r="C10806" s="3" t="s">
        <v>1704</v>
      </c>
      <c r="D10806" s="4">
        <f>DATE(2004,8,13)</f>
        <v>38212</v>
      </c>
      <c r="E10806" s="5">
        <f t="shared" si="177"/>
        <v>2004</v>
      </c>
      <c r="F10806" s="3" t="s">
        <v>1705</v>
      </c>
      <c r="G10806" s="6">
        <v>2172</v>
      </c>
      <c r="H10806" s="5">
        <v>3230</v>
      </c>
    </row>
    <row r="10807" spans="2:8" x14ac:dyDescent="0.4">
      <c r="B10807" t="s">
        <v>7</v>
      </c>
      <c r="C10807" t="s">
        <v>1706</v>
      </c>
      <c r="D10807" s="7">
        <f>DATE(2015,8,28)</f>
        <v>42244</v>
      </c>
      <c r="E10807" s="8">
        <f t="shared" si="177"/>
        <v>2015</v>
      </c>
      <c r="F10807" t="s">
        <v>1707</v>
      </c>
      <c r="G10807" s="9">
        <v>6292.83</v>
      </c>
      <c r="H10807" s="8">
        <v>97</v>
      </c>
    </row>
    <row r="10808" spans="2:8" x14ac:dyDescent="0.4">
      <c r="B10808" t="s">
        <v>7</v>
      </c>
      <c r="C10808" t="s">
        <v>1706</v>
      </c>
      <c r="D10808" s="7">
        <f>DATE(2015,8,28)</f>
        <v>42244</v>
      </c>
      <c r="E10808" s="8">
        <f t="shared" si="177"/>
        <v>2015</v>
      </c>
      <c r="F10808" t="s">
        <v>1707</v>
      </c>
      <c r="G10808" s="9">
        <v>20718.169999999998</v>
      </c>
      <c r="H10808" s="8">
        <v>122</v>
      </c>
    </row>
    <row r="10809" spans="2:8" x14ac:dyDescent="0.4">
      <c r="B10809" t="s">
        <v>7</v>
      </c>
      <c r="C10809" t="s">
        <v>1706</v>
      </c>
      <c r="D10809" s="7">
        <f>DATE(2015,2,26)</f>
        <v>42061</v>
      </c>
      <c r="E10809" s="8">
        <f t="shared" si="177"/>
        <v>2015</v>
      </c>
      <c r="F10809" t="s">
        <v>1707</v>
      </c>
      <c r="G10809" s="9">
        <v>329.76</v>
      </c>
      <c r="H10809" s="8">
        <v>383</v>
      </c>
    </row>
    <row r="10810" spans="2:8" x14ac:dyDescent="0.4">
      <c r="B10810" t="s">
        <v>7</v>
      </c>
      <c r="C10810" t="s">
        <v>1706</v>
      </c>
      <c r="D10810" s="7">
        <f>DATE(2008,2,27)</f>
        <v>39505</v>
      </c>
      <c r="E10810" s="8">
        <f t="shared" si="177"/>
        <v>2008</v>
      </c>
      <c r="F10810" t="s">
        <v>1707</v>
      </c>
      <c r="G10810" s="9">
        <v>10484.57</v>
      </c>
      <c r="H10810" s="8">
        <v>7010</v>
      </c>
    </row>
    <row r="10811" spans="2:8" x14ac:dyDescent="0.4">
      <c r="B10811" t="s">
        <v>7</v>
      </c>
      <c r="C10811" t="s">
        <v>1706</v>
      </c>
      <c r="D10811" s="7">
        <f>DATE(2008,2,29)</f>
        <v>39507</v>
      </c>
      <c r="E10811" s="8">
        <f t="shared" si="177"/>
        <v>2008</v>
      </c>
      <c r="F10811" t="s">
        <v>1707</v>
      </c>
      <c r="G10811" s="9">
        <v>7312</v>
      </c>
      <c r="H10811" s="8">
        <v>7047</v>
      </c>
    </row>
    <row r="10812" spans="2:8" x14ac:dyDescent="0.4">
      <c r="B10812" s="3" t="s">
        <v>7</v>
      </c>
      <c r="C10812" s="3" t="s">
        <v>1706</v>
      </c>
      <c r="D10812" s="4">
        <f>DATE(2010,4,30)</f>
        <v>40298</v>
      </c>
      <c r="E10812" s="5">
        <f t="shared" si="177"/>
        <v>2010</v>
      </c>
      <c r="F10812" s="3" t="s">
        <v>1707</v>
      </c>
      <c r="G10812" s="6">
        <v>4992.17</v>
      </c>
      <c r="H10812" s="5">
        <v>13985</v>
      </c>
    </row>
    <row r="10813" spans="2:8" x14ac:dyDescent="0.4">
      <c r="B10813" s="3" t="s">
        <v>16</v>
      </c>
      <c r="C10813" s="3" t="s">
        <v>1706</v>
      </c>
      <c r="D10813" s="4">
        <f>DATE(2010,5,5)</f>
        <v>40303</v>
      </c>
      <c r="E10813" s="5">
        <f t="shared" si="177"/>
        <v>2010</v>
      </c>
      <c r="F10813" s="3" t="s">
        <v>1707</v>
      </c>
      <c r="G10813" s="6">
        <v>4992.17</v>
      </c>
      <c r="H10813" s="5">
        <v>14027</v>
      </c>
    </row>
    <row r="10814" spans="2:8" x14ac:dyDescent="0.4">
      <c r="B10814" t="s">
        <v>7</v>
      </c>
      <c r="C10814" t="s">
        <v>1706</v>
      </c>
      <c r="D10814" s="7">
        <f>DATE(2018,2,27)</f>
        <v>43158</v>
      </c>
      <c r="E10814" s="8">
        <f t="shared" si="177"/>
        <v>2018</v>
      </c>
      <c r="F10814" t="s">
        <v>1708</v>
      </c>
      <c r="G10814" s="9">
        <v>18778.82</v>
      </c>
      <c r="H10814" s="8">
        <v>26318</v>
      </c>
    </row>
    <row r="10815" spans="2:8" x14ac:dyDescent="0.4">
      <c r="B10815" t="s">
        <v>7</v>
      </c>
      <c r="C10815" t="s">
        <v>1706</v>
      </c>
      <c r="D10815" s="7">
        <f>DATE(2018,2,27)</f>
        <v>43158</v>
      </c>
      <c r="E10815" s="8">
        <f t="shared" si="177"/>
        <v>2018</v>
      </c>
      <c r="F10815" t="s">
        <v>1708</v>
      </c>
      <c r="G10815" s="9">
        <v>28900</v>
      </c>
      <c r="H10815" s="8">
        <v>26320</v>
      </c>
    </row>
    <row r="10816" spans="2:8" x14ac:dyDescent="0.4">
      <c r="B10816" t="s">
        <v>7</v>
      </c>
      <c r="C10816" t="s">
        <v>1709</v>
      </c>
      <c r="D10816" s="7">
        <f>DATE(2008,1,18)</f>
        <v>39465</v>
      </c>
      <c r="E10816" s="8">
        <f t="shared" si="177"/>
        <v>2008</v>
      </c>
      <c r="F10816" t="s">
        <v>1710</v>
      </c>
      <c r="G10816" s="9">
        <v>14873.26</v>
      </c>
      <c r="H10816" s="8">
        <v>6461</v>
      </c>
    </row>
    <row r="10817" spans="2:8" x14ac:dyDescent="0.4">
      <c r="B10817" t="s">
        <v>7</v>
      </c>
      <c r="C10817" t="s">
        <v>1709</v>
      </c>
      <c r="D10817" s="7">
        <f>DATE(2016,3,1)</f>
        <v>42430</v>
      </c>
      <c r="E10817" s="8">
        <f t="shared" si="177"/>
        <v>2016</v>
      </c>
      <c r="F10817" t="s">
        <v>1711</v>
      </c>
      <c r="G10817" s="9">
        <v>82808.62</v>
      </c>
      <c r="H10817" s="8">
        <v>20778</v>
      </c>
    </row>
    <row r="10818" spans="2:8" x14ac:dyDescent="0.4">
      <c r="B10818" t="s">
        <v>7</v>
      </c>
      <c r="C10818" t="s">
        <v>1709</v>
      </c>
      <c r="D10818" s="7">
        <f>DATE(2004,5,10)</f>
        <v>38117</v>
      </c>
      <c r="E10818" s="8">
        <f t="shared" si="177"/>
        <v>2004</v>
      </c>
      <c r="F10818" t="s">
        <v>1711</v>
      </c>
      <c r="G10818" s="9">
        <v>25199.73</v>
      </c>
      <c r="H10818" s="8">
        <v>1155</v>
      </c>
    </row>
    <row r="10819" spans="2:8" x14ac:dyDescent="0.4">
      <c r="B10819" t="s">
        <v>7</v>
      </c>
      <c r="C10819" t="s">
        <v>1709</v>
      </c>
      <c r="D10819" s="7">
        <f>DATE(2005,3,17)</f>
        <v>38428</v>
      </c>
      <c r="E10819" s="8">
        <f t="shared" ref="E10819:E10882" si="178">YEAR(D10819)</f>
        <v>2005</v>
      </c>
      <c r="F10819" t="s">
        <v>1711</v>
      </c>
      <c r="G10819" s="9">
        <v>19666.82</v>
      </c>
      <c r="H10819" s="8">
        <v>2893</v>
      </c>
    </row>
    <row r="10820" spans="2:8" x14ac:dyDescent="0.4">
      <c r="B10820" t="s">
        <v>7</v>
      </c>
      <c r="C10820" t="s">
        <v>1709</v>
      </c>
      <c r="D10820" s="7">
        <f>DATE(2007,2,23)</f>
        <v>39136</v>
      </c>
      <c r="E10820" s="8">
        <f t="shared" si="178"/>
        <v>2007</v>
      </c>
      <c r="F10820" t="s">
        <v>1711</v>
      </c>
      <c r="G10820" s="9">
        <v>21549.7</v>
      </c>
      <c r="H10820" s="8">
        <v>5264</v>
      </c>
    </row>
    <row r="10821" spans="2:8" x14ac:dyDescent="0.4">
      <c r="B10821" t="s">
        <v>7</v>
      </c>
      <c r="C10821" t="s">
        <v>1709</v>
      </c>
      <c r="D10821" s="7">
        <f>DATE(2007,2,22)</f>
        <v>39135</v>
      </c>
      <c r="E10821" s="8">
        <f t="shared" si="178"/>
        <v>2007</v>
      </c>
      <c r="F10821" t="s">
        <v>1711</v>
      </c>
      <c r="G10821" s="9">
        <v>1092.68</v>
      </c>
      <c r="H10821" s="8">
        <v>5612</v>
      </c>
    </row>
    <row r="10822" spans="2:8" x14ac:dyDescent="0.4">
      <c r="B10822" t="s">
        <v>7</v>
      </c>
      <c r="C10822" t="s">
        <v>1709</v>
      </c>
      <c r="D10822" s="7">
        <f>DATE(2007,2,22)</f>
        <v>39135</v>
      </c>
      <c r="E10822" s="8">
        <f t="shared" si="178"/>
        <v>2007</v>
      </c>
      <c r="F10822" t="s">
        <v>1711</v>
      </c>
      <c r="G10822" s="9">
        <v>54.63</v>
      </c>
      <c r="H10822" s="8">
        <v>5750</v>
      </c>
    </row>
    <row r="10823" spans="2:8" x14ac:dyDescent="0.4">
      <c r="B10823" t="s">
        <v>7</v>
      </c>
      <c r="C10823" t="s">
        <v>1709</v>
      </c>
      <c r="D10823" s="7">
        <f>DATE(2007,2,23)</f>
        <v>39136</v>
      </c>
      <c r="E10823" s="8">
        <f t="shared" si="178"/>
        <v>2007</v>
      </c>
      <c r="F10823" t="s">
        <v>1711</v>
      </c>
      <c r="G10823" s="9">
        <v>1077.49</v>
      </c>
      <c r="H10823" s="8">
        <v>5752</v>
      </c>
    </row>
    <row r="10824" spans="2:8" x14ac:dyDescent="0.4">
      <c r="B10824" t="s">
        <v>7</v>
      </c>
      <c r="C10824" t="s">
        <v>1709</v>
      </c>
      <c r="D10824" s="7">
        <f>DATE(2007,11,4)</f>
        <v>39390</v>
      </c>
      <c r="E10824" s="8">
        <f t="shared" si="178"/>
        <v>2007</v>
      </c>
      <c r="F10824" t="s">
        <v>1711</v>
      </c>
      <c r="G10824" s="9">
        <v>34325.56</v>
      </c>
      <c r="H10824" s="8">
        <v>6451</v>
      </c>
    </row>
    <row r="10825" spans="2:8" x14ac:dyDescent="0.4">
      <c r="B10825" t="s">
        <v>7</v>
      </c>
      <c r="C10825" t="s">
        <v>1709</v>
      </c>
      <c r="D10825" s="7">
        <f>DATE(2007,11,4)</f>
        <v>39390</v>
      </c>
      <c r="E10825" s="8">
        <f t="shared" si="178"/>
        <v>2007</v>
      </c>
      <c r="F10825" t="s">
        <v>1711</v>
      </c>
      <c r="G10825" s="9">
        <v>15002.93</v>
      </c>
      <c r="H10825" s="8">
        <v>6648</v>
      </c>
    </row>
    <row r="10826" spans="2:8" x14ac:dyDescent="0.4">
      <c r="B10826" t="s">
        <v>7</v>
      </c>
      <c r="C10826" t="s">
        <v>1709</v>
      </c>
      <c r="D10826" s="7">
        <f>DATE(2007,11,5)</f>
        <v>39391</v>
      </c>
      <c r="E10826" s="8">
        <f t="shared" si="178"/>
        <v>2007</v>
      </c>
      <c r="F10826" t="s">
        <v>1711</v>
      </c>
      <c r="G10826" s="9">
        <v>20650.97</v>
      </c>
      <c r="H10826" s="8">
        <v>6649</v>
      </c>
    </row>
    <row r="10827" spans="2:8" x14ac:dyDescent="0.4">
      <c r="B10827" t="s">
        <v>7</v>
      </c>
      <c r="C10827" t="s">
        <v>1709</v>
      </c>
      <c r="D10827" s="7">
        <f>DATE(2008,12,12)</f>
        <v>39794</v>
      </c>
      <c r="E10827" s="8">
        <f t="shared" si="178"/>
        <v>2008</v>
      </c>
      <c r="F10827" t="s">
        <v>1711</v>
      </c>
      <c r="G10827" s="9">
        <v>25191.65</v>
      </c>
      <c r="H10827" s="8">
        <v>8015</v>
      </c>
    </row>
    <row r="10828" spans="2:8" x14ac:dyDescent="0.4">
      <c r="B10828" t="s">
        <v>7</v>
      </c>
      <c r="C10828" t="s">
        <v>1709</v>
      </c>
      <c r="D10828" s="7">
        <f>DATE(2008,12,12)</f>
        <v>39794</v>
      </c>
      <c r="E10828" s="8">
        <f t="shared" si="178"/>
        <v>2008</v>
      </c>
      <c r="F10828" t="s">
        <v>1711</v>
      </c>
      <c r="G10828" s="9">
        <v>1259.58</v>
      </c>
      <c r="H10828" s="8">
        <v>8239</v>
      </c>
    </row>
    <row r="10829" spans="2:8" x14ac:dyDescent="0.4">
      <c r="B10829" t="s">
        <v>7</v>
      </c>
      <c r="C10829" t="s">
        <v>1709</v>
      </c>
      <c r="D10829" s="7">
        <f>DATE(2010,4,13)</f>
        <v>40281</v>
      </c>
      <c r="E10829" s="8">
        <f t="shared" si="178"/>
        <v>2010</v>
      </c>
      <c r="F10829" t="s">
        <v>1711</v>
      </c>
      <c r="G10829" s="9">
        <v>27978.51</v>
      </c>
      <c r="H10829" s="8">
        <v>9706</v>
      </c>
    </row>
    <row r="10830" spans="2:8" x14ac:dyDescent="0.4">
      <c r="B10830" t="s">
        <v>7</v>
      </c>
      <c r="C10830" t="s">
        <v>1709</v>
      </c>
      <c r="D10830" s="7">
        <f>DATE(2010,4,28)</f>
        <v>40296</v>
      </c>
      <c r="E10830" s="8">
        <f t="shared" si="178"/>
        <v>2010</v>
      </c>
      <c r="F10830" t="s">
        <v>1711</v>
      </c>
      <c r="G10830" s="9">
        <v>27423.69</v>
      </c>
      <c r="H10830" s="8">
        <v>9707</v>
      </c>
    </row>
    <row r="10831" spans="2:8" x14ac:dyDescent="0.4">
      <c r="B10831" t="s">
        <v>7</v>
      </c>
      <c r="C10831" t="s">
        <v>1709</v>
      </c>
      <c r="D10831" s="7">
        <f>DATE(2010,8,2)</f>
        <v>40392</v>
      </c>
      <c r="E10831" s="8">
        <f t="shared" si="178"/>
        <v>2010</v>
      </c>
      <c r="F10831" t="s">
        <v>1711</v>
      </c>
      <c r="G10831" s="9">
        <v>9499.4599999999991</v>
      </c>
      <c r="H10831" s="8">
        <v>10001</v>
      </c>
    </row>
    <row r="10832" spans="2:8" x14ac:dyDescent="0.4">
      <c r="B10832" t="s">
        <v>7</v>
      </c>
      <c r="C10832" t="s">
        <v>1709</v>
      </c>
      <c r="D10832" s="7">
        <f>DATE(2011,2,8)</f>
        <v>40582</v>
      </c>
      <c r="E10832" s="8">
        <f t="shared" si="178"/>
        <v>2011</v>
      </c>
      <c r="F10832" t="s">
        <v>1711</v>
      </c>
      <c r="G10832" s="9">
        <v>35732.44</v>
      </c>
      <c r="H10832" s="8">
        <v>10425</v>
      </c>
    </row>
    <row r="10833" spans="2:8" x14ac:dyDescent="0.4">
      <c r="B10833" t="s">
        <v>7</v>
      </c>
      <c r="C10833" t="s">
        <v>1709</v>
      </c>
      <c r="D10833" s="7">
        <f>DATE(2013,2,26)</f>
        <v>41331</v>
      </c>
      <c r="E10833" s="8">
        <f t="shared" si="178"/>
        <v>2013</v>
      </c>
      <c r="F10833" t="s">
        <v>1711</v>
      </c>
      <c r="G10833" s="9">
        <v>3821.59</v>
      </c>
      <c r="H10833" s="8">
        <v>12242</v>
      </c>
    </row>
    <row r="10834" spans="2:8" x14ac:dyDescent="0.4">
      <c r="B10834" t="s">
        <v>7</v>
      </c>
      <c r="C10834" t="s">
        <v>1709</v>
      </c>
      <c r="D10834" s="7">
        <f>DATE(2013,3,21)</f>
        <v>41354</v>
      </c>
      <c r="E10834" s="8">
        <f t="shared" si="178"/>
        <v>2013</v>
      </c>
      <c r="F10834" t="s">
        <v>1711</v>
      </c>
      <c r="G10834" s="9">
        <v>16180.48</v>
      </c>
      <c r="H10834" s="8">
        <v>12271</v>
      </c>
    </row>
    <row r="10835" spans="2:8" x14ac:dyDescent="0.4">
      <c r="B10835" s="3" t="s">
        <v>7</v>
      </c>
      <c r="C10835" s="3" t="s">
        <v>1709</v>
      </c>
      <c r="D10835" s="4">
        <f>DATE(2005,10,7)</f>
        <v>38632</v>
      </c>
      <c r="E10835" s="5">
        <f t="shared" si="178"/>
        <v>2005</v>
      </c>
      <c r="F10835" s="3" t="s">
        <v>1711</v>
      </c>
      <c r="G10835" s="6">
        <v>9790</v>
      </c>
      <c r="H10835" s="5">
        <v>4810</v>
      </c>
    </row>
    <row r="10836" spans="2:8" x14ac:dyDescent="0.4">
      <c r="B10836" s="3" t="s">
        <v>7</v>
      </c>
      <c r="C10836" s="3" t="s">
        <v>1709</v>
      </c>
      <c r="D10836" s="4">
        <f>DATE(2006,11,27)</f>
        <v>39048</v>
      </c>
      <c r="E10836" s="5">
        <f t="shared" si="178"/>
        <v>2006</v>
      </c>
      <c r="F10836" s="3" t="s">
        <v>1711</v>
      </c>
      <c r="G10836" s="6">
        <v>8900</v>
      </c>
      <c r="H10836" s="5">
        <v>7582</v>
      </c>
    </row>
    <row r="10837" spans="2:8" x14ac:dyDescent="0.4">
      <c r="B10837" s="3" t="s">
        <v>7</v>
      </c>
      <c r="C10837" s="3" t="s">
        <v>1709</v>
      </c>
      <c r="D10837" s="4">
        <f>DATE(2006,12,15)</f>
        <v>39066</v>
      </c>
      <c r="E10837" s="5">
        <f t="shared" si="178"/>
        <v>2006</v>
      </c>
      <c r="F10837" s="3" t="s">
        <v>1711</v>
      </c>
      <c r="G10837" s="6">
        <v>890</v>
      </c>
      <c r="H10837" s="5">
        <v>7570</v>
      </c>
    </row>
    <row r="10838" spans="2:8" x14ac:dyDescent="0.4">
      <c r="B10838" t="s">
        <v>7</v>
      </c>
      <c r="C10838" t="s">
        <v>1712</v>
      </c>
      <c r="D10838" s="7">
        <f>DATE(2007,12,23)</f>
        <v>39439</v>
      </c>
      <c r="E10838" s="8">
        <f t="shared" si="178"/>
        <v>2007</v>
      </c>
      <c r="F10838" t="s">
        <v>1713</v>
      </c>
      <c r="G10838" s="9">
        <v>17967.2</v>
      </c>
      <c r="H10838" s="8">
        <v>6768</v>
      </c>
    </row>
    <row r="10839" spans="2:8" x14ac:dyDescent="0.4">
      <c r="B10839" t="s">
        <v>7</v>
      </c>
      <c r="C10839" t="s">
        <v>1714</v>
      </c>
      <c r="D10839" s="7">
        <f>DATE(2015,5,19)</f>
        <v>42143</v>
      </c>
      <c r="E10839" s="8">
        <f t="shared" si="178"/>
        <v>2015</v>
      </c>
      <c r="F10839" t="s">
        <v>1715</v>
      </c>
      <c r="G10839" s="9">
        <v>12025</v>
      </c>
      <c r="H10839" s="8">
        <v>206</v>
      </c>
    </row>
    <row r="10840" spans="2:8" x14ac:dyDescent="0.4">
      <c r="B10840" t="s">
        <v>7</v>
      </c>
      <c r="C10840" t="s">
        <v>1714</v>
      </c>
      <c r="D10840" s="7">
        <f>DATE(2016,10,31)</f>
        <v>42674</v>
      </c>
      <c r="E10840" s="8">
        <f t="shared" si="178"/>
        <v>2016</v>
      </c>
      <c r="F10840" t="s">
        <v>1715</v>
      </c>
      <c r="G10840" s="9">
        <v>10750</v>
      </c>
      <c r="H10840" s="8">
        <v>22734</v>
      </c>
    </row>
    <row r="10841" spans="2:8" x14ac:dyDescent="0.4">
      <c r="B10841" t="s">
        <v>7</v>
      </c>
      <c r="C10841" t="s">
        <v>1714</v>
      </c>
      <c r="D10841" s="7">
        <f>DATE(2018,5,15)</f>
        <v>43235</v>
      </c>
      <c r="E10841" s="8">
        <f t="shared" si="178"/>
        <v>2018</v>
      </c>
      <c r="F10841" t="s">
        <v>1715</v>
      </c>
      <c r="G10841" s="9">
        <v>11175</v>
      </c>
      <c r="H10841" s="8">
        <v>26735</v>
      </c>
    </row>
    <row r="10842" spans="2:8" x14ac:dyDescent="0.4">
      <c r="B10842" t="s">
        <v>7</v>
      </c>
      <c r="C10842" t="s">
        <v>1714</v>
      </c>
      <c r="D10842" s="7">
        <f>DATE(2015,5,19)</f>
        <v>42143</v>
      </c>
      <c r="E10842" s="8">
        <f t="shared" si="178"/>
        <v>2015</v>
      </c>
      <c r="F10842" t="s">
        <v>1715</v>
      </c>
      <c r="G10842" s="9">
        <v>9899</v>
      </c>
      <c r="H10842" s="8">
        <v>200</v>
      </c>
    </row>
    <row r="10843" spans="2:8" x14ac:dyDescent="0.4">
      <c r="B10843" t="s">
        <v>7</v>
      </c>
      <c r="C10843" t="s">
        <v>1714</v>
      </c>
      <c r="D10843" s="7">
        <f>DATE(2016,10,31)</f>
        <v>42674</v>
      </c>
      <c r="E10843" s="8">
        <f t="shared" si="178"/>
        <v>2016</v>
      </c>
      <c r="F10843" t="s">
        <v>1715</v>
      </c>
      <c r="G10843" s="9">
        <v>10800</v>
      </c>
      <c r="H10843" s="8">
        <v>22735</v>
      </c>
    </row>
    <row r="10844" spans="2:8" x14ac:dyDescent="0.4">
      <c r="B10844" t="s">
        <v>7</v>
      </c>
      <c r="C10844" t="s">
        <v>1714</v>
      </c>
      <c r="D10844" s="7">
        <f>DATE(2018,5,15)</f>
        <v>43235</v>
      </c>
      <c r="E10844" s="8">
        <f t="shared" si="178"/>
        <v>2018</v>
      </c>
      <c r="F10844" t="s">
        <v>1715</v>
      </c>
      <c r="G10844" s="9">
        <v>8300</v>
      </c>
      <c r="H10844" s="8">
        <v>26737</v>
      </c>
    </row>
    <row r="10845" spans="2:8" x14ac:dyDescent="0.4">
      <c r="B10845" t="s">
        <v>7</v>
      </c>
      <c r="C10845" t="s">
        <v>1714</v>
      </c>
      <c r="D10845" s="7">
        <f>DATE(2019,1,15)</f>
        <v>43480</v>
      </c>
      <c r="E10845" s="8">
        <f t="shared" si="178"/>
        <v>2019</v>
      </c>
      <c r="F10845" t="s">
        <v>1715</v>
      </c>
      <c r="G10845" s="9">
        <v>7600.4</v>
      </c>
      <c r="H10845" s="8">
        <v>28231</v>
      </c>
    </row>
    <row r="10846" spans="2:8" x14ac:dyDescent="0.4">
      <c r="B10846" t="s">
        <v>7</v>
      </c>
      <c r="C10846" t="s">
        <v>1714</v>
      </c>
      <c r="D10846" s="7">
        <f>DATE(2019,4,23)</f>
        <v>43578</v>
      </c>
      <c r="E10846" s="8">
        <f t="shared" si="178"/>
        <v>2019</v>
      </c>
      <c r="F10846" t="s">
        <v>1715</v>
      </c>
      <c r="G10846" s="9">
        <v>11500</v>
      </c>
      <c r="H10846" s="8">
        <v>28783</v>
      </c>
    </row>
    <row r="10847" spans="2:8" x14ac:dyDescent="0.4">
      <c r="B10847" t="s">
        <v>7</v>
      </c>
      <c r="C10847" t="s">
        <v>1714</v>
      </c>
      <c r="D10847" s="7">
        <f>DATE(2016,2,24)</f>
        <v>42424</v>
      </c>
      <c r="E10847" s="8">
        <f t="shared" si="178"/>
        <v>2016</v>
      </c>
      <c r="F10847" t="s">
        <v>1715</v>
      </c>
      <c r="G10847" s="9">
        <v>134.30000000000001</v>
      </c>
      <c r="H10847" s="8">
        <v>22239</v>
      </c>
    </row>
    <row r="10848" spans="2:8" x14ac:dyDescent="0.4">
      <c r="B10848" t="s">
        <v>7</v>
      </c>
      <c r="C10848" t="s">
        <v>1714</v>
      </c>
      <c r="D10848" s="7">
        <f>DATE(2016,11,2)</f>
        <v>42676</v>
      </c>
      <c r="E10848" s="8">
        <f t="shared" si="178"/>
        <v>2016</v>
      </c>
      <c r="F10848" t="s">
        <v>1715</v>
      </c>
      <c r="G10848" s="9">
        <v>170.47</v>
      </c>
      <c r="H10848" s="8">
        <v>23767</v>
      </c>
    </row>
    <row r="10849" spans="2:8" x14ac:dyDescent="0.4">
      <c r="B10849" s="3" t="s">
        <v>7</v>
      </c>
      <c r="C10849" s="3" t="s">
        <v>1714</v>
      </c>
      <c r="D10849" s="4">
        <f>DATE(2014,5,8)</f>
        <v>41767</v>
      </c>
      <c r="E10849" s="5">
        <f t="shared" si="178"/>
        <v>2014</v>
      </c>
      <c r="F10849" s="3" t="s">
        <v>1715</v>
      </c>
      <c r="G10849" s="6">
        <v>75.760000000000005</v>
      </c>
      <c r="H10849" s="5">
        <v>19913</v>
      </c>
    </row>
    <row r="10850" spans="2:8" x14ac:dyDescent="0.4">
      <c r="B10850" t="s">
        <v>7</v>
      </c>
      <c r="C10850" t="s">
        <v>1714</v>
      </c>
      <c r="D10850" s="7">
        <f>DATE(2006,5,18)</f>
        <v>38855</v>
      </c>
      <c r="E10850" s="8">
        <f t="shared" si="178"/>
        <v>2006</v>
      </c>
      <c r="F10850" t="s">
        <v>1716</v>
      </c>
      <c r="G10850" s="9">
        <v>10500</v>
      </c>
      <c r="H10850" s="8">
        <v>4189</v>
      </c>
    </row>
    <row r="10851" spans="2:8" x14ac:dyDescent="0.4">
      <c r="B10851" t="s">
        <v>7</v>
      </c>
      <c r="C10851" t="s">
        <v>1714</v>
      </c>
      <c r="D10851" s="7">
        <f>DATE(2006,5,18)</f>
        <v>38855</v>
      </c>
      <c r="E10851" s="8">
        <f t="shared" si="178"/>
        <v>2006</v>
      </c>
      <c r="F10851" t="s">
        <v>1716</v>
      </c>
      <c r="G10851" s="9">
        <v>28000</v>
      </c>
      <c r="H10851" s="8">
        <v>4276</v>
      </c>
    </row>
    <row r="10852" spans="2:8" x14ac:dyDescent="0.4">
      <c r="B10852" s="3" t="s">
        <v>7</v>
      </c>
      <c r="C10852" s="3" t="s">
        <v>1714</v>
      </c>
      <c r="D10852" s="4">
        <f>DATE(2004,3,18)</f>
        <v>38064</v>
      </c>
      <c r="E10852" s="5">
        <f t="shared" si="178"/>
        <v>2004</v>
      </c>
      <c r="F10852" s="3" t="s">
        <v>1716</v>
      </c>
      <c r="G10852" s="6">
        <v>409</v>
      </c>
      <c r="H10852" s="5">
        <v>2397</v>
      </c>
    </row>
    <row r="10853" spans="2:8" x14ac:dyDescent="0.4">
      <c r="B10853" t="s">
        <v>7</v>
      </c>
      <c r="C10853" t="s">
        <v>1717</v>
      </c>
      <c r="D10853" s="7">
        <f>DATE(2004,7,23)</f>
        <v>38191</v>
      </c>
      <c r="E10853" s="8">
        <f t="shared" si="178"/>
        <v>2004</v>
      </c>
      <c r="F10853" t="s">
        <v>1718</v>
      </c>
      <c r="G10853" s="9">
        <v>6735.73</v>
      </c>
      <c r="H10853" s="8">
        <v>1993</v>
      </c>
    </row>
    <row r="10854" spans="2:8" x14ac:dyDescent="0.4">
      <c r="B10854" s="3" t="s">
        <v>7</v>
      </c>
      <c r="C10854" s="3" t="s">
        <v>1717</v>
      </c>
      <c r="D10854" s="4">
        <f>DATE(2003,12,19)</f>
        <v>37974</v>
      </c>
      <c r="E10854" s="5">
        <f t="shared" si="178"/>
        <v>2003</v>
      </c>
      <c r="F10854" s="3" t="s">
        <v>1718</v>
      </c>
      <c r="G10854" s="6">
        <v>265</v>
      </c>
      <c r="H10854" s="5">
        <v>1907</v>
      </c>
    </row>
    <row r="10855" spans="2:8" x14ac:dyDescent="0.4">
      <c r="B10855" t="s">
        <v>7</v>
      </c>
      <c r="C10855" t="s">
        <v>1719</v>
      </c>
      <c r="D10855" s="7">
        <f>DATE(2011,9,19)</f>
        <v>40805</v>
      </c>
      <c r="E10855" s="8">
        <f t="shared" si="178"/>
        <v>2011</v>
      </c>
      <c r="F10855" t="s">
        <v>1720</v>
      </c>
      <c r="G10855" s="9">
        <v>22863.66</v>
      </c>
      <c r="H10855" s="8">
        <v>10969</v>
      </c>
    </row>
    <row r="10856" spans="2:8" x14ac:dyDescent="0.4">
      <c r="B10856" s="3" t="s">
        <v>7</v>
      </c>
      <c r="C10856" s="3" t="s">
        <v>1719</v>
      </c>
      <c r="D10856" s="4">
        <f>DATE(2010,3,22)</f>
        <v>40259</v>
      </c>
      <c r="E10856" s="5">
        <f t="shared" si="178"/>
        <v>2010</v>
      </c>
      <c r="F10856" s="3" t="s">
        <v>1720</v>
      </c>
      <c r="G10856" s="6">
        <v>989</v>
      </c>
      <c r="H10856" s="5">
        <v>13225</v>
      </c>
    </row>
    <row r="10857" spans="2:8" x14ac:dyDescent="0.4">
      <c r="B10857" t="s">
        <v>7</v>
      </c>
      <c r="C10857" t="s">
        <v>1721</v>
      </c>
      <c r="D10857" s="7">
        <f>DATE(2015,5,12)</f>
        <v>42136</v>
      </c>
      <c r="E10857" s="8">
        <f t="shared" si="178"/>
        <v>2015</v>
      </c>
      <c r="F10857" t="s">
        <v>1722</v>
      </c>
      <c r="G10857" s="9">
        <v>46790</v>
      </c>
      <c r="H10857" s="8">
        <v>20373</v>
      </c>
    </row>
    <row r="10858" spans="2:8" x14ac:dyDescent="0.4">
      <c r="B10858" t="s">
        <v>7</v>
      </c>
      <c r="C10858" t="s">
        <v>1721</v>
      </c>
      <c r="D10858" s="7">
        <f>DATE(2016,4,25)</f>
        <v>42485</v>
      </c>
      <c r="E10858" s="8">
        <f t="shared" si="178"/>
        <v>2016</v>
      </c>
      <c r="F10858" t="s">
        <v>1722</v>
      </c>
      <c r="G10858" s="9">
        <v>19950</v>
      </c>
      <c r="H10858" s="8">
        <v>22220</v>
      </c>
    </row>
    <row r="10859" spans="2:8" x14ac:dyDescent="0.4">
      <c r="B10859" t="s">
        <v>7</v>
      </c>
      <c r="C10859" t="s">
        <v>1721</v>
      </c>
      <c r="D10859" s="7">
        <f>DATE(2016,5,6)</f>
        <v>42496</v>
      </c>
      <c r="E10859" s="8">
        <f t="shared" si="178"/>
        <v>2016</v>
      </c>
      <c r="F10859" t="s">
        <v>1722</v>
      </c>
      <c r="G10859" s="9">
        <v>1155</v>
      </c>
      <c r="H10859" s="8">
        <v>22790</v>
      </c>
    </row>
    <row r="10860" spans="2:8" x14ac:dyDescent="0.4">
      <c r="B10860" t="s">
        <v>7</v>
      </c>
      <c r="C10860" t="s">
        <v>1721</v>
      </c>
      <c r="D10860" s="7">
        <f>DATE(2008,3,14)</f>
        <v>39521</v>
      </c>
      <c r="E10860" s="8">
        <f t="shared" si="178"/>
        <v>2008</v>
      </c>
      <c r="F10860" t="s">
        <v>1722</v>
      </c>
      <c r="G10860" s="9">
        <v>22668.27</v>
      </c>
      <c r="H10860" s="8">
        <v>7178</v>
      </c>
    </row>
    <row r="10861" spans="2:8" x14ac:dyDescent="0.4">
      <c r="B10861" t="s">
        <v>7</v>
      </c>
      <c r="C10861" t="s">
        <v>1721</v>
      </c>
      <c r="D10861" s="7">
        <f>DATE(2013,3,26)</f>
        <v>41359</v>
      </c>
      <c r="E10861" s="8">
        <f t="shared" si="178"/>
        <v>2013</v>
      </c>
      <c r="F10861" t="s">
        <v>1722</v>
      </c>
      <c r="G10861" s="9">
        <v>19110</v>
      </c>
      <c r="H10861" s="8">
        <v>12212</v>
      </c>
    </row>
    <row r="10862" spans="2:8" x14ac:dyDescent="0.4">
      <c r="B10862" t="s">
        <v>7</v>
      </c>
      <c r="C10862" t="s">
        <v>1721</v>
      </c>
      <c r="D10862" s="7">
        <f>DATE(2013,4,8)</f>
        <v>41372</v>
      </c>
      <c r="E10862" s="8">
        <f t="shared" si="178"/>
        <v>2013</v>
      </c>
      <c r="F10862" t="s">
        <v>1722</v>
      </c>
      <c r="G10862" s="9">
        <v>19663.490000000002</v>
      </c>
      <c r="H10862" s="8">
        <v>12213</v>
      </c>
    </row>
    <row r="10863" spans="2:8" x14ac:dyDescent="0.4">
      <c r="B10863" t="s">
        <v>7</v>
      </c>
      <c r="C10863" t="s">
        <v>1721</v>
      </c>
      <c r="D10863" s="7">
        <f>DATE(2013,5,7)</f>
        <v>41401</v>
      </c>
      <c r="E10863" s="8">
        <f t="shared" si="178"/>
        <v>2013</v>
      </c>
      <c r="F10863" t="s">
        <v>1722</v>
      </c>
      <c r="G10863" s="9">
        <v>18700</v>
      </c>
      <c r="H10863" s="8">
        <v>12417</v>
      </c>
    </row>
    <row r="10864" spans="2:8" x14ac:dyDescent="0.4">
      <c r="B10864" t="s">
        <v>7</v>
      </c>
      <c r="C10864" t="s">
        <v>1287</v>
      </c>
      <c r="D10864" s="7">
        <f>DATE(2017,10,2)</f>
        <v>43010</v>
      </c>
      <c r="E10864" s="8">
        <f t="shared" si="178"/>
        <v>2017</v>
      </c>
      <c r="F10864" t="s">
        <v>1723</v>
      </c>
      <c r="G10864" s="9">
        <v>58719.87</v>
      </c>
      <c r="H10864" s="8">
        <v>25310</v>
      </c>
    </row>
    <row r="10865" spans="2:8" x14ac:dyDescent="0.4">
      <c r="B10865" s="3" t="s">
        <v>7</v>
      </c>
      <c r="C10865" s="3" t="s">
        <v>1724</v>
      </c>
      <c r="D10865" s="4">
        <f>DATE(2013,4,17)</f>
        <v>41381</v>
      </c>
      <c r="E10865" s="5">
        <f t="shared" si="178"/>
        <v>2013</v>
      </c>
      <c r="F10865" s="3" t="s">
        <v>1725</v>
      </c>
      <c r="G10865" s="6">
        <v>86113.96</v>
      </c>
      <c r="H10865" s="5">
        <v>5475</v>
      </c>
    </row>
    <row r="10866" spans="2:8" x14ac:dyDescent="0.4">
      <c r="B10866" s="3" t="s">
        <v>7</v>
      </c>
      <c r="C10866" s="3" t="s">
        <v>1724</v>
      </c>
      <c r="D10866" s="4">
        <f>DATE(2013,5,9)</f>
        <v>41403</v>
      </c>
      <c r="E10866" s="5">
        <f t="shared" si="178"/>
        <v>2013</v>
      </c>
      <c r="F10866" s="3" t="s">
        <v>1725</v>
      </c>
      <c r="G10866" s="6">
        <v>27925.83</v>
      </c>
      <c r="H10866" s="5">
        <v>5505</v>
      </c>
    </row>
    <row r="10867" spans="2:8" x14ac:dyDescent="0.4">
      <c r="B10867" s="3" t="s">
        <v>7</v>
      </c>
      <c r="C10867" s="3" t="s">
        <v>1724</v>
      </c>
      <c r="D10867" s="4">
        <f>DATE(2013,5,16)</f>
        <v>41410</v>
      </c>
      <c r="E10867" s="5">
        <f t="shared" si="178"/>
        <v>2013</v>
      </c>
      <c r="F10867" s="3" t="s">
        <v>1725</v>
      </c>
      <c r="G10867" s="6">
        <v>71529.13</v>
      </c>
      <c r="H10867" s="5">
        <v>5474</v>
      </c>
    </row>
    <row r="10868" spans="2:8" x14ac:dyDescent="0.4">
      <c r="B10868" s="3" t="s">
        <v>7</v>
      </c>
      <c r="C10868" s="3" t="s">
        <v>1724</v>
      </c>
      <c r="D10868" s="4">
        <f>DATE(2013,8,26)</f>
        <v>41512</v>
      </c>
      <c r="E10868" s="5">
        <f t="shared" si="178"/>
        <v>2013</v>
      </c>
      <c r="F10868" s="3" t="s">
        <v>1725</v>
      </c>
      <c r="G10868" s="6">
        <v>51824.55</v>
      </c>
      <c r="H10868" s="5">
        <v>5729</v>
      </c>
    </row>
    <row r="10869" spans="2:8" x14ac:dyDescent="0.4">
      <c r="B10869" t="s">
        <v>7</v>
      </c>
      <c r="C10869" t="s">
        <v>1287</v>
      </c>
      <c r="D10869" s="7">
        <f t="shared" ref="D10869:D10885" si="179">DATE(2015,4,7)</f>
        <v>42101</v>
      </c>
      <c r="E10869" s="8">
        <f t="shared" si="178"/>
        <v>2015</v>
      </c>
      <c r="F10869" t="s">
        <v>1726</v>
      </c>
      <c r="G10869" s="9">
        <v>2760</v>
      </c>
      <c r="H10869" s="8">
        <v>442</v>
      </c>
    </row>
    <row r="10870" spans="2:8" x14ac:dyDescent="0.4">
      <c r="B10870" t="s">
        <v>7</v>
      </c>
      <c r="C10870" t="s">
        <v>1287</v>
      </c>
      <c r="D10870" s="7">
        <f t="shared" si="179"/>
        <v>42101</v>
      </c>
      <c r="E10870" s="8">
        <f t="shared" si="178"/>
        <v>2015</v>
      </c>
      <c r="F10870" t="s">
        <v>1726</v>
      </c>
      <c r="G10870" s="9">
        <v>3463</v>
      </c>
      <c r="H10870" s="8">
        <v>446</v>
      </c>
    </row>
    <row r="10871" spans="2:8" x14ac:dyDescent="0.4">
      <c r="B10871" t="s">
        <v>7</v>
      </c>
      <c r="C10871" t="s">
        <v>1287</v>
      </c>
      <c r="D10871" s="7">
        <f t="shared" si="179"/>
        <v>42101</v>
      </c>
      <c r="E10871" s="8">
        <f t="shared" si="178"/>
        <v>2015</v>
      </c>
      <c r="F10871" t="s">
        <v>1726</v>
      </c>
      <c r="G10871" s="9">
        <v>5552</v>
      </c>
      <c r="H10871" s="8">
        <v>444</v>
      </c>
    </row>
    <row r="10872" spans="2:8" x14ac:dyDescent="0.4">
      <c r="B10872" t="s">
        <v>7</v>
      </c>
      <c r="C10872" t="s">
        <v>1287</v>
      </c>
      <c r="D10872" s="7">
        <f t="shared" si="179"/>
        <v>42101</v>
      </c>
      <c r="E10872" s="8">
        <f t="shared" si="178"/>
        <v>2015</v>
      </c>
      <c r="F10872" t="s">
        <v>1726</v>
      </c>
      <c r="G10872" s="9">
        <v>2412</v>
      </c>
      <c r="H10872" s="8">
        <v>441</v>
      </c>
    </row>
    <row r="10873" spans="2:8" x14ac:dyDescent="0.4">
      <c r="B10873" t="s">
        <v>7</v>
      </c>
      <c r="C10873" t="s">
        <v>1287</v>
      </c>
      <c r="D10873" s="7">
        <f t="shared" si="179"/>
        <v>42101</v>
      </c>
      <c r="E10873" s="8">
        <f t="shared" si="178"/>
        <v>2015</v>
      </c>
      <c r="F10873" t="s">
        <v>1726</v>
      </c>
      <c r="G10873" s="9">
        <v>1751</v>
      </c>
      <c r="H10873" s="8">
        <v>445</v>
      </c>
    </row>
    <row r="10874" spans="2:8" x14ac:dyDescent="0.4">
      <c r="B10874" t="s">
        <v>7</v>
      </c>
      <c r="C10874" t="s">
        <v>1287</v>
      </c>
      <c r="D10874" s="7">
        <f t="shared" si="179"/>
        <v>42101</v>
      </c>
      <c r="E10874" s="8">
        <f t="shared" si="178"/>
        <v>2015</v>
      </c>
      <c r="F10874" t="s">
        <v>1726</v>
      </c>
      <c r="G10874" s="9">
        <v>3328</v>
      </c>
      <c r="H10874" s="8">
        <v>440</v>
      </c>
    </row>
    <row r="10875" spans="2:8" x14ac:dyDescent="0.4">
      <c r="B10875" t="s">
        <v>7</v>
      </c>
      <c r="C10875" t="s">
        <v>1287</v>
      </c>
      <c r="D10875" s="7">
        <f t="shared" si="179"/>
        <v>42101</v>
      </c>
      <c r="E10875" s="8">
        <f t="shared" si="178"/>
        <v>2015</v>
      </c>
      <c r="F10875" t="s">
        <v>1726</v>
      </c>
      <c r="G10875" s="9">
        <v>9123</v>
      </c>
      <c r="H10875" s="8">
        <v>439</v>
      </c>
    </row>
    <row r="10876" spans="2:8" x14ac:dyDescent="0.4">
      <c r="B10876" t="s">
        <v>7</v>
      </c>
      <c r="C10876" t="s">
        <v>1287</v>
      </c>
      <c r="D10876" s="7">
        <f t="shared" si="179"/>
        <v>42101</v>
      </c>
      <c r="E10876" s="8">
        <f t="shared" si="178"/>
        <v>2015</v>
      </c>
      <c r="F10876" t="s">
        <v>1726</v>
      </c>
      <c r="G10876" s="9">
        <v>4710</v>
      </c>
      <c r="H10876" s="8">
        <v>451</v>
      </c>
    </row>
    <row r="10877" spans="2:8" x14ac:dyDescent="0.4">
      <c r="B10877" t="s">
        <v>7</v>
      </c>
      <c r="C10877" t="s">
        <v>1287</v>
      </c>
      <c r="D10877" s="7">
        <f t="shared" si="179"/>
        <v>42101</v>
      </c>
      <c r="E10877" s="8">
        <f t="shared" si="178"/>
        <v>2015</v>
      </c>
      <c r="F10877" t="s">
        <v>1726</v>
      </c>
      <c r="G10877" s="9">
        <v>1756</v>
      </c>
      <c r="H10877" s="8">
        <v>450</v>
      </c>
    </row>
    <row r="10878" spans="2:8" x14ac:dyDescent="0.4">
      <c r="B10878" t="s">
        <v>7</v>
      </c>
      <c r="C10878" t="s">
        <v>1287</v>
      </c>
      <c r="D10878" s="7">
        <f t="shared" si="179"/>
        <v>42101</v>
      </c>
      <c r="E10878" s="8">
        <f t="shared" si="178"/>
        <v>2015</v>
      </c>
      <c r="F10878" t="s">
        <v>1726</v>
      </c>
      <c r="G10878" s="9">
        <v>3328</v>
      </c>
      <c r="H10878" s="8">
        <v>438</v>
      </c>
    </row>
    <row r="10879" spans="2:8" x14ac:dyDescent="0.4">
      <c r="B10879" t="s">
        <v>7</v>
      </c>
      <c r="C10879" t="s">
        <v>1287</v>
      </c>
      <c r="D10879" s="7">
        <f t="shared" si="179"/>
        <v>42101</v>
      </c>
      <c r="E10879" s="8">
        <f t="shared" si="178"/>
        <v>2015</v>
      </c>
      <c r="F10879" t="s">
        <v>1726</v>
      </c>
      <c r="G10879" s="9">
        <v>3328</v>
      </c>
      <c r="H10879" s="8">
        <v>437</v>
      </c>
    </row>
    <row r="10880" spans="2:8" x14ac:dyDescent="0.4">
      <c r="B10880" t="s">
        <v>7</v>
      </c>
      <c r="C10880" t="s">
        <v>1287</v>
      </c>
      <c r="D10880" s="7">
        <f t="shared" si="179"/>
        <v>42101</v>
      </c>
      <c r="E10880" s="8">
        <f t="shared" si="178"/>
        <v>2015</v>
      </c>
      <c r="F10880" t="s">
        <v>1726</v>
      </c>
      <c r="G10880" s="9">
        <v>5908</v>
      </c>
      <c r="H10880" s="8">
        <v>453</v>
      </c>
    </row>
    <row r="10881" spans="2:8" x14ac:dyDescent="0.4">
      <c r="B10881" t="s">
        <v>7</v>
      </c>
      <c r="C10881" t="s">
        <v>1287</v>
      </c>
      <c r="D10881" s="7">
        <f t="shared" si="179"/>
        <v>42101</v>
      </c>
      <c r="E10881" s="8">
        <f t="shared" si="178"/>
        <v>2015</v>
      </c>
      <c r="F10881" t="s">
        <v>1726</v>
      </c>
      <c r="G10881" s="9">
        <v>6483</v>
      </c>
      <c r="H10881" s="8">
        <v>452</v>
      </c>
    </row>
    <row r="10882" spans="2:8" x14ac:dyDescent="0.4">
      <c r="B10882" t="s">
        <v>7</v>
      </c>
      <c r="C10882" t="s">
        <v>1287</v>
      </c>
      <c r="D10882" s="7">
        <f t="shared" si="179"/>
        <v>42101</v>
      </c>
      <c r="E10882" s="8">
        <f t="shared" si="178"/>
        <v>2015</v>
      </c>
      <c r="F10882" t="s">
        <v>1726</v>
      </c>
      <c r="G10882" s="9">
        <v>2141</v>
      </c>
      <c r="H10882" s="8">
        <v>436</v>
      </c>
    </row>
    <row r="10883" spans="2:8" x14ac:dyDescent="0.4">
      <c r="B10883" t="s">
        <v>7</v>
      </c>
      <c r="C10883" t="s">
        <v>1287</v>
      </c>
      <c r="D10883" s="7">
        <f t="shared" si="179"/>
        <v>42101</v>
      </c>
      <c r="E10883" s="8">
        <f t="shared" ref="E10883:E10946" si="180">YEAR(D10883)</f>
        <v>2015</v>
      </c>
      <c r="F10883" t="s">
        <v>1726</v>
      </c>
      <c r="G10883" s="9">
        <v>2647</v>
      </c>
      <c r="H10883" s="8">
        <v>448</v>
      </c>
    </row>
    <row r="10884" spans="2:8" x14ac:dyDescent="0.4">
      <c r="B10884" t="s">
        <v>7</v>
      </c>
      <c r="C10884" t="s">
        <v>1287</v>
      </c>
      <c r="D10884" s="7">
        <f t="shared" si="179"/>
        <v>42101</v>
      </c>
      <c r="E10884" s="8">
        <f t="shared" si="180"/>
        <v>2015</v>
      </c>
      <c r="F10884" t="s">
        <v>1726</v>
      </c>
      <c r="G10884" s="9">
        <v>557</v>
      </c>
      <c r="H10884" s="8">
        <v>449</v>
      </c>
    </row>
    <row r="10885" spans="2:8" x14ac:dyDescent="0.4">
      <c r="B10885" t="s">
        <v>7</v>
      </c>
      <c r="C10885" t="s">
        <v>1287</v>
      </c>
      <c r="D10885" s="7">
        <f t="shared" si="179"/>
        <v>42101</v>
      </c>
      <c r="E10885" s="8">
        <f t="shared" si="180"/>
        <v>2015</v>
      </c>
      <c r="F10885" t="s">
        <v>1726</v>
      </c>
      <c r="G10885" s="9">
        <v>6588</v>
      </c>
      <c r="H10885" s="8">
        <v>447</v>
      </c>
    </row>
    <row r="10886" spans="2:8" x14ac:dyDescent="0.4">
      <c r="B10886" t="s">
        <v>7</v>
      </c>
      <c r="C10886" t="s">
        <v>1287</v>
      </c>
      <c r="D10886" s="7">
        <f>DATE(2015,4,13)</f>
        <v>42107</v>
      </c>
      <c r="E10886" s="8">
        <f t="shared" si="180"/>
        <v>2015</v>
      </c>
      <c r="F10886" t="s">
        <v>1726</v>
      </c>
      <c r="G10886" s="9">
        <v>17136.87</v>
      </c>
      <c r="H10886" s="8">
        <v>20319</v>
      </c>
    </row>
    <row r="10887" spans="2:8" x14ac:dyDescent="0.4">
      <c r="B10887" t="s">
        <v>7</v>
      </c>
      <c r="C10887" t="s">
        <v>1287</v>
      </c>
      <c r="D10887" s="7">
        <f>DATE(2015,4,30)</f>
        <v>42124</v>
      </c>
      <c r="E10887" s="8">
        <f t="shared" si="180"/>
        <v>2015</v>
      </c>
      <c r="F10887" t="s">
        <v>1726</v>
      </c>
      <c r="G10887" s="9">
        <v>63150.26</v>
      </c>
      <c r="H10887" s="8">
        <v>20220</v>
      </c>
    </row>
    <row r="10888" spans="2:8" x14ac:dyDescent="0.4">
      <c r="B10888" t="s">
        <v>7</v>
      </c>
      <c r="C10888" t="s">
        <v>1287</v>
      </c>
      <c r="D10888" s="7">
        <f>DATE(2015,5,14)</f>
        <v>42138</v>
      </c>
      <c r="E10888" s="8">
        <f t="shared" si="180"/>
        <v>2015</v>
      </c>
      <c r="F10888" t="s">
        <v>1726</v>
      </c>
      <c r="G10888" s="9">
        <v>176035</v>
      </c>
      <c r="H10888" s="8">
        <v>20099</v>
      </c>
    </row>
    <row r="10889" spans="2:8" x14ac:dyDescent="0.4">
      <c r="B10889" t="s">
        <v>7</v>
      </c>
      <c r="C10889" t="s">
        <v>1287</v>
      </c>
      <c r="D10889" s="7">
        <f>DATE(2015,12,3)</f>
        <v>42341</v>
      </c>
      <c r="E10889" s="8">
        <f t="shared" si="180"/>
        <v>2015</v>
      </c>
      <c r="F10889" t="s">
        <v>1726</v>
      </c>
      <c r="G10889" s="9">
        <v>64991.82</v>
      </c>
      <c r="H10889" s="8">
        <v>21541</v>
      </c>
    </row>
    <row r="10890" spans="2:8" x14ac:dyDescent="0.4">
      <c r="B10890" t="s">
        <v>7</v>
      </c>
      <c r="C10890" t="s">
        <v>1287</v>
      </c>
      <c r="D10890" s="7">
        <f>DATE(2016,2,2)</f>
        <v>42402</v>
      </c>
      <c r="E10890" s="8">
        <f t="shared" si="180"/>
        <v>2016</v>
      </c>
      <c r="F10890" t="s">
        <v>1726</v>
      </c>
      <c r="G10890" s="9">
        <v>57636.59</v>
      </c>
      <c r="H10890" s="8">
        <v>22116</v>
      </c>
    </row>
    <row r="10891" spans="2:8" x14ac:dyDescent="0.4">
      <c r="B10891" t="s">
        <v>7</v>
      </c>
      <c r="C10891" t="s">
        <v>1287</v>
      </c>
      <c r="D10891" s="7">
        <f>DATE(2016,2,11)</f>
        <v>42411</v>
      </c>
      <c r="E10891" s="8">
        <f t="shared" si="180"/>
        <v>2016</v>
      </c>
      <c r="F10891" t="s">
        <v>1726</v>
      </c>
      <c r="G10891" s="9">
        <v>14019.48</v>
      </c>
      <c r="H10891" s="8">
        <v>22161</v>
      </c>
    </row>
    <row r="10892" spans="2:8" x14ac:dyDescent="0.4">
      <c r="B10892" t="s">
        <v>7</v>
      </c>
      <c r="C10892" t="s">
        <v>1287</v>
      </c>
      <c r="D10892" s="7">
        <f>DATE(2016,2,12)</f>
        <v>42412</v>
      </c>
      <c r="E10892" s="8">
        <f t="shared" si="180"/>
        <v>2016</v>
      </c>
      <c r="F10892" t="s">
        <v>1726</v>
      </c>
      <c r="G10892" s="9">
        <v>33516.46</v>
      </c>
      <c r="H10892" s="8">
        <v>21887</v>
      </c>
    </row>
    <row r="10893" spans="2:8" x14ac:dyDescent="0.4">
      <c r="B10893" t="s">
        <v>7</v>
      </c>
      <c r="C10893" t="s">
        <v>1287</v>
      </c>
      <c r="D10893" s="7">
        <f>DATE(2016,3,1)</f>
        <v>42430</v>
      </c>
      <c r="E10893" s="8">
        <f t="shared" si="180"/>
        <v>2016</v>
      </c>
      <c r="F10893" t="s">
        <v>1726</v>
      </c>
      <c r="G10893" s="9">
        <v>25819.72</v>
      </c>
      <c r="H10893" s="8">
        <v>22204</v>
      </c>
    </row>
    <row r="10894" spans="2:8" x14ac:dyDescent="0.4">
      <c r="B10894" t="s">
        <v>7</v>
      </c>
      <c r="C10894" t="s">
        <v>1287</v>
      </c>
      <c r="D10894" s="7">
        <f>DATE(2016,4,18)</f>
        <v>42478</v>
      </c>
      <c r="E10894" s="8">
        <f t="shared" si="180"/>
        <v>2016</v>
      </c>
      <c r="F10894" t="s">
        <v>1726</v>
      </c>
      <c r="G10894" s="9">
        <v>90885.06</v>
      </c>
      <c r="H10894" s="8">
        <v>22067</v>
      </c>
    </row>
    <row r="10895" spans="2:8" x14ac:dyDescent="0.4">
      <c r="B10895" t="s">
        <v>7</v>
      </c>
      <c r="C10895" t="s">
        <v>1287</v>
      </c>
      <c r="D10895" s="7">
        <f>DATE(2016,4,18)</f>
        <v>42478</v>
      </c>
      <c r="E10895" s="8">
        <f t="shared" si="180"/>
        <v>2016</v>
      </c>
      <c r="F10895" t="s">
        <v>1726</v>
      </c>
      <c r="G10895" s="9">
        <v>19943.919999999998</v>
      </c>
      <c r="H10895" s="8">
        <v>22405</v>
      </c>
    </row>
    <row r="10896" spans="2:8" x14ac:dyDescent="0.4">
      <c r="B10896" t="s">
        <v>7</v>
      </c>
      <c r="C10896" t="s">
        <v>1287</v>
      </c>
      <c r="D10896" s="7">
        <f>DATE(2017,1,3)</f>
        <v>42738</v>
      </c>
      <c r="E10896" s="8">
        <f t="shared" si="180"/>
        <v>2017</v>
      </c>
      <c r="F10896" t="s">
        <v>1726</v>
      </c>
      <c r="G10896" s="9">
        <v>77985.53</v>
      </c>
      <c r="H10896" s="8">
        <v>23875</v>
      </c>
    </row>
    <row r="10897" spans="2:8" x14ac:dyDescent="0.4">
      <c r="B10897" t="s">
        <v>7</v>
      </c>
      <c r="C10897" t="s">
        <v>1287</v>
      </c>
      <c r="D10897" s="7">
        <f>DATE(2017,3,21)</f>
        <v>42815</v>
      </c>
      <c r="E10897" s="8">
        <f t="shared" si="180"/>
        <v>2017</v>
      </c>
      <c r="F10897" t="s">
        <v>1726</v>
      </c>
      <c r="G10897" s="9">
        <v>36508.67</v>
      </c>
      <c r="H10897" s="8">
        <v>24202</v>
      </c>
    </row>
    <row r="10898" spans="2:8" x14ac:dyDescent="0.4">
      <c r="B10898" t="s">
        <v>7</v>
      </c>
      <c r="C10898" t="s">
        <v>1287</v>
      </c>
      <c r="D10898" s="7">
        <f>DATE(2017,3,21)</f>
        <v>42815</v>
      </c>
      <c r="E10898" s="8">
        <f t="shared" si="180"/>
        <v>2017</v>
      </c>
      <c r="F10898" t="s">
        <v>1726</v>
      </c>
      <c r="G10898" s="9">
        <v>33172.06</v>
      </c>
      <c r="H10898" s="8">
        <v>24356</v>
      </c>
    </row>
    <row r="10899" spans="2:8" x14ac:dyDescent="0.4">
      <c r="B10899" t="s">
        <v>7</v>
      </c>
      <c r="C10899" t="s">
        <v>1287</v>
      </c>
      <c r="D10899" s="7">
        <f>DATE(2017,5,9)</f>
        <v>42864</v>
      </c>
      <c r="E10899" s="8">
        <f t="shared" si="180"/>
        <v>2017</v>
      </c>
      <c r="F10899" t="s">
        <v>1726</v>
      </c>
      <c r="G10899" s="9">
        <v>129425.92</v>
      </c>
      <c r="H10899" s="8">
        <v>22473</v>
      </c>
    </row>
    <row r="10900" spans="2:8" x14ac:dyDescent="0.4">
      <c r="B10900" t="s">
        <v>16</v>
      </c>
      <c r="C10900" t="s">
        <v>1287</v>
      </c>
      <c r="D10900" s="7">
        <f>DATE(2014,1,7)</f>
        <v>41646</v>
      </c>
      <c r="E10900" s="8">
        <f t="shared" si="180"/>
        <v>2014</v>
      </c>
      <c r="F10900" t="s">
        <v>1726</v>
      </c>
      <c r="G10900" s="9">
        <v>21702.15</v>
      </c>
      <c r="H10900" s="8">
        <v>21640</v>
      </c>
    </row>
    <row r="10901" spans="2:8" x14ac:dyDescent="0.4">
      <c r="B10901" t="s">
        <v>16</v>
      </c>
      <c r="C10901" t="s">
        <v>1287</v>
      </c>
      <c r="D10901" s="7">
        <f>DATE(2016,2,2)</f>
        <v>42402</v>
      </c>
      <c r="E10901" s="8">
        <f t="shared" si="180"/>
        <v>2016</v>
      </c>
      <c r="F10901" t="s">
        <v>1726</v>
      </c>
      <c r="G10901" s="9">
        <v>64991.82</v>
      </c>
      <c r="H10901" s="8">
        <v>22114</v>
      </c>
    </row>
    <row r="10902" spans="2:8" x14ac:dyDescent="0.4">
      <c r="B10902" s="3" t="s">
        <v>7</v>
      </c>
      <c r="C10902" s="3" t="s">
        <v>1287</v>
      </c>
      <c r="D10902" s="4">
        <f>DATE(2013,6,19)</f>
        <v>41444</v>
      </c>
      <c r="E10902" s="5">
        <f t="shared" si="180"/>
        <v>2013</v>
      </c>
      <c r="F10902" s="3" t="s">
        <v>1726</v>
      </c>
      <c r="G10902" s="6">
        <v>12768.22</v>
      </c>
      <c r="H10902" s="5">
        <v>5604</v>
      </c>
    </row>
    <row r="10903" spans="2:8" x14ac:dyDescent="0.4">
      <c r="B10903" s="3" t="s">
        <v>7</v>
      </c>
      <c r="C10903" s="3" t="s">
        <v>1287</v>
      </c>
      <c r="D10903" s="4">
        <f>DATE(2013,6,19)</f>
        <v>41444</v>
      </c>
      <c r="E10903" s="5">
        <f t="shared" si="180"/>
        <v>2013</v>
      </c>
      <c r="F10903" s="3" t="s">
        <v>1726</v>
      </c>
      <c r="G10903" s="6">
        <v>23252.01</v>
      </c>
      <c r="H10903" s="5">
        <v>5597</v>
      </c>
    </row>
    <row r="10904" spans="2:8" x14ac:dyDescent="0.4">
      <c r="B10904" s="3" t="s">
        <v>7</v>
      </c>
      <c r="C10904" s="3" t="s">
        <v>1287</v>
      </c>
      <c r="D10904" s="4">
        <f>DATE(2013,6,19)</f>
        <v>41444</v>
      </c>
      <c r="E10904" s="5">
        <f t="shared" si="180"/>
        <v>2013</v>
      </c>
      <c r="F10904" s="3" t="s">
        <v>1726</v>
      </c>
      <c r="G10904" s="6">
        <v>35122.379999999997</v>
      </c>
      <c r="H10904" s="5">
        <v>5575</v>
      </c>
    </row>
    <row r="10905" spans="2:8" x14ac:dyDescent="0.4">
      <c r="B10905" s="3" t="s">
        <v>7</v>
      </c>
      <c r="C10905" s="3" t="s">
        <v>1287</v>
      </c>
      <c r="D10905" s="4">
        <f>DATE(2013,7,10)</f>
        <v>41465</v>
      </c>
      <c r="E10905" s="5">
        <f t="shared" si="180"/>
        <v>2013</v>
      </c>
      <c r="F10905" s="3" t="s">
        <v>1726</v>
      </c>
      <c r="G10905" s="6">
        <v>18471.93</v>
      </c>
      <c r="H10905" s="5">
        <v>5680</v>
      </c>
    </row>
    <row r="10906" spans="2:8" x14ac:dyDescent="0.4">
      <c r="B10906" s="3" t="s">
        <v>7</v>
      </c>
      <c r="C10906" s="3" t="s">
        <v>1287</v>
      </c>
      <c r="D10906" s="4">
        <f>DATE(2013,9,10)</f>
        <v>41527</v>
      </c>
      <c r="E10906" s="5">
        <f t="shared" si="180"/>
        <v>2013</v>
      </c>
      <c r="F10906" s="3" t="s">
        <v>1726</v>
      </c>
      <c r="G10906" s="6">
        <v>8776.74</v>
      </c>
      <c r="H10906" s="5">
        <v>5689</v>
      </c>
    </row>
    <row r="10907" spans="2:8" x14ac:dyDescent="0.4">
      <c r="B10907" s="3" t="s">
        <v>7</v>
      </c>
      <c r="C10907" s="3" t="s">
        <v>1287</v>
      </c>
      <c r="D10907" s="4">
        <f>DATE(2013,9,6)</f>
        <v>41523</v>
      </c>
      <c r="E10907" s="5">
        <f t="shared" si="180"/>
        <v>2013</v>
      </c>
      <c r="F10907" s="3" t="s">
        <v>1726</v>
      </c>
      <c r="G10907" s="6">
        <v>51528.99</v>
      </c>
      <c r="H10907" s="5">
        <v>5744</v>
      </c>
    </row>
    <row r="10908" spans="2:8" x14ac:dyDescent="0.4">
      <c r="B10908" s="3" t="s">
        <v>7</v>
      </c>
      <c r="C10908" s="3" t="s">
        <v>1287</v>
      </c>
      <c r="D10908" s="4">
        <f>DATE(2013,10,10)</f>
        <v>41557</v>
      </c>
      <c r="E10908" s="5">
        <f t="shared" si="180"/>
        <v>2013</v>
      </c>
      <c r="F10908" s="3" t="s">
        <v>1726</v>
      </c>
      <c r="G10908" s="6">
        <v>10667.24</v>
      </c>
      <c r="H10908" s="5">
        <v>5791</v>
      </c>
    </row>
    <row r="10909" spans="2:8" x14ac:dyDescent="0.4">
      <c r="B10909" s="3" t="s">
        <v>7</v>
      </c>
      <c r="C10909" s="3" t="s">
        <v>1287</v>
      </c>
      <c r="D10909" s="4">
        <f>DATE(2013,10,10)</f>
        <v>41557</v>
      </c>
      <c r="E10909" s="5">
        <f t="shared" si="180"/>
        <v>2013</v>
      </c>
      <c r="F10909" s="3" t="s">
        <v>1726</v>
      </c>
      <c r="G10909" s="6">
        <v>24684.41</v>
      </c>
      <c r="H10909" s="5">
        <v>5804</v>
      </c>
    </row>
    <row r="10910" spans="2:8" x14ac:dyDescent="0.4">
      <c r="B10910" s="3" t="s">
        <v>7</v>
      </c>
      <c r="C10910" s="3" t="s">
        <v>1287</v>
      </c>
      <c r="D10910" s="4">
        <f t="shared" ref="D10910:D10922" si="181">DATE(2013,10,4)</f>
        <v>41551</v>
      </c>
      <c r="E10910" s="5">
        <f t="shared" si="180"/>
        <v>2013</v>
      </c>
      <c r="F10910" s="3" t="s">
        <v>1726</v>
      </c>
      <c r="G10910" s="6">
        <v>18886.96</v>
      </c>
      <c r="H10910" s="5">
        <v>5690</v>
      </c>
    </row>
    <row r="10911" spans="2:8" x14ac:dyDescent="0.4">
      <c r="B10911" s="3" t="s">
        <v>7</v>
      </c>
      <c r="C10911" s="3" t="s">
        <v>1287</v>
      </c>
      <c r="D10911" s="4">
        <f t="shared" si="181"/>
        <v>41551</v>
      </c>
      <c r="E10911" s="5">
        <f t="shared" si="180"/>
        <v>2013</v>
      </c>
      <c r="F10911" s="3" t="s">
        <v>1726</v>
      </c>
      <c r="G10911" s="6">
        <v>22150.17</v>
      </c>
      <c r="H10911" s="5">
        <v>5691</v>
      </c>
    </row>
    <row r="10912" spans="2:8" x14ac:dyDescent="0.4">
      <c r="B10912" s="3" t="s">
        <v>7</v>
      </c>
      <c r="C10912" s="3" t="s">
        <v>1287</v>
      </c>
      <c r="D10912" s="4">
        <f t="shared" si="181"/>
        <v>41551</v>
      </c>
      <c r="E10912" s="5">
        <f t="shared" si="180"/>
        <v>2013</v>
      </c>
      <c r="F10912" s="3" t="s">
        <v>1726</v>
      </c>
      <c r="G10912" s="6">
        <v>13107.39</v>
      </c>
      <c r="H10912" s="5">
        <v>5694</v>
      </c>
    </row>
    <row r="10913" spans="2:8" x14ac:dyDescent="0.4">
      <c r="B10913" s="3" t="s">
        <v>7</v>
      </c>
      <c r="C10913" s="3" t="s">
        <v>1287</v>
      </c>
      <c r="D10913" s="4">
        <f t="shared" si="181"/>
        <v>41551</v>
      </c>
      <c r="E10913" s="5">
        <f t="shared" si="180"/>
        <v>2013</v>
      </c>
      <c r="F10913" s="3" t="s">
        <v>1726</v>
      </c>
      <c r="G10913" s="6">
        <v>11183.6</v>
      </c>
      <c r="H10913" s="5">
        <v>5695</v>
      </c>
    </row>
    <row r="10914" spans="2:8" x14ac:dyDescent="0.4">
      <c r="B10914" s="3" t="s">
        <v>7</v>
      </c>
      <c r="C10914" s="3" t="s">
        <v>1287</v>
      </c>
      <c r="D10914" s="4">
        <f t="shared" si="181"/>
        <v>41551</v>
      </c>
      <c r="E10914" s="5">
        <f t="shared" si="180"/>
        <v>2013</v>
      </c>
      <c r="F10914" s="3" t="s">
        <v>1726</v>
      </c>
      <c r="G10914" s="6">
        <v>6277.68</v>
      </c>
      <c r="H10914" s="5">
        <v>5696</v>
      </c>
    </row>
    <row r="10915" spans="2:8" x14ac:dyDescent="0.4">
      <c r="B10915" s="3" t="s">
        <v>7</v>
      </c>
      <c r="C10915" s="3" t="s">
        <v>1287</v>
      </c>
      <c r="D10915" s="4">
        <f t="shared" si="181"/>
        <v>41551</v>
      </c>
      <c r="E10915" s="5">
        <f t="shared" si="180"/>
        <v>2013</v>
      </c>
      <c r="F10915" s="3" t="s">
        <v>1726</v>
      </c>
      <c r="G10915" s="6">
        <v>18095.72</v>
      </c>
      <c r="H10915" s="5">
        <v>5697</v>
      </c>
    </row>
    <row r="10916" spans="2:8" x14ac:dyDescent="0.4">
      <c r="B10916" s="3" t="s">
        <v>7</v>
      </c>
      <c r="C10916" s="3" t="s">
        <v>1287</v>
      </c>
      <c r="D10916" s="4">
        <f t="shared" si="181"/>
        <v>41551</v>
      </c>
      <c r="E10916" s="5">
        <f t="shared" si="180"/>
        <v>2013</v>
      </c>
      <c r="F10916" s="3" t="s">
        <v>1726</v>
      </c>
      <c r="G10916" s="6">
        <v>9528.08</v>
      </c>
      <c r="H10916" s="5">
        <v>5751</v>
      </c>
    </row>
    <row r="10917" spans="2:8" x14ac:dyDescent="0.4">
      <c r="B10917" s="3" t="s">
        <v>7</v>
      </c>
      <c r="C10917" s="3" t="s">
        <v>1287</v>
      </c>
      <c r="D10917" s="4">
        <f t="shared" si="181"/>
        <v>41551</v>
      </c>
      <c r="E10917" s="5">
        <f t="shared" si="180"/>
        <v>2013</v>
      </c>
      <c r="F10917" s="3" t="s">
        <v>1726</v>
      </c>
      <c r="G10917" s="6">
        <v>27711.759999999998</v>
      </c>
      <c r="H10917" s="5">
        <v>5752</v>
      </c>
    </row>
    <row r="10918" spans="2:8" x14ac:dyDescent="0.4">
      <c r="B10918" s="3" t="s">
        <v>7</v>
      </c>
      <c r="C10918" s="3" t="s">
        <v>1287</v>
      </c>
      <c r="D10918" s="4">
        <f t="shared" si="181"/>
        <v>41551</v>
      </c>
      <c r="E10918" s="5">
        <f t="shared" si="180"/>
        <v>2013</v>
      </c>
      <c r="F10918" s="3" t="s">
        <v>1726</v>
      </c>
      <c r="G10918" s="6">
        <v>20081.169999999998</v>
      </c>
      <c r="H10918" s="5">
        <v>5753</v>
      </c>
    </row>
    <row r="10919" spans="2:8" x14ac:dyDescent="0.4">
      <c r="B10919" s="3" t="s">
        <v>7</v>
      </c>
      <c r="C10919" s="3" t="s">
        <v>1287</v>
      </c>
      <c r="D10919" s="4">
        <f t="shared" si="181"/>
        <v>41551</v>
      </c>
      <c r="E10919" s="5">
        <f t="shared" si="180"/>
        <v>2013</v>
      </c>
      <c r="F10919" s="3" t="s">
        <v>1726</v>
      </c>
      <c r="G10919" s="6">
        <v>26969.63</v>
      </c>
      <c r="H10919" s="5">
        <v>5754</v>
      </c>
    </row>
    <row r="10920" spans="2:8" x14ac:dyDescent="0.4">
      <c r="B10920" s="3" t="s">
        <v>7</v>
      </c>
      <c r="C10920" s="3" t="s">
        <v>1287</v>
      </c>
      <c r="D10920" s="4">
        <f t="shared" si="181"/>
        <v>41551</v>
      </c>
      <c r="E10920" s="5">
        <f t="shared" si="180"/>
        <v>2013</v>
      </c>
      <c r="F10920" s="3" t="s">
        <v>1726</v>
      </c>
      <c r="G10920" s="6">
        <v>14488.17</v>
      </c>
      <c r="H10920" s="5">
        <v>5755</v>
      </c>
    </row>
    <row r="10921" spans="2:8" x14ac:dyDescent="0.4">
      <c r="B10921" s="3" t="s">
        <v>7</v>
      </c>
      <c r="C10921" s="3" t="s">
        <v>1287</v>
      </c>
      <c r="D10921" s="4">
        <f t="shared" si="181"/>
        <v>41551</v>
      </c>
      <c r="E10921" s="5">
        <f t="shared" si="180"/>
        <v>2013</v>
      </c>
      <c r="F10921" s="3" t="s">
        <v>1726</v>
      </c>
      <c r="G10921" s="6">
        <v>24606.94</v>
      </c>
      <c r="H10921" s="5">
        <v>5756</v>
      </c>
    </row>
    <row r="10922" spans="2:8" x14ac:dyDescent="0.4">
      <c r="B10922" s="3" t="s">
        <v>7</v>
      </c>
      <c r="C10922" s="3" t="s">
        <v>1287</v>
      </c>
      <c r="D10922" s="4">
        <f t="shared" si="181"/>
        <v>41551</v>
      </c>
      <c r="E10922" s="5">
        <f t="shared" si="180"/>
        <v>2013</v>
      </c>
      <c r="F10922" s="3" t="s">
        <v>1726</v>
      </c>
      <c r="G10922" s="6">
        <v>16574.79</v>
      </c>
      <c r="H10922" s="5">
        <v>5757</v>
      </c>
    </row>
    <row r="10923" spans="2:8" x14ac:dyDescent="0.4">
      <c r="B10923" s="3" t="s">
        <v>7</v>
      </c>
      <c r="C10923" s="3" t="s">
        <v>1287</v>
      </c>
      <c r="D10923" s="4">
        <f>DATE(2013,10,17)</f>
        <v>41564</v>
      </c>
      <c r="E10923" s="5">
        <f t="shared" si="180"/>
        <v>2013</v>
      </c>
      <c r="F10923" s="3" t="s">
        <v>1726</v>
      </c>
      <c r="G10923" s="6">
        <v>183646.09</v>
      </c>
      <c r="H10923" s="5">
        <v>5770</v>
      </c>
    </row>
    <row r="10924" spans="2:8" x14ac:dyDescent="0.4">
      <c r="B10924" s="3" t="s">
        <v>7</v>
      </c>
      <c r="C10924" s="3" t="s">
        <v>1287</v>
      </c>
      <c r="D10924" s="4">
        <f>DATE(2013,11,8)</f>
        <v>41586</v>
      </c>
      <c r="E10924" s="5">
        <f t="shared" si="180"/>
        <v>2013</v>
      </c>
      <c r="F10924" s="3" t="s">
        <v>1726</v>
      </c>
      <c r="G10924" s="6">
        <v>18044</v>
      </c>
      <c r="H10924" s="5">
        <v>5828</v>
      </c>
    </row>
    <row r="10925" spans="2:8" x14ac:dyDescent="0.4">
      <c r="B10925" s="3" t="s">
        <v>7</v>
      </c>
      <c r="C10925" s="3" t="s">
        <v>1287</v>
      </c>
      <c r="D10925" s="4">
        <f>DATE(2014,1,23)</f>
        <v>41662</v>
      </c>
      <c r="E10925" s="5">
        <f t="shared" si="180"/>
        <v>2014</v>
      </c>
      <c r="F10925" s="3" t="s">
        <v>1726</v>
      </c>
      <c r="G10925" s="6">
        <v>10979.35</v>
      </c>
      <c r="H10925" s="5">
        <v>5955</v>
      </c>
    </row>
    <row r="10926" spans="2:8" x14ac:dyDescent="0.4">
      <c r="B10926" s="3" t="s">
        <v>7</v>
      </c>
      <c r="C10926" s="3" t="s">
        <v>1287</v>
      </c>
      <c r="D10926" s="4">
        <f>DATE(2014,1,23)</f>
        <v>41662</v>
      </c>
      <c r="E10926" s="5">
        <f t="shared" si="180"/>
        <v>2014</v>
      </c>
      <c r="F10926" s="3" t="s">
        <v>1726</v>
      </c>
      <c r="G10926" s="6">
        <v>21702.15</v>
      </c>
      <c r="H10926" s="5">
        <v>5959</v>
      </c>
    </row>
    <row r="10927" spans="2:8" x14ac:dyDescent="0.4">
      <c r="B10927" s="3" t="s">
        <v>7</v>
      </c>
      <c r="C10927" s="3" t="s">
        <v>1287</v>
      </c>
      <c r="D10927" s="4">
        <f>DATE(2014,2,3)</f>
        <v>41673</v>
      </c>
      <c r="E10927" s="5">
        <f t="shared" si="180"/>
        <v>2014</v>
      </c>
      <c r="F10927" s="3" t="s">
        <v>1726</v>
      </c>
      <c r="G10927" s="6">
        <v>5486.62</v>
      </c>
      <c r="H10927" s="5">
        <v>6023</v>
      </c>
    </row>
    <row r="10928" spans="2:8" x14ac:dyDescent="0.4">
      <c r="B10928" s="3" t="s">
        <v>7</v>
      </c>
      <c r="C10928" s="3" t="s">
        <v>1287</v>
      </c>
      <c r="D10928" s="4">
        <f>DATE(2013,8,21)</f>
        <v>41507</v>
      </c>
      <c r="E10928" s="5">
        <f t="shared" si="180"/>
        <v>2013</v>
      </c>
      <c r="F10928" s="3" t="s">
        <v>1726</v>
      </c>
      <c r="G10928" s="6">
        <v>46369.36</v>
      </c>
      <c r="H10928" s="5">
        <v>6081</v>
      </c>
    </row>
    <row r="10929" spans="2:8" x14ac:dyDescent="0.4">
      <c r="B10929" s="3" t="s">
        <v>7</v>
      </c>
      <c r="C10929" s="3" t="s">
        <v>1287</v>
      </c>
      <c r="D10929" s="4">
        <f>DATE(2014,3,7)</f>
        <v>41705</v>
      </c>
      <c r="E10929" s="5">
        <f t="shared" si="180"/>
        <v>2014</v>
      </c>
      <c r="F10929" s="3" t="s">
        <v>1726</v>
      </c>
      <c r="G10929" s="6">
        <v>47009.64</v>
      </c>
      <c r="H10929" s="5">
        <v>5981</v>
      </c>
    </row>
    <row r="10930" spans="2:8" x14ac:dyDescent="0.4">
      <c r="B10930" s="3" t="s">
        <v>7</v>
      </c>
      <c r="C10930" s="3" t="s">
        <v>1287</v>
      </c>
      <c r="D10930" s="4">
        <f>DATE(2014,3,7)</f>
        <v>41705</v>
      </c>
      <c r="E10930" s="5">
        <f t="shared" si="180"/>
        <v>2014</v>
      </c>
      <c r="F10930" s="3" t="s">
        <v>1726</v>
      </c>
      <c r="G10930" s="6">
        <v>40818.15</v>
      </c>
      <c r="H10930" s="5">
        <v>6027</v>
      </c>
    </row>
    <row r="10931" spans="2:8" x14ac:dyDescent="0.4">
      <c r="B10931" s="3" t="s">
        <v>7</v>
      </c>
      <c r="C10931" s="3" t="s">
        <v>1287</v>
      </c>
      <c r="D10931" s="4">
        <f>DATE(2014,4,14)</f>
        <v>41743</v>
      </c>
      <c r="E10931" s="5">
        <f t="shared" si="180"/>
        <v>2014</v>
      </c>
      <c r="F10931" s="3" t="s">
        <v>1726</v>
      </c>
      <c r="G10931" s="6">
        <v>72932.83</v>
      </c>
      <c r="H10931" s="5">
        <v>5991</v>
      </c>
    </row>
    <row r="10932" spans="2:8" x14ac:dyDescent="0.4">
      <c r="B10932" s="3" t="s">
        <v>7</v>
      </c>
      <c r="C10932" s="3" t="s">
        <v>1287</v>
      </c>
      <c r="D10932" s="4">
        <f>DATE(2013,8,29)</f>
        <v>41515</v>
      </c>
      <c r="E10932" s="5">
        <f t="shared" si="180"/>
        <v>2013</v>
      </c>
      <c r="F10932" s="3" t="s">
        <v>1726</v>
      </c>
      <c r="G10932" s="6">
        <v>136285.28</v>
      </c>
      <c r="H10932" s="5">
        <v>5713</v>
      </c>
    </row>
    <row r="10933" spans="2:8" x14ac:dyDescent="0.4">
      <c r="B10933" s="3" t="s">
        <v>7</v>
      </c>
      <c r="C10933" s="3" t="s">
        <v>1287</v>
      </c>
      <c r="D10933" s="4">
        <f>DATE(2014,12,5)</f>
        <v>41978</v>
      </c>
      <c r="E10933" s="5">
        <f t="shared" si="180"/>
        <v>2014</v>
      </c>
      <c r="F10933" s="3" t="s">
        <v>1726</v>
      </c>
      <c r="G10933" s="6">
        <v>51000</v>
      </c>
      <c r="H10933" s="5">
        <v>6509</v>
      </c>
    </row>
    <row r="10934" spans="2:8" x14ac:dyDescent="0.4">
      <c r="B10934" s="3" t="s">
        <v>16</v>
      </c>
      <c r="C10934" s="3" t="s">
        <v>1287</v>
      </c>
      <c r="D10934" s="4">
        <f>DATE(2014,12,5)</f>
        <v>41978</v>
      </c>
      <c r="E10934" s="5">
        <f t="shared" si="180"/>
        <v>2014</v>
      </c>
      <c r="F10934" s="3" t="s">
        <v>1726</v>
      </c>
      <c r="G10934" s="6">
        <v>136285.28</v>
      </c>
      <c r="H10934" s="5">
        <v>6515</v>
      </c>
    </row>
    <row r="10935" spans="2:8" x14ac:dyDescent="0.4">
      <c r="B10935" s="3" t="s">
        <v>16</v>
      </c>
      <c r="C10935" s="3" t="s">
        <v>1287</v>
      </c>
      <c r="D10935" s="4">
        <f t="shared" ref="D10935:D10947" si="182">DATE(2013,11,8)</f>
        <v>41586</v>
      </c>
      <c r="E10935" s="5">
        <f t="shared" si="180"/>
        <v>2013</v>
      </c>
      <c r="F10935" s="3" t="s">
        <v>1726</v>
      </c>
      <c r="G10935" s="6">
        <v>3107.7</v>
      </c>
      <c r="H10935" s="5">
        <v>5894</v>
      </c>
    </row>
    <row r="10936" spans="2:8" x14ac:dyDescent="0.4">
      <c r="B10936" s="3" t="s">
        <v>16</v>
      </c>
      <c r="C10936" s="3" t="s">
        <v>1287</v>
      </c>
      <c r="D10936" s="4">
        <f t="shared" si="182"/>
        <v>41586</v>
      </c>
      <c r="E10936" s="5">
        <f t="shared" si="180"/>
        <v>2013</v>
      </c>
      <c r="F10936" s="3" t="s">
        <v>1726</v>
      </c>
      <c r="G10936" s="6">
        <v>3107.69</v>
      </c>
      <c r="H10936" s="5">
        <v>5895</v>
      </c>
    </row>
    <row r="10937" spans="2:8" x14ac:dyDescent="0.4">
      <c r="B10937" s="3" t="s">
        <v>16</v>
      </c>
      <c r="C10937" s="3" t="s">
        <v>1287</v>
      </c>
      <c r="D10937" s="4">
        <f t="shared" si="182"/>
        <v>41586</v>
      </c>
      <c r="E10937" s="5">
        <f t="shared" si="180"/>
        <v>2013</v>
      </c>
      <c r="F10937" s="3" t="s">
        <v>1726</v>
      </c>
      <c r="G10937" s="6">
        <v>1977.61</v>
      </c>
      <c r="H10937" s="5">
        <v>5896</v>
      </c>
    </row>
    <row r="10938" spans="2:8" x14ac:dyDescent="0.4">
      <c r="B10938" s="3" t="s">
        <v>16</v>
      </c>
      <c r="C10938" s="3" t="s">
        <v>1287</v>
      </c>
      <c r="D10938" s="4">
        <f t="shared" si="182"/>
        <v>41586</v>
      </c>
      <c r="E10938" s="5">
        <f t="shared" si="180"/>
        <v>2013</v>
      </c>
      <c r="F10938" s="3" t="s">
        <v>1726</v>
      </c>
      <c r="G10938" s="6">
        <v>1412.58</v>
      </c>
      <c r="H10938" s="5">
        <v>5897</v>
      </c>
    </row>
    <row r="10939" spans="2:8" x14ac:dyDescent="0.4">
      <c r="B10939" s="3" t="s">
        <v>16</v>
      </c>
      <c r="C10939" s="3" t="s">
        <v>1287</v>
      </c>
      <c r="D10939" s="4">
        <f t="shared" si="182"/>
        <v>41586</v>
      </c>
      <c r="E10939" s="5">
        <f t="shared" si="180"/>
        <v>2013</v>
      </c>
      <c r="F10939" s="3" t="s">
        <v>1726</v>
      </c>
      <c r="G10939" s="6">
        <v>565.04</v>
      </c>
      <c r="H10939" s="5">
        <v>5898</v>
      </c>
    </row>
    <row r="10940" spans="2:8" x14ac:dyDescent="0.4">
      <c r="B10940" s="3" t="s">
        <v>16</v>
      </c>
      <c r="C10940" s="3" t="s">
        <v>1287</v>
      </c>
      <c r="D10940" s="4">
        <f t="shared" si="182"/>
        <v>41586</v>
      </c>
      <c r="E10940" s="5">
        <f t="shared" si="180"/>
        <v>2013</v>
      </c>
      <c r="F10940" s="3" t="s">
        <v>1726</v>
      </c>
      <c r="G10940" s="6">
        <v>2260.15</v>
      </c>
      <c r="H10940" s="5">
        <v>5899</v>
      </c>
    </row>
    <row r="10941" spans="2:8" x14ac:dyDescent="0.4">
      <c r="B10941" s="3" t="s">
        <v>16</v>
      </c>
      <c r="C10941" s="3" t="s">
        <v>1287</v>
      </c>
      <c r="D10941" s="4">
        <f t="shared" si="182"/>
        <v>41586</v>
      </c>
      <c r="E10941" s="5">
        <f t="shared" si="180"/>
        <v>2013</v>
      </c>
      <c r="F10941" s="3" t="s">
        <v>1726</v>
      </c>
      <c r="G10941" s="6">
        <v>1412.58</v>
      </c>
      <c r="H10941" s="5">
        <v>5900</v>
      </c>
    </row>
    <row r="10942" spans="2:8" x14ac:dyDescent="0.4">
      <c r="B10942" s="3" t="s">
        <v>16</v>
      </c>
      <c r="C10942" s="3" t="s">
        <v>1287</v>
      </c>
      <c r="D10942" s="4">
        <f t="shared" si="182"/>
        <v>41586</v>
      </c>
      <c r="E10942" s="5">
        <f t="shared" si="180"/>
        <v>2013</v>
      </c>
      <c r="F10942" s="3" t="s">
        <v>1726</v>
      </c>
      <c r="G10942" s="6">
        <v>2260.12</v>
      </c>
      <c r="H10942" s="5">
        <v>5902</v>
      </c>
    </row>
    <row r="10943" spans="2:8" x14ac:dyDescent="0.4">
      <c r="B10943" s="3" t="s">
        <v>16</v>
      </c>
      <c r="C10943" s="3" t="s">
        <v>1287</v>
      </c>
      <c r="D10943" s="4">
        <f t="shared" si="182"/>
        <v>41586</v>
      </c>
      <c r="E10943" s="5">
        <f t="shared" si="180"/>
        <v>2013</v>
      </c>
      <c r="F10943" s="3" t="s">
        <v>1726</v>
      </c>
      <c r="G10943" s="6">
        <v>2542.63</v>
      </c>
      <c r="H10943" s="5">
        <v>5903</v>
      </c>
    </row>
    <row r="10944" spans="2:8" x14ac:dyDescent="0.4">
      <c r="B10944" s="3" t="s">
        <v>16</v>
      </c>
      <c r="C10944" s="3" t="s">
        <v>1287</v>
      </c>
      <c r="D10944" s="4">
        <f t="shared" si="182"/>
        <v>41586</v>
      </c>
      <c r="E10944" s="5">
        <f t="shared" si="180"/>
        <v>2013</v>
      </c>
      <c r="F10944" s="3" t="s">
        <v>1726</v>
      </c>
      <c r="G10944" s="6">
        <v>2825.17</v>
      </c>
      <c r="H10944" s="5">
        <v>5906</v>
      </c>
    </row>
    <row r="10945" spans="2:8" x14ac:dyDescent="0.4">
      <c r="B10945" s="3" t="s">
        <v>16</v>
      </c>
      <c r="C10945" s="3" t="s">
        <v>1287</v>
      </c>
      <c r="D10945" s="4">
        <f t="shared" si="182"/>
        <v>41586</v>
      </c>
      <c r="E10945" s="5">
        <f t="shared" si="180"/>
        <v>2013</v>
      </c>
      <c r="F10945" s="3" t="s">
        <v>1726</v>
      </c>
      <c r="G10945" s="6">
        <v>1977.61</v>
      </c>
      <c r="H10945" s="5">
        <v>5907</v>
      </c>
    </row>
    <row r="10946" spans="2:8" x14ac:dyDescent="0.4">
      <c r="B10946" s="3" t="s">
        <v>16</v>
      </c>
      <c r="C10946" s="3" t="s">
        <v>1287</v>
      </c>
      <c r="D10946" s="4">
        <f t="shared" si="182"/>
        <v>41586</v>
      </c>
      <c r="E10946" s="5">
        <f t="shared" si="180"/>
        <v>2013</v>
      </c>
      <c r="F10946" s="3" t="s">
        <v>1726</v>
      </c>
      <c r="G10946" s="6">
        <v>2825.17</v>
      </c>
      <c r="H10946" s="5">
        <v>5908</v>
      </c>
    </row>
    <row r="10947" spans="2:8" x14ac:dyDescent="0.4">
      <c r="B10947" s="3" t="s">
        <v>16</v>
      </c>
      <c r="C10947" s="3" t="s">
        <v>1287</v>
      </c>
      <c r="D10947" s="4">
        <f t="shared" si="182"/>
        <v>41586</v>
      </c>
      <c r="E10947" s="5">
        <f t="shared" ref="E10947:E11010" si="183">YEAR(D10947)</f>
        <v>2013</v>
      </c>
      <c r="F10947" s="3" t="s">
        <v>1726</v>
      </c>
      <c r="G10947" s="6">
        <v>1977.61</v>
      </c>
      <c r="H10947" s="5">
        <v>5909</v>
      </c>
    </row>
    <row r="10948" spans="2:8" x14ac:dyDescent="0.4">
      <c r="B10948" s="3" t="s">
        <v>16</v>
      </c>
      <c r="C10948" s="3" t="s">
        <v>1287</v>
      </c>
      <c r="D10948" s="4">
        <f>DATE(2013,11,13)</f>
        <v>41591</v>
      </c>
      <c r="E10948" s="5">
        <f t="shared" si="183"/>
        <v>2013</v>
      </c>
      <c r="F10948" s="3" t="s">
        <v>1726</v>
      </c>
      <c r="G10948" s="6">
        <v>26957.82</v>
      </c>
      <c r="H10948" s="5">
        <v>5916</v>
      </c>
    </row>
    <row r="10949" spans="2:8" x14ac:dyDescent="0.4">
      <c r="B10949" s="3" t="s">
        <v>16</v>
      </c>
      <c r="C10949" s="3" t="s">
        <v>1287</v>
      </c>
      <c r="D10949" s="4">
        <f>DATE(2013,8,21)</f>
        <v>41507</v>
      </c>
      <c r="E10949" s="5">
        <f t="shared" si="183"/>
        <v>2013</v>
      </c>
      <c r="F10949" s="3" t="s">
        <v>1726</v>
      </c>
      <c r="G10949" s="6">
        <v>51528.99</v>
      </c>
      <c r="H10949" s="5">
        <v>6084</v>
      </c>
    </row>
    <row r="10950" spans="2:8" x14ac:dyDescent="0.4">
      <c r="B10950" s="3" t="s">
        <v>7</v>
      </c>
      <c r="C10950" s="3" t="s">
        <v>1727</v>
      </c>
      <c r="D10950" s="4">
        <f>DATE(2012,4,12)</f>
        <v>41011</v>
      </c>
      <c r="E10950" s="5">
        <f t="shared" si="183"/>
        <v>2012</v>
      </c>
      <c r="F10950" s="3" t="s">
        <v>1728</v>
      </c>
      <c r="G10950" s="6">
        <v>8109.74</v>
      </c>
      <c r="H10950" s="5">
        <v>5006</v>
      </c>
    </row>
    <row r="10951" spans="2:8" x14ac:dyDescent="0.4">
      <c r="B10951" s="3" t="s">
        <v>7</v>
      </c>
      <c r="C10951" s="3" t="s">
        <v>1727</v>
      </c>
      <c r="D10951" s="4">
        <f>DATE(2012,4,12)</f>
        <v>41011</v>
      </c>
      <c r="E10951" s="5">
        <f t="shared" si="183"/>
        <v>2012</v>
      </c>
      <c r="F10951" s="3" t="s">
        <v>1728</v>
      </c>
      <c r="G10951" s="6">
        <v>176035.83</v>
      </c>
      <c r="H10951" s="5">
        <v>4853</v>
      </c>
    </row>
    <row r="10952" spans="2:8" x14ac:dyDescent="0.4">
      <c r="B10952" t="s">
        <v>7</v>
      </c>
      <c r="C10952" t="s">
        <v>1729</v>
      </c>
      <c r="D10952" s="7">
        <f>DATE(2018,4,18)</f>
        <v>43208</v>
      </c>
      <c r="E10952" s="8">
        <f t="shared" si="183"/>
        <v>2018</v>
      </c>
      <c r="F10952" t="s">
        <v>1730</v>
      </c>
      <c r="G10952" s="9">
        <v>487</v>
      </c>
      <c r="H10952" s="8">
        <v>26890</v>
      </c>
    </row>
    <row r="10953" spans="2:8" x14ac:dyDescent="0.4">
      <c r="B10953" t="s">
        <v>7</v>
      </c>
      <c r="C10953" t="s">
        <v>1729</v>
      </c>
      <c r="D10953" s="7">
        <f>DATE(2018,4,25)</f>
        <v>43215</v>
      </c>
      <c r="E10953" s="8">
        <f t="shared" si="183"/>
        <v>2018</v>
      </c>
      <c r="F10953" t="s">
        <v>1730</v>
      </c>
      <c r="G10953" s="9">
        <v>487</v>
      </c>
      <c r="H10953" s="8">
        <v>26950</v>
      </c>
    </row>
    <row r="10954" spans="2:8" x14ac:dyDescent="0.4">
      <c r="B10954" s="3" t="s">
        <v>7</v>
      </c>
      <c r="C10954" s="3" t="s">
        <v>1729</v>
      </c>
      <c r="D10954" s="4">
        <f>DATE(2005,12,7)</f>
        <v>38693</v>
      </c>
      <c r="E10954" s="5">
        <f t="shared" si="183"/>
        <v>2005</v>
      </c>
      <c r="F10954" s="3" t="s">
        <v>1730</v>
      </c>
      <c r="G10954" s="6">
        <v>14880.71</v>
      </c>
      <c r="H10954" s="5">
        <v>5588</v>
      </c>
    </row>
    <row r="10955" spans="2:8" x14ac:dyDescent="0.4">
      <c r="B10955" s="3" t="s">
        <v>7</v>
      </c>
      <c r="C10955" s="3" t="s">
        <v>1729</v>
      </c>
      <c r="D10955" s="4">
        <f>DATE(2006,1,11)</f>
        <v>38728</v>
      </c>
      <c r="E10955" s="5">
        <f t="shared" si="183"/>
        <v>2006</v>
      </c>
      <c r="F10955" s="3" t="s">
        <v>1730</v>
      </c>
      <c r="G10955" s="6">
        <v>238</v>
      </c>
      <c r="H10955" s="5">
        <v>5828</v>
      </c>
    </row>
    <row r="10956" spans="2:8" x14ac:dyDescent="0.4">
      <c r="B10956" s="3" t="s">
        <v>7</v>
      </c>
      <c r="C10956" s="3" t="s">
        <v>1729</v>
      </c>
      <c r="D10956" s="4">
        <f>DATE(2006,1,27)</f>
        <v>38744</v>
      </c>
      <c r="E10956" s="5">
        <f t="shared" si="183"/>
        <v>2006</v>
      </c>
      <c r="F10956" s="3" t="s">
        <v>1730</v>
      </c>
      <c r="G10956" s="6">
        <v>2695.39</v>
      </c>
      <c r="H10956" s="5">
        <v>5930</v>
      </c>
    </row>
    <row r="10957" spans="2:8" x14ac:dyDescent="0.4">
      <c r="B10957" s="3" t="s">
        <v>7</v>
      </c>
      <c r="C10957" s="3" t="s">
        <v>1729</v>
      </c>
      <c r="D10957" s="4">
        <f>DATE(2006,2,23)</f>
        <v>38771</v>
      </c>
      <c r="E10957" s="5">
        <f t="shared" si="183"/>
        <v>2006</v>
      </c>
      <c r="F10957" s="3" t="s">
        <v>1730</v>
      </c>
      <c r="G10957" s="6">
        <v>1841.17</v>
      </c>
      <c r="H10957" s="5">
        <v>6152</v>
      </c>
    </row>
    <row r="10958" spans="2:8" x14ac:dyDescent="0.4">
      <c r="B10958" s="3" t="s">
        <v>7</v>
      </c>
      <c r="C10958" s="3" t="s">
        <v>1729</v>
      </c>
      <c r="D10958" s="4">
        <f>DATE(2006,3,8)</f>
        <v>38784</v>
      </c>
      <c r="E10958" s="5">
        <f t="shared" si="183"/>
        <v>2006</v>
      </c>
      <c r="F10958" s="3" t="s">
        <v>1730</v>
      </c>
      <c r="G10958" s="6">
        <v>482.74</v>
      </c>
      <c r="H10958" s="5">
        <v>6236</v>
      </c>
    </row>
    <row r="10959" spans="2:8" x14ac:dyDescent="0.4">
      <c r="B10959" s="3" t="s">
        <v>7</v>
      </c>
      <c r="C10959" s="3" t="s">
        <v>1729</v>
      </c>
      <c r="D10959" s="4">
        <f>DATE(2006,3,9)</f>
        <v>38785</v>
      </c>
      <c r="E10959" s="5">
        <f t="shared" si="183"/>
        <v>2006</v>
      </c>
      <c r="F10959" s="3" t="s">
        <v>1730</v>
      </c>
      <c r="G10959" s="6">
        <v>1809.11</v>
      </c>
      <c r="H10959" s="5">
        <v>6251</v>
      </c>
    </row>
    <row r="10960" spans="2:8" x14ac:dyDescent="0.4">
      <c r="B10960" s="3" t="s">
        <v>7</v>
      </c>
      <c r="C10960" s="3" t="s">
        <v>1729</v>
      </c>
      <c r="D10960" s="4">
        <f>DATE(2006,3,16)</f>
        <v>38792</v>
      </c>
      <c r="E10960" s="5">
        <f t="shared" si="183"/>
        <v>2006</v>
      </c>
      <c r="F10960" s="3" t="s">
        <v>1730</v>
      </c>
      <c r="G10960" s="6">
        <v>2254.27</v>
      </c>
      <c r="H10960" s="5">
        <v>6310</v>
      </c>
    </row>
    <row r="10961" spans="2:8" x14ac:dyDescent="0.4">
      <c r="B10961" s="3" t="s">
        <v>7</v>
      </c>
      <c r="C10961" s="3" t="s">
        <v>1729</v>
      </c>
      <c r="D10961" s="4">
        <f>DATE(2006,4,26)</f>
        <v>38833</v>
      </c>
      <c r="E10961" s="5">
        <f t="shared" si="183"/>
        <v>2006</v>
      </c>
      <c r="F10961" s="3" t="s">
        <v>1730</v>
      </c>
      <c r="G10961" s="6">
        <v>1809.11</v>
      </c>
      <c r="H10961" s="5">
        <v>6620</v>
      </c>
    </row>
    <row r="10962" spans="2:8" x14ac:dyDescent="0.4">
      <c r="B10962" s="3" t="s">
        <v>7</v>
      </c>
      <c r="C10962" s="3" t="s">
        <v>1729</v>
      </c>
      <c r="D10962" s="4">
        <f>DATE(2006,10,3)</f>
        <v>38993</v>
      </c>
      <c r="E10962" s="5">
        <f t="shared" si="183"/>
        <v>2006</v>
      </c>
      <c r="F10962" s="3" t="s">
        <v>1730</v>
      </c>
      <c r="G10962" s="6">
        <v>169.67</v>
      </c>
      <c r="H10962" s="5">
        <v>7343</v>
      </c>
    </row>
    <row r="10963" spans="2:8" x14ac:dyDescent="0.4">
      <c r="B10963" s="3" t="s">
        <v>7</v>
      </c>
      <c r="C10963" s="3" t="s">
        <v>1729</v>
      </c>
      <c r="D10963" s="4">
        <f>DATE(2007,6,7)</f>
        <v>39240</v>
      </c>
      <c r="E10963" s="5">
        <f t="shared" si="183"/>
        <v>2007</v>
      </c>
      <c r="F10963" s="3" t="s">
        <v>1730</v>
      </c>
      <c r="G10963" s="6">
        <v>126.25</v>
      </c>
      <c r="H10963" s="5">
        <v>8720</v>
      </c>
    </row>
    <row r="10964" spans="2:8" x14ac:dyDescent="0.4">
      <c r="B10964" s="3" t="s">
        <v>7</v>
      </c>
      <c r="C10964" s="3" t="s">
        <v>1729</v>
      </c>
      <c r="D10964" s="4">
        <f>DATE(2007,9,18)</f>
        <v>39343</v>
      </c>
      <c r="E10964" s="5">
        <f t="shared" si="183"/>
        <v>2007</v>
      </c>
      <c r="F10964" s="3" t="s">
        <v>1730</v>
      </c>
      <c r="G10964" s="6">
        <v>251.5</v>
      </c>
      <c r="H10964" s="5">
        <v>9201</v>
      </c>
    </row>
    <row r="10965" spans="2:8" x14ac:dyDescent="0.4">
      <c r="B10965" t="s">
        <v>7</v>
      </c>
      <c r="C10965" t="s">
        <v>189</v>
      </c>
      <c r="D10965" s="7">
        <f>DATE(2018,11,8)</f>
        <v>43412</v>
      </c>
      <c r="E10965" s="8">
        <f t="shared" si="183"/>
        <v>2018</v>
      </c>
      <c r="F10965" t="s">
        <v>1731</v>
      </c>
      <c r="G10965" s="9">
        <v>3118.75</v>
      </c>
      <c r="H10965" s="8">
        <v>27942</v>
      </c>
    </row>
    <row r="10966" spans="2:8" x14ac:dyDescent="0.4">
      <c r="B10966" t="s">
        <v>7</v>
      </c>
      <c r="C10966" t="s">
        <v>189</v>
      </c>
      <c r="D10966" s="7">
        <f>DATE(2016,3,14)</f>
        <v>42443</v>
      </c>
      <c r="E10966" s="8">
        <f t="shared" si="183"/>
        <v>2016</v>
      </c>
      <c r="F10966" t="s">
        <v>1731</v>
      </c>
      <c r="G10966" s="9">
        <v>21720</v>
      </c>
      <c r="H10966" s="8">
        <v>22126</v>
      </c>
    </row>
    <row r="10967" spans="2:8" x14ac:dyDescent="0.4">
      <c r="B10967" t="s">
        <v>7</v>
      </c>
      <c r="C10967" t="s">
        <v>189</v>
      </c>
      <c r="D10967" s="7">
        <f>DATE(2018,3,26)</f>
        <v>43185</v>
      </c>
      <c r="E10967" s="8">
        <f t="shared" si="183"/>
        <v>2018</v>
      </c>
      <c r="F10967" t="s">
        <v>1731</v>
      </c>
      <c r="G10967" s="9">
        <v>21720</v>
      </c>
      <c r="H10967" s="8">
        <v>26284</v>
      </c>
    </row>
    <row r="10968" spans="2:8" x14ac:dyDescent="0.4">
      <c r="B10968" t="s">
        <v>7</v>
      </c>
      <c r="C10968" t="s">
        <v>189</v>
      </c>
      <c r="D10968" s="7">
        <f>DATE(2018,11,8)</f>
        <v>43412</v>
      </c>
      <c r="E10968" s="8">
        <f t="shared" si="183"/>
        <v>2018</v>
      </c>
      <c r="F10968" t="s">
        <v>1731</v>
      </c>
      <c r="G10968" s="9">
        <v>3819</v>
      </c>
      <c r="H10968" s="8">
        <v>27943</v>
      </c>
    </row>
    <row r="10969" spans="2:8" x14ac:dyDescent="0.4">
      <c r="B10969" t="s">
        <v>7</v>
      </c>
      <c r="C10969" t="s">
        <v>189</v>
      </c>
      <c r="D10969" s="7">
        <f>DATE(2015,4,17)</f>
        <v>42111</v>
      </c>
      <c r="E10969" s="8">
        <f t="shared" si="183"/>
        <v>2015</v>
      </c>
      <c r="F10969" t="s">
        <v>1731</v>
      </c>
      <c r="G10969" s="9">
        <v>146.19</v>
      </c>
      <c r="H10969" s="8">
        <v>20445</v>
      </c>
    </row>
    <row r="10970" spans="2:8" x14ac:dyDescent="0.4">
      <c r="B10970" t="s">
        <v>7</v>
      </c>
      <c r="C10970" t="s">
        <v>189</v>
      </c>
      <c r="D10970" s="7">
        <f>DATE(2018,3,22)</f>
        <v>43181</v>
      </c>
      <c r="E10970" s="8">
        <f t="shared" si="183"/>
        <v>2018</v>
      </c>
      <c r="F10970" t="s">
        <v>1731</v>
      </c>
      <c r="G10970" s="9">
        <v>3952.68</v>
      </c>
      <c r="H10970" s="8">
        <v>26368</v>
      </c>
    </row>
    <row r="10971" spans="2:8" x14ac:dyDescent="0.4">
      <c r="B10971" t="s">
        <v>7</v>
      </c>
      <c r="C10971" t="s">
        <v>189</v>
      </c>
      <c r="D10971" s="7">
        <f>DATE(2014,5,27)</f>
        <v>41786</v>
      </c>
      <c r="E10971" s="8">
        <f t="shared" si="183"/>
        <v>2014</v>
      </c>
      <c r="F10971" t="s">
        <v>1731</v>
      </c>
      <c r="G10971" s="9">
        <v>15100</v>
      </c>
      <c r="H10971" s="8">
        <v>13156</v>
      </c>
    </row>
    <row r="10972" spans="2:8" x14ac:dyDescent="0.4">
      <c r="B10972" t="s">
        <v>7</v>
      </c>
      <c r="C10972" t="s">
        <v>189</v>
      </c>
      <c r="D10972" s="7">
        <f>DATE(2011,12,8)</f>
        <v>40885</v>
      </c>
      <c r="E10972" s="8">
        <f t="shared" si="183"/>
        <v>2011</v>
      </c>
      <c r="F10972" t="s">
        <v>1731</v>
      </c>
      <c r="G10972" s="9">
        <v>8786.7900000000009</v>
      </c>
      <c r="H10972" s="8">
        <v>11128</v>
      </c>
    </row>
    <row r="10973" spans="2:8" x14ac:dyDescent="0.4">
      <c r="B10973" t="s">
        <v>7</v>
      </c>
      <c r="C10973" t="s">
        <v>189</v>
      </c>
      <c r="D10973" s="7">
        <f>DATE(2012,5,17)</f>
        <v>41046</v>
      </c>
      <c r="E10973" s="8">
        <f t="shared" si="183"/>
        <v>2012</v>
      </c>
      <c r="F10973" t="s">
        <v>1731</v>
      </c>
      <c r="G10973" s="9">
        <v>6323.04</v>
      </c>
      <c r="H10973" s="8">
        <v>11645</v>
      </c>
    </row>
    <row r="10974" spans="2:8" x14ac:dyDescent="0.4">
      <c r="B10974" t="s">
        <v>7</v>
      </c>
      <c r="C10974" t="s">
        <v>189</v>
      </c>
      <c r="D10974" s="7">
        <f>DATE(2013,1,23)</f>
        <v>41297</v>
      </c>
      <c r="E10974" s="8">
        <f t="shared" si="183"/>
        <v>2013</v>
      </c>
      <c r="F10974" t="s">
        <v>1731</v>
      </c>
      <c r="G10974" s="9">
        <v>7278.28</v>
      </c>
      <c r="H10974" s="8">
        <v>12078</v>
      </c>
    </row>
    <row r="10975" spans="2:8" x14ac:dyDescent="0.4">
      <c r="B10975" t="s">
        <v>7</v>
      </c>
      <c r="C10975" t="s">
        <v>189</v>
      </c>
      <c r="D10975" s="7">
        <f>DATE(2014,10,30)</f>
        <v>41942</v>
      </c>
      <c r="E10975" s="8">
        <f t="shared" si="183"/>
        <v>2014</v>
      </c>
      <c r="F10975" t="s">
        <v>1731</v>
      </c>
      <c r="G10975" s="9">
        <v>5228.54</v>
      </c>
      <c r="H10975" s="8">
        <v>13460</v>
      </c>
    </row>
    <row r="10976" spans="2:8" x14ac:dyDescent="0.4">
      <c r="B10976" s="3" t="s">
        <v>7</v>
      </c>
      <c r="C10976" s="3" t="s">
        <v>189</v>
      </c>
      <c r="D10976" s="4">
        <f>DATE(2014,4,30)</f>
        <v>41759</v>
      </c>
      <c r="E10976" s="5">
        <f t="shared" si="183"/>
        <v>2014</v>
      </c>
      <c r="F10976" s="3" t="s">
        <v>1731</v>
      </c>
      <c r="G10976" s="6">
        <v>860</v>
      </c>
      <c r="H10976" s="5">
        <v>19915</v>
      </c>
    </row>
    <row r="10977" spans="2:8" x14ac:dyDescent="0.4">
      <c r="B10977" t="s">
        <v>7</v>
      </c>
      <c r="C10977" t="s">
        <v>1732</v>
      </c>
      <c r="D10977" s="7">
        <f>DATE(2006,3,19)</f>
        <v>38795</v>
      </c>
      <c r="E10977" s="8">
        <f t="shared" si="183"/>
        <v>2006</v>
      </c>
      <c r="F10977" t="s">
        <v>1733</v>
      </c>
      <c r="G10977" s="9">
        <v>6696.29</v>
      </c>
      <c r="H10977" s="8">
        <v>4303</v>
      </c>
    </row>
    <row r="10978" spans="2:8" x14ac:dyDescent="0.4">
      <c r="B10978" t="s">
        <v>7</v>
      </c>
      <c r="C10978" t="s">
        <v>1732</v>
      </c>
      <c r="D10978" s="7">
        <f>DATE(2006,5,27)</f>
        <v>38864</v>
      </c>
      <c r="E10978" s="8">
        <f t="shared" si="183"/>
        <v>2006</v>
      </c>
      <c r="F10978" t="s">
        <v>1733</v>
      </c>
      <c r="G10978" s="9">
        <v>9443.7199999999993</v>
      </c>
      <c r="H10978" s="8">
        <v>4629</v>
      </c>
    </row>
    <row r="10979" spans="2:8" x14ac:dyDescent="0.4">
      <c r="B10979" t="s">
        <v>7</v>
      </c>
      <c r="C10979" t="s">
        <v>1732</v>
      </c>
      <c r="D10979" s="7">
        <f>DATE(2006,11,15)</f>
        <v>39036</v>
      </c>
      <c r="E10979" s="8">
        <f t="shared" si="183"/>
        <v>2006</v>
      </c>
      <c r="F10979" t="s">
        <v>1733</v>
      </c>
      <c r="G10979" s="9">
        <v>7762.5</v>
      </c>
      <c r="H10979" s="8">
        <v>5179</v>
      </c>
    </row>
    <row r="10980" spans="2:8" x14ac:dyDescent="0.4">
      <c r="B10980" t="s">
        <v>7</v>
      </c>
      <c r="C10980" t="s">
        <v>1732</v>
      </c>
      <c r="D10980" s="7">
        <f>DATE(2008,3,28)</f>
        <v>39535</v>
      </c>
      <c r="E10980" s="8">
        <f t="shared" si="183"/>
        <v>2008</v>
      </c>
      <c r="F10980" t="s">
        <v>1733</v>
      </c>
      <c r="G10980" s="9">
        <v>7847.89</v>
      </c>
      <c r="H10980" s="8">
        <v>6402</v>
      </c>
    </row>
    <row r="10981" spans="2:8" x14ac:dyDescent="0.4">
      <c r="B10981" t="s">
        <v>7</v>
      </c>
      <c r="C10981" t="s">
        <v>1732</v>
      </c>
      <c r="D10981" s="7">
        <f>DATE(2008,10,29)</f>
        <v>39750</v>
      </c>
      <c r="E10981" s="8">
        <f t="shared" si="183"/>
        <v>2008</v>
      </c>
      <c r="F10981" t="s">
        <v>1733</v>
      </c>
      <c r="G10981" s="9">
        <v>10985.4</v>
      </c>
      <c r="H10981" s="8">
        <v>7914</v>
      </c>
    </row>
    <row r="10982" spans="2:8" x14ac:dyDescent="0.4">
      <c r="B10982" t="s">
        <v>7</v>
      </c>
      <c r="C10982" t="s">
        <v>1732</v>
      </c>
      <c r="D10982" s="7">
        <f>DATE(2009,10,20)</f>
        <v>40106</v>
      </c>
      <c r="E10982" s="8">
        <f t="shared" si="183"/>
        <v>2009</v>
      </c>
      <c r="F10982" t="s">
        <v>1733</v>
      </c>
      <c r="G10982" s="9">
        <v>13776.65</v>
      </c>
      <c r="H10982" s="8">
        <v>9015</v>
      </c>
    </row>
    <row r="10983" spans="2:8" x14ac:dyDescent="0.4">
      <c r="B10983" t="s">
        <v>16</v>
      </c>
      <c r="C10983" t="s">
        <v>1732</v>
      </c>
      <c r="D10983" s="7">
        <f>DATE(2009,11,10)</f>
        <v>40127</v>
      </c>
      <c r="E10983" s="8">
        <f t="shared" si="183"/>
        <v>2009</v>
      </c>
      <c r="F10983" t="s">
        <v>1733</v>
      </c>
      <c r="G10983" s="9">
        <v>2330</v>
      </c>
      <c r="H10983" s="8">
        <v>9245</v>
      </c>
    </row>
    <row r="10984" spans="2:8" x14ac:dyDescent="0.4">
      <c r="B10984" s="3" t="s">
        <v>7</v>
      </c>
      <c r="C10984" s="3" t="s">
        <v>1732</v>
      </c>
      <c r="D10984" s="4">
        <f>DATE(2003,10,7)</f>
        <v>37901</v>
      </c>
      <c r="E10984" s="5">
        <f t="shared" si="183"/>
        <v>2003</v>
      </c>
      <c r="F10984" s="3" t="s">
        <v>1733</v>
      </c>
      <c r="G10984" s="6">
        <v>784.7</v>
      </c>
      <c r="H10984" s="5">
        <v>1616</v>
      </c>
    </row>
    <row r="10985" spans="2:8" x14ac:dyDescent="0.4">
      <c r="B10985" s="3" t="s">
        <v>7</v>
      </c>
      <c r="C10985" s="3" t="s">
        <v>1732</v>
      </c>
      <c r="D10985" s="4">
        <f>DATE(2003,10,21)</f>
        <v>37915</v>
      </c>
      <c r="E10985" s="5">
        <f t="shared" si="183"/>
        <v>2003</v>
      </c>
      <c r="F10985" s="3" t="s">
        <v>1733</v>
      </c>
      <c r="G10985" s="6">
        <v>801.7</v>
      </c>
      <c r="H10985" s="5">
        <v>1670</v>
      </c>
    </row>
    <row r="10986" spans="2:8" x14ac:dyDescent="0.4">
      <c r="B10986" s="3" t="s">
        <v>16</v>
      </c>
      <c r="C10986" s="3" t="s">
        <v>1732</v>
      </c>
      <c r="D10986" s="4">
        <f>DATE(2003,10,27)</f>
        <v>37921</v>
      </c>
      <c r="E10986" s="5">
        <f t="shared" si="183"/>
        <v>2003</v>
      </c>
      <c r="F10986" s="3" t="s">
        <v>1733</v>
      </c>
      <c r="G10986" s="6">
        <v>776.7</v>
      </c>
      <c r="H10986" s="5">
        <v>1672</v>
      </c>
    </row>
    <row r="10987" spans="2:8" x14ac:dyDescent="0.4">
      <c r="B10987" t="s">
        <v>7</v>
      </c>
      <c r="C10987" t="s">
        <v>1734</v>
      </c>
      <c r="D10987" s="7">
        <f>DATE(2015,7,2)</f>
        <v>42187</v>
      </c>
      <c r="E10987" s="8">
        <f t="shared" si="183"/>
        <v>2015</v>
      </c>
      <c r="F10987" t="s">
        <v>1735</v>
      </c>
      <c r="G10987" s="9">
        <v>87783</v>
      </c>
      <c r="H10987" s="8">
        <v>20086</v>
      </c>
    </row>
    <row r="10988" spans="2:8" x14ac:dyDescent="0.4">
      <c r="B10988" t="s">
        <v>7</v>
      </c>
      <c r="C10988" t="s">
        <v>1734</v>
      </c>
      <c r="D10988" s="7">
        <f>DATE(2015,4,13)</f>
        <v>42107</v>
      </c>
      <c r="E10988" s="8">
        <f t="shared" si="183"/>
        <v>2015</v>
      </c>
      <c r="F10988" t="s">
        <v>1735</v>
      </c>
      <c r="G10988" s="9">
        <v>17980.82</v>
      </c>
      <c r="H10988" s="8">
        <v>20137</v>
      </c>
    </row>
    <row r="10989" spans="2:8" x14ac:dyDescent="0.4">
      <c r="B10989" t="s">
        <v>7</v>
      </c>
      <c r="C10989" t="s">
        <v>296</v>
      </c>
      <c r="D10989" s="7">
        <f>DATE(2017,7,5)</f>
        <v>42921</v>
      </c>
      <c r="E10989" s="8">
        <f t="shared" si="183"/>
        <v>2017</v>
      </c>
      <c r="F10989" t="s">
        <v>1736</v>
      </c>
      <c r="G10989" s="9">
        <v>6530.34</v>
      </c>
      <c r="H10989" s="8">
        <v>25143</v>
      </c>
    </row>
    <row r="10990" spans="2:8" x14ac:dyDescent="0.4">
      <c r="B10990" t="s">
        <v>7</v>
      </c>
      <c r="C10990" t="s">
        <v>1737</v>
      </c>
      <c r="D10990" s="7">
        <f>DATE(2016,5,10)</f>
        <v>42500</v>
      </c>
      <c r="E10990" s="8">
        <f t="shared" si="183"/>
        <v>2016</v>
      </c>
      <c r="F10990" t="s">
        <v>1738</v>
      </c>
      <c r="G10990" s="9">
        <v>761.33</v>
      </c>
      <c r="H10990" s="8">
        <v>22751</v>
      </c>
    </row>
    <row r="10991" spans="2:8" x14ac:dyDescent="0.4">
      <c r="B10991" t="s">
        <v>7</v>
      </c>
      <c r="C10991" t="s">
        <v>1737</v>
      </c>
      <c r="D10991" s="7">
        <f>DATE(2008,3,16)</f>
        <v>39523</v>
      </c>
      <c r="E10991" s="8">
        <f t="shared" si="183"/>
        <v>2008</v>
      </c>
      <c r="F10991" t="s">
        <v>1738</v>
      </c>
      <c r="G10991" s="9">
        <v>4687.6499999999996</v>
      </c>
      <c r="H10991" s="8">
        <v>7205</v>
      </c>
    </row>
    <row r="10992" spans="2:8" x14ac:dyDescent="0.4">
      <c r="B10992" t="s">
        <v>7</v>
      </c>
      <c r="C10992" t="s">
        <v>1737</v>
      </c>
      <c r="D10992" s="7">
        <f>DATE(2008,3,22)</f>
        <v>39529</v>
      </c>
      <c r="E10992" s="8">
        <f t="shared" si="183"/>
        <v>2008</v>
      </c>
      <c r="F10992" t="s">
        <v>1738</v>
      </c>
      <c r="G10992" s="9">
        <v>4958.1000000000004</v>
      </c>
      <c r="H10992" s="8">
        <v>7243</v>
      </c>
    </row>
    <row r="10993" spans="2:8" x14ac:dyDescent="0.4">
      <c r="B10993" t="s">
        <v>7</v>
      </c>
      <c r="C10993" t="s">
        <v>1737</v>
      </c>
      <c r="D10993" s="7">
        <f>DATE(2008,6,18)</f>
        <v>39617</v>
      </c>
      <c r="E10993" s="8">
        <f t="shared" si="183"/>
        <v>2008</v>
      </c>
      <c r="F10993" t="s">
        <v>1738</v>
      </c>
      <c r="G10993" s="9">
        <v>5161.2700000000004</v>
      </c>
      <c r="H10993" s="8">
        <v>7518</v>
      </c>
    </row>
    <row r="10994" spans="2:8" x14ac:dyDescent="0.4">
      <c r="B10994" t="s">
        <v>7</v>
      </c>
      <c r="C10994" t="s">
        <v>1737</v>
      </c>
      <c r="D10994" s="7">
        <f>DATE(2004,2,28)</f>
        <v>38045</v>
      </c>
      <c r="E10994" s="8">
        <f t="shared" si="183"/>
        <v>2004</v>
      </c>
      <c r="F10994" t="s">
        <v>1739</v>
      </c>
      <c r="G10994" s="9">
        <v>4034.24</v>
      </c>
      <c r="H10994" s="8">
        <v>1445</v>
      </c>
    </row>
    <row r="10995" spans="2:8" x14ac:dyDescent="0.4">
      <c r="B10995" t="s">
        <v>7</v>
      </c>
      <c r="C10995" t="s">
        <v>1740</v>
      </c>
      <c r="D10995" s="7">
        <f>DATE(2017,4,6)</f>
        <v>42831</v>
      </c>
      <c r="E10995" s="8">
        <f t="shared" si="183"/>
        <v>2017</v>
      </c>
      <c r="F10995" t="s">
        <v>1741</v>
      </c>
      <c r="G10995" s="9">
        <v>206644.1</v>
      </c>
      <c r="H10995" s="8">
        <v>22657</v>
      </c>
    </row>
    <row r="10996" spans="2:8" x14ac:dyDescent="0.4">
      <c r="B10996" s="3" t="s">
        <v>7</v>
      </c>
      <c r="C10996" s="3" t="s">
        <v>1740</v>
      </c>
      <c r="D10996" s="4">
        <f>DATE(2011,8,31)</f>
        <v>40786</v>
      </c>
      <c r="E10996" s="5">
        <f t="shared" si="183"/>
        <v>2011</v>
      </c>
      <c r="F10996" s="3" t="s">
        <v>1741</v>
      </c>
      <c r="G10996" s="6">
        <v>9500</v>
      </c>
      <c r="H10996" s="5">
        <v>4569</v>
      </c>
    </row>
    <row r="10997" spans="2:8" x14ac:dyDescent="0.4">
      <c r="B10997" s="3" t="s">
        <v>7</v>
      </c>
      <c r="C10997" s="3" t="s">
        <v>1740</v>
      </c>
      <c r="D10997" s="4">
        <f>DATE(2005,3,1)</f>
        <v>38412</v>
      </c>
      <c r="E10997" s="5">
        <f t="shared" si="183"/>
        <v>2005</v>
      </c>
      <c r="F10997" s="3" t="s">
        <v>1741</v>
      </c>
      <c r="G10997" s="6">
        <v>500</v>
      </c>
      <c r="H10997" s="5">
        <v>995</v>
      </c>
    </row>
    <row r="10998" spans="2:8" x14ac:dyDescent="0.4">
      <c r="B10998" s="3" t="s">
        <v>7</v>
      </c>
      <c r="C10998" s="3" t="s">
        <v>1740</v>
      </c>
      <c r="D10998" s="4">
        <f>DATE(2008,9,1)</f>
        <v>39692</v>
      </c>
      <c r="E10998" s="5">
        <f t="shared" si="183"/>
        <v>2008</v>
      </c>
      <c r="F10998" s="3" t="s">
        <v>1741</v>
      </c>
      <c r="G10998" s="6">
        <v>38854.46</v>
      </c>
      <c r="H10998" s="5">
        <v>2962</v>
      </c>
    </row>
    <row r="10999" spans="2:8" x14ac:dyDescent="0.4">
      <c r="B10999" s="3" t="s">
        <v>7</v>
      </c>
      <c r="C10999" s="3" t="s">
        <v>1740</v>
      </c>
      <c r="D10999" s="4">
        <f>DATE(2009,3,24)</f>
        <v>39896</v>
      </c>
      <c r="E10999" s="5">
        <f t="shared" si="183"/>
        <v>2009</v>
      </c>
      <c r="F10999" s="3" t="s">
        <v>1741</v>
      </c>
      <c r="G10999" s="6">
        <v>9270.9</v>
      </c>
      <c r="H10999" s="5">
        <v>3320</v>
      </c>
    </row>
    <row r="11000" spans="2:8" x14ac:dyDescent="0.4">
      <c r="B11000" s="3" t="s">
        <v>7</v>
      </c>
      <c r="C11000" s="3" t="s">
        <v>1740</v>
      </c>
      <c r="D11000" s="4">
        <f>DATE(2009,4,2)</f>
        <v>39905</v>
      </c>
      <c r="E11000" s="5">
        <f t="shared" si="183"/>
        <v>2009</v>
      </c>
      <c r="F11000" s="3" t="s">
        <v>1741</v>
      </c>
      <c r="G11000" s="6">
        <v>51130.01</v>
      </c>
      <c r="H11000" s="5">
        <v>3327</v>
      </c>
    </row>
    <row r="11001" spans="2:8" x14ac:dyDescent="0.4">
      <c r="B11001" s="3" t="s">
        <v>7</v>
      </c>
      <c r="C11001" s="3" t="s">
        <v>1740</v>
      </c>
      <c r="D11001" s="4">
        <f>DATE(2009,10,29)</f>
        <v>40115</v>
      </c>
      <c r="E11001" s="5">
        <f t="shared" si="183"/>
        <v>2009</v>
      </c>
      <c r="F11001" s="3" t="s">
        <v>1741</v>
      </c>
      <c r="G11001" s="6">
        <v>134931.73000000001</v>
      </c>
      <c r="H11001" s="5">
        <v>3619</v>
      </c>
    </row>
    <row r="11002" spans="2:8" x14ac:dyDescent="0.4">
      <c r="B11002" s="3" t="s">
        <v>7</v>
      </c>
      <c r="C11002" s="3" t="s">
        <v>1740</v>
      </c>
      <c r="D11002" s="4">
        <f>DATE(2010,3,5)</f>
        <v>40242</v>
      </c>
      <c r="E11002" s="5">
        <f t="shared" si="183"/>
        <v>2010</v>
      </c>
      <c r="F11002" s="3" t="s">
        <v>1741</v>
      </c>
      <c r="G11002" s="6">
        <v>42293.52</v>
      </c>
      <c r="H11002" s="5">
        <v>3727</v>
      </c>
    </row>
    <row r="11003" spans="2:8" x14ac:dyDescent="0.4">
      <c r="B11003" s="3" t="s">
        <v>7</v>
      </c>
      <c r="C11003" s="3" t="s">
        <v>1740</v>
      </c>
      <c r="D11003" s="4">
        <f>DATE(2011,8,31)</f>
        <v>40786</v>
      </c>
      <c r="E11003" s="5">
        <f t="shared" si="183"/>
        <v>2011</v>
      </c>
      <c r="F11003" s="3" t="s">
        <v>1741</v>
      </c>
      <c r="G11003" s="6">
        <v>22725.279999999999</v>
      </c>
      <c r="H11003" s="5">
        <v>4529</v>
      </c>
    </row>
    <row r="11004" spans="2:8" x14ac:dyDescent="0.4">
      <c r="B11004" s="3" t="s">
        <v>7</v>
      </c>
      <c r="C11004" s="3" t="s">
        <v>1740</v>
      </c>
      <c r="D11004" s="4">
        <f>DATE(2013,5,2)</f>
        <v>41396</v>
      </c>
      <c r="E11004" s="5">
        <f t="shared" si="183"/>
        <v>2013</v>
      </c>
      <c r="F11004" s="3" t="s">
        <v>1741</v>
      </c>
      <c r="G11004" s="6">
        <v>192287.81</v>
      </c>
      <c r="H11004" s="5">
        <v>5414</v>
      </c>
    </row>
    <row r="11005" spans="2:8" x14ac:dyDescent="0.4">
      <c r="B11005" s="3" t="s">
        <v>7</v>
      </c>
      <c r="C11005" s="3" t="s">
        <v>1740</v>
      </c>
      <c r="D11005" s="4">
        <f>DATE(2014,10,28)</f>
        <v>41940</v>
      </c>
      <c r="E11005" s="5">
        <f t="shared" si="183"/>
        <v>2014</v>
      </c>
      <c r="F11005" s="3" t="s">
        <v>1741</v>
      </c>
      <c r="G11005" s="6">
        <v>159674.29999999999</v>
      </c>
      <c r="H11005" s="5">
        <v>6313</v>
      </c>
    </row>
    <row r="11006" spans="2:8" x14ac:dyDescent="0.4">
      <c r="B11006" s="3" t="s">
        <v>16</v>
      </c>
      <c r="C11006" s="3" t="s">
        <v>1740</v>
      </c>
      <c r="D11006" s="4">
        <f>DATE(2005,3,1)</f>
        <v>38412</v>
      </c>
      <c r="E11006" s="5">
        <f t="shared" si="183"/>
        <v>2005</v>
      </c>
      <c r="F11006" s="3" t="s">
        <v>1741</v>
      </c>
      <c r="G11006" s="6">
        <v>500</v>
      </c>
      <c r="H11006" s="5">
        <v>1028</v>
      </c>
    </row>
    <row r="11007" spans="2:8" x14ac:dyDescent="0.4">
      <c r="B11007" s="3" t="s">
        <v>7</v>
      </c>
      <c r="C11007" s="3" t="s">
        <v>1742</v>
      </c>
      <c r="D11007" s="4">
        <f>DATE(2014,4,1)</f>
        <v>41730</v>
      </c>
      <c r="E11007" s="5">
        <f t="shared" si="183"/>
        <v>2014</v>
      </c>
      <c r="F11007" s="3" t="s">
        <v>1743</v>
      </c>
      <c r="G11007" s="6">
        <v>48.06</v>
      </c>
      <c r="H11007" s="5">
        <v>19770</v>
      </c>
    </row>
    <row r="11008" spans="2:8" x14ac:dyDescent="0.4">
      <c r="B11008" s="3" t="s">
        <v>7</v>
      </c>
      <c r="C11008" s="3" t="s">
        <v>1744</v>
      </c>
      <c r="D11008" s="4">
        <f>DATE(2013,12,12)</f>
        <v>41620</v>
      </c>
      <c r="E11008" s="5">
        <f t="shared" si="183"/>
        <v>2013</v>
      </c>
      <c r="F11008" s="3" t="s">
        <v>1745</v>
      </c>
      <c r="G11008" s="6">
        <v>268.5</v>
      </c>
      <c r="H11008" s="5">
        <v>19319</v>
      </c>
    </row>
    <row r="11009" spans="2:8" x14ac:dyDescent="0.4">
      <c r="B11009" s="3" t="s">
        <v>7</v>
      </c>
      <c r="C11009" s="3" t="s">
        <v>1744</v>
      </c>
      <c r="D11009" s="4">
        <f>DATE(2014,7,22)</f>
        <v>41842</v>
      </c>
      <c r="E11009" s="5">
        <f t="shared" si="183"/>
        <v>2014</v>
      </c>
      <c r="F11009" s="3" t="s">
        <v>1745</v>
      </c>
      <c r="G11009" s="6">
        <v>291.22000000000003</v>
      </c>
      <c r="H11009" s="5">
        <v>20165</v>
      </c>
    </row>
    <row r="11010" spans="2:8" x14ac:dyDescent="0.4">
      <c r="B11010" s="3" t="s">
        <v>7</v>
      </c>
      <c r="C11010" s="3" t="s">
        <v>1746</v>
      </c>
      <c r="D11010" s="4">
        <f>DATE(2008,10,30)</f>
        <v>39751</v>
      </c>
      <c r="E11010" s="5">
        <f t="shared" si="183"/>
        <v>2008</v>
      </c>
      <c r="F11010" s="3" t="s">
        <v>1747</v>
      </c>
      <c r="G11010" s="6">
        <v>1116.76</v>
      </c>
      <c r="H11010" s="5">
        <v>11305</v>
      </c>
    </row>
    <row r="11011" spans="2:8" x14ac:dyDescent="0.4">
      <c r="B11011" s="3" t="s">
        <v>7</v>
      </c>
      <c r="C11011" s="3" t="s">
        <v>1748</v>
      </c>
      <c r="D11011" s="4">
        <f>DATE(2011,4,13)</f>
        <v>40646</v>
      </c>
      <c r="E11011" s="5">
        <f t="shared" ref="E11011:E11074" si="184">YEAR(D11011)</f>
        <v>2011</v>
      </c>
      <c r="F11011" s="3" t="s">
        <v>1749</v>
      </c>
      <c r="G11011" s="6">
        <v>7508.13</v>
      </c>
      <c r="H11011" s="5">
        <v>4364</v>
      </c>
    </row>
    <row r="11012" spans="2:8" x14ac:dyDescent="0.4">
      <c r="B11012" s="3" t="s">
        <v>16</v>
      </c>
      <c r="C11012" s="3" t="s">
        <v>1748</v>
      </c>
      <c r="D11012" s="4">
        <f>DATE(2011,4,13)</f>
        <v>40646</v>
      </c>
      <c r="E11012" s="5">
        <f t="shared" si="184"/>
        <v>2011</v>
      </c>
      <c r="F11012" s="3" t="s">
        <v>1749</v>
      </c>
      <c r="G11012" s="6">
        <v>7508.13</v>
      </c>
      <c r="H11012" s="5">
        <v>4589</v>
      </c>
    </row>
    <row r="11013" spans="2:8" x14ac:dyDescent="0.4">
      <c r="B11013" t="s">
        <v>7</v>
      </c>
      <c r="C11013" t="s">
        <v>1750</v>
      </c>
      <c r="D11013" s="7">
        <f>DATE(2005,11,28)</f>
        <v>38684</v>
      </c>
      <c r="E11013" s="8">
        <f t="shared" si="184"/>
        <v>2005</v>
      </c>
      <c r="F11013" t="s">
        <v>1751</v>
      </c>
      <c r="G11013" s="9">
        <v>28528.240000000002</v>
      </c>
      <c r="H11013" s="8">
        <v>3614</v>
      </c>
    </row>
    <row r="11014" spans="2:8" x14ac:dyDescent="0.4">
      <c r="B11014" t="s">
        <v>7</v>
      </c>
      <c r="C11014" t="s">
        <v>1750</v>
      </c>
      <c r="D11014" s="7">
        <f>DATE(2005,12,21)</f>
        <v>38707</v>
      </c>
      <c r="E11014" s="8">
        <f t="shared" si="184"/>
        <v>2005</v>
      </c>
      <c r="F11014" t="s">
        <v>1751</v>
      </c>
      <c r="G11014" s="9">
        <v>2913.01</v>
      </c>
      <c r="H11014" s="8">
        <v>3615</v>
      </c>
    </row>
    <row r="11015" spans="2:8" x14ac:dyDescent="0.4">
      <c r="B11015" s="3" t="s">
        <v>7</v>
      </c>
      <c r="C11015" s="3" t="s">
        <v>1752</v>
      </c>
      <c r="D11015" s="4">
        <f>DATE(2006,5,23)</f>
        <v>38860</v>
      </c>
      <c r="E11015" s="5">
        <f t="shared" si="184"/>
        <v>2006</v>
      </c>
      <c r="F11015" s="3" t="s">
        <v>1753</v>
      </c>
      <c r="G11015" s="6">
        <v>11838.8</v>
      </c>
      <c r="H11015" s="5">
        <v>6567</v>
      </c>
    </row>
    <row r="11016" spans="2:8" x14ac:dyDescent="0.4">
      <c r="B11016" t="s">
        <v>7</v>
      </c>
      <c r="C11016" t="s">
        <v>1754</v>
      </c>
      <c r="D11016" s="7">
        <f>DATE(2015,9,18)</f>
        <v>42265</v>
      </c>
      <c r="E11016" s="8">
        <f t="shared" si="184"/>
        <v>2015</v>
      </c>
      <c r="F11016" t="s">
        <v>1755</v>
      </c>
      <c r="G11016" s="9">
        <v>10777.52</v>
      </c>
      <c r="H11016" s="8">
        <v>21192</v>
      </c>
    </row>
    <row r="11017" spans="2:8" x14ac:dyDescent="0.4">
      <c r="B11017" t="s">
        <v>7</v>
      </c>
      <c r="C11017" t="s">
        <v>1754</v>
      </c>
      <c r="D11017" s="7">
        <f>DATE(2016,5,4)</f>
        <v>42494</v>
      </c>
      <c r="E11017" s="8">
        <f t="shared" si="184"/>
        <v>2016</v>
      </c>
      <c r="F11017" t="s">
        <v>1755</v>
      </c>
      <c r="G11017" s="9">
        <v>648</v>
      </c>
      <c r="H11017" s="8">
        <v>22788</v>
      </c>
    </row>
    <row r="11018" spans="2:8" x14ac:dyDescent="0.4">
      <c r="B11018" t="s">
        <v>7</v>
      </c>
      <c r="C11018" t="s">
        <v>1754</v>
      </c>
      <c r="D11018" s="7">
        <f>DATE(2008,2,26)</f>
        <v>39504</v>
      </c>
      <c r="E11018" s="8">
        <f t="shared" si="184"/>
        <v>2008</v>
      </c>
      <c r="F11018" t="s">
        <v>1755</v>
      </c>
      <c r="G11018" s="9">
        <v>27653.08</v>
      </c>
      <c r="H11018" s="8">
        <v>6930</v>
      </c>
    </row>
    <row r="11019" spans="2:8" x14ac:dyDescent="0.4">
      <c r="B11019" t="s">
        <v>7</v>
      </c>
      <c r="C11019" t="s">
        <v>1754</v>
      </c>
      <c r="D11019" s="7">
        <f>DATE(2009,8,30)</f>
        <v>40055</v>
      </c>
      <c r="E11019" s="8">
        <f t="shared" si="184"/>
        <v>2009</v>
      </c>
      <c r="F11019" t="s">
        <v>1755</v>
      </c>
      <c r="G11019" s="9">
        <v>16749.97</v>
      </c>
      <c r="H11019" s="8">
        <v>9032</v>
      </c>
    </row>
    <row r="11020" spans="2:8" x14ac:dyDescent="0.4">
      <c r="B11020" t="s">
        <v>7</v>
      </c>
      <c r="C11020" t="s">
        <v>1756</v>
      </c>
      <c r="D11020" s="7">
        <f>DATE(2015,6,17)</f>
        <v>42172</v>
      </c>
      <c r="E11020" s="8">
        <f t="shared" si="184"/>
        <v>2015</v>
      </c>
      <c r="F11020" t="s">
        <v>1757</v>
      </c>
      <c r="G11020" s="9">
        <v>4800</v>
      </c>
      <c r="H11020" s="8">
        <v>20670</v>
      </c>
    </row>
    <row r="11021" spans="2:8" x14ac:dyDescent="0.4">
      <c r="B11021" t="s">
        <v>7</v>
      </c>
      <c r="C11021" t="s">
        <v>1756</v>
      </c>
      <c r="D11021" s="7">
        <f>DATE(2016,6,15)</f>
        <v>42536</v>
      </c>
      <c r="E11021" s="8">
        <f t="shared" si="184"/>
        <v>2016</v>
      </c>
      <c r="F11021" t="s">
        <v>1757</v>
      </c>
      <c r="G11021" s="9">
        <v>4800</v>
      </c>
      <c r="H11021" s="8">
        <v>22919</v>
      </c>
    </row>
    <row r="11022" spans="2:8" x14ac:dyDescent="0.4">
      <c r="B11022" t="s">
        <v>7</v>
      </c>
      <c r="C11022" t="s">
        <v>1756</v>
      </c>
      <c r="D11022" s="7">
        <f>DATE(2017,10,4)</f>
        <v>43012</v>
      </c>
      <c r="E11022" s="8">
        <f t="shared" si="184"/>
        <v>2017</v>
      </c>
      <c r="F11022" t="s">
        <v>1757</v>
      </c>
      <c r="G11022" s="9">
        <v>4800</v>
      </c>
      <c r="H11022" s="8">
        <v>25619</v>
      </c>
    </row>
    <row r="11023" spans="2:8" x14ac:dyDescent="0.4">
      <c r="B11023" s="3" t="s">
        <v>7</v>
      </c>
      <c r="C11023" s="3" t="s">
        <v>1756</v>
      </c>
      <c r="D11023" s="4">
        <f>DATE(2007,11,9)</f>
        <v>39395</v>
      </c>
      <c r="E11023" s="5">
        <f t="shared" si="184"/>
        <v>2007</v>
      </c>
      <c r="F11023" s="3" t="s">
        <v>1757</v>
      </c>
      <c r="G11023" s="6">
        <v>1500</v>
      </c>
      <c r="H11023" s="5">
        <v>9453</v>
      </c>
    </row>
    <row r="11024" spans="2:8" x14ac:dyDescent="0.4">
      <c r="B11024" s="3" t="s">
        <v>7</v>
      </c>
      <c r="C11024" s="3" t="s">
        <v>1756</v>
      </c>
      <c r="D11024" s="4">
        <f>DATE(2008,3,14)</f>
        <v>39521</v>
      </c>
      <c r="E11024" s="5">
        <f t="shared" si="184"/>
        <v>2008</v>
      </c>
      <c r="F11024" s="3" t="s">
        <v>1757</v>
      </c>
      <c r="G11024" s="6">
        <v>1500</v>
      </c>
      <c r="H11024" s="5">
        <v>10194</v>
      </c>
    </row>
    <row r="11025" spans="2:8" x14ac:dyDescent="0.4">
      <c r="B11025" s="3" t="s">
        <v>7</v>
      </c>
      <c r="C11025" s="3" t="s">
        <v>1756</v>
      </c>
      <c r="D11025" s="4">
        <f>DATE(2012,4,4)</f>
        <v>41003</v>
      </c>
      <c r="E11025" s="5">
        <f t="shared" si="184"/>
        <v>2012</v>
      </c>
      <c r="F11025" s="3" t="s">
        <v>1757</v>
      </c>
      <c r="G11025" s="6">
        <v>5000</v>
      </c>
      <c r="H11025" s="5">
        <v>16800</v>
      </c>
    </row>
    <row r="11026" spans="2:8" x14ac:dyDescent="0.4">
      <c r="B11026" s="3" t="s">
        <v>7</v>
      </c>
      <c r="C11026" s="3" t="s">
        <v>1756</v>
      </c>
      <c r="D11026" s="4">
        <f>DATE(2013,10,24)</f>
        <v>41571</v>
      </c>
      <c r="E11026" s="5">
        <f t="shared" si="184"/>
        <v>2013</v>
      </c>
      <c r="F11026" s="3" t="s">
        <v>1757</v>
      </c>
      <c r="G11026" s="6">
        <v>5000</v>
      </c>
      <c r="H11026" s="5">
        <v>19048</v>
      </c>
    </row>
    <row r="11027" spans="2:8" x14ac:dyDescent="0.4">
      <c r="B11027" s="3" t="s">
        <v>7</v>
      </c>
      <c r="C11027" s="3" t="s">
        <v>1756</v>
      </c>
      <c r="D11027" s="4">
        <f>DATE(2014,5,15)</f>
        <v>41774</v>
      </c>
      <c r="E11027" s="5">
        <f t="shared" si="184"/>
        <v>2014</v>
      </c>
      <c r="F11027" s="3" t="s">
        <v>1757</v>
      </c>
      <c r="G11027" s="6">
        <v>4800</v>
      </c>
      <c r="H11027" s="5">
        <v>19895</v>
      </c>
    </row>
    <row r="11028" spans="2:8" x14ac:dyDescent="0.4">
      <c r="B11028" s="3" t="s">
        <v>7</v>
      </c>
      <c r="C11028" s="3" t="s">
        <v>1756</v>
      </c>
      <c r="D11028" s="4">
        <f>DATE(2014,10,9)</f>
        <v>41921</v>
      </c>
      <c r="E11028" s="5">
        <f t="shared" si="184"/>
        <v>2014</v>
      </c>
      <c r="F11028" s="3" t="s">
        <v>1757</v>
      </c>
      <c r="G11028" s="6">
        <v>4800</v>
      </c>
      <c r="H11028" s="5">
        <v>20451</v>
      </c>
    </row>
    <row r="11029" spans="2:8" x14ac:dyDescent="0.4">
      <c r="B11029" t="s">
        <v>7</v>
      </c>
      <c r="C11029" t="s">
        <v>1758</v>
      </c>
      <c r="D11029" s="7">
        <f>DATE(2009,12,14)</f>
        <v>40161</v>
      </c>
      <c r="E11029" s="8">
        <f t="shared" si="184"/>
        <v>2009</v>
      </c>
      <c r="F11029" t="s">
        <v>1759</v>
      </c>
      <c r="G11029" s="9">
        <v>30190.65</v>
      </c>
      <c r="H11029" s="8">
        <v>9189</v>
      </c>
    </row>
    <row r="11030" spans="2:8" x14ac:dyDescent="0.4">
      <c r="B11030" t="s">
        <v>7</v>
      </c>
      <c r="C11030" t="s">
        <v>1758</v>
      </c>
      <c r="D11030" s="7">
        <f>DATE(2010,1,22)</f>
        <v>40200</v>
      </c>
      <c r="E11030" s="8">
        <f t="shared" si="184"/>
        <v>2010</v>
      </c>
      <c r="F11030" t="s">
        <v>1759</v>
      </c>
      <c r="G11030" s="9">
        <v>192</v>
      </c>
      <c r="H11030" s="8">
        <v>9407</v>
      </c>
    </row>
    <row r="11031" spans="2:8" x14ac:dyDescent="0.4">
      <c r="B11031" t="s">
        <v>7</v>
      </c>
      <c r="C11031" t="s">
        <v>1758</v>
      </c>
      <c r="D11031" s="7">
        <f>DATE(2011,5,12)</f>
        <v>40675</v>
      </c>
      <c r="E11031" s="8">
        <f t="shared" si="184"/>
        <v>2011</v>
      </c>
      <c r="F11031" t="s">
        <v>1759</v>
      </c>
      <c r="G11031" s="9">
        <v>115.23</v>
      </c>
      <c r="H11031" s="8">
        <v>10738</v>
      </c>
    </row>
    <row r="11032" spans="2:8" x14ac:dyDescent="0.4">
      <c r="B11032" t="s">
        <v>7</v>
      </c>
      <c r="C11032" t="s">
        <v>1758</v>
      </c>
      <c r="D11032" s="7">
        <f>DATE(2012,9,13)</f>
        <v>41165</v>
      </c>
      <c r="E11032" s="8">
        <f t="shared" si="184"/>
        <v>2012</v>
      </c>
      <c r="F11032" t="s">
        <v>1759</v>
      </c>
      <c r="G11032" s="9">
        <v>1241</v>
      </c>
      <c r="H11032" s="8">
        <v>11798</v>
      </c>
    </row>
    <row r="11033" spans="2:8" x14ac:dyDescent="0.4">
      <c r="B11033" t="s">
        <v>7</v>
      </c>
      <c r="C11033" t="s">
        <v>1758</v>
      </c>
      <c r="D11033" s="7">
        <f>DATE(2010,1,20)</f>
        <v>40198</v>
      </c>
      <c r="E11033" s="8">
        <f t="shared" si="184"/>
        <v>2010</v>
      </c>
      <c r="F11033" t="s">
        <v>1759</v>
      </c>
      <c r="G11033" s="9">
        <v>7937.75</v>
      </c>
      <c r="H11033" s="8">
        <v>9358</v>
      </c>
    </row>
    <row r="11034" spans="2:8" x14ac:dyDescent="0.4">
      <c r="B11034" t="s">
        <v>7</v>
      </c>
      <c r="C11034" t="s">
        <v>1760</v>
      </c>
      <c r="D11034" s="7">
        <f>DATE(2016,8,23)</f>
        <v>42605</v>
      </c>
      <c r="E11034" s="8">
        <f t="shared" si="184"/>
        <v>2016</v>
      </c>
      <c r="F11034" t="s">
        <v>1761</v>
      </c>
      <c r="G11034" s="9">
        <v>21500</v>
      </c>
      <c r="H11034" s="8">
        <v>23297</v>
      </c>
    </row>
    <row r="11035" spans="2:8" x14ac:dyDescent="0.4">
      <c r="B11035" t="s">
        <v>7</v>
      </c>
      <c r="C11035" t="s">
        <v>1760</v>
      </c>
      <c r="D11035" s="7">
        <f>DATE(2016,12,30)</f>
        <v>42734</v>
      </c>
      <c r="E11035" s="8">
        <f t="shared" si="184"/>
        <v>2016</v>
      </c>
      <c r="F11035" t="s">
        <v>1761</v>
      </c>
      <c r="G11035" s="9">
        <v>17700</v>
      </c>
      <c r="H11035" s="8">
        <v>23915</v>
      </c>
    </row>
    <row r="11036" spans="2:8" x14ac:dyDescent="0.4">
      <c r="B11036" t="s">
        <v>7</v>
      </c>
      <c r="C11036" t="s">
        <v>1760</v>
      </c>
      <c r="D11036" s="7">
        <f>DATE(2016,12,30)</f>
        <v>42734</v>
      </c>
      <c r="E11036" s="8">
        <f t="shared" si="184"/>
        <v>2016</v>
      </c>
      <c r="F11036" t="s">
        <v>1761</v>
      </c>
      <c r="G11036" s="9">
        <v>3800</v>
      </c>
      <c r="H11036" s="8">
        <v>23985</v>
      </c>
    </row>
    <row r="11037" spans="2:8" x14ac:dyDescent="0.4">
      <c r="B11037" t="s">
        <v>7</v>
      </c>
      <c r="C11037" t="s">
        <v>1762</v>
      </c>
      <c r="D11037" s="7">
        <f>DATE(2015,7,22)</f>
        <v>42207</v>
      </c>
      <c r="E11037" s="8">
        <f t="shared" si="184"/>
        <v>2015</v>
      </c>
      <c r="F11037" t="s">
        <v>1763</v>
      </c>
      <c r="G11037" s="9">
        <v>900</v>
      </c>
      <c r="H11037" s="8">
        <v>20975</v>
      </c>
    </row>
    <row r="11038" spans="2:8" x14ac:dyDescent="0.4">
      <c r="B11038" t="s">
        <v>7</v>
      </c>
      <c r="C11038" t="s">
        <v>1762</v>
      </c>
      <c r="D11038" s="7">
        <f>DATE(2015,7,30)</f>
        <v>42215</v>
      </c>
      <c r="E11038" s="8">
        <f t="shared" si="184"/>
        <v>2015</v>
      </c>
      <c r="F11038" t="s">
        <v>1763</v>
      </c>
      <c r="G11038" s="9">
        <v>250</v>
      </c>
      <c r="H11038" s="8">
        <v>20983</v>
      </c>
    </row>
    <row r="11039" spans="2:8" x14ac:dyDescent="0.4">
      <c r="B11039" t="s">
        <v>7</v>
      </c>
      <c r="C11039" t="s">
        <v>1762</v>
      </c>
      <c r="D11039" s="7">
        <f>DATE(2015,7,30)</f>
        <v>42215</v>
      </c>
      <c r="E11039" s="8">
        <f t="shared" si="184"/>
        <v>2015</v>
      </c>
      <c r="F11039" t="s">
        <v>1763</v>
      </c>
      <c r="G11039" s="9">
        <v>140</v>
      </c>
      <c r="H11039" s="8">
        <v>20993</v>
      </c>
    </row>
    <row r="11040" spans="2:8" x14ac:dyDescent="0.4">
      <c r="B11040" t="s">
        <v>7</v>
      </c>
      <c r="C11040" t="s">
        <v>1762</v>
      </c>
      <c r="D11040" s="7">
        <f>DATE(2015,8,12)</f>
        <v>42228</v>
      </c>
      <c r="E11040" s="8">
        <f t="shared" si="184"/>
        <v>2015</v>
      </c>
      <c r="F11040" t="s">
        <v>1763</v>
      </c>
      <c r="G11040" s="9">
        <v>256</v>
      </c>
      <c r="H11040" s="8">
        <v>20984</v>
      </c>
    </row>
    <row r="11041" spans="2:8" x14ac:dyDescent="0.4">
      <c r="B11041" t="s">
        <v>7</v>
      </c>
      <c r="C11041" t="s">
        <v>1762</v>
      </c>
      <c r="D11041" s="7">
        <f>DATE(2004,3,10)</f>
        <v>38056</v>
      </c>
      <c r="E11041" s="8">
        <f t="shared" si="184"/>
        <v>2004</v>
      </c>
      <c r="F11041" t="s">
        <v>1763</v>
      </c>
      <c r="G11041" s="9">
        <v>1920</v>
      </c>
      <c r="H11041" s="8">
        <v>1514</v>
      </c>
    </row>
    <row r="11042" spans="2:8" x14ac:dyDescent="0.4">
      <c r="B11042" t="s">
        <v>7</v>
      </c>
      <c r="C11042" t="s">
        <v>1762</v>
      </c>
      <c r="D11042" s="7">
        <f>DATE(2004,3,25)</f>
        <v>38071</v>
      </c>
      <c r="E11042" s="8">
        <f t="shared" si="184"/>
        <v>2004</v>
      </c>
      <c r="F11042" t="s">
        <v>1763</v>
      </c>
      <c r="G11042" s="9">
        <v>20</v>
      </c>
      <c r="H11042" s="8">
        <v>1514</v>
      </c>
    </row>
    <row r="11043" spans="2:8" x14ac:dyDescent="0.4">
      <c r="B11043" t="s">
        <v>7</v>
      </c>
      <c r="C11043" t="s">
        <v>1762</v>
      </c>
      <c r="D11043" s="7">
        <f>DATE(2004,4,28)</f>
        <v>38105</v>
      </c>
      <c r="E11043" s="8">
        <f t="shared" si="184"/>
        <v>2004</v>
      </c>
      <c r="F11043" t="s">
        <v>1763</v>
      </c>
      <c r="G11043" s="9">
        <v>690</v>
      </c>
      <c r="H11043" s="8">
        <v>1698</v>
      </c>
    </row>
    <row r="11044" spans="2:8" x14ac:dyDescent="0.4">
      <c r="B11044" t="s">
        <v>7</v>
      </c>
      <c r="C11044" t="s">
        <v>1762</v>
      </c>
      <c r="D11044" s="7">
        <f>DATE(2005,3,28)</f>
        <v>38439</v>
      </c>
      <c r="E11044" s="8">
        <f t="shared" si="184"/>
        <v>2005</v>
      </c>
      <c r="F11044" t="s">
        <v>1763</v>
      </c>
      <c r="G11044" s="9">
        <v>200</v>
      </c>
      <c r="H11044" s="8">
        <v>2993</v>
      </c>
    </row>
    <row r="11045" spans="2:8" x14ac:dyDescent="0.4">
      <c r="B11045" t="s">
        <v>7</v>
      </c>
      <c r="C11045" t="s">
        <v>1762</v>
      </c>
      <c r="D11045" s="7">
        <f>DATE(2005,8,2)</f>
        <v>38566</v>
      </c>
      <c r="E11045" s="8">
        <f t="shared" si="184"/>
        <v>2005</v>
      </c>
      <c r="F11045" t="s">
        <v>1763</v>
      </c>
      <c r="G11045" s="9">
        <v>1400</v>
      </c>
      <c r="H11045" s="8">
        <v>3426</v>
      </c>
    </row>
    <row r="11046" spans="2:8" x14ac:dyDescent="0.4">
      <c r="B11046" t="s">
        <v>7</v>
      </c>
      <c r="C11046" t="s">
        <v>1762</v>
      </c>
      <c r="D11046" s="7">
        <f>DATE(2006,11,28)</f>
        <v>39049</v>
      </c>
      <c r="E11046" s="8">
        <f t="shared" si="184"/>
        <v>2006</v>
      </c>
      <c r="F11046" t="s">
        <v>1763</v>
      </c>
      <c r="G11046" s="9">
        <v>1400</v>
      </c>
      <c r="H11046" s="8">
        <v>5211</v>
      </c>
    </row>
    <row r="11047" spans="2:8" x14ac:dyDescent="0.4">
      <c r="B11047" t="s">
        <v>7</v>
      </c>
      <c r="C11047" t="s">
        <v>1762</v>
      </c>
      <c r="D11047" s="7">
        <f>DATE(2008,8,5)</f>
        <v>39665</v>
      </c>
      <c r="E11047" s="8">
        <f t="shared" si="184"/>
        <v>2008</v>
      </c>
      <c r="F11047" t="s">
        <v>1763</v>
      </c>
      <c r="G11047" s="9">
        <v>904</v>
      </c>
      <c r="H11047" s="8">
        <v>7682</v>
      </c>
    </row>
    <row r="11048" spans="2:8" x14ac:dyDescent="0.4">
      <c r="B11048" t="s">
        <v>7</v>
      </c>
      <c r="C11048" t="s">
        <v>1762</v>
      </c>
      <c r="D11048" s="7">
        <f>DATE(2009,7,24)</f>
        <v>40018</v>
      </c>
      <c r="E11048" s="8">
        <f t="shared" si="184"/>
        <v>2009</v>
      </c>
      <c r="F11048" t="s">
        <v>1763</v>
      </c>
      <c r="G11048" s="9">
        <v>900</v>
      </c>
      <c r="H11048" s="8">
        <v>8900</v>
      </c>
    </row>
    <row r="11049" spans="2:8" x14ac:dyDescent="0.4">
      <c r="B11049" t="s">
        <v>7</v>
      </c>
      <c r="C11049" t="s">
        <v>1762</v>
      </c>
      <c r="D11049" s="7">
        <f>DATE(2009,9,9)</f>
        <v>40065</v>
      </c>
      <c r="E11049" s="8">
        <f t="shared" si="184"/>
        <v>2009</v>
      </c>
      <c r="F11049" t="s">
        <v>1763</v>
      </c>
      <c r="G11049" s="9">
        <v>129.6</v>
      </c>
      <c r="H11049" s="8">
        <v>9046</v>
      </c>
    </row>
    <row r="11050" spans="2:8" x14ac:dyDescent="0.4">
      <c r="B11050" t="s">
        <v>7</v>
      </c>
      <c r="C11050" t="s">
        <v>1762</v>
      </c>
      <c r="D11050" s="7">
        <f>DATE(2010,4,14)</f>
        <v>40282</v>
      </c>
      <c r="E11050" s="8">
        <f t="shared" si="184"/>
        <v>2010</v>
      </c>
      <c r="F11050" t="s">
        <v>1763</v>
      </c>
      <c r="G11050" s="9">
        <v>100</v>
      </c>
      <c r="H11050" s="8">
        <v>9724</v>
      </c>
    </row>
    <row r="11051" spans="2:8" x14ac:dyDescent="0.4">
      <c r="B11051" t="s">
        <v>7</v>
      </c>
      <c r="C11051" t="s">
        <v>1762</v>
      </c>
      <c r="D11051" s="7">
        <f>DATE(2010,4,23)</f>
        <v>40291</v>
      </c>
      <c r="E11051" s="8">
        <f t="shared" si="184"/>
        <v>2010</v>
      </c>
      <c r="F11051" t="s">
        <v>1763</v>
      </c>
      <c r="G11051" s="9">
        <v>100</v>
      </c>
      <c r="H11051" s="8">
        <v>9770</v>
      </c>
    </row>
    <row r="11052" spans="2:8" x14ac:dyDescent="0.4">
      <c r="B11052" t="s">
        <v>7</v>
      </c>
      <c r="C11052" t="s">
        <v>1762</v>
      </c>
      <c r="D11052" s="7">
        <f>DATE(2011,12,21)</f>
        <v>40898</v>
      </c>
      <c r="E11052" s="8">
        <f t="shared" si="184"/>
        <v>2011</v>
      </c>
      <c r="F11052" t="s">
        <v>1763</v>
      </c>
      <c r="G11052" s="9">
        <v>900</v>
      </c>
      <c r="H11052" s="8">
        <v>11210</v>
      </c>
    </row>
    <row r="11053" spans="2:8" x14ac:dyDescent="0.4">
      <c r="B11053" t="s">
        <v>7</v>
      </c>
      <c r="C11053" t="s">
        <v>1762</v>
      </c>
      <c r="D11053" s="7">
        <f>DATE(2012,1,12)</f>
        <v>40920</v>
      </c>
      <c r="E11053" s="8">
        <f t="shared" si="184"/>
        <v>2012</v>
      </c>
      <c r="F11053" t="s">
        <v>1763</v>
      </c>
      <c r="G11053" s="9">
        <v>362</v>
      </c>
      <c r="H11053" s="8">
        <v>11235</v>
      </c>
    </row>
    <row r="11054" spans="2:8" x14ac:dyDescent="0.4">
      <c r="B11054" t="s">
        <v>7</v>
      </c>
      <c r="C11054" t="s">
        <v>1762</v>
      </c>
      <c r="D11054" s="7">
        <f>DATE(2012,2,17)</f>
        <v>40956</v>
      </c>
      <c r="E11054" s="8">
        <f t="shared" si="184"/>
        <v>2012</v>
      </c>
      <c r="F11054" t="s">
        <v>1763</v>
      </c>
      <c r="G11054" s="9">
        <v>74.39</v>
      </c>
      <c r="H11054" s="8">
        <v>11237</v>
      </c>
    </row>
    <row r="11055" spans="2:8" x14ac:dyDescent="0.4">
      <c r="B11055" t="s">
        <v>7</v>
      </c>
      <c r="C11055" t="s">
        <v>1762</v>
      </c>
      <c r="D11055" s="7">
        <f>DATE(2003,3,3)</f>
        <v>37683</v>
      </c>
      <c r="E11055" s="8">
        <f t="shared" si="184"/>
        <v>2003</v>
      </c>
      <c r="F11055" t="s">
        <v>1763</v>
      </c>
      <c r="G11055" s="9">
        <v>1260</v>
      </c>
      <c r="H11055" s="8">
        <v>302</v>
      </c>
    </row>
    <row r="11056" spans="2:8" x14ac:dyDescent="0.4">
      <c r="B11056" t="s">
        <v>7</v>
      </c>
      <c r="C11056" t="s">
        <v>1762</v>
      </c>
      <c r="D11056" s="7">
        <f>DATE(2007,4,12)</f>
        <v>39184</v>
      </c>
      <c r="E11056" s="8">
        <f t="shared" si="184"/>
        <v>2007</v>
      </c>
      <c r="F11056" t="s">
        <v>1763</v>
      </c>
      <c r="G11056" s="9">
        <v>112</v>
      </c>
      <c r="H11056" s="8">
        <v>5858</v>
      </c>
    </row>
    <row r="11057" spans="2:8" x14ac:dyDescent="0.4">
      <c r="B11057" t="s">
        <v>7</v>
      </c>
      <c r="C11057" t="s">
        <v>1762</v>
      </c>
      <c r="D11057" s="7">
        <f>DATE(2014,1,15)</f>
        <v>41654</v>
      </c>
      <c r="E11057" s="8">
        <f t="shared" si="184"/>
        <v>2014</v>
      </c>
      <c r="F11057" t="s">
        <v>1763</v>
      </c>
      <c r="G11057" s="9">
        <v>75</v>
      </c>
      <c r="H11057" s="8">
        <v>12874</v>
      </c>
    </row>
    <row r="11058" spans="2:8" x14ac:dyDescent="0.4">
      <c r="B11058" t="s">
        <v>7</v>
      </c>
      <c r="C11058" t="s">
        <v>1764</v>
      </c>
      <c r="D11058" s="7">
        <f>DATE(2019,2,14)</f>
        <v>43510</v>
      </c>
      <c r="E11058" s="8">
        <f t="shared" si="184"/>
        <v>2019</v>
      </c>
      <c r="F11058" t="s">
        <v>1765</v>
      </c>
      <c r="G11058" s="9">
        <v>5738.8</v>
      </c>
      <c r="H11058" s="8">
        <v>27806</v>
      </c>
    </row>
    <row r="11059" spans="2:8" x14ac:dyDescent="0.4">
      <c r="B11059" t="s">
        <v>7</v>
      </c>
      <c r="C11059" t="s">
        <v>1764</v>
      </c>
      <c r="D11059" s="7">
        <f>DATE(2019,2,14)</f>
        <v>43510</v>
      </c>
      <c r="E11059" s="8">
        <f t="shared" si="184"/>
        <v>2019</v>
      </c>
      <c r="F11059" t="s">
        <v>1765</v>
      </c>
      <c r="G11059" s="9">
        <v>5733.84</v>
      </c>
      <c r="H11059" s="8">
        <v>28212</v>
      </c>
    </row>
    <row r="11060" spans="2:8" x14ac:dyDescent="0.4">
      <c r="B11060" s="3" t="s">
        <v>7</v>
      </c>
      <c r="C11060" s="3" t="s">
        <v>374</v>
      </c>
      <c r="D11060" s="4">
        <f>DATE(2003,1,23)</f>
        <v>37644</v>
      </c>
      <c r="E11060" s="5">
        <f t="shared" si="184"/>
        <v>2003</v>
      </c>
      <c r="F11060" s="3" t="s">
        <v>1766</v>
      </c>
      <c r="G11060" s="6">
        <v>3298.25</v>
      </c>
      <c r="H11060" s="5">
        <v>90</v>
      </c>
    </row>
    <row r="11061" spans="2:8" x14ac:dyDescent="0.4">
      <c r="B11061" s="3" t="s">
        <v>7</v>
      </c>
      <c r="C11061" s="3" t="s">
        <v>374</v>
      </c>
      <c r="D11061" s="4">
        <f>DATE(2003,2,28)</f>
        <v>37680</v>
      </c>
      <c r="E11061" s="5">
        <f t="shared" si="184"/>
        <v>2003</v>
      </c>
      <c r="F11061" s="3" t="s">
        <v>1766</v>
      </c>
      <c r="G11061" s="6">
        <v>495.75</v>
      </c>
      <c r="H11061" s="5">
        <v>327</v>
      </c>
    </row>
    <row r="11062" spans="2:8" x14ac:dyDescent="0.4">
      <c r="B11062" s="3" t="s">
        <v>7</v>
      </c>
      <c r="C11062" s="3" t="s">
        <v>374</v>
      </c>
      <c r="D11062" s="4">
        <f>DATE(2003,3,6)</f>
        <v>37686</v>
      </c>
      <c r="E11062" s="5">
        <f t="shared" si="184"/>
        <v>2003</v>
      </c>
      <c r="F11062" s="3" t="s">
        <v>1766</v>
      </c>
      <c r="G11062" s="6">
        <v>4544</v>
      </c>
      <c r="H11062" s="5">
        <v>327</v>
      </c>
    </row>
    <row r="11063" spans="2:8" x14ac:dyDescent="0.4">
      <c r="B11063" s="3" t="s">
        <v>7</v>
      </c>
      <c r="C11063" s="3" t="s">
        <v>374</v>
      </c>
      <c r="D11063" s="4">
        <f>DATE(2003,3,19)</f>
        <v>37699</v>
      </c>
      <c r="E11063" s="5">
        <f t="shared" si="184"/>
        <v>2003</v>
      </c>
      <c r="F11063" s="3" t="s">
        <v>1766</v>
      </c>
      <c r="G11063" s="6">
        <v>6516</v>
      </c>
      <c r="H11063" s="5">
        <v>249</v>
      </c>
    </row>
    <row r="11064" spans="2:8" x14ac:dyDescent="0.4">
      <c r="B11064" s="3" t="s">
        <v>7</v>
      </c>
      <c r="C11064" s="3" t="s">
        <v>374</v>
      </c>
      <c r="D11064" s="4">
        <f>DATE(2003,3,19)</f>
        <v>37699</v>
      </c>
      <c r="E11064" s="5">
        <f t="shared" si="184"/>
        <v>2003</v>
      </c>
      <c r="F11064" s="3" t="s">
        <v>1766</v>
      </c>
      <c r="G11064" s="6">
        <v>6305.75</v>
      </c>
      <c r="H11064" s="5">
        <v>372</v>
      </c>
    </row>
    <row r="11065" spans="2:8" x14ac:dyDescent="0.4">
      <c r="B11065" s="3" t="s">
        <v>7</v>
      </c>
      <c r="C11065" s="3" t="s">
        <v>374</v>
      </c>
      <c r="D11065" s="4">
        <f>DATE(2003,4,3)</f>
        <v>37714</v>
      </c>
      <c r="E11065" s="5">
        <f t="shared" si="184"/>
        <v>2003</v>
      </c>
      <c r="F11065" s="3" t="s">
        <v>1766</v>
      </c>
      <c r="G11065" s="6">
        <v>303.75</v>
      </c>
      <c r="H11065" s="5">
        <v>671</v>
      </c>
    </row>
    <row r="11066" spans="2:8" x14ac:dyDescent="0.4">
      <c r="B11066" s="3" t="s">
        <v>7</v>
      </c>
      <c r="C11066" s="3" t="s">
        <v>374</v>
      </c>
      <c r="D11066" s="4">
        <f>DATE(2003,4,4)</f>
        <v>37715</v>
      </c>
      <c r="E11066" s="5">
        <f t="shared" si="184"/>
        <v>2003</v>
      </c>
      <c r="F11066" s="3" t="s">
        <v>1766</v>
      </c>
      <c r="G11066" s="6">
        <v>327.5</v>
      </c>
      <c r="H11066" s="5">
        <v>691</v>
      </c>
    </row>
    <row r="11067" spans="2:8" x14ac:dyDescent="0.4">
      <c r="B11067" s="3" t="s">
        <v>7</v>
      </c>
      <c r="C11067" s="3" t="s">
        <v>374</v>
      </c>
      <c r="D11067" s="4">
        <f>DATE(2003,4,14)</f>
        <v>37725</v>
      </c>
      <c r="E11067" s="5">
        <f t="shared" si="184"/>
        <v>2003</v>
      </c>
      <c r="F11067" s="3" t="s">
        <v>1766</v>
      </c>
      <c r="G11067" s="6">
        <v>4868</v>
      </c>
      <c r="H11067" s="5">
        <v>673</v>
      </c>
    </row>
    <row r="11068" spans="2:8" x14ac:dyDescent="0.4">
      <c r="B11068" s="3" t="s">
        <v>7</v>
      </c>
      <c r="C11068" s="3" t="s">
        <v>374</v>
      </c>
      <c r="D11068" s="4">
        <f>DATE(2005,3,24)</f>
        <v>38435</v>
      </c>
      <c r="E11068" s="5">
        <f t="shared" si="184"/>
        <v>2005</v>
      </c>
      <c r="F11068" s="3" t="s">
        <v>1766</v>
      </c>
      <c r="G11068" s="6">
        <v>16419.38</v>
      </c>
      <c r="H11068" s="5">
        <v>3909</v>
      </c>
    </row>
    <row r="11069" spans="2:8" x14ac:dyDescent="0.4">
      <c r="B11069" s="3" t="s">
        <v>7</v>
      </c>
      <c r="C11069" s="3" t="s">
        <v>374</v>
      </c>
      <c r="D11069" s="4">
        <f>DATE(2007,1,26)</f>
        <v>39108</v>
      </c>
      <c r="E11069" s="5">
        <f t="shared" si="184"/>
        <v>2007</v>
      </c>
      <c r="F11069" s="3" t="s">
        <v>1766</v>
      </c>
      <c r="G11069" s="6">
        <v>6463</v>
      </c>
      <c r="H11069" s="5">
        <v>7717</v>
      </c>
    </row>
    <row r="11070" spans="2:8" x14ac:dyDescent="0.4">
      <c r="B11070" s="3" t="s">
        <v>7</v>
      </c>
      <c r="C11070" s="3" t="s">
        <v>1767</v>
      </c>
      <c r="D11070" s="4">
        <f>DATE(2003,7,30)</f>
        <v>37832</v>
      </c>
      <c r="E11070" s="5">
        <f t="shared" si="184"/>
        <v>2003</v>
      </c>
      <c r="F11070" s="3" t="s">
        <v>1768</v>
      </c>
      <c r="G11070" s="6">
        <v>10649</v>
      </c>
      <c r="H11070" s="5">
        <v>1205</v>
      </c>
    </row>
    <row r="11071" spans="2:8" x14ac:dyDescent="0.4">
      <c r="B11071" s="3" t="s">
        <v>7</v>
      </c>
      <c r="C11071" s="3" t="s">
        <v>1769</v>
      </c>
      <c r="D11071" s="4">
        <f>DATE(2004,3,8)</f>
        <v>38054</v>
      </c>
      <c r="E11071" s="5">
        <f t="shared" si="184"/>
        <v>2004</v>
      </c>
      <c r="F11071" s="3" t="s">
        <v>1770</v>
      </c>
      <c r="G11071" s="6">
        <v>913</v>
      </c>
      <c r="H11071" s="5">
        <v>2342</v>
      </c>
    </row>
    <row r="11072" spans="2:8" x14ac:dyDescent="0.4">
      <c r="B11072" t="s">
        <v>7</v>
      </c>
      <c r="C11072" t="s">
        <v>1771</v>
      </c>
      <c r="D11072" s="7">
        <f>DATE(2017,3,20)</f>
        <v>42814</v>
      </c>
      <c r="E11072" s="8">
        <f t="shared" si="184"/>
        <v>2017</v>
      </c>
      <c r="F11072" t="s">
        <v>1772</v>
      </c>
      <c r="G11072" s="9">
        <v>50140.57</v>
      </c>
      <c r="H11072" s="8">
        <v>24201</v>
      </c>
    </row>
    <row r="11073" spans="2:8" x14ac:dyDescent="0.4">
      <c r="B11073" t="s">
        <v>7</v>
      </c>
      <c r="C11073" t="s">
        <v>1771</v>
      </c>
      <c r="D11073" s="7">
        <f>DATE(2005,7,21)</f>
        <v>38554</v>
      </c>
      <c r="E11073" s="8">
        <f t="shared" si="184"/>
        <v>2005</v>
      </c>
      <c r="F11073" t="s">
        <v>1772</v>
      </c>
      <c r="G11073" s="9">
        <v>10000</v>
      </c>
      <c r="H11073" s="8">
        <v>2968</v>
      </c>
    </row>
    <row r="11074" spans="2:8" x14ac:dyDescent="0.4">
      <c r="B11074" t="s">
        <v>7</v>
      </c>
      <c r="C11074" t="s">
        <v>1771</v>
      </c>
      <c r="D11074" s="7">
        <f>DATE(2009,3,12)</f>
        <v>39884</v>
      </c>
      <c r="E11074" s="8">
        <f t="shared" si="184"/>
        <v>2009</v>
      </c>
      <c r="F11074" t="s">
        <v>1772</v>
      </c>
      <c r="G11074" s="9">
        <v>21760.79</v>
      </c>
      <c r="H11074" s="8">
        <v>8144</v>
      </c>
    </row>
    <row r="11075" spans="2:8" x14ac:dyDescent="0.4">
      <c r="B11075" t="s">
        <v>7</v>
      </c>
      <c r="C11075" t="s">
        <v>1771</v>
      </c>
      <c r="D11075" s="7">
        <f>DATE(2009,5,18)</f>
        <v>39951</v>
      </c>
      <c r="E11075" s="8">
        <f t="shared" ref="E11075:E11138" si="185">YEAR(D11075)</f>
        <v>2009</v>
      </c>
      <c r="F11075" t="s">
        <v>1772</v>
      </c>
      <c r="G11075" s="9">
        <v>16900</v>
      </c>
      <c r="H11075" s="8">
        <v>8107</v>
      </c>
    </row>
    <row r="11076" spans="2:8" x14ac:dyDescent="0.4">
      <c r="B11076" s="3" t="s">
        <v>7</v>
      </c>
      <c r="C11076" s="3" t="s">
        <v>1771</v>
      </c>
      <c r="D11076" s="4">
        <f>DATE(2010,8,12)</f>
        <v>40402</v>
      </c>
      <c r="E11076" s="5">
        <f t="shared" si="185"/>
        <v>2010</v>
      </c>
      <c r="F11076" s="3" t="s">
        <v>1772</v>
      </c>
      <c r="G11076" s="6">
        <v>882</v>
      </c>
      <c r="H11076" s="5">
        <v>4026</v>
      </c>
    </row>
    <row r="11077" spans="2:8" x14ac:dyDescent="0.4">
      <c r="B11077" s="3" t="s">
        <v>7</v>
      </c>
      <c r="C11077" s="3" t="s">
        <v>1771</v>
      </c>
      <c r="D11077" s="4">
        <f>DATE(2011,1,17)</f>
        <v>40560</v>
      </c>
      <c r="E11077" s="5">
        <f t="shared" si="185"/>
        <v>2011</v>
      </c>
      <c r="F11077" s="3" t="s">
        <v>1772</v>
      </c>
      <c r="G11077" s="6">
        <v>687</v>
      </c>
      <c r="H11077" s="5">
        <v>4269</v>
      </c>
    </row>
    <row r="11078" spans="2:8" x14ac:dyDescent="0.4">
      <c r="B11078" s="3" t="s">
        <v>7</v>
      </c>
      <c r="C11078" s="3" t="s">
        <v>1771</v>
      </c>
      <c r="D11078" s="4">
        <f>DATE(2011,4,1)</f>
        <v>40634</v>
      </c>
      <c r="E11078" s="5">
        <f t="shared" si="185"/>
        <v>2011</v>
      </c>
      <c r="F11078" s="3" t="s">
        <v>1772</v>
      </c>
      <c r="G11078" s="6">
        <v>660</v>
      </c>
      <c r="H11078" s="5">
        <v>4357</v>
      </c>
    </row>
    <row r="11079" spans="2:8" x14ac:dyDescent="0.4">
      <c r="B11079" s="3" t="s">
        <v>7</v>
      </c>
      <c r="C11079" s="3" t="s">
        <v>1771</v>
      </c>
      <c r="D11079" s="4">
        <f>DATE(2011,11,16)</f>
        <v>40863</v>
      </c>
      <c r="E11079" s="5">
        <f t="shared" si="185"/>
        <v>2011</v>
      </c>
      <c r="F11079" s="3" t="s">
        <v>1772</v>
      </c>
      <c r="G11079" s="6">
        <v>674.68</v>
      </c>
      <c r="H11079" s="5">
        <v>4694</v>
      </c>
    </row>
    <row r="11080" spans="2:8" x14ac:dyDescent="0.4">
      <c r="B11080" s="3" t="s">
        <v>7</v>
      </c>
      <c r="C11080" s="3" t="s">
        <v>1771</v>
      </c>
      <c r="D11080" s="4">
        <f>DATE(2011,11,22)</f>
        <v>40869</v>
      </c>
      <c r="E11080" s="5">
        <f t="shared" si="185"/>
        <v>2011</v>
      </c>
      <c r="F11080" s="3" t="s">
        <v>1772</v>
      </c>
      <c r="G11080" s="6">
        <v>660</v>
      </c>
      <c r="H11080" s="5">
        <v>4660</v>
      </c>
    </row>
    <row r="11081" spans="2:8" x14ac:dyDescent="0.4">
      <c r="B11081" s="3" t="s">
        <v>7</v>
      </c>
      <c r="C11081" s="3" t="s">
        <v>1771</v>
      </c>
      <c r="D11081" s="4">
        <f>DATE(2012,3,21)</f>
        <v>40989</v>
      </c>
      <c r="E11081" s="5">
        <f t="shared" si="185"/>
        <v>2012</v>
      </c>
      <c r="F11081" s="3" t="s">
        <v>1772</v>
      </c>
      <c r="G11081" s="6">
        <v>677</v>
      </c>
      <c r="H11081" s="5">
        <v>4937</v>
      </c>
    </row>
    <row r="11082" spans="2:8" x14ac:dyDescent="0.4">
      <c r="B11082" s="3" t="s">
        <v>7</v>
      </c>
      <c r="C11082" s="3" t="s">
        <v>1771</v>
      </c>
      <c r="D11082" s="4">
        <f>DATE(2012,11,26)</f>
        <v>41239</v>
      </c>
      <c r="E11082" s="5">
        <f t="shared" si="185"/>
        <v>2012</v>
      </c>
      <c r="F11082" s="3" t="s">
        <v>1772</v>
      </c>
      <c r="G11082" s="6">
        <v>1351.91</v>
      </c>
      <c r="H11082" s="5">
        <v>5296</v>
      </c>
    </row>
    <row r="11083" spans="2:8" x14ac:dyDescent="0.4">
      <c r="B11083" s="3" t="s">
        <v>7</v>
      </c>
      <c r="C11083" s="3" t="s">
        <v>1771</v>
      </c>
      <c r="D11083" s="4">
        <f>DATE(2013,9,18)</f>
        <v>41535</v>
      </c>
      <c r="E11083" s="5">
        <f t="shared" si="185"/>
        <v>2013</v>
      </c>
      <c r="F11083" s="3" t="s">
        <v>1772</v>
      </c>
      <c r="G11083" s="6">
        <v>1334</v>
      </c>
      <c r="H11083" s="5">
        <v>5807</v>
      </c>
    </row>
    <row r="11084" spans="2:8" x14ac:dyDescent="0.4">
      <c r="B11084" s="3" t="s">
        <v>7</v>
      </c>
      <c r="C11084" s="3" t="s">
        <v>1771</v>
      </c>
      <c r="D11084" s="4">
        <f>DATE(2013,9,18)</f>
        <v>41535</v>
      </c>
      <c r="E11084" s="5">
        <f t="shared" si="185"/>
        <v>2013</v>
      </c>
      <c r="F11084" s="3" t="s">
        <v>1772</v>
      </c>
      <c r="G11084" s="6">
        <v>1334</v>
      </c>
      <c r="H11084" s="5">
        <v>5808</v>
      </c>
    </row>
    <row r="11085" spans="2:8" x14ac:dyDescent="0.4">
      <c r="B11085" s="3" t="s">
        <v>7</v>
      </c>
      <c r="C11085" s="3" t="s">
        <v>1771</v>
      </c>
      <c r="D11085" s="4">
        <f>DATE(2009,3,12)</f>
        <v>39884</v>
      </c>
      <c r="E11085" s="5">
        <f t="shared" si="185"/>
        <v>2009</v>
      </c>
      <c r="F11085" s="3" t="s">
        <v>1772</v>
      </c>
      <c r="G11085" s="6">
        <v>17527.61</v>
      </c>
      <c r="H11085" s="5">
        <v>3277</v>
      </c>
    </row>
    <row r="11086" spans="2:8" x14ac:dyDescent="0.4">
      <c r="B11086" s="3" t="s">
        <v>7</v>
      </c>
      <c r="C11086" s="3" t="s">
        <v>1771</v>
      </c>
      <c r="D11086" s="4">
        <f>DATE(2010,4,26)</f>
        <v>40294</v>
      </c>
      <c r="E11086" s="5">
        <f t="shared" si="185"/>
        <v>2010</v>
      </c>
      <c r="F11086" s="3" t="s">
        <v>1772</v>
      </c>
      <c r="G11086" s="6">
        <v>89731.8</v>
      </c>
      <c r="H11086" s="5">
        <v>3888</v>
      </c>
    </row>
    <row r="11087" spans="2:8" x14ac:dyDescent="0.4">
      <c r="B11087" s="3" t="s">
        <v>7</v>
      </c>
      <c r="C11087" s="3" t="s">
        <v>1771</v>
      </c>
      <c r="D11087" s="4">
        <f>DATE(2010,5,10)</f>
        <v>40308</v>
      </c>
      <c r="E11087" s="5">
        <f t="shared" si="185"/>
        <v>2010</v>
      </c>
      <c r="F11087" s="3" t="s">
        <v>1772</v>
      </c>
      <c r="G11087" s="6">
        <v>70589.490000000005</v>
      </c>
      <c r="H11087" s="5">
        <v>3893</v>
      </c>
    </row>
    <row r="11088" spans="2:8" x14ac:dyDescent="0.4">
      <c r="B11088" s="3" t="s">
        <v>7</v>
      </c>
      <c r="C11088" s="3" t="s">
        <v>1771</v>
      </c>
      <c r="D11088" s="4">
        <f>DATE(2010,6,28)</f>
        <v>40357</v>
      </c>
      <c r="E11088" s="5">
        <f t="shared" si="185"/>
        <v>2010</v>
      </c>
      <c r="F11088" s="3" t="s">
        <v>1772</v>
      </c>
      <c r="G11088" s="6">
        <v>70412.03</v>
      </c>
      <c r="H11088" s="5">
        <v>4019</v>
      </c>
    </row>
    <row r="11089" spans="2:8" x14ac:dyDescent="0.4">
      <c r="B11089" s="3" t="s">
        <v>7</v>
      </c>
      <c r="C11089" s="3" t="s">
        <v>1771</v>
      </c>
      <c r="D11089" s="4">
        <f>DATE(2013,11,14)</f>
        <v>41592</v>
      </c>
      <c r="E11089" s="5">
        <f t="shared" si="185"/>
        <v>2013</v>
      </c>
      <c r="F11089" s="3" t="s">
        <v>1772</v>
      </c>
      <c r="G11089" s="6">
        <v>22648.93</v>
      </c>
      <c r="H11089" s="5">
        <v>5849</v>
      </c>
    </row>
    <row r="11090" spans="2:8" x14ac:dyDescent="0.4">
      <c r="B11090" s="3" t="s">
        <v>16</v>
      </c>
      <c r="C11090" s="3" t="s">
        <v>1771</v>
      </c>
      <c r="D11090" s="4">
        <f>DATE(2010,5,10)</f>
        <v>40308</v>
      </c>
      <c r="E11090" s="5">
        <f t="shared" si="185"/>
        <v>2010</v>
      </c>
      <c r="F11090" s="3" t="s">
        <v>1772</v>
      </c>
      <c r="G11090" s="6">
        <v>70589.490000000005</v>
      </c>
      <c r="H11090" s="5">
        <v>4018</v>
      </c>
    </row>
    <row r="11091" spans="2:8" x14ac:dyDescent="0.4">
      <c r="B11091" t="s">
        <v>7</v>
      </c>
      <c r="C11091" t="s">
        <v>1771</v>
      </c>
      <c r="D11091" s="7">
        <f>DATE(2005,7,14)</f>
        <v>38547</v>
      </c>
      <c r="E11091" s="8">
        <f t="shared" si="185"/>
        <v>2005</v>
      </c>
      <c r="F11091" t="s">
        <v>1772</v>
      </c>
      <c r="G11091" s="9">
        <v>18453.900000000001</v>
      </c>
      <c r="H11091" s="8">
        <v>64</v>
      </c>
    </row>
    <row r="11092" spans="2:8" x14ac:dyDescent="0.4">
      <c r="B11092" s="3" t="s">
        <v>7</v>
      </c>
      <c r="C11092" s="3" t="s">
        <v>1773</v>
      </c>
      <c r="D11092" s="4">
        <f>DATE(2003,4,27)</f>
        <v>37738</v>
      </c>
      <c r="E11092" s="5">
        <f t="shared" si="185"/>
        <v>2003</v>
      </c>
      <c r="F11092" s="3" t="s">
        <v>1774</v>
      </c>
      <c r="G11092" s="6">
        <v>9610</v>
      </c>
      <c r="H11092" s="5">
        <v>107</v>
      </c>
    </row>
    <row r="11093" spans="2:8" x14ac:dyDescent="0.4">
      <c r="B11093" s="3" t="s">
        <v>7</v>
      </c>
      <c r="C11093" s="3" t="s">
        <v>1775</v>
      </c>
      <c r="D11093" s="4">
        <f>DATE(2003,4,25)</f>
        <v>37736</v>
      </c>
      <c r="E11093" s="5">
        <f t="shared" si="185"/>
        <v>2003</v>
      </c>
      <c r="F11093" s="3" t="s">
        <v>1776</v>
      </c>
      <c r="G11093" s="6">
        <v>10860</v>
      </c>
      <c r="H11093" s="5">
        <v>119</v>
      </c>
    </row>
    <row r="11094" spans="2:8" x14ac:dyDescent="0.4">
      <c r="B11094" t="s">
        <v>7</v>
      </c>
      <c r="C11094" t="s">
        <v>1777</v>
      </c>
      <c r="D11094" s="7">
        <f>DATE(2011,3,15)</f>
        <v>40617</v>
      </c>
      <c r="E11094" s="8">
        <f t="shared" si="185"/>
        <v>2011</v>
      </c>
      <c r="F11094" t="s">
        <v>1778</v>
      </c>
      <c r="G11094" s="9">
        <v>14187.21</v>
      </c>
      <c r="H11094" s="8">
        <v>10511</v>
      </c>
    </row>
    <row r="11095" spans="2:8" x14ac:dyDescent="0.4">
      <c r="B11095" t="s">
        <v>16</v>
      </c>
      <c r="C11095" t="s">
        <v>1777</v>
      </c>
      <c r="D11095" s="7">
        <f>DATE(2011,3,15)</f>
        <v>40617</v>
      </c>
      <c r="E11095" s="8">
        <f t="shared" si="185"/>
        <v>2011</v>
      </c>
      <c r="F11095" t="s">
        <v>1778</v>
      </c>
      <c r="G11095" s="9">
        <v>487.41</v>
      </c>
      <c r="H11095" s="8">
        <v>10758</v>
      </c>
    </row>
    <row r="11096" spans="2:8" x14ac:dyDescent="0.4">
      <c r="B11096" s="3" t="s">
        <v>7</v>
      </c>
      <c r="C11096" s="3" t="s">
        <v>1777</v>
      </c>
      <c r="D11096" s="4">
        <f>DATE(2003,9,8)</f>
        <v>37872</v>
      </c>
      <c r="E11096" s="5">
        <f t="shared" si="185"/>
        <v>2003</v>
      </c>
      <c r="F11096" s="3" t="s">
        <v>1778</v>
      </c>
      <c r="G11096" s="6">
        <v>7250</v>
      </c>
      <c r="H11096" s="5">
        <v>1476</v>
      </c>
    </row>
    <row r="11097" spans="2:8" x14ac:dyDescent="0.4">
      <c r="B11097" t="s">
        <v>7</v>
      </c>
      <c r="C11097" t="s">
        <v>1779</v>
      </c>
      <c r="D11097" s="7">
        <f>DATE(2003,5,23)</f>
        <v>37764</v>
      </c>
      <c r="E11097" s="8">
        <f t="shared" si="185"/>
        <v>2003</v>
      </c>
      <c r="F11097" t="s">
        <v>1780</v>
      </c>
      <c r="G11097" s="9">
        <v>3156.5</v>
      </c>
      <c r="H11097" s="8">
        <v>355</v>
      </c>
    </row>
    <row r="11098" spans="2:8" x14ac:dyDescent="0.4">
      <c r="B11098" t="s">
        <v>7</v>
      </c>
      <c r="C11098" t="s">
        <v>1779</v>
      </c>
      <c r="D11098" s="7">
        <f>DATE(2003,7,23)</f>
        <v>37825</v>
      </c>
      <c r="E11098" s="8">
        <f t="shared" si="185"/>
        <v>2003</v>
      </c>
      <c r="F11098" t="s">
        <v>1780</v>
      </c>
      <c r="G11098" s="9">
        <v>3503.53</v>
      </c>
      <c r="H11098" s="8">
        <v>260</v>
      </c>
    </row>
    <row r="11099" spans="2:8" x14ac:dyDescent="0.4">
      <c r="B11099" t="s">
        <v>7</v>
      </c>
      <c r="C11099" t="s">
        <v>1779</v>
      </c>
      <c r="D11099" s="7">
        <f>DATE(2005,2,11)</f>
        <v>38394</v>
      </c>
      <c r="E11099" s="8">
        <f t="shared" si="185"/>
        <v>2005</v>
      </c>
      <c r="F11099" t="s">
        <v>1780</v>
      </c>
      <c r="G11099" s="9">
        <v>2552.2199999999998</v>
      </c>
      <c r="H11099" s="8">
        <v>2696</v>
      </c>
    </row>
    <row r="11100" spans="2:8" x14ac:dyDescent="0.4">
      <c r="B11100" t="s">
        <v>7</v>
      </c>
      <c r="C11100" t="s">
        <v>1779</v>
      </c>
      <c r="D11100" s="7">
        <f>DATE(2005,11,30)</f>
        <v>38686</v>
      </c>
      <c r="E11100" s="8">
        <f t="shared" si="185"/>
        <v>2005</v>
      </c>
      <c r="F11100" t="s">
        <v>1780</v>
      </c>
      <c r="G11100" s="9">
        <v>3156.5</v>
      </c>
      <c r="H11100" s="8">
        <v>3744</v>
      </c>
    </row>
    <row r="11101" spans="2:8" x14ac:dyDescent="0.4">
      <c r="B11101" s="3" t="s">
        <v>7</v>
      </c>
      <c r="C11101" s="3" t="s">
        <v>1779</v>
      </c>
      <c r="D11101" s="4">
        <f>DATE(2003,3,31)</f>
        <v>37711</v>
      </c>
      <c r="E11101" s="5">
        <f t="shared" si="185"/>
        <v>2003</v>
      </c>
      <c r="F11101" s="3" t="s">
        <v>1780</v>
      </c>
      <c r="G11101" s="6">
        <v>14.57</v>
      </c>
      <c r="H11101" s="5">
        <v>658</v>
      </c>
    </row>
    <row r="11102" spans="2:8" x14ac:dyDescent="0.4">
      <c r="B11102" s="3" t="s">
        <v>7</v>
      </c>
      <c r="C11102" s="3" t="s">
        <v>1779</v>
      </c>
      <c r="D11102" s="4">
        <f>DATE(2005,2,22)</f>
        <v>38405</v>
      </c>
      <c r="E11102" s="5">
        <f t="shared" si="185"/>
        <v>2005</v>
      </c>
      <c r="F11102" s="3" t="s">
        <v>1780</v>
      </c>
      <c r="G11102" s="6">
        <v>64.09</v>
      </c>
      <c r="H11102" s="5">
        <v>4180</v>
      </c>
    </row>
    <row r="11103" spans="2:8" x14ac:dyDescent="0.4">
      <c r="B11103" t="s">
        <v>7</v>
      </c>
      <c r="C11103" t="s">
        <v>1779</v>
      </c>
      <c r="D11103" s="7">
        <f>DATE(2011,3,28)</f>
        <v>40630</v>
      </c>
      <c r="E11103" s="8">
        <f t="shared" si="185"/>
        <v>2011</v>
      </c>
      <c r="F11103" t="s">
        <v>1781</v>
      </c>
      <c r="G11103" s="9">
        <v>2853.69</v>
      </c>
      <c r="H11103" s="8">
        <v>10555</v>
      </c>
    </row>
    <row r="11104" spans="2:8" x14ac:dyDescent="0.4">
      <c r="B11104" t="s">
        <v>7</v>
      </c>
      <c r="C11104" t="s">
        <v>1779</v>
      </c>
      <c r="D11104" s="7">
        <f>DATE(2012,3,21)</f>
        <v>40989</v>
      </c>
      <c r="E11104" s="8">
        <f t="shared" si="185"/>
        <v>2012</v>
      </c>
      <c r="F11104" t="s">
        <v>1781</v>
      </c>
      <c r="G11104" s="9">
        <v>3091.89</v>
      </c>
      <c r="H11104" s="8">
        <v>11472</v>
      </c>
    </row>
    <row r="11105" spans="2:8" x14ac:dyDescent="0.4">
      <c r="B11105" s="3" t="s">
        <v>7</v>
      </c>
      <c r="C11105" s="3" t="s">
        <v>1779</v>
      </c>
      <c r="D11105" s="4">
        <f>DATE(2007,11,2)</f>
        <v>39388</v>
      </c>
      <c r="E11105" s="5">
        <f t="shared" si="185"/>
        <v>2007</v>
      </c>
      <c r="F11105" s="3" t="s">
        <v>1781</v>
      </c>
      <c r="G11105" s="6">
        <v>271.36</v>
      </c>
      <c r="H11105" s="5">
        <v>9412</v>
      </c>
    </row>
    <row r="11106" spans="2:8" x14ac:dyDescent="0.4">
      <c r="B11106" s="3" t="s">
        <v>16</v>
      </c>
      <c r="C11106" s="3" t="s">
        <v>1779</v>
      </c>
      <c r="D11106" s="4">
        <f>DATE(2007,12,18)</f>
        <v>39434</v>
      </c>
      <c r="E11106" s="5">
        <f t="shared" si="185"/>
        <v>2007</v>
      </c>
      <c r="F11106" s="3" t="s">
        <v>1781</v>
      </c>
      <c r="G11106" s="6">
        <v>263.87</v>
      </c>
      <c r="H11106" s="5">
        <v>9562</v>
      </c>
    </row>
    <row r="11107" spans="2:8" x14ac:dyDescent="0.4">
      <c r="B11107" t="s">
        <v>7</v>
      </c>
      <c r="C11107" t="s">
        <v>1782</v>
      </c>
      <c r="D11107" s="7">
        <f>DATE(2015,5,19)</f>
        <v>42143</v>
      </c>
      <c r="E11107" s="8">
        <f t="shared" si="185"/>
        <v>2015</v>
      </c>
      <c r="F11107" t="s">
        <v>1783</v>
      </c>
      <c r="G11107" s="9">
        <v>12241.5</v>
      </c>
      <c r="H11107" s="8">
        <v>20563</v>
      </c>
    </row>
    <row r="11108" spans="2:8" x14ac:dyDescent="0.4">
      <c r="B11108" t="s">
        <v>7</v>
      </c>
      <c r="C11108" t="s">
        <v>1782</v>
      </c>
      <c r="D11108" s="7">
        <f>DATE(2015,11,9)</f>
        <v>42317</v>
      </c>
      <c r="E11108" s="8">
        <f t="shared" si="185"/>
        <v>2015</v>
      </c>
      <c r="F11108" t="s">
        <v>1783</v>
      </c>
      <c r="G11108" s="9">
        <v>99800</v>
      </c>
      <c r="H11108" s="8">
        <v>21182</v>
      </c>
    </row>
    <row r="11109" spans="2:8" x14ac:dyDescent="0.4">
      <c r="B11109" t="s">
        <v>7</v>
      </c>
      <c r="C11109" t="s">
        <v>1782</v>
      </c>
      <c r="D11109" s="7">
        <f>DATE(2016,11,7)</f>
        <v>42681</v>
      </c>
      <c r="E11109" s="8">
        <f t="shared" si="185"/>
        <v>2016</v>
      </c>
      <c r="F11109" t="s">
        <v>1783</v>
      </c>
      <c r="G11109" s="9">
        <v>89000</v>
      </c>
      <c r="H11109" s="8">
        <v>23256</v>
      </c>
    </row>
    <row r="11110" spans="2:8" x14ac:dyDescent="0.4">
      <c r="B11110" t="s">
        <v>7</v>
      </c>
      <c r="C11110" t="s">
        <v>1782</v>
      </c>
      <c r="D11110" s="7">
        <f>DATE(2013,10,18)</f>
        <v>41565</v>
      </c>
      <c r="E11110" s="8">
        <f t="shared" si="185"/>
        <v>2013</v>
      </c>
      <c r="F11110" t="s">
        <v>1783</v>
      </c>
      <c r="G11110" s="9">
        <v>2500</v>
      </c>
      <c r="H11110" s="8">
        <v>12688</v>
      </c>
    </row>
    <row r="11111" spans="2:8" x14ac:dyDescent="0.4">
      <c r="B11111" t="s">
        <v>7</v>
      </c>
      <c r="C11111" t="s">
        <v>1782</v>
      </c>
      <c r="D11111" s="7">
        <f>DATE(2007,3,23)</f>
        <v>39164</v>
      </c>
      <c r="E11111" s="8">
        <f t="shared" si="185"/>
        <v>2007</v>
      </c>
      <c r="F11111" t="s">
        <v>1783</v>
      </c>
      <c r="G11111" s="9">
        <v>7096.77</v>
      </c>
      <c r="H11111" s="8">
        <v>5194</v>
      </c>
    </row>
    <row r="11112" spans="2:8" x14ac:dyDescent="0.4">
      <c r="B11112" t="s">
        <v>7</v>
      </c>
      <c r="C11112" t="s">
        <v>1782</v>
      </c>
      <c r="D11112" s="7">
        <f>DATE(2008,6,14)</f>
        <v>39613</v>
      </c>
      <c r="E11112" s="8">
        <f t="shared" si="185"/>
        <v>2008</v>
      </c>
      <c r="F11112" t="s">
        <v>1783</v>
      </c>
      <c r="G11112" s="9">
        <v>9397.24</v>
      </c>
      <c r="H11112" s="8">
        <v>7497</v>
      </c>
    </row>
    <row r="11113" spans="2:8" x14ac:dyDescent="0.4">
      <c r="B11113" t="s">
        <v>7</v>
      </c>
      <c r="C11113" t="s">
        <v>1782</v>
      </c>
      <c r="D11113" s="7">
        <f>DATE(2009,4,7)</f>
        <v>39910</v>
      </c>
      <c r="E11113" s="8">
        <f t="shared" si="185"/>
        <v>2009</v>
      </c>
      <c r="F11113" t="s">
        <v>1783</v>
      </c>
      <c r="G11113" s="9">
        <v>64521.94</v>
      </c>
      <c r="H11113" s="8">
        <v>8375</v>
      </c>
    </row>
    <row r="11114" spans="2:8" x14ac:dyDescent="0.4">
      <c r="B11114" t="s">
        <v>7</v>
      </c>
      <c r="C11114" t="s">
        <v>1782</v>
      </c>
      <c r="D11114" s="7">
        <f>DATE(2009,4,8)</f>
        <v>39911</v>
      </c>
      <c r="E11114" s="8">
        <f t="shared" si="185"/>
        <v>2009</v>
      </c>
      <c r="F11114" t="s">
        <v>1783</v>
      </c>
      <c r="G11114" s="9">
        <v>15276.03</v>
      </c>
      <c r="H11114" s="8">
        <v>8376</v>
      </c>
    </row>
    <row r="11115" spans="2:8" x14ac:dyDescent="0.4">
      <c r="B11115" t="s">
        <v>7</v>
      </c>
      <c r="C11115" t="s">
        <v>1782</v>
      </c>
      <c r="D11115" s="7">
        <f>DATE(2009,5,12)</f>
        <v>39945</v>
      </c>
      <c r="E11115" s="8">
        <f t="shared" si="185"/>
        <v>2009</v>
      </c>
      <c r="F11115" t="s">
        <v>1783</v>
      </c>
      <c r="G11115" s="9">
        <v>22256.48</v>
      </c>
      <c r="H11115" s="8">
        <v>8698</v>
      </c>
    </row>
    <row r="11116" spans="2:8" x14ac:dyDescent="0.4">
      <c r="B11116" t="s">
        <v>7</v>
      </c>
      <c r="C11116" t="s">
        <v>1782</v>
      </c>
      <c r="D11116" s="7">
        <f>DATE(2009,5,11)</f>
        <v>39944</v>
      </c>
      <c r="E11116" s="8">
        <f t="shared" si="185"/>
        <v>2009</v>
      </c>
      <c r="F11116" t="s">
        <v>1783</v>
      </c>
      <c r="G11116" s="9">
        <v>80297.210000000006</v>
      </c>
      <c r="H11116" s="8">
        <v>8408</v>
      </c>
    </row>
    <row r="11117" spans="2:8" x14ac:dyDescent="0.4">
      <c r="B11117" t="s">
        <v>7</v>
      </c>
      <c r="C11117" t="s">
        <v>1782</v>
      </c>
      <c r="D11117" s="7">
        <f>DATE(2009,5,14)</f>
        <v>39947</v>
      </c>
      <c r="E11117" s="8">
        <f t="shared" si="185"/>
        <v>2009</v>
      </c>
      <c r="F11117" t="s">
        <v>1783</v>
      </c>
      <c r="G11117" s="9">
        <v>10777.42</v>
      </c>
      <c r="H11117" s="8">
        <v>8409</v>
      </c>
    </row>
    <row r="11118" spans="2:8" x14ac:dyDescent="0.4">
      <c r="B11118" t="s">
        <v>7</v>
      </c>
      <c r="C11118" t="s">
        <v>1782</v>
      </c>
      <c r="D11118" s="7">
        <f>DATE(2010,4,22)</f>
        <v>40290</v>
      </c>
      <c r="E11118" s="8">
        <f t="shared" si="185"/>
        <v>2010</v>
      </c>
      <c r="F11118" t="s">
        <v>1783</v>
      </c>
      <c r="G11118" s="9">
        <v>72463.850000000006</v>
      </c>
      <c r="H11118" s="8">
        <v>9585</v>
      </c>
    </row>
    <row r="11119" spans="2:8" x14ac:dyDescent="0.4">
      <c r="B11119" t="s">
        <v>7</v>
      </c>
      <c r="C11119" t="s">
        <v>1782</v>
      </c>
      <c r="D11119" s="7">
        <f>DATE(2010,4,22)</f>
        <v>40290</v>
      </c>
      <c r="E11119" s="8">
        <f t="shared" si="185"/>
        <v>2010</v>
      </c>
      <c r="F11119" t="s">
        <v>1783</v>
      </c>
      <c r="G11119" s="9">
        <v>7293.29</v>
      </c>
      <c r="H11119" s="8">
        <v>9595</v>
      </c>
    </row>
    <row r="11120" spans="2:8" x14ac:dyDescent="0.4">
      <c r="B11120" t="s">
        <v>7</v>
      </c>
      <c r="C11120" t="s">
        <v>1782</v>
      </c>
      <c r="D11120" s="7">
        <f>DATE(2010,4,22)</f>
        <v>40290</v>
      </c>
      <c r="E11120" s="8">
        <f t="shared" si="185"/>
        <v>2010</v>
      </c>
      <c r="F11120" t="s">
        <v>1783</v>
      </c>
      <c r="G11120" s="9">
        <v>1642</v>
      </c>
      <c r="H11120" s="8">
        <v>9594</v>
      </c>
    </row>
    <row r="11121" spans="2:8" x14ac:dyDescent="0.4">
      <c r="B11121" t="s">
        <v>7</v>
      </c>
      <c r="C11121" t="s">
        <v>1782</v>
      </c>
      <c r="D11121" s="7">
        <f>DATE(2010,4,22)</f>
        <v>40290</v>
      </c>
      <c r="E11121" s="8">
        <f t="shared" si="185"/>
        <v>2010</v>
      </c>
      <c r="F11121" t="s">
        <v>1783</v>
      </c>
      <c r="G11121" s="9">
        <v>1734</v>
      </c>
      <c r="H11121" s="8">
        <v>9597</v>
      </c>
    </row>
    <row r="11122" spans="2:8" x14ac:dyDescent="0.4">
      <c r="B11122" t="s">
        <v>7</v>
      </c>
      <c r="C11122" t="s">
        <v>1782</v>
      </c>
      <c r="D11122" s="7">
        <f>DATE(2010,4,22)</f>
        <v>40290</v>
      </c>
      <c r="E11122" s="8">
        <f t="shared" si="185"/>
        <v>2010</v>
      </c>
      <c r="F11122" t="s">
        <v>1783</v>
      </c>
      <c r="G11122" s="9">
        <v>20208.93</v>
      </c>
      <c r="H11122" s="8">
        <v>9596</v>
      </c>
    </row>
    <row r="11123" spans="2:8" x14ac:dyDescent="0.4">
      <c r="B11123" t="s">
        <v>7</v>
      </c>
      <c r="C11123" t="s">
        <v>1782</v>
      </c>
      <c r="D11123" s="7">
        <f>DATE(2011,5,9)</f>
        <v>40672</v>
      </c>
      <c r="E11123" s="8">
        <f t="shared" si="185"/>
        <v>2011</v>
      </c>
      <c r="F11123" t="s">
        <v>1783</v>
      </c>
      <c r="G11123" s="9">
        <v>7103.11</v>
      </c>
      <c r="H11123" s="8">
        <v>10524</v>
      </c>
    </row>
    <row r="11124" spans="2:8" x14ac:dyDescent="0.4">
      <c r="B11124" t="s">
        <v>7</v>
      </c>
      <c r="C11124" t="s">
        <v>1782</v>
      </c>
      <c r="D11124" s="7">
        <f>DATE(2011,5,9)</f>
        <v>40672</v>
      </c>
      <c r="E11124" s="8">
        <f t="shared" si="185"/>
        <v>2011</v>
      </c>
      <c r="F11124" t="s">
        <v>1783</v>
      </c>
      <c r="G11124" s="9">
        <v>1502.24</v>
      </c>
      <c r="H11124" s="8">
        <v>10523</v>
      </c>
    </row>
    <row r="11125" spans="2:8" x14ac:dyDescent="0.4">
      <c r="B11125" t="s">
        <v>7</v>
      </c>
      <c r="C11125" t="s">
        <v>1782</v>
      </c>
      <c r="D11125" s="7">
        <f>DATE(2011,5,9)</f>
        <v>40672</v>
      </c>
      <c r="E11125" s="8">
        <f t="shared" si="185"/>
        <v>2011</v>
      </c>
      <c r="F11125" t="s">
        <v>1783</v>
      </c>
      <c r="G11125" s="9">
        <v>78446.3</v>
      </c>
      <c r="H11125" s="8">
        <v>10385</v>
      </c>
    </row>
    <row r="11126" spans="2:8" x14ac:dyDescent="0.4">
      <c r="B11126" t="s">
        <v>7</v>
      </c>
      <c r="C11126" t="s">
        <v>1782</v>
      </c>
      <c r="D11126" s="7">
        <f>DATE(2011,5,9)</f>
        <v>40672</v>
      </c>
      <c r="E11126" s="8">
        <f t="shared" si="185"/>
        <v>2011</v>
      </c>
      <c r="F11126" t="s">
        <v>1783</v>
      </c>
      <c r="G11126" s="9">
        <v>2348.1999999999998</v>
      </c>
      <c r="H11126" s="8">
        <v>10522</v>
      </c>
    </row>
    <row r="11127" spans="2:8" x14ac:dyDescent="0.4">
      <c r="B11127" t="s">
        <v>7</v>
      </c>
      <c r="C11127" t="s">
        <v>1782</v>
      </c>
      <c r="D11127" s="7">
        <f>DATE(2011,5,9)</f>
        <v>40672</v>
      </c>
      <c r="E11127" s="8">
        <f t="shared" si="185"/>
        <v>2011</v>
      </c>
      <c r="F11127" t="s">
        <v>1783</v>
      </c>
      <c r="G11127" s="9">
        <v>21189.58</v>
      </c>
      <c r="H11127" s="8">
        <v>10526</v>
      </c>
    </row>
    <row r="11128" spans="2:8" x14ac:dyDescent="0.4">
      <c r="B11128" t="s">
        <v>7</v>
      </c>
      <c r="C11128" t="s">
        <v>1782</v>
      </c>
      <c r="D11128" s="7">
        <f>DATE(2011,6,10)</f>
        <v>40704</v>
      </c>
      <c r="E11128" s="8">
        <f t="shared" si="185"/>
        <v>2011</v>
      </c>
      <c r="F11128" t="s">
        <v>1783</v>
      </c>
      <c r="G11128" s="9">
        <v>4173.1400000000003</v>
      </c>
      <c r="H11128" s="8">
        <v>10760</v>
      </c>
    </row>
    <row r="11129" spans="2:8" x14ac:dyDescent="0.4">
      <c r="B11129" t="s">
        <v>7</v>
      </c>
      <c r="C11129" t="s">
        <v>1782</v>
      </c>
      <c r="D11129" s="7">
        <f>DATE(2013,10,18)</f>
        <v>41565</v>
      </c>
      <c r="E11129" s="8">
        <f t="shared" si="185"/>
        <v>2013</v>
      </c>
      <c r="F11129" t="s">
        <v>1783</v>
      </c>
      <c r="G11129" s="9">
        <v>83359.34</v>
      </c>
      <c r="H11129" s="8">
        <v>12584</v>
      </c>
    </row>
    <row r="11130" spans="2:8" x14ac:dyDescent="0.4">
      <c r="B11130" t="s">
        <v>7</v>
      </c>
      <c r="C11130" t="s">
        <v>1782</v>
      </c>
      <c r="D11130" s="7">
        <f>DATE(2014,5,19)</f>
        <v>41778</v>
      </c>
      <c r="E11130" s="8">
        <f t="shared" si="185"/>
        <v>2014</v>
      </c>
      <c r="F11130" t="s">
        <v>1783</v>
      </c>
      <c r="G11130" s="9">
        <v>29865.54</v>
      </c>
      <c r="H11130" s="8">
        <v>13201</v>
      </c>
    </row>
    <row r="11131" spans="2:8" x14ac:dyDescent="0.4">
      <c r="B11131" t="s">
        <v>7</v>
      </c>
      <c r="C11131" t="s">
        <v>1782</v>
      </c>
      <c r="D11131" s="7">
        <f>DATE(2014,6,20)</f>
        <v>41810</v>
      </c>
      <c r="E11131" s="8">
        <f t="shared" si="185"/>
        <v>2014</v>
      </c>
      <c r="F11131" t="s">
        <v>1783</v>
      </c>
      <c r="G11131" s="9">
        <v>4702.75</v>
      </c>
      <c r="H11131" s="8">
        <v>13283</v>
      </c>
    </row>
    <row r="11132" spans="2:8" x14ac:dyDescent="0.4">
      <c r="B11132" t="s">
        <v>7</v>
      </c>
      <c r="C11132" t="s">
        <v>1782</v>
      </c>
      <c r="D11132" s="7">
        <f>DATE(2014,11,4)</f>
        <v>41947</v>
      </c>
      <c r="E11132" s="8">
        <f t="shared" si="185"/>
        <v>2014</v>
      </c>
      <c r="F11132" t="s">
        <v>1783</v>
      </c>
      <c r="G11132" s="9">
        <v>85929.75</v>
      </c>
      <c r="H11132" s="8">
        <v>13378</v>
      </c>
    </row>
    <row r="11133" spans="2:8" x14ac:dyDescent="0.4">
      <c r="B11133" s="3" t="s">
        <v>7</v>
      </c>
      <c r="C11133" s="3" t="s">
        <v>1782</v>
      </c>
      <c r="D11133" s="4">
        <f>DATE(2007,3,29)</f>
        <v>39170</v>
      </c>
      <c r="E11133" s="5">
        <f t="shared" si="185"/>
        <v>2007</v>
      </c>
      <c r="F11133" s="3" t="s">
        <v>1783</v>
      </c>
      <c r="G11133" s="6">
        <v>525</v>
      </c>
      <c r="H11133" s="5">
        <v>8231</v>
      </c>
    </row>
    <row r="11134" spans="2:8" x14ac:dyDescent="0.4">
      <c r="B11134" s="3" t="s">
        <v>7</v>
      </c>
      <c r="C11134" s="3" t="s">
        <v>1782</v>
      </c>
      <c r="D11134" s="4">
        <f>DATE(2010,4,23)</f>
        <v>40291</v>
      </c>
      <c r="E11134" s="5">
        <f t="shared" si="185"/>
        <v>2010</v>
      </c>
      <c r="F11134" s="3" t="s">
        <v>1783</v>
      </c>
      <c r="G11134" s="6">
        <v>29362</v>
      </c>
      <c r="H11134" s="5">
        <v>13452</v>
      </c>
    </row>
    <row r="11135" spans="2:8" x14ac:dyDescent="0.4">
      <c r="B11135" s="3" t="s">
        <v>7</v>
      </c>
      <c r="C11135" s="3" t="s">
        <v>1782</v>
      </c>
      <c r="D11135" s="4">
        <f>DATE(2011,2,21)</f>
        <v>40595</v>
      </c>
      <c r="E11135" s="5">
        <f t="shared" si="185"/>
        <v>2011</v>
      </c>
      <c r="F11135" s="3" t="s">
        <v>1783</v>
      </c>
      <c r="G11135" s="6">
        <v>14977</v>
      </c>
      <c r="H11135" s="5">
        <v>14915</v>
      </c>
    </row>
    <row r="11136" spans="2:8" x14ac:dyDescent="0.4">
      <c r="B11136" s="3" t="s">
        <v>7</v>
      </c>
      <c r="C11136" s="3" t="s">
        <v>1782</v>
      </c>
      <c r="D11136" s="4">
        <f>DATE(2011,4,27)</f>
        <v>40660</v>
      </c>
      <c r="E11136" s="5">
        <f t="shared" si="185"/>
        <v>2011</v>
      </c>
      <c r="F11136" s="3" t="s">
        <v>1783</v>
      </c>
      <c r="G11136" s="6">
        <v>142.77000000000001</v>
      </c>
      <c r="H11136" s="5">
        <v>15501</v>
      </c>
    </row>
    <row r="11137" spans="2:8" x14ac:dyDescent="0.4">
      <c r="B11137" s="3" t="s">
        <v>7</v>
      </c>
      <c r="C11137" s="3" t="s">
        <v>1782</v>
      </c>
      <c r="D11137" s="4">
        <f>DATE(2013,8,8)</f>
        <v>41494</v>
      </c>
      <c r="E11137" s="5">
        <f t="shared" si="185"/>
        <v>2013</v>
      </c>
      <c r="F11137" s="3" t="s">
        <v>1783</v>
      </c>
      <c r="G11137" s="6">
        <v>49.32</v>
      </c>
      <c r="H11137" s="5">
        <v>18846</v>
      </c>
    </row>
    <row r="11138" spans="2:8" x14ac:dyDescent="0.4">
      <c r="B11138" t="s">
        <v>7</v>
      </c>
      <c r="C11138" t="s">
        <v>1784</v>
      </c>
      <c r="D11138" s="7">
        <f>DATE(2004,2,1)</f>
        <v>38018</v>
      </c>
      <c r="E11138" s="8">
        <f t="shared" si="185"/>
        <v>2004</v>
      </c>
      <c r="F11138" t="s">
        <v>1785</v>
      </c>
      <c r="G11138" s="9">
        <v>5483.12</v>
      </c>
      <c r="H11138" s="8">
        <v>1198</v>
      </c>
    </row>
    <row r="11139" spans="2:8" x14ac:dyDescent="0.4">
      <c r="B11139" t="s">
        <v>7</v>
      </c>
      <c r="C11139" t="s">
        <v>1786</v>
      </c>
      <c r="D11139" s="7">
        <f>DATE(2005,3,15)</f>
        <v>38426</v>
      </c>
      <c r="E11139" s="8">
        <f t="shared" ref="E11139:E11202" si="186">YEAR(D11139)</f>
        <v>2005</v>
      </c>
      <c r="F11139" t="s">
        <v>1787</v>
      </c>
      <c r="G11139" s="9">
        <v>5775</v>
      </c>
      <c r="H11139" s="8">
        <v>2774</v>
      </c>
    </row>
    <row r="11140" spans="2:8" x14ac:dyDescent="0.4">
      <c r="B11140" t="s">
        <v>7</v>
      </c>
      <c r="C11140" t="s">
        <v>1786</v>
      </c>
      <c r="D11140" s="7">
        <f>DATE(2005,5,7)</f>
        <v>38479</v>
      </c>
      <c r="E11140" s="8">
        <f t="shared" si="186"/>
        <v>2005</v>
      </c>
      <c r="F11140" t="s">
        <v>1787</v>
      </c>
      <c r="G11140" s="9">
        <v>4510.5</v>
      </c>
      <c r="H11140" s="8">
        <v>3173</v>
      </c>
    </row>
    <row r="11141" spans="2:8" x14ac:dyDescent="0.4">
      <c r="B11141" t="s">
        <v>7</v>
      </c>
      <c r="C11141" t="s">
        <v>1786</v>
      </c>
      <c r="D11141" s="7">
        <f>DATE(2005,8,11)</f>
        <v>38575</v>
      </c>
      <c r="E11141" s="8">
        <f t="shared" si="186"/>
        <v>2005</v>
      </c>
      <c r="F11141" t="s">
        <v>1787</v>
      </c>
      <c r="G11141" s="9">
        <v>8927.35</v>
      </c>
      <c r="H11141" s="8">
        <v>3325</v>
      </c>
    </row>
    <row r="11142" spans="2:8" x14ac:dyDescent="0.4">
      <c r="B11142" t="s">
        <v>7</v>
      </c>
      <c r="C11142" t="s">
        <v>1786</v>
      </c>
      <c r="D11142" s="7">
        <f>DATE(2005,9,15)</f>
        <v>38610</v>
      </c>
      <c r="E11142" s="8">
        <f t="shared" si="186"/>
        <v>2005</v>
      </c>
      <c r="F11142" t="s">
        <v>1787</v>
      </c>
      <c r="G11142" s="9">
        <v>23380.82</v>
      </c>
      <c r="H11142" s="8">
        <v>3547</v>
      </c>
    </row>
    <row r="11143" spans="2:8" x14ac:dyDescent="0.4">
      <c r="B11143" t="s">
        <v>7</v>
      </c>
      <c r="C11143" t="s">
        <v>1786</v>
      </c>
      <c r="D11143" s="7">
        <f>DATE(2006,2,4)</f>
        <v>38752</v>
      </c>
      <c r="E11143" s="8">
        <f t="shared" si="186"/>
        <v>2006</v>
      </c>
      <c r="F11143" t="s">
        <v>1787</v>
      </c>
      <c r="G11143" s="9">
        <v>5820.4</v>
      </c>
      <c r="H11143" s="8">
        <v>4060</v>
      </c>
    </row>
    <row r="11144" spans="2:8" x14ac:dyDescent="0.4">
      <c r="B11144" t="s">
        <v>7</v>
      </c>
      <c r="C11144" t="s">
        <v>1786</v>
      </c>
      <c r="D11144" s="7">
        <f>DATE(2006,3,4)</f>
        <v>38780</v>
      </c>
      <c r="E11144" s="8">
        <f t="shared" si="186"/>
        <v>2006</v>
      </c>
      <c r="F11144" t="s">
        <v>1787</v>
      </c>
      <c r="G11144" s="9">
        <v>24736.53</v>
      </c>
      <c r="H11144" s="8">
        <v>3999</v>
      </c>
    </row>
    <row r="11145" spans="2:8" x14ac:dyDescent="0.4">
      <c r="B11145" t="s">
        <v>7</v>
      </c>
      <c r="C11145" t="s">
        <v>1786</v>
      </c>
      <c r="D11145" s="7">
        <f>DATE(2006,5,7)</f>
        <v>38844</v>
      </c>
      <c r="E11145" s="8">
        <f t="shared" si="186"/>
        <v>2006</v>
      </c>
      <c r="F11145" t="s">
        <v>1787</v>
      </c>
      <c r="G11145" s="9">
        <v>6183.68</v>
      </c>
      <c r="H11145" s="8">
        <v>4582</v>
      </c>
    </row>
    <row r="11146" spans="2:8" x14ac:dyDescent="0.4">
      <c r="B11146" t="s">
        <v>7</v>
      </c>
      <c r="C11146" t="s">
        <v>1786</v>
      </c>
      <c r="D11146" s="7">
        <f>DATE(2006,6,8)</f>
        <v>38876</v>
      </c>
      <c r="E11146" s="8">
        <f t="shared" si="186"/>
        <v>2006</v>
      </c>
      <c r="F11146" t="s">
        <v>1787</v>
      </c>
      <c r="G11146" s="9">
        <v>17034.349999999999</v>
      </c>
      <c r="H11146" s="8">
        <v>4655</v>
      </c>
    </row>
    <row r="11147" spans="2:8" x14ac:dyDescent="0.4">
      <c r="B11147" t="s">
        <v>7</v>
      </c>
      <c r="C11147" t="s">
        <v>1786</v>
      </c>
      <c r="D11147" s="7">
        <f>DATE(2006,12,13)</f>
        <v>39064</v>
      </c>
      <c r="E11147" s="8">
        <f t="shared" si="186"/>
        <v>2006</v>
      </c>
      <c r="F11147" t="s">
        <v>1787</v>
      </c>
      <c r="G11147" s="9">
        <v>8242.65</v>
      </c>
      <c r="H11147" s="8">
        <v>5228</v>
      </c>
    </row>
    <row r="11148" spans="2:8" x14ac:dyDescent="0.4">
      <c r="B11148" t="s">
        <v>7</v>
      </c>
      <c r="C11148" t="s">
        <v>1786</v>
      </c>
      <c r="D11148" s="7">
        <f>DATE(2007,3,7)</f>
        <v>39148</v>
      </c>
      <c r="E11148" s="8">
        <f t="shared" si="186"/>
        <v>2007</v>
      </c>
      <c r="F11148" t="s">
        <v>1787</v>
      </c>
      <c r="G11148" s="9">
        <v>14747.4</v>
      </c>
      <c r="H11148" s="8">
        <v>5553</v>
      </c>
    </row>
    <row r="11149" spans="2:8" x14ac:dyDescent="0.4">
      <c r="B11149" t="s">
        <v>7</v>
      </c>
      <c r="C11149" t="s">
        <v>1786</v>
      </c>
      <c r="D11149" s="7">
        <f>DATE(2007,6,14)</f>
        <v>39247</v>
      </c>
      <c r="E11149" s="8">
        <f t="shared" si="186"/>
        <v>2007</v>
      </c>
      <c r="F11149" t="s">
        <v>1787</v>
      </c>
      <c r="G11149" s="9">
        <v>27033</v>
      </c>
      <c r="H11149" s="8">
        <v>5992</v>
      </c>
    </row>
    <row r="11150" spans="2:8" x14ac:dyDescent="0.4">
      <c r="B11150" t="s">
        <v>7</v>
      </c>
      <c r="C11150" t="s">
        <v>1786</v>
      </c>
      <c r="D11150" s="7">
        <f>DATE(2008,9,11)</f>
        <v>39702</v>
      </c>
      <c r="E11150" s="8">
        <f t="shared" si="186"/>
        <v>2008</v>
      </c>
      <c r="F11150" t="s">
        <v>1787</v>
      </c>
      <c r="G11150" s="9">
        <v>6230</v>
      </c>
      <c r="H11150" s="8">
        <v>7737</v>
      </c>
    </row>
    <row r="11151" spans="2:8" x14ac:dyDescent="0.4">
      <c r="B11151" t="s">
        <v>7</v>
      </c>
      <c r="C11151" t="s">
        <v>1786</v>
      </c>
      <c r="D11151" s="7">
        <f>DATE(2009,7,24)</f>
        <v>40018</v>
      </c>
      <c r="E11151" s="8">
        <f t="shared" si="186"/>
        <v>2009</v>
      </c>
      <c r="F11151" t="s">
        <v>1787</v>
      </c>
      <c r="G11151" s="9">
        <v>6925</v>
      </c>
      <c r="H11151" s="8">
        <v>8865</v>
      </c>
    </row>
    <row r="11152" spans="2:8" x14ac:dyDescent="0.4">
      <c r="B11152" t="s">
        <v>7</v>
      </c>
      <c r="C11152" t="s">
        <v>1786</v>
      </c>
      <c r="D11152" s="7">
        <f>DATE(2009,11,20)</f>
        <v>40137</v>
      </c>
      <c r="E11152" s="8">
        <f t="shared" si="186"/>
        <v>2009</v>
      </c>
      <c r="F11152" t="s">
        <v>1787</v>
      </c>
      <c r="G11152" s="9">
        <v>8572</v>
      </c>
      <c r="H11152" s="8">
        <v>9169</v>
      </c>
    </row>
    <row r="11153" spans="2:8" x14ac:dyDescent="0.4">
      <c r="B11153" t="s">
        <v>7</v>
      </c>
      <c r="C11153" t="s">
        <v>1786</v>
      </c>
      <c r="D11153" s="7">
        <f>DATE(2010,3,25)</f>
        <v>40262</v>
      </c>
      <c r="E11153" s="8">
        <f t="shared" si="186"/>
        <v>2010</v>
      </c>
      <c r="F11153" t="s">
        <v>1787</v>
      </c>
      <c r="G11153" s="9">
        <v>8841.67</v>
      </c>
      <c r="H11153" s="8">
        <v>9630</v>
      </c>
    </row>
    <row r="11154" spans="2:8" x14ac:dyDescent="0.4">
      <c r="B11154" t="s">
        <v>16</v>
      </c>
      <c r="C11154" t="s">
        <v>1786</v>
      </c>
      <c r="D11154" s="7">
        <f>DATE(2005,9,15)</f>
        <v>38610</v>
      </c>
      <c r="E11154" s="8">
        <f t="shared" si="186"/>
        <v>2005</v>
      </c>
      <c r="F11154" t="s">
        <v>1787</v>
      </c>
      <c r="G11154" s="9">
        <v>3000</v>
      </c>
      <c r="H11154" s="8">
        <v>3716</v>
      </c>
    </row>
    <row r="11155" spans="2:8" x14ac:dyDescent="0.4">
      <c r="B11155" t="s">
        <v>7</v>
      </c>
      <c r="C11155" t="s">
        <v>1788</v>
      </c>
      <c r="D11155" s="7">
        <f>DATE(2015,10,13)</f>
        <v>42290</v>
      </c>
      <c r="E11155" s="8">
        <f t="shared" si="186"/>
        <v>2015</v>
      </c>
      <c r="F11155" t="s">
        <v>1789</v>
      </c>
      <c r="G11155" s="9">
        <v>4070.25</v>
      </c>
      <c r="H11155" s="8">
        <v>21348</v>
      </c>
    </row>
    <row r="11156" spans="2:8" x14ac:dyDescent="0.4">
      <c r="B11156" t="s">
        <v>7</v>
      </c>
      <c r="C11156" t="s">
        <v>1790</v>
      </c>
      <c r="D11156" s="7">
        <f>DATE(2008,11,12)</f>
        <v>39764</v>
      </c>
      <c r="E11156" s="8">
        <f t="shared" si="186"/>
        <v>2008</v>
      </c>
      <c r="F11156" t="s">
        <v>1791</v>
      </c>
      <c r="G11156" s="9">
        <v>4055.75</v>
      </c>
      <c r="H11156" s="8">
        <v>8002</v>
      </c>
    </row>
    <row r="11157" spans="2:8" x14ac:dyDescent="0.4">
      <c r="B11157" s="3" t="s">
        <v>7</v>
      </c>
      <c r="C11157" s="3" t="s">
        <v>1792</v>
      </c>
      <c r="D11157" s="4">
        <f>DATE(2004,3,19)</f>
        <v>38065</v>
      </c>
      <c r="E11157" s="5">
        <f t="shared" si="186"/>
        <v>2004</v>
      </c>
      <c r="F11157" s="3" t="s">
        <v>1793</v>
      </c>
      <c r="G11157" s="6">
        <v>360</v>
      </c>
      <c r="H11157" s="5">
        <v>2257</v>
      </c>
    </row>
    <row r="11158" spans="2:8" x14ac:dyDescent="0.4">
      <c r="B11158" s="3" t="s">
        <v>7</v>
      </c>
      <c r="C11158" s="3" t="s">
        <v>1792</v>
      </c>
      <c r="D11158" s="4">
        <f>DATE(2005,1,20)</f>
        <v>38372</v>
      </c>
      <c r="E11158" s="5">
        <f t="shared" si="186"/>
        <v>2005</v>
      </c>
      <c r="F11158" s="3" t="s">
        <v>1793</v>
      </c>
      <c r="G11158" s="6">
        <v>550</v>
      </c>
      <c r="H11158" s="5">
        <v>3899</v>
      </c>
    </row>
    <row r="11159" spans="2:8" x14ac:dyDescent="0.4">
      <c r="B11159" s="3" t="s">
        <v>7</v>
      </c>
      <c r="C11159" s="3" t="s">
        <v>1792</v>
      </c>
      <c r="D11159" s="4">
        <f>DATE(2005,2,17)</f>
        <v>38400</v>
      </c>
      <c r="E11159" s="5">
        <f t="shared" si="186"/>
        <v>2005</v>
      </c>
      <c r="F11159" s="3" t="s">
        <v>1793</v>
      </c>
      <c r="G11159" s="6">
        <v>33686.449999999997</v>
      </c>
      <c r="H11159" s="5">
        <v>3854</v>
      </c>
    </row>
    <row r="11160" spans="2:8" x14ac:dyDescent="0.4">
      <c r="B11160" s="3" t="s">
        <v>7</v>
      </c>
      <c r="C11160" s="3" t="s">
        <v>1792</v>
      </c>
      <c r="D11160" s="4">
        <f>DATE(2005,12,5)</f>
        <v>38691</v>
      </c>
      <c r="E11160" s="5">
        <f t="shared" si="186"/>
        <v>2005</v>
      </c>
      <c r="F11160" s="3" t="s">
        <v>1793</v>
      </c>
      <c r="G11160" s="6">
        <v>34866.6</v>
      </c>
      <c r="H11160" s="5">
        <v>5536</v>
      </c>
    </row>
    <row r="11161" spans="2:8" x14ac:dyDescent="0.4">
      <c r="B11161" s="3" t="s">
        <v>7</v>
      </c>
      <c r="C11161" s="3" t="s">
        <v>1792</v>
      </c>
      <c r="D11161" s="4">
        <f>DATE(2005,12,16)</f>
        <v>38702</v>
      </c>
      <c r="E11161" s="5">
        <f t="shared" si="186"/>
        <v>2005</v>
      </c>
      <c r="F11161" s="3" t="s">
        <v>1793</v>
      </c>
      <c r="G11161" s="6">
        <v>17418.8</v>
      </c>
      <c r="H11161" s="5">
        <v>5734</v>
      </c>
    </row>
    <row r="11162" spans="2:8" x14ac:dyDescent="0.4">
      <c r="B11162" t="s">
        <v>7</v>
      </c>
      <c r="C11162" t="s">
        <v>1794</v>
      </c>
      <c r="D11162" s="7">
        <f>DATE(2009,4,14)</f>
        <v>39917</v>
      </c>
      <c r="E11162" s="8">
        <f t="shared" si="186"/>
        <v>2009</v>
      </c>
      <c r="F11162" t="s">
        <v>1795</v>
      </c>
      <c r="G11162" s="9">
        <v>1208.3599999999999</v>
      </c>
      <c r="H11162" s="8">
        <v>8479</v>
      </c>
    </row>
    <row r="11163" spans="2:8" x14ac:dyDescent="0.4">
      <c r="B11163" t="s">
        <v>7</v>
      </c>
      <c r="C11163" t="s">
        <v>1796</v>
      </c>
      <c r="D11163" s="7">
        <f>DATE(2017,8,14)</f>
        <v>42961</v>
      </c>
      <c r="E11163" s="8">
        <f t="shared" si="186"/>
        <v>2017</v>
      </c>
      <c r="F11163" t="s">
        <v>1797</v>
      </c>
      <c r="G11163" s="9">
        <v>7600</v>
      </c>
      <c r="H11163" s="8">
        <v>25383</v>
      </c>
    </row>
    <row r="11164" spans="2:8" x14ac:dyDescent="0.4">
      <c r="B11164" t="s">
        <v>7</v>
      </c>
      <c r="C11164" t="s">
        <v>1796</v>
      </c>
      <c r="D11164" s="7">
        <f>DATE(2019,2,22)</f>
        <v>43518</v>
      </c>
      <c r="E11164" s="8">
        <f t="shared" si="186"/>
        <v>2019</v>
      </c>
      <c r="F11164" t="s">
        <v>1797</v>
      </c>
      <c r="G11164" s="9">
        <v>1140</v>
      </c>
      <c r="H11164" s="8">
        <v>28442</v>
      </c>
    </row>
    <row r="11165" spans="2:8" x14ac:dyDescent="0.4">
      <c r="B11165" t="s">
        <v>7</v>
      </c>
      <c r="C11165" t="s">
        <v>1796</v>
      </c>
      <c r="D11165" s="7">
        <f>DATE(2003,9,18)</f>
        <v>37882</v>
      </c>
      <c r="E11165" s="8">
        <f t="shared" si="186"/>
        <v>2003</v>
      </c>
      <c r="F11165" t="s">
        <v>1797</v>
      </c>
      <c r="G11165" s="9">
        <v>5444.21</v>
      </c>
      <c r="H11165" s="8">
        <v>857</v>
      </c>
    </row>
    <row r="11166" spans="2:8" x14ac:dyDescent="0.4">
      <c r="B11166" s="3" t="s">
        <v>7</v>
      </c>
      <c r="C11166" s="3" t="s">
        <v>1796</v>
      </c>
      <c r="D11166" s="4">
        <f>DATE(2003,2,14)</f>
        <v>37666</v>
      </c>
      <c r="E11166" s="5">
        <f t="shared" si="186"/>
        <v>2003</v>
      </c>
      <c r="F11166" s="3" t="s">
        <v>1797</v>
      </c>
      <c r="G11166" s="6">
        <v>375</v>
      </c>
      <c r="H11166" s="5">
        <v>285</v>
      </c>
    </row>
    <row r="11167" spans="2:8" x14ac:dyDescent="0.4">
      <c r="B11167" s="3" t="s">
        <v>7</v>
      </c>
      <c r="C11167" s="3" t="s">
        <v>1796</v>
      </c>
      <c r="D11167" s="4">
        <f>DATE(2003,2,25)</f>
        <v>37677</v>
      </c>
      <c r="E11167" s="5">
        <f t="shared" si="186"/>
        <v>2003</v>
      </c>
      <c r="F11167" s="3" t="s">
        <v>1797</v>
      </c>
      <c r="G11167" s="6">
        <v>625</v>
      </c>
      <c r="H11167" s="5">
        <v>355</v>
      </c>
    </row>
    <row r="11168" spans="2:8" x14ac:dyDescent="0.4">
      <c r="B11168" s="3" t="s">
        <v>7</v>
      </c>
      <c r="C11168" s="3" t="s">
        <v>1796</v>
      </c>
      <c r="D11168" s="4">
        <f>DATE(2003,2,26)</f>
        <v>37678</v>
      </c>
      <c r="E11168" s="5">
        <f t="shared" si="186"/>
        <v>2003</v>
      </c>
      <c r="F11168" s="3" t="s">
        <v>1797</v>
      </c>
      <c r="G11168" s="6">
        <v>1908</v>
      </c>
      <c r="H11168" s="5">
        <v>403</v>
      </c>
    </row>
    <row r="11169" spans="2:8" x14ac:dyDescent="0.4">
      <c r="B11169" s="3" t="s">
        <v>7</v>
      </c>
      <c r="C11169" s="3" t="s">
        <v>1796</v>
      </c>
      <c r="D11169" s="4">
        <f>DATE(2003,3,3)</f>
        <v>37683</v>
      </c>
      <c r="E11169" s="5">
        <f t="shared" si="186"/>
        <v>2003</v>
      </c>
      <c r="F11169" s="3" t="s">
        <v>1797</v>
      </c>
      <c r="G11169" s="6">
        <v>1008</v>
      </c>
      <c r="H11169" s="5">
        <v>441</v>
      </c>
    </row>
    <row r="11170" spans="2:8" x14ac:dyDescent="0.4">
      <c r="B11170" s="3" t="s">
        <v>7</v>
      </c>
      <c r="C11170" s="3" t="s">
        <v>1796</v>
      </c>
      <c r="D11170" s="4">
        <f>DATE(2004,5,7)</f>
        <v>38114</v>
      </c>
      <c r="E11170" s="5">
        <f t="shared" si="186"/>
        <v>2004</v>
      </c>
      <c r="F11170" s="3" t="s">
        <v>1797</v>
      </c>
      <c r="G11170" s="6">
        <v>3600</v>
      </c>
      <c r="H11170" s="5">
        <v>2841</v>
      </c>
    </row>
    <row r="11171" spans="2:8" x14ac:dyDescent="0.4">
      <c r="B11171" s="3" t="s">
        <v>7</v>
      </c>
      <c r="C11171" s="3" t="s">
        <v>1796</v>
      </c>
      <c r="D11171" s="4">
        <f>DATE(2010,9,24)</f>
        <v>40445</v>
      </c>
      <c r="E11171" s="5">
        <f t="shared" si="186"/>
        <v>2010</v>
      </c>
      <c r="F11171" s="3" t="s">
        <v>1797</v>
      </c>
      <c r="G11171" s="6">
        <v>3800</v>
      </c>
      <c r="H11171" s="5">
        <v>14552</v>
      </c>
    </row>
    <row r="11172" spans="2:8" x14ac:dyDescent="0.4">
      <c r="B11172" s="3" t="s">
        <v>7</v>
      </c>
      <c r="C11172" s="3" t="s">
        <v>1796</v>
      </c>
      <c r="D11172" s="4">
        <f>DATE(2010,10,29)</f>
        <v>40480</v>
      </c>
      <c r="E11172" s="5">
        <f t="shared" si="186"/>
        <v>2010</v>
      </c>
      <c r="F11172" s="3" t="s">
        <v>1797</v>
      </c>
      <c r="G11172" s="6">
        <v>950</v>
      </c>
      <c r="H11172" s="5">
        <v>14704</v>
      </c>
    </row>
    <row r="11173" spans="2:8" x14ac:dyDescent="0.4">
      <c r="B11173" s="3" t="s">
        <v>7</v>
      </c>
      <c r="C11173" s="3" t="s">
        <v>1796</v>
      </c>
      <c r="D11173" s="4">
        <f>DATE(2012,3,26)</f>
        <v>40994</v>
      </c>
      <c r="E11173" s="5">
        <f t="shared" si="186"/>
        <v>2012</v>
      </c>
      <c r="F11173" s="3" t="s">
        <v>1797</v>
      </c>
      <c r="G11173" s="6">
        <v>7663.89</v>
      </c>
      <c r="H11173" s="5">
        <v>16836</v>
      </c>
    </row>
    <row r="11174" spans="2:8" x14ac:dyDescent="0.4">
      <c r="B11174" s="3" t="s">
        <v>16</v>
      </c>
      <c r="C11174" s="3" t="s">
        <v>1796</v>
      </c>
      <c r="D11174" s="4">
        <f>DATE(2003,2,25)</f>
        <v>37677</v>
      </c>
      <c r="E11174" s="5">
        <f t="shared" si="186"/>
        <v>2003</v>
      </c>
      <c r="F11174" s="3" t="s">
        <v>1797</v>
      </c>
      <c r="G11174" s="6">
        <v>375</v>
      </c>
      <c r="H11174" s="5">
        <v>353</v>
      </c>
    </row>
    <row r="11175" spans="2:8" x14ac:dyDescent="0.4">
      <c r="B11175" s="3" t="s">
        <v>16</v>
      </c>
      <c r="C11175" s="3" t="s">
        <v>1796</v>
      </c>
      <c r="D11175" s="4">
        <f>DATE(2003,5,29)</f>
        <v>37770</v>
      </c>
      <c r="E11175" s="5">
        <f t="shared" si="186"/>
        <v>2003</v>
      </c>
      <c r="F11175" s="3" t="s">
        <v>1797</v>
      </c>
      <c r="G11175" s="6">
        <v>1008</v>
      </c>
      <c r="H11175" s="5">
        <v>440</v>
      </c>
    </row>
    <row r="11176" spans="2:8" x14ac:dyDescent="0.4">
      <c r="B11176" s="3" t="s">
        <v>16</v>
      </c>
      <c r="C11176" s="3" t="s">
        <v>1796</v>
      </c>
      <c r="D11176" s="4">
        <f>DATE(2003,5,29)</f>
        <v>37770</v>
      </c>
      <c r="E11176" s="5">
        <f t="shared" si="186"/>
        <v>2003</v>
      </c>
      <c r="F11176" s="3" t="s">
        <v>1797</v>
      </c>
      <c r="G11176" s="6">
        <v>625</v>
      </c>
      <c r="H11176" s="5">
        <v>442</v>
      </c>
    </row>
    <row r="11177" spans="2:8" x14ac:dyDescent="0.4">
      <c r="B11177" s="3" t="s">
        <v>7</v>
      </c>
      <c r="C11177" s="3" t="s">
        <v>1798</v>
      </c>
      <c r="D11177" s="4">
        <f>DATE(2003,6,30)</f>
        <v>37802</v>
      </c>
      <c r="E11177" s="5">
        <f t="shared" si="186"/>
        <v>2003</v>
      </c>
      <c r="F11177" s="3" t="s">
        <v>1799</v>
      </c>
      <c r="G11177" s="6">
        <v>11</v>
      </c>
      <c r="H11177" s="5">
        <v>229</v>
      </c>
    </row>
    <row r="11178" spans="2:8" x14ac:dyDescent="0.4">
      <c r="B11178" t="s">
        <v>7</v>
      </c>
      <c r="C11178" t="s">
        <v>1800</v>
      </c>
      <c r="D11178" s="7">
        <f>DATE(2018,10,30)</f>
        <v>43403</v>
      </c>
      <c r="E11178" s="8">
        <f t="shared" si="186"/>
        <v>2018</v>
      </c>
      <c r="F11178" t="s">
        <v>1801</v>
      </c>
      <c r="G11178" s="9">
        <v>245.5</v>
      </c>
      <c r="H11178" s="8">
        <v>27828</v>
      </c>
    </row>
    <row r="11179" spans="2:8" x14ac:dyDescent="0.4">
      <c r="B11179" t="s">
        <v>7</v>
      </c>
      <c r="C11179" t="s">
        <v>1802</v>
      </c>
      <c r="D11179" s="7">
        <f>DATE(2003,2,22)</f>
        <v>37674</v>
      </c>
      <c r="E11179" s="8">
        <f t="shared" si="186"/>
        <v>2003</v>
      </c>
      <c r="F11179" t="s">
        <v>1803</v>
      </c>
      <c r="G11179" s="9">
        <v>4190.07</v>
      </c>
      <c r="H11179" s="8">
        <v>273</v>
      </c>
    </row>
    <row r="11180" spans="2:8" x14ac:dyDescent="0.4">
      <c r="B11180" t="s">
        <v>7</v>
      </c>
      <c r="C11180" t="s">
        <v>1802</v>
      </c>
      <c r="D11180" s="7">
        <f>DATE(2003,3,20)</f>
        <v>37700</v>
      </c>
      <c r="E11180" s="8">
        <f t="shared" si="186"/>
        <v>2003</v>
      </c>
      <c r="F11180" t="s">
        <v>1803</v>
      </c>
      <c r="G11180" s="9">
        <v>13236.02</v>
      </c>
      <c r="H11180" s="8">
        <v>84</v>
      </c>
    </row>
    <row r="11181" spans="2:8" x14ac:dyDescent="0.4">
      <c r="B11181" t="s">
        <v>7</v>
      </c>
      <c r="C11181" t="s">
        <v>1802</v>
      </c>
      <c r="D11181" s="7">
        <f>DATE(2003,4,5)</f>
        <v>37716</v>
      </c>
      <c r="E11181" s="8">
        <f t="shared" si="186"/>
        <v>2003</v>
      </c>
      <c r="F11181" t="s">
        <v>1803</v>
      </c>
      <c r="G11181" s="9">
        <v>30202.400000000001</v>
      </c>
      <c r="H11181" s="8">
        <v>418</v>
      </c>
    </row>
    <row r="11182" spans="2:8" x14ac:dyDescent="0.4">
      <c r="B11182" t="s">
        <v>7</v>
      </c>
      <c r="C11182" t="s">
        <v>1802</v>
      </c>
      <c r="D11182" s="7">
        <f>DATE(2003,7,30)</f>
        <v>37832</v>
      </c>
      <c r="E11182" s="8">
        <f t="shared" si="186"/>
        <v>2003</v>
      </c>
      <c r="F11182" t="s">
        <v>1803</v>
      </c>
      <c r="G11182" s="9">
        <v>2550</v>
      </c>
      <c r="H11182" s="8">
        <v>437</v>
      </c>
    </row>
    <row r="11183" spans="2:8" x14ac:dyDescent="0.4">
      <c r="B11183" t="s">
        <v>7</v>
      </c>
      <c r="C11183" t="s">
        <v>1802</v>
      </c>
      <c r="D11183" s="7">
        <f>DATE(2003,8,12)</f>
        <v>37845</v>
      </c>
      <c r="E11183" s="8">
        <f t="shared" si="186"/>
        <v>2003</v>
      </c>
      <c r="F11183" t="s">
        <v>1803</v>
      </c>
      <c r="G11183" s="9">
        <v>50028.1</v>
      </c>
      <c r="H11183" s="8">
        <v>802</v>
      </c>
    </row>
    <row r="11184" spans="2:8" x14ac:dyDescent="0.4">
      <c r="B11184" t="s">
        <v>7</v>
      </c>
      <c r="C11184" t="s">
        <v>1802</v>
      </c>
      <c r="D11184" s="7">
        <f>DATE(2003,10,25)</f>
        <v>37919</v>
      </c>
      <c r="E11184" s="8">
        <f t="shared" si="186"/>
        <v>2003</v>
      </c>
      <c r="F11184" t="s">
        <v>1803</v>
      </c>
      <c r="G11184" s="9">
        <v>28723</v>
      </c>
      <c r="H11184" s="8">
        <v>966</v>
      </c>
    </row>
    <row r="11185" spans="2:8" x14ac:dyDescent="0.4">
      <c r="B11185" t="s">
        <v>7</v>
      </c>
      <c r="C11185" t="s">
        <v>1802</v>
      </c>
      <c r="D11185" s="7">
        <f>DATE(2004,3,20)</f>
        <v>38066</v>
      </c>
      <c r="E11185" s="8">
        <f t="shared" si="186"/>
        <v>2004</v>
      </c>
      <c r="F11185" t="s">
        <v>1803</v>
      </c>
      <c r="G11185" s="9">
        <v>19287.7</v>
      </c>
      <c r="H11185" s="8">
        <v>1408</v>
      </c>
    </row>
    <row r="11186" spans="2:8" x14ac:dyDescent="0.4">
      <c r="B11186" t="s">
        <v>7</v>
      </c>
      <c r="C11186" t="s">
        <v>1802</v>
      </c>
      <c r="D11186" s="7">
        <f>DATE(2004,3,20)</f>
        <v>38066</v>
      </c>
      <c r="E11186" s="8">
        <f t="shared" si="186"/>
        <v>2004</v>
      </c>
      <c r="F11186" t="s">
        <v>1803</v>
      </c>
      <c r="G11186" s="9">
        <v>11000</v>
      </c>
      <c r="H11186" s="8">
        <v>1439</v>
      </c>
    </row>
    <row r="11187" spans="2:8" x14ac:dyDescent="0.4">
      <c r="B11187" t="s">
        <v>7</v>
      </c>
      <c r="C11187" t="s">
        <v>1802</v>
      </c>
      <c r="D11187" s="7">
        <f>DATE(2004,3,19)</f>
        <v>38065</v>
      </c>
      <c r="E11187" s="8">
        <f t="shared" si="186"/>
        <v>2004</v>
      </c>
      <c r="F11187" t="s">
        <v>1803</v>
      </c>
      <c r="G11187" s="9">
        <v>3961</v>
      </c>
      <c r="H11187" s="8">
        <v>1463</v>
      </c>
    </row>
    <row r="11188" spans="2:8" x14ac:dyDescent="0.4">
      <c r="B11188" t="s">
        <v>7</v>
      </c>
      <c r="C11188" t="s">
        <v>1802</v>
      </c>
      <c r="D11188" s="7">
        <f>DATE(2004,3,21)</f>
        <v>38067</v>
      </c>
      <c r="E11188" s="8">
        <f t="shared" si="186"/>
        <v>2004</v>
      </c>
      <c r="F11188" t="s">
        <v>1803</v>
      </c>
      <c r="G11188" s="9">
        <v>30202</v>
      </c>
      <c r="H11188" s="8">
        <v>1496</v>
      </c>
    </row>
    <row r="11189" spans="2:8" x14ac:dyDescent="0.4">
      <c r="B11189" t="s">
        <v>7</v>
      </c>
      <c r="C11189" t="s">
        <v>1802</v>
      </c>
      <c r="D11189" s="7">
        <f>DATE(2004,3,16)</f>
        <v>38062</v>
      </c>
      <c r="E11189" s="8">
        <f t="shared" si="186"/>
        <v>2004</v>
      </c>
      <c r="F11189" t="s">
        <v>1803</v>
      </c>
      <c r="G11189" s="9">
        <v>11685</v>
      </c>
      <c r="H11189" s="8">
        <v>1537</v>
      </c>
    </row>
    <row r="11190" spans="2:8" x14ac:dyDescent="0.4">
      <c r="B11190" t="s">
        <v>7</v>
      </c>
      <c r="C11190" t="s">
        <v>1802</v>
      </c>
      <c r="D11190" s="7">
        <f>DATE(2004,4,10)</f>
        <v>38087</v>
      </c>
      <c r="E11190" s="8">
        <f t="shared" si="186"/>
        <v>2004</v>
      </c>
      <c r="F11190" t="s">
        <v>1803</v>
      </c>
      <c r="G11190" s="9">
        <v>9707.4699999999993</v>
      </c>
      <c r="H11190" s="8">
        <v>1638</v>
      </c>
    </row>
    <row r="11191" spans="2:8" x14ac:dyDescent="0.4">
      <c r="B11191" t="s">
        <v>7</v>
      </c>
      <c r="C11191" t="s">
        <v>1802</v>
      </c>
      <c r="D11191" s="7">
        <f>DATE(2004,6,24)</f>
        <v>38162</v>
      </c>
      <c r="E11191" s="8">
        <f t="shared" si="186"/>
        <v>2004</v>
      </c>
      <c r="F11191" t="s">
        <v>1803</v>
      </c>
      <c r="G11191" s="9">
        <v>6945</v>
      </c>
      <c r="H11191" s="8">
        <v>1914</v>
      </c>
    </row>
    <row r="11192" spans="2:8" x14ac:dyDescent="0.4">
      <c r="B11192" t="s">
        <v>7</v>
      </c>
      <c r="C11192" t="s">
        <v>1802</v>
      </c>
      <c r="D11192" s="7">
        <f>DATE(2004,6,21)</f>
        <v>38159</v>
      </c>
      <c r="E11192" s="8">
        <f t="shared" si="186"/>
        <v>2004</v>
      </c>
      <c r="F11192" t="s">
        <v>1803</v>
      </c>
      <c r="G11192" s="9">
        <v>27628.2</v>
      </c>
      <c r="H11192" s="8">
        <v>1910</v>
      </c>
    </row>
    <row r="11193" spans="2:8" x14ac:dyDescent="0.4">
      <c r="B11193" t="s">
        <v>7</v>
      </c>
      <c r="C11193" t="s">
        <v>1802</v>
      </c>
      <c r="D11193" s="7">
        <f>DATE(2004,6,28)</f>
        <v>38166</v>
      </c>
      <c r="E11193" s="8">
        <f t="shared" si="186"/>
        <v>2004</v>
      </c>
      <c r="F11193" t="s">
        <v>1803</v>
      </c>
      <c r="G11193" s="9">
        <v>41517.800000000003</v>
      </c>
      <c r="H11193" s="8">
        <v>1870</v>
      </c>
    </row>
    <row r="11194" spans="2:8" x14ac:dyDescent="0.4">
      <c r="B11194" t="s">
        <v>7</v>
      </c>
      <c r="C11194" t="s">
        <v>1802</v>
      </c>
      <c r="D11194" s="7">
        <f>DATE(2004,7,8)</f>
        <v>38176</v>
      </c>
      <c r="E11194" s="8">
        <f t="shared" si="186"/>
        <v>2004</v>
      </c>
      <c r="F11194" t="s">
        <v>1803</v>
      </c>
      <c r="G11194" s="9">
        <v>8425.6299999999992</v>
      </c>
      <c r="H11194" s="8">
        <v>1948</v>
      </c>
    </row>
    <row r="11195" spans="2:8" x14ac:dyDescent="0.4">
      <c r="B11195" t="s">
        <v>7</v>
      </c>
      <c r="C11195" t="s">
        <v>1802</v>
      </c>
      <c r="D11195" s="7">
        <f>DATE(2004,11,13)</f>
        <v>38304</v>
      </c>
      <c r="E11195" s="8">
        <f t="shared" si="186"/>
        <v>2004</v>
      </c>
      <c r="F11195" t="s">
        <v>1803</v>
      </c>
      <c r="G11195" s="9">
        <v>28965.94</v>
      </c>
      <c r="H11195" s="8">
        <v>1937</v>
      </c>
    </row>
    <row r="11196" spans="2:8" x14ac:dyDescent="0.4">
      <c r="B11196" t="s">
        <v>7</v>
      </c>
      <c r="C11196" t="s">
        <v>1802</v>
      </c>
      <c r="D11196" s="7">
        <f>DATE(2004,11,12)</f>
        <v>38303</v>
      </c>
      <c r="E11196" s="8">
        <f t="shared" si="186"/>
        <v>2004</v>
      </c>
      <c r="F11196" t="s">
        <v>1803</v>
      </c>
      <c r="G11196" s="9">
        <v>1268.57</v>
      </c>
      <c r="H11196" s="8">
        <v>2073</v>
      </c>
    </row>
    <row r="11197" spans="2:8" x14ac:dyDescent="0.4">
      <c r="B11197" t="s">
        <v>7</v>
      </c>
      <c r="C11197" t="s">
        <v>1802</v>
      </c>
      <c r="D11197" s="7">
        <f>DATE(2005,1,28)</f>
        <v>38380</v>
      </c>
      <c r="E11197" s="8">
        <f t="shared" si="186"/>
        <v>2005</v>
      </c>
      <c r="F11197" t="s">
        <v>1803</v>
      </c>
      <c r="G11197" s="9">
        <v>22359</v>
      </c>
      <c r="H11197" s="8">
        <v>2494</v>
      </c>
    </row>
    <row r="11198" spans="2:8" x14ac:dyDescent="0.4">
      <c r="B11198" t="s">
        <v>7</v>
      </c>
      <c r="C11198" t="s">
        <v>1802</v>
      </c>
      <c r="D11198" s="7">
        <f>DATE(2005,1,25)</f>
        <v>38377</v>
      </c>
      <c r="E11198" s="8">
        <f t="shared" si="186"/>
        <v>2005</v>
      </c>
      <c r="F11198" t="s">
        <v>1803</v>
      </c>
      <c r="G11198" s="9">
        <v>17092.86</v>
      </c>
      <c r="H11198" s="8">
        <v>2495</v>
      </c>
    </row>
    <row r="11199" spans="2:8" x14ac:dyDescent="0.4">
      <c r="B11199" t="s">
        <v>7</v>
      </c>
      <c r="C11199" t="s">
        <v>1802</v>
      </c>
      <c r="D11199" s="7">
        <f>DATE(2005,1,25)</f>
        <v>38377</v>
      </c>
      <c r="E11199" s="8">
        <f t="shared" si="186"/>
        <v>2005</v>
      </c>
      <c r="F11199" t="s">
        <v>1803</v>
      </c>
      <c r="G11199" s="9">
        <v>3852</v>
      </c>
      <c r="H11199" s="8">
        <v>2490</v>
      </c>
    </row>
    <row r="11200" spans="2:8" x14ac:dyDescent="0.4">
      <c r="B11200" t="s">
        <v>7</v>
      </c>
      <c r="C11200" t="s">
        <v>1802</v>
      </c>
      <c r="D11200" s="7">
        <f>DATE(2005,1,23)</f>
        <v>38375</v>
      </c>
      <c r="E11200" s="8">
        <f t="shared" si="186"/>
        <v>2005</v>
      </c>
      <c r="F11200" t="s">
        <v>1803</v>
      </c>
      <c r="G11200" s="9">
        <v>17092.86</v>
      </c>
      <c r="H11200" s="8">
        <v>3129</v>
      </c>
    </row>
    <row r="11201" spans="2:8" x14ac:dyDescent="0.4">
      <c r="B11201" t="s">
        <v>7</v>
      </c>
      <c r="C11201" t="s">
        <v>1802</v>
      </c>
      <c r="D11201" s="7">
        <f>DATE(2005,1,23)</f>
        <v>38375</v>
      </c>
      <c r="E11201" s="8">
        <f t="shared" si="186"/>
        <v>2005</v>
      </c>
      <c r="F11201" t="s">
        <v>1803</v>
      </c>
      <c r="G11201" s="9">
        <v>3852</v>
      </c>
      <c r="H11201" s="8">
        <v>3130</v>
      </c>
    </row>
    <row r="11202" spans="2:8" x14ac:dyDescent="0.4">
      <c r="B11202" t="s">
        <v>7</v>
      </c>
      <c r="C11202" t="s">
        <v>1802</v>
      </c>
      <c r="D11202" s="7">
        <f>DATE(2005,5,4)</f>
        <v>38476</v>
      </c>
      <c r="E11202" s="8">
        <f t="shared" si="186"/>
        <v>2005</v>
      </c>
      <c r="F11202" t="s">
        <v>1803</v>
      </c>
      <c r="G11202" s="9">
        <v>18122</v>
      </c>
      <c r="H11202" s="8">
        <v>3133</v>
      </c>
    </row>
    <row r="11203" spans="2:8" x14ac:dyDescent="0.4">
      <c r="B11203" t="s">
        <v>7</v>
      </c>
      <c r="C11203" t="s">
        <v>1802</v>
      </c>
      <c r="D11203" s="7">
        <f>DATE(2005,8,30)</f>
        <v>38594</v>
      </c>
      <c r="E11203" s="8">
        <f t="shared" ref="E11203:E11266" si="187">YEAR(D11203)</f>
        <v>2005</v>
      </c>
      <c r="F11203" t="s">
        <v>1803</v>
      </c>
      <c r="G11203" s="9">
        <v>19344.900000000001</v>
      </c>
      <c r="H11203" s="8">
        <v>3523</v>
      </c>
    </row>
    <row r="11204" spans="2:8" x14ac:dyDescent="0.4">
      <c r="B11204" t="s">
        <v>7</v>
      </c>
      <c r="C11204" t="s">
        <v>1802</v>
      </c>
      <c r="D11204" s="7">
        <f>DATE(2005,8,30)</f>
        <v>38594</v>
      </c>
      <c r="E11204" s="8">
        <f t="shared" si="187"/>
        <v>2005</v>
      </c>
      <c r="F11204" t="s">
        <v>1803</v>
      </c>
      <c r="G11204" s="9">
        <v>38440.6</v>
      </c>
      <c r="H11204" s="8">
        <v>3533</v>
      </c>
    </row>
    <row r="11205" spans="2:8" x14ac:dyDescent="0.4">
      <c r="B11205" t="s">
        <v>7</v>
      </c>
      <c r="C11205" t="s">
        <v>1802</v>
      </c>
      <c r="D11205" s="7">
        <f>DATE(2006,3,15)</f>
        <v>38791</v>
      </c>
      <c r="E11205" s="8">
        <f t="shared" si="187"/>
        <v>2006</v>
      </c>
      <c r="F11205" t="s">
        <v>1803</v>
      </c>
      <c r="G11205" s="9">
        <v>24500</v>
      </c>
      <c r="H11205" s="8">
        <v>4305</v>
      </c>
    </row>
    <row r="11206" spans="2:8" x14ac:dyDescent="0.4">
      <c r="B11206" t="s">
        <v>7</v>
      </c>
      <c r="C11206" t="s">
        <v>1802</v>
      </c>
      <c r="D11206" s="7">
        <f>DATE(2006,4,28)</f>
        <v>38835</v>
      </c>
      <c r="E11206" s="8">
        <f t="shared" si="187"/>
        <v>2006</v>
      </c>
      <c r="F11206" t="s">
        <v>1803</v>
      </c>
      <c r="G11206" s="9">
        <v>14453.84</v>
      </c>
      <c r="H11206" s="8">
        <v>4419</v>
      </c>
    </row>
    <row r="11207" spans="2:8" x14ac:dyDescent="0.4">
      <c r="B11207" t="s">
        <v>7</v>
      </c>
      <c r="C11207" t="s">
        <v>1802</v>
      </c>
      <c r="D11207" s="7">
        <f>DATE(2006,4,26)</f>
        <v>38833</v>
      </c>
      <c r="E11207" s="8">
        <f t="shared" si="187"/>
        <v>2006</v>
      </c>
      <c r="F11207" t="s">
        <v>1803</v>
      </c>
      <c r="G11207" s="9">
        <v>13082.4</v>
      </c>
      <c r="H11207" s="8">
        <v>4523</v>
      </c>
    </row>
    <row r="11208" spans="2:8" x14ac:dyDescent="0.4">
      <c r="B11208" t="s">
        <v>7</v>
      </c>
      <c r="C11208" t="s">
        <v>1802</v>
      </c>
      <c r="D11208" s="7">
        <f>DATE(2006,7,14)</f>
        <v>38912</v>
      </c>
      <c r="E11208" s="8">
        <f t="shared" si="187"/>
        <v>2006</v>
      </c>
      <c r="F11208" t="s">
        <v>1803</v>
      </c>
      <c r="G11208" s="9">
        <v>11260.43</v>
      </c>
      <c r="H11208" s="8">
        <v>4768</v>
      </c>
    </row>
    <row r="11209" spans="2:8" x14ac:dyDescent="0.4">
      <c r="B11209" t="s">
        <v>7</v>
      </c>
      <c r="C11209" t="s">
        <v>1802</v>
      </c>
      <c r="D11209" s="7">
        <f>DATE(2006,7,21)</f>
        <v>38919</v>
      </c>
      <c r="E11209" s="8">
        <f t="shared" si="187"/>
        <v>2006</v>
      </c>
      <c r="F11209" t="s">
        <v>1803</v>
      </c>
      <c r="G11209" s="9">
        <v>3545.98</v>
      </c>
      <c r="H11209" s="8">
        <v>4812</v>
      </c>
    </row>
    <row r="11210" spans="2:8" x14ac:dyDescent="0.4">
      <c r="B11210" t="s">
        <v>7</v>
      </c>
      <c r="C11210" t="s">
        <v>1802</v>
      </c>
      <c r="D11210" s="7">
        <f>DATE(2006,8,26)</f>
        <v>38955</v>
      </c>
      <c r="E11210" s="8">
        <f t="shared" si="187"/>
        <v>2006</v>
      </c>
      <c r="F11210" t="s">
        <v>1803</v>
      </c>
      <c r="G11210" s="9">
        <v>29343.200000000001</v>
      </c>
      <c r="H11210" s="8">
        <v>4937</v>
      </c>
    </row>
    <row r="11211" spans="2:8" x14ac:dyDescent="0.4">
      <c r="B11211" t="s">
        <v>7</v>
      </c>
      <c r="C11211" t="s">
        <v>1802</v>
      </c>
      <c r="D11211" s="7">
        <f>DATE(2006,8,21)</f>
        <v>38950</v>
      </c>
      <c r="E11211" s="8">
        <f t="shared" si="187"/>
        <v>2006</v>
      </c>
      <c r="F11211" t="s">
        <v>1803</v>
      </c>
      <c r="G11211" s="9">
        <v>37261.769999999997</v>
      </c>
      <c r="H11211" s="8">
        <v>4919</v>
      </c>
    </row>
    <row r="11212" spans="2:8" x14ac:dyDescent="0.4">
      <c r="B11212" t="s">
        <v>7</v>
      </c>
      <c r="C11212" t="s">
        <v>1802</v>
      </c>
      <c r="D11212" s="7">
        <f>DATE(2007,3,1)</f>
        <v>39142</v>
      </c>
      <c r="E11212" s="8">
        <f t="shared" si="187"/>
        <v>2007</v>
      </c>
      <c r="F11212" t="s">
        <v>1803</v>
      </c>
      <c r="G11212" s="9">
        <v>35571.660000000003</v>
      </c>
      <c r="H11212" s="8">
        <v>5622</v>
      </c>
    </row>
    <row r="11213" spans="2:8" x14ac:dyDescent="0.4">
      <c r="B11213" t="s">
        <v>7</v>
      </c>
      <c r="C11213" t="s">
        <v>1802</v>
      </c>
      <c r="D11213" s="7">
        <f>DATE(2007,3,12)</f>
        <v>39153</v>
      </c>
      <c r="E11213" s="8">
        <f t="shared" si="187"/>
        <v>2007</v>
      </c>
      <c r="F11213" t="s">
        <v>1803</v>
      </c>
      <c r="G11213" s="9">
        <v>18763.87</v>
      </c>
      <c r="H11213" s="8">
        <v>5692</v>
      </c>
    </row>
    <row r="11214" spans="2:8" x14ac:dyDescent="0.4">
      <c r="B11214" t="s">
        <v>7</v>
      </c>
      <c r="C11214" t="s">
        <v>1802</v>
      </c>
      <c r="D11214" s="7">
        <f>DATE(2007,3,30)</f>
        <v>39171</v>
      </c>
      <c r="E11214" s="8">
        <f t="shared" si="187"/>
        <v>2007</v>
      </c>
      <c r="F11214" t="s">
        <v>1803</v>
      </c>
      <c r="G11214" s="9">
        <v>12357.62</v>
      </c>
      <c r="H11214" s="8">
        <v>5795</v>
      </c>
    </row>
    <row r="11215" spans="2:8" x14ac:dyDescent="0.4">
      <c r="B11215" t="s">
        <v>7</v>
      </c>
      <c r="C11215" t="s">
        <v>1802</v>
      </c>
      <c r="D11215" s="7">
        <f>DATE(2007,5,1)</f>
        <v>39203</v>
      </c>
      <c r="E11215" s="8">
        <f t="shared" si="187"/>
        <v>2007</v>
      </c>
      <c r="F11215" t="s">
        <v>1803</v>
      </c>
      <c r="G11215" s="9">
        <v>30120.82</v>
      </c>
      <c r="H11215" s="8">
        <v>5925</v>
      </c>
    </row>
    <row r="11216" spans="2:8" x14ac:dyDescent="0.4">
      <c r="B11216" t="s">
        <v>7</v>
      </c>
      <c r="C11216" t="s">
        <v>1802</v>
      </c>
      <c r="D11216" s="7">
        <f>DATE(2007,5,26)</f>
        <v>39228</v>
      </c>
      <c r="E11216" s="8">
        <f t="shared" si="187"/>
        <v>2007</v>
      </c>
      <c r="F11216" t="s">
        <v>1803</v>
      </c>
      <c r="G11216" s="9">
        <v>45147.79</v>
      </c>
      <c r="H11216" s="8">
        <v>6012</v>
      </c>
    </row>
    <row r="11217" spans="2:8" x14ac:dyDescent="0.4">
      <c r="B11217" t="s">
        <v>7</v>
      </c>
      <c r="C11217" t="s">
        <v>1802</v>
      </c>
      <c r="D11217" s="7">
        <f>DATE(2007,6,10)</f>
        <v>39243</v>
      </c>
      <c r="E11217" s="8">
        <f t="shared" si="187"/>
        <v>2007</v>
      </c>
      <c r="F11217" t="s">
        <v>1803</v>
      </c>
      <c r="G11217" s="9">
        <v>51874.05</v>
      </c>
      <c r="H11217" s="8">
        <v>5790</v>
      </c>
    </row>
    <row r="11218" spans="2:8" x14ac:dyDescent="0.4">
      <c r="B11218" t="s">
        <v>7</v>
      </c>
      <c r="C11218" t="s">
        <v>1802</v>
      </c>
      <c r="D11218" s="7">
        <f>DATE(2007,7,29)</f>
        <v>39292</v>
      </c>
      <c r="E11218" s="8">
        <f t="shared" si="187"/>
        <v>2007</v>
      </c>
      <c r="F11218" t="s">
        <v>1803</v>
      </c>
      <c r="G11218" s="9">
        <v>24945.4</v>
      </c>
      <c r="H11218" s="8">
        <v>6155</v>
      </c>
    </row>
    <row r="11219" spans="2:8" x14ac:dyDescent="0.4">
      <c r="B11219" t="s">
        <v>7</v>
      </c>
      <c r="C11219" t="s">
        <v>1802</v>
      </c>
      <c r="D11219" s="7">
        <f>DATE(2007,9,27)</f>
        <v>39352</v>
      </c>
      <c r="E11219" s="8">
        <f t="shared" si="187"/>
        <v>2007</v>
      </c>
      <c r="F11219" t="s">
        <v>1803</v>
      </c>
      <c r="G11219" s="9">
        <v>15445</v>
      </c>
      <c r="H11219" s="8">
        <v>6334</v>
      </c>
    </row>
    <row r="11220" spans="2:8" x14ac:dyDescent="0.4">
      <c r="B11220" t="s">
        <v>7</v>
      </c>
      <c r="C11220" t="s">
        <v>1802</v>
      </c>
      <c r="D11220" s="7">
        <f>DATE(2007,10,21)</f>
        <v>39376</v>
      </c>
      <c r="E11220" s="8">
        <f t="shared" si="187"/>
        <v>2007</v>
      </c>
      <c r="F11220" t="s">
        <v>1803</v>
      </c>
      <c r="G11220" s="9">
        <v>11425.19</v>
      </c>
      <c r="H11220" s="8">
        <v>6493</v>
      </c>
    </row>
    <row r="11221" spans="2:8" x14ac:dyDescent="0.4">
      <c r="B11221" t="s">
        <v>7</v>
      </c>
      <c r="C11221" t="s">
        <v>1802</v>
      </c>
      <c r="D11221" s="7">
        <f>DATE(2007,10,21)</f>
        <v>39376</v>
      </c>
      <c r="E11221" s="8">
        <f t="shared" si="187"/>
        <v>2007</v>
      </c>
      <c r="F11221" t="s">
        <v>1803</v>
      </c>
      <c r="G11221" s="9">
        <v>9483.19</v>
      </c>
      <c r="H11221" s="8">
        <v>6614</v>
      </c>
    </row>
    <row r="11222" spans="2:8" x14ac:dyDescent="0.4">
      <c r="B11222" t="s">
        <v>7</v>
      </c>
      <c r="C11222" t="s">
        <v>1802</v>
      </c>
      <c r="D11222" s="7">
        <f>DATE(2007,11,29)</f>
        <v>39415</v>
      </c>
      <c r="E11222" s="8">
        <f t="shared" si="187"/>
        <v>2007</v>
      </c>
      <c r="F11222" t="s">
        <v>1803</v>
      </c>
      <c r="G11222" s="9">
        <v>26727.77</v>
      </c>
      <c r="H11222" s="8">
        <v>6612</v>
      </c>
    </row>
    <row r="11223" spans="2:8" x14ac:dyDescent="0.4">
      <c r="B11223" t="s">
        <v>7</v>
      </c>
      <c r="C11223" t="s">
        <v>1802</v>
      </c>
      <c r="D11223" s="7">
        <f>DATE(2007,12,8)</f>
        <v>39424</v>
      </c>
      <c r="E11223" s="8">
        <f t="shared" si="187"/>
        <v>2007</v>
      </c>
      <c r="F11223" t="s">
        <v>1803</v>
      </c>
      <c r="G11223" s="9">
        <v>9454.69</v>
      </c>
      <c r="H11223" s="8">
        <v>6652</v>
      </c>
    </row>
    <row r="11224" spans="2:8" x14ac:dyDescent="0.4">
      <c r="B11224" t="s">
        <v>7</v>
      </c>
      <c r="C11224" t="s">
        <v>1802</v>
      </c>
      <c r="D11224" s="7">
        <f>DATE(2007,12,16)</f>
        <v>39432</v>
      </c>
      <c r="E11224" s="8">
        <f t="shared" si="187"/>
        <v>2007</v>
      </c>
      <c r="F11224" t="s">
        <v>1803</v>
      </c>
      <c r="G11224" s="9">
        <v>25095.71</v>
      </c>
      <c r="H11224" s="8">
        <v>6682</v>
      </c>
    </row>
    <row r="11225" spans="2:8" x14ac:dyDescent="0.4">
      <c r="B11225" t="s">
        <v>7</v>
      </c>
      <c r="C11225" t="s">
        <v>1802</v>
      </c>
      <c r="D11225" s="7">
        <f>DATE(2008,3,8)</f>
        <v>39515</v>
      </c>
      <c r="E11225" s="8">
        <f t="shared" si="187"/>
        <v>2008</v>
      </c>
      <c r="F11225" t="s">
        <v>1803</v>
      </c>
      <c r="G11225" s="9">
        <v>4536.87</v>
      </c>
      <c r="H11225" s="8">
        <v>7168</v>
      </c>
    </row>
    <row r="11226" spans="2:8" x14ac:dyDescent="0.4">
      <c r="B11226" t="s">
        <v>7</v>
      </c>
      <c r="C11226" t="s">
        <v>1802</v>
      </c>
      <c r="D11226" s="7">
        <f>DATE(2008,3,20)</f>
        <v>39527</v>
      </c>
      <c r="E11226" s="8">
        <f t="shared" si="187"/>
        <v>2008</v>
      </c>
      <c r="F11226" t="s">
        <v>1803</v>
      </c>
      <c r="G11226" s="9">
        <v>23766.77</v>
      </c>
      <c r="H11226" s="8">
        <v>7106</v>
      </c>
    </row>
    <row r="11227" spans="2:8" x14ac:dyDescent="0.4">
      <c r="B11227" t="s">
        <v>7</v>
      </c>
      <c r="C11227" t="s">
        <v>1802</v>
      </c>
      <c r="D11227" s="7">
        <f>DATE(2008,4,21)</f>
        <v>39559</v>
      </c>
      <c r="E11227" s="8">
        <f t="shared" si="187"/>
        <v>2008</v>
      </c>
      <c r="F11227" t="s">
        <v>1803</v>
      </c>
      <c r="G11227" s="9">
        <v>53993.74</v>
      </c>
      <c r="H11227" s="8">
        <v>6891</v>
      </c>
    </row>
    <row r="11228" spans="2:8" x14ac:dyDescent="0.4">
      <c r="B11228" t="s">
        <v>7</v>
      </c>
      <c r="C11228" t="s">
        <v>1802</v>
      </c>
      <c r="D11228" s="7">
        <f>DATE(2008,5,19)</f>
        <v>39587</v>
      </c>
      <c r="E11228" s="8">
        <f t="shared" si="187"/>
        <v>2008</v>
      </c>
      <c r="F11228" t="s">
        <v>1803</v>
      </c>
      <c r="G11228" s="9">
        <v>46754.26</v>
      </c>
      <c r="H11228" s="8">
        <v>7191</v>
      </c>
    </row>
    <row r="11229" spans="2:8" x14ac:dyDescent="0.4">
      <c r="B11229" t="s">
        <v>7</v>
      </c>
      <c r="C11229" t="s">
        <v>1802</v>
      </c>
      <c r="D11229" s="7">
        <f>DATE(2009,2,20)</f>
        <v>39864</v>
      </c>
      <c r="E11229" s="8">
        <f t="shared" si="187"/>
        <v>2009</v>
      </c>
      <c r="F11229" t="s">
        <v>1803</v>
      </c>
      <c r="G11229" s="9">
        <v>52070.66</v>
      </c>
      <c r="H11229" s="8">
        <v>8374</v>
      </c>
    </row>
    <row r="11230" spans="2:8" x14ac:dyDescent="0.4">
      <c r="B11230" t="s">
        <v>7</v>
      </c>
      <c r="C11230" t="s">
        <v>1802</v>
      </c>
      <c r="D11230" s="7">
        <f>DATE(2009,4,8)</f>
        <v>39911</v>
      </c>
      <c r="E11230" s="8">
        <f t="shared" si="187"/>
        <v>2009</v>
      </c>
      <c r="F11230" t="s">
        <v>1803</v>
      </c>
      <c r="G11230" s="9">
        <v>61335.77</v>
      </c>
      <c r="H11230" s="8">
        <v>8489</v>
      </c>
    </row>
    <row r="11231" spans="2:8" x14ac:dyDescent="0.4">
      <c r="B11231" t="s">
        <v>7</v>
      </c>
      <c r="C11231" t="s">
        <v>1802</v>
      </c>
      <c r="D11231" s="7">
        <f>DATE(2009,9,10)</f>
        <v>40066</v>
      </c>
      <c r="E11231" s="8">
        <f t="shared" si="187"/>
        <v>2009</v>
      </c>
      <c r="F11231" t="s">
        <v>1803</v>
      </c>
      <c r="G11231" s="9">
        <v>10205.69</v>
      </c>
      <c r="H11231" s="8">
        <v>8983</v>
      </c>
    </row>
    <row r="11232" spans="2:8" x14ac:dyDescent="0.4">
      <c r="B11232" t="s">
        <v>16</v>
      </c>
      <c r="C11232" t="s">
        <v>1802</v>
      </c>
      <c r="D11232" s="7">
        <f>DATE(2005,1,23)</f>
        <v>38375</v>
      </c>
      <c r="E11232" s="8">
        <f t="shared" si="187"/>
        <v>2005</v>
      </c>
      <c r="F11232" t="s">
        <v>1803</v>
      </c>
      <c r="G11232" s="9">
        <v>3852</v>
      </c>
      <c r="H11232" s="8">
        <v>3001</v>
      </c>
    </row>
    <row r="11233" spans="2:8" x14ac:dyDescent="0.4">
      <c r="B11233" t="s">
        <v>16</v>
      </c>
      <c r="C11233" t="s">
        <v>1802</v>
      </c>
      <c r="D11233" s="7">
        <f>DATE(2005,1,23)</f>
        <v>38375</v>
      </c>
      <c r="E11233" s="8">
        <f t="shared" si="187"/>
        <v>2005</v>
      </c>
      <c r="F11233" t="s">
        <v>1803</v>
      </c>
      <c r="G11233" s="9">
        <v>17092.86</v>
      </c>
      <c r="H11233" s="8">
        <v>3127</v>
      </c>
    </row>
    <row r="11234" spans="2:8" x14ac:dyDescent="0.4">
      <c r="B11234" t="s">
        <v>16</v>
      </c>
      <c r="C11234" t="s">
        <v>1802</v>
      </c>
      <c r="D11234" s="7">
        <f>DATE(2007,10,21)</f>
        <v>39376</v>
      </c>
      <c r="E11234" s="8">
        <f t="shared" si="187"/>
        <v>2007</v>
      </c>
      <c r="F11234" t="s">
        <v>1803</v>
      </c>
      <c r="G11234" s="9">
        <v>11425.19</v>
      </c>
      <c r="H11234" s="8">
        <v>6609</v>
      </c>
    </row>
    <row r="11235" spans="2:8" x14ac:dyDescent="0.4">
      <c r="B11235" s="3" t="s">
        <v>7</v>
      </c>
      <c r="C11235" s="3" t="s">
        <v>1802</v>
      </c>
      <c r="D11235" s="4">
        <f>DATE(2003,2,25)</f>
        <v>37677</v>
      </c>
      <c r="E11235" s="5">
        <f t="shared" si="187"/>
        <v>2003</v>
      </c>
      <c r="F11235" s="3" t="s">
        <v>1803</v>
      </c>
      <c r="G11235" s="6">
        <v>224.78</v>
      </c>
      <c r="H11235" s="5">
        <v>392</v>
      </c>
    </row>
    <row r="11236" spans="2:8" x14ac:dyDescent="0.4">
      <c r="B11236" s="3" t="s">
        <v>7</v>
      </c>
      <c r="C11236" s="3" t="s">
        <v>1802</v>
      </c>
      <c r="D11236" s="4">
        <f>DATE(2003,4,4)</f>
        <v>37715</v>
      </c>
      <c r="E11236" s="5">
        <f t="shared" si="187"/>
        <v>2003</v>
      </c>
      <c r="F11236" s="3" t="s">
        <v>1803</v>
      </c>
      <c r="G11236" s="6">
        <v>823.25</v>
      </c>
      <c r="H11236" s="5">
        <v>708</v>
      </c>
    </row>
    <row r="11237" spans="2:8" x14ac:dyDescent="0.4">
      <c r="B11237" s="3" t="s">
        <v>7</v>
      </c>
      <c r="C11237" s="3" t="s">
        <v>1802</v>
      </c>
      <c r="D11237" s="4">
        <f>DATE(2003,8,6)</f>
        <v>37839</v>
      </c>
      <c r="E11237" s="5">
        <f t="shared" si="187"/>
        <v>2003</v>
      </c>
      <c r="F11237" s="3" t="s">
        <v>1803</v>
      </c>
      <c r="G11237" s="6">
        <v>1593.25</v>
      </c>
      <c r="H11237" s="5">
        <v>1320</v>
      </c>
    </row>
    <row r="11238" spans="2:8" x14ac:dyDescent="0.4">
      <c r="B11238" s="3" t="s">
        <v>7</v>
      </c>
      <c r="C11238" s="3" t="s">
        <v>1802</v>
      </c>
      <c r="D11238" s="4">
        <f>DATE(2006,8,17)</f>
        <v>38946</v>
      </c>
      <c r="E11238" s="5">
        <f t="shared" si="187"/>
        <v>2006</v>
      </c>
      <c r="F11238" s="3" t="s">
        <v>1803</v>
      </c>
      <c r="G11238" s="6">
        <v>7600</v>
      </c>
      <c r="H11238" s="5">
        <v>7117</v>
      </c>
    </row>
    <row r="11239" spans="2:8" x14ac:dyDescent="0.4">
      <c r="B11239" t="s">
        <v>7</v>
      </c>
      <c r="C11239" t="s">
        <v>1802</v>
      </c>
      <c r="D11239" s="7">
        <f>DATE(2003,2,23)</f>
        <v>37675</v>
      </c>
      <c r="E11239" s="8">
        <f t="shared" si="187"/>
        <v>2003</v>
      </c>
      <c r="F11239" t="s">
        <v>1804</v>
      </c>
      <c r="G11239" s="9">
        <v>33930.17</v>
      </c>
      <c r="H11239" s="8">
        <v>124</v>
      </c>
    </row>
    <row r="11240" spans="2:8" x14ac:dyDescent="0.4">
      <c r="B11240" t="s">
        <v>7</v>
      </c>
      <c r="C11240" t="s">
        <v>1802</v>
      </c>
      <c r="D11240" s="7">
        <f>DATE(2003,3,27)</f>
        <v>37707</v>
      </c>
      <c r="E11240" s="8">
        <f t="shared" si="187"/>
        <v>2003</v>
      </c>
      <c r="F11240" t="s">
        <v>1804</v>
      </c>
      <c r="G11240" s="9">
        <v>77796.59</v>
      </c>
      <c r="H11240" s="8">
        <v>178</v>
      </c>
    </row>
    <row r="11241" spans="2:8" x14ac:dyDescent="0.4">
      <c r="B11241" t="s">
        <v>7</v>
      </c>
      <c r="C11241" t="s">
        <v>1802</v>
      </c>
      <c r="D11241" s="7">
        <f>DATE(2003,3,27)</f>
        <v>37707</v>
      </c>
      <c r="E11241" s="8">
        <f t="shared" si="187"/>
        <v>2003</v>
      </c>
      <c r="F11241" t="s">
        <v>1804</v>
      </c>
      <c r="G11241" s="9">
        <v>6741.63</v>
      </c>
      <c r="H11241" s="8">
        <v>177</v>
      </c>
    </row>
    <row r="11242" spans="2:8" x14ac:dyDescent="0.4">
      <c r="B11242" t="s">
        <v>7</v>
      </c>
      <c r="C11242" t="s">
        <v>1802</v>
      </c>
      <c r="D11242" s="7">
        <f>DATE(2003,12,19)</f>
        <v>37974</v>
      </c>
      <c r="E11242" s="8">
        <f t="shared" si="187"/>
        <v>2003</v>
      </c>
      <c r="F11242" t="s">
        <v>1804</v>
      </c>
      <c r="G11242" s="9">
        <v>54921.65</v>
      </c>
      <c r="H11242" s="8">
        <v>976</v>
      </c>
    </row>
    <row r="11243" spans="2:8" x14ac:dyDescent="0.4">
      <c r="B11243" t="s">
        <v>7</v>
      </c>
      <c r="C11243" t="s">
        <v>1802</v>
      </c>
      <c r="D11243" s="7">
        <f>DATE(2003,12,19)</f>
        <v>37974</v>
      </c>
      <c r="E11243" s="8">
        <f t="shared" si="187"/>
        <v>2003</v>
      </c>
      <c r="F11243" t="s">
        <v>1804</v>
      </c>
      <c r="G11243" s="9">
        <v>1182</v>
      </c>
      <c r="H11243" s="8">
        <v>1048</v>
      </c>
    </row>
    <row r="11244" spans="2:8" x14ac:dyDescent="0.4">
      <c r="B11244" t="s">
        <v>7</v>
      </c>
      <c r="C11244" t="s">
        <v>1802</v>
      </c>
      <c r="D11244" s="7">
        <f>DATE(2003,12,19)</f>
        <v>37974</v>
      </c>
      <c r="E11244" s="8">
        <f t="shared" si="187"/>
        <v>2003</v>
      </c>
      <c r="F11244" t="s">
        <v>1804</v>
      </c>
      <c r="G11244" s="9">
        <v>25969.5</v>
      </c>
      <c r="H11244" s="8">
        <v>990</v>
      </c>
    </row>
    <row r="11245" spans="2:8" x14ac:dyDescent="0.4">
      <c r="B11245" t="s">
        <v>7</v>
      </c>
      <c r="C11245" t="s">
        <v>1802</v>
      </c>
      <c r="D11245" s="7">
        <f>DATE(2003,12,19)</f>
        <v>37974</v>
      </c>
      <c r="E11245" s="8">
        <f t="shared" si="187"/>
        <v>2003</v>
      </c>
      <c r="F11245" t="s">
        <v>1804</v>
      </c>
      <c r="G11245" s="9">
        <v>9254.4500000000007</v>
      </c>
      <c r="H11245" s="8">
        <v>1095</v>
      </c>
    </row>
    <row r="11246" spans="2:8" x14ac:dyDescent="0.4">
      <c r="B11246" t="s">
        <v>7</v>
      </c>
      <c r="C11246" t="s">
        <v>1802</v>
      </c>
      <c r="D11246" s="7">
        <f>DATE(2003,12,19)</f>
        <v>37974</v>
      </c>
      <c r="E11246" s="8">
        <f t="shared" si="187"/>
        <v>2003</v>
      </c>
      <c r="F11246" t="s">
        <v>1804</v>
      </c>
      <c r="G11246" s="9">
        <v>7523.31</v>
      </c>
      <c r="H11246" s="8">
        <v>1097</v>
      </c>
    </row>
    <row r="11247" spans="2:8" x14ac:dyDescent="0.4">
      <c r="B11247" t="s">
        <v>7</v>
      </c>
      <c r="C11247" t="s">
        <v>1802</v>
      </c>
      <c r="D11247" s="7">
        <f>DATE(2004,5,31)</f>
        <v>38138</v>
      </c>
      <c r="E11247" s="8">
        <f t="shared" si="187"/>
        <v>2004</v>
      </c>
      <c r="F11247" t="s">
        <v>1804</v>
      </c>
      <c r="G11247" s="9">
        <v>36046.800000000003</v>
      </c>
      <c r="H11247" s="8">
        <v>1799</v>
      </c>
    </row>
    <row r="11248" spans="2:8" x14ac:dyDescent="0.4">
      <c r="B11248" t="s">
        <v>7</v>
      </c>
      <c r="C11248" t="s">
        <v>1802</v>
      </c>
      <c r="D11248" s="7">
        <f>DATE(2004,5,31)</f>
        <v>38138</v>
      </c>
      <c r="E11248" s="8">
        <f t="shared" si="187"/>
        <v>2004</v>
      </c>
      <c r="F11248" t="s">
        <v>1804</v>
      </c>
      <c r="G11248" s="9">
        <v>36275.75</v>
      </c>
      <c r="H11248" s="8">
        <v>1832</v>
      </c>
    </row>
    <row r="11249" spans="2:8" x14ac:dyDescent="0.4">
      <c r="B11249" t="s">
        <v>7</v>
      </c>
      <c r="C11249" t="s">
        <v>1802</v>
      </c>
      <c r="D11249" s="7">
        <f>DATE(2004,11,30)</f>
        <v>38321</v>
      </c>
      <c r="E11249" s="8">
        <f t="shared" si="187"/>
        <v>2004</v>
      </c>
      <c r="F11249" t="s">
        <v>1804</v>
      </c>
      <c r="G11249" s="9">
        <v>32961.269999999997</v>
      </c>
      <c r="H11249" s="8">
        <v>2403</v>
      </c>
    </row>
    <row r="11250" spans="2:8" x14ac:dyDescent="0.4">
      <c r="B11250" t="s">
        <v>7</v>
      </c>
      <c r="C11250" t="s">
        <v>1802</v>
      </c>
      <c r="D11250" s="7">
        <f>DATE(2005,5,30)</f>
        <v>38502</v>
      </c>
      <c r="E11250" s="8">
        <f t="shared" si="187"/>
        <v>2005</v>
      </c>
      <c r="F11250" t="s">
        <v>1804</v>
      </c>
      <c r="G11250" s="9">
        <v>36046.800000000003</v>
      </c>
      <c r="H11250" s="8">
        <v>3211</v>
      </c>
    </row>
    <row r="11251" spans="2:8" x14ac:dyDescent="0.4">
      <c r="B11251" t="s">
        <v>7</v>
      </c>
      <c r="C11251" t="s">
        <v>1802</v>
      </c>
      <c r="D11251" s="7">
        <f>DATE(2005,6,8)</f>
        <v>38511</v>
      </c>
      <c r="E11251" s="8">
        <f t="shared" si="187"/>
        <v>2005</v>
      </c>
      <c r="F11251" t="s">
        <v>1804</v>
      </c>
      <c r="G11251" s="9">
        <v>12700</v>
      </c>
      <c r="H11251" s="8">
        <v>3256</v>
      </c>
    </row>
    <row r="11252" spans="2:8" x14ac:dyDescent="0.4">
      <c r="B11252" t="s">
        <v>7</v>
      </c>
      <c r="C11252" t="s">
        <v>1802</v>
      </c>
      <c r="D11252" s="7">
        <f>DATE(2005,6,29)</f>
        <v>38532</v>
      </c>
      <c r="E11252" s="8">
        <f t="shared" si="187"/>
        <v>2005</v>
      </c>
      <c r="F11252" t="s">
        <v>1804</v>
      </c>
      <c r="G11252" s="9">
        <v>8359.35</v>
      </c>
      <c r="H11252" s="8">
        <v>3326</v>
      </c>
    </row>
    <row r="11253" spans="2:8" x14ac:dyDescent="0.4">
      <c r="B11253" t="s">
        <v>7</v>
      </c>
      <c r="C11253" t="s">
        <v>1802</v>
      </c>
      <c r="D11253" s="7">
        <f>DATE(2005,11,6)</f>
        <v>38662</v>
      </c>
      <c r="E11253" s="8">
        <f t="shared" si="187"/>
        <v>2005</v>
      </c>
      <c r="F11253" t="s">
        <v>1804</v>
      </c>
      <c r="G11253" s="9">
        <v>30517</v>
      </c>
      <c r="H11253" s="8">
        <v>3702</v>
      </c>
    </row>
    <row r="11254" spans="2:8" x14ac:dyDescent="0.4">
      <c r="B11254" t="s">
        <v>7</v>
      </c>
      <c r="C11254" t="s">
        <v>1802</v>
      </c>
      <c r="D11254" s="7">
        <f>DATE(2006,9,20)</f>
        <v>38980</v>
      </c>
      <c r="E11254" s="8">
        <f t="shared" si="187"/>
        <v>2006</v>
      </c>
      <c r="F11254" t="s">
        <v>1804</v>
      </c>
      <c r="G11254" s="9">
        <v>24219.5</v>
      </c>
      <c r="H11254" s="8">
        <v>5006</v>
      </c>
    </row>
    <row r="11255" spans="2:8" x14ac:dyDescent="0.4">
      <c r="B11255" t="s">
        <v>7</v>
      </c>
      <c r="C11255" t="s">
        <v>1802</v>
      </c>
      <c r="D11255" s="7">
        <f>DATE(2007,1,25)</f>
        <v>39107</v>
      </c>
      <c r="E11255" s="8">
        <f t="shared" si="187"/>
        <v>2007</v>
      </c>
      <c r="F11255" t="s">
        <v>1804</v>
      </c>
      <c r="G11255" s="9">
        <v>11485.66</v>
      </c>
      <c r="H11255" s="8">
        <v>5386</v>
      </c>
    </row>
    <row r="11256" spans="2:8" x14ac:dyDescent="0.4">
      <c r="B11256" t="s">
        <v>7</v>
      </c>
      <c r="C11256" t="s">
        <v>1802</v>
      </c>
      <c r="D11256" s="7">
        <f>DATE(2007,6,4)</f>
        <v>39237</v>
      </c>
      <c r="E11256" s="8">
        <f t="shared" si="187"/>
        <v>2007</v>
      </c>
      <c r="F11256" t="s">
        <v>1804</v>
      </c>
      <c r="G11256" s="9">
        <v>59135.01</v>
      </c>
      <c r="H11256" s="8">
        <v>6035</v>
      </c>
    </row>
    <row r="11257" spans="2:8" x14ac:dyDescent="0.4">
      <c r="B11257" t="s">
        <v>7</v>
      </c>
      <c r="C11257" t="s">
        <v>1802</v>
      </c>
      <c r="D11257" s="7">
        <f>DATE(2007,11,25)</f>
        <v>39411</v>
      </c>
      <c r="E11257" s="8">
        <f t="shared" si="187"/>
        <v>2007</v>
      </c>
      <c r="F11257" t="s">
        <v>1804</v>
      </c>
      <c r="G11257" s="9">
        <v>50355.55</v>
      </c>
      <c r="H11257" s="8">
        <v>6434</v>
      </c>
    </row>
    <row r="11258" spans="2:8" x14ac:dyDescent="0.4">
      <c r="B11258" t="s">
        <v>7</v>
      </c>
      <c r="C11258" t="s">
        <v>1802</v>
      </c>
      <c r="D11258" s="7">
        <f>DATE(2007,12,8)</f>
        <v>39424</v>
      </c>
      <c r="E11258" s="8">
        <f t="shared" si="187"/>
        <v>2007</v>
      </c>
      <c r="F11258" t="s">
        <v>1804</v>
      </c>
      <c r="G11258" s="9">
        <v>2572.08</v>
      </c>
      <c r="H11258" s="8">
        <v>6653</v>
      </c>
    </row>
    <row r="11259" spans="2:8" x14ac:dyDescent="0.4">
      <c r="B11259" t="s">
        <v>7</v>
      </c>
      <c r="C11259" t="s">
        <v>1802</v>
      </c>
      <c r="D11259" s="7">
        <f>DATE(2008,5,28)</f>
        <v>39596</v>
      </c>
      <c r="E11259" s="8">
        <f t="shared" si="187"/>
        <v>2008</v>
      </c>
      <c r="F11259" t="s">
        <v>1804</v>
      </c>
      <c r="G11259" s="9">
        <v>51522.33</v>
      </c>
      <c r="H11259" s="8">
        <v>7434</v>
      </c>
    </row>
    <row r="11260" spans="2:8" x14ac:dyDescent="0.4">
      <c r="B11260" t="s">
        <v>7</v>
      </c>
      <c r="C11260" t="s">
        <v>1802</v>
      </c>
      <c r="D11260" s="7">
        <f>DATE(2009,2,26)</f>
        <v>39870</v>
      </c>
      <c r="E11260" s="8">
        <f t="shared" si="187"/>
        <v>2009</v>
      </c>
      <c r="F11260" t="s">
        <v>1804</v>
      </c>
      <c r="G11260" s="9">
        <v>13414.12</v>
      </c>
      <c r="H11260" s="8">
        <v>8346</v>
      </c>
    </row>
    <row r="11261" spans="2:8" x14ac:dyDescent="0.4">
      <c r="B11261" t="s">
        <v>7</v>
      </c>
      <c r="C11261" t="s">
        <v>1802</v>
      </c>
      <c r="D11261" s="7">
        <f>DATE(2009,4,8)</f>
        <v>39911</v>
      </c>
      <c r="E11261" s="8">
        <f t="shared" si="187"/>
        <v>2009</v>
      </c>
      <c r="F11261" t="s">
        <v>1804</v>
      </c>
      <c r="G11261" s="9">
        <v>49428.17</v>
      </c>
      <c r="H11261" s="8">
        <v>8509</v>
      </c>
    </row>
    <row r="11262" spans="2:8" x14ac:dyDescent="0.4">
      <c r="B11262" t="s">
        <v>7</v>
      </c>
      <c r="C11262" t="s">
        <v>1802</v>
      </c>
      <c r="D11262" s="7">
        <f>DATE(2009,4,24)</f>
        <v>39927</v>
      </c>
      <c r="E11262" s="8">
        <f t="shared" si="187"/>
        <v>2009</v>
      </c>
      <c r="F11262" t="s">
        <v>1804</v>
      </c>
      <c r="G11262" s="9">
        <v>48627.040000000001</v>
      </c>
      <c r="H11262" s="8">
        <v>8593</v>
      </c>
    </row>
    <row r="11263" spans="2:8" x14ac:dyDescent="0.4">
      <c r="B11263" t="s">
        <v>7</v>
      </c>
      <c r="C11263" t="s">
        <v>1802</v>
      </c>
      <c r="D11263" s="7">
        <f>DATE(2009,4,20)</f>
        <v>39923</v>
      </c>
      <c r="E11263" s="8">
        <f t="shared" si="187"/>
        <v>2009</v>
      </c>
      <c r="F11263" t="s">
        <v>1804</v>
      </c>
      <c r="G11263" s="9">
        <v>3904.79</v>
      </c>
      <c r="H11263" s="8">
        <v>8600</v>
      </c>
    </row>
    <row r="11264" spans="2:8" x14ac:dyDescent="0.4">
      <c r="B11264" s="3" t="s">
        <v>7</v>
      </c>
      <c r="C11264" s="3" t="s">
        <v>1802</v>
      </c>
      <c r="D11264" s="4">
        <f>DATE(2003,8,29)</f>
        <v>37862</v>
      </c>
      <c r="E11264" s="5">
        <f t="shared" si="187"/>
        <v>2003</v>
      </c>
      <c r="F11264" s="3" t="s">
        <v>1804</v>
      </c>
      <c r="G11264" s="6">
        <v>751.5</v>
      </c>
      <c r="H11264" s="5">
        <v>1433</v>
      </c>
    </row>
    <row r="11265" spans="2:8" x14ac:dyDescent="0.4">
      <c r="B11265" s="3" t="s">
        <v>7</v>
      </c>
      <c r="C11265" s="3" t="s">
        <v>1802</v>
      </c>
      <c r="D11265" s="4">
        <f>DATE(2003,11,20)</f>
        <v>37945</v>
      </c>
      <c r="E11265" s="5">
        <f t="shared" si="187"/>
        <v>2003</v>
      </c>
      <c r="F11265" s="3" t="s">
        <v>1804</v>
      </c>
      <c r="G11265" s="6">
        <v>2888.5</v>
      </c>
      <c r="H11265" s="5">
        <v>1798</v>
      </c>
    </row>
    <row r="11266" spans="2:8" x14ac:dyDescent="0.4">
      <c r="B11266" s="3" t="s">
        <v>7</v>
      </c>
      <c r="C11266" s="3" t="s">
        <v>1802</v>
      </c>
      <c r="D11266" s="4">
        <f>DATE(2006,1,6)</f>
        <v>38723</v>
      </c>
      <c r="E11266" s="5">
        <f t="shared" si="187"/>
        <v>2006</v>
      </c>
      <c r="F11266" s="3" t="s">
        <v>1804</v>
      </c>
      <c r="G11266" s="6">
        <v>63.84</v>
      </c>
      <c r="H11266" s="5">
        <v>5791</v>
      </c>
    </row>
    <row r="11267" spans="2:8" x14ac:dyDescent="0.4">
      <c r="B11267" s="3" t="s">
        <v>7</v>
      </c>
      <c r="C11267" s="3" t="s">
        <v>1802</v>
      </c>
      <c r="D11267" s="4">
        <f>DATE(2006,2,3)</f>
        <v>38751</v>
      </c>
      <c r="E11267" s="5">
        <f t="shared" ref="E11267:E11330" si="188">YEAR(D11267)</f>
        <v>2006</v>
      </c>
      <c r="F11267" s="3" t="s">
        <v>1804</v>
      </c>
      <c r="G11267" s="6">
        <v>56.72</v>
      </c>
      <c r="H11267" s="5">
        <v>5964</v>
      </c>
    </row>
    <row r="11268" spans="2:8" x14ac:dyDescent="0.4">
      <c r="B11268" s="3" t="s">
        <v>7</v>
      </c>
      <c r="C11268" s="3" t="s">
        <v>1802</v>
      </c>
      <c r="D11268" s="4">
        <f>DATE(2006,3,15)</f>
        <v>38791</v>
      </c>
      <c r="E11268" s="5">
        <f t="shared" si="188"/>
        <v>2006</v>
      </c>
      <c r="F11268" s="3" t="s">
        <v>1804</v>
      </c>
      <c r="G11268" s="6">
        <v>722.28</v>
      </c>
      <c r="H11268" s="5">
        <v>6276</v>
      </c>
    </row>
    <row r="11269" spans="2:8" x14ac:dyDescent="0.4">
      <c r="B11269" s="3" t="s">
        <v>7</v>
      </c>
      <c r="C11269" s="3" t="s">
        <v>1802</v>
      </c>
      <c r="D11269" s="4">
        <f>DATE(2007,10,9)</f>
        <v>39364</v>
      </c>
      <c r="E11269" s="5">
        <f t="shared" si="188"/>
        <v>2007</v>
      </c>
      <c r="F11269" s="3" t="s">
        <v>1804</v>
      </c>
      <c r="G11269" s="6">
        <v>796.5</v>
      </c>
      <c r="H11269" s="5">
        <v>9302</v>
      </c>
    </row>
    <row r="11270" spans="2:8" x14ac:dyDescent="0.4">
      <c r="B11270" s="3" t="s">
        <v>7</v>
      </c>
      <c r="C11270" s="3" t="s">
        <v>1802</v>
      </c>
      <c r="D11270" s="4">
        <f>DATE(2008,5,28)</f>
        <v>39596</v>
      </c>
      <c r="E11270" s="5">
        <f t="shared" si="188"/>
        <v>2008</v>
      </c>
      <c r="F11270" s="3" t="s">
        <v>1804</v>
      </c>
      <c r="G11270" s="6">
        <v>121.8</v>
      </c>
      <c r="H11270" s="5">
        <v>10754</v>
      </c>
    </row>
    <row r="11271" spans="2:8" x14ac:dyDescent="0.4">
      <c r="B11271" s="3" t="s">
        <v>7</v>
      </c>
      <c r="C11271" s="3" t="s">
        <v>1802</v>
      </c>
      <c r="D11271" s="4">
        <f>DATE(2008,5,30)</f>
        <v>39598</v>
      </c>
      <c r="E11271" s="5">
        <f t="shared" si="188"/>
        <v>2008</v>
      </c>
      <c r="F11271" s="3" t="s">
        <v>1804</v>
      </c>
      <c r="G11271" s="6">
        <v>73.959999999999994</v>
      </c>
      <c r="H11271" s="5">
        <v>10768</v>
      </c>
    </row>
    <row r="11272" spans="2:8" x14ac:dyDescent="0.4">
      <c r="B11272" s="3" t="s">
        <v>7</v>
      </c>
      <c r="C11272" s="3" t="s">
        <v>1802</v>
      </c>
      <c r="D11272" s="4">
        <f>DATE(2008,6,6)</f>
        <v>39605</v>
      </c>
      <c r="E11272" s="5">
        <f t="shared" si="188"/>
        <v>2008</v>
      </c>
      <c r="F11272" s="3" t="s">
        <v>1804</v>
      </c>
      <c r="G11272" s="6">
        <v>947</v>
      </c>
      <c r="H11272" s="5">
        <v>10766</v>
      </c>
    </row>
    <row r="11273" spans="2:8" x14ac:dyDescent="0.4">
      <c r="B11273" s="3" t="s">
        <v>7</v>
      </c>
      <c r="C11273" s="3" t="s">
        <v>1802</v>
      </c>
      <c r="D11273" s="4">
        <f>DATE(2008,10,10)</f>
        <v>39731</v>
      </c>
      <c r="E11273" s="5">
        <f t="shared" si="188"/>
        <v>2008</v>
      </c>
      <c r="F11273" s="3" t="s">
        <v>1804</v>
      </c>
      <c r="G11273" s="6">
        <v>220.12</v>
      </c>
      <c r="H11273" s="5">
        <v>11395</v>
      </c>
    </row>
    <row r="11274" spans="2:8" x14ac:dyDescent="0.4">
      <c r="B11274" s="3" t="s">
        <v>7</v>
      </c>
      <c r="C11274" s="3" t="s">
        <v>1802</v>
      </c>
      <c r="D11274" s="4">
        <f>DATE(2009,5,14)</f>
        <v>39947</v>
      </c>
      <c r="E11274" s="5">
        <f t="shared" si="188"/>
        <v>2009</v>
      </c>
      <c r="F11274" s="3" t="s">
        <v>1804</v>
      </c>
      <c r="G11274" s="6">
        <v>90.2</v>
      </c>
      <c r="H11274" s="5">
        <v>12530</v>
      </c>
    </row>
    <row r="11275" spans="2:8" x14ac:dyDescent="0.4">
      <c r="B11275" t="s">
        <v>7</v>
      </c>
      <c r="C11275" t="s">
        <v>1802</v>
      </c>
      <c r="D11275" s="7">
        <f>DATE(2016,5,17)</f>
        <v>42507</v>
      </c>
      <c r="E11275" s="8">
        <f t="shared" si="188"/>
        <v>2016</v>
      </c>
      <c r="F11275" t="s">
        <v>1805</v>
      </c>
      <c r="G11275" s="9">
        <v>36846</v>
      </c>
      <c r="H11275" s="8">
        <v>22642</v>
      </c>
    </row>
    <row r="11276" spans="2:8" x14ac:dyDescent="0.4">
      <c r="B11276" t="s">
        <v>7</v>
      </c>
      <c r="C11276" t="s">
        <v>1802</v>
      </c>
      <c r="D11276" s="7">
        <f>DATE(2018,4,25)</f>
        <v>43215</v>
      </c>
      <c r="E11276" s="8">
        <f t="shared" si="188"/>
        <v>2018</v>
      </c>
      <c r="F11276" t="s">
        <v>1805</v>
      </c>
      <c r="G11276" s="9">
        <v>37243.870000000003</v>
      </c>
      <c r="H11276" s="8">
        <v>26435</v>
      </c>
    </row>
    <row r="11277" spans="2:8" x14ac:dyDescent="0.4">
      <c r="B11277" t="s">
        <v>7</v>
      </c>
      <c r="C11277" t="s">
        <v>1802</v>
      </c>
      <c r="D11277" s="7">
        <f>DATE(2018,7,2)</f>
        <v>43283</v>
      </c>
      <c r="E11277" s="8">
        <f t="shared" si="188"/>
        <v>2018</v>
      </c>
      <c r="F11277" t="s">
        <v>1805</v>
      </c>
      <c r="G11277" s="9">
        <v>56564.67</v>
      </c>
      <c r="H11277" s="8">
        <v>27159</v>
      </c>
    </row>
    <row r="11278" spans="2:8" x14ac:dyDescent="0.4">
      <c r="B11278" t="s">
        <v>7</v>
      </c>
      <c r="C11278" t="s">
        <v>1802</v>
      </c>
      <c r="D11278" s="7">
        <f>DATE(2019,4,18)</f>
        <v>43573</v>
      </c>
      <c r="E11278" s="8">
        <f t="shared" si="188"/>
        <v>2019</v>
      </c>
      <c r="F11278" t="s">
        <v>1805</v>
      </c>
      <c r="G11278" s="9">
        <v>34670.67</v>
      </c>
      <c r="H11278" s="8">
        <v>28361</v>
      </c>
    </row>
    <row r="11279" spans="2:8" x14ac:dyDescent="0.4">
      <c r="B11279" t="s">
        <v>7</v>
      </c>
      <c r="C11279" t="s">
        <v>1802</v>
      </c>
      <c r="D11279" s="7">
        <f>DATE(2016,3,30)</f>
        <v>42459</v>
      </c>
      <c r="E11279" s="8">
        <f t="shared" si="188"/>
        <v>2016</v>
      </c>
      <c r="F11279" t="s">
        <v>1805</v>
      </c>
      <c r="G11279" s="9">
        <v>94.2</v>
      </c>
      <c r="H11279" s="8">
        <v>22532</v>
      </c>
    </row>
    <row r="11280" spans="2:8" x14ac:dyDescent="0.4">
      <c r="B11280" t="s">
        <v>7</v>
      </c>
      <c r="C11280" t="s">
        <v>1802</v>
      </c>
      <c r="D11280" s="7">
        <f>DATE(2015,6,5)</f>
        <v>42160</v>
      </c>
      <c r="E11280" s="8">
        <f t="shared" si="188"/>
        <v>2015</v>
      </c>
      <c r="F11280" t="s">
        <v>1805</v>
      </c>
      <c r="G11280" s="9">
        <v>11057.5</v>
      </c>
      <c r="H11280" s="8">
        <v>20526</v>
      </c>
    </row>
    <row r="11281" spans="2:8" x14ac:dyDescent="0.4">
      <c r="B11281" t="s">
        <v>7</v>
      </c>
      <c r="C11281" t="s">
        <v>1802</v>
      </c>
      <c r="D11281" s="7">
        <f>DATE(2017,9,26)</f>
        <v>43004</v>
      </c>
      <c r="E11281" s="8">
        <f t="shared" si="188"/>
        <v>2017</v>
      </c>
      <c r="F11281" t="s">
        <v>1805</v>
      </c>
      <c r="G11281" s="9">
        <v>13241.95</v>
      </c>
      <c r="H11281" s="8">
        <v>25536</v>
      </c>
    </row>
    <row r="11282" spans="2:8" x14ac:dyDescent="0.4">
      <c r="B11282" t="s">
        <v>7</v>
      </c>
      <c r="C11282" t="s">
        <v>1802</v>
      </c>
      <c r="D11282" s="7">
        <f>DATE(2018,2,2)</f>
        <v>43133</v>
      </c>
      <c r="E11282" s="8">
        <f t="shared" si="188"/>
        <v>2018</v>
      </c>
      <c r="F11282" t="s">
        <v>1805</v>
      </c>
      <c r="G11282" s="9">
        <v>9757.23</v>
      </c>
      <c r="H11282" s="8">
        <v>26350</v>
      </c>
    </row>
    <row r="11283" spans="2:8" x14ac:dyDescent="0.4">
      <c r="B11283" t="s">
        <v>7</v>
      </c>
      <c r="C11283" t="s">
        <v>1802</v>
      </c>
      <c r="D11283" s="7">
        <f>DATE(2019,2,12)</f>
        <v>43508</v>
      </c>
      <c r="E11283" s="8">
        <f t="shared" si="188"/>
        <v>2019</v>
      </c>
      <c r="F11283" t="s">
        <v>1805</v>
      </c>
      <c r="G11283" s="9">
        <v>10593.4</v>
      </c>
      <c r="H11283" s="8">
        <v>27997</v>
      </c>
    </row>
    <row r="11284" spans="2:8" x14ac:dyDescent="0.4">
      <c r="B11284" t="s">
        <v>7</v>
      </c>
      <c r="C11284" t="s">
        <v>1802</v>
      </c>
      <c r="D11284" s="7">
        <f>DATE(2011,2,4)</f>
        <v>40578</v>
      </c>
      <c r="E11284" s="8">
        <f t="shared" si="188"/>
        <v>2011</v>
      </c>
      <c r="F11284" t="s">
        <v>1805</v>
      </c>
      <c r="G11284" s="9">
        <v>4438.24</v>
      </c>
      <c r="H11284" s="8">
        <v>10374</v>
      </c>
    </row>
    <row r="11285" spans="2:8" x14ac:dyDescent="0.4">
      <c r="B11285" t="s">
        <v>7</v>
      </c>
      <c r="C11285" t="s">
        <v>1802</v>
      </c>
      <c r="D11285" s="7">
        <f>DATE(2011,2,4)</f>
        <v>40578</v>
      </c>
      <c r="E11285" s="8">
        <f t="shared" si="188"/>
        <v>2011</v>
      </c>
      <c r="F11285" t="s">
        <v>1805</v>
      </c>
      <c r="G11285" s="9">
        <v>4438.24</v>
      </c>
      <c r="H11285" s="8">
        <v>10375</v>
      </c>
    </row>
    <row r="11286" spans="2:8" x14ac:dyDescent="0.4">
      <c r="B11286" t="s">
        <v>7</v>
      </c>
      <c r="C11286" t="s">
        <v>1802</v>
      </c>
      <c r="D11286" s="7">
        <f>DATE(2011,2,4)</f>
        <v>40578</v>
      </c>
      <c r="E11286" s="8">
        <f t="shared" si="188"/>
        <v>2011</v>
      </c>
      <c r="F11286" t="s">
        <v>1805</v>
      </c>
      <c r="G11286" s="9">
        <v>4438.24</v>
      </c>
      <c r="H11286" s="8">
        <v>10376</v>
      </c>
    </row>
    <row r="11287" spans="2:8" x14ac:dyDescent="0.4">
      <c r="B11287" t="s">
        <v>7</v>
      </c>
      <c r="C11287" t="s">
        <v>1802</v>
      </c>
      <c r="D11287" s="7">
        <f>DATE(2011,2,4)</f>
        <v>40578</v>
      </c>
      <c r="E11287" s="8">
        <f t="shared" si="188"/>
        <v>2011</v>
      </c>
      <c r="F11287" t="s">
        <v>1805</v>
      </c>
      <c r="G11287" s="9">
        <v>4438.24</v>
      </c>
      <c r="H11287" s="8">
        <v>10377</v>
      </c>
    </row>
    <row r="11288" spans="2:8" x14ac:dyDescent="0.4">
      <c r="B11288" t="s">
        <v>7</v>
      </c>
      <c r="C11288" t="s">
        <v>1802</v>
      </c>
      <c r="D11288" s="7">
        <f>DATE(2011,4,6)</f>
        <v>40639</v>
      </c>
      <c r="E11288" s="8">
        <f t="shared" si="188"/>
        <v>2011</v>
      </c>
      <c r="F11288" t="s">
        <v>1805</v>
      </c>
      <c r="G11288" s="9">
        <v>8790.57</v>
      </c>
      <c r="H11288" s="8">
        <v>10596</v>
      </c>
    </row>
    <row r="11289" spans="2:8" x14ac:dyDescent="0.4">
      <c r="B11289" t="s">
        <v>7</v>
      </c>
      <c r="C11289" t="s">
        <v>1802</v>
      </c>
      <c r="D11289" s="7">
        <f>DATE(2011,5,13)</f>
        <v>40676</v>
      </c>
      <c r="E11289" s="8">
        <f t="shared" si="188"/>
        <v>2011</v>
      </c>
      <c r="F11289" t="s">
        <v>1805</v>
      </c>
      <c r="G11289" s="9">
        <v>10542.17</v>
      </c>
      <c r="H11289" s="8">
        <v>10740</v>
      </c>
    </row>
    <row r="11290" spans="2:8" x14ac:dyDescent="0.4">
      <c r="B11290" t="s">
        <v>7</v>
      </c>
      <c r="C11290" t="s">
        <v>1802</v>
      </c>
      <c r="D11290" s="7">
        <f>DATE(2011,5,31)</f>
        <v>40694</v>
      </c>
      <c r="E11290" s="8">
        <f t="shared" si="188"/>
        <v>2011</v>
      </c>
      <c r="F11290" t="s">
        <v>1805</v>
      </c>
      <c r="G11290" s="9">
        <v>9307.4</v>
      </c>
      <c r="H11290" s="8">
        <v>10773</v>
      </c>
    </row>
    <row r="11291" spans="2:8" x14ac:dyDescent="0.4">
      <c r="B11291" t="s">
        <v>7</v>
      </c>
      <c r="C11291" t="s">
        <v>1802</v>
      </c>
      <c r="D11291" s="7">
        <f>DATE(2011,9,6)</f>
        <v>40792</v>
      </c>
      <c r="E11291" s="8">
        <f t="shared" si="188"/>
        <v>2011</v>
      </c>
      <c r="F11291" t="s">
        <v>1805</v>
      </c>
      <c r="G11291" s="9">
        <v>14203.52</v>
      </c>
      <c r="H11291" s="8">
        <v>10954</v>
      </c>
    </row>
    <row r="11292" spans="2:8" x14ac:dyDescent="0.4">
      <c r="B11292" t="s">
        <v>7</v>
      </c>
      <c r="C11292" t="s">
        <v>1802</v>
      </c>
      <c r="D11292" s="7">
        <f>DATE(2013,2,12)</f>
        <v>41317</v>
      </c>
      <c r="E11292" s="8">
        <f t="shared" si="188"/>
        <v>2013</v>
      </c>
      <c r="F11292" t="s">
        <v>1805</v>
      </c>
      <c r="G11292" s="9">
        <v>15830.33</v>
      </c>
      <c r="H11292" s="8">
        <v>12081</v>
      </c>
    </row>
    <row r="11293" spans="2:8" x14ac:dyDescent="0.4">
      <c r="B11293" t="s">
        <v>7</v>
      </c>
      <c r="C11293" t="s">
        <v>1802</v>
      </c>
      <c r="D11293" s="7">
        <f>DATE(2014,2,18)</f>
        <v>41688</v>
      </c>
      <c r="E11293" s="8">
        <f t="shared" si="188"/>
        <v>2014</v>
      </c>
      <c r="F11293" t="s">
        <v>1805</v>
      </c>
      <c r="G11293" s="9">
        <v>15372.43</v>
      </c>
      <c r="H11293" s="8">
        <v>12953</v>
      </c>
    </row>
    <row r="11294" spans="2:8" x14ac:dyDescent="0.4">
      <c r="B11294" t="s">
        <v>7</v>
      </c>
      <c r="C11294" t="s">
        <v>1802</v>
      </c>
      <c r="D11294" s="7">
        <f>DATE(2014,6,13)</f>
        <v>41803</v>
      </c>
      <c r="E11294" s="8">
        <f t="shared" si="188"/>
        <v>2014</v>
      </c>
      <c r="F11294" t="s">
        <v>1805</v>
      </c>
      <c r="G11294" s="9">
        <v>2039.5</v>
      </c>
      <c r="H11294" s="8">
        <v>13213</v>
      </c>
    </row>
    <row r="11295" spans="2:8" x14ac:dyDescent="0.4">
      <c r="B11295" t="s">
        <v>7</v>
      </c>
      <c r="C11295" t="s">
        <v>1802</v>
      </c>
      <c r="D11295" s="7">
        <f>DATE(2014,9,12)</f>
        <v>41894</v>
      </c>
      <c r="E11295" s="8">
        <f t="shared" si="188"/>
        <v>2014</v>
      </c>
      <c r="F11295" t="s">
        <v>1805</v>
      </c>
      <c r="G11295" s="9">
        <v>13729.88</v>
      </c>
      <c r="H11295" s="8">
        <v>13427</v>
      </c>
    </row>
    <row r="11296" spans="2:8" x14ac:dyDescent="0.4">
      <c r="B11296" t="s">
        <v>7</v>
      </c>
      <c r="C11296" t="s">
        <v>1802</v>
      </c>
      <c r="D11296" s="7">
        <f>DATE(2014,9,3)</f>
        <v>41885</v>
      </c>
      <c r="E11296" s="8">
        <f t="shared" si="188"/>
        <v>2014</v>
      </c>
      <c r="F11296" t="s">
        <v>1805</v>
      </c>
      <c r="G11296" s="9">
        <v>2221.6</v>
      </c>
      <c r="H11296" s="8">
        <v>13433</v>
      </c>
    </row>
    <row r="11297" spans="2:8" x14ac:dyDescent="0.4">
      <c r="B11297" t="s">
        <v>7</v>
      </c>
      <c r="C11297" t="s">
        <v>1802</v>
      </c>
      <c r="D11297" s="7">
        <f>DATE(2014,10,29)</f>
        <v>41941</v>
      </c>
      <c r="E11297" s="8">
        <f t="shared" si="188"/>
        <v>2014</v>
      </c>
      <c r="F11297" t="s">
        <v>1805</v>
      </c>
      <c r="G11297" s="9">
        <v>5756.08</v>
      </c>
      <c r="H11297" s="8">
        <v>13543</v>
      </c>
    </row>
    <row r="11298" spans="2:8" x14ac:dyDescent="0.4">
      <c r="B11298" t="s">
        <v>7</v>
      </c>
      <c r="C11298" t="s">
        <v>1802</v>
      </c>
      <c r="D11298" s="7">
        <f>DATE(2014,10,29)</f>
        <v>41941</v>
      </c>
      <c r="E11298" s="8">
        <f t="shared" si="188"/>
        <v>2014</v>
      </c>
      <c r="F11298" t="s">
        <v>1805</v>
      </c>
      <c r="G11298" s="9">
        <v>5904.15</v>
      </c>
      <c r="H11298" s="8">
        <v>13547</v>
      </c>
    </row>
    <row r="11299" spans="2:8" x14ac:dyDescent="0.4">
      <c r="B11299" s="3" t="s">
        <v>7</v>
      </c>
      <c r="C11299" s="3" t="s">
        <v>1802</v>
      </c>
      <c r="D11299" s="4">
        <f>DATE(2010,9,29)</f>
        <v>40450</v>
      </c>
      <c r="E11299" s="5">
        <f t="shared" si="188"/>
        <v>2010</v>
      </c>
      <c r="F11299" s="3" t="s">
        <v>1805</v>
      </c>
      <c r="G11299" s="6">
        <v>681.8</v>
      </c>
      <c r="H11299" s="5">
        <v>14541</v>
      </c>
    </row>
    <row r="11300" spans="2:8" x14ac:dyDescent="0.4">
      <c r="B11300" s="3" t="s">
        <v>7</v>
      </c>
      <c r="C11300" s="3" t="s">
        <v>1802</v>
      </c>
      <c r="D11300" s="4">
        <f>DATE(2013,4,15)</f>
        <v>41379</v>
      </c>
      <c r="E11300" s="5">
        <f t="shared" si="188"/>
        <v>2013</v>
      </c>
      <c r="F11300" s="3" t="s">
        <v>1805</v>
      </c>
      <c r="G11300" s="6">
        <v>76.959999999999994</v>
      </c>
      <c r="H11300" s="5">
        <v>18439</v>
      </c>
    </row>
    <row r="11301" spans="2:8" x14ac:dyDescent="0.4">
      <c r="B11301" s="3" t="s">
        <v>7</v>
      </c>
      <c r="C11301" s="3" t="s">
        <v>1802</v>
      </c>
      <c r="D11301" s="4">
        <f>DATE(2013,5,23)</f>
        <v>41417</v>
      </c>
      <c r="E11301" s="5">
        <f t="shared" si="188"/>
        <v>2013</v>
      </c>
      <c r="F11301" s="3" t="s">
        <v>1805</v>
      </c>
      <c r="G11301" s="6">
        <v>809.6</v>
      </c>
      <c r="H11301" s="5">
        <v>18557</v>
      </c>
    </row>
    <row r="11302" spans="2:8" x14ac:dyDescent="0.4">
      <c r="B11302" s="3" t="s">
        <v>7</v>
      </c>
      <c r="C11302" s="3" t="s">
        <v>1802</v>
      </c>
      <c r="D11302" s="4">
        <f>DATE(2013,11,21)</f>
        <v>41599</v>
      </c>
      <c r="E11302" s="5">
        <f t="shared" si="188"/>
        <v>2013</v>
      </c>
      <c r="F11302" s="3" t="s">
        <v>1805</v>
      </c>
      <c r="G11302" s="6">
        <v>1691.61</v>
      </c>
      <c r="H11302" s="5">
        <v>19228</v>
      </c>
    </row>
    <row r="11303" spans="2:8" x14ac:dyDescent="0.4">
      <c r="B11303" s="3" t="s">
        <v>7</v>
      </c>
      <c r="C11303" s="3" t="s">
        <v>1802</v>
      </c>
      <c r="D11303" s="4">
        <f>DATE(2013,12,2)</f>
        <v>41610</v>
      </c>
      <c r="E11303" s="5">
        <f t="shared" si="188"/>
        <v>2013</v>
      </c>
      <c r="F11303" s="3" t="s">
        <v>1805</v>
      </c>
      <c r="G11303" s="6">
        <v>1365.24</v>
      </c>
      <c r="H11303" s="5">
        <v>19228</v>
      </c>
    </row>
    <row r="11304" spans="2:8" x14ac:dyDescent="0.4">
      <c r="B11304" s="3" t="s">
        <v>7</v>
      </c>
      <c r="C11304" s="3" t="s">
        <v>1802</v>
      </c>
      <c r="D11304" s="4">
        <f>DATE(2013,12,12)</f>
        <v>41620</v>
      </c>
      <c r="E11304" s="5">
        <f t="shared" si="188"/>
        <v>2013</v>
      </c>
      <c r="F11304" s="3" t="s">
        <v>1805</v>
      </c>
      <c r="G11304" s="6">
        <v>950</v>
      </c>
      <c r="H11304" s="5">
        <v>19304</v>
      </c>
    </row>
    <row r="11305" spans="2:8" x14ac:dyDescent="0.4">
      <c r="B11305" t="s">
        <v>7</v>
      </c>
      <c r="C11305" t="s">
        <v>1806</v>
      </c>
      <c r="D11305" s="7">
        <f>DATE(2006,3,15)</f>
        <v>38791</v>
      </c>
      <c r="E11305" s="8">
        <f t="shared" si="188"/>
        <v>2006</v>
      </c>
      <c r="F11305" t="s">
        <v>1807</v>
      </c>
      <c r="G11305" s="9">
        <v>3629.14</v>
      </c>
      <c r="H11305" s="8">
        <v>4187</v>
      </c>
    </row>
    <row r="11306" spans="2:8" x14ac:dyDescent="0.4">
      <c r="B11306" t="s">
        <v>7</v>
      </c>
      <c r="C11306" t="s">
        <v>1808</v>
      </c>
      <c r="D11306" s="7">
        <f>DATE(2003,4,25)</f>
        <v>37736</v>
      </c>
      <c r="E11306" s="8">
        <f t="shared" si="188"/>
        <v>2003</v>
      </c>
      <c r="F11306" t="s">
        <v>1809</v>
      </c>
      <c r="G11306" s="9">
        <v>7797.6</v>
      </c>
      <c r="H11306" s="8">
        <v>301</v>
      </c>
    </row>
    <row r="11307" spans="2:8" x14ac:dyDescent="0.4">
      <c r="B11307" t="s">
        <v>7</v>
      </c>
      <c r="C11307" t="s">
        <v>1808</v>
      </c>
      <c r="D11307" s="7">
        <f>DATE(2004,4,9)</f>
        <v>38086</v>
      </c>
      <c r="E11307" s="8">
        <f t="shared" si="188"/>
        <v>2004</v>
      </c>
      <c r="F11307" t="s">
        <v>1809</v>
      </c>
      <c r="G11307" s="9">
        <v>9728.11</v>
      </c>
      <c r="H11307" s="8">
        <v>1529</v>
      </c>
    </row>
    <row r="11308" spans="2:8" x14ac:dyDescent="0.4">
      <c r="B11308" t="s">
        <v>7</v>
      </c>
      <c r="C11308" t="s">
        <v>1808</v>
      </c>
      <c r="D11308" s="7">
        <f>DATE(2005,7,13)</f>
        <v>38546</v>
      </c>
      <c r="E11308" s="8">
        <f t="shared" si="188"/>
        <v>2005</v>
      </c>
      <c r="F11308" t="s">
        <v>1809</v>
      </c>
      <c r="G11308" s="9">
        <v>8068.75</v>
      </c>
      <c r="H11308" s="8">
        <v>3258</v>
      </c>
    </row>
    <row r="11309" spans="2:8" x14ac:dyDescent="0.4">
      <c r="B11309" t="s">
        <v>7</v>
      </c>
      <c r="C11309" t="s">
        <v>1808</v>
      </c>
      <c r="D11309" s="7">
        <f>DATE(2006,6,29)</f>
        <v>38897</v>
      </c>
      <c r="E11309" s="8">
        <f t="shared" si="188"/>
        <v>2006</v>
      </c>
      <c r="F11309" t="s">
        <v>1809</v>
      </c>
      <c r="G11309" s="9">
        <v>9362.61</v>
      </c>
      <c r="H11309" s="8">
        <v>4740</v>
      </c>
    </row>
    <row r="11310" spans="2:8" x14ac:dyDescent="0.4">
      <c r="B11310" s="3" t="s">
        <v>7</v>
      </c>
      <c r="C11310" s="3" t="s">
        <v>1810</v>
      </c>
      <c r="D11310" s="4">
        <f>DATE(2003,10,30)</f>
        <v>37924</v>
      </c>
      <c r="E11310" s="5">
        <f t="shared" si="188"/>
        <v>2003</v>
      </c>
      <c r="F11310" s="3" t="s">
        <v>1811</v>
      </c>
      <c r="G11310" s="6">
        <v>5629</v>
      </c>
      <c r="H11310" s="5">
        <v>371</v>
      </c>
    </row>
    <row r="11311" spans="2:8" x14ac:dyDescent="0.4">
      <c r="B11311" s="3" t="s">
        <v>7</v>
      </c>
      <c r="C11311" s="3" t="s">
        <v>1810</v>
      </c>
      <c r="D11311" s="4">
        <f>DATE(2003,10,29)</f>
        <v>37923</v>
      </c>
      <c r="E11311" s="5">
        <f t="shared" si="188"/>
        <v>2003</v>
      </c>
      <c r="F11311" s="3" t="s">
        <v>1811</v>
      </c>
      <c r="G11311" s="6">
        <v>7041.69</v>
      </c>
      <c r="H11311" s="5">
        <v>378</v>
      </c>
    </row>
    <row r="11312" spans="2:8" x14ac:dyDescent="0.4">
      <c r="B11312" s="3" t="s">
        <v>7</v>
      </c>
      <c r="C11312" s="3" t="s">
        <v>1810</v>
      </c>
      <c r="D11312" s="4">
        <f>DATE(2004,10,19)</f>
        <v>38279</v>
      </c>
      <c r="E11312" s="5">
        <f t="shared" si="188"/>
        <v>2004</v>
      </c>
      <c r="F11312" s="3" t="s">
        <v>1812</v>
      </c>
      <c r="G11312" s="6">
        <v>6300.05</v>
      </c>
      <c r="H11312" s="5">
        <v>784</v>
      </c>
    </row>
    <row r="11313" spans="2:8" x14ac:dyDescent="0.4">
      <c r="B11313" s="3" t="s">
        <v>7</v>
      </c>
      <c r="C11313" s="3" t="s">
        <v>1810</v>
      </c>
      <c r="D11313" s="4">
        <f>DATE(2007,11,1)</f>
        <v>39387</v>
      </c>
      <c r="E11313" s="5">
        <f t="shared" si="188"/>
        <v>2007</v>
      </c>
      <c r="F11313" s="3" t="s">
        <v>1812</v>
      </c>
      <c r="G11313" s="6">
        <v>8500</v>
      </c>
      <c r="H11313" s="5">
        <v>2443</v>
      </c>
    </row>
    <row r="11314" spans="2:8" x14ac:dyDescent="0.4">
      <c r="B11314" s="3" t="s">
        <v>16</v>
      </c>
      <c r="C11314" s="3" t="s">
        <v>1810</v>
      </c>
      <c r="D11314" s="4">
        <f>DATE(2003,10,29)</f>
        <v>37923</v>
      </c>
      <c r="E11314" s="5">
        <f t="shared" si="188"/>
        <v>2003</v>
      </c>
      <c r="F11314" s="3" t="s">
        <v>1812</v>
      </c>
      <c r="G11314" s="6">
        <v>536.69000000000005</v>
      </c>
      <c r="H11314" s="5">
        <v>445</v>
      </c>
    </row>
    <row r="11315" spans="2:8" x14ac:dyDescent="0.4">
      <c r="B11315" s="3" t="s">
        <v>16</v>
      </c>
      <c r="C11315" s="3" t="s">
        <v>1810</v>
      </c>
      <c r="D11315" s="4">
        <f>DATE(2003,10,30)</f>
        <v>37924</v>
      </c>
      <c r="E11315" s="5">
        <f t="shared" si="188"/>
        <v>2003</v>
      </c>
      <c r="F11315" s="3" t="s">
        <v>1812</v>
      </c>
      <c r="G11315" s="6">
        <v>429</v>
      </c>
      <c r="H11315" s="5">
        <v>446</v>
      </c>
    </row>
    <row r="11316" spans="2:8" x14ac:dyDescent="0.4">
      <c r="B11316" t="s">
        <v>7</v>
      </c>
      <c r="C11316" t="s">
        <v>1813</v>
      </c>
      <c r="D11316" s="7">
        <f>DATE(2006,5,9)</f>
        <v>38846</v>
      </c>
      <c r="E11316" s="8">
        <f t="shared" si="188"/>
        <v>2006</v>
      </c>
      <c r="F11316" t="s">
        <v>1814</v>
      </c>
      <c r="G11316" s="9">
        <v>4048.41</v>
      </c>
      <c r="H11316" s="8">
        <v>4528</v>
      </c>
    </row>
    <row r="11317" spans="2:8" x14ac:dyDescent="0.4">
      <c r="B11317" t="s">
        <v>7</v>
      </c>
      <c r="C11317" t="s">
        <v>1815</v>
      </c>
      <c r="D11317" s="7">
        <f>DATE(2015,5,22)</f>
        <v>42146</v>
      </c>
      <c r="E11317" s="8">
        <f t="shared" si="188"/>
        <v>2015</v>
      </c>
      <c r="F11317" t="s">
        <v>1816</v>
      </c>
      <c r="G11317" s="9">
        <v>7610.53</v>
      </c>
      <c r="H11317" s="8">
        <v>20505</v>
      </c>
    </row>
    <row r="11318" spans="2:8" x14ac:dyDescent="0.4">
      <c r="B11318" t="s">
        <v>7</v>
      </c>
      <c r="C11318" t="s">
        <v>1817</v>
      </c>
      <c r="D11318" s="7">
        <f>DATE(2016,5,2)</f>
        <v>42492</v>
      </c>
      <c r="E11318" s="8">
        <f t="shared" si="188"/>
        <v>2016</v>
      </c>
      <c r="F11318" t="s">
        <v>1818</v>
      </c>
      <c r="G11318" s="9">
        <v>49200</v>
      </c>
      <c r="H11318" s="8">
        <v>22410</v>
      </c>
    </row>
    <row r="11319" spans="2:8" x14ac:dyDescent="0.4">
      <c r="B11319" t="s">
        <v>7</v>
      </c>
      <c r="C11319" t="s">
        <v>1817</v>
      </c>
      <c r="D11319" s="7">
        <f>DATE(2015,1,23)</f>
        <v>42027</v>
      </c>
      <c r="E11319" s="8">
        <f t="shared" si="188"/>
        <v>2015</v>
      </c>
      <c r="F11319" t="s">
        <v>1818</v>
      </c>
      <c r="G11319" s="9">
        <v>189.7</v>
      </c>
      <c r="H11319" s="8">
        <v>152</v>
      </c>
    </row>
    <row r="11320" spans="2:8" x14ac:dyDescent="0.4">
      <c r="B11320" t="s">
        <v>7</v>
      </c>
      <c r="C11320" t="s">
        <v>1817</v>
      </c>
      <c r="D11320" s="7">
        <f>DATE(2018,3,7)</f>
        <v>43166</v>
      </c>
      <c r="E11320" s="8">
        <f t="shared" si="188"/>
        <v>2018</v>
      </c>
      <c r="F11320" t="s">
        <v>1818</v>
      </c>
      <c r="G11320" s="9">
        <v>613.64</v>
      </c>
      <c r="H11320" s="8">
        <v>26564</v>
      </c>
    </row>
    <row r="11321" spans="2:8" x14ac:dyDescent="0.4">
      <c r="B11321" t="s">
        <v>7</v>
      </c>
      <c r="C11321" t="s">
        <v>1817</v>
      </c>
      <c r="D11321" s="7">
        <f>DATE(2003,12,12)</f>
        <v>37967</v>
      </c>
      <c r="E11321" s="8">
        <f t="shared" si="188"/>
        <v>2003</v>
      </c>
      <c r="F11321" t="s">
        <v>1818</v>
      </c>
      <c r="G11321" s="9">
        <v>26600</v>
      </c>
      <c r="H11321" s="8">
        <v>998</v>
      </c>
    </row>
    <row r="11322" spans="2:8" x14ac:dyDescent="0.4">
      <c r="B11322" t="s">
        <v>7</v>
      </c>
      <c r="C11322" t="s">
        <v>1817</v>
      </c>
      <c r="D11322" s="7">
        <f>DATE(2004,5,8)</f>
        <v>38115</v>
      </c>
      <c r="E11322" s="8">
        <f t="shared" si="188"/>
        <v>2004</v>
      </c>
      <c r="F11322" t="s">
        <v>1818</v>
      </c>
      <c r="G11322" s="9">
        <v>34950</v>
      </c>
      <c r="H11322" s="8">
        <v>1611</v>
      </c>
    </row>
    <row r="11323" spans="2:8" x14ac:dyDescent="0.4">
      <c r="B11323" t="s">
        <v>7</v>
      </c>
      <c r="C11323" t="s">
        <v>1817</v>
      </c>
      <c r="D11323" s="7">
        <f>DATE(2004,8,18)</f>
        <v>38217</v>
      </c>
      <c r="E11323" s="8">
        <f t="shared" si="188"/>
        <v>2004</v>
      </c>
      <c r="F11323" t="s">
        <v>1818</v>
      </c>
      <c r="G11323" s="9">
        <v>50152.95</v>
      </c>
      <c r="H11323" s="8">
        <v>2054</v>
      </c>
    </row>
    <row r="11324" spans="2:8" x14ac:dyDescent="0.4">
      <c r="B11324" t="s">
        <v>7</v>
      </c>
      <c r="C11324" t="s">
        <v>1817</v>
      </c>
      <c r="D11324" s="7">
        <f>DATE(2005,4,9)</f>
        <v>38451</v>
      </c>
      <c r="E11324" s="8">
        <f t="shared" si="188"/>
        <v>2005</v>
      </c>
      <c r="F11324" t="s">
        <v>1818</v>
      </c>
      <c r="G11324" s="9">
        <v>34950</v>
      </c>
      <c r="H11324" s="8">
        <v>2556</v>
      </c>
    </row>
    <row r="11325" spans="2:8" x14ac:dyDescent="0.4">
      <c r="B11325" t="s">
        <v>7</v>
      </c>
      <c r="C11325" t="s">
        <v>1817</v>
      </c>
      <c r="D11325" s="7">
        <f>DATE(2005,8,17)</f>
        <v>38581</v>
      </c>
      <c r="E11325" s="8">
        <f t="shared" si="188"/>
        <v>2005</v>
      </c>
      <c r="F11325" t="s">
        <v>1818</v>
      </c>
      <c r="G11325" s="9">
        <v>33292.58</v>
      </c>
      <c r="H11325" s="8">
        <v>3472</v>
      </c>
    </row>
    <row r="11326" spans="2:8" x14ac:dyDescent="0.4">
      <c r="B11326" t="s">
        <v>7</v>
      </c>
      <c r="C11326" t="s">
        <v>1817</v>
      </c>
      <c r="D11326" s="7">
        <f>DATE(2006,7,24)</f>
        <v>38922</v>
      </c>
      <c r="E11326" s="8">
        <f t="shared" si="188"/>
        <v>2006</v>
      </c>
      <c r="F11326" t="s">
        <v>1818</v>
      </c>
      <c r="G11326" s="9">
        <v>53977</v>
      </c>
      <c r="H11326" s="8">
        <v>4808</v>
      </c>
    </row>
    <row r="11327" spans="2:8" x14ac:dyDescent="0.4">
      <c r="B11327" t="s">
        <v>7</v>
      </c>
      <c r="C11327" t="s">
        <v>1817</v>
      </c>
      <c r="D11327" s="7">
        <f>DATE(2007,7,12)</f>
        <v>39275</v>
      </c>
      <c r="E11327" s="8">
        <f t="shared" si="188"/>
        <v>2007</v>
      </c>
      <c r="F11327" t="s">
        <v>1818</v>
      </c>
      <c r="G11327" s="9">
        <v>9621.09</v>
      </c>
      <c r="H11327" s="8">
        <v>6055</v>
      </c>
    </row>
    <row r="11328" spans="2:8" x14ac:dyDescent="0.4">
      <c r="B11328" t="s">
        <v>7</v>
      </c>
      <c r="C11328" t="s">
        <v>1817</v>
      </c>
      <c r="D11328" s="7">
        <f>DATE(2007,9,1)</f>
        <v>39326</v>
      </c>
      <c r="E11328" s="8">
        <f t="shared" si="188"/>
        <v>2007</v>
      </c>
      <c r="F11328" t="s">
        <v>1818</v>
      </c>
      <c r="G11328" s="9">
        <v>66454.58</v>
      </c>
      <c r="H11328" s="8">
        <v>6289</v>
      </c>
    </row>
    <row r="11329" spans="2:8" x14ac:dyDescent="0.4">
      <c r="B11329" t="s">
        <v>7</v>
      </c>
      <c r="C11329" t="s">
        <v>1817</v>
      </c>
      <c r="D11329" s="7">
        <f>DATE(2012,6,18)</f>
        <v>41078</v>
      </c>
      <c r="E11329" s="8">
        <f t="shared" si="188"/>
        <v>2012</v>
      </c>
      <c r="F11329" t="s">
        <v>1818</v>
      </c>
      <c r="G11329" s="9">
        <v>63594.52</v>
      </c>
      <c r="H11329" s="8">
        <v>11699</v>
      </c>
    </row>
    <row r="11330" spans="2:8" x14ac:dyDescent="0.4">
      <c r="B11330" t="s">
        <v>7</v>
      </c>
      <c r="C11330" t="s">
        <v>1817</v>
      </c>
      <c r="D11330" s="7">
        <f>DATE(2012,9,17)</f>
        <v>41169</v>
      </c>
      <c r="E11330" s="8">
        <f t="shared" si="188"/>
        <v>2012</v>
      </c>
      <c r="F11330" t="s">
        <v>1818</v>
      </c>
      <c r="G11330" s="9">
        <v>56700</v>
      </c>
      <c r="H11330" s="8">
        <v>11842</v>
      </c>
    </row>
    <row r="11331" spans="2:8" x14ac:dyDescent="0.4">
      <c r="B11331" t="s">
        <v>7</v>
      </c>
      <c r="C11331" t="s">
        <v>1817</v>
      </c>
      <c r="D11331" s="7">
        <f>DATE(2013,3,27)</f>
        <v>41360</v>
      </c>
      <c r="E11331" s="8">
        <f t="shared" ref="E11331:E11394" si="189">YEAR(D11331)</f>
        <v>2013</v>
      </c>
      <c r="F11331" t="s">
        <v>1818</v>
      </c>
      <c r="G11331" s="9">
        <v>48900</v>
      </c>
      <c r="H11331" s="8">
        <v>12192</v>
      </c>
    </row>
    <row r="11332" spans="2:8" x14ac:dyDescent="0.4">
      <c r="B11332" t="s">
        <v>7</v>
      </c>
      <c r="C11332" t="s">
        <v>1817</v>
      </c>
      <c r="D11332" s="7">
        <f>DATE(2014,4,11)</f>
        <v>41740</v>
      </c>
      <c r="E11332" s="8">
        <f t="shared" si="189"/>
        <v>2014</v>
      </c>
      <c r="F11332" t="s">
        <v>1818</v>
      </c>
      <c r="G11332" s="9">
        <v>49976.06</v>
      </c>
      <c r="H11332" s="8">
        <v>13034</v>
      </c>
    </row>
    <row r="11333" spans="2:8" x14ac:dyDescent="0.4">
      <c r="B11333" s="3" t="s">
        <v>7</v>
      </c>
      <c r="C11333" s="3" t="s">
        <v>1817</v>
      </c>
      <c r="D11333" s="4">
        <f>DATE(2004,11,15)</f>
        <v>38306</v>
      </c>
      <c r="E11333" s="5">
        <f t="shared" si="189"/>
        <v>2004</v>
      </c>
      <c r="F11333" s="3" t="s">
        <v>1818</v>
      </c>
      <c r="G11333" s="6">
        <v>102.8</v>
      </c>
      <c r="H11333" s="5">
        <v>3707</v>
      </c>
    </row>
    <row r="11334" spans="2:8" x14ac:dyDescent="0.4">
      <c r="B11334" s="3" t="s">
        <v>7</v>
      </c>
      <c r="C11334" s="3" t="s">
        <v>1817</v>
      </c>
      <c r="D11334" s="4">
        <f>DATE(2005,8,12)</f>
        <v>38576</v>
      </c>
      <c r="E11334" s="5">
        <f t="shared" si="189"/>
        <v>2005</v>
      </c>
      <c r="F11334" s="3" t="s">
        <v>1818</v>
      </c>
      <c r="G11334" s="6">
        <v>175.5</v>
      </c>
      <c r="H11334" s="5">
        <v>5109</v>
      </c>
    </row>
    <row r="11335" spans="2:8" x14ac:dyDescent="0.4">
      <c r="B11335" s="3" t="s">
        <v>7</v>
      </c>
      <c r="C11335" s="3" t="s">
        <v>1817</v>
      </c>
      <c r="D11335" s="4">
        <f>DATE(2005,10,26)</f>
        <v>38651</v>
      </c>
      <c r="E11335" s="5">
        <f t="shared" si="189"/>
        <v>2005</v>
      </c>
      <c r="F11335" s="3" t="s">
        <v>1818</v>
      </c>
      <c r="G11335" s="6">
        <v>261</v>
      </c>
      <c r="H11335" s="5">
        <v>5481</v>
      </c>
    </row>
    <row r="11336" spans="2:8" x14ac:dyDescent="0.4">
      <c r="B11336" s="3" t="s">
        <v>7</v>
      </c>
      <c r="C11336" s="3" t="s">
        <v>1817</v>
      </c>
      <c r="D11336" s="4">
        <f>DATE(2005,11,11)</f>
        <v>38667</v>
      </c>
      <c r="E11336" s="5">
        <f t="shared" si="189"/>
        <v>2005</v>
      </c>
      <c r="F11336" s="3" t="s">
        <v>1818</v>
      </c>
      <c r="G11336" s="6">
        <v>261</v>
      </c>
      <c r="H11336" s="5">
        <v>5553</v>
      </c>
    </row>
    <row r="11337" spans="2:8" x14ac:dyDescent="0.4">
      <c r="B11337" t="s">
        <v>7</v>
      </c>
      <c r="C11337" t="s">
        <v>1817</v>
      </c>
      <c r="D11337" s="7">
        <f>DATE(2003,4,30)</f>
        <v>37741</v>
      </c>
      <c r="E11337" s="8">
        <f t="shared" si="189"/>
        <v>2003</v>
      </c>
      <c r="F11337" t="s">
        <v>1819</v>
      </c>
      <c r="G11337" s="9">
        <v>34950</v>
      </c>
      <c r="H11337" s="8">
        <v>404</v>
      </c>
    </row>
    <row r="11338" spans="2:8" x14ac:dyDescent="0.4">
      <c r="B11338" t="s">
        <v>7</v>
      </c>
      <c r="C11338" t="s">
        <v>1817</v>
      </c>
      <c r="D11338" s="7">
        <f>DATE(2003,7,30)</f>
        <v>37832</v>
      </c>
      <c r="E11338" s="8">
        <f t="shared" si="189"/>
        <v>2003</v>
      </c>
      <c r="F11338" t="s">
        <v>1819</v>
      </c>
      <c r="G11338" s="9">
        <v>49960</v>
      </c>
      <c r="H11338" s="8">
        <v>763</v>
      </c>
    </row>
    <row r="11339" spans="2:8" x14ac:dyDescent="0.4">
      <c r="B11339" t="s">
        <v>7</v>
      </c>
      <c r="C11339" t="s">
        <v>1817</v>
      </c>
      <c r="D11339" s="7">
        <f>DATE(2003,9,20)</f>
        <v>37884</v>
      </c>
      <c r="E11339" s="8">
        <f t="shared" si="189"/>
        <v>2003</v>
      </c>
      <c r="F11339" t="s">
        <v>1819</v>
      </c>
      <c r="G11339" s="9">
        <v>25000</v>
      </c>
      <c r="H11339" s="8">
        <v>885</v>
      </c>
    </row>
    <row r="11340" spans="2:8" x14ac:dyDescent="0.4">
      <c r="B11340" t="s">
        <v>7</v>
      </c>
      <c r="C11340" t="s">
        <v>1820</v>
      </c>
      <c r="D11340" s="7">
        <f>DATE(2015,5,13)</f>
        <v>42137</v>
      </c>
      <c r="E11340" s="8">
        <f t="shared" si="189"/>
        <v>2015</v>
      </c>
      <c r="F11340" t="s">
        <v>1821</v>
      </c>
      <c r="G11340" s="9">
        <v>37000</v>
      </c>
      <c r="H11340" s="8">
        <v>5020</v>
      </c>
    </row>
    <row r="11341" spans="2:8" x14ac:dyDescent="0.4">
      <c r="B11341" t="s">
        <v>7</v>
      </c>
      <c r="C11341" t="s">
        <v>1820</v>
      </c>
      <c r="D11341" s="7">
        <f>DATE(2016,4,12)</f>
        <v>42472</v>
      </c>
      <c r="E11341" s="8">
        <f t="shared" si="189"/>
        <v>2016</v>
      </c>
      <c r="F11341" t="s">
        <v>1821</v>
      </c>
      <c r="G11341" s="9">
        <v>40425</v>
      </c>
      <c r="H11341" s="8">
        <v>22457</v>
      </c>
    </row>
    <row r="11342" spans="2:8" x14ac:dyDescent="0.4">
      <c r="B11342" t="s">
        <v>7</v>
      </c>
      <c r="C11342" t="s">
        <v>1820</v>
      </c>
      <c r="D11342" s="7">
        <f>DATE(2017,4,14)</f>
        <v>42839</v>
      </c>
      <c r="E11342" s="8">
        <f t="shared" si="189"/>
        <v>2017</v>
      </c>
      <c r="F11342" t="s">
        <v>1821</v>
      </c>
      <c r="G11342" s="9">
        <v>46225</v>
      </c>
      <c r="H11342" s="8">
        <v>24507</v>
      </c>
    </row>
    <row r="11343" spans="2:8" x14ac:dyDescent="0.4">
      <c r="B11343" t="s">
        <v>7</v>
      </c>
      <c r="C11343" t="s">
        <v>1820</v>
      </c>
      <c r="D11343" s="7">
        <f>DATE(2015,6,9)</f>
        <v>42164</v>
      </c>
      <c r="E11343" s="8">
        <f t="shared" si="189"/>
        <v>2015</v>
      </c>
      <c r="F11343" t="s">
        <v>1821</v>
      </c>
      <c r="G11343" s="9">
        <v>11156.32</v>
      </c>
      <c r="H11343" s="8">
        <v>20543</v>
      </c>
    </row>
    <row r="11344" spans="2:8" x14ac:dyDescent="0.4">
      <c r="B11344" t="s">
        <v>7</v>
      </c>
      <c r="C11344" t="s">
        <v>1820</v>
      </c>
      <c r="D11344" s="7">
        <f>DATE(2004,11,18)</f>
        <v>38309</v>
      </c>
      <c r="E11344" s="8">
        <f t="shared" si="189"/>
        <v>2004</v>
      </c>
      <c r="F11344" t="s">
        <v>1821</v>
      </c>
      <c r="G11344" s="9">
        <v>6668.31</v>
      </c>
      <c r="H11344" s="8">
        <v>2381</v>
      </c>
    </row>
    <row r="11345" spans="2:8" x14ac:dyDescent="0.4">
      <c r="B11345" t="s">
        <v>7</v>
      </c>
      <c r="C11345" t="s">
        <v>1820</v>
      </c>
      <c r="D11345" s="7">
        <f>DATE(2005,1,8)</f>
        <v>38360</v>
      </c>
      <c r="E11345" s="8">
        <f t="shared" si="189"/>
        <v>2005</v>
      </c>
      <c r="F11345" t="s">
        <v>1821</v>
      </c>
      <c r="G11345" s="9">
        <v>7864.28</v>
      </c>
      <c r="H11345" s="8">
        <v>2541</v>
      </c>
    </row>
    <row r="11346" spans="2:8" x14ac:dyDescent="0.4">
      <c r="B11346" t="s">
        <v>7</v>
      </c>
      <c r="C11346" t="s">
        <v>1820</v>
      </c>
      <c r="D11346" s="7">
        <f>DATE(2005,4,7)</f>
        <v>38449</v>
      </c>
      <c r="E11346" s="8">
        <f t="shared" si="189"/>
        <v>2005</v>
      </c>
      <c r="F11346" t="s">
        <v>1821</v>
      </c>
      <c r="G11346" s="9">
        <v>4705.6099999999997</v>
      </c>
      <c r="H11346" s="8">
        <v>3030</v>
      </c>
    </row>
    <row r="11347" spans="2:8" x14ac:dyDescent="0.4">
      <c r="B11347" t="s">
        <v>7</v>
      </c>
      <c r="C11347" t="s">
        <v>1820</v>
      </c>
      <c r="D11347" s="7">
        <f>DATE(2005,4,10)</f>
        <v>38452</v>
      </c>
      <c r="E11347" s="8">
        <f t="shared" si="189"/>
        <v>2005</v>
      </c>
      <c r="F11347" t="s">
        <v>1821</v>
      </c>
      <c r="G11347" s="9">
        <v>124857.1</v>
      </c>
      <c r="H11347" s="8">
        <v>2499</v>
      </c>
    </row>
    <row r="11348" spans="2:8" x14ac:dyDescent="0.4">
      <c r="B11348" t="s">
        <v>7</v>
      </c>
      <c r="C11348" t="s">
        <v>1820</v>
      </c>
      <c r="D11348" s="7">
        <f>DATE(2005,5,9)</f>
        <v>38481</v>
      </c>
      <c r="E11348" s="8">
        <f t="shared" si="189"/>
        <v>2005</v>
      </c>
      <c r="F11348" t="s">
        <v>1821</v>
      </c>
      <c r="G11348" s="9">
        <v>13295</v>
      </c>
      <c r="H11348" s="8">
        <v>2488</v>
      </c>
    </row>
    <row r="11349" spans="2:8" x14ac:dyDescent="0.4">
      <c r="B11349" t="s">
        <v>7</v>
      </c>
      <c r="C11349" t="s">
        <v>1820</v>
      </c>
      <c r="D11349" s="7">
        <f>DATE(2005,5,14)</f>
        <v>38486</v>
      </c>
      <c r="E11349" s="8">
        <f t="shared" si="189"/>
        <v>2005</v>
      </c>
      <c r="F11349" t="s">
        <v>1821</v>
      </c>
      <c r="G11349" s="9">
        <v>47359.25</v>
      </c>
      <c r="H11349" s="8">
        <v>3175</v>
      </c>
    </row>
    <row r="11350" spans="2:8" x14ac:dyDescent="0.4">
      <c r="B11350" t="s">
        <v>7</v>
      </c>
      <c r="C11350" t="s">
        <v>1820</v>
      </c>
      <c r="D11350" s="7">
        <f>DATE(2006,1,19)</f>
        <v>38736</v>
      </c>
      <c r="E11350" s="8">
        <f t="shared" si="189"/>
        <v>2006</v>
      </c>
      <c r="F11350" t="s">
        <v>1821</v>
      </c>
      <c r="G11350" s="9">
        <v>7793.27</v>
      </c>
      <c r="H11350" s="8">
        <v>3960</v>
      </c>
    </row>
    <row r="11351" spans="2:8" x14ac:dyDescent="0.4">
      <c r="B11351" t="s">
        <v>7</v>
      </c>
      <c r="C11351" t="s">
        <v>1820</v>
      </c>
      <c r="D11351" s="7">
        <f>DATE(2006,3,31)</f>
        <v>38807</v>
      </c>
      <c r="E11351" s="8">
        <f t="shared" si="189"/>
        <v>2006</v>
      </c>
      <c r="F11351" t="s">
        <v>1821</v>
      </c>
      <c r="G11351" s="9">
        <v>65393.89</v>
      </c>
      <c r="H11351" s="8">
        <v>3880</v>
      </c>
    </row>
    <row r="11352" spans="2:8" x14ac:dyDescent="0.4">
      <c r="B11352" t="s">
        <v>7</v>
      </c>
      <c r="C11352" t="s">
        <v>1820</v>
      </c>
      <c r="D11352" s="7">
        <f>DATE(2007,5,1)</f>
        <v>39203</v>
      </c>
      <c r="E11352" s="8">
        <f t="shared" si="189"/>
        <v>2007</v>
      </c>
      <c r="F11352" t="s">
        <v>1821</v>
      </c>
      <c r="G11352" s="9">
        <v>44146.61</v>
      </c>
      <c r="H11352" s="8">
        <v>5734</v>
      </c>
    </row>
    <row r="11353" spans="2:8" x14ac:dyDescent="0.4">
      <c r="B11353" t="s">
        <v>7</v>
      </c>
      <c r="C11353" t="s">
        <v>1820</v>
      </c>
      <c r="D11353" s="7">
        <f>DATE(2007,5,1)</f>
        <v>39203</v>
      </c>
      <c r="E11353" s="8">
        <f t="shared" si="189"/>
        <v>2007</v>
      </c>
      <c r="F11353" t="s">
        <v>1821</v>
      </c>
      <c r="G11353" s="9">
        <v>3816.26</v>
      </c>
      <c r="H11353" s="8">
        <v>5759</v>
      </c>
    </row>
    <row r="11354" spans="2:8" x14ac:dyDescent="0.4">
      <c r="B11354" t="s">
        <v>7</v>
      </c>
      <c r="C11354" t="s">
        <v>1820</v>
      </c>
      <c r="D11354" s="7">
        <f>DATE(2007,5,5)</f>
        <v>39207</v>
      </c>
      <c r="E11354" s="8">
        <f t="shared" si="189"/>
        <v>2007</v>
      </c>
      <c r="F11354" t="s">
        <v>1821</v>
      </c>
      <c r="G11354" s="9">
        <v>38035.75</v>
      </c>
      <c r="H11354" s="8">
        <v>5347</v>
      </c>
    </row>
    <row r="11355" spans="2:8" x14ac:dyDescent="0.4">
      <c r="B11355" t="s">
        <v>7</v>
      </c>
      <c r="C11355" t="s">
        <v>1820</v>
      </c>
      <c r="D11355" s="7">
        <f>DATE(2007,6,1)</f>
        <v>39234</v>
      </c>
      <c r="E11355" s="8">
        <f t="shared" si="189"/>
        <v>2007</v>
      </c>
      <c r="F11355" t="s">
        <v>1821</v>
      </c>
      <c r="G11355" s="9">
        <v>5940.17</v>
      </c>
      <c r="H11355" s="8">
        <v>5960</v>
      </c>
    </row>
    <row r="11356" spans="2:8" x14ac:dyDescent="0.4">
      <c r="B11356" t="s">
        <v>7</v>
      </c>
      <c r="C11356" t="s">
        <v>1820</v>
      </c>
      <c r="D11356" s="7">
        <f>DATE(2007,12,12)</f>
        <v>39428</v>
      </c>
      <c r="E11356" s="8">
        <f t="shared" si="189"/>
        <v>2007</v>
      </c>
      <c r="F11356" t="s">
        <v>1821</v>
      </c>
      <c r="G11356" s="9">
        <v>10608.5</v>
      </c>
      <c r="H11356" s="8">
        <v>6634</v>
      </c>
    </row>
    <row r="11357" spans="2:8" x14ac:dyDescent="0.4">
      <c r="B11357" t="s">
        <v>7</v>
      </c>
      <c r="C11357" t="s">
        <v>1820</v>
      </c>
      <c r="D11357" s="7">
        <f>DATE(2007,12,11)</f>
        <v>39427</v>
      </c>
      <c r="E11357" s="8">
        <f t="shared" si="189"/>
        <v>2007</v>
      </c>
      <c r="F11357" t="s">
        <v>1821</v>
      </c>
      <c r="G11357" s="9">
        <v>6831.27</v>
      </c>
      <c r="H11357" s="8">
        <v>6621</v>
      </c>
    </row>
    <row r="11358" spans="2:8" x14ac:dyDescent="0.4">
      <c r="B11358" t="s">
        <v>7</v>
      </c>
      <c r="C11358" t="s">
        <v>1820</v>
      </c>
      <c r="D11358" s="7">
        <f>DATE(2008,10,21)</f>
        <v>39742</v>
      </c>
      <c r="E11358" s="8">
        <f t="shared" si="189"/>
        <v>2008</v>
      </c>
      <c r="F11358" t="s">
        <v>1821</v>
      </c>
      <c r="G11358" s="9">
        <v>47470.17</v>
      </c>
      <c r="H11358" s="8">
        <v>7687</v>
      </c>
    </row>
    <row r="11359" spans="2:8" x14ac:dyDescent="0.4">
      <c r="B11359" t="s">
        <v>7</v>
      </c>
      <c r="C11359" t="s">
        <v>1820</v>
      </c>
      <c r="D11359" s="7">
        <f>DATE(2008,11,11)</f>
        <v>39763</v>
      </c>
      <c r="E11359" s="8">
        <f t="shared" si="189"/>
        <v>2008</v>
      </c>
      <c r="F11359" t="s">
        <v>1821</v>
      </c>
      <c r="G11359" s="9">
        <v>19228.189999999999</v>
      </c>
      <c r="H11359" s="8">
        <v>7969</v>
      </c>
    </row>
    <row r="11360" spans="2:8" x14ac:dyDescent="0.4">
      <c r="B11360" t="s">
        <v>7</v>
      </c>
      <c r="C11360" t="s">
        <v>1820</v>
      </c>
      <c r="D11360" s="7">
        <f>DATE(2008,11,3)</f>
        <v>39755</v>
      </c>
      <c r="E11360" s="8">
        <f t="shared" si="189"/>
        <v>2008</v>
      </c>
      <c r="F11360" t="s">
        <v>1821</v>
      </c>
      <c r="G11360" s="9">
        <v>6913.22</v>
      </c>
      <c r="H11360" s="8">
        <v>8006</v>
      </c>
    </row>
    <row r="11361" spans="2:8" x14ac:dyDescent="0.4">
      <c r="B11361" t="s">
        <v>7</v>
      </c>
      <c r="C11361" t="s">
        <v>1820</v>
      </c>
      <c r="D11361" s="7">
        <f>DATE(2008,12,17)</f>
        <v>39799</v>
      </c>
      <c r="E11361" s="8">
        <f t="shared" si="189"/>
        <v>2008</v>
      </c>
      <c r="F11361" t="s">
        <v>1821</v>
      </c>
      <c r="G11361" s="9">
        <v>8325.75</v>
      </c>
      <c r="H11361" s="8">
        <v>8112</v>
      </c>
    </row>
    <row r="11362" spans="2:8" x14ac:dyDescent="0.4">
      <c r="B11362" t="s">
        <v>7</v>
      </c>
      <c r="C11362" t="s">
        <v>1820</v>
      </c>
      <c r="D11362" s="7">
        <f>DATE(2009,9,19)</f>
        <v>40075</v>
      </c>
      <c r="E11362" s="8">
        <f t="shared" si="189"/>
        <v>2009</v>
      </c>
      <c r="F11362" t="s">
        <v>1821</v>
      </c>
      <c r="G11362" s="9">
        <v>36059.300000000003</v>
      </c>
      <c r="H11362" s="8">
        <v>9087</v>
      </c>
    </row>
    <row r="11363" spans="2:8" x14ac:dyDescent="0.4">
      <c r="B11363" t="s">
        <v>7</v>
      </c>
      <c r="C11363" t="s">
        <v>1820</v>
      </c>
      <c r="D11363" s="7">
        <f>DATE(2009,9,25)</f>
        <v>40081</v>
      </c>
      <c r="E11363" s="8">
        <f t="shared" si="189"/>
        <v>2009</v>
      </c>
      <c r="F11363" t="s">
        <v>1821</v>
      </c>
      <c r="G11363" s="9">
        <v>503.28</v>
      </c>
      <c r="H11363" s="8">
        <v>9107</v>
      </c>
    </row>
    <row r="11364" spans="2:8" x14ac:dyDescent="0.4">
      <c r="B11364" t="s">
        <v>7</v>
      </c>
      <c r="C11364" t="s">
        <v>1820</v>
      </c>
      <c r="D11364" s="7">
        <f>DATE(2010,4,7)</f>
        <v>40275</v>
      </c>
      <c r="E11364" s="8">
        <f t="shared" si="189"/>
        <v>2010</v>
      </c>
      <c r="F11364" t="s">
        <v>1821</v>
      </c>
      <c r="G11364" s="9">
        <v>11763.01</v>
      </c>
      <c r="H11364" s="8">
        <v>9647</v>
      </c>
    </row>
    <row r="11365" spans="2:8" x14ac:dyDescent="0.4">
      <c r="B11365" t="s">
        <v>7</v>
      </c>
      <c r="C11365" t="s">
        <v>1820</v>
      </c>
      <c r="D11365" s="7">
        <f>DATE(2011,6,6)</f>
        <v>40700</v>
      </c>
      <c r="E11365" s="8">
        <f t="shared" si="189"/>
        <v>2011</v>
      </c>
      <c r="F11365" t="s">
        <v>1821</v>
      </c>
      <c r="G11365" s="9">
        <v>12073.08</v>
      </c>
      <c r="H11365" s="8">
        <v>10777</v>
      </c>
    </row>
    <row r="11366" spans="2:8" x14ac:dyDescent="0.4">
      <c r="B11366" t="s">
        <v>7</v>
      </c>
      <c r="C11366" t="s">
        <v>1820</v>
      </c>
      <c r="D11366" s="7">
        <f>DATE(2011,6,6)</f>
        <v>40700</v>
      </c>
      <c r="E11366" s="8">
        <f t="shared" si="189"/>
        <v>2011</v>
      </c>
      <c r="F11366" t="s">
        <v>1821</v>
      </c>
      <c r="G11366" s="9">
        <v>20672.37</v>
      </c>
      <c r="H11366" s="8">
        <v>10422</v>
      </c>
    </row>
    <row r="11367" spans="2:8" x14ac:dyDescent="0.4">
      <c r="B11367" t="s">
        <v>7</v>
      </c>
      <c r="C11367" t="s">
        <v>1820</v>
      </c>
      <c r="D11367" s="7">
        <f>DATE(2011,6,6)</f>
        <v>40700</v>
      </c>
      <c r="E11367" s="8">
        <f t="shared" si="189"/>
        <v>2011</v>
      </c>
      <c r="F11367" t="s">
        <v>1821</v>
      </c>
      <c r="G11367" s="9">
        <v>39397.75</v>
      </c>
      <c r="H11367" s="8">
        <v>10421</v>
      </c>
    </row>
    <row r="11368" spans="2:8" x14ac:dyDescent="0.4">
      <c r="B11368" t="s">
        <v>7</v>
      </c>
      <c r="C11368" t="s">
        <v>1820</v>
      </c>
      <c r="D11368" s="7">
        <f>DATE(2012,6,1)</f>
        <v>41061</v>
      </c>
      <c r="E11368" s="8">
        <f t="shared" si="189"/>
        <v>2012</v>
      </c>
      <c r="F11368" t="s">
        <v>1821</v>
      </c>
      <c r="G11368" s="9">
        <v>48878.52</v>
      </c>
      <c r="H11368" s="8">
        <v>11657</v>
      </c>
    </row>
    <row r="11369" spans="2:8" x14ac:dyDescent="0.4">
      <c r="B11369" t="s">
        <v>7</v>
      </c>
      <c r="C11369" t="s">
        <v>1820</v>
      </c>
      <c r="D11369" s="7">
        <f>DATE(2013,5,7)</f>
        <v>41401</v>
      </c>
      <c r="E11369" s="8">
        <f t="shared" si="189"/>
        <v>2013</v>
      </c>
      <c r="F11369" t="s">
        <v>1821</v>
      </c>
      <c r="G11369" s="9">
        <v>3749</v>
      </c>
      <c r="H11369" s="8">
        <v>12223</v>
      </c>
    </row>
    <row r="11370" spans="2:8" x14ac:dyDescent="0.4">
      <c r="B11370" t="s">
        <v>7</v>
      </c>
      <c r="C11370" t="s">
        <v>1820</v>
      </c>
      <c r="D11370" s="7">
        <f>DATE(2013,5,7)</f>
        <v>41401</v>
      </c>
      <c r="E11370" s="8">
        <f t="shared" si="189"/>
        <v>2013</v>
      </c>
      <c r="F11370" t="s">
        <v>1821</v>
      </c>
      <c r="G11370" s="9">
        <v>12096.54</v>
      </c>
      <c r="H11370" s="8">
        <v>12224</v>
      </c>
    </row>
    <row r="11371" spans="2:8" x14ac:dyDescent="0.4">
      <c r="B11371" t="s">
        <v>7</v>
      </c>
      <c r="C11371" t="s">
        <v>1820</v>
      </c>
      <c r="D11371" s="7">
        <f>DATE(2013,5,7)</f>
        <v>41401</v>
      </c>
      <c r="E11371" s="8">
        <f t="shared" si="189"/>
        <v>2013</v>
      </c>
      <c r="F11371" t="s">
        <v>1821</v>
      </c>
      <c r="G11371" s="9">
        <v>62097.36</v>
      </c>
      <c r="H11371" s="8">
        <v>12222</v>
      </c>
    </row>
    <row r="11372" spans="2:8" x14ac:dyDescent="0.4">
      <c r="B11372" t="s">
        <v>7</v>
      </c>
      <c r="C11372" t="s">
        <v>1820</v>
      </c>
      <c r="D11372" s="7">
        <f>DATE(2013,5,21)</f>
        <v>41415</v>
      </c>
      <c r="E11372" s="8">
        <f t="shared" si="189"/>
        <v>2013</v>
      </c>
      <c r="F11372" t="s">
        <v>1821</v>
      </c>
      <c r="G11372" s="9">
        <v>8583.5400000000009</v>
      </c>
      <c r="H11372" s="8">
        <v>12444</v>
      </c>
    </row>
    <row r="11373" spans="2:8" x14ac:dyDescent="0.4">
      <c r="B11373" t="s">
        <v>7</v>
      </c>
      <c r="C11373" t="s">
        <v>1820</v>
      </c>
      <c r="D11373" s="7">
        <f>DATE(2014,5,2)</f>
        <v>41761</v>
      </c>
      <c r="E11373" s="8">
        <f t="shared" si="189"/>
        <v>2014</v>
      </c>
      <c r="F11373" t="s">
        <v>1821</v>
      </c>
      <c r="G11373" s="9">
        <v>34166.129999999997</v>
      </c>
      <c r="H11373" s="8">
        <v>12895</v>
      </c>
    </row>
    <row r="11374" spans="2:8" x14ac:dyDescent="0.4">
      <c r="B11374" t="s">
        <v>7</v>
      </c>
      <c r="C11374" t="s">
        <v>1820</v>
      </c>
      <c r="D11374" s="7">
        <f>DATE(2010,10,8)</f>
        <v>40459</v>
      </c>
      <c r="E11374" s="8">
        <f t="shared" si="189"/>
        <v>2010</v>
      </c>
      <c r="F11374" t="s">
        <v>1821</v>
      </c>
      <c r="G11374" s="9">
        <v>4483.97</v>
      </c>
      <c r="H11374" s="8">
        <v>10171</v>
      </c>
    </row>
    <row r="11375" spans="2:8" x14ac:dyDescent="0.4">
      <c r="B11375" t="s">
        <v>7</v>
      </c>
      <c r="C11375" t="s">
        <v>1820</v>
      </c>
      <c r="D11375" s="7">
        <f>DATE(2011,3,23)</f>
        <v>40625</v>
      </c>
      <c r="E11375" s="8">
        <f t="shared" si="189"/>
        <v>2011</v>
      </c>
      <c r="F11375" t="s">
        <v>1821</v>
      </c>
      <c r="G11375" s="9">
        <v>11919.01</v>
      </c>
      <c r="H11375" s="8">
        <v>10564</v>
      </c>
    </row>
    <row r="11376" spans="2:8" x14ac:dyDescent="0.4">
      <c r="B11376" t="s">
        <v>7</v>
      </c>
      <c r="C11376" t="s">
        <v>1820</v>
      </c>
      <c r="D11376" s="7">
        <f>DATE(2014,6,19)</f>
        <v>41809</v>
      </c>
      <c r="E11376" s="8">
        <f t="shared" si="189"/>
        <v>2014</v>
      </c>
      <c r="F11376" t="s">
        <v>1821</v>
      </c>
      <c r="G11376" s="9">
        <v>13472.4</v>
      </c>
      <c r="H11376" s="8">
        <v>13250</v>
      </c>
    </row>
    <row r="11377" spans="2:8" x14ac:dyDescent="0.4">
      <c r="B11377" t="s">
        <v>16</v>
      </c>
      <c r="C11377" t="s">
        <v>1820</v>
      </c>
      <c r="D11377" s="7">
        <f>DATE(2008,12,1)</f>
        <v>39783</v>
      </c>
      <c r="E11377" s="8">
        <f t="shared" si="189"/>
        <v>2008</v>
      </c>
      <c r="F11377" t="s">
        <v>1821</v>
      </c>
      <c r="G11377" s="9">
        <v>59.2</v>
      </c>
      <c r="H11377" s="8">
        <v>8135</v>
      </c>
    </row>
    <row r="11378" spans="2:8" x14ac:dyDescent="0.4">
      <c r="B11378" t="s">
        <v>16</v>
      </c>
      <c r="C11378" t="s">
        <v>1820</v>
      </c>
      <c r="D11378" s="7">
        <f>DATE(2008,12,1)</f>
        <v>39783</v>
      </c>
      <c r="E11378" s="8">
        <f t="shared" si="189"/>
        <v>2008</v>
      </c>
      <c r="F11378" t="s">
        <v>1821</v>
      </c>
      <c r="G11378" s="9">
        <v>1667.9</v>
      </c>
      <c r="H11378" s="8">
        <v>8147</v>
      </c>
    </row>
    <row r="11379" spans="2:8" x14ac:dyDescent="0.4">
      <c r="B11379" s="3" t="s">
        <v>7</v>
      </c>
      <c r="C11379" s="3" t="s">
        <v>1820</v>
      </c>
      <c r="D11379" s="4">
        <f>DATE(2003,3,25)</f>
        <v>37705</v>
      </c>
      <c r="E11379" s="5">
        <f t="shared" si="189"/>
        <v>2003</v>
      </c>
      <c r="F11379" s="3" t="s">
        <v>1821</v>
      </c>
      <c r="G11379" s="6">
        <v>108</v>
      </c>
      <c r="H11379" s="5">
        <v>588</v>
      </c>
    </row>
    <row r="11380" spans="2:8" x14ac:dyDescent="0.4">
      <c r="B11380" s="3" t="s">
        <v>7</v>
      </c>
      <c r="C11380" s="3" t="s">
        <v>1820</v>
      </c>
      <c r="D11380" s="4">
        <f>DATE(2003,3,25)</f>
        <v>37705</v>
      </c>
      <c r="E11380" s="5">
        <f t="shared" si="189"/>
        <v>2003</v>
      </c>
      <c r="F11380" s="3" t="s">
        <v>1821</v>
      </c>
      <c r="G11380" s="6">
        <v>207.4</v>
      </c>
      <c r="H11380" s="5">
        <v>587</v>
      </c>
    </row>
    <row r="11381" spans="2:8" x14ac:dyDescent="0.4">
      <c r="B11381" s="3" t="s">
        <v>7</v>
      </c>
      <c r="C11381" s="3" t="s">
        <v>1820</v>
      </c>
      <c r="D11381" s="4">
        <f>DATE(2003,3,28)</f>
        <v>37708</v>
      </c>
      <c r="E11381" s="5">
        <f t="shared" si="189"/>
        <v>2003</v>
      </c>
      <c r="F11381" s="3" t="s">
        <v>1821</v>
      </c>
      <c r="G11381" s="6">
        <v>2160</v>
      </c>
      <c r="H11381" s="5">
        <v>634</v>
      </c>
    </row>
    <row r="11382" spans="2:8" x14ac:dyDescent="0.4">
      <c r="B11382" s="3" t="s">
        <v>7</v>
      </c>
      <c r="C11382" s="3" t="s">
        <v>1820</v>
      </c>
      <c r="D11382" s="4">
        <f>DATE(2003,10,10)</f>
        <v>37904</v>
      </c>
      <c r="E11382" s="5">
        <f t="shared" si="189"/>
        <v>2003</v>
      </c>
      <c r="F11382" s="3" t="s">
        <v>1821</v>
      </c>
      <c r="G11382" s="6">
        <v>1472</v>
      </c>
      <c r="H11382" s="5">
        <v>1635</v>
      </c>
    </row>
    <row r="11383" spans="2:8" x14ac:dyDescent="0.4">
      <c r="B11383" s="3" t="s">
        <v>7</v>
      </c>
      <c r="C11383" s="3" t="s">
        <v>1820</v>
      </c>
      <c r="D11383" s="4">
        <f>DATE(2003,10,14)</f>
        <v>37908</v>
      </c>
      <c r="E11383" s="5">
        <f t="shared" si="189"/>
        <v>2003</v>
      </c>
      <c r="F11383" s="3" t="s">
        <v>1821</v>
      </c>
      <c r="G11383" s="6">
        <v>32</v>
      </c>
      <c r="H11383" s="5">
        <v>1655</v>
      </c>
    </row>
    <row r="11384" spans="2:8" x14ac:dyDescent="0.4">
      <c r="B11384" s="3" t="s">
        <v>7</v>
      </c>
      <c r="C11384" s="3" t="s">
        <v>1820</v>
      </c>
      <c r="D11384" s="4">
        <f>DATE(2003,11,20)</f>
        <v>37945</v>
      </c>
      <c r="E11384" s="5">
        <f t="shared" si="189"/>
        <v>2003</v>
      </c>
      <c r="F11384" s="3" t="s">
        <v>1821</v>
      </c>
      <c r="G11384" s="6">
        <v>2160</v>
      </c>
      <c r="H11384" s="5">
        <v>1805</v>
      </c>
    </row>
    <row r="11385" spans="2:8" x14ac:dyDescent="0.4">
      <c r="B11385" s="3" t="s">
        <v>7</v>
      </c>
      <c r="C11385" s="3" t="s">
        <v>1820</v>
      </c>
      <c r="D11385" s="4">
        <f>DATE(2004,1,13)</f>
        <v>37999</v>
      </c>
      <c r="E11385" s="5">
        <f t="shared" si="189"/>
        <v>2004</v>
      </c>
      <c r="F11385" s="3" t="s">
        <v>1821</v>
      </c>
      <c r="G11385" s="6">
        <v>106</v>
      </c>
      <c r="H11385" s="5">
        <v>1983</v>
      </c>
    </row>
    <row r="11386" spans="2:8" x14ac:dyDescent="0.4">
      <c r="B11386" s="3" t="s">
        <v>7</v>
      </c>
      <c r="C11386" s="3" t="s">
        <v>1820</v>
      </c>
      <c r="D11386" s="4">
        <f>DATE(2004,1,29)</f>
        <v>38015</v>
      </c>
      <c r="E11386" s="5">
        <f t="shared" si="189"/>
        <v>2004</v>
      </c>
      <c r="F11386" s="3" t="s">
        <v>1821</v>
      </c>
      <c r="G11386" s="6">
        <v>4320</v>
      </c>
      <c r="H11386" s="5">
        <v>2073</v>
      </c>
    </row>
    <row r="11387" spans="2:8" x14ac:dyDescent="0.4">
      <c r="B11387" s="3" t="s">
        <v>7</v>
      </c>
      <c r="C11387" s="3" t="s">
        <v>1820</v>
      </c>
      <c r="D11387" s="4">
        <f>DATE(2004,3,12)</f>
        <v>38058</v>
      </c>
      <c r="E11387" s="5">
        <f t="shared" si="189"/>
        <v>2004</v>
      </c>
      <c r="F11387" s="3" t="s">
        <v>1821</v>
      </c>
      <c r="G11387" s="6">
        <v>64</v>
      </c>
      <c r="H11387" s="5">
        <v>2379</v>
      </c>
    </row>
    <row r="11388" spans="2:8" x14ac:dyDescent="0.4">
      <c r="B11388" s="3" t="s">
        <v>7</v>
      </c>
      <c r="C11388" s="3" t="s">
        <v>1820</v>
      </c>
      <c r="D11388" s="4">
        <f>DATE(2004,6,30)</f>
        <v>38168</v>
      </c>
      <c r="E11388" s="5">
        <f t="shared" si="189"/>
        <v>2004</v>
      </c>
      <c r="F11388" s="3" t="s">
        <v>1821</v>
      </c>
      <c r="G11388" s="6">
        <v>1440</v>
      </c>
      <c r="H11388" s="5">
        <v>3090</v>
      </c>
    </row>
    <row r="11389" spans="2:8" x14ac:dyDescent="0.4">
      <c r="B11389" s="3" t="s">
        <v>7</v>
      </c>
      <c r="C11389" s="3" t="s">
        <v>1820</v>
      </c>
      <c r="D11389" s="4">
        <f>DATE(2004,12,2)</f>
        <v>38323</v>
      </c>
      <c r="E11389" s="5">
        <f t="shared" si="189"/>
        <v>2004</v>
      </c>
      <c r="F11389" s="3" t="s">
        <v>1821</v>
      </c>
      <c r="G11389" s="6">
        <v>3080</v>
      </c>
      <c r="H11389" s="5">
        <v>3789</v>
      </c>
    </row>
    <row r="11390" spans="2:8" x14ac:dyDescent="0.4">
      <c r="B11390" s="3" t="s">
        <v>7</v>
      </c>
      <c r="C11390" s="3" t="s">
        <v>1820</v>
      </c>
      <c r="D11390" s="4">
        <f>DATE(2006,1,19)</f>
        <v>38736</v>
      </c>
      <c r="E11390" s="5">
        <f t="shared" si="189"/>
        <v>2006</v>
      </c>
      <c r="F11390" s="3" t="s">
        <v>1821</v>
      </c>
      <c r="G11390" s="6">
        <v>3040</v>
      </c>
      <c r="H11390" s="5">
        <v>5869</v>
      </c>
    </row>
    <row r="11391" spans="2:8" x14ac:dyDescent="0.4">
      <c r="B11391" s="3" t="s">
        <v>7</v>
      </c>
      <c r="C11391" s="3" t="s">
        <v>1820</v>
      </c>
      <c r="D11391" s="4">
        <f>DATE(2006,1,27)</f>
        <v>38744</v>
      </c>
      <c r="E11391" s="5">
        <f t="shared" si="189"/>
        <v>2006</v>
      </c>
      <c r="F11391" s="3" t="s">
        <v>1821</v>
      </c>
      <c r="G11391" s="6">
        <v>272</v>
      </c>
      <c r="H11391" s="5">
        <v>5924</v>
      </c>
    </row>
    <row r="11392" spans="2:8" x14ac:dyDescent="0.4">
      <c r="B11392" s="3" t="s">
        <v>7</v>
      </c>
      <c r="C11392" s="3" t="s">
        <v>1820</v>
      </c>
      <c r="D11392" s="4">
        <f>DATE(2006,5,17)</f>
        <v>38854</v>
      </c>
      <c r="E11392" s="5">
        <f t="shared" si="189"/>
        <v>2006</v>
      </c>
      <c r="F11392" s="3" t="s">
        <v>1821</v>
      </c>
      <c r="G11392" s="6">
        <v>5700</v>
      </c>
      <c r="H11392" s="5">
        <v>6731</v>
      </c>
    </row>
    <row r="11393" spans="2:8" x14ac:dyDescent="0.4">
      <c r="B11393" s="3" t="s">
        <v>7</v>
      </c>
      <c r="C11393" s="3" t="s">
        <v>1820</v>
      </c>
      <c r="D11393" s="4">
        <f>DATE(2006,9,22)</f>
        <v>38982</v>
      </c>
      <c r="E11393" s="5">
        <f t="shared" si="189"/>
        <v>2006</v>
      </c>
      <c r="F11393" s="3" t="s">
        <v>1821</v>
      </c>
      <c r="G11393" s="6">
        <v>1520</v>
      </c>
      <c r="H11393" s="5">
        <v>7282</v>
      </c>
    </row>
    <row r="11394" spans="2:8" x14ac:dyDescent="0.4">
      <c r="B11394" s="3" t="s">
        <v>7</v>
      </c>
      <c r="C11394" s="3" t="s">
        <v>1820</v>
      </c>
      <c r="D11394" s="4">
        <f>DATE(2006,9,27)</f>
        <v>38987</v>
      </c>
      <c r="E11394" s="5">
        <f t="shared" si="189"/>
        <v>2006</v>
      </c>
      <c r="F11394" s="3" t="s">
        <v>1821</v>
      </c>
      <c r="G11394" s="6">
        <v>204</v>
      </c>
      <c r="H11394" s="5">
        <v>7312</v>
      </c>
    </row>
    <row r="11395" spans="2:8" x14ac:dyDescent="0.4">
      <c r="B11395" s="3" t="s">
        <v>7</v>
      </c>
      <c r="C11395" s="3" t="s">
        <v>1820</v>
      </c>
      <c r="D11395" s="4">
        <f>DATE(2006,11,8)</f>
        <v>39029</v>
      </c>
      <c r="E11395" s="5">
        <f t="shared" ref="E11395:E11458" si="190">YEAR(D11395)</f>
        <v>2006</v>
      </c>
      <c r="F11395" s="3" t="s">
        <v>1821</v>
      </c>
      <c r="G11395" s="6">
        <v>205.5</v>
      </c>
      <c r="H11395" s="5">
        <v>7487</v>
      </c>
    </row>
    <row r="11396" spans="2:8" x14ac:dyDescent="0.4">
      <c r="B11396" s="3" t="s">
        <v>7</v>
      </c>
      <c r="C11396" s="3" t="s">
        <v>1820</v>
      </c>
      <c r="D11396" s="4">
        <f>DATE(2007,3,28)</f>
        <v>39169</v>
      </c>
      <c r="E11396" s="5">
        <f t="shared" si="190"/>
        <v>2007</v>
      </c>
      <c r="F11396" s="3" t="s">
        <v>1821</v>
      </c>
      <c r="G11396" s="6">
        <v>178.21</v>
      </c>
      <c r="H11396" s="5">
        <v>8261</v>
      </c>
    </row>
    <row r="11397" spans="2:8" x14ac:dyDescent="0.4">
      <c r="B11397" s="3" t="s">
        <v>7</v>
      </c>
      <c r="C11397" s="3" t="s">
        <v>1820</v>
      </c>
      <c r="D11397" s="4">
        <f>DATE(2007,3,27)</f>
        <v>39168</v>
      </c>
      <c r="E11397" s="5">
        <f t="shared" si="190"/>
        <v>2007</v>
      </c>
      <c r="F11397" s="3" t="s">
        <v>1821</v>
      </c>
      <c r="G11397" s="6">
        <v>1692.73</v>
      </c>
      <c r="H11397" s="5">
        <v>8251</v>
      </c>
    </row>
    <row r="11398" spans="2:8" x14ac:dyDescent="0.4">
      <c r="B11398" s="3" t="s">
        <v>7</v>
      </c>
      <c r="C11398" s="3" t="s">
        <v>1820</v>
      </c>
      <c r="D11398" s="4">
        <f>DATE(2007,11,30)</f>
        <v>39416</v>
      </c>
      <c r="E11398" s="5">
        <f t="shared" si="190"/>
        <v>2007</v>
      </c>
      <c r="F11398" s="3" t="s">
        <v>1821</v>
      </c>
      <c r="G11398" s="6">
        <v>6270</v>
      </c>
      <c r="H11398" s="5">
        <v>9527</v>
      </c>
    </row>
    <row r="11399" spans="2:8" x14ac:dyDescent="0.4">
      <c r="B11399" s="3" t="s">
        <v>7</v>
      </c>
      <c r="C11399" s="3" t="s">
        <v>1820</v>
      </c>
      <c r="D11399" s="4">
        <f>DATE(2008,11,12)</f>
        <v>39764</v>
      </c>
      <c r="E11399" s="5">
        <f t="shared" si="190"/>
        <v>2008</v>
      </c>
      <c r="F11399" s="3" t="s">
        <v>1821</v>
      </c>
      <c r="G11399" s="6">
        <v>205.5</v>
      </c>
      <c r="H11399" s="5">
        <v>11572</v>
      </c>
    </row>
    <row r="11400" spans="2:8" x14ac:dyDescent="0.4">
      <c r="B11400" s="3" t="s">
        <v>7</v>
      </c>
      <c r="C11400" s="3" t="s">
        <v>1820</v>
      </c>
      <c r="D11400" s="4">
        <f>DATE(2011,6,6)</f>
        <v>40700</v>
      </c>
      <c r="E11400" s="5">
        <f t="shared" si="190"/>
        <v>2011</v>
      </c>
      <c r="F11400" s="3" t="s">
        <v>1821</v>
      </c>
      <c r="G11400" s="6">
        <v>164.4</v>
      </c>
      <c r="H11400" s="5">
        <v>15641</v>
      </c>
    </row>
    <row r="11401" spans="2:8" x14ac:dyDescent="0.4">
      <c r="B11401" s="3" t="s">
        <v>7</v>
      </c>
      <c r="C11401" s="3" t="s">
        <v>1820</v>
      </c>
      <c r="D11401" s="4">
        <f>DATE(2011,6,10)</f>
        <v>40704</v>
      </c>
      <c r="E11401" s="5">
        <f t="shared" si="190"/>
        <v>2011</v>
      </c>
      <c r="F11401" s="3" t="s">
        <v>1821</v>
      </c>
      <c r="G11401" s="6">
        <v>863.1</v>
      </c>
      <c r="H11401" s="5">
        <v>15669</v>
      </c>
    </row>
    <row r="11402" spans="2:8" x14ac:dyDescent="0.4">
      <c r="B11402" s="3" t="s">
        <v>7</v>
      </c>
      <c r="C11402" s="3" t="s">
        <v>1820</v>
      </c>
      <c r="D11402" s="4">
        <f>DATE(2013,5,23)</f>
        <v>41417</v>
      </c>
      <c r="E11402" s="5">
        <f t="shared" si="190"/>
        <v>2013</v>
      </c>
      <c r="F11402" s="3" t="s">
        <v>1821</v>
      </c>
      <c r="G11402" s="6">
        <v>682.26</v>
      </c>
      <c r="H11402" s="5">
        <v>18562</v>
      </c>
    </row>
    <row r="11403" spans="2:8" x14ac:dyDescent="0.4">
      <c r="B11403" s="3" t="s">
        <v>16</v>
      </c>
      <c r="C11403" s="3" t="s">
        <v>1820</v>
      </c>
      <c r="D11403" s="4">
        <f>DATE(2003,2,24)</f>
        <v>37676</v>
      </c>
      <c r="E11403" s="5">
        <f t="shared" si="190"/>
        <v>2003</v>
      </c>
      <c r="F11403" s="3" t="s">
        <v>1821</v>
      </c>
      <c r="G11403" s="6">
        <v>1012.5</v>
      </c>
      <c r="H11403" s="5">
        <v>424</v>
      </c>
    </row>
    <row r="11404" spans="2:8" x14ac:dyDescent="0.4">
      <c r="B11404" t="s">
        <v>7</v>
      </c>
      <c r="C11404" t="s">
        <v>1822</v>
      </c>
      <c r="D11404" s="7">
        <f>DATE(2015,2,9)</f>
        <v>42044</v>
      </c>
      <c r="E11404" s="8">
        <f t="shared" si="190"/>
        <v>2015</v>
      </c>
      <c r="F11404" t="s">
        <v>1823</v>
      </c>
      <c r="G11404" s="9">
        <v>50168.61</v>
      </c>
      <c r="H11404" s="8">
        <v>41</v>
      </c>
    </row>
    <row r="11405" spans="2:8" x14ac:dyDescent="0.4">
      <c r="B11405" t="s">
        <v>7</v>
      </c>
      <c r="C11405" t="s">
        <v>1822</v>
      </c>
      <c r="D11405" s="7">
        <f>DATE(2015,5,19)</f>
        <v>42143</v>
      </c>
      <c r="E11405" s="8">
        <f t="shared" si="190"/>
        <v>2015</v>
      </c>
      <c r="F11405" t="s">
        <v>1823</v>
      </c>
      <c r="G11405" s="9">
        <v>32443.22</v>
      </c>
      <c r="H11405" s="8">
        <v>20186</v>
      </c>
    </row>
    <row r="11406" spans="2:8" x14ac:dyDescent="0.4">
      <c r="B11406" t="s">
        <v>7</v>
      </c>
      <c r="C11406" t="s">
        <v>1822</v>
      </c>
      <c r="D11406" s="7">
        <f>DATE(2016,5,2)</f>
        <v>42492</v>
      </c>
      <c r="E11406" s="8">
        <f t="shared" si="190"/>
        <v>2016</v>
      </c>
      <c r="F11406" t="s">
        <v>1823</v>
      </c>
      <c r="G11406" s="9">
        <v>43776.2</v>
      </c>
      <c r="H11406" s="8">
        <v>22201</v>
      </c>
    </row>
    <row r="11407" spans="2:8" x14ac:dyDescent="0.4">
      <c r="B11407" t="s">
        <v>7</v>
      </c>
      <c r="C11407" t="s">
        <v>1822</v>
      </c>
      <c r="D11407" s="7">
        <f>DATE(2017,2,13)</f>
        <v>42779</v>
      </c>
      <c r="E11407" s="8">
        <f t="shared" si="190"/>
        <v>2017</v>
      </c>
      <c r="F11407" t="s">
        <v>1823</v>
      </c>
      <c r="G11407" s="9">
        <v>35711</v>
      </c>
      <c r="H11407" s="8">
        <v>24120</v>
      </c>
    </row>
    <row r="11408" spans="2:8" x14ac:dyDescent="0.4">
      <c r="B11408" t="s">
        <v>7</v>
      </c>
      <c r="C11408" t="s">
        <v>1822</v>
      </c>
      <c r="D11408" s="7">
        <f>DATE(2015,2,9)</f>
        <v>42044</v>
      </c>
      <c r="E11408" s="8">
        <f t="shared" si="190"/>
        <v>2015</v>
      </c>
      <c r="F11408" t="s">
        <v>1823</v>
      </c>
      <c r="G11408" s="9">
        <v>45047.15</v>
      </c>
      <c r="H11408" s="8">
        <v>52</v>
      </c>
    </row>
    <row r="11409" spans="2:8" x14ac:dyDescent="0.4">
      <c r="B11409" t="s">
        <v>7</v>
      </c>
      <c r="C11409" t="s">
        <v>1822</v>
      </c>
      <c r="D11409" s="7">
        <f>DATE(2015,5,19)</f>
        <v>42143</v>
      </c>
      <c r="E11409" s="8">
        <f t="shared" si="190"/>
        <v>2015</v>
      </c>
      <c r="F11409" t="s">
        <v>1823</v>
      </c>
      <c r="G11409" s="9">
        <v>5969.46</v>
      </c>
      <c r="H11409" s="8">
        <v>20198</v>
      </c>
    </row>
    <row r="11410" spans="2:8" x14ac:dyDescent="0.4">
      <c r="B11410" t="s">
        <v>7</v>
      </c>
      <c r="C11410" t="s">
        <v>1822</v>
      </c>
      <c r="D11410" s="7">
        <f>DATE(2015,2,10)</f>
        <v>42045</v>
      </c>
      <c r="E11410" s="8">
        <f t="shared" si="190"/>
        <v>2015</v>
      </c>
      <c r="F11410" t="s">
        <v>1823</v>
      </c>
      <c r="G11410" s="9">
        <v>1525.79</v>
      </c>
      <c r="H11410" s="8">
        <v>185</v>
      </c>
    </row>
    <row r="11411" spans="2:8" x14ac:dyDescent="0.4">
      <c r="B11411" t="s">
        <v>7</v>
      </c>
      <c r="C11411" t="s">
        <v>1822</v>
      </c>
      <c r="D11411" s="7">
        <f>DATE(2015,2,13)</f>
        <v>42048</v>
      </c>
      <c r="E11411" s="8">
        <f t="shared" si="190"/>
        <v>2015</v>
      </c>
      <c r="F11411" t="s">
        <v>1823</v>
      </c>
      <c r="G11411" s="9">
        <v>9071.7900000000009</v>
      </c>
      <c r="H11411" s="8">
        <v>263</v>
      </c>
    </row>
    <row r="11412" spans="2:8" x14ac:dyDescent="0.4">
      <c r="B11412" t="s">
        <v>7</v>
      </c>
      <c r="C11412" t="s">
        <v>1822</v>
      </c>
      <c r="D11412" s="7">
        <f>DATE(2015,2,24)</f>
        <v>42059</v>
      </c>
      <c r="E11412" s="8">
        <f t="shared" si="190"/>
        <v>2015</v>
      </c>
      <c r="F11412" t="s">
        <v>1823</v>
      </c>
      <c r="G11412" s="9">
        <v>2846.65</v>
      </c>
      <c r="H11412" s="8">
        <v>247</v>
      </c>
    </row>
    <row r="11413" spans="2:8" x14ac:dyDescent="0.4">
      <c r="B11413" t="s">
        <v>7</v>
      </c>
      <c r="C11413" t="s">
        <v>1822</v>
      </c>
      <c r="D11413" s="7">
        <f>DATE(2016,3,9)</f>
        <v>42438</v>
      </c>
      <c r="E11413" s="8">
        <f t="shared" si="190"/>
        <v>2016</v>
      </c>
      <c r="F11413" t="s">
        <v>1823</v>
      </c>
      <c r="G11413" s="9">
        <v>373.2</v>
      </c>
      <c r="H11413" s="8">
        <v>22316</v>
      </c>
    </row>
    <row r="11414" spans="2:8" x14ac:dyDescent="0.4">
      <c r="B11414" t="s">
        <v>7</v>
      </c>
      <c r="C11414" t="s">
        <v>1822</v>
      </c>
      <c r="D11414" s="7">
        <f>DATE(2016,3,30)</f>
        <v>42459</v>
      </c>
      <c r="E11414" s="8">
        <f t="shared" si="190"/>
        <v>2016</v>
      </c>
      <c r="F11414" t="s">
        <v>1823</v>
      </c>
      <c r="G11414" s="9">
        <v>1866</v>
      </c>
      <c r="H11414" s="8">
        <v>22534</v>
      </c>
    </row>
    <row r="11415" spans="2:8" x14ac:dyDescent="0.4">
      <c r="B11415" t="s">
        <v>7</v>
      </c>
      <c r="C11415" t="s">
        <v>1822</v>
      </c>
      <c r="D11415" s="7">
        <f>DATE(2016,4,26)</f>
        <v>42486</v>
      </c>
      <c r="E11415" s="8">
        <f t="shared" si="190"/>
        <v>2016</v>
      </c>
      <c r="F11415" t="s">
        <v>1823</v>
      </c>
      <c r="G11415" s="9">
        <v>523</v>
      </c>
      <c r="H11415" s="8">
        <v>22594</v>
      </c>
    </row>
    <row r="11416" spans="2:8" x14ac:dyDescent="0.4">
      <c r="B11416" t="s">
        <v>7</v>
      </c>
      <c r="C11416" t="s">
        <v>1822</v>
      </c>
      <c r="D11416" s="7">
        <f>DATE(2017,11,20)</f>
        <v>43059</v>
      </c>
      <c r="E11416" s="8">
        <f t="shared" si="190"/>
        <v>2017</v>
      </c>
      <c r="F11416" t="s">
        <v>1823</v>
      </c>
      <c r="G11416" s="9">
        <v>1225.2</v>
      </c>
      <c r="H11416" s="8">
        <v>25854</v>
      </c>
    </row>
    <row r="11417" spans="2:8" x14ac:dyDescent="0.4">
      <c r="B11417" t="s">
        <v>7</v>
      </c>
      <c r="C11417" t="s">
        <v>1822</v>
      </c>
      <c r="D11417" s="7">
        <f>DATE(2018,9,5)</f>
        <v>43348</v>
      </c>
      <c r="E11417" s="8">
        <f t="shared" si="190"/>
        <v>2018</v>
      </c>
      <c r="F11417" t="s">
        <v>1823</v>
      </c>
      <c r="G11417" s="9">
        <v>508</v>
      </c>
      <c r="H11417" s="8">
        <v>27578</v>
      </c>
    </row>
    <row r="11418" spans="2:8" x14ac:dyDescent="0.4">
      <c r="B11418" t="s">
        <v>7</v>
      </c>
      <c r="C11418" t="s">
        <v>1822</v>
      </c>
      <c r="D11418" s="7">
        <f>DATE(2018,9,5)</f>
        <v>43348</v>
      </c>
      <c r="E11418" s="8">
        <f t="shared" si="190"/>
        <v>2018</v>
      </c>
      <c r="F11418" t="s">
        <v>1823</v>
      </c>
      <c r="G11418" s="9">
        <v>1941</v>
      </c>
      <c r="H11418" s="8">
        <v>27501</v>
      </c>
    </row>
    <row r="11419" spans="2:8" x14ac:dyDescent="0.4">
      <c r="B11419" t="s">
        <v>7</v>
      </c>
      <c r="C11419" t="s">
        <v>1822</v>
      </c>
      <c r="D11419" s="7">
        <f>DATE(2013,5,7)</f>
        <v>41401</v>
      </c>
      <c r="E11419" s="8">
        <f t="shared" si="190"/>
        <v>2013</v>
      </c>
      <c r="F11419" t="s">
        <v>1823</v>
      </c>
      <c r="G11419" s="9">
        <v>19965</v>
      </c>
      <c r="H11419" s="8">
        <v>12386</v>
      </c>
    </row>
    <row r="11420" spans="2:8" x14ac:dyDescent="0.4">
      <c r="B11420" t="s">
        <v>7</v>
      </c>
      <c r="C11420" t="s">
        <v>1822</v>
      </c>
      <c r="D11420" s="7">
        <f>DATE(2006,5,20)</f>
        <v>38857</v>
      </c>
      <c r="E11420" s="8">
        <f t="shared" si="190"/>
        <v>2006</v>
      </c>
      <c r="F11420" t="s">
        <v>1823</v>
      </c>
      <c r="G11420" s="9">
        <v>17317</v>
      </c>
      <c r="H11420" s="8">
        <v>4542</v>
      </c>
    </row>
    <row r="11421" spans="2:8" x14ac:dyDescent="0.4">
      <c r="B11421" t="s">
        <v>7</v>
      </c>
      <c r="C11421" t="s">
        <v>1822</v>
      </c>
      <c r="D11421" s="7">
        <f>DATE(2008,3,27)</f>
        <v>39534</v>
      </c>
      <c r="E11421" s="8">
        <f t="shared" si="190"/>
        <v>2008</v>
      </c>
      <c r="F11421" t="s">
        <v>1823</v>
      </c>
      <c r="G11421" s="9">
        <v>30974.5</v>
      </c>
      <c r="H11421" s="8">
        <v>7087</v>
      </c>
    </row>
    <row r="11422" spans="2:8" x14ac:dyDescent="0.4">
      <c r="B11422" t="s">
        <v>7</v>
      </c>
      <c r="C11422" t="s">
        <v>1822</v>
      </c>
      <c r="D11422" s="7">
        <f>DATE(2011,6,8)</f>
        <v>40702</v>
      </c>
      <c r="E11422" s="8">
        <f t="shared" si="190"/>
        <v>2011</v>
      </c>
      <c r="F11422" t="s">
        <v>1823</v>
      </c>
      <c r="G11422" s="9">
        <v>62710.51</v>
      </c>
      <c r="H11422" s="8">
        <v>10537</v>
      </c>
    </row>
    <row r="11423" spans="2:8" x14ac:dyDescent="0.4">
      <c r="B11423" t="s">
        <v>7</v>
      </c>
      <c r="C11423" t="s">
        <v>1822</v>
      </c>
      <c r="D11423" s="7">
        <f>DATE(2012,5,16)</f>
        <v>41045</v>
      </c>
      <c r="E11423" s="8">
        <f t="shared" si="190"/>
        <v>2012</v>
      </c>
      <c r="F11423" t="s">
        <v>1823</v>
      </c>
      <c r="G11423" s="9">
        <v>64605.46</v>
      </c>
      <c r="H11423" s="8">
        <v>11478</v>
      </c>
    </row>
    <row r="11424" spans="2:8" x14ac:dyDescent="0.4">
      <c r="B11424" t="s">
        <v>7</v>
      </c>
      <c r="C11424" t="s">
        <v>1822</v>
      </c>
      <c r="D11424" s="7">
        <f>DATE(2013,5,7)</f>
        <v>41401</v>
      </c>
      <c r="E11424" s="8">
        <f t="shared" si="190"/>
        <v>2013</v>
      </c>
      <c r="F11424" t="s">
        <v>1823</v>
      </c>
      <c r="G11424" s="9">
        <v>14963.52</v>
      </c>
      <c r="H11424" s="8">
        <v>12387</v>
      </c>
    </row>
    <row r="11425" spans="2:8" x14ac:dyDescent="0.4">
      <c r="B11425" t="s">
        <v>7</v>
      </c>
      <c r="C11425" t="s">
        <v>1822</v>
      </c>
      <c r="D11425" s="7">
        <f>DATE(2013,6,10)</f>
        <v>41435</v>
      </c>
      <c r="E11425" s="8">
        <f t="shared" si="190"/>
        <v>2013</v>
      </c>
      <c r="F11425" t="s">
        <v>1823</v>
      </c>
      <c r="G11425" s="9">
        <v>29731.54</v>
      </c>
      <c r="H11425" s="8">
        <v>12471</v>
      </c>
    </row>
    <row r="11426" spans="2:8" x14ac:dyDescent="0.4">
      <c r="B11426" t="s">
        <v>7</v>
      </c>
      <c r="C11426" t="s">
        <v>1822</v>
      </c>
      <c r="D11426" s="7">
        <f>DATE(2014,4,3)</f>
        <v>41732</v>
      </c>
      <c r="E11426" s="8">
        <f t="shared" si="190"/>
        <v>2014</v>
      </c>
      <c r="F11426" t="s">
        <v>1823</v>
      </c>
      <c r="G11426" s="9">
        <v>36338.67</v>
      </c>
      <c r="H11426" s="8">
        <v>12989</v>
      </c>
    </row>
    <row r="11427" spans="2:8" x14ac:dyDescent="0.4">
      <c r="B11427" s="3" t="s">
        <v>7</v>
      </c>
      <c r="C11427" s="3" t="s">
        <v>1822</v>
      </c>
      <c r="D11427" s="4">
        <f>DATE(2003,5,29)</f>
        <v>37770</v>
      </c>
      <c r="E11427" s="5">
        <f t="shared" si="190"/>
        <v>2003</v>
      </c>
      <c r="F11427" s="3" t="s">
        <v>1823</v>
      </c>
      <c r="G11427" s="6">
        <v>19100.650000000001</v>
      </c>
      <c r="H11427" s="5">
        <v>1007</v>
      </c>
    </row>
    <row r="11428" spans="2:8" x14ac:dyDescent="0.4">
      <c r="B11428" s="3" t="s">
        <v>7</v>
      </c>
      <c r="C11428" s="3" t="s">
        <v>1822</v>
      </c>
      <c r="D11428" s="4">
        <f>DATE(2008,6,19)</f>
        <v>39618</v>
      </c>
      <c r="E11428" s="5">
        <f t="shared" si="190"/>
        <v>2008</v>
      </c>
      <c r="F11428" s="3" t="s">
        <v>1823</v>
      </c>
      <c r="G11428" s="6">
        <v>1040.6300000000001</v>
      </c>
      <c r="H11428" s="5">
        <v>10849</v>
      </c>
    </row>
    <row r="11429" spans="2:8" x14ac:dyDescent="0.4">
      <c r="B11429" s="3" t="s">
        <v>7</v>
      </c>
      <c r="C11429" s="3" t="s">
        <v>1822</v>
      </c>
      <c r="D11429" s="4">
        <f>DATE(2012,4,20)</f>
        <v>41019</v>
      </c>
      <c r="E11429" s="5">
        <f t="shared" si="190"/>
        <v>2012</v>
      </c>
      <c r="F11429" s="3" t="s">
        <v>1823</v>
      </c>
      <c r="G11429" s="6">
        <v>1121.8499999999999</v>
      </c>
      <c r="H11429" s="5">
        <v>16996</v>
      </c>
    </row>
    <row r="11430" spans="2:8" x14ac:dyDescent="0.4">
      <c r="B11430" s="3" t="s">
        <v>7</v>
      </c>
      <c r="C11430" s="3" t="s">
        <v>1822</v>
      </c>
      <c r="D11430" s="4">
        <f>DATE(2014,11,5)</f>
        <v>41948</v>
      </c>
      <c r="E11430" s="5">
        <f t="shared" si="190"/>
        <v>2014</v>
      </c>
      <c r="F11430" s="3" t="s">
        <v>1823</v>
      </c>
      <c r="G11430" s="6">
        <v>1046</v>
      </c>
      <c r="H11430" s="5">
        <v>20595</v>
      </c>
    </row>
    <row r="11431" spans="2:8" x14ac:dyDescent="0.4">
      <c r="B11431" s="3" t="s">
        <v>7</v>
      </c>
      <c r="C11431" s="3" t="s">
        <v>1822</v>
      </c>
      <c r="D11431" s="4">
        <f>DATE(2014,12,10)</f>
        <v>41983</v>
      </c>
      <c r="E11431" s="5">
        <f t="shared" si="190"/>
        <v>2014</v>
      </c>
      <c r="F11431" s="3" t="s">
        <v>1823</v>
      </c>
      <c r="G11431" s="6">
        <v>2032</v>
      </c>
      <c r="H11431" s="5">
        <v>20704</v>
      </c>
    </row>
    <row r="11432" spans="2:8" x14ac:dyDescent="0.4">
      <c r="B11432" s="3" t="s">
        <v>7</v>
      </c>
      <c r="C11432" s="3" t="s">
        <v>1822</v>
      </c>
      <c r="D11432" s="4">
        <f>DATE(2014,12,19)</f>
        <v>41992</v>
      </c>
      <c r="E11432" s="5">
        <f t="shared" si="190"/>
        <v>2014</v>
      </c>
      <c r="F11432" s="3" t="s">
        <v>1823</v>
      </c>
      <c r="G11432" s="6">
        <v>5080</v>
      </c>
      <c r="H11432" s="5">
        <v>20746</v>
      </c>
    </row>
    <row r="11433" spans="2:8" x14ac:dyDescent="0.4">
      <c r="B11433" s="3" t="s">
        <v>16</v>
      </c>
      <c r="C11433" s="3" t="s">
        <v>1822</v>
      </c>
      <c r="D11433" s="4">
        <f>DATE(2012,5,29)</f>
        <v>41058</v>
      </c>
      <c r="E11433" s="5">
        <f t="shared" si="190"/>
        <v>2012</v>
      </c>
      <c r="F11433" s="3" t="s">
        <v>1823</v>
      </c>
      <c r="G11433" s="6">
        <v>75.849999999999994</v>
      </c>
      <c r="H11433" s="5">
        <v>17200</v>
      </c>
    </row>
    <row r="11434" spans="2:8" x14ac:dyDescent="0.4">
      <c r="B11434" s="3" t="s">
        <v>7</v>
      </c>
      <c r="C11434" s="3" t="s">
        <v>1824</v>
      </c>
      <c r="D11434" s="4">
        <f>DATE(2004,5,19)</f>
        <v>38126</v>
      </c>
      <c r="E11434" s="5">
        <f t="shared" si="190"/>
        <v>2004</v>
      </c>
      <c r="F11434" s="3" t="s">
        <v>1825</v>
      </c>
      <c r="G11434" s="6">
        <v>1048.82</v>
      </c>
      <c r="H11434" s="5">
        <v>661</v>
      </c>
    </row>
    <row r="11435" spans="2:8" x14ac:dyDescent="0.4">
      <c r="B11435" s="3" t="s">
        <v>7</v>
      </c>
      <c r="C11435" s="3" t="s">
        <v>1824</v>
      </c>
      <c r="D11435" s="4">
        <f>DATE(2004,9,21)</f>
        <v>38251</v>
      </c>
      <c r="E11435" s="5">
        <f t="shared" si="190"/>
        <v>2004</v>
      </c>
      <c r="F11435" s="3" t="s">
        <v>1825</v>
      </c>
      <c r="G11435" s="6">
        <v>934.21</v>
      </c>
      <c r="H11435" s="5">
        <v>793</v>
      </c>
    </row>
    <row r="11436" spans="2:8" x14ac:dyDescent="0.4">
      <c r="B11436" s="3" t="s">
        <v>7</v>
      </c>
      <c r="C11436" s="3" t="s">
        <v>1824</v>
      </c>
      <c r="D11436" s="4">
        <f>DATE(2005,12,20)</f>
        <v>38706</v>
      </c>
      <c r="E11436" s="5">
        <f t="shared" si="190"/>
        <v>2005</v>
      </c>
      <c r="F11436" s="3" t="s">
        <v>1826</v>
      </c>
      <c r="G11436" s="6">
        <v>2024.64</v>
      </c>
      <c r="H11436" s="5">
        <v>1316</v>
      </c>
    </row>
    <row r="11437" spans="2:8" x14ac:dyDescent="0.4">
      <c r="B11437" s="3" t="s">
        <v>7</v>
      </c>
      <c r="C11437" s="3" t="s">
        <v>1824</v>
      </c>
      <c r="D11437" s="4">
        <f>DATE(2008,5,23)</f>
        <v>39591</v>
      </c>
      <c r="E11437" s="5">
        <f t="shared" si="190"/>
        <v>2008</v>
      </c>
      <c r="F11437" s="3" t="s">
        <v>1826</v>
      </c>
      <c r="G11437" s="6">
        <v>2938.66</v>
      </c>
      <c r="H11437" s="5">
        <v>2805</v>
      </c>
    </row>
    <row r="11438" spans="2:8" x14ac:dyDescent="0.4">
      <c r="B11438" t="s">
        <v>7</v>
      </c>
      <c r="C11438" t="s">
        <v>1827</v>
      </c>
      <c r="D11438" s="7">
        <f>DATE(2017,7,31)</f>
        <v>42947</v>
      </c>
      <c r="E11438" s="8">
        <f t="shared" si="190"/>
        <v>2017</v>
      </c>
      <c r="F11438" t="s">
        <v>1828</v>
      </c>
      <c r="G11438" s="9">
        <v>164</v>
      </c>
      <c r="H11438" s="8">
        <v>25306</v>
      </c>
    </row>
    <row r="11439" spans="2:8" x14ac:dyDescent="0.4">
      <c r="B11439" t="s">
        <v>7</v>
      </c>
      <c r="C11439" t="s">
        <v>1827</v>
      </c>
      <c r="D11439" s="7">
        <f>DATE(2015,2,3)</f>
        <v>42038</v>
      </c>
      <c r="E11439" s="8">
        <f t="shared" si="190"/>
        <v>2015</v>
      </c>
      <c r="F11439" t="s">
        <v>1828</v>
      </c>
      <c r="G11439" s="9">
        <v>7631.45</v>
      </c>
      <c r="H11439" s="8">
        <v>217</v>
      </c>
    </row>
    <row r="11440" spans="2:8" x14ac:dyDescent="0.4">
      <c r="B11440" t="s">
        <v>7</v>
      </c>
      <c r="C11440" t="s">
        <v>1827</v>
      </c>
      <c r="D11440" s="7">
        <f>DATE(2015,9,1)</f>
        <v>42248</v>
      </c>
      <c r="E11440" s="8">
        <f t="shared" si="190"/>
        <v>2015</v>
      </c>
      <c r="F11440" t="s">
        <v>1828</v>
      </c>
      <c r="G11440" s="9">
        <v>10216.41</v>
      </c>
      <c r="H11440" s="8">
        <v>21035</v>
      </c>
    </row>
    <row r="11441" spans="2:8" x14ac:dyDescent="0.4">
      <c r="B11441" t="s">
        <v>7</v>
      </c>
      <c r="C11441" t="s">
        <v>1827</v>
      </c>
      <c r="D11441" s="7">
        <f>DATE(2017,3,9)</f>
        <v>42803</v>
      </c>
      <c r="E11441" s="8">
        <f t="shared" si="190"/>
        <v>2017</v>
      </c>
      <c r="F11441" t="s">
        <v>1828</v>
      </c>
      <c r="G11441" s="9">
        <v>10422.120000000001</v>
      </c>
      <c r="H11441" s="8">
        <v>24281</v>
      </c>
    </row>
    <row r="11442" spans="2:8" x14ac:dyDescent="0.4">
      <c r="B11442" t="s">
        <v>7</v>
      </c>
      <c r="C11442" t="s">
        <v>1827</v>
      </c>
      <c r="D11442" s="7">
        <f>DATE(2017,12,14)</f>
        <v>43083</v>
      </c>
      <c r="E11442" s="8">
        <f t="shared" si="190"/>
        <v>2017</v>
      </c>
      <c r="F11442" t="s">
        <v>1828</v>
      </c>
      <c r="G11442" s="9">
        <v>6490.15</v>
      </c>
      <c r="H11442" s="8">
        <v>26017</v>
      </c>
    </row>
    <row r="11443" spans="2:8" x14ac:dyDescent="0.4">
      <c r="B11443" t="s">
        <v>7</v>
      </c>
      <c r="C11443" t="s">
        <v>1827</v>
      </c>
      <c r="D11443" s="7">
        <f>DATE(2018,2,26)</f>
        <v>43157</v>
      </c>
      <c r="E11443" s="8">
        <f t="shared" si="190"/>
        <v>2018</v>
      </c>
      <c r="F11443" t="s">
        <v>1828</v>
      </c>
      <c r="G11443" s="9">
        <v>7988.22</v>
      </c>
      <c r="H11443" s="8">
        <v>26483</v>
      </c>
    </row>
    <row r="11444" spans="2:8" x14ac:dyDescent="0.4">
      <c r="B11444" t="s">
        <v>7</v>
      </c>
      <c r="C11444" t="s">
        <v>1827</v>
      </c>
      <c r="D11444" s="7">
        <f>DATE(2018,4,26)</f>
        <v>43216</v>
      </c>
      <c r="E11444" s="8">
        <f t="shared" si="190"/>
        <v>2018</v>
      </c>
      <c r="F11444" t="s">
        <v>1828</v>
      </c>
      <c r="G11444" s="9">
        <v>11951.88</v>
      </c>
      <c r="H11444" s="8">
        <v>26914</v>
      </c>
    </row>
    <row r="11445" spans="2:8" x14ac:dyDescent="0.4">
      <c r="B11445" t="s">
        <v>7</v>
      </c>
      <c r="C11445" t="s">
        <v>1827</v>
      </c>
      <c r="D11445" s="7">
        <f>DATE(2018,9,20)</f>
        <v>43363</v>
      </c>
      <c r="E11445" s="8">
        <f t="shared" si="190"/>
        <v>2018</v>
      </c>
      <c r="F11445" t="s">
        <v>1828</v>
      </c>
      <c r="G11445" s="9">
        <v>7618.8</v>
      </c>
      <c r="H11445" s="8">
        <v>27519</v>
      </c>
    </row>
    <row r="11446" spans="2:8" x14ac:dyDescent="0.4">
      <c r="B11446" t="s">
        <v>7</v>
      </c>
      <c r="C11446" t="s">
        <v>1827</v>
      </c>
      <c r="D11446" s="7">
        <f>DATE(2014,3,27)</f>
        <v>41725</v>
      </c>
      <c r="E11446" s="8">
        <f t="shared" si="190"/>
        <v>2014</v>
      </c>
      <c r="F11446" t="s">
        <v>1828</v>
      </c>
      <c r="G11446" s="9">
        <v>8284.4699999999993</v>
      </c>
      <c r="H11446" s="8">
        <v>13087</v>
      </c>
    </row>
    <row r="11447" spans="2:8" x14ac:dyDescent="0.4">
      <c r="B11447" t="s">
        <v>7</v>
      </c>
      <c r="C11447" t="s">
        <v>1827</v>
      </c>
      <c r="D11447" s="7">
        <f>DATE(2014,9,25)</f>
        <v>41907</v>
      </c>
      <c r="E11447" s="8">
        <f t="shared" si="190"/>
        <v>2014</v>
      </c>
      <c r="F11447" t="s">
        <v>1828</v>
      </c>
      <c r="G11447" s="9">
        <v>7619.97</v>
      </c>
      <c r="H11447" s="8">
        <v>13478</v>
      </c>
    </row>
    <row r="11448" spans="2:8" x14ac:dyDescent="0.4">
      <c r="B11448" s="3" t="s">
        <v>7</v>
      </c>
      <c r="C11448" s="3" t="s">
        <v>1827</v>
      </c>
      <c r="D11448" s="4">
        <f>DATE(2003,2,10)</f>
        <v>37662</v>
      </c>
      <c r="E11448" s="5">
        <f t="shared" si="190"/>
        <v>2003</v>
      </c>
      <c r="F11448" s="3" t="s">
        <v>1828</v>
      </c>
      <c r="G11448" s="6">
        <v>610</v>
      </c>
      <c r="H11448" s="5">
        <v>246</v>
      </c>
    </row>
    <row r="11449" spans="2:8" x14ac:dyDescent="0.4">
      <c r="B11449" s="3" t="s">
        <v>7</v>
      </c>
      <c r="C11449" s="3" t="s">
        <v>1827</v>
      </c>
      <c r="D11449" s="4">
        <f>DATE(2003,3,3)</f>
        <v>37683</v>
      </c>
      <c r="E11449" s="5">
        <f t="shared" si="190"/>
        <v>2003</v>
      </c>
      <c r="F11449" s="3" t="s">
        <v>1828</v>
      </c>
      <c r="G11449" s="6">
        <v>356</v>
      </c>
      <c r="H11449" s="5">
        <v>433</v>
      </c>
    </row>
    <row r="11450" spans="2:8" x14ac:dyDescent="0.4">
      <c r="B11450" s="3" t="s">
        <v>7</v>
      </c>
      <c r="C11450" s="3" t="s">
        <v>1827</v>
      </c>
      <c r="D11450" s="4">
        <f>DATE(2003,3,7)</f>
        <v>37687</v>
      </c>
      <c r="E11450" s="5">
        <f t="shared" si="190"/>
        <v>2003</v>
      </c>
      <c r="F11450" s="3" t="s">
        <v>1828</v>
      </c>
      <c r="G11450" s="6">
        <v>41447.07</v>
      </c>
      <c r="H11450" s="5">
        <v>380</v>
      </c>
    </row>
    <row r="11451" spans="2:8" x14ac:dyDescent="0.4">
      <c r="B11451" s="3" t="s">
        <v>7</v>
      </c>
      <c r="C11451" s="3" t="s">
        <v>1827</v>
      </c>
      <c r="D11451" s="4">
        <f>DATE(2003,7,30)</f>
        <v>37832</v>
      </c>
      <c r="E11451" s="5">
        <f t="shared" si="190"/>
        <v>2003</v>
      </c>
      <c r="F11451" s="3" t="s">
        <v>1828</v>
      </c>
      <c r="G11451" s="6">
        <v>1121.0999999999999</v>
      </c>
      <c r="H11451" s="5">
        <v>1276</v>
      </c>
    </row>
    <row r="11452" spans="2:8" x14ac:dyDescent="0.4">
      <c r="B11452" s="3" t="s">
        <v>7</v>
      </c>
      <c r="C11452" s="3" t="s">
        <v>1827</v>
      </c>
      <c r="D11452" s="4">
        <f>DATE(2004,2,4)</f>
        <v>38021</v>
      </c>
      <c r="E11452" s="5">
        <f t="shared" si="190"/>
        <v>2004</v>
      </c>
      <c r="F11452" s="3" t="s">
        <v>1828</v>
      </c>
      <c r="G11452" s="6">
        <v>732</v>
      </c>
      <c r="H11452" s="5">
        <v>2115</v>
      </c>
    </row>
    <row r="11453" spans="2:8" x14ac:dyDescent="0.4">
      <c r="B11453" s="3" t="s">
        <v>7</v>
      </c>
      <c r="C11453" s="3" t="s">
        <v>1827</v>
      </c>
      <c r="D11453" s="4">
        <f>DATE(2004,3,22)</f>
        <v>38068</v>
      </c>
      <c r="E11453" s="5">
        <f t="shared" si="190"/>
        <v>2004</v>
      </c>
      <c r="F11453" s="3" t="s">
        <v>1828</v>
      </c>
      <c r="G11453" s="6">
        <v>470.5</v>
      </c>
      <c r="H11453" s="5">
        <v>2441</v>
      </c>
    </row>
    <row r="11454" spans="2:8" x14ac:dyDescent="0.4">
      <c r="B11454" s="3" t="s">
        <v>7</v>
      </c>
      <c r="C11454" s="3" t="s">
        <v>1827</v>
      </c>
      <c r="D11454" s="4">
        <f>DATE(2004,3,22)</f>
        <v>38068</v>
      </c>
      <c r="E11454" s="5">
        <f t="shared" si="190"/>
        <v>2004</v>
      </c>
      <c r="F11454" s="3" t="s">
        <v>1828</v>
      </c>
      <c r="G11454" s="6">
        <v>1813</v>
      </c>
      <c r="H11454" s="5">
        <v>2431</v>
      </c>
    </row>
    <row r="11455" spans="2:8" x14ac:dyDescent="0.4">
      <c r="B11455" s="3" t="s">
        <v>7</v>
      </c>
      <c r="C11455" s="3" t="s">
        <v>1827</v>
      </c>
      <c r="D11455" s="4">
        <f>DATE(2004,4,1)</f>
        <v>38078</v>
      </c>
      <c r="E11455" s="5">
        <f t="shared" si="190"/>
        <v>2004</v>
      </c>
      <c r="F11455" s="3" t="s">
        <v>1828</v>
      </c>
      <c r="G11455" s="6">
        <v>457</v>
      </c>
      <c r="H11455" s="5">
        <v>2553</v>
      </c>
    </row>
    <row r="11456" spans="2:8" x14ac:dyDescent="0.4">
      <c r="B11456" s="3" t="s">
        <v>7</v>
      </c>
      <c r="C11456" s="3" t="s">
        <v>1827</v>
      </c>
      <c r="D11456" s="4">
        <f>DATE(2004,4,14)</f>
        <v>38091</v>
      </c>
      <c r="E11456" s="5">
        <f t="shared" si="190"/>
        <v>2004</v>
      </c>
      <c r="F11456" s="3" t="s">
        <v>1828</v>
      </c>
      <c r="G11456" s="6">
        <v>956</v>
      </c>
      <c r="H11456" s="5">
        <v>2661</v>
      </c>
    </row>
    <row r="11457" spans="2:8" x14ac:dyDescent="0.4">
      <c r="B11457" s="3" t="s">
        <v>7</v>
      </c>
      <c r="C11457" s="3" t="s">
        <v>1827</v>
      </c>
      <c r="D11457" s="4">
        <f>DATE(2005,2,1)</f>
        <v>38384</v>
      </c>
      <c r="E11457" s="5">
        <f t="shared" si="190"/>
        <v>2005</v>
      </c>
      <c r="F11457" s="3" t="s">
        <v>1828</v>
      </c>
      <c r="G11457" s="6">
        <v>3527.61</v>
      </c>
      <c r="H11457" s="5">
        <v>4039</v>
      </c>
    </row>
    <row r="11458" spans="2:8" x14ac:dyDescent="0.4">
      <c r="B11458" s="3" t="s">
        <v>7</v>
      </c>
      <c r="C11458" s="3" t="s">
        <v>1827</v>
      </c>
      <c r="D11458" s="4">
        <f>DATE(2006,1,11)</f>
        <v>38728</v>
      </c>
      <c r="E11458" s="5">
        <f t="shared" si="190"/>
        <v>2006</v>
      </c>
      <c r="F11458" s="3" t="s">
        <v>1828</v>
      </c>
      <c r="G11458" s="6">
        <v>24686.39</v>
      </c>
      <c r="H11458" s="5">
        <v>5808</v>
      </c>
    </row>
    <row r="11459" spans="2:8" x14ac:dyDescent="0.4">
      <c r="B11459" s="3" t="s">
        <v>7</v>
      </c>
      <c r="C11459" s="3" t="s">
        <v>1827</v>
      </c>
      <c r="D11459" s="4">
        <f>DATE(2006,1,9)</f>
        <v>38726</v>
      </c>
      <c r="E11459" s="5">
        <f t="shared" ref="E11459:E11522" si="191">YEAR(D11459)</f>
        <v>2006</v>
      </c>
      <c r="F11459" s="3" t="s">
        <v>1828</v>
      </c>
      <c r="G11459" s="6">
        <v>24684.17</v>
      </c>
      <c r="H11459" s="5">
        <v>5797</v>
      </c>
    </row>
    <row r="11460" spans="2:8" x14ac:dyDescent="0.4">
      <c r="B11460" s="3" t="s">
        <v>7</v>
      </c>
      <c r="C11460" s="3" t="s">
        <v>1827</v>
      </c>
      <c r="D11460" s="4">
        <f>DATE(2007,3,15)</f>
        <v>39156</v>
      </c>
      <c r="E11460" s="5">
        <f t="shared" si="191"/>
        <v>2007</v>
      </c>
      <c r="F11460" s="3" t="s">
        <v>1828</v>
      </c>
      <c r="G11460" s="6">
        <v>56200.6</v>
      </c>
      <c r="H11460" s="5">
        <v>8106</v>
      </c>
    </row>
    <row r="11461" spans="2:8" x14ac:dyDescent="0.4">
      <c r="B11461" s="3" t="s">
        <v>16</v>
      </c>
      <c r="C11461" s="3" t="s">
        <v>1827</v>
      </c>
      <c r="D11461" s="4">
        <f>DATE(2004,4,2)</f>
        <v>38079</v>
      </c>
      <c r="E11461" s="5">
        <f t="shared" si="191"/>
        <v>2004</v>
      </c>
      <c r="F11461" s="3" t="s">
        <v>1828</v>
      </c>
      <c r="G11461" s="6">
        <v>950</v>
      </c>
      <c r="H11461" s="5">
        <v>2660</v>
      </c>
    </row>
    <row r="11462" spans="2:8" x14ac:dyDescent="0.4">
      <c r="B11462" t="s">
        <v>7</v>
      </c>
      <c r="C11462" t="s">
        <v>1829</v>
      </c>
      <c r="D11462" s="7">
        <f>DATE(2015,8,26)</f>
        <v>42242</v>
      </c>
      <c r="E11462" s="8">
        <f t="shared" si="191"/>
        <v>2015</v>
      </c>
      <c r="F11462" t="s">
        <v>1830</v>
      </c>
      <c r="G11462" s="9">
        <v>29961.23</v>
      </c>
      <c r="H11462" s="8">
        <v>21114</v>
      </c>
    </row>
    <row r="11463" spans="2:8" x14ac:dyDescent="0.4">
      <c r="B11463" t="s">
        <v>7</v>
      </c>
      <c r="C11463" t="s">
        <v>1829</v>
      </c>
      <c r="D11463" s="7">
        <f>DATE(2016,7,14)</f>
        <v>42565</v>
      </c>
      <c r="E11463" s="8">
        <f t="shared" si="191"/>
        <v>2016</v>
      </c>
      <c r="F11463" t="s">
        <v>1830</v>
      </c>
      <c r="G11463" s="9">
        <v>32803.57</v>
      </c>
      <c r="H11463" s="8">
        <v>23103</v>
      </c>
    </row>
    <row r="11464" spans="2:8" x14ac:dyDescent="0.4">
      <c r="B11464" t="s">
        <v>7</v>
      </c>
      <c r="C11464" t="s">
        <v>1829</v>
      </c>
      <c r="D11464" s="7">
        <f>DATE(2016,11,7)</f>
        <v>42681</v>
      </c>
      <c r="E11464" s="8">
        <f t="shared" si="191"/>
        <v>2016</v>
      </c>
      <c r="F11464" t="s">
        <v>1830</v>
      </c>
      <c r="G11464" s="9">
        <v>1367.41</v>
      </c>
      <c r="H11464" s="8">
        <v>23693</v>
      </c>
    </row>
    <row r="11465" spans="2:8" x14ac:dyDescent="0.4">
      <c r="B11465" t="s">
        <v>7</v>
      </c>
      <c r="C11465" t="s">
        <v>1829</v>
      </c>
      <c r="D11465" s="7">
        <f>DATE(2008,4,21)</f>
        <v>39559</v>
      </c>
      <c r="E11465" s="8">
        <f t="shared" si="191"/>
        <v>2008</v>
      </c>
      <c r="F11465" t="s">
        <v>1830</v>
      </c>
      <c r="G11465" s="9">
        <v>28586.57</v>
      </c>
      <c r="H11465" s="8">
        <v>6969</v>
      </c>
    </row>
    <row r="11466" spans="2:8" x14ac:dyDescent="0.4">
      <c r="B11466" t="s">
        <v>7</v>
      </c>
      <c r="C11466" t="s">
        <v>1829</v>
      </c>
      <c r="D11466" s="7">
        <f>DATE(2008,4,21)</f>
        <v>39559</v>
      </c>
      <c r="E11466" s="8">
        <f t="shared" si="191"/>
        <v>2008</v>
      </c>
      <c r="F11466" t="s">
        <v>1830</v>
      </c>
      <c r="G11466" s="9">
        <v>25268.07</v>
      </c>
      <c r="H11466" s="8">
        <v>6970</v>
      </c>
    </row>
    <row r="11467" spans="2:8" x14ac:dyDescent="0.4">
      <c r="B11467" t="s">
        <v>7</v>
      </c>
      <c r="C11467" t="s">
        <v>1829</v>
      </c>
      <c r="D11467" s="7">
        <f>DATE(2009,12,4)</f>
        <v>40151</v>
      </c>
      <c r="E11467" s="8">
        <f t="shared" si="191"/>
        <v>2009</v>
      </c>
      <c r="F11467" t="s">
        <v>1830</v>
      </c>
      <c r="G11467" s="9">
        <v>1485.74</v>
      </c>
      <c r="H11467" s="8">
        <v>9276</v>
      </c>
    </row>
    <row r="11468" spans="2:8" x14ac:dyDescent="0.4">
      <c r="B11468" t="s">
        <v>7</v>
      </c>
      <c r="C11468" t="s">
        <v>1829</v>
      </c>
      <c r="D11468" s="7">
        <f>DATE(2010,6,3)</f>
        <v>40332</v>
      </c>
      <c r="E11468" s="8">
        <f t="shared" si="191"/>
        <v>2010</v>
      </c>
      <c r="F11468" t="s">
        <v>1830</v>
      </c>
      <c r="G11468" s="9">
        <v>660</v>
      </c>
      <c r="H11468" s="8">
        <v>9856</v>
      </c>
    </row>
    <row r="11469" spans="2:8" x14ac:dyDescent="0.4">
      <c r="B11469" t="s">
        <v>7</v>
      </c>
      <c r="C11469" t="s">
        <v>1829</v>
      </c>
      <c r="D11469" s="7">
        <f>DATE(2011,3,10)</f>
        <v>40612</v>
      </c>
      <c r="E11469" s="8">
        <f t="shared" si="191"/>
        <v>2011</v>
      </c>
      <c r="F11469" t="s">
        <v>1830</v>
      </c>
      <c r="G11469" s="9">
        <v>642.36</v>
      </c>
      <c r="H11469" s="8">
        <v>10528</v>
      </c>
    </row>
    <row r="11470" spans="2:8" x14ac:dyDescent="0.4">
      <c r="B11470" t="s">
        <v>7</v>
      </c>
      <c r="C11470" t="s">
        <v>1829</v>
      </c>
      <c r="D11470" s="7">
        <f>DATE(2012,12,4)</f>
        <v>41247</v>
      </c>
      <c r="E11470" s="8">
        <f t="shared" si="191"/>
        <v>2012</v>
      </c>
      <c r="F11470" t="s">
        <v>1830</v>
      </c>
      <c r="G11470" s="9">
        <v>2332.52</v>
      </c>
      <c r="H11470" s="8">
        <v>12032</v>
      </c>
    </row>
    <row r="11471" spans="2:8" x14ac:dyDescent="0.4">
      <c r="B11471" t="s">
        <v>7</v>
      </c>
      <c r="C11471" t="s">
        <v>1829</v>
      </c>
      <c r="D11471" s="7">
        <f>DATE(2006,8,14)</f>
        <v>38943</v>
      </c>
      <c r="E11471" s="8">
        <f t="shared" si="191"/>
        <v>2006</v>
      </c>
      <c r="F11471" t="s">
        <v>1830</v>
      </c>
      <c r="G11471" s="9">
        <v>18266.400000000001</v>
      </c>
      <c r="H11471" s="8">
        <v>4880</v>
      </c>
    </row>
    <row r="11472" spans="2:8" x14ac:dyDescent="0.4">
      <c r="B11472" t="s">
        <v>7</v>
      </c>
      <c r="C11472" t="s">
        <v>1829</v>
      </c>
      <c r="D11472" s="7">
        <f>DATE(2007,2,11)</f>
        <v>39124</v>
      </c>
      <c r="E11472" s="8">
        <f t="shared" si="191"/>
        <v>2007</v>
      </c>
      <c r="F11472" t="s">
        <v>1830</v>
      </c>
      <c r="G11472" s="9">
        <v>10853.58</v>
      </c>
      <c r="H11472" s="8">
        <v>5511</v>
      </c>
    </row>
    <row r="11473" spans="2:8" x14ac:dyDescent="0.4">
      <c r="B11473" t="s">
        <v>7</v>
      </c>
      <c r="C11473" t="s">
        <v>1829</v>
      </c>
      <c r="D11473" s="7">
        <f>DATE(2007,4,11)</f>
        <v>39183</v>
      </c>
      <c r="E11473" s="8">
        <f t="shared" si="191"/>
        <v>2007</v>
      </c>
      <c r="F11473" t="s">
        <v>1830</v>
      </c>
      <c r="G11473" s="9">
        <v>10422.379999999999</v>
      </c>
      <c r="H11473" s="8">
        <v>5830</v>
      </c>
    </row>
    <row r="11474" spans="2:8" x14ac:dyDescent="0.4">
      <c r="B11474" t="s">
        <v>7</v>
      </c>
      <c r="C11474" t="s">
        <v>1829</v>
      </c>
      <c r="D11474" s="7">
        <f>DATE(2007,8,1)</f>
        <v>39295</v>
      </c>
      <c r="E11474" s="8">
        <f t="shared" si="191"/>
        <v>2007</v>
      </c>
      <c r="F11474" t="s">
        <v>1830</v>
      </c>
      <c r="G11474" s="9">
        <v>12123.19</v>
      </c>
      <c r="H11474" s="8">
        <v>6190</v>
      </c>
    </row>
    <row r="11475" spans="2:8" x14ac:dyDescent="0.4">
      <c r="B11475" t="s">
        <v>7</v>
      </c>
      <c r="C11475" t="s">
        <v>1829</v>
      </c>
      <c r="D11475" s="7">
        <f>DATE(2007,12,2)</f>
        <v>39418</v>
      </c>
      <c r="E11475" s="8">
        <f t="shared" si="191"/>
        <v>2007</v>
      </c>
      <c r="F11475" t="s">
        <v>1830</v>
      </c>
      <c r="G11475" s="9">
        <v>11324.66</v>
      </c>
      <c r="H11475" s="8">
        <v>6631</v>
      </c>
    </row>
    <row r="11476" spans="2:8" x14ac:dyDescent="0.4">
      <c r="B11476" t="s">
        <v>7</v>
      </c>
      <c r="C11476" t="s">
        <v>1829</v>
      </c>
      <c r="D11476" s="7">
        <f>DATE(2008,6,26)</f>
        <v>39625</v>
      </c>
      <c r="E11476" s="8">
        <f t="shared" si="191"/>
        <v>2008</v>
      </c>
      <c r="F11476" t="s">
        <v>1830</v>
      </c>
      <c r="G11476" s="9">
        <v>4688.62</v>
      </c>
      <c r="H11476" s="8">
        <v>6971</v>
      </c>
    </row>
    <row r="11477" spans="2:8" x14ac:dyDescent="0.4">
      <c r="B11477" t="s">
        <v>7</v>
      </c>
      <c r="C11477" t="s">
        <v>1829</v>
      </c>
      <c r="D11477" s="7">
        <f>DATE(2009,4,23)</f>
        <v>39926</v>
      </c>
      <c r="E11477" s="8">
        <f t="shared" si="191"/>
        <v>2009</v>
      </c>
      <c r="F11477" t="s">
        <v>1830</v>
      </c>
      <c r="G11477" s="9">
        <v>951.64</v>
      </c>
      <c r="H11477" s="8">
        <v>8624</v>
      </c>
    </row>
    <row r="11478" spans="2:8" x14ac:dyDescent="0.4">
      <c r="B11478" t="s">
        <v>7</v>
      </c>
      <c r="C11478" t="s">
        <v>1829</v>
      </c>
      <c r="D11478" s="7">
        <f>DATE(2009,7,2)</f>
        <v>39996</v>
      </c>
      <c r="E11478" s="8">
        <f t="shared" si="191"/>
        <v>2009</v>
      </c>
      <c r="F11478" t="s">
        <v>1830</v>
      </c>
      <c r="G11478" s="9">
        <v>7863.39</v>
      </c>
      <c r="H11478" s="8">
        <v>8845</v>
      </c>
    </row>
    <row r="11479" spans="2:8" x14ac:dyDescent="0.4">
      <c r="B11479" t="s">
        <v>7</v>
      </c>
      <c r="C11479" t="s">
        <v>1831</v>
      </c>
      <c r="D11479" s="7">
        <f>DATE(2016,11,23)</f>
        <v>42697</v>
      </c>
      <c r="E11479" s="8">
        <f t="shared" si="191"/>
        <v>2016</v>
      </c>
      <c r="F11479" t="s">
        <v>1832</v>
      </c>
      <c r="G11479" s="9">
        <v>4900</v>
      </c>
      <c r="H11479" s="8">
        <v>23855</v>
      </c>
    </row>
    <row r="11480" spans="2:8" x14ac:dyDescent="0.4">
      <c r="B11480" t="s">
        <v>7</v>
      </c>
      <c r="C11480" t="s">
        <v>1831</v>
      </c>
      <c r="D11480" s="7">
        <f>DATE(2017,3,28)</f>
        <v>42822</v>
      </c>
      <c r="E11480" s="8">
        <f t="shared" si="191"/>
        <v>2017</v>
      </c>
      <c r="F11480" t="s">
        <v>1832</v>
      </c>
      <c r="G11480" s="9">
        <v>15947.5</v>
      </c>
      <c r="H11480" s="8">
        <v>24437</v>
      </c>
    </row>
    <row r="11481" spans="2:8" x14ac:dyDescent="0.4">
      <c r="B11481" t="s">
        <v>7</v>
      </c>
      <c r="C11481" t="s">
        <v>1831</v>
      </c>
      <c r="D11481" s="7">
        <f>DATE(2017,5,26)</f>
        <v>42881</v>
      </c>
      <c r="E11481" s="8">
        <f t="shared" si="191"/>
        <v>2017</v>
      </c>
      <c r="F11481" t="s">
        <v>1832</v>
      </c>
      <c r="G11481" s="9">
        <v>15916.85</v>
      </c>
      <c r="H11481" s="8">
        <v>24439</v>
      </c>
    </row>
    <row r="11482" spans="2:8" x14ac:dyDescent="0.4">
      <c r="B11482" s="3" t="s">
        <v>7</v>
      </c>
      <c r="C11482" s="3" t="s">
        <v>1833</v>
      </c>
      <c r="D11482" s="4">
        <f>DATE(2003,9,30)</f>
        <v>37894</v>
      </c>
      <c r="E11482" s="5">
        <f t="shared" si="191"/>
        <v>2003</v>
      </c>
      <c r="F11482" s="3" t="s">
        <v>1834</v>
      </c>
      <c r="G11482" s="6">
        <v>210</v>
      </c>
      <c r="H11482" s="5">
        <v>1592</v>
      </c>
    </row>
    <row r="11483" spans="2:8" x14ac:dyDescent="0.4">
      <c r="B11483" s="3" t="s">
        <v>7</v>
      </c>
      <c r="C11483" s="3" t="s">
        <v>1833</v>
      </c>
      <c r="D11483" s="4">
        <f>DATE(2003,10,9)</f>
        <v>37903</v>
      </c>
      <c r="E11483" s="5">
        <f t="shared" si="191"/>
        <v>2003</v>
      </c>
      <c r="F11483" s="3" t="s">
        <v>1834</v>
      </c>
      <c r="G11483" s="6">
        <v>420</v>
      </c>
      <c r="H11483" s="5">
        <v>1610</v>
      </c>
    </row>
    <row r="11484" spans="2:8" x14ac:dyDescent="0.4">
      <c r="B11484" t="s">
        <v>7</v>
      </c>
      <c r="C11484" t="s">
        <v>1835</v>
      </c>
      <c r="D11484" s="7">
        <f>DATE(2015,7,16)</f>
        <v>42201</v>
      </c>
      <c r="E11484" s="8">
        <f t="shared" si="191"/>
        <v>2015</v>
      </c>
      <c r="F11484" t="s">
        <v>1836</v>
      </c>
      <c r="G11484" s="9">
        <v>621.04999999999995</v>
      </c>
      <c r="H11484" s="8">
        <v>20717</v>
      </c>
    </row>
    <row r="11485" spans="2:8" x14ac:dyDescent="0.4">
      <c r="B11485" t="s">
        <v>7</v>
      </c>
      <c r="C11485" t="s">
        <v>1835</v>
      </c>
      <c r="D11485" s="7">
        <f>DATE(2015,12,11)</f>
        <v>42349</v>
      </c>
      <c r="E11485" s="8">
        <f t="shared" si="191"/>
        <v>2015</v>
      </c>
      <c r="F11485" t="s">
        <v>1836</v>
      </c>
      <c r="G11485" s="9">
        <v>463.75</v>
      </c>
      <c r="H11485" s="8">
        <v>21719</v>
      </c>
    </row>
    <row r="11486" spans="2:8" x14ac:dyDescent="0.4">
      <c r="B11486" t="s">
        <v>7</v>
      </c>
      <c r="C11486" t="s">
        <v>1835</v>
      </c>
      <c r="D11486" s="7">
        <f>DATE(2017,6,7)</f>
        <v>42893</v>
      </c>
      <c r="E11486" s="8">
        <f t="shared" si="191"/>
        <v>2017</v>
      </c>
      <c r="F11486" t="s">
        <v>1836</v>
      </c>
      <c r="G11486" s="9">
        <v>1243</v>
      </c>
      <c r="H11486" s="8">
        <v>24943</v>
      </c>
    </row>
    <row r="11487" spans="2:8" x14ac:dyDescent="0.4">
      <c r="B11487" t="s">
        <v>7</v>
      </c>
      <c r="C11487" t="s">
        <v>1835</v>
      </c>
      <c r="D11487" s="7">
        <f>DATE(2017,12,12)</f>
        <v>43081</v>
      </c>
      <c r="E11487" s="8">
        <f t="shared" si="191"/>
        <v>2017</v>
      </c>
      <c r="F11487" t="s">
        <v>1836</v>
      </c>
      <c r="G11487" s="9">
        <v>1827</v>
      </c>
      <c r="H11487" s="8">
        <v>25955</v>
      </c>
    </row>
    <row r="11488" spans="2:8" x14ac:dyDescent="0.4">
      <c r="B11488" t="s">
        <v>7</v>
      </c>
      <c r="C11488" t="s">
        <v>1835</v>
      </c>
      <c r="D11488" s="7">
        <f>DATE(2006,11,4)</f>
        <v>39025</v>
      </c>
      <c r="E11488" s="8">
        <f t="shared" si="191"/>
        <v>2006</v>
      </c>
      <c r="F11488" t="s">
        <v>1836</v>
      </c>
      <c r="G11488" s="9">
        <v>16832.54</v>
      </c>
      <c r="H11488" s="8">
        <v>5125</v>
      </c>
    </row>
    <row r="11489" spans="2:8" x14ac:dyDescent="0.4">
      <c r="B11489" t="s">
        <v>7</v>
      </c>
      <c r="C11489" t="s">
        <v>1835</v>
      </c>
      <c r="D11489" s="7">
        <f>DATE(2006,11,16)</f>
        <v>39037</v>
      </c>
      <c r="E11489" s="8">
        <f t="shared" si="191"/>
        <v>2006</v>
      </c>
      <c r="F11489" t="s">
        <v>1836</v>
      </c>
      <c r="G11489" s="9">
        <v>9989.39</v>
      </c>
      <c r="H11489" s="8">
        <v>5170</v>
      </c>
    </row>
    <row r="11490" spans="2:8" x14ac:dyDescent="0.4">
      <c r="B11490" t="s">
        <v>7</v>
      </c>
      <c r="C11490" t="s">
        <v>1835</v>
      </c>
      <c r="D11490" s="7">
        <f>DATE(2007,12,8)</f>
        <v>39424</v>
      </c>
      <c r="E11490" s="8">
        <f t="shared" si="191"/>
        <v>2007</v>
      </c>
      <c r="F11490" t="s">
        <v>1836</v>
      </c>
      <c r="G11490" s="9">
        <v>13397.74</v>
      </c>
      <c r="H11490" s="8">
        <v>6664</v>
      </c>
    </row>
    <row r="11491" spans="2:8" x14ac:dyDescent="0.4">
      <c r="B11491" s="3" t="s">
        <v>7</v>
      </c>
      <c r="C11491" s="3" t="s">
        <v>1835</v>
      </c>
      <c r="D11491" s="4">
        <f>DATE(2007,4,23)</f>
        <v>39195</v>
      </c>
      <c r="E11491" s="5">
        <f t="shared" si="191"/>
        <v>2007</v>
      </c>
      <c r="F11491" s="3" t="s">
        <v>1836</v>
      </c>
      <c r="G11491" s="6">
        <v>3576.19</v>
      </c>
      <c r="H11491" s="5">
        <v>8366</v>
      </c>
    </row>
    <row r="11492" spans="2:8" x14ac:dyDescent="0.4">
      <c r="B11492" s="3" t="s">
        <v>7</v>
      </c>
      <c r="C11492" s="3" t="s">
        <v>1835</v>
      </c>
      <c r="D11492" s="4">
        <f>DATE(2007,9,5)</f>
        <v>39330</v>
      </c>
      <c r="E11492" s="5">
        <f t="shared" si="191"/>
        <v>2007</v>
      </c>
      <c r="F11492" s="3" t="s">
        <v>1836</v>
      </c>
      <c r="G11492" s="6">
        <v>11015</v>
      </c>
      <c r="H11492" s="5">
        <v>8985</v>
      </c>
    </row>
    <row r="11493" spans="2:8" x14ac:dyDescent="0.4">
      <c r="B11493" s="3" t="s">
        <v>7</v>
      </c>
      <c r="C11493" s="3" t="s">
        <v>1835</v>
      </c>
      <c r="D11493" s="4">
        <f>DATE(2007,9,14)</f>
        <v>39339</v>
      </c>
      <c r="E11493" s="5">
        <f t="shared" si="191"/>
        <v>2007</v>
      </c>
      <c r="F11493" s="3" t="s">
        <v>1836</v>
      </c>
      <c r="G11493" s="6">
        <v>919.99</v>
      </c>
      <c r="H11493" s="5">
        <v>9175</v>
      </c>
    </row>
    <row r="11494" spans="2:8" x14ac:dyDescent="0.4">
      <c r="B11494" s="3" t="s">
        <v>7</v>
      </c>
      <c r="C11494" s="3" t="s">
        <v>1835</v>
      </c>
      <c r="D11494" s="4">
        <f>DATE(2007,10,24)</f>
        <v>39379</v>
      </c>
      <c r="E11494" s="5">
        <f t="shared" si="191"/>
        <v>2007</v>
      </c>
      <c r="F11494" s="3" t="s">
        <v>1836</v>
      </c>
      <c r="G11494" s="6">
        <v>2265</v>
      </c>
      <c r="H11494" s="5">
        <v>9373</v>
      </c>
    </row>
    <row r="11495" spans="2:8" x14ac:dyDescent="0.4">
      <c r="B11495" s="3" t="s">
        <v>7</v>
      </c>
      <c r="C11495" s="3" t="s">
        <v>1835</v>
      </c>
      <c r="D11495" s="4">
        <f>DATE(2008,2,26)</f>
        <v>39504</v>
      </c>
      <c r="E11495" s="5">
        <f t="shared" si="191"/>
        <v>2008</v>
      </c>
      <c r="F11495" s="3" t="s">
        <v>1836</v>
      </c>
      <c r="G11495" s="6">
        <v>1249.25</v>
      </c>
      <c r="H11495" s="5">
        <v>9962</v>
      </c>
    </row>
    <row r="11496" spans="2:8" x14ac:dyDescent="0.4">
      <c r="B11496" s="3" t="s">
        <v>7</v>
      </c>
      <c r="C11496" s="3" t="s">
        <v>1835</v>
      </c>
      <c r="D11496" s="4">
        <f>DATE(2010,3,18)</f>
        <v>40255</v>
      </c>
      <c r="E11496" s="5">
        <f t="shared" si="191"/>
        <v>2010</v>
      </c>
      <c r="F11496" s="3" t="s">
        <v>1836</v>
      </c>
      <c r="G11496" s="6">
        <v>1136.5</v>
      </c>
      <c r="H11496" s="5">
        <v>13744</v>
      </c>
    </row>
    <row r="11497" spans="2:8" x14ac:dyDescent="0.4">
      <c r="B11497" s="3" t="s">
        <v>7</v>
      </c>
      <c r="C11497" s="3" t="s">
        <v>1835</v>
      </c>
      <c r="D11497" s="4">
        <f>DATE(2011,2,3)</f>
        <v>40577</v>
      </c>
      <c r="E11497" s="5">
        <f t="shared" si="191"/>
        <v>2011</v>
      </c>
      <c r="F11497" s="3" t="s">
        <v>1836</v>
      </c>
      <c r="G11497" s="6">
        <v>5623</v>
      </c>
      <c r="H11497" s="5">
        <v>14985</v>
      </c>
    </row>
    <row r="11498" spans="2:8" x14ac:dyDescent="0.4">
      <c r="B11498" s="3" t="s">
        <v>7</v>
      </c>
      <c r="C11498" s="3" t="s">
        <v>1835</v>
      </c>
      <c r="D11498" s="4">
        <f>DATE(2011,11,9)</f>
        <v>40856</v>
      </c>
      <c r="E11498" s="5">
        <f t="shared" si="191"/>
        <v>2011</v>
      </c>
      <c r="F11498" s="3" t="s">
        <v>1836</v>
      </c>
      <c r="G11498" s="6">
        <v>1210</v>
      </c>
      <c r="H11498" s="5">
        <v>16177</v>
      </c>
    </row>
    <row r="11499" spans="2:8" x14ac:dyDescent="0.4">
      <c r="B11499" s="3" t="s">
        <v>7</v>
      </c>
      <c r="C11499" s="3" t="s">
        <v>1835</v>
      </c>
      <c r="D11499" s="4">
        <f>DATE(2011,12,16)</f>
        <v>40893</v>
      </c>
      <c r="E11499" s="5">
        <f t="shared" si="191"/>
        <v>2011</v>
      </c>
      <c r="F11499" s="3" t="s">
        <v>1836</v>
      </c>
      <c r="G11499" s="6">
        <v>1025</v>
      </c>
      <c r="H11499" s="5">
        <v>16287</v>
      </c>
    </row>
    <row r="11500" spans="2:8" x14ac:dyDescent="0.4">
      <c r="B11500" s="3" t="s">
        <v>7</v>
      </c>
      <c r="C11500" s="3" t="s">
        <v>1835</v>
      </c>
      <c r="D11500" s="4">
        <f>DATE(2012,3,19)</f>
        <v>40987</v>
      </c>
      <c r="E11500" s="5">
        <f t="shared" si="191"/>
        <v>2012</v>
      </c>
      <c r="F11500" s="3" t="s">
        <v>1836</v>
      </c>
      <c r="G11500" s="6">
        <v>2178</v>
      </c>
      <c r="H11500" s="5">
        <v>16756</v>
      </c>
    </row>
    <row r="11501" spans="2:8" x14ac:dyDescent="0.4">
      <c r="B11501" s="3" t="s">
        <v>7</v>
      </c>
      <c r="C11501" s="3" t="s">
        <v>1835</v>
      </c>
      <c r="D11501" s="4">
        <f>DATE(2012,3,28)</f>
        <v>40996</v>
      </c>
      <c r="E11501" s="5">
        <f t="shared" si="191"/>
        <v>2012</v>
      </c>
      <c r="F11501" s="3" t="s">
        <v>1836</v>
      </c>
      <c r="G11501" s="6">
        <v>98</v>
      </c>
      <c r="H11501" s="5">
        <v>16843</v>
      </c>
    </row>
    <row r="11502" spans="2:8" x14ac:dyDescent="0.4">
      <c r="B11502" s="3" t="s">
        <v>7</v>
      </c>
      <c r="C11502" s="3" t="s">
        <v>1835</v>
      </c>
      <c r="D11502" s="4">
        <f>DATE(2012,5,23)</f>
        <v>41052</v>
      </c>
      <c r="E11502" s="5">
        <f t="shared" si="191"/>
        <v>2012</v>
      </c>
      <c r="F11502" s="3" t="s">
        <v>1836</v>
      </c>
      <c r="G11502" s="6">
        <v>4840</v>
      </c>
      <c r="H11502" s="5">
        <v>17122</v>
      </c>
    </row>
    <row r="11503" spans="2:8" x14ac:dyDescent="0.4">
      <c r="B11503" s="3" t="s">
        <v>7</v>
      </c>
      <c r="C11503" s="3" t="s">
        <v>1835</v>
      </c>
      <c r="D11503" s="4">
        <f>DATE(2012,7,11)</f>
        <v>41101</v>
      </c>
      <c r="E11503" s="5">
        <f t="shared" si="191"/>
        <v>2012</v>
      </c>
      <c r="F11503" s="3" t="s">
        <v>1836</v>
      </c>
      <c r="G11503" s="6">
        <v>1210</v>
      </c>
      <c r="H11503" s="5">
        <v>17307</v>
      </c>
    </row>
    <row r="11504" spans="2:8" x14ac:dyDescent="0.4">
      <c r="B11504" s="3" t="s">
        <v>7</v>
      </c>
      <c r="C11504" s="3" t="s">
        <v>1835</v>
      </c>
      <c r="D11504" s="4">
        <f>DATE(2012,10,3)</f>
        <v>41185</v>
      </c>
      <c r="E11504" s="5">
        <f t="shared" si="191"/>
        <v>2012</v>
      </c>
      <c r="F11504" s="3" t="s">
        <v>1836</v>
      </c>
      <c r="G11504" s="6">
        <v>1401.85</v>
      </c>
      <c r="H11504" s="5">
        <v>17668</v>
      </c>
    </row>
    <row r="11505" spans="2:8" x14ac:dyDescent="0.4">
      <c r="B11505" s="3" t="s">
        <v>7</v>
      </c>
      <c r="C11505" s="3" t="s">
        <v>1835</v>
      </c>
      <c r="D11505" s="4">
        <f>DATE(2012,12,11)</f>
        <v>41254</v>
      </c>
      <c r="E11505" s="5">
        <f t="shared" si="191"/>
        <v>2012</v>
      </c>
      <c r="F11505" s="3" t="s">
        <v>1836</v>
      </c>
      <c r="G11505" s="6">
        <v>5358.59</v>
      </c>
      <c r="H11505" s="5">
        <v>17895</v>
      </c>
    </row>
    <row r="11506" spans="2:8" x14ac:dyDescent="0.4">
      <c r="B11506" s="3" t="s">
        <v>7</v>
      </c>
      <c r="C11506" s="3" t="s">
        <v>1835</v>
      </c>
      <c r="D11506" s="4">
        <f>DATE(2013,4,11)</f>
        <v>41375</v>
      </c>
      <c r="E11506" s="5">
        <f t="shared" si="191"/>
        <v>2013</v>
      </c>
      <c r="F11506" s="3" t="s">
        <v>1836</v>
      </c>
      <c r="G11506" s="6">
        <v>4470</v>
      </c>
      <c r="H11506" s="5">
        <v>18407</v>
      </c>
    </row>
    <row r="11507" spans="2:8" x14ac:dyDescent="0.4">
      <c r="B11507" s="3" t="s">
        <v>7</v>
      </c>
      <c r="C11507" s="3" t="s">
        <v>1835</v>
      </c>
      <c r="D11507" s="4">
        <f>DATE(2013,4,15)</f>
        <v>41379</v>
      </c>
      <c r="E11507" s="5">
        <f t="shared" si="191"/>
        <v>2013</v>
      </c>
      <c r="F11507" s="3" t="s">
        <v>1836</v>
      </c>
      <c r="G11507" s="6">
        <v>1230</v>
      </c>
      <c r="H11507" s="5">
        <v>18444</v>
      </c>
    </row>
    <row r="11508" spans="2:8" x14ac:dyDescent="0.4">
      <c r="B11508" s="3" t="s">
        <v>7</v>
      </c>
      <c r="C11508" s="3" t="s">
        <v>1835</v>
      </c>
      <c r="D11508" s="4">
        <f>DATE(2013,5,23)</f>
        <v>41417</v>
      </c>
      <c r="E11508" s="5">
        <f t="shared" si="191"/>
        <v>2013</v>
      </c>
      <c r="F11508" s="3" t="s">
        <v>1836</v>
      </c>
      <c r="G11508" s="6">
        <v>159.21</v>
      </c>
      <c r="H11508" s="5">
        <v>18619</v>
      </c>
    </row>
    <row r="11509" spans="2:8" x14ac:dyDescent="0.4">
      <c r="B11509" s="3" t="s">
        <v>7</v>
      </c>
      <c r="C11509" s="3" t="s">
        <v>1835</v>
      </c>
      <c r="D11509" s="4">
        <f>DATE(2013,11,1)</f>
        <v>41579</v>
      </c>
      <c r="E11509" s="5">
        <f t="shared" si="191"/>
        <v>2013</v>
      </c>
      <c r="F11509" s="3" t="s">
        <v>1836</v>
      </c>
      <c r="G11509" s="6">
        <v>2030</v>
      </c>
      <c r="H11509" s="5">
        <v>19137</v>
      </c>
    </row>
    <row r="11510" spans="2:8" x14ac:dyDescent="0.4">
      <c r="B11510" s="3" t="s">
        <v>7</v>
      </c>
      <c r="C11510" s="3" t="s">
        <v>1835</v>
      </c>
      <c r="D11510" s="4">
        <f>DATE(2014,2,26)</f>
        <v>41696</v>
      </c>
      <c r="E11510" s="5">
        <f t="shared" si="191"/>
        <v>2014</v>
      </c>
      <c r="F11510" s="3" t="s">
        <v>1836</v>
      </c>
      <c r="G11510" s="6">
        <v>14985.5</v>
      </c>
      <c r="H11510" s="5">
        <v>19105</v>
      </c>
    </row>
    <row r="11511" spans="2:8" x14ac:dyDescent="0.4">
      <c r="B11511" s="3" t="s">
        <v>7</v>
      </c>
      <c r="C11511" s="3" t="s">
        <v>1835</v>
      </c>
      <c r="D11511" s="4">
        <f>DATE(2014,5,8)</f>
        <v>41767</v>
      </c>
      <c r="E11511" s="5">
        <f t="shared" si="191"/>
        <v>2014</v>
      </c>
      <c r="F11511" s="3" t="s">
        <v>1836</v>
      </c>
      <c r="G11511" s="6">
        <v>2420</v>
      </c>
      <c r="H11511" s="5">
        <v>19935</v>
      </c>
    </row>
    <row r="11512" spans="2:8" x14ac:dyDescent="0.4">
      <c r="B11512" t="s">
        <v>7</v>
      </c>
      <c r="C11512" t="s">
        <v>1837</v>
      </c>
      <c r="D11512" s="7">
        <f>DATE(2018,9,26)</f>
        <v>43369</v>
      </c>
      <c r="E11512" s="8">
        <f t="shared" si="191"/>
        <v>2018</v>
      </c>
      <c r="F11512" t="s">
        <v>1838</v>
      </c>
      <c r="G11512" s="9">
        <v>6197.8</v>
      </c>
      <c r="H11512" s="8">
        <v>27579</v>
      </c>
    </row>
    <row r="11513" spans="2:8" x14ac:dyDescent="0.4">
      <c r="B11513" t="s">
        <v>7</v>
      </c>
      <c r="C11513" t="s">
        <v>1839</v>
      </c>
      <c r="D11513" s="7">
        <f>DATE(2003,3,23)</f>
        <v>37703</v>
      </c>
      <c r="E11513" s="8">
        <f t="shared" si="191"/>
        <v>2003</v>
      </c>
      <c r="F11513" t="s">
        <v>1840</v>
      </c>
      <c r="G11513" s="9">
        <v>11613</v>
      </c>
      <c r="H11513" s="8">
        <v>186</v>
      </c>
    </row>
    <row r="11514" spans="2:8" x14ac:dyDescent="0.4">
      <c r="B11514" t="s">
        <v>7</v>
      </c>
      <c r="C11514" t="s">
        <v>1839</v>
      </c>
      <c r="D11514" s="7">
        <f>DATE(2005,10,30)</f>
        <v>38655</v>
      </c>
      <c r="E11514" s="8">
        <f t="shared" si="191"/>
        <v>2005</v>
      </c>
      <c r="F11514" t="s">
        <v>1840</v>
      </c>
      <c r="G11514" s="9">
        <v>8600</v>
      </c>
      <c r="H11514" s="8">
        <v>3567</v>
      </c>
    </row>
    <row r="11515" spans="2:8" x14ac:dyDescent="0.4">
      <c r="B11515" t="s">
        <v>7</v>
      </c>
      <c r="C11515" t="s">
        <v>1839</v>
      </c>
      <c r="D11515" s="7">
        <f>DATE(2005,10,28)</f>
        <v>38653</v>
      </c>
      <c r="E11515" s="8">
        <f t="shared" si="191"/>
        <v>2005</v>
      </c>
      <c r="F11515" t="s">
        <v>1840</v>
      </c>
      <c r="G11515" s="9">
        <v>14500</v>
      </c>
      <c r="H11515" s="8">
        <v>3575</v>
      </c>
    </row>
    <row r="11516" spans="2:8" x14ac:dyDescent="0.4">
      <c r="B11516" t="s">
        <v>7</v>
      </c>
      <c r="C11516" t="s">
        <v>1839</v>
      </c>
      <c r="D11516" s="7">
        <f>DATE(2008,5,23)</f>
        <v>39591</v>
      </c>
      <c r="E11516" s="8">
        <f t="shared" si="191"/>
        <v>2008</v>
      </c>
      <c r="F11516" t="s">
        <v>1840</v>
      </c>
      <c r="G11516" s="9">
        <v>17370.16</v>
      </c>
      <c r="H11516" s="8">
        <v>7316</v>
      </c>
    </row>
    <row r="11517" spans="2:8" x14ac:dyDescent="0.4">
      <c r="B11517" t="s">
        <v>7</v>
      </c>
      <c r="C11517" t="s">
        <v>1839</v>
      </c>
      <c r="D11517" s="7">
        <f>DATE(2009,4,29)</f>
        <v>39932</v>
      </c>
      <c r="E11517" s="8">
        <f t="shared" si="191"/>
        <v>2009</v>
      </c>
      <c r="F11517" t="s">
        <v>1840</v>
      </c>
      <c r="G11517" s="9">
        <v>12815</v>
      </c>
      <c r="H11517" s="8">
        <v>8499</v>
      </c>
    </row>
    <row r="11518" spans="2:8" x14ac:dyDescent="0.4">
      <c r="B11518" t="s">
        <v>7</v>
      </c>
      <c r="C11518" t="s">
        <v>1839</v>
      </c>
      <c r="D11518" s="7">
        <f>DATE(2009,4,29)</f>
        <v>39932</v>
      </c>
      <c r="E11518" s="8">
        <f t="shared" si="191"/>
        <v>2009</v>
      </c>
      <c r="F11518" t="s">
        <v>1840</v>
      </c>
      <c r="G11518" s="9">
        <v>5720</v>
      </c>
      <c r="H11518" s="8">
        <v>8498</v>
      </c>
    </row>
    <row r="11519" spans="2:8" x14ac:dyDescent="0.4">
      <c r="B11519" t="s">
        <v>7</v>
      </c>
      <c r="C11519" t="s">
        <v>1839</v>
      </c>
      <c r="D11519" s="7">
        <f>DATE(2011,5,3)</f>
        <v>40666</v>
      </c>
      <c r="E11519" s="8">
        <f t="shared" si="191"/>
        <v>2011</v>
      </c>
      <c r="F11519" t="s">
        <v>1840</v>
      </c>
      <c r="G11519" s="9">
        <v>16308</v>
      </c>
      <c r="H11519" s="8">
        <v>10560</v>
      </c>
    </row>
    <row r="11520" spans="2:8" x14ac:dyDescent="0.4">
      <c r="B11520" s="3" t="s">
        <v>7</v>
      </c>
      <c r="C11520" s="3" t="s">
        <v>1839</v>
      </c>
      <c r="D11520" s="4">
        <f>DATE(2007,9,21)</f>
        <v>39346</v>
      </c>
      <c r="E11520" s="5">
        <f t="shared" si="191"/>
        <v>2007</v>
      </c>
      <c r="F11520" s="3" t="s">
        <v>1840</v>
      </c>
      <c r="G11520" s="6">
        <v>210</v>
      </c>
      <c r="H11520" s="5">
        <v>9211</v>
      </c>
    </row>
    <row r="11521" spans="2:8" x14ac:dyDescent="0.4">
      <c r="B11521" t="s">
        <v>7</v>
      </c>
      <c r="C11521" t="s">
        <v>1841</v>
      </c>
      <c r="D11521" s="7">
        <f>DATE(2015,11,27)</f>
        <v>42335</v>
      </c>
      <c r="E11521" s="8">
        <f t="shared" si="191"/>
        <v>2015</v>
      </c>
      <c r="F11521" t="s">
        <v>1842</v>
      </c>
      <c r="G11521" s="9">
        <v>5857.92</v>
      </c>
      <c r="H11521" s="8">
        <v>21634</v>
      </c>
    </row>
    <row r="11522" spans="2:8" x14ac:dyDescent="0.4">
      <c r="B11522" t="s">
        <v>7</v>
      </c>
      <c r="C11522" t="s">
        <v>1841</v>
      </c>
      <c r="D11522" s="7">
        <f>DATE(2016,9,22)</f>
        <v>42635</v>
      </c>
      <c r="E11522" s="8">
        <f t="shared" si="191"/>
        <v>2016</v>
      </c>
      <c r="F11522" t="s">
        <v>1842</v>
      </c>
      <c r="G11522" s="9">
        <v>5868.76</v>
      </c>
      <c r="H11522" s="8">
        <v>23156</v>
      </c>
    </row>
    <row r="11523" spans="2:8" x14ac:dyDescent="0.4">
      <c r="B11523" t="s">
        <v>7</v>
      </c>
      <c r="C11523" t="s">
        <v>1841</v>
      </c>
      <c r="D11523" s="7">
        <f>DATE(2015,11,27)</f>
        <v>42335</v>
      </c>
      <c r="E11523" s="8">
        <f t="shared" ref="E11523:E11586" si="192">YEAR(D11523)</f>
        <v>2015</v>
      </c>
      <c r="F11523" t="s">
        <v>1842</v>
      </c>
      <c r="G11523" s="9">
        <v>2600</v>
      </c>
      <c r="H11523" s="8">
        <v>21636</v>
      </c>
    </row>
    <row r="11524" spans="2:8" x14ac:dyDescent="0.4">
      <c r="B11524" t="s">
        <v>7</v>
      </c>
      <c r="C11524" t="s">
        <v>1841</v>
      </c>
      <c r="D11524" s="7">
        <f>DATE(2016,9,22)</f>
        <v>42635</v>
      </c>
      <c r="E11524" s="8">
        <f t="shared" si="192"/>
        <v>2016</v>
      </c>
      <c r="F11524" t="s">
        <v>1842</v>
      </c>
      <c r="G11524" s="9">
        <v>2600</v>
      </c>
      <c r="H11524" s="8">
        <v>23157</v>
      </c>
    </row>
    <row r="11525" spans="2:8" x14ac:dyDescent="0.4">
      <c r="B11525" s="3" t="s">
        <v>7</v>
      </c>
      <c r="C11525" s="3" t="s">
        <v>1843</v>
      </c>
      <c r="D11525" s="4">
        <f>DATE(2003,3,28)</f>
        <v>37708</v>
      </c>
      <c r="E11525" s="5">
        <f t="shared" si="192"/>
        <v>2003</v>
      </c>
      <c r="F11525" s="3" t="s">
        <v>1844</v>
      </c>
      <c r="G11525" s="6">
        <v>656</v>
      </c>
      <c r="H11525" s="5">
        <v>577</v>
      </c>
    </row>
    <row r="11526" spans="2:8" x14ac:dyDescent="0.4">
      <c r="B11526" s="3" t="s">
        <v>7</v>
      </c>
      <c r="C11526" s="3" t="s">
        <v>1843</v>
      </c>
      <c r="D11526" s="4">
        <f>DATE(2004,10,11)</f>
        <v>38271</v>
      </c>
      <c r="E11526" s="5">
        <f t="shared" si="192"/>
        <v>2004</v>
      </c>
      <c r="F11526" s="3" t="s">
        <v>1844</v>
      </c>
      <c r="G11526" s="6">
        <v>526</v>
      </c>
      <c r="H11526" s="5">
        <v>3549</v>
      </c>
    </row>
    <row r="11527" spans="2:8" x14ac:dyDescent="0.4">
      <c r="B11527" t="s">
        <v>7</v>
      </c>
      <c r="C11527" t="s">
        <v>306</v>
      </c>
      <c r="D11527" s="7">
        <f>DATE(2017,5,16)</f>
        <v>42871</v>
      </c>
      <c r="E11527" s="8">
        <f t="shared" si="192"/>
        <v>2017</v>
      </c>
      <c r="F11527" t="s">
        <v>1845</v>
      </c>
      <c r="G11527" s="9">
        <v>45650</v>
      </c>
      <c r="H11527" s="8">
        <v>24660</v>
      </c>
    </row>
    <row r="11528" spans="2:8" x14ac:dyDescent="0.4">
      <c r="B11528" t="s">
        <v>7</v>
      </c>
      <c r="C11528" t="s">
        <v>306</v>
      </c>
      <c r="D11528" s="7">
        <f>DATE(2016,5,12)</f>
        <v>42502</v>
      </c>
      <c r="E11528" s="8">
        <f t="shared" si="192"/>
        <v>2016</v>
      </c>
      <c r="F11528" t="s">
        <v>1845</v>
      </c>
      <c r="G11528" s="9">
        <v>123484.2</v>
      </c>
      <c r="H11528" s="8">
        <v>22520</v>
      </c>
    </row>
    <row r="11529" spans="2:8" x14ac:dyDescent="0.4">
      <c r="B11529" t="s">
        <v>7</v>
      </c>
      <c r="C11529" t="s">
        <v>306</v>
      </c>
      <c r="D11529" s="7">
        <f>DATE(2016,5,12)</f>
        <v>42502</v>
      </c>
      <c r="E11529" s="8">
        <f t="shared" si="192"/>
        <v>2016</v>
      </c>
      <c r="F11529" t="s">
        <v>1845</v>
      </c>
      <c r="G11529" s="9">
        <v>36849.26</v>
      </c>
      <c r="H11529" s="8">
        <v>22524</v>
      </c>
    </row>
    <row r="11530" spans="2:8" x14ac:dyDescent="0.4">
      <c r="B11530" t="s">
        <v>7</v>
      </c>
      <c r="C11530" t="s">
        <v>306</v>
      </c>
      <c r="D11530" s="7">
        <f>DATE(2016,5,12)</f>
        <v>42502</v>
      </c>
      <c r="E11530" s="8">
        <f t="shared" si="192"/>
        <v>2016</v>
      </c>
      <c r="F11530" t="s">
        <v>1845</v>
      </c>
      <c r="G11530" s="9">
        <v>5463.3</v>
      </c>
      <c r="H11530" s="8">
        <v>22525</v>
      </c>
    </row>
    <row r="11531" spans="2:8" x14ac:dyDescent="0.4">
      <c r="B11531" t="s">
        <v>7</v>
      </c>
      <c r="C11531" t="s">
        <v>306</v>
      </c>
      <c r="D11531" s="7">
        <f>DATE(2017,4,10)</f>
        <v>42835</v>
      </c>
      <c r="E11531" s="8">
        <f t="shared" si="192"/>
        <v>2017</v>
      </c>
      <c r="F11531" t="s">
        <v>1845</v>
      </c>
      <c r="G11531" s="9">
        <v>154286.85</v>
      </c>
      <c r="H11531" s="8">
        <v>24657</v>
      </c>
    </row>
    <row r="11532" spans="2:8" x14ac:dyDescent="0.4">
      <c r="B11532" t="s">
        <v>7</v>
      </c>
      <c r="C11532" t="s">
        <v>306</v>
      </c>
      <c r="D11532" s="7">
        <f>DATE(2017,4,27)</f>
        <v>42852</v>
      </c>
      <c r="E11532" s="8">
        <f t="shared" si="192"/>
        <v>2017</v>
      </c>
      <c r="F11532" t="s">
        <v>1845</v>
      </c>
      <c r="G11532" s="9">
        <v>9714.4500000000007</v>
      </c>
      <c r="H11532" s="8">
        <v>24849</v>
      </c>
    </row>
    <row r="11533" spans="2:8" x14ac:dyDescent="0.4">
      <c r="B11533" t="s">
        <v>7</v>
      </c>
      <c r="C11533" t="s">
        <v>988</v>
      </c>
      <c r="D11533" s="7">
        <f>DATE(2016,9,21)</f>
        <v>42634</v>
      </c>
      <c r="E11533" s="8">
        <f t="shared" si="192"/>
        <v>2016</v>
      </c>
      <c r="F11533" t="s">
        <v>1846</v>
      </c>
      <c r="G11533" s="9">
        <v>782</v>
      </c>
      <c r="H11533" s="8">
        <v>23513</v>
      </c>
    </row>
    <row r="11534" spans="2:8" x14ac:dyDescent="0.4">
      <c r="B11534" t="s">
        <v>7</v>
      </c>
      <c r="C11534" t="s">
        <v>988</v>
      </c>
      <c r="D11534" s="7">
        <f>DATE(2016,9,28)</f>
        <v>42641</v>
      </c>
      <c r="E11534" s="8">
        <f t="shared" si="192"/>
        <v>2016</v>
      </c>
      <c r="F11534" t="s">
        <v>1846</v>
      </c>
      <c r="G11534" s="9">
        <v>918</v>
      </c>
      <c r="H11534" s="8">
        <v>23553</v>
      </c>
    </row>
    <row r="11535" spans="2:8" x14ac:dyDescent="0.4">
      <c r="B11535" t="s">
        <v>7</v>
      </c>
      <c r="C11535" t="s">
        <v>988</v>
      </c>
      <c r="D11535" s="7">
        <f>DATE(2016,12,1)</f>
        <v>42705</v>
      </c>
      <c r="E11535" s="8">
        <f t="shared" si="192"/>
        <v>2016</v>
      </c>
      <c r="F11535" t="s">
        <v>1846</v>
      </c>
      <c r="G11535" s="9">
        <v>487.05</v>
      </c>
      <c r="H11535" s="8">
        <v>23861</v>
      </c>
    </row>
    <row r="11536" spans="2:8" x14ac:dyDescent="0.4">
      <c r="B11536" t="s">
        <v>7</v>
      </c>
      <c r="C11536" t="s">
        <v>988</v>
      </c>
      <c r="D11536" s="7">
        <f>DATE(2016,12,9)</f>
        <v>42713</v>
      </c>
      <c r="E11536" s="8">
        <f t="shared" si="192"/>
        <v>2016</v>
      </c>
      <c r="F11536" t="s">
        <v>1846</v>
      </c>
      <c r="G11536" s="9">
        <v>4496.97</v>
      </c>
      <c r="H11536" s="8">
        <v>23882</v>
      </c>
    </row>
    <row r="11537" spans="2:8" x14ac:dyDescent="0.4">
      <c r="B11537" t="s">
        <v>7</v>
      </c>
      <c r="C11537" t="s">
        <v>988</v>
      </c>
      <c r="D11537" s="7">
        <f>DATE(2017,4,27)</f>
        <v>42852</v>
      </c>
      <c r="E11537" s="8">
        <f t="shared" si="192"/>
        <v>2017</v>
      </c>
      <c r="F11537" t="s">
        <v>1846</v>
      </c>
      <c r="G11537" s="9">
        <v>6358.29</v>
      </c>
      <c r="H11537" s="8">
        <v>24824</v>
      </c>
    </row>
    <row r="11538" spans="2:8" x14ac:dyDescent="0.4">
      <c r="B11538" t="s">
        <v>7</v>
      </c>
      <c r="C11538" t="s">
        <v>988</v>
      </c>
      <c r="D11538" s="7">
        <f>DATE(2017,7,6)</f>
        <v>42922</v>
      </c>
      <c r="E11538" s="8">
        <f t="shared" si="192"/>
        <v>2017</v>
      </c>
      <c r="F11538" t="s">
        <v>1846</v>
      </c>
      <c r="G11538" s="9">
        <v>5630.4</v>
      </c>
      <c r="H11538" s="8">
        <v>25149</v>
      </c>
    </row>
    <row r="11539" spans="2:8" x14ac:dyDescent="0.4">
      <c r="B11539" t="s">
        <v>7</v>
      </c>
      <c r="C11539" t="s">
        <v>988</v>
      </c>
      <c r="D11539" s="7">
        <f>DATE(2017,7,10)</f>
        <v>42926</v>
      </c>
      <c r="E11539" s="8">
        <f t="shared" si="192"/>
        <v>2017</v>
      </c>
      <c r="F11539" t="s">
        <v>1846</v>
      </c>
      <c r="G11539" s="9">
        <v>1162.0999999999999</v>
      </c>
      <c r="H11539" s="8">
        <v>25218</v>
      </c>
    </row>
    <row r="11540" spans="2:8" x14ac:dyDescent="0.4">
      <c r="B11540" t="s">
        <v>7</v>
      </c>
      <c r="C11540" t="s">
        <v>988</v>
      </c>
      <c r="D11540" s="7">
        <f>DATE(2017,8,1)</f>
        <v>42948</v>
      </c>
      <c r="E11540" s="8">
        <f t="shared" si="192"/>
        <v>2017</v>
      </c>
      <c r="F11540" t="s">
        <v>1846</v>
      </c>
      <c r="G11540" s="9">
        <v>927.35</v>
      </c>
      <c r="H11540" s="8">
        <v>25314</v>
      </c>
    </row>
    <row r="11541" spans="2:8" x14ac:dyDescent="0.4">
      <c r="B11541" t="s">
        <v>7</v>
      </c>
      <c r="C11541" t="s">
        <v>988</v>
      </c>
      <c r="D11541" s="7">
        <f>DATE(2017,8,18)</f>
        <v>42965</v>
      </c>
      <c r="E11541" s="8">
        <f t="shared" si="192"/>
        <v>2017</v>
      </c>
      <c r="F11541" t="s">
        <v>1846</v>
      </c>
      <c r="G11541" s="9">
        <v>3193.9</v>
      </c>
      <c r="H11541" s="8">
        <v>25442</v>
      </c>
    </row>
    <row r="11542" spans="2:8" x14ac:dyDescent="0.4">
      <c r="B11542" t="s">
        <v>7</v>
      </c>
      <c r="C11542" t="s">
        <v>988</v>
      </c>
      <c r="D11542" s="7">
        <f>DATE(2017,9,21)</f>
        <v>42999</v>
      </c>
      <c r="E11542" s="8">
        <f t="shared" si="192"/>
        <v>2017</v>
      </c>
      <c r="F11542" t="s">
        <v>1846</v>
      </c>
      <c r="G11542" s="9">
        <v>173.4</v>
      </c>
      <c r="H11542" s="8">
        <v>25603</v>
      </c>
    </row>
    <row r="11543" spans="2:8" x14ac:dyDescent="0.4">
      <c r="B11543" t="s">
        <v>7</v>
      </c>
      <c r="C11543" t="s">
        <v>988</v>
      </c>
      <c r="D11543" s="7">
        <f>DATE(2017,10,4)</f>
        <v>43012</v>
      </c>
      <c r="E11543" s="8">
        <f t="shared" si="192"/>
        <v>2017</v>
      </c>
      <c r="F11543" t="s">
        <v>1846</v>
      </c>
      <c r="G11543" s="9">
        <v>1989</v>
      </c>
      <c r="H11543" s="8">
        <v>25663</v>
      </c>
    </row>
    <row r="11544" spans="2:8" x14ac:dyDescent="0.4">
      <c r="B11544" t="s">
        <v>7</v>
      </c>
      <c r="C11544" t="s">
        <v>988</v>
      </c>
      <c r="D11544" s="7">
        <f>DATE(2017,12,12)</f>
        <v>43081</v>
      </c>
      <c r="E11544" s="8">
        <f t="shared" si="192"/>
        <v>2017</v>
      </c>
      <c r="F11544" t="s">
        <v>1846</v>
      </c>
      <c r="G11544" s="9">
        <v>644.25</v>
      </c>
      <c r="H11544" s="8">
        <v>25687</v>
      </c>
    </row>
    <row r="11545" spans="2:8" x14ac:dyDescent="0.4">
      <c r="B11545" t="s">
        <v>7</v>
      </c>
      <c r="C11545" t="s">
        <v>1847</v>
      </c>
      <c r="D11545" s="7">
        <f>DATE(2019,1,31)</f>
        <v>43496</v>
      </c>
      <c r="E11545" s="8">
        <f t="shared" si="192"/>
        <v>2019</v>
      </c>
      <c r="F11545" t="s">
        <v>1848</v>
      </c>
      <c r="G11545" s="9">
        <v>267.22000000000003</v>
      </c>
      <c r="H11545" s="8">
        <v>28310</v>
      </c>
    </row>
    <row r="11546" spans="2:8" x14ac:dyDescent="0.4">
      <c r="B11546" t="s">
        <v>7</v>
      </c>
      <c r="C11546" t="s">
        <v>1849</v>
      </c>
      <c r="D11546" s="7">
        <f>DATE(2015,1,23)</f>
        <v>42027</v>
      </c>
      <c r="E11546" s="8">
        <f t="shared" si="192"/>
        <v>2015</v>
      </c>
      <c r="F11546" t="s">
        <v>1850</v>
      </c>
      <c r="G11546" s="9">
        <v>274</v>
      </c>
      <c r="H11546" s="8">
        <v>81</v>
      </c>
    </row>
    <row r="11547" spans="2:8" x14ac:dyDescent="0.4">
      <c r="B11547" t="s">
        <v>7</v>
      </c>
      <c r="C11547" t="s">
        <v>1849</v>
      </c>
      <c r="D11547" s="7">
        <f>DATE(2016,2,5)</f>
        <v>42405</v>
      </c>
      <c r="E11547" s="8">
        <f t="shared" si="192"/>
        <v>2016</v>
      </c>
      <c r="F11547" t="s">
        <v>1850</v>
      </c>
      <c r="G11547" s="9">
        <v>137</v>
      </c>
      <c r="H11547" s="8">
        <v>22084</v>
      </c>
    </row>
    <row r="11548" spans="2:8" x14ac:dyDescent="0.4">
      <c r="B11548" t="s">
        <v>7</v>
      </c>
      <c r="C11548" t="s">
        <v>1849</v>
      </c>
      <c r="D11548" s="7">
        <f>DATE(2016,2,17)</f>
        <v>42417</v>
      </c>
      <c r="E11548" s="8">
        <f t="shared" si="192"/>
        <v>2016</v>
      </c>
      <c r="F11548" t="s">
        <v>1850</v>
      </c>
      <c r="G11548" s="9">
        <v>136.4</v>
      </c>
      <c r="H11548" s="8">
        <v>22199</v>
      </c>
    </row>
    <row r="11549" spans="2:8" x14ac:dyDescent="0.4">
      <c r="B11549" t="s">
        <v>7</v>
      </c>
      <c r="C11549" t="s">
        <v>1849</v>
      </c>
      <c r="D11549" s="7">
        <f>DATE(2017,4,3)</f>
        <v>42828</v>
      </c>
      <c r="E11549" s="8">
        <f t="shared" si="192"/>
        <v>2017</v>
      </c>
      <c r="F11549" t="s">
        <v>1850</v>
      </c>
      <c r="G11549" s="9">
        <v>223.84</v>
      </c>
      <c r="H11549" s="8">
        <v>24645</v>
      </c>
    </row>
    <row r="11550" spans="2:8" x14ac:dyDescent="0.4">
      <c r="B11550" t="s">
        <v>7</v>
      </c>
      <c r="C11550" t="s">
        <v>1849</v>
      </c>
      <c r="D11550" s="7">
        <f>DATE(2017,4,27)</f>
        <v>42852</v>
      </c>
      <c r="E11550" s="8">
        <f t="shared" si="192"/>
        <v>2017</v>
      </c>
      <c r="F11550" t="s">
        <v>1850</v>
      </c>
      <c r="G11550" s="9">
        <v>149</v>
      </c>
      <c r="H11550" s="8">
        <v>24750</v>
      </c>
    </row>
    <row r="11551" spans="2:8" x14ac:dyDescent="0.4">
      <c r="B11551" t="s">
        <v>7</v>
      </c>
      <c r="C11551" t="s">
        <v>1849</v>
      </c>
      <c r="D11551" s="7">
        <f>DATE(2017,10,27)</f>
        <v>43035</v>
      </c>
      <c r="E11551" s="8">
        <f t="shared" si="192"/>
        <v>2017</v>
      </c>
      <c r="F11551" t="s">
        <v>1850</v>
      </c>
      <c r="G11551" s="9">
        <v>417.5</v>
      </c>
      <c r="H11551" s="8">
        <v>25802</v>
      </c>
    </row>
    <row r="11552" spans="2:8" x14ac:dyDescent="0.4">
      <c r="B11552" t="s">
        <v>7</v>
      </c>
      <c r="C11552" t="s">
        <v>1849</v>
      </c>
      <c r="D11552" s="7">
        <f>DATE(2018,2,9)</f>
        <v>43140</v>
      </c>
      <c r="E11552" s="8">
        <f t="shared" si="192"/>
        <v>2018</v>
      </c>
      <c r="F11552" t="s">
        <v>1850</v>
      </c>
      <c r="G11552" s="9">
        <v>147</v>
      </c>
      <c r="H11552" s="8">
        <v>26405</v>
      </c>
    </row>
    <row r="11553" spans="2:8" x14ac:dyDescent="0.4">
      <c r="B11553" t="s">
        <v>7</v>
      </c>
      <c r="C11553" t="s">
        <v>1849</v>
      </c>
      <c r="D11553" s="7">
        <f>DATE(2018,8,1)</f>
        <v>43313</v>
      </c>
      <c r="E11553" s="8">
        <f t="shared" si="192"/>
        <v>2018</v>
      </c>
      <c r="F11553" t="s">
        <v>1850</v>
      </c>
      <c r="G11553" s="9">
        <v>187.6</v>
      </c>
      <c r="H11553" s="8">
        <v>27418</v>
      </c>
    </row>
    <row r="11554" spans="2:8" x14ac:dyDescent="0.4">
      <c r="B11554" t="s">
        <v>7</v>
      </c>
      <c r="C11554" t="s">
        <v>1849</v>
      </c>
      <c r="D11554" s="7">
        <f>DATE(2019,2,28)</f>
        <v>43524</v>
      </c>
      <c r="E11554" s="8">
        <f t="shared" si="192"/>
        <v>2019</v>
      </c>
      <c r="F11554" t="s">
        <v>1850</v>
      </c>
      <c r="G11554" s="9">
        <v>334</v>
      </c>
      <c r="H11554" s="8">
        <v>28504</v>
      </c>
    </row>
    <row r="11555" spans="2:8" x14ac:dyDescent="0.4">
      <c r="B11555" s="3" t="s">
        <v>7</v>
      </c>
      <c r="C11555" s="3" t="s">
        <v>1849</v>
      </c>
      <c r="D11555" s="4">
        <f>DATE(2003,1,27)</f>
        <v>37648</v>
      </c>
      <c r="E11555" s="5">
        <f t="shared" si="192"/>
        <v>2003</v>
      </c>
      <c r="F11555" s="3" t="s">
        <v>1850</v>
      </c>
      <c r="G11555" s="6">
        <v>730.25</v>
      </c>
      <c r="H11555" s="5">
        <v>5</v>
      </c>
    </row>
    <row r="11556" spans="2:8" x14ac:dyDescent="0.4">
      <c r="B11556" s="3" t="s">
        <v>7</v>
      </c>
      <c r="C11556" s="3" t="s">
        <v>1849</v>
      </c>
      <c r="D11556" s="4">
        <f>DATE(2003,1,28)</f>
        <v>37649</v>
      </c>
      <c r="E11556" s="5">
        <f t="shared" si="192"/>
        <v>2003</v>
      </c>
      <c r="F11556" s="3" t="s">
        <v>1850</v>
      </c>
      <c r="G11556" s="6">
        <v>971.06</v>
      </c>
      <c r="H11556" s="5">
        <v>16</v>
      </c>
    </row>
    <row r="11557" spans="2:8" x14ac:dyDescent="0.4">
      <c r="B11557" s="3" t="s">
        <v>7</v>
      </c>
      <c r="C11557" s="3" t="s">
        <v>1849</v>
      </c>
      <c r="D11557" s="4">
        <f>DATE(2003,1,27)</f>
        <v>37648</v>
      </c>
      <c r="E11557" s="5">
        <f t="shared" si="192"/>
        <v>2003</v>
      </c>
      <c r="F11557" s="3" t="s">
        <v>1850</v>
      </c>
      <c r="G11557" s="6">
        <v>371.64</v>
      </c>
      <c r="H11557" s="5">
        <v>17</v>
      </c>
    </row>
    <row r="11558" spans="2:8" x14ac:dyDescent="0.4">
      <c r="B11558" s="3" t="s">
        <v>7</v>
      </c>
      <c r="C11558" s="3" t="s">
        <v>1849</v>
      </c>
      <c r="D11558" s="4">
        <f>DATE(2003,1,31)</f>
        <v>37652</v>
      </c>
      <c r="E11558" s="5">
        <f t="shared" si="192"/>
        <v>2003</v>
      </c>
      <c r="F11558" s="3" t="s">
        <v>1850</v>
      </c>
      <c r="G11558" s="6">
        <v>79.12</v>
      </c>
      <c r="H11558" s="5">
        <v>18</v>
      </c>
    </row>
    <row r="11559" spans="2:8" x14ac:dyDescent="0.4">
      <c r="B11559" s="3" t="s">
        <v>7</v>
      </c>
      <c r="C11559" s="3" t="s">
        <v>1849</v>
      </c>
      <c r="D11559" s="4">
        <f>DATE(2003,2,20)</f>
        <v>37672</v>
      </c>
      <c r="E11559" s="5">
        <f t="shared" si="192"/>
        <v>2003</v>
      </c>
      <c r="F11559" s="3" t="s">
        <v>1850</v>
      </c>
      <c r="G11559" s="6">
        <v>311.62</v>
      </c>
      <c r="H11559" s="5">
        <v>35</v>
      </c>
    </row>
    <row r="11560" spans="2:8" x14ac:dyDescent="0.4">
      <c r="B11560" s="3" t="s">
        <v>7</v>
      </c>
      <c r="C11560" s="3" t="s">
        <v>1849</v>
      </c>
      <c r="D11560" s="4">
        <f>DATE(2003,3,12)</f>
        <v>37692</v>
      </c>
      <c r="E11560" s="5">
        <f t="shared" si="192"/>
        <v>2003</v>
      </c>
      <c r="F11560" s="3" t="s">
        <v>1850</v>
      </c>
      <c r="G11560" s="6">
        <v>1857.71</v>
      </c>
      <c r="H11560" s="5">
        <v>62</v>
      </c>
    </row>
    <row r="11561" spans="2:8" x14ac:dyDescent="0.4">
      <c r="B11561" s="3" t="s">
        <v>7</v>
      </c>
      <c r="C11561" s="3" t="s">
        <v>1849</v>
      </c>
      <c r="D11561" s="4">
        <f>DATE(2003,3,27)</f>
        <v>37707</v>
      </c>
      <c r="E11561" s="5">
        <f t="shared" si="192"/>
        <v>2003</v>
      </c>
      <c r="F11561" s="3" t="s">
        <v>1850</v>
      </c>
      <c r="G11561" s="6">
        <v>155.59</v>
      </c>
      <c r="H11561" s="5">
        <v>86</v>
      </c>
    </row>
    <row r="11562" spans="2:8" x14ac:dyDescent="0.4">
      <c r="B11562" s="3" t="s">
        <v>7</v>
      </c>
      <c r="C11562" s="3" t="s">
        <v>1849</v>
      </c>
      <c r="D11562" s="4">
        <f>DATE(2003,3,31)</f>
        <v>37711</v>
      </c>
      <c r="E11562" s="5">
        <f t="shared" si="192"/>
        <v>2003</v>
      </c>
      <c r="F11562" s="3" t="s">
        <v>1850</v>
      </c>
      <c r="G11562" s="6">
        <v>329.91</v>
      </c>
      <c r="H11562" s="5">
        <v>105</v>
      </c>
    </row>
    <row r="11563" spans="2:8" x14ac:dyDescent="0.4">
      <c r="B11563" s="3" t="s">
        <v>7</v>
      </c>
      <c r="C11563" s="3" t="s">
        <v>1849</v>
      </c>
      <c r="D11563" s="4">
        <f>DATE(2003,4,4)</f>
        <v>37715</v>
      </c>
      <c r="E11563" s="5">
        <f t="shared" si="192"/>
        <v>2003</v>
      </c>
      <c r="F11563" s="3" t="s">
        <v>1850</v>
      </c>
      <c r="G11563" s="6">
        <v>326.87</v>
      </c>
      <c r="H11563" s="5">
        <v>109</v>
      </c>
    </row>
    <row r="11564" spans="2:8" x14ac:dyDescent="0.4">
      <c r="B11564" s="3" t="s">
        <v>7</v>
      </c>
      <c r="C11564" s="3" t="s">
        <v>1849</v>
      </c>
      <c r="D11564" s="4">
        <f>DATE(2003,4,4)</f>
        <v>37715</v>
      </c>
      <c r="E11564" s="5">
        <f t="shared" si="192"/>
        <v>2003</v>
      </c>
      <c r="F11564" s="3" t="s">
        <v>1850</v>
      </c>
      <c r="G11564" s="6">
        <v>326.87</v>
      </c>
      <c r="H11564" s="5">
        <v>110</v>
      </c>
    </row>
    <row r="11565" spans="2:8" x14ac:dyDescent="0.4">
      <c r="B11565" s="3" t="s">
        <v>7</v>
      </c>
      <c r="C11565" s="3" t="s">
        <v>1849</v>
      </c>
      <c r="D11565" s="4">
        <f>DATE(2003,4,22)</f>
        <v>37733</v>
      </c>
      <c r="E11565" s="5">
        <f t="shared" si="192"/>
        <v>2003</v>
      </c>
      <c r="F11565" s="3" t="s">
        <v>1850</v>
      </c>
      <c r="G11565" s="6">
        <v>611.91</v>
      </c>
      <c r="H11565" s="5">
        <v>124</v>
      </c>
    </row>
    <row r="11566" spans="2:8" x14ac:dyDescent="0.4">
      <c r="B11566" s="3" t="s">
        <v>7</v>
      </c>
      <c r="C11566" s="3" t="s">
        <v>1849</v>
      </c>
      <c r="D11566" s="4">
        <f>DATE(2003,4,25)</f>
        <v>37736</v>
      </c>
      <c r="E11566" s="5">
        <f t="shared" si="192"/>
        <v>2003</v>
      </c>
      <c r="F11566" s="3" t="s">
        <v>1850</v>
      </c>
      <c r="G11566" s="6">
        <v>373.4</v>
      </c>
      <c r="H11566" s="5">
        <v>135</v>
      </c>
    </row>
    <row r="11567" spans="2:8" x14ac:dyDescent="0.4">
      <c r="B11567" s="3" t="s">
        <v>7</v>
      </c>
      <c r="C11567" s="3" t="s">
        <v>1849</v>
      </c>
      <c r="D11567" s="4">
        <f>DATE(2003,4,28)</f>
        <v>37739</v>
      </c>
      <c r="E11567" s="5">
        <f t="shared" si="192"/>
        <v>2003</v>
      </c>
      <c r="F11567" s="3" t="s">
        <v>1850</v>
      </c>
      <c r="G11567" s="6">
        <v>327.49</v>
      </c>
      <c r="H11567" s="5">
        <v>137</v>
      </c>
    </row>
    <row r="11568" spans="2:8" x14ac:dyDescent="0.4">
      <c r="B11568" s="3" t="s">
        <v>7</v>
      </c>
      <c r="C11568" s="3" t="s">
        <v>1849</v>
      </c>
      <c r="D11568" s="4">
        <f>DATE(2003,4,28)</f>
        <v>37739</v>
      </c>
      <c r="E11568" s="5">
        <f t="shared" si="192"/>
        <v>2003</v>
      </c>
      <c r="F11568" s="3" t="s">
        <v>1850</v>
      </c>
      <c r="G11568" s="6">
        <v>44.03</v>
      </c>
      <c r="H11568" s="5">
        <v>153</v>
      </c>
    </row>
    <row r="11569" spans="2:8" x14ac:dyDescent="0.4">
      <c r="B11569" s="3" t="s">
        <v>7</v>
      </c>
      <c r="C11569" s="3" t="s">
        <v>1849</v>
      </c>
      <c r="D11569" s="4">
        <f>DATE(2003,5,13)</f>
        <v>37754</v>
      </c>
      <c r="E11569" s="5">
        <f t="shared" si="192"/>
        <v>2003</v>
      </c>
      <c r="F11569" s="3" t="s">
        <v>1850</v>
      </c>
      <c r="G11569" s="6">
        <v>313.13</v>
      </c>
      <c r="H11569" s="5">
        <v>171</v>
      </c>
    </row>
    <row r="11570" spans="2:8" x14ac:dyDescent="0.4">
      <c r="B11570" s="3" t="s">
        <v>7</v>
      </c>
      <c r="C11570" s="3" t="s">
        <v>1849</v>
      </c>
      <c r="D11570" s="4">
        <f>DATE(2003,5,29)</f>
        <v>37770</v>
      </c>
      <c r="E11570" s="5">
        <f t="shared" si="192"/>
        <v>2003</v>
      </c>
      <c r="F11570" s="3" t="s">
        <v>1850</v>
      </c>
      <c r="G11570" s="6">
        <v>313.13</v>
      </c>
      <c r="H11570" s="5">
        <v>184</v>
      </c>
    </row>
    <row r="11571" spans="2:8" x14ac:dyDescent="0.4">
      <c r="B11571" s="3" t="s">
        <v>7</v>
      </c>
      <c r="C11571" s="3" t="s">
        <v>1849</v>
      </c>
      <c r="D11571" s="4">
        <f>DATE(2003,5,29)</f>
        <v>37770</v>
      </c>
      <c r="E11571" s="5">
        <f t="shared" si="192"/>
        <v>2003</v>
      </c>
      <c r="F11571" s="3" t="s">
        <v>1850</v>
      </c>
      <c r="G11571" s="6">
        <v>313.13</v>
      </c>
      <c r="H11571" s="5">
        <v>186</v>
      </c>
    </row>
    <row r="11572" spans="2:8" x14ac:dyDescent="0.4">
      <c r="B11572" s="3" t="s">
        <v>7</v>
      </c>
      <c r="C11572" s="3" t="s">
        <v>1849</v>
      </c>
      <c r="D11572" s="4">
        <f>DATE(2003,6,10)</f>
        <v>37782</v>
      </c>
      <c r="E11572" s="5">
        <f t="shared" si="192"/>
        <v>2003</v>
      </c>
      <c r="F11572" s="3" t="s">
        <v>1850</v>
      </c>
      <c r="G11572" s="6">
        <v>1019.33</v>
      </c>
      <c r="H11572" s="5">
        <v>203</v>
      </c>
    </row>
    <row r="11573" spans="2:8" x14ac:dyDescent="0.4">
      <c r="B11573" s="3" t="s">
        <v>7</v>
      </c>
      <c r="C11573" s="3" t="s">
        <v>1849</v>
      </c>
      <c r="D11573" s="4">
        <f>DATE(2003,6,12)</f>
        <v>37784</v>
      </c>
      <c r="E11573" s="5">
        <f t="shared" si="192"/>
        <v>2003</v>
      </c>
      <c r="F11573" s="3" t="s">
        <v>1850</v>
      </c>
      <c r="G11573" s="6">
        <v>1049.5899999999999</v>
      </c>
      <c r="H11573" s="5">
        <v>210</v>
      </c>
    </row>
    <row r="11574" spans="2:8" x14ac:dyDescent="0.4">
      <c r="B11574" s="3" t="s">
        <v>7</v>
      </c>
      <c r="C11574" s="3" t="s">
        <v>1849</v>
      </c>
      <c r="D11574" s="4">
        <f>DATE(2003,6,26)</f>
        <v>37798</v>
      </c>
      <c r="E11574" s="5">
        <f t="shared" si="192"/>
        <v>2003</v>
      </c>
      <c r="F11574" s="3" t="s">
        <v>1850</v>
      </c>
      <c r="G11574" s="6">
        <v>6608.22</v>
      </c>
      <c r="H11574" s="5">
        <v>225</v>
      </c>
    </row>
    <row r="11575" spans="2:8" x14ac:dyDescent="0.4">
      <c r="B11575" s="3" t="s">
        <v>7</v>
      </c>
      <c r="C11575" s="3" t="s">
        <v>1849</v>
      </c>
      <c r="D11575" s="4">
        <f>DATE(2003,7,1)</f>
        <v>37803</v>
      </c>
      <c r="E11575" s="5">
        <f t="shared" si="192"/>
        <v>2003</v>
      </c>
      <c r="F11575" s="3" t="s">
        <v>1850</v>
      </c>
      <c r="G11575" s="6">
        <v>461.34</v>
      </c>
      <c r="H11575" s="5">
        <v>230</v>
      </c>
    </row>
    <row r="11576" spans="2:8" x14ac:dyDescent="0.4">
      <c r="B11576" s="3" t="s">
        <v>7</v>
      </c>
      <c r="C11576" s="3" t="s">
        <v>1849</v>
      </c>
      <c r="D11576" s="4">
        <f>DATE(2003,7,3)</f>
        <v>37805</v>
      </c>
      <c r="E11576" s="5">
        <f t="shared" si="192"/>
        <v>2003</v>
      </c>
      <c r="F11576" s="3" t="s">
        <v>1850</v>
      </c>
      <c r="G11576" s="6">
        <v>2300.73</v>
      </c>
      <c r="H11576" s="5">
        <v>234</v>
      </c>
    </row>
    <row r="11577" spans="2:8" x14ac:dyDescent="0.4">
      <c r="B11577" s="3" t="s">
        <v>7</v>
      </c>
      <c r="C11577" s="3" t="s">
        <v>1849</v>
      </c>
      <c r="D11577" s="4">
        <f>DATE(2003,7,10)</f>
        <v>37812</v>
      </c>
      <c r="E11577" s="5">
        <f t="shared" si="192"/>
        <v>2003</v>
      </c>
      <c r="F11577" s="3" t="s">
        <v>1850</v>
      </c>
      <c r="G11577" s="6">
        <v>613.65</v>
      </c>
      <c r="H11577" s="5">
        <v>241</v>
      </c>
    </row>
    <row r="11578" spans="2:8" x14ac:dyDescent="0.4">
      <c r="B11578" s="3" t="s">
        <v>7</v>
      </c>
      <c r="C11578" s="3" t="s">
        <v>1849</v>
      </c>
      <c r="D11578" s="4">
        <f>DATE(2003,7,25)</f>
        <v>37827</v>
      </c>
      <c r="E11578" s="5">
        <f t="shared" si="192"/>
        <v>2003</v>
      </c>
      <c r="F11578" s="3" t="s">
        <v>1850</v>
      </c>
      <c r="G11578" s="6">
        <v>228.41</v>
      </c>
      <c r="H11578" s="5">
        <v>262</v>
      </c>
    </row>
    <row r="11579" spans="2:8" x14ac:dyDescent="0.4">
      <c r="B11579" s="3" t="s">
        <v>7</v>
      </c>
      <c r="C11579" s="3" t="s">
        <v>1849</v>
      </c>
      <c r="D11579" s="4">
        <f>DATE(2003,8,6)</f>
        <v>37839</v>
      </c>
      <c r="E11579" s="5">
        <f t="shared" si="192"/>
        <v>2003</v>
      </c>
      <c r="F11579" s="3" t="s">
        <v>1850</v>
      </c>
      <c r="G11579" s="6">
        <v>164.22</v>
      </c>
      <c r="H11579" s="5">
        <v>273</v>
      </c>
    </row>
    <row r="11580" spans="2:8" x14ac:dyDescent="0.4">
      <c r="B11580" s="3" t="s">
        <v>7</v>
      </c>
      <c r="C11580" s="3" t="s">
        <v>1849</v>
      </c>
      <c r="D11580" s="4">
        <f>DATE(2003,8,21)</f>
        <v>37854</v>
      </c>
      <c r="E11580" s="5">
        <f t="shared" si="192"/>
        <v>2003</v>
      </c>
      <c r="F11580" s="3" t="s">
        <v>1850</v>
      </c>
      <c r="G11580" s="6">
        <v>763.15</v>
      </c>
      <c r="H11580" s="5">
        <v>297</v>
      </c>
    </row>
    <row r="11581" spans="2:8" x14ac:dyDescent="0.4">
      <c r="B11581" s="3" t="s">
        <v>7</v>
      </c>
      <c r="C11581" s="3" t="s">
        <v>1849</v>
      </c>
      <c r="D11581" s="4">
        <f>DATE(2003,9,5)</f>
        <v>37869</v>
      </c>
      <c r="E11581" s="5">
        <f t="shared" si="192"/>
        <v>2003</v>
      </c>
      <c r="F11581" s="3" t="s">
        <v>1850</v>
      </c>
      <c r="G11581" s="6">
        <v>373.15</v>
      </c>
      <c r="H11581" s="5">
        <v>318</v>
      </c>
    </row>
    <row r="11582" spans="2:8" x14ac:dyDescent="0.4">
      <c r="B11582" s="3" t="s">
        <v>7</v>
      </c>
      <c r="C11582" s="3" t="s">
        <v>1849</v>
      </c>
      <c r="D11582" s="4">
        <f>DATE(2003,9,25)</f>
        <v>37889</v>
      </c>
      <c r="E11582" s="5">
        <f t="shared" si="192"/>
        <v>2003</v>
      </c>
      <c r="F11582" s="3" t="s">
        <v>1850</v>
      </c>
      <c r="G11582" s="6">
        <v>1120.6500000000001</v>
      </c>
      <c r="H11582" s="5">
        <v>335</v>
      </c>
    </row>
    <row r="11583" spans="2:8" x14ac:dyDescent="0.4">
      <c r="B11583" s="3" t="s">
        <v>7</v>
      </c>
      <c r="C11583" s="3" t="s">
        <v>1849</v>
      </c>
      <c r="D11583" s="4">
        <f>DATE(2003,10,8)</f>
        <v>37902</v>
      </c>
      <c r="E11583" s="5">
        <f t="shared" si="192"/>
        <v>2003</v>
      </c>
      <c r="F11583" s="3" t="s">
        <v>1850</v>
      </c>
      <c r="G11583" s="6">
        <v>734.11</v>
      </c>
      <c r="H11583" s="5">
        <v>355</v>
      </c>
    </row>
    <row r="11584" spans="2:8" x14ac:dyDescent="0.4">
      <c r="B11584" s="3" t="s">
        <v>7</v>
      </c>
      <c r="C11584" s="3" t="s">
        <v>1849</v>
      </c>
      <c r="D11584" s="4">
        <f>DATE(2003,10,8)</f>
        <v>37902</v>
      </c>
      <c r="E11584" s="5">
        <f t="shared" si="192"/>
        <v>2003</v>
      </c>
      <c r="F11584" s="3" t="s">
        <v>1850</v>
      </c>
      <c r="G11584" s="6">
        <v>1632.95</v>
      </c>
      <c r="H11584" s="5">
        <v>356</v>
      </c>
    </row>
    <row r="11585" spans="2:8" x14ac:dyDescent="0.4">
      <c r="B11585" s="3" t="s">
        <v>7</v>
      </c>
      <c r="C11585" s="3" t="s">
        <v>1849</v>
      </c>
      <c r="D11585" s="4">
        <f>DATE(2003,10,27)</f>
        <v>37921</v>
      </c>
      <c r="E11585" s="5">
        <f t="shared" si="192"/>
        <v>2003</v>
      </c>
      <c r="F11585" s="3" t="s">
        <v>1850</v>
      </c>
      <c r="G11585" s="6">
        <v>312.91000000000003</v>
      </c>
      <c r="H11585" s="5">
        <v>399</v>
      </c>
    </row>
    <row r="11586" spans="2:8" x14ac:dyDescent="0.4">
      <c r="B11586" s="3" t="s">
        <v>7</v>
      </c>
      <c r="C11586" s="3" t="s">
        <v>1849</v>
      </c>
      <c r="D11586" s="4">
        <f>DATE(2003,11,17)</f>
        <v>37942</v>
      </c>
      <c r="E11586" s="5">
        <f t="shared" si="192"/>
        <v>2003</v>
      </c>
      <c r="F11586" s="3" t="s">
        <v>1850</v>
      </c>
      <c r="G11586" s="6">
        <v>312.91000000000003</v>
      </c>
      <c r="H11586" s="5">
        <v>424</v>
      </c>
    </row>
    <row r="11587" spans="2:8" x14ac:dyDescent="0.4">
      <c r="B11587" s="3" t="s">
        <v>7</v>
      </c>
      <c r="C11587" s="3" t="s">
        <v>1849</v>
      </c>
      <c r="D11587" s="4">
        <f>DATE(2003,11,20)</f>
        <v>37945</v>
      </c>
      <c r="E11587" s="5">
        <f t="shared" ref="E11587:E11650" si="193">YEAR(D11587)</f>
        <v>2003</v>
      </c>
      <c r="F11587" s="3" t="s">
        <v>1850</v>
      </c>
      <c r="G11587" s="6">
        <v>1016.28</v>
      </c>
      <c r="H11587" s="5">
        <v>430</v>
      </c>
    </row>
    <row r="11588" spans="2:8" x14ac:dyDescent="0.4">
      <c r="B11588" s="3" t="s">
        <v>7</v>
      </c>
      <c r="C11588" s="3" t="s">
        <v>1849</v>
      </c>
      <c r="D11588" s="4">
        <f>DATE(2003,12,1)</f>
        <v>37956</v>
      </c>
      <c r="E11588" s="5">
        <f t="shared" si="193"/>
        <v>2003</v>
      </c>
      <c r="F11588" s="3" t="s">
        <v>1850</v>
      </c>
      <c r="G11588" s="6">
        <v>370.19</v>
      </c>
      <c r="H11588" s="5">
        <v>442</v>
      </c>
    </row>
    <row r="11589" spans="2:8" x14ac:dyDescent="0.4">
      <c r="B11589" s="3" t="s">
        <v>7</v>
      </c>
      <c r="C11589" s="3" t="s">
        <v>1849</v>
      </c>
      <c r="D11589" s="4">
        <f>DATE(2003,12,10)</f>
        <v>37965</v>
      </c>
      <c r="E11589" s="5">
        <f t="shared" si="193"/>
        <v>2003</v>
      </c>
      <c r="F11589" s="3" t="s">
        <v>1850</v>
      </c>
      <c r="G11589" s="6">
        <v>311.69</v>
      </c>
      <c r="H11589" s="5">
        <v>464</v>
      </c>
    </row>
    <row r="11590" spans="2:8" x14ac:dyDescent="0.4">
      <c r="B11590" s="3" t="s">
        <v>7</v>
      </c>
      <c r="C11590" s="3" t="s">
        <v>1849</v>
      </c>
      <c r="D11590" s="4">
        <f>DATE(2003,12,24)</f>
        <v>37979</v>
      </c>
      <c r="E11590" s="5">
        <f t="shared" si="193"/>
        <v>2003</v>
      </c>
      <c r="F11590" s="3" t="s">
        <v>1850</v>
      </c>
      <c r="G11590" s="6">
        <v>1447.59</v>
      </c>
      <c r="H11590" s="5">
        <v>479</v>
      </c>
    </row>
    <row r="11591" spans="2:8" x14ac:dyDescent="0.4">
      <c r="B11591" s="3" t="s">
        <v>7</v>
      </c>
      <c r="C11591" s="3" t="s">
        <v>1849</v>
      </c>
      <c r="D11591" s="4">
        <f>DATE(2004,1,13)</f>
        <v>37999</v>
      </c>
      <c r="E11591" s="5">
        <f t="shared" si="193"/>
        <v>2004</v>
      </c>
      <c r="F11591" s="3" t="s">
        <v>1850</v>
      </c>
      <c r="G11591" s="6">
        <v>442.47</v>
      </c>
      <c r="H11591" s="5">
        <v>506</v>
      </c>
    </row>
    <row r="11592" spans="2:8" x14ac:dyDescent="0.4">
      <c r="B11592" s="3" t="s">
        <v>7</v>
      </c>
      <c r="C11592" s="3" t="s">
        <v>1849</v>
      </c>
      <c r="D11592" s="4">
        <f>DATE(2004,2,6)</f>
        <v>38023</v>
      </c>
      <c r="E11592" s="5">
        <f t="shared" si="193"/>
        <v>2004</v>
      </c>
      <c r="F11592" s="3" t="s">
        <v>1850</v>
      </c>
      <c r="G11592" s="6">
        <v>314</v>
      </c>
      <c r="H11592" s="5">
        <v>523</v>
      </c>
    </row>
    <row r="11593" spans="2:8" x14ac:dyDescent="0.4">
      <c r="B11593" s="3" t="s">
        <v>7</v>
      </c>
      <c r="C11593" s="3" t="s">
        <v>1849</v>
      </c>
      <c r="D11593" s="4">
        <f>DATE(2004,2,20)</f>
        <v>38037</v>
      </c>
      <c r="E11593" s="5">
        <f t="shared" si="193"/>
        <v>2004</v>
      </c>
      <c r="F11593" s="3" t="s">
        <v>1850</v>
      </c>
      <c r="G11593" s="6">
        <v>315.52999999999997</v>
      </c>
      <c r="H11593" s="5">
        <v>548</v>
      </c>
    </row>
    <row r="11594" spans="2:8" x14ac:dyDescent="0.4">
      <c r="B11594" s="3" t="s">
        <v>7</v>
      </c>
      <c r="C11594" s="3" t="s">
        <v>1849</v>
      </c>
      <c r="D11594" s="4">
        <f>DATE(2004,4,1)</f>
        <v>38078</v>
      </c>
      <c r="E11594" s="5">
        <f t="shared" si="193"/>
        <v>2004</v>
      </c>
      <c r="F11594" s="3" t="s">
        <v>1850</v>
      </c>
      <c r="G11594" s="6">
        <v>391.57</v>
      </c>
      <c r="H11594" s="5">
        <v>591</v>
      </c>
    </row>
    <row r="11595" spans="2:8" x14ac:dyDescent="0.4">
      <c r="B11595" s="3" t="s">
        <v>7</v>
      </c>
      <c r="C11595" s="3" t="s">
        <v>1849</v>
      </c>
      <c r="D11595" s="4">
        <f>DATE(2004,4,1)</f>
        <v>38078</v>
      </c>
      <c r="E11595" s="5">
        <f t="shared" si="193"/>
        <v>2004</v>
      </c>
      <c r="F11595" s="3" t="s">
        <v>1850</v>
      </c>
      <c r="G11595" s="6">
        <v>314</v>
      </c>
      <c r="H11595" s="5">
        <v>592</v>
      </c>
    </row>
    <row r="11596" spans="2:8" x14ac:dyDescent="0.4">
      <c r="B11596" s="3" t="s">
        <v>7</v>
      </c>
      <c r="C11596" s="3" t="s">
        <v>1849</v>
      </c>
      <c r="D11596" s="4">
        <f>DATE(2004,4,8)</f>
        <v>38085</v>
      </c>
      <c r="E11596" s="5">
        <f t="shared" si="193"/>
        <v>2004</v>
      </c>
      <c r="F11596" s="3" t="s">
        <v>1850</v>
      </c>
      <c r="G11596" s="6">
        <v>187.93</v>
      </c>
      <c r="H11596" s="5">
        <v>607</v>
      </c>
    </row>
    <row r="11597" spans="2:8" x14ac:dyDescent="0.4">
      <c r="B11597" s="3" t="s">
        <v>7</v>
      </c>
      <c r="C11597" s="3" t="s">
        <v>1849</v>
      </c>
      <c r="D11597" s="4">
        <f>DATE(2004,4,22)</f>
        <v>38099</v>
      </c>
      <c r="E11597" s="5">
        <f t="shared" si="193"/>
        <v>2004</v>
      </c>
      <c r="F11597" s="3" t="s">
        <v>1850</v>
      </c>
      <c r="G11597" s="6">
        <v>912</v>
      </c>
      <c r="H11597" s="5">
        <v>633</v>
      </c>
    </row>
    <row r="11598" spans="2:8" x14ac:dyDescent="0.4">
      <c r="B11598" s="3" t="s">
        <v>7</v>
      </c>
      <c r="C11598" s="3" t="s">
        <v>1849</v>
      </c>
      <c r="D11598" s="4">
        <f>DATE(2004,4,23)</f>
        <v>38100</v>
      </c>
      <c r="E11598" s="5">
        <f t="shared" si="193"/>
        <v>2004</v>
      </c>
      <c r="F11598" s="3" t="s">
        <v>1850</v>
      </c>
      <c r="G11598" s="6">
        <v>1421.63</v>
      </c>
      <c r="H11598" s="5">
        <v>631</v>
      </c>
    </row>
    <row r="11599" spans="2:8" x14ac:dyDescent="0.4">
      <c r="B11599" s="3" t="s">
        <v>7</v>
      </c>
      <c r="C11599" s="3" t="s">
        <v>1849</v>
      </c>
      <c r="D11599" s="4">
        <f>DATE(2004,4,26)</f>
        <v>38103</v>
      </c>
      <c r="E11599" s="5">
        <f t="shared" si="193"/>
        <v>2004</v>
      </c>
      <c r="F11599" s="3" t="s">
        <v>1850</v>
      </c>
      <c r="G11599" s="6">
        <v>372.5</v>
      </c>
      <c r="H11599" s="5">
        <v>644</v>
      </c>
    </row>
    <row r="11600" spans="2:8" x14ac:dyDescent="0.4">
      <c r="B11600" s="3" t="s">
        <v>7</v>
      </c>
      <c r="C11600" s="3" t="s">
        <v>1849</v>
      </c>
      <c r="D11600" s="4">
        <f>DATE(2004,5,5)</f>
        <v>38112</v>
      </c>
      <c r="E11600" s="5">
        <f t="shared" si="193"/>
        <v>2004</v>
      </c>
      <c r="F11600" s="3" t="s">
        <v>1850</v>
      </c>
      <c r="G11600" s="6">
        <v>554.41</v>
      </c>
      <c r="H11600" s="5">
        <v>650</v>
      </c>
    </row>
    <row r="11601" spans="2:8" x14ac:dyDescent="0.4">
      <c r="B11601" s="3" t="s">
        <v>7</v>
      </c>
      <c r="C11601" s="3" t="s">
        <v>1849</v>
      </c>
      <c r="D11601" s="4">
        <f>DATE(2004,5,21)</f>
        <v>38128</v>
      </c>
      <c r="E11601" s="5">
        <f t="shared" si="193"/>
        <v>2004</v>
      </c>
      <c r="F11601" s="3" t="s">
        <v>1850</v>
      </c>
      <c r="G11601" s="6">
        <v>933.94</v>
      </c>
      <c r="H11601" s="5">
        <v>660</v>
      </c>
    </row>
    <row r="11602" spans="2:8" x14ac:dyDescent="0.4">
      <c r="B11602" s="3" t="s">
        <v>7</v>
      </c>
      <c r="C11602" s="3" t="s">
        <v>1849</v>
      </c>
      <c r="D11602" s="4">
        <f>DATE(2004,6,14)</f>
        <v>38152</v>
      </c>
      <c r="E11602" s="5">
        <f t="shared" si="193"/>
        <v>2004</v>
      </c>
      <c r="F11602" s="3" t="s">
        <v>1850</v>
      </c>
      <c r="G11602" s="6">
        <v>1884.66</v>
      </c>
      <c r="H11602" s="5">
        <v>691</v>
      </c>
    </row>
    <row r="11603" spans="2:8" x14ac:dyDescent="0.4">
      <c r="B11603" s="3" t="s">
        <v>7</v>
      </c>
      <c r="C11603" s="3" t="s">
        <v>1849</v>
      </c>
      <c r="D11603" s="4">
        <f>DATE(2004,6,28)</f>
        <v>38166</v>
      </c>
      <c r="E11603" s="5">
        <f t="shared" si="193"/>
        <v>2004</v>
      </c>
      <c r="F11603" s="3" t="s">
        <v>1850</v>
      </c>
      <c r="G11603" s="6">
        <v>314</v>
      </c>
      <c r="H11603" s="5">
        <v>699</v>
      </c>
    </row>
    <row r="11604" spans="2:8" x14ac:dyDescent="0.4">
      <c r="B11604" s="3" t="s">
        <v>7</v>
      </c>
      <c r="C11604" s="3" t="s">
        <v>1849</v>
      </c>
      <c r="D11604" s="4">
        <f>DATE(2004,7,28)</f>
        <v>38196</v>
      </c>
      <c r="E11604" s="5">
        <f t="shared" si="193"/>
        <v>2004</v>
      </c>
      <c r="F11604" s="3" t="s">
        <v>1850</v>
      </c>
      <c r="G11604" s="6">
        <v>1593.25</v>
      </c>
      <c r="H11604" s="5">
        <v>732</v>
      </c>
    </row>
    <row r="11605" spans="2:8" x14ac:dyDescent="0.4">
      <c r="B11605" s="3" t="s">
        <v>7</v>
      </c>
      <c r="C11605" s="3" t="s">
        <v>1849</v>
      </c>
      <c r="D11605" s="4">
        <f>DATE(2004,8,20)</f>
        <v>38219</v>
      </c>
      <c r="E11605" s="5">
        <f t="shared" si="193"/>
        <v>2004</v>
      </c>
      <c r="F11605" s="3" t="s">
        <v>1850</v>
      </c>
      <c r="G11605" s="6">
        <v>311.24</v>
      </c>
      <c r="H11605" s="5">
        <v>750</v>
      </c>
    </row>
    <row r="11606" spans="2:8" x14ac:dyDescent="0.4">
      <c r="B11606" s="3" t="s">
        <v>7</v>
      </c>
      <c r="C11606" s="3" t="s">
        <v>1849</v>
      </c>
      <c r="D11606" s="4">
        <f>DATE(2004,9,13)</f>
        <v>38243</v>
      </c>
      <c r="E11606" s="5">
        <f t="shared" si="193"/>
        <v>2004</v>
      </c>
      <c r="F11606" s="3" t="s">
        <v>1850</v>
      </c>
      <c r="G11606" s="6">
        <v>1264.47</v>
      </c>
      <c r="H11606" s="5">
        <v>779</v>
      </c>
    </row>
    <row r="11607" spans="2:8" x14ac:dyDescent="0.4">
      <c r="B11607" s="3" t="s">
        <v>7</v>
      </c>
      <c r="C11607" s="3" t="s">
        <v>1849</v>
      </c>
      <c r="D11607" s="4">
        <f>DATE(2004,9,14)</f>
        <v>38244</v>
      </c>
      <c r="E11607" s="5">
        <f t="shared" si="193"/>
        <v>2004</v>
      </c>
      <c r="F11607" s="3" t="s">
        <v>1850</v>
      </c>
      <c r="G11607" s="6">
        <v>329.76</v>
      </c>
      <c r="H11607" s="5">
        <v>780</v>
      </c>
    </row>
    <row r="11608" spans="2:8" x14ac:dyDescent="0.4">
      <c r="B11608" s="3" t="s">
        <v>7</v>
      </c>
      <c r="C11608" s="3" t="s">
        <v>1849</v>
      </c>
      <c r="D11608" s="4">
        <f>DATE(2004,9,21)</f>
        <v>38251</v>
      </c>
      <c r="E11608" s="5">
        <f t="shared" si="193"/>
        <v>2004</v>
      </c>
      <c r="F11608" s="3" t="s">
        <v>1850</v>
      </c>
      <c r="G11608" s="6">
        <v>175.43</v>
      </c>
      <c r="H11608" s="5">
        <v>792</v>
      </c>
    </row>
    <row r="11609" spans="2:8" x14ac:dyDescent="0.4">
      <c r="B11609" s="3" t="s">
        <v>7</v>
      </c>
      <c r="C11609" s="3" t="s">
        <v>1849</v>
      </c>
      <c r="D11609" s="4">
        <f>DATE(2004,11,12)</f>
        <v>38303</v>
      </c>
      <c r="E11609" s="5">
        <f t="shared" si="193"/>
        <v>2004</v>
      </c>
      <c r="F11609" s="3" t="s">
        <v>1850</v>
      </c>
      <c r="G11609" s="6">
        <v>550.74</v>
      </c>
      <c r="H11609" s="5">
        <v>859</v>
      </c>
    </row>
    <row r="11610" spans="2:8" x14ac:dyDescent="0.4">
      <c r="B11610" s="3" t="s">
        <v>7</v>
      </c>
      <c r="C11610" s="3" t="s">
        <v>1849</v>
      </c>
      <c r="D11610" s="4">
        <f>DATE(2004,11,23)</f>
        <v>38314</v>
      </c>
      <c r="E11610" s="5">
        <f t="shared" si="193"/>
        <v>2004</v>
      </c>
      <c r="F11610" s="3" t="s">
        <v>1850</v>
      </c>
      <c r="G11610" s="6">
        <v>457.68</v>
      </c>
      <c r="H11610" s="5">
        <v>865</v>
      </c>
    </row>
    <row r="11611" spans="2:8" x14ac:dyDescent="0.4">
      <c r="B11611" s="3" t="s">
        <v>7</v>
      </c>
      <c r="C11611" s="3" t="s">
        <v>1849</v>
      </c>
      <c r="D11611" s="4">
        <f>DATE(2005,2,16)</f>
        <v>38399</v>
      </c>
      <c r="E11611" s="5">
        <f t="shared" si="193"/>
        <v>2005</v>
      </c>
      <c r="F11611" s="3" t="s">
        <v>1850</v>
      </c>
      <c r="G11611" s="6">
        <v>1505.09</v>
      </c>
      <c r="H11611" s="5">
        <v>949</v>
      </c>
    </row>
    <row r="11612" spans="2:8" x14ac:dyDescent="0.4">
      <c r="B11612" s="3" t="s">
        <v>7</v>
      </c>
      <c r="C11612" s="3" t="s">
        <v>1849</v>
      </c>
      <c r="D11612" s="4">
        <f>DATE(2005,2,16)</f>
        <v>38399</v>
      </c>
      <c r="E11612" s="5">
        <f t="shared" si="193"/>
        <v>2005</v>
      </c>
      <c r="F11612" s="3" t="s">
        <v>1850</v>
      </c>
      <c r="G11612" s="6">
        <v>3567.99</v>
      </c>
      <c r="H11612" s="5">
        <v>950</v>
      </c>
    </row>
    <row r="11613" spans="2:8" x14ac:dyDescent="0.4">
      <c r="B11613" s="3" t="s">
        <v>7</v>
      </c>
      <c r="C11613" s="3" t="s">
        <v>1849</v>
      </c>
      <c r="D11613" s="4">
        <f>DATE(2005,2,22)</f>
        <v>38405</v>
      </c>
      <c r="E11613" s="5">
        <f t="shared" si="193"/>
        <v>2005</v>
      </c>
      <c r="F11613" s="3" t="s">
        <v>1850</v>
      </c>
      <c r="G11613" s="6">
        <v>521.78</v>
      </c>
      <c r="H11613" s="5">
        <v>957</v>
      </c>
    </row>
    <row r="11614" spans="2:8" x14ac:dyDescent="0.4">
      <c r="B11614" s="3" t="s">
        <v>7</v>
      </c>
      <c r="C11614" s="3" t="s">
        <v>1849</v>
      </c>
      <c r="D11614" s="4">
        <f>DATE(2005,2,23)</f>
        <v>38406</v>
      </c>
      <c r="E11614" s="5">
        <f t="shared" si="193"/>
        <v>2005</v>
      </c>
      <c r="F11614" s="3" t="s">
        <v>1850</v>
      </c>
      <c r="G11614" s="6">
        <v>1013.51</v>
      </c>
      <c r="H11614" s="5">
        <v>962</v>
      </c>
    </row>
    <row r="11615" spans="2:8" x14ac:dyDescent="0.4">
      <c r="B11615" s="3" t="s">
        <v>7</v>
      </c>
      <c r="C11615" s="3" t="s">
        <v>1849</v>
      </c>
      <c r="D11615" s="4">
        <f>DATE(2005,2,23)</f>
        <v>38406</v>
      </c>
      <c r="E11615" s="5">
        <f t="shared" si="193"/>
        <v>2005</v>
      </c>
      <c r="F11615" s="3" t="s">
        <v>1850</v>
      </c>
      <c r="G11615" s="6">
        <v>1015.09</v>
      </c>
      <c r="H11615" s="5">
        <v>963</v>
      </c>
    </row>
    <row r="11616" spans="2:8" x14ac:dyDescent="0.4">
      <c r="B11616" s="3" t="s">
        <v>7</v>
      </c>
      <c r="C11616" s="3" t="s">
        <v>1849</v>
      </c>
      <c r="D11616" s="4">
        <f>DATE(2005,3,1)</f>
        <v>38412</v>
      </c>
      <c r="E11616" s="5">
        <f t="shared" si="193"/>
        <v>2005</v>
      </c>
      <c r="F11616" s="3" t="s">
        <v>1850</v>
      </c>
      <c r="G11616" s="6">
        <v>667.04</v>
      </c>
      <c r="H11616" s="5">
        <v>976</v>
      </c>
    </row>
    <row r="11617" spans="2:8" x14ac:dyDescent="0.4">
      <c r="B11617" s="3" t="s">
        <v>7</v>
      </c>
      <c r="C11617" s="3" t="s">
        <v>1849</v>
      </c>
      <c r="D11617" s="4">
        <f>DATE(2005,3,14)</f>
        <v>38425</v>
      </c>
      <c r="E11617" s="5">
        <f t="shared" si="193"/>
        <v>2005</v>
      </c>
      <c r="F11617" s="3" t="s">
        <v>1850</v>
      </c>
      <c r="G11617" s="6">
        <v>1013.41</v>
      </c>
      <c r="H11617" s="5">
        <v>987</v>
      </c>
    </row>
    <row r="11618" spans="2:8" x14ac:dyDescent="0.4">
      <c r="B11618" s="3" t="s">
        <v>7</v>
      </c>
      <c r="C11618" s="3" t="s">
        <v>1849</v>
      </c>
      <c r="D11618" s="4">
        <f>DATE(2005,3,15)</f>
        <v>38426</v>
      </c>
      <c r="E11618" s="5">
        <f t="shared" si="193"/>
        <v>2005</v>
      </c>
      <c r="F11618" s="3" t="s">
        <v>1850</v>
      </c>
      <c r="G11618" s="6">
        <v>505.4</v>
      </c>
      <c r="H11618" s="5">
        <v>992</v>
      </c>
    </row>
    <row r="11619" spans="2:8" x14ac:dyDescent="0.4">
      <c r="B11619" s="3" t="s">
        <v>7</v>
      </c>
      <c r="C11619" s="3" t="s">
        <v>1849</v>
      </c>
      <c r="D11619" s="4">
        <f>DATE(2005,4,19)</f>
        <v>38461</v>
      </c>
      <c r="E11619" s="5">
        <f t="shared" si="193"/>
        <v>2005</v>
      </c>
      <c r="F11619" s="3" t="s">
        <v>1850</v>
      </c>
      <c r="G11619" s="6">
        <v>325</v>
      </c>
      <c r="H11619" s="5">
        <v>1037</v>
      </c>
    </row>
    <row r="11620" spans="2:8" x14ac:dyDescent="0.4">
      <c r="B11620" s="3" t="s">
        <v>7</v>
      </c>
      <c r="C11620" s="3" t="s">
        <v>1849</v>
      </c>
      <c r="D11620" s="4">
        <f>DATE(2005,4,19)</f>
        <v>38461</v>
      </c>
      <c r="E11620" s="5">
        <f t="shared" si="193"/>
        <v>2005</v>
      </c>
      <c r="F11620" s="3" t="s">
        <v>1850</v>
      </c>
      <c r="G11620" s="6">
        <v>650</v>
      </c>
      <c r="H11620" s="5">
        <v>1038</v>
      </c>
    </row>
    <row r="11621" spans="2:8" x14ac:dyDescent="0.4">
      <c r="B11621" s="3" t="s">
        <v>7</v>
      </c>
      <c r="C11621" s="3" t="s">
        <v>1849</v>
      </c>
      <c r="D11621" s="4">
        <f>DATE(2005,4,21)</f>
        <v>38463</v>
      </c>
      <c r="E11621" s="5">
        <f t="shared" si="193"/>
        <v>2005</v>
      </c>
      <c r="F11621" s="3" t="s">
        <v>1850</v>
      </c>
      <c r="G11621" s="6">
        <v>340</v>
      </c>
      <c r="H11621" s="5">
        <v>1044</v>
      </c>
    </row>
    <row r="11622" spans="2:8" x14ac:dyDescent="0.4">
      <c r="B11622" s="3" t="s">
        <v>7</v>
      </c>
      <c r="C11622" s="3" t="s">
        <v>1849</v>
      </c>
      <c r="D11622" s="4">
        <f>DATE(2005,5,9)</f>
        <v>38481</v>
      </c>
      <c r="E11622" s="5">
        <f t="shared" si="193"/>
        <v>2005</v>
      </c>
      <c r="F11622" s="3" t="s">
        <v>1850</v>
      </c>
      <c r="G11622" s="6">
        <v>2935</v>
      </c>
      <c r="H11622" s="5">
        <v>1063</v>
      </c>
    </row>
    <row r="11623" spans="2:8" x14ac:dyDescent="0.4">
      <c r="B11623" s="3" t="s">
        <v>7</v>
      </c>
      <c r="C11623" s="3" t="s">
        <v>1849</v>
      </c>
      <c r="D11623" s="4">
        <f>DATE(2005,5,10)</f>
        <v>38482</v>
      </c>
      <c r="E11623" s="5">
        <f t="shared" si="193"/>
        <v>2005</v>
      </c>
      <c r="F11623" s="3" t="s">
        <v>1850</v>
      </c>
      <c r="G11623" s="6">
        <v>294</v>
      </c>
      <c r="H11623" s="5">
        <v>1061</v>
      </c>
    </row>
    <row r="11624" spans="2:8" x14ac:dyDescent="0.4">
      <c r="B11624" s="3" t="s">
        <v>7</v>
      </c>
      <c r="C11624" s="3" t="s">
        <v>1849</v>
      </c>
      <c r="D11624" s="4">
        <f>DATE(2005,5,10)</f>
        <v>38482</v>
      </c>
      <c r="E11624" s="5">
        <f t="shared" si="193"/>
        <v>2005</v>
      </c>
      <c r="F11624" s="3" t="s">
        <v>1850</v>
      </c>
      <c r="G11624" s="6">
        <v>294</v>
      </c>
      <c r="H11624" s="5">
        <v>1062</v>
      </c>
    </row>
    <row r="11625" spans="2:8" x14ac:dyDescent="0.4">
      <c r="B11625" s="3" t="s">
        <v>7</v>
      </c>
      <c r="C11625" s="3" t="s">
        <v>1849</v>
      </c>
      <c r="D11625" s="4">
        <f>DATE(2005,5,17)</f>
        <v>38489</v>
      </c>
      <c r="E11625" s="5">
        <f t="shared" si="193"/>
        <v>2005</v>
      </c>
      <c r="F11625" s="3" t="s">
        <v>1850</v>
      </c>
      <c r="G11625" s="6">
        <v>2299.89</v>
      </c>
      <c r="H11625" s="5">
        <v>1073</v>
      </c>
    </row>
    <row r="11626" spans="2:8" x14ac:dyDescent="0.4">
      <c r="B11626" s="3" t="s">
        <v>7</v>
      </c>
      <c r="C11626" s="3" t="s">
        <v>1849</v>
      </c>
      <c r="D11626" s="4">
        <f>DATE(2005,6,3)</f>
        <v>38506</v>
      </c>
      <c r="E11626" s="5">
        <f t="shared" si="193"/>
        <v>2005</v>
      </c>
      <c r="F11626" s="3" t="s">
        <v>1850</v>
      </c>
      <c r="G11626" s="6">
        <v>1664</v>
      </c>
      <c r="H11626" s="5">
        <v>1098</v>
      </c>
    </row>
    <row r="11627" spans="2:8" x14ac:dyDescent="0.4">
      <c r="B11627" s="3" t="s">
        <v>7</v>
      </c>
      <c r="C11627" s="3" t="s">
        <v>1849</v>
      </c>
      <c r="D11627" s="4">
        <f>DATE(2005,6,9)</f>
        <v>38512</v>
      </c>
      <c r="E11627" s="5">
        <f t="shared" si="193"/>
        <v>2005</v>
      </c>
      <c r="F11627" s="3" t="s">
        <v>1850</v>
      </c>
      <c r="G11627" s="6">
        <v>490</v>
      </c>
      <c r="H11627" s="5">
        <v>1104</v>
      </c>
    </row>
    <row r="11628" spans="2:8" x14ac:dyDescent="0.4">
      <c r="B11628" s="3" t="s">
        <v>7</v>
      </c>
      <c r="C11628" s="3" t="s">
        <v>1849</v>
      </c>
      <c r="D11628" s="4">
        <f>DATE(2005,6,28)</f>
        <v>38531</v>
      </c>
      <c r="E11628" s="5">
        <f t="shared" si="193"/>
        <v>2005</v>
      </c>
      <c r="F11628" s="3" t="s">
        <v>1850</v>
      </c>
      <c r="G11628" s="6">
        <v>1368</v>
      </c>
      <c r="H11628" s="5">
        <v>1144</v>
      </c>
    </row>
    <row r="11629" spans="2:8" x14ac:dyDescent="0.4">
      <c r="B11629" s="3" t="s">
        <v>7</v>
      </c>
      <c r="C11629" s="3" t="s">
        <v>1849</v>
      </c>
      <c r="D11629" s="4">
        <f>DATE(2005,7,14)</f>
        <v>38547</v>
      </c>
      <c r="E11629" s="5">
        <f t="shared" si="193"/>
        <v>2005</v>
      </c>
      <c r="F11629" s="3" t="s">
        <v>1850</v>
      </c>
      <c r="G11629" s="6">
        <v>1200</v>
      </c>
      <c r="H11629" s="5">
        <v>1160</v>
      </c>
    </row>
    <row r="11630" spans="2:8" x14ac:dyDescent="0.4">
      <c r="B11630" s="3" t="s">
        <v>7</v>
      </c>
      <c r="C11630" s="3" t="s">
        <v>1849</v>
      </c>
      <c r="D11630" s="4">
        <f>DATE(2005,7,12)</f>
        <v>38545</v>
      </c>
      <c r="E11630" s="5">
        <f t="shared" si="193"/>
        <v>2005</v>
      </c>
      <c r="F11630" s="3" t="s">
        <v>1850</v>
      </c>
      <c r="G11630" s="6">
        <v>1010.09</v>
      </c>
      <c r="H11630" s="5">
        <v>1161</v>
      </c>
    </row>
    <row r="11631" spans="2:8" x14ac:dyDescent="0.4">
      <c r="B11631" s="3" t="s">
        <v>7</v>
      </c>
      <c r="C11631" s="3" t="s">
        <v>1849</v>
      </c>
      <c r="D11631" s="4">
        <f>DATE(2005,7,21)</f>
        <v>38554</v>
      </c>
      <c r="E11631" s="5">
        <f t="shared" si="193"/>
        <v>2005</v>
      </c>
      <c r="F11631" s="3" t="s">
        <v>1850</v>
      </c>
      <c r="G11631" s="6">
        <v>750</v>
      </c>
      <c r="H11631" s="5">
        <v>1178</v>
      </c>
    </row>
    <row r="11632" spans="2:8" x14ac:dyDescent="0.4">
      <c r="B11632" s="3" t="s">
        <v>7</v>
      </c>
      <c r="C11632" s="3" t="s">
        <v>1849</v>
      </c>
      <c r="D11632" s="4">
        <f>DATE(2005,7,26)</f>
        <v>38559</v>
      </c>
      <c r="E11632" s="5">
        <f t="shared" si="193"/>
        <v>2005</v>
      </c>
      <c r="F11632" s="3" t="s">
        <v>1850</v>
      </c>
      <c r="G11632" s="6">
        <v>650</v>
      </c>
      <c r="H11632" s="5">
        <v>1172</v>
      </c>
    </row>
    <row r="11633" spans="2:8" x14ac:dyDescent="0.4">
      <c r="B11633" s="3" t="s">
        <v>7</v>
      </c>
      <c r="C11633" s="3" t="s">
        <v>1849</v>
      </c>
      <c r="D11633" s="4">
        <f>DATE(2005,8,4)</f>
        <v>38568</v>
      </c>
      <c r="E11633" s="5">
        <f t="shared" si="193"/>
        <v>2005</v>
      </c>
      <c r="F11633" s="3" t="s">
        <v>1850</v>
      </c>
      <c r="G11633" s="6">
        <v>1860</v>
      </c>
      <c r="H11633" s="5">
        <v>1211</v>
      </c>
    </row>
    <row r="11634" spans="2:8" x14ac:dyDescent="0.4">
      <c r="B11634" s="3" t="s">
        <v>7</v>
      </c>
      <c r="C11634" s="3" t="s">
        <v>1849</v>
      </c>
      <c r="D11634" s="4">
        <f>DATE(2005,9,7)</f>
        <v>38602</v>
      </c>
      <c r="E11634" s="5">
        <f t="shared" si="193"/>
        <v>2005</v>
      </c>
      <c r="F11634" s="3" t="s">
        <v>1850</v>
      </c>
      <c r="G11634" s="6">
        <v>684</v>
      </c>
      <c r="H11634" s="5">
        <v>1213</v>
      </c>
    </row>
    <row r="11635" spans="2:8" x14ac:dyDescent="0.4">
      <c r="B11635" s="3" t="s">
        <v>7</v>
      </c>
      <c r="C11635" s="3" t="s">
        <v>1849</v>
      </c>
      <c r="D11635" s="4">
        <f>DATE(2005,9,7)</f>
        <v>38602</v>
      </c>
      <c r="E11635" s="5">
        <f t="shared" si="193"/>
        <v>2005</v>
      </c>
      <c r="F11635" s="3" t="s">
        <v>1850</v>
      </c>
      <c r="G11635" s="6">
        <v>1332</v>
      </c>
      <c r="H11635" s="5">
        <v>1229</v>
      </c>
    </row>
    <row r="11636" spans="2:8" x14ac:dyDescent="0.4">
      <c r="B11636" s="3" t="s">
        <v>7</v>
      </c>
      <c r="C11636" s="3" t="s">
        <v>1849</v>
      </c>
      <c r="D11636" s="4">
        <f>DATE(2005,9,9)</f>
        <v>38604</v>
      </c>
      <c r="E11636" s="5">
        <f t="shared" si="193"/>
        <v>2005</v>
      </c>
      <c r="F11636" s="3" t="s">
        <v>1850</v>
      </c>
      <c r="G11636" s="6">
        <v>750</v>
      </c>
      <c r="H11636" s="5">
        <v>1235</v>
      </c>
    </row>
    <row r="11637" spans="2:8" x14ac:dyDescent="0.4">
      <c r="B11637" s="3" t="s">
        <v>7</v>
      </c>
      <c r="C11637" s="3" t="s">
        <v>1849</v>
      </c>
      <c r="D11637" s="4">
        <f>DATE(2005,9,13)</f>
        <v>38608</v>
      </c>
      <c r="E11637" s="5">
        <f t="shared" si="193"/>
        <v>2005</v>
      </c>
      <c r="F11637" s="3" t="s">
        <v>1850</v>
      </c>
      <c r="G11637" s="6">
        <v>650</v>
      </c>
      <c r="H11637" s="5">
        <v>1236</v>
      </c>
    </row>
    <row r="11638" spans="2:8" x14ac:dyDescent="0.4">
      <c r="B11638" s="3" t="s">
        <v>7</v>
      </c>
      <c r="C11638" s="3" t="s">
        <v>1849</v>
      </c>
      <c r="D11638" s="4">
        <f>DATE(2005,10,12)</f>
        <v>38637</v>
      </c>
      <c r="E11638" s="5">
        <f t="shared" si="193"/>
        <v>2005</v>
      </c>
      <c r="F11638" s="3" t="s">
        <v>1850</v>
      </c>
      <c r="G11638" s="6">
        <v>1850</v>
      </c>
      <c r="H11638" s="5">
        <v>1251</v>
      </c>
    </row>
    <row r="11639" spans="2:8" x14ac:dyDescent="0.4">
      <c r="B11639" s="3" t="s">
        <v>7</v>
      </c>
      <c r="C11639" s="3" t="s">
        <v>1849</v>
      </c>
      <c r="D11639" s="4">
        <f>DATE(2005,10,19)</f>
        <v>38644</v>
      </c>
      <c r="E11639" s="5">
        <f t="shared" si="193"/>
        <v>2005</v>
      </c>
      <c r="F11639" s="3" t="s">
        <v>1850</v>
      </c>
      <c r="G11639" s="6">
        <v>490</v>
      </c>
      <c r="H11639" s="5">
        <v>1267</v>
      </c>
    </row>
    <row r="11640" spans="2:8" x14ac:dyDescent="0.4">
      <c r="B11640" s="3" t="s">
        <v>7</v>
      </c>
      <c r="C11640" s="3" t="s">
        <v>1849</v>
      </c>
      <c r="D11640" s="4">
        <f>DATE(2005,11,15)</f>
        <v>38671</v>
      </c>
      <c r="E11640" s="5">
        <f t="shared" si="193"/>
        <v>2005</v>
      </c>
      <c r="F11640" s="3" t="s">
        <v>1850</v>
      </c>
      <c r="G11640" s="6">
        <v>245</v>
      </c>
      <c r="H11640" s="5">
        <v>1296</v>
      </c>
    </row>
    <row r="11641" spans="2:8" x14ac:dyDescent="0.4">
      <c r="B11641" s="3" t="s">
        <v>7</v>
      </c>
      <c r="C11641" s="3" t="s">
        <v>1849</v>
      </c>
      <c r="D11641" s="4">
        <f>DATE(2005,11,15)</f>
        <v>38671</v>
      </c>
      <c r="E11641" s="5">
        <f t="shared" si="193"/>
        <v>2005</v>
      </c>
      <c r="F11641" s="3" t="s">
        <v>1850</v>
      </c>
      <c r="G11641" s="6">
        <v>140</v>
      </c>
      <c r="H11641" s="5">
        <v>1299</v>
      </c>
    </row>
    <row r="11642" spans="2:8" x14ac:dyDescent="0.4">
      <c r="B11642" s="3" t="s">
        <v>7</v>
      </c>
      <c r="C11642" s="3" t="s">
        <v>1849</v>
      </c>
      <c r="D11642" s="4">
        <f>DATE(2005,12,7)</f>
        <v>38693</v>
      </c>
      <c r="E11642" s="5">
        <f t="shared" si="193"/>
        <v>2005</v>
      </c>
      <c r="F11642" s="3" t="s">
        <v>1850</v>
      </c>
      <c r="G11642" s="6">
        <v>1378.15</v>
      </c>
      <c r="H11642" s="5">
        <v>1319</v>
      </c>
    </row>
    <row r="11643" spans="2:8" x14ac:dyDescent="0.4">
      <c r="B11643" s="3" t="s">
        <v>7</v>
      </c>
      <c r="C11643" s="3" t="s">
        <v>1849</v>
      </c>
      <c r="D11643" s="4">
        <f>DATE(2005,12,8)</f>
        <v>38694</v>
      </c>
      <c r="E11643" s="5">
        <f t="shared" si="193"/>
        <v>2005</v>
      </c>
      <c r="F11643" s="3" t="s">
        <v>1850</v>
      </c>
      <c r="G11643" s="6">
        <v>84.25</v>
      </c>
      <c r="H11643" s="5">
        <v>1315</v>
      </c>
    </row>
    <row r="11644" spans="2:8" x14ac:dyDescent="0.4">
      <c r="B11644" s="3" t="s">
        <v>7</v>
      </c>
      <c r="C11644" s="3" t="s">
        <v>1849</v>
      </c>
      <c r="D11644" s="4">
        <f>DATE(2006,1,9)</f>
        <v>38726</v>
      </c>
      <c r="E11644" s="5">
        <f t="shared" si="193"/>
        <v>2006</v>
      </c>
      <c r="F11644" s="3" t="s">
        <v>1850</v>
      </c>
      <c r="G11644" s="6">
        <v>294</v>
      </c>
      <c r="H11644" s="5">
        <v>1371</v>
      </c>
    </row>
    <row r="11645" spans="2:8" x14ac:dyDescent="0.4">
      <c r="B11645" s="3" t="s">
        <v>7</v>
      </c>
      <c r="C11645" s="3" t="s">
        <v>1849</v>
      </c>
      <c r="D11645" s="4">
        <f>DATE(2006,1,24)</f>
        <v>38741</v>
      </c>
      <c r="E11645" s="5">
        <f t="shared" si="193"/>
        <v>2006</v>
      </c>
      <c r="F11645" s="3" t="s">
        <v>1850</v>
      </c>
      <c r="G11645" s="6">
        <v>1630</v>
      </c>
      <c r="H11645" s="5">
        <v>1404</v>
      </c>
    </row>
    <row r="11646" spans="2:8" x14ac:dyDescent="0.4">
      <c r="B11646" s="3" t="s">
        <v>7</v>
      </c>
      <c r="C11646" s="3" t="s">
        <v>1849</v>
      </c>
      <c r="D11646" s="4">
        <f>DATE(2006,1,31)</f>
        <v>38748</v>
      </c>
      <c r="E11646" s="5">
        <f t="shared" si="193"/>
        <v>2006</v>
      </c>
      <c r="F11646" s="3" t="s">
        <v>1850</v>
      </c>
      <c r="G11646" s="6">
        <v>150</v>
      </c>
      <c r="H11646" s="5">
        <v>1446</v>
      </c>
    </row>
    <row r="11647" spans="2:8" x14ac:dyDescent="0.4">
      <c r="B11647" s="3" t="s">
        <v>7</v>
      </c>
      <c r="C11647" s="3" t="s">
        <v>1849</v>
      </c>
      <c r="D11647" s="4">
        <f>DATE(2006,3,16)</f>
        <v>38792</v>
      </c>
      <c r="E11647" s="5">
        <f t="shared" si="193"/>
        <v>2006</v>
      </c>
      <c r="F11647" s="3" t="s">
        <v>1850</v>
      </c>
      <c r="G11647" s="6">
        <v>784</v>
      </c>
      <c r="H11647" s="5">
        <v>1479</v>
      </c>
    </row>
    <row r="11648" spans="2:8" x14ac:dyDescent="0.4">
      <c r="B11648" s="3" t="s">
        <v>7</v>
      </c>
      <c r="C11648" s="3" t="s">
        <v>1849</v>
      </c>
      <c r="D11648" s="4">
        <f>DATE(2006,3,15)</f>
        <v>38791</v>
      </c>
      <c r="E11648" s="5">
        <f t="shared" si="193"/>
        <v>2006</v>
      </c>
      <c r="F11648" s="3" t="s">
        <v>1850</v>
      </c>
      <c r="G11648" s="6">
        <v>1174</v>
      </c>
      <c r="H11648" s="5">
        <v>1464</v>
      </c>
    </row>
    <row r="11649" spans="2:8" x14ac:dyDescent="0.4">
      <c r="B11649" s="3" t="s">
        <v>7</v>
      </c>
      <c r="C11649" s="3" t="s">
        <v>1849</v>
      </c>
      <c r="D11649" s="4">
        <f>DATE(2006,3,22)</f>
        <v>38798</v>
      </c>
      <c r="E11649" s="5">
        <f t="shared" si="193"/>
        <v>2006</v>
      </c>
      <c r="F11649" s="3" t="s">
        <v>1850</v>
      </c>
      <c r="G11649" s="6">
        <v>1960</v>
      </c>
      <c r="H11649" s="5">
        <v>1485</v>
      </c>
    </row>
    <row r="11650" spans="2:8" x14ac:dyDescent="0.4">
      <c r="B11650" s="3" t="s">
        <v>7</v>
      </c>
      <c r="C11650" s="3" t="s">
        <v>1849</v>
      </c>
      <c r="D11650" s="4">
        <f>DATE(2006,4,5)</f>
        <v>38812</v>
      </c>
      <c r="E11650" s="5">
        <f t="shared" si="193"/>
        <v>2006</v>
      </c>
      <c r="F11650" s="3" t="s">
        <v>1850</v>
      </c>
      <c r="G11650" s="6">
        <v>780</v>
      </c>
      <c r="H11650" s="5">
        <v>1511</v>
      </c>
    </row>
    <row r="11651" spans="2:8" x14ac:dyDescent="0.4">
      <c r="B11651" s="3" t="s">
        <v>7</v>
      </c>
      <c r="C11651" s="3" t="s">
        <v>1849</v>
      </c>
      <c r="D11651" s="4">
        <f>DATE(2006,4,5)</f>
        <v>38812</v>
      </c>
      <c r="E11651" s="5">
        <f t="shared" ref="E11651:E11714" si="194">YEAR(D11651)</f>
        <v>2006</v>
      </c>
      <c r="F11651" s="3" t="s">
        <v>1850</v>
      </c>
      <c r="G11651" s="6">
        <v>2332</v>
      </c>
      <c r="H11651" s="5">
        <v>1512</v>
      </c>
    </row>
    <row r="11652" spans="2:8" x14ac:dyDescent="0.4">
      <c r="B11652" s="3" t="s">
        <v>7</v>
      </c>
      <c r="C11652" s="3" t="s">
        <v>1849</v>
      </c>
      <c r="D11652" s="4">
        <f>DATE(2006,3,28)</f>
        <v>38804</v>
      </c>
      <c r="E11652" s="5">
        <f t="shared" si="194"/>
        <v>2006</v>
      </c>
      <c r="F11652" s="3" t="s">
        <v>1850</v>
      </c>
      <c r="G11652" s="6">
        <v>2058</v>
      </c>
      <c r="H11652" s="5">
        <v>1487</v>
      </c>
    </row>
    <row r="11653" spans="2:8" x14ac:dyDescent="0.4">
      <c r="B11653" s="3" t="s">
        <v>7</v>
      </c>
      <c r="C11653" s="3" t="s">
        <v>1849</v>
      </c>
      <c r="D11653" s="4">
        <f>DATE(2006,3,31)</f>
        <v>38807</v>
      </c>
      <c r="E11653" s="5">
        <f t="shared" si="194"/>
        <v>2006</v>
      </c>
      <c r="F11653" s="3" t="s">
        <v>1850</v>
      </c>
      <c r="G11653" s="6">
        <v>784</v>
      </c>
      <c r="H11653" s="5">
        <v>1500</v>
      </c>
    </row>
    <row r="11654" spans="2:8" x14ac:dyDescent="0.4">
      <c r="B11654" s="3" t="s">
        <v>7</v>
      </c>
      <c r="C11654" s="3" t="s">
        <v>1849</v>
      </c>
      <c r="D11654" s="4">
        <f>DATE(2006,4,20)</f>
        <v>38827</v>
      </c>
      <c r="E11654" s="5">
        <f t="shared" si="194"/>
        <v>2006</v>
      </c>
      <c r="F11654" s="3" t="s">
        <v>1850</v>
      </c>
      <c r="G11654" s="6">
        <v>3260</v>
      </c>
      <c r="H11654" s="5">
        <v>1516</v>
      </c>
    </row>
    <row r="11655" spans="2:8" x14ac:dyDescent="0.4">
      <c r="B11655" s="3" t="s">
        <v>7</v>
      </c>
      <c r="C11655" s="3" t="s">
        <v>1849</v>
      </c>
      <c r="D11655" s="4">
        <f>DATE(2006,4,20)</f>
        <v>38827</v>
      </c>
      <c r="E11655" s="5">
        <f t="shared" si="194"/>
        <v>2006</v>
      </c>
      <c r="F11655" s="3" t="s">
        <v>1850</v>
      </c>
      <c r="G11655" s="6">
        <v>1568</v>
      </c>
      <c r="H11655" s="5">
        <v>1533</v>
      </c>
    </row>
    <row r="11656" spans="2:8" x14ac:dyDescent="0.4">
      <c r="B11656" s="3" t="s">
        <v>7</v>
      </c>
      <c r="C11656" s="3" t="s">
        <v>1849</v>
      </c>
      <c r="D11656" s="4">
        <f>DATE(2006,4,20)</f>
        <v>38827</v>
      </c>
      <c r="E11656" s="5">
        <f t="shared" si="194"/>
        <v>2006</v>
      </c>
      <c r="F11656" s="3" t="s">
        <v>1850</v>
      </c>
      <c r="G11656" s="6">
        <v>666</v>
      </c>
      <c r="H11656" s="5">
        <v>1539</v>
      </c>
    </row>
    <row r="11657" spans="2:8" x14ac:dyDescent="0.4">
      <c r="B11657" s="3" t="s">
        <v>7</v>
      </c>
      <c r="C11657" s="3" t="s">
        <v>1849</v>
      </c>
      <c r="D11657" s="4">
        <f>DATE(2006,6,8)</f>
        <v>38876</v>
      </c>
      <c r="E11657" s="5">
        <f t="shared" si="194"/>
        <v>2006</v>
      </c>
      <c r="F11657" s="3" t="s">
        <v>1850</v>
      </c>
      <c r="G11657" s="6">
        <v>490</v>
      </c>
      <c r="H11657" s="5">
        <v>1613</v>
      </c>
    </row>
    <row r="11658" spans="2:8" x14ac:dyDescent="0.4">
      <c r="B11658" s="3" t="s">
        <v>7</v>
      </c>
      <c r="C11658" s="3" t="s">
        <v>1849</v>
      </c>
      <c r="D11658" s="4">
        <f>DATE(2006,9,1)</f>
        <v>38961</v>
      </c>
      <c r="E11658" s="5">
        <f t="shared" si="194"/>
        <v>2006</v>
      </c>
      <c r="F11658" s="3" t="s">
        <v>1850</v>
      </c>
      <c r="G11658" s="6">
        <v>870</v>
      </c>
      <c r="H11658" s="5">
        <v>1705</v>
      </c>
    </row>
    <row r="11659" spans="2:8" x14ac:dyDescent="0.4">
      <c r="B11659" s="3" t="s">
        <v>7</v>
      </c>
      <c r="C11659" s="3" t="s">
        <v>1849</v>
      </c>
      <c r="D11659" s="4">
        <f>DATE(2006,9,20)</f>
        <v>38980</v>
      </c>
      <c r="E11659" s="5">
        <f t="shared" si="194"/>
        <v>2006</v>
      </c>
      <c r="F11659" s="3" t="s">
        <v>1850</v>
      </c>
      <c r="G11659" s="6">
        <v>525</v>
      </c>
      <c r="H11659" s="5">
        <v>1795</v>
      </c>
    </row>
    <row r="11660" spans="2:8" x14ac:dyDescent="0.4">
      <c r="B11660" s="3" t="s">
        <v>7</v>
      </c>
      <c r="C11660" s="3" t="s">
        <v>1849</v>
      </c>
      <c r="D11660" s="4">
        <f>DATE(2006,9,27)</f>
        <v>38987</v>
      </c>
      <c r="E11660" s="5">
        <f t="shared" si="194"/>
        <v>2006</v>
      </c>
      <c r="F11660" s="3" t="s">
        <v>1850</v>
      </c>
      <c r="G11660" s="6">
        <v>450</v>
      </c>
      <c r="H11660" s="5">
        <v>1809</v>
      </c>
    </row>
    <row r="11661" spans="2:8" x14ac:dyDescent="0.4">
      <c r="B11661" s="3" t="s">
        <v>7</v>
      </c>
      <c r="C11661" s="3" t="s">
        <v>1849</v>
      </c>
      <c r="D11661" s="4">
        <f>DATE(2006,10,18)</f>
        <v>39008</v>
      </c>
      <c r="E11661" s="5">
        <f t="shared" si="194"/>
        <v>2006</v>
      </c>
      <c r="F11661" s="3" t="s">
        <v>1850</v>
      </c>
      <c r="G11661" s="6">
        <v>1125</v>
      </c>
      <c r="H11661" s="5">
        <v>1797</v>
      </c>
    </row>
    <row r="11662" spans="2:8" x14ac:dyDescent="0.4">
      <c r="B11662" s="3" t="s">
        <v>7</v>
      </c>
      <c r="C11662" s="3" t="s">
        <v>1849</v>
      </c>
      <c r="D11662" s="4">
        <f>DATE(2006,10,25)</f>
        <v>39015</v>
      </c>
      <c r="E11662" s="5">
        <f t="shared" si="194"/>
        <v>2006</v>
      </c>
      <c r="F11662" s="3" t="s">
        <v>1850</v>
      </c>
      <c r="G11662" s="6">
        <v>750</v>
      </c>
      <c r="H11662" s="5">
        <v>1829</v>
      </c>
    </row>
    <row r="11663" spans="2:8" x14ac:dyDescent="0.4">
      <c r="B11663" s="3" t="s">
        <v>7</v>
      </c>
      <c r="C11663" s="3" t="s">
        <v>1849</v>
      </c>
      <c r="D11663" s="4">
        <f>DATE(2006,11,17)</f>
        <v>39038</v>
      </c>
      <c r="E11663" s="5">
        <f t="shared" si="194"/>
        <v>2006</v>
      </c>
      <c r="F11663" s="3" t="s">
        <v>1850</v>
      </c>
      <c r="G11663" s="6">
        <v>3750</v>
      </c>
      <c r="H11663" s="5">
        <v>1901</v>
      </c>
    </row>
    <row r="11664" spans="2:8" x14ac:dyDescent="0.4">
      <c r="B11664" s="3" t="s">
        <v>7</v>
      </c>
      <c r="C11664" s="3" t="s">
        <v>1849</v>
      </c>
      <c r="D11664" s="4">
        <f>DATE(2007,2,22)</f>
        <v>39135</v>
      </c>
      <c r="E11664" s="5">
        <f t="shared" si="194"/>
        <v>2007</v>
      </c>
      <c r="F11664" s="3" t="s">
        <v>1850</v>
      </c>
      <c r="G11664" s="6">
        <v>3222</v>
      </c>
      <c r="H11664" s="5">
        <v>2056</v>
      </c>
    </row>
    <row r="11665" spans="2:8" x14ac:dyDescent="0.4">
      <c r="B11665" s="3" t="s">
        <v>7</v>
      </c>
      <c r="C11665" s="3" t="s">
        <v>1849</v>
      </c>
      <c r="D11665" s="4">
        <f>DATE(2007,2,23)</f>
        <v>39136</v>
      </c>
      <c r="E11665" s="5">
        <f t="shared" si="194"/>
        <v>2007</v>
      </c>
      <c r="F11665" s="3" t="s">
        <v>1850</v>
      </c>
      <c r="G11665" s="6">
        <v>1500</v>
      </c>
      <c r="H11665" s="5">
        <v>2057</v>
      </c>
    </row>
    <row r="11666" spans="2:8" x14ac:dyDescent="0.4">
      <c r="B11666" s="3" t="s">
        <v>7</v>
      </c>
      <c r="C11666" s="3" t="s">
        <v>1849</v>
      </c>
      <c r="D11666" s="4">
        <f>DATE(2007,5,11)</f>
        <v>39213</v>
      </c>
      <c r="E11666" s="5">
        <f t="shared" si="194"/>
        <v>2007</v>
      </c>
      <c r="F11666" s="3" t="s">
        <v>1850</v>
      </c>
      <c r="G11666" s="6">
        <v>1500</v>
      </c>
      <c r="H11666" s="5">
        <v>2191</v>
      </c>
    </row>
    <row r="11667" spans="2:8" x14ac:dyDescent="0.4">
      <c r="B11667" s="3" t="s">
        <v>7</v>
      </c>
      <c r="C11667" s="3" t="s">
        <v>1849</v>
      </c>
      <c r="D11667" s="4">
        <f>DATE(2008,12,4)</f>
        <v>39786</v>
      </c>
      <c r="E11667" s="5">
        <f t="shared" si="194"/>
        <v>2008</v>
      </c>
      <c r="F11667" s="3" t="s">
        <v>1850</v>
      </c>
      <c r="G11667" s="6">
        <v>411</v>
      </c>
      <c r="H11667" s="5">
        <v>3167</v>
      </c>
    </row>
    <row r="11668" spans="2:8" x14ac:dyDescent="0.4">
      <c r="B11668" s="3" t="s">
        <v>7</v>
      </c>
      <c r="C11668" s="3" t="s">
        <v>1849</v>
      </c>
      <c r="D11668" s="4">
        <f>DATE(2009,5,19)</f>
        <v>39952</v>
      </c>
      <c r="E11668" s="5">
        <f t="shared" si="194"/>
        <v>2009</v>
      </c>
      <c r="F11668" s="3" t="s">
        <v>1850</v>
      </c>
      <c r="G11668" s="6">
        <v>411</v>
      </c>
      <c r="H11668" s="5">
        <v>3423</v>
      </c>
    </row>
    <row r="11669" spans="2:8" x14ac:dyDescent="0.4">
      <c r="B11669" s="3" t="s">
        <v>7</v>
      </c>
      <c r="C11669" s="3" t="s">
        <v>1849</v>
      </c>
      <c r="D11669" s="4">
        <f>DATE(2009,12,3)</f>
        <v>40150</v>
      </c>
      <c r="E11669" s="5">
        <f t="shared" si="194"/>
        <v>2009</v>
      </c>
      <c r="F11669" s="3" t="s">
        <v>1850</v>
      </c>
      <c r="G11669" s="6">
        <v>411</v>
      </c>
      <c r="H11669" s="5">
        <v>3669</v>
      </c>
    </row>
    <row r="11670" spans="2:8" x14ac:dyDescent="0.4">
      <c r="B11670" s="3" t="s">
        <v>7</v>
      </c>
      <c r="C11670" s="3" t="s">
        <v>1849</v>
      </c>
      <c r="D11670" s="4">
        <f>DATE(2010,2,22)</f>
        <v>40231</v>
      </c>
      <c r="E11670" s="5">
        <f t="shared" si="194"/>
        <v>2010</v>
      </c>
      <c r="F11670" s="3" t="s">
        <v>1850</v>
      </c>
      <c r="G11670" s="6">
        <v>411</v>
      </c>
      <c r="H11670" s="5">
        <v>3797</v>
      </c>
    </row>
    <row r="11671" spans="2:8" x14ac:dyDescent="0.4">
      <c r="B11671" s="3" t="s">
        <v>7</v>
      </c>
      <c r="C11671" s="3" t="s">
        <v>1849</v>
      </c>
      <c r="D11671" s="4">
        <f>DATE(2010,6,21)</f>
        <v>40350</v>
      </c>
      <c r="E11671" s="5">
        <f t="shared" si="194"/>
        <v>2010</v>
      </c>
      <c r="F11671" s="3" t="s">
        <v>1850</v>
      </c>
      <c r="G11671" s="6">
        <v>411</v>
      </c>
      <c r="H11671" s="5">
        <v>3994</v>
      </c>
    </row>
    <row r="11672" spans="2:8" x14ac:dyDescent="0.4">
      <c r="B11672" s="3" t="s">
        <v>7</v>
      </c>
      <c r="C11672" s="3" t="s">
        <v>1849</v>
      </c>
      <c r="D11672" s="4">
        <f>DATE(2010,7,29)</f>
        <v>40388</v>
      </c>
      <c r="E11672" s="5">
        <f t="shared" si="194"/>
        <v>2010</v>
      </c>
      <c r="F11672" s="3" t="s">
        <v>1850</v>
      </c>
      <c r="G11672" s="6">
        <v>685</v>
      </c>
      <c r="H11672" s="5">
        <v>4047</v>
      </c>
    </row>
    <row r="11673" spans="2:8" x14ac:dyDescent="0.4">
      <c r="B11673" s="3" t="s">
        <v>7</v>
      </c>
      <c r="C11673" s="3" t="s">
        <v>1849</v>
      </c>
      <c r="D11673" s="4">
        <f>DATE(2010,8,24)</f>
        <v>40414</v>
      </c>
      <c r="E11673" s="5">
        <f t="shared" si="194"/>
        <v>2010</v>
      </c>
      <c r="F11673" s="3" t="s">
        <v>1850</v>
      </c>
      <c r="G11673" s="6">
        <v>1350</v>
      </c>
      <c r="H11673" s="5">
        <v>4073</v>
      </c>
    </row>
    <row r="11674" spans="2:8" x14ac:dyDescent="0.4">
      <c r="B11674" s="3" t="s">
        <v>7</v>
      </c>
      <c r="C11674" s="3" t="s">
        <v>1849</v>
      </c>
      <c r="D11674" s="4">
        <f>DATE(2010,12,6)</f>
        <v>40518</v>
      </c>
      <c r="E11674" s="5">
        <f t="shared" si="194"/>
        <v>2010</v>
      </c>
      <c r="F11674" s="3" t="s">
        <v>1850</v>
      </c>
      <c r="G11674" s="6">
        <v>411</v>
      </c>
      <c r="H11674" s="5">
        <v>4235</v>
      </c>
    </row>
    <row r="11675" spans="2:8" x14ac:dyDescent="0.4">
      <c r="B11675" s="3" t="s">
        <v>7</v>
      </c>
      <c r="C11675" s="3" t="s">
        <v>1849</v>
      </c>
      <c r="D11675" s="4">
        <f>DATE(2011,4,19)</f>
        <v>40652</v>
      </c>
      <c r="E11675" s="5">
        <f t="shared" si="194"/>
        <v>2011</v>
      </c>
      <c r="F11675" s="3" t="s">
        <v>1850</v>
      </c>
      <c r="G11675" s="6">
        <v>68.5</v>
      </c>
      <c r="H11675" s="5">
        <v>4391</v>
      </c>
    </row>
    <row r="11676" spans="2:8" x14ac:dyDescent="0.4">
      <c r="B11676" s="3" t="s">
        <v>7</v>
      </c>
      <c r="C11676" s="3" t="s">
        <v>1849</v>
      </c>
      <c r="D11676" s="4">
        <f>DATE(2011,6,16)</f>
        <v>40710</v>
      </c>
      <c r="E11676" s="5">
        <f t="shared" si="194"/>
        <v>2011</v>
      </c>
      <c r="F11676" s="3" t="s">
        <v>1850</v>
      </c>
      <c r="G11676" s="6">
        <v>78.8</v>
      </c>
      <c r="H11676" s="5">
        <v>4486</v>
      </c>
    </row>
    <row r="11677" spans="2:8" x14ac:dyDescent="0.4">
      <c r="B11677" s="3" t="s">
        <v>7</v>
      </c>
      <c r="C11677" s="3" t="s">
        <v>1849</v>
      </c>
      <c r="D11677" s="4">
        <f>DATE(2011,8,24)</f>
        <v>40779</v>
      </c>
      <c r="E11677" s="5">
        <f t="shared" si="194"/>
        <v>2011</v>
      </c>
      <c r="F11677" s="3" t="s">
        <v>1850</v>
      </c>
      <c r="G11677" s="6">
        <v>205.5</v>
      </c>
      <c r="H11677" s="5">
        <v>4593</v>
      </c>
    </row>
    <row r="11678" spans="2:8" x14ac:dyDescent="0.4">
      <c r="B11678" s="3" t="s">
        <v>7</v>
      </c>
      <c r="C11678" s="3" t="s">
        <v>1849</v>
      </c>
      <c r="D11678" s="4">
        <f>DATE(2011,11,18)</f>
        <v>40865</v>
      </c>
      <c r="E11678" s="5">
        <f t="shared" si="194"/>
        <v>2011</v>
      </c>
      <c r="F11678" s="3" t="s">
        <v>1850</v>
      </c>
      <c r="G11678" s="6">
        <v>411</v>
      </c>
      <c r="H11678" s="5">
        <v>4718</v>
      </c>
    </row>
    <row r="11679" spans="2:8" x14ac:dyDescent="0.4">
      <c r="B11679" s="3" t="s">
        <v>7</v>
      </c>
      <c r="C11679" s="3" t="s">
        <v>1849</v>
      </c>
      <c r="D11679" s="4">
        <f>DATE(2012,2,10)</f>
        <v>40949</v>
      </c>
      <c r="E11679" s="5">
        <f t="shared" si="194"/>
        <v>2012</v>
      </c>
      <c r="F11679" s="3" t="s">
        <v>1850</v>
      </c>
      <c r="G11679" s="6">
        <v>205.5</v>
      </c>
      <c r="H11679" s="5">
        <v>4827</v>
      </c>
    </row>
    <row r="11680" spans="2:8" x14ac:dyDescent="0.4">
      <c r="B11680" s="3" t="s">
        <v>7</v>
      </c>
      <c r="C11680" s="3" t="s">
        <v>1849</v>
      </c>
      <c r="D11680" s="4">
        <f>DATE(2012,10,17)</f>
        <v>41199</v>
      </c>
      <c r="E11680" s="5">
        <f t="shared" si="194"/>
        <v>2012</v>
      </c>
      <c r="F11680" s="3" t="s">
        <v>1850</v>
      </c>
      <c r="G11680" s="6">
        <v>1576</v>
      </c>
      <c r="H11680" s="5">
        <v>5227</v>
      </c>
    </row>
    <row r="11681" spans="2:8" x14ac:dyDescent="0.4">
      <c r="B11681" s="3" t="s">
        <v>7</v>
      </c>
      <c r="C11681" s="3" t="s">
        <v>1849</v>
      </c>
      <c r="D11681" s="4">
        <f>DATE(2013,6,5)</f>
        <v>41430</v>
      </c>
      <c r="E11681" s="5">
        <f t="shared" si="194"/>
        <v>2013</v>
      </c>
      <c r="F11681" s="3" t="s">
        <v>1850</v>
      </c>
      <c r="G11681" s="6">
        <v>205.5</v>
      </c>
      <c r="H11681" s="5">
        <v>5605</v>
      </c>
    </row>
    <row r="11682" spans="2:8" x14ac:dyDescent="0.4">
      <c r="B11682" s="3" t="s">
        <v>7</v>
      </c>
      <c r="C11682" s="3" t="s">
        <v>1849</v>
      </c>
      <c r="D11682" s="4">
        <f>DATE(2013,9,26)</f>
        <v>41543</v>
      </c>
      <c r="E11682" s="5">
        <f t="shared" si="194"/>
        <v>2013</v>
      </c>
      <c r="F11682" s="3" t="s">
        <v>1850</v>
      </c>
      <c r="G11682" s="6">
        <v>411</v>
      </c>
      <c r="H11682" s="5">
        <v>5818</v>
      </c>
    </row>
    <row r="11683" spans="2:8" x14ac:dyDescent="0.4">
      <c r="B11683" s="3" t="s">
        <v>7</v>
      </c>
      <c r="C11683" s="3" t="s">
        <v>1849</v>
      </c>
      <c r="D11683" s="4">
        <f>DATE(2013,12,17)</f>
        <v>41625</v>
      </c>
      <c r="E11683" s="5">
        <f t="shared" si="194"/>
        <v>2013</v>
      </c>
      <c r="F11683" s="3" t="s">
        <v>1850</v>
      </c>
      <c r="G11683" s="6">
        <v>788</v>
      </c>
      <c r="H11683" s="5">
        <v>5938</v>
      </c>
    </row>
    <row r="11684" spans="2:8" x14ac:dyDescent="0.4">
      <c r="B11684" s="3" t="s">
        <v>7</v>
      </c>
      <c r="C11684" s="3" t="s">
        <v>1849</v>
      </c>
      <c r="D11684" s="4">
        <f>DATE(2014,3,26)</f>
        <v>41724</v>
      </c>
      <c r="E11684" s="5">
        <f t="shared" si="194"/>
        <v>2014</v>
      </c>
      <c r="F11684" s="3" t="s">
        <v>1850</v>
      </c>
      <c r="G11684" s="6">
        <v>274</v>
      </c>
      <c r="H11684" s="5">
        <v>6105</v>
      </c>
    </row>
    <row r="11685" spans="2:8" x14ac:dyDescent="0.4">
      <c r="B11685" s="3" t="s">
        <v>7</v>
      </c>
      <c r="C11685" s="3" t="s">
        <v>1849</v>
      </c>
      <c r="D11685" s="4">
        <f>DATE(2014,10,9)</f>
        <v>41921</v>
      </c>
      <c r="E11685" s="5">
        <f t="shared" si="194"/>
        <v>2014</v>
      </c>
      <c r="F11685" s="3" t="s">
        <v>1850</v>
      </c>
      <c r="G11685" s="6">
        <v>274</v>
      </c>
      <c r="H11685" s="5">
        <v>6436</v>
      </c>
    </row>
    <row r="11686" spans="2:8" x14ac:dyDescent="0.4">
      <c r="B11686" s="3" t="s">
        <v>7</v>
      </c>
      <c r="C11686" s="3" t="s">
        <v>1849</v>
      </c>
      <c r="D11686" s="4">
        <f>DATE(2014,10,16)</f>
        <v>41928</v>
      </c>
      <c r="E11686" s="5">
        <f t="shared" si="194"/>
        <v>2014</v>
      </c>
      <c r="F11686" s="3" t="s">
        <v>1850</v>
      </c>
      <c r="G11686" s="6">
        <v>274</v>
      </c>
      <c r="H11686" s="5">
        <v>6438</v>
      </c>
    </row>
    <row r="11687" spans="2:8" x14ac:dyDescent="0.4">
      <c r="B11687" s="3" t="s">
        <v>7</v>
      </c>
      <c r="C11687" s="3" t="s">
        <v>1849</v>
      </c>
      <c r="D11687" s="4">
        <f>DATE(2014,11,12)</f>
        <v>41955</v>
      </c>
      <c r="E11687" s="5">
        <f t="shared" si="194"/>
        <v>2014</v>
      </c>
      <c r="F11687" s="3" t="s">
        <v>1850</v>
      </c>
      <c r="G11687" s="6">
        <v>205.5</v>
      </c>
      <c r="H11687" s="5">
        <v>6465</v>
      </c>
    </row>
    <row r="11688" spans="2:8" x14ac:dyDescent="0.4">
      <c r="B11688" s="3" t="s">
        <v>7</v>
      </c>
      <c r="C11688" s="3" t="s">
        <v>1849</v>
      </c>
      <c r="D11688" s="4">
        <f>DATE(2014,12,3)</f>
        <v>41976</v>
      </c>
      <c r="E11688" s="5">
        <f t="shared" si="194"/>
        <v>2014</v>
      </c>
      <c r="F11688" s="3" t="s">
        <v>1850</v>
      </c>
      <c r="G11688" s="6">
        <v>472.8</v>
      </c>
      <c r="H11688" s="5">
        <v>6480</v>
      </c>
    </row>
    <row r="11689" spans="2:8" x14ac:dyDescent="0.4">
      <c r="B11689" t="s">
        <v>7</v>
      </c>
      <c r="C11689" t="s">
        <v>1851</v>
      </c>
      <c r="D11689" s="7">
        <f>DATE(2012,8,24)</f>
        <v>41145</v>
      </c>
      <c r="E11689" s="8">
        <f t="shared" si="194"/>
        <v>2012</v>
      </c>
      <c r="F11689" t="s">
        <v>1852</v>
      </c>
      <c r="G11689" s="9">
        <v>350</v>
      </c>
      <c r="H11689" s="8">
        <v>11772</v>
      </c>
    </row>
    <row r="11690" spans="2:8" x14ac:dyDescent="0.4">
      <c r="B11690" t="s">
        <v>7</v>
      </c>
      <c r="C11690" t="s">
        <v>1851</v>
      </c>
      <c r="D11690" s="7">
        <f>DATE(2013,11,25)</f>
        <v>41603</v>
      </c>
      <c r="E11690" s="8">
        <f t="shared" si="194"/>
        <v>2013</v>
      </c>
      <c r="F11690" t="s">
        <v>1852</v>
      </c>
      <c r="G11690" s="9">
        <v>217608.12</v>
      </c>
      <c r="H11690" s="8">
        <v>12766</v>
      </c>
    </row>
    <row r="11691" spans="2:8" x14ac:dyDescent="0.4">
      <c r="B11691" t="s">
        <v>7</v>
      </c>
      <c r="C11691" t="s">
        <v>1853</v>
      </c>
      <c r="D11691" s="7">
        <f>DATE(2016,5,13)</f>
        <v>42503</v>
      </c>
      <c r="E11691" s="8">
        <f t="shared" si="194"/>
        <v>2016</v>
      </c>
      <c r="F11691" t="s">
        <v>1854</v>
      </c>
      <c r="G11691" s="9">
        <v>54900</v>
      </c>
      <c r="H11691" s="8">
        <v>22684</v>
      </c>
    </row>
    <row r="11692" spans="2:8" x14ac:dyDescent="0.4">
      <c r="B11692" t="s">
        <v>7</v>
      </c>
      <c r="C11692" t="s">
        <v>1853</v>
      </c>
      <c r="D11692" s="7">
        <f>DATE(2018,11,8)</f>
        <v>43412</v>
      </c>
      <c r="E11692" s="8">
        <f t="shared" si="194"/>
        <v>2018</v>
      </c>
      <c r="F11692" t="s">
        <v>1854</v>
      </c>
      <c r="G11692" s="9">
        <v>777.24</v>
      </c>
      <c r="H11692" s="8">
        <v>27783</v>
      </c>
    </row>
    <row r="11693" spans="2:8" x14ac:dyDescent="0.4">
      <c r="B11693" t="s">
        <v>7</v>
      </c>
      <c r="C11693" t="s">
        <v>1853</v>
      </c>
      <c r="D11693" s="7">
        <f>DATE(2018,11,29)</f>
        <v>43433</v>
      </c>
      <c r="E11693" s="8">
        <f t="shared" si="194"/>
        <v>2018</v>
      </c>
      <c r="F11693" t="s">
        <v>1854</v>
      </c>
      <c r="G11693" s="9">
        <v>53639</v>
      </c>
      <c r="H11693" s="8">
        <v>27963</v>
      </c>
    </row>
    <row r="11694" spans="2:8" x14ac:dyDescent="0.4">
      <c r="B11694" t="s">
        <v>7</v>
      </c>
      <c r="C11694" t="s">
        <v>1853</v>
      </c>
      <c r="D11694" s="7">
        <f>DATE(2014,10,29)</f>
        <v>41941</v>
      </c>
      <c r="E11694" s="8">
        <f t="shared" si="194"/>
        <v>2014</v>
      </c>
      <c r="F11694" t="s">
        <v>1854</v>
      </c>
      <c r="G11694" s="9">
        <v>65182.83</v>
      </c>
      <c r="H11694" s="8">
        <v>13486</v>
      </c>
    </row>
    <row r="11695" spans="2:8" x14ac:dyDescent="0.4">
      <c r="B11695" t="s">
        <v>7</v>
      </c>
      <c r="C11695" t="s">
        <v>1855</v>
      </c>
      <c r="D11695" s="7">
        <f>DATE(2015,9,18)</f>
        <v>42265</v>
      </c>
      <c r="E11695" s="8">
        <f t="shared" si="194"/>
        <v>2015</v>
      </c>
      <c r="F11695" t="s">
        <v>1856</v>
      </c>
      <c r="G11695" s="9">
        <v>4800</v>
      </c>
      <c r="H11695" s="8">
        <v>21164</v>
      </c>
    </row>
    <row r="11696" spans="2:8" x14ac:dyDescent="0.4">
      <c r="B11696" t="s">
        <v>7</v>
      </c>
      <c r="C11696" t="s">
        <v>1855</v>
      </c>
      <c r="D11696" s="7">
        <f>DATE(2015,9,24)</f>
        <v>42271</v>
      </c>
      <c r="E11696" s="8">
        <f t="shared" si="194"/>
        <v>2015</v>
      </c>
      <c r="F11696" t="s">
        <v>1856</v>
      </c>
      <c r="G11696" s="9">
        <v>4800</v>
      </c>
      <c r="H11696" s="8">
        <v>21273</v>
      </c>
    </row>
    <row r="11697" spans="2:8" x14ac:dyDescent="0.4">
      <c r="B11697" t="s">
        <v>7</v>
      </c>
      <c r="C11697" t="s">
        <v>1855</v>
      </c>
      <c r="D11697" s="7">
        <f>DATE(2016,3,1)</f>
        <v>42430</v>
      </c>
      <c r="E11697" s="8">
        <f t="shared" si="194"/>
        <v>2016</v>
      </c>
      <c r="F11697" t="s">
        <v>1856</v>
      </c>
      <c r="G11697" s="9">
        <v>4800</v>
      </c>
      <c r="H11697" s="8">
        <v>22285</v>
      </c>
    </row>
    <row r="11698" spans="2:8" x14ac:dyDescent="0.4">
      <c r="B11698" t="s">
        <v>7</v>
      </c>
      <c r="C11698" t="s">
        <v>1855</v>
      </c>
      <c r="D11698" s="7">
        <f>DATE(2016,5,18)</f>
        <v>42508</v>
      </c>
      <c r="E11698" s="8">
        <f t="shared" si="194"/>
        <v>2016</v>
      </c>
      <c r="F11698" t="s">
        <v>1856</v>
      </c>
      <c r="G11698" s="9">
        <v>4800</v>
      </c>
      <c r="H11698" s="8">
        <v>22843</v>
      </c>
    </row>
    <row r="11699" spans="2:8" x14ac:dyDescent="0.4">
      <c r="B11699" t="s">
        <v>7</v>
      </c>
      <c r="C11699" t="s">
        <v>1855</v>
      </c>
      <c r="D11699" s="7">
        <f>DATE(2017,4,20)</f>
        <v>42845</v>
      </c>
      <c r="E11699" s="8">
        <f t="shared" si="194"/>
        <v>2017</v>
      </c>
      <c r="F11699" t="s">
        <v>1856</v>
      </c>
      <c r="G11699" s="9">
        <v>10800</v>
      </c>
      <c r="H11699" s="8">
        <v>24697</v>
      </c>
    </row>
    <row r="11700" spans="2:8" x14ac:dyDescent="0.4">
      <c r="B11700" t="s">
        <v>7</v>
      </c>
      <c r="C11700" t="s">
        <v>1855</v>
      </c>
      <c r="D11700" s="7">
        <f>DATE(2012,3,21)</f>
        <v>40989</v>
      </c>
      <c r="E11700" s="8">
        <f t="shared" si="194"/>
        <v>2012</v>
      </c>
      <c r="F11700" t="s">
        <v>1856</v>
      </c>
      <c r="G11700" s="9">
        <v>21980</v>
      </c>
      <c r="H11700" s="8">
        <v>11444</v>
      </c>
    </row>
    <row r="11701" spans="2:8" x14ac:dyDescent="0.4">
      <c r="B11701" t="s">
        <v>7</v>
      </c>
      <c r="C11701" t="s">
        <v>1855</v>
      </c>
      <c r="D11701" s="7">
        <f>DATE(2011,4,11)</f>
        <v>40644</v>
      </c>
      <c r="E11701" s="8">
        <f t="shared" si="194"/>
        <v>2011</v>
      </c>
      <c r="F11701" t="s">
        <v>1856</v>
      </c>
      <c r="G11701" s="9">
        <v>56105.06</v>
      </c>
      <c r="H11701" s="8">
        <v>10598</v>
      </c>
    </row>
    <row r="11702" spans="2:8" x14ac:dyDescent="0.4">
      <c r="B11702" t="s">
        <v>7</v>
      </c>
      <c r="C11702" t="s">
        <v>1855</v>
      </c>
      <c r="D11702" s="7">
        <f>DATE(2012,3,21)</f>
        <v>40989</v>
      </c>
      <c r="E11702" s="8">
        <f t="shared" si="194"/>
        <v>2012</v>
      </c>
      <c r="F11702" t="s">
        <v>1856</v>
      </c>
      <c r="G11702" s="9">
        <v>39148.129999999997</v>
      </c>
      <c r="H11702" s="8">
        <v>11443</v>
      </c>
    </row>
    <row r="11703" spans="2:8" x14ac:dyDescent="0.4">
      <c r="B11703" s="3" t="s">
        <v>7</v>
      </c>
      <c r="C11703" s="3" t="s">
        <v>1855</v>
      </c>
      <c r="D11703" s="4">
        <f>DATE(2005,12,14)</f>
        <v>38700</v>
      </c>
      <c r="E11703" s="5">
        <f t="shared" si="194"/>
        <v>2005</v>
      </c>
      <c r="F11703" s="3" t="s">
        <v>1856</v>
      </c>
      <c r="G11703" s="6">
        <v>1412.75</v>
      </c>
      <c r="H11703" s="5">
        <v>5729</v>
      </c>
    </row>
    <row r="11704" spans="2:8" x14ac:dyDescent="0.4">
      <c r="B11704" s="3" t="s">
        <v>7</v>
      </c>
      <c r="C11704" s="3" t="s">
        <v>1855</v>
      </c>
      <c r="D11704" s="4">
        <f>DATE(2011,3,31)</f>
        <v>40633</v>
      </c>
      <c r="E11704" s="5">
        <f t="shared" si="194"/>
        <v>2011</v>
      </c>
      <c r="F11704" s="3" t="s">
        <v>1856</v>
      </c>
      <c r="G11704" s="6">
        <v>1040</v>
      </c>
      <c r="H11704" s="5">
        <v>15344</v>
      </c>
    </row>
    <row r="11705" spans="2:8" x14ac:dyDescent="0.4">
      <c r="B11705" s="3" t="s">
        <v>7</v>
      </c>
      <c r="C11705" s="3" t="s">
        <v>1855</v>
      </c>
      <c r="D11705" s="4">
        <f>DATE(2011,9,27)</f>
        <v>40813</v>
      </c>
      <c r="E11705" s="5">
        <f t="shared" si="194"/>
        <v>2011</v>
      </c>
      <c r="F11705" s="3" t="s">
        <v>1856</v>
      </c>
      <c r="G11705" s="6">
        <v>13800</v>
      </c>
      <c r="H11705" s="5">
        <v>16002</v>
      </c>
    </row>
    <row r="11706" spans="2:8" x14ac:dyDescent="0.4">
      <c r="B11706" s="3" t="s">
        <v>7</v>
      </c>
      <c r="C11706" s="3" t="s">
        <v>1855</v>
      </c>
      <c r="D11706" s="4">
        <f>DATE(2013,5,23)</f>
        <v>41417</v>
      </c>
      <c r="E11706" s="5">
        <f t="shared" si="194"/>
        <v>2013</v>
      </c>
      <c r="F11706" s="3" t="s">
        <v>1856</v>
      </c>
      <c r="G11706" s="6">
        <v>5950</v>
      </c>
      <c r="H11706" s="5">
        <v>18554</v>
      </c>
    </row>
    <row r="11707" spans="2:8" x14ac:dyDescent="0.4">
      <c r="B11707" s="3" t="s">
        <v>7</v>
      </c>
      <c r="C11707" s="3" t="s">
        <v>1855</v>
      </c>
      <c r="D11707" s="4">
        <f>DATE(2013,12,13)</f>
        <v>41621</v>
      </c>
      <c r="E11707" s="5">
        <f t="shared" si="194"/>
        <v>2013</v>
      </c>
      <c r="F11707" s="3" t="s">
        <v>1856</v>
      </c>
      <c r="G11707" s="6">
        <v>4888.68</v>
      </c>
      <c r="H11707" s="5">
        <v>19287</v>
      </c>
    </row>
    <row r="11708" spans="2:8" x14ac:dyDescent="0.4">
      <c r="B11708" s="3" t="s">
        <v>7</v>
      </c>
      <c r="C11708" s="3" t="s">
        <v>1855</v>
      </c>
      <c r="D11708" s="4">
        <f>DATE(2014,4,25)</f>
        <v>41754</v>
      </c>
      <c r="E11708" s="5">
        <f t="shared" si="194"/>
        <v>2014</v>
      </c>
      <c r="F11708" s="3" t="s">
        <v>1856</v>
      </c>
      <c r="G11708" s="6">
        <v>7800</v>
      </c>
      <c r="H11708" s="5">
        <v>19887</v>
      </c>
    </row>
    <row r="11709" spans="2:8" x14ac:dyDescent="0.4">
      <c r="B11709" s="3" t="s">
        <v>7</v>
      </c>
      <c r="C11709" s="3" t="s">
        <v>1855</v>
      </c>
      <c r="D11709" s="4">
        <f>DATE(2014,7,25)</f>
        <v>41845</v>
      </c>
      <c r="E11709" s="5">
        <f t="shared" si="194"/>
        <v>2014</v>
      </c>
      <c r="F11709" s="3" t="s">
        <v>1856</v>
      </c>
      <c r="G11709" s="6">
        <v>8900</v>
      </c>
      <c r="H11709" s="5">
        <v>20211</v>
      </c>
    </row>
    <row r="11710" spans="2:8" x14ac:dyDescent="0.4">
      <c r="B11710" s="3" t="s">
        <v>7</v>
      </c>
      <c r="C11710" s="3" t="s">
        <v>1855</v>
      </c>
      <c r="D11710" s="4">
        <f>DATE(2014,8,25)</f>
        <v>41876</v>
      </c>
      <c r="E11710" s="5">
        <f t="shared" si="194"/>
        <v>2014</v>
      </c>
      <c r="F11710" s="3" t="s">
        <v>1856</v>
      </c>
      <c r="G11710" s="6">
        <v>8010</v>
      </c>
      <c r="H11710" s="5">
        <v>20192</v>
      </c>
    </row>
    <row r="11711" spans="2:8" x14ac:dyDescent="0.4">
      <c r="B11711" s="3" t="s">
        <v>7</v>
      </c>
      <c r="C11711" s="3" t="s">
        <v>1855</v>
      </c>
      <c r="D11711" s="4">
        <f>DATE(2014,10,24)</f>
        <v>41936</v>
      </c>
      <c r="E11711" s="5">
        <f t="shared" si="194"/>
        <v>2014</v>
      </c>
      <c r="F11711" s="3" t="s">
        <v>1856</v>
      </c>
      <c r="G11711" s="6">
        <v>9600</v>
      </c>
      <c r="H11711" s="5">
        <v>20560</v>
      </c>
    </row>
    <row r="11712" spans="2:8" x14ac:dyDescent="0.4">
      <c r="B11712" s="3" t="s">
        <v>7</v>
      </c>
      <c r="C11712" s="3" t="s">
        <v>1857</v>
      </c>
      <c r="D11712" s="4">
        <f>DATE(2008,6,18)</f>
        <v>39617</v>
      </c>
      <c r="E11712" s="5">
        <f t="shared" si="194"/>
        <v>2008</v>
      </c>
      <c r="F11712" s="3" t="s">
        <v>1858</v>
      </c>
      <c r="G11712" s="6">
        <v>1046.77</v>
      </c>
      <c r="H11712" s="5">
        <v>10866</v>
      </c>
    </row>
    <row r="11713" spans="2:8" x14ac:dyDescent="0.4">
      <c r="B11713" s="3" t="s">
        <v>7</v>
      </c>
      <c r="C11713" s="3" t="s">
        <v>1857</v>
      </c>
      <c r="D11713" s="4">
        <f>DATE(2008,6,19)</f>
        <v>39618</v>
      </c>
      <c r="E11713" s="5">
        <f t="shared" si="194"/>
        <v>2008</v>
      </c>
      <c r="F11713" s="3" t="s">
        <v>1858</v>
      </c>
      <c r="G11713" s="6">
        <v>1049.1300000000001</v>
      </c>
      <c r="H11713" s="5">
        <v>10868</v>
      </c>
    </row>
    <row r="11714" spans="2:8" x14ac:dyDescent="0.4">
      <c r="B11714" s="3" t="s">
        <v>7</v>
      </c>
      <c r="C11714" s="3" t="s">
        <v>1857</v>
      </c>
      <c r="D11714" s="4">
        <f>DATE(2008,9,5)</f>
        <v>39696</v>
      </c>
      <c r="E11714" s="5">
        <f t="shared" si="194"/>
        <v>2008</v>
      </c>
      <c r="F11714" s="3" t="s">
        <v>1858</v>
      </c>
      <c r="G11714" s="6">
        <v>948</v>
      </c>
      <c r="H11714" s="5">
        <v>11213</v>
      </c>
    </row>
    <row r="11715" spans="2:8" x14ac:dyDescent="0.4">
      <c r="B11715" s="3" t="s">
        <v>7</v>
      </c>
      <c r="C11715" s="3" t="s">
        <v>1857</v>
      </c>
      <c r="D11715" s="4">
        <f>DATE(2009,4,23)</f>
        <v>39926</v>
      </c>
      <c r="E11715" s="5">
        <f t="shared" ref="E11715:E11778" si="195">YEAR(D11715)</f>
        <v>2009</v>
      </c>
      <c r="F11715" s="3" t="s">
        <v>1858</v>
      </c>
      <c r="G11715" s="6">
        <v>948</v>
      </c>
      <c r="H11715" s="5">
        <v>12406</v>
      </c>
    </row>
    <row r="11716" spans="2:8" x14ac:dyDescent="0.4">
      <c r="B11716" s="3" t="s">
        <v>7</v>
      </c>
      <c r="C11716" s="3" t="s">
        <v>1857</v>
      </c>
      <c r="D11716" s="4">
        <f>DATE(2009,8,7)</f>
        <v>40032</v>
      </c>
      <c r="E11716" s="5">
        <f t="shared" si="195"/>
        <v>2009</v>
      </c>
      <c r="F11716" s="3" t="s">
        <v>1858</v>
      </c>
      <c r="G11716" s="6">
        <v>948</v>
      </c>
      <c r="H11716" s="5">
        <v>12888</v>
      </c>
    </row>
    <row r="11717" spans="2:8" x14ac:dyDescent="0.4">
      <c r="B11717" s="3" t="s">
        <v>7</v>
      </c>
      <c r="C11717" s="3" t="s">
        <v>1857</v>
      </c>
      <c r="D11717" s="4">
        <f>DATE(2010,6,24)</f>
        <v>40353</v>
      </c>
      <c r="E11717" s="5">
        <f t="shared" si="195"/>
        <v>2010</v>
      </c>
      <c r="F11717" s="3" t="s">
        <v>1858</v>
      </c>
      <c r="G11717" s="6">
        <v>242.5</v>
      </c>
      <c r="H11717" s="5">
        <v>14198</v>
      </c>
    </row>
    <row r="11718" spans="2:8" x14ac:dyDescent="0.4">
      <c r="B11718" s="3" t="s">
        <v>16</v>
      </c>
      <c r="C11718" s="3" t="s">
        <v>1857</v>
      </c>
      <c r="D11718" s="4">
        <f>DATE(2008,6,23)</f>
        <v>39622</v>
      </c>
      <c r="E11718" s="5">
        <f t="shared" si="195"/>
        <v>2008</v>
      </c>
      <c r="F11718" s="3" t="s">
        <v>1858</v>
      </c>
      <c r="G11718" s="6">
        <v>996.66</v>
      </c>
      <c r="H11718" s="5">
        <v>10879</v>
      </c>
    </row>
    <row r="11719" spans="2:8" x14ac:dyDescent="0.4">
      <c r="B11719" t="s">
        <v>7</v>
      </c>
      <c r="C11719" t="s">
        <v>1859</v>
      </c>
      <c r="D11719" s="7">
        <f>DATE(2015,6,23)</f>
        <v>42178</v>
      </c>
      <c r="E11719" s="8">
        <f t="shared" si="195"/>
        <v>2015</v>
      </c>
      <c r="F11719" t="s">
        <v>1860</v>
      </c>
      <c r="G11719" s="9">
        <v>39684</v>
      </c>
      <c r="H11719" s="8">
        <v>20063</v>
      </c>
    </row>
    <row r="11720" spans="2:8" x14ac:dyDescent="0.4">
      <c r="B11720" t="s">
        <v>7</v>
      </c>
      <c r="C11720" t="s">
        <v>1859</v>
      </c>
      <c r="D11720" s="7">
        <f>DATE(2015,7,28)</f>
        <v>42213</v>
      </c>
      <c r="E11720" s="8">
        <f t="shared" si="195"/>
        <v>2015</v>
      </c>
      <c r="F11720" t="s">
        <v>1860</v>
      </c>
      <c r="G11720" s="9">
        <v>39684</v>
      </c>
      <c r="H11720" s="8">
        <v>20882</v>
      </c>
    </row>
    <row r="11721" spans="2:8" x14ac:dyDescent="0.4">
      <c r="B11721" t="s">
        <v>7</v>
      </c>
      <c r="C11721" t="s">
        <v>1859</v>
      </c>
      <c r="D11721" s="7">
        <f>DATE(2016,5,10)</f>
        <v>42500</v>
      </c>
      <c r="E11721" s="8">
        <f t="shared" si="195"/>
        <v>2016</v>
      </c>
      <c r="F11721" t="s">
        <v>1860</v>
      </c>
      <c r="G11721" s="9">
        <v>7500</v>
      </c>
      <c r="H11721" s="8">
        <v>22630</v>
      </c>
    </row>
    <row r="11722" spans="2:8" x14ac:dyDescent="0.4">
      <c r="B11722" t="s">
        <v>7</v>
      </c>
      <c r="C11722" t="s">
        <v>1859</v>
      </c>
      <c r="D11722" s="7">
        <f>DATE(2016,6,2)</f>
        <v>42523</v>
      </c>
      <c r="E11722" s="8">
        <f t="shared" si="195"/>
        <v>2016</v>
      </c>
      <c r="F11722" t="s">
        <v>1860</v>
      </c>
      <c r="G11722" s="9">
        <v>7500</v>
      </c>
      <c r="H11722" s="8">
        <v>22901</v>
      </c>
    </row>
    <row r="11723" spans="2:8" x14ac:dyDescent="0.4">
      <c r="B11723" t="s">
        <v>7</v>
      </c>
      <c r="C11723" t="s">
        <v>1859</v>
      </c>
      <c r="D11723" s="7">
        <f>DATE(2016,11,8)</f>
        <v>42682</v>
      </c>
      <c r="E11723" s="8">
        <f t="shared" si="195"/>
        <v>2016</v>
      </c>
      <c r="F11723" t="s">
        <v>1860</v>
      </c>
      <c r="G11723" s="9">
        <v>7500</v>
      </c>
      <c r="H11723" s="8">
        <v>23774</v>
      </c>
    </row>
    <row r="11724" spans="2:8" x14ac:dyDescent="0.4">
      <c r="B11724" t="s">
        <v>7</v>
      </c>
      <c r="C11724" t="s">
        <v>1859</v>
      </c>
      <c r="D11724" s="7">
        <f>DATE(2017,1,23)</f>
        <v>42758</v>
      </c>
      <c r="E11724" s="8">
        <f t="shared" si="195"/>
        <v>2017</v>
      </c>
      <c r="F11724" t="s">
        <v>1860</v>
      </c>
      <c r="G11724" s="9">
        <v>1576.5</v>
      </c>
      <c r="H11724" s="8">
        <v>24096</v>
      </c>
    </row>
    <row r="11725" spans="2:8" x14ac:dyDescent="0.4">
      <c r="B11725" t="s">
        <v>7</v>
      </c>
      <c r="C11725" t="s">
        <v>1859</v>
      </c>
      <c r="D11725" s="7">
        <f>DATE(2017,2,13)</f>
        <v>42779</v>
      </c>
      <c r="E11725" s="8">
        <f t="shared" si="195"/>
        <v>2017</v>
      </c>
      <c r="F11725" t="s">
        <v>1860</v>
      </c>
      <c r="G11725" s="9">
        <v>7500</v>
      </c>
      <c r="H11725" s="8">
        <v>24270</v>
      </c>
    </row>
    <row r="11726" spans="2:8" x14ac:dyDescent="0.4">
      <c r="B11726" t="s">
        <v>7</v>
      </c>
      <c r="C11726" t="s">
        <v>1859</v>
      </c>
      <c r="D11726" s="7">
        <f>DATE(2015,8,19)</f>
        <v>42235</v>
      </c>
      <c r="E11726" s="8">
        <f t="shared" si="195"/>
        <v>2015</v>
      </c>
      <c r="F11726" t="s">
        <v>1860</v>
      </c>
      <c r="G11726" s="9">
        <v>600</v>
      </c>
      <c r="H11726" s="8">
        <v>21088</v>
      </c>
    </row>
    <row r="11727" spans="2:8" x14ac:dyDescent="0.4">
      <c r="B11727" t="s">
        <v>7</v>
      </c>
      <c r="C11727" t="s">
        <v>1859</v>
      </c>
      <c r="D11727" s="7">
        <f>DATE(2015,11,3)</f>
        <v>42311</v>
      </c>
      <c r="E11727" s="8">
        <f t="shared" si="195"/>
        <v>2015</v>
      </c>
      <c r="F11727" t="s">
        <v>1860</v>
      </c>
      <c r="G11727" s="9">
        <v>21.56</v>
      </c>
      <c r="H11727" s="8">
        <v>21550</v>
      </c>
    </row>
    <row r="11728" spans="2:8" x14ac:dyDescent="0.4">
      <c r="B11728" t="s">
        <v>7</v>
      </c>
      <c r="C11728" t="s">
        <v>1859</v>
      </c>
      <c r="D11728" s="7">
        <f>DATE(2014,5,9)</f>
        <v>41768</v>
      </c>
      <c r="E11728" s="8">
        <f t="shared" si="195"/>
        <v>2014</v>
      </c>
      <c r="F11728" t="s">
        <v>1860</v>
      </c>
      <c r="G11728" s="9">
        <v>39684.33</v>
      </c>
      <c r="H11728" s="8">
        <v>12779</v>
      </c>
    </row>
    <row r="11729" spans="2:8" x14ac:dyDescent="0.4">
      <c r="B11729" t="s">
        <v>7</v>
      </c>
      <c r="C11729" t="s">
        <v>1859</v>
      </c>
      <c r="D11729" s="7">
        <f>DATE(2014,11,12)</f>
        <v>41955</v>
      </c>
      <c r="E11729" s="8">
        <f t="shared" si="195"/>
        <v>2014</v>
      </c>
      <c r="F11729" t="s">
        <v>1860</v>
      </c>
      <c r="G11729" s="9">
        <v>39684</v>
      </c>
      <c r="H11729" s="8">
        <v>13507</v>
      </c>
    </row>
    <row r="11730" spans="2:8" x14ac:dyDescent="0.4">
      <c r="B11730" t="s">
        <v>7</v>
      </c>
      <c r="C11730" t="s">
        <v>1861</v>
      </c>
      <c r="D11730" s="7">
        <f>DATE(2015,8,31)</f>
        <v>42247</v>
      </c>
      <c r="E11730" s="8">
        <f t="shared" si="195"/>
        <v>2015</v>
      </c>
      <c r="F11730" t="s">
        <v>1862</v>
      </c>
      <c r="G11730" s="9">
        <v>13993.79</v>
      </c>
      <c r="H11730" s="8">
        <v>21106</v>
      </c>
    </row>
    <row r="11731" spans="2:8" x14ac:dyDescent="0.4">
      <c r="B11731" t="s">
        <v>7</v>
      </c>
      <c r="C11731" t="s">
        <v>1861</v>
      </c>
      <c r="D11731" s="7">
        <f>DATE(2015,8,31)</f>
        <v>42247</v>
      </c>
      <c r="E11731" s="8">
        <f t="shared" si="195"/>
        <v>2015</v>
      </c>
      <c r="F11731" t="s">
        <v>1862</v>
      </c>
      <c r="G11731" s="9">
        <v>27796.45</v>
      </c>
      <c r="H11731" s="8">
        <v>21057</v>
      </c>
    </row>
    <row r="11732" spans="2:8" x14ac:dyDescent="0.4">
      <c r="B11732" t="s">
        <v>7</v>
      </c>
      <c r="C11732" t="s">
        <v>1861</v>
      </c>
      <c r="D11732" s="7">
        <f>DATE(2017,8,1)</f>
        <v>42948</v>
      </c>
      <c r="E11732" s="8">
        <f t="shared" si="195"/>
        <v>2017</v>
      </c>
      <c r="F11732" t="s">
        <v>1862</v>
      </c>
      <c r="G11732" s="9">
        <v>26069.16</v>
      </c>
      <c r="H11732" s="8">
        <v>25304</v>
      </c>
    </row>
    <row r="11733" spans="2:8" x14ac:dyDescent="0.4">
      <c r="B11733" t="s">
        <v>7</v>
      </c>
      <c r="C11733" t="s">
        <v>1861</v>
      </c>
      <c r="D11733" s="7">
        <f>DATE(2017,8,21)</f>
        <v>42968</v>
      </c>
      <c r="E11733" s="8">
        <f t="shared" si="195"/>
        <v>2017</v>
      </c>
      <c r="F11733" t="s">
        <v>1862</v>
      </c>
      <c r="G11733" s="9">
        <v>13203.79</v>
      </c>
      <c r="H11733" s="8">
        <v>25344</v>
      </c>
    </row>
    <row r="11734" spans="2:8" x14ac:dyDescent="0.4">
      <c r="B11734" t="s">
        <v>7</v>
      </c>
      <c r="C11734" t="s">
        <v>1861</v>
      </c>
      <c r="D11734" s="7">
        <f>DATE(2017,8,16)</f>
        <v>42963</v>
      </c>
      <c r="E11734" s="8">
        <f t="shared" si="195"/>
        <v>2017</v>
      </c>
      <c r="F11734" t="s">
        <v>1862</v>
      </c>
      <c r="G11734" s="9">
        <v>36412.49</v>
      </c>
      <c r="H11734" s="8">
        <v>25338</v>
      </c>
    </row>
    <row r="11735" spans="2:8" x14ac:dyDescent="0.4">
      <c r="B11735" t="s">
        <v>7</v>
      </c>
      <c r="C11735" t="s">
        <v>1861</v>
      </c>
      <c r="D11735" s="7">
        <f>DATE(2014,9,3)</f>
        <v>41885</v>
      </c>
      <c r="E11735" s="8">
        <f t="shared" si="195"/>
        <v>2014</v>
      </c>
      <c r="F11735" t="s">
        <v>1862</v>
      </c>
      <c r="G11735" s="9">
        <v>27372</v>
      </c>
      <c r="H11735" s="8">
        <v>13434</v>
      </c>
    </row>
    <row r="11736" spans="2:8" x14ac:dyDescent="0.4">
      <c r="B11736" s="3" t="s">
        <v>7</v>
      </c>
      <c r="C11736" s="3" t="s">
        <v>1863</v>
      </c>
      <c r="D11736" s="4">
        <f>DATE(2012,5,23)</f>
        <v>41052</v>
      </c>
      <c r="E11736" s="5">
        <f t="shared" si="195"/>
        <v>2012</v>
      </c>
      <c r="F11736" s="3" t="s">
        <v>1864</v>
      </c>
      <c r="G11736" s="6">
        <v>6000</v>
      </c>
      <c r="H11736" s="5">
        <v>17158</v>
      </c>
    </row>
    <row r="11737" spans="2:8" x14ac:dyDescent="0.4">
      <c r="B11737" s="3" t="s">
        <v>7</v>
      </c>
      <c r="C11737" s="3" t="s">
        <v>1863</v>
      </c>
      <c r="D11737" s="4">
        <f>DATE(2012,5,25)</f>
        <v>41054</v>
      </c>
      <c r="E11737" s="5">
        <f t="shared" si="195"/>
        <v>2012</v>
      </c>
      <c r="F11737" s="3" t="s">
        <v>1864</v>
      </c>
      <c r="G11737" s="6">
        <v>6000</v>
      </c>
      <c r="H11737" s="5">
        <v>17188</v>
      </c>
    </row>
    <row r="11738" spans="2:8" x14ac:dyDescent="0.4">
      <c r="B11738" t="s">
        <v>7</v>
      </c>
      <c r="C11738" t="s">
        <v>1861</v>
      </c>
      <c r="D11738" s="7">
        <f>DATE(2007,3,28)</f>
        <v>39169</v>
      </c>
      <c r="E11738" s="8">
        <f t="shared" si="195"/>
        <v>2007</v>
      </c>
      <c r="F11738" t="s">
        <v>1865</v>
      </c>
      <c r="G11738" s="9">
        <v>15293</v>
      </c>
      <c r="H11738" s="8">
        <v>5679</v>
      </c>
    </row>
    <row r="11739" spans="2:8" x14ac:dyDescent="0.4">
      <c r="B11739" t="s">
        <v>7</v>
      </c>
      <c r="C11739" t="s">
        <v>1861</v>
      </c>
      <c r="D11739" s="7">
        <f>DATE(2007,5,1)</f>
        <v>39203</v>
      </c>
      <c r="E11739" s="8">
        <f t="shared" si="195"/>
        <v>2007</v>
      </c>
      <c r="F11739" t="s">
        <v>1865</v>
      </c>
      <c r="G11739" s="9">
        <v>14128</v>
      </c>
      <c r="H11739" s="8">
        <v>5808</v>
      </c>
    </row>
    <row r="11740" spans="2:8" x14ac:dyDescent="0.4">
      <c r="B11740" t="s">
        <v>7</v>
      </c>
      <c r="C11740" t="s">
        <v>1861</v>
      </c>
      <c r="D11740" s="7">
        <f>DATE(2007,8,3)</f>
        <v>39297</v>
      </c>
      <c r="E11740" s="8">
        <f t="shared" si="195"/>
        <v>2007</v>
      </c>
      <c r="F11740" t="s">
        <v>1865</v>
      </c>
      <c r="G11740" s="9">
        <v>16656.330000000002</v>
      </c>
      <c r="H11740" s="8">
        <v>6228</v>
      </c>
    </row>
    <row r="11741" spans="2:8" x14ac:dyDescent="0.4">
      <c r="B11741" s="3" t="s">
        <v>7</v>
      </c>
      <c r="C11741" s="3" t="s">
        <v>1861</v>
      </c>
      <c r="D11741" s="4">
        <f>DATE(2007,8,2)</f>
        <v>39296</v>
      </c>
      <c r="E11741" s="5">
        <f t="shared" si="195"/>
        <v>2007</v>
      </c>
      <c r="F11741" s="3" t="s">
        <v>1865</v>
      </c>
      <c r="G11741" s="6">
        <v>516.71</v>
      </c>
      <c r="H11741" s="5">
        <v>8979</v>
      </c>
    </row>
    <row r="11742" spans="2:8" x14ac:dyDescent="0.4">
      <c r="B11742" s="3" t="s">
        <v>7</v>
      </c>
      <c r="C11742" s="3" t="s">
        <v>1866</v>
      </c>
      <c r="D11742" s="4">
        <f>DATE(2006,3,31)</f>
        <v>38807</v>
      </c>
      <c r="E11742" s="5">
        <f t="shared" si="195"/>
        <v>2006</v>
      </c>
      <c r="F11742" s="3" t="s">
        <v>1867</v>
      </c>
      <c r="G11742" s="6">
        <v>1218</v>
      </c>
      <c r="H11742" s="5">
        <v>6417</v>
      </c>
    </row>
    <row r="11743" spans="2:8" x14ac:dyDescent="0.4">
      <c r="B11743" t="s">
        <v>7</v>
      </c>
      <c r="C11743" t="s">
        <v>1868</v>
      </c>
      <c r="D11743" s="7">
        <f>DATE(2017,1,30)</f>
        <v>42765</v>
      </c>
      <c r="E11743" s="8">
        <f t="shared" si="195"/>
        <v>2017</v>
      </c>
      <c r="F11743" t="s">
        <v>1869</v>
      </c>
      <c r="G11743" s="9">
        <v>1040</v>
      </c>
      <c r="H11743" s="8">
        <v>24197</v>
      </c>
    </row>
    <row r="11744" spans="2:8" x14ac:dyDescent="0.4">
      <c r="B11744" t="s">
        <v>7</v>
      </c>
      <c r="C11744" t="s">
        <v>1868</v>
      </c>
      <c r="D11744" s="7">
        <f>DATE(2007,9,8)</f>
        <v>39333</v>
      </c>
      <c r="E11744" s="8">
        <f t="shared" si="195"/>
        <v>2007</v>
      </c>
      <c r="F11744" t="s">
        <v>1869</v>
      </c>
      <c r="G11744" s="9">
        <v>10931.81</v>
      </c>
      <c r="H11744" s="8">
        <v>6240</v>
      </c>
    </row>
    <row r="11745" spans="2:8" x14ac:dyDescent="0.4">
      <c r="B11745" s="3" t="s">
        <v>7</v>
      </c>
      <c r="C11745" s="3" t="s">
        <v>1868</v>
      </c>
      <c r="D11745" s="4">
        <f>DATE(2008,1,11)</f>
        <v>39458</v>
      </c>
      <c r="E11745" s="5">
        <f t="shared" si="195"/>
        <v>2008</v>
      </c>
      <c r="F11745" s="3" t="s">
        <v>1869</v>
      </c>
      <c r="G11745" s="6">
        <v>12902.5</v>
      </c>
      <c r="H11745" s="5">
        <v>9227</v>
      </c>
    </row>
    <row r="11746" spans="2:8" x14ac:dyDescent="0.4">
      <c r="B11746" s="3" t="s">
        <v>7</v>
      </c>
      <c r="C11746" s="3" t="s">
        <v>1868</v>
      </c>
      <c r="D11746" s="4">
        <f>DATE(2009,5,8)</f>
        <v>39941</v>
      </c>
      <c r="E11746" s="5">
        <f t="shared" si="195"/>
        <v>2009</v>
      </c>
      <c r="F11746" s="3" t="s">
        <v>1869</v>
      </c>
      <c r="G11746" s="6">
        <v>2345</v>
      </c>
      <c r="H11746" s="5">
        <v>12364</v>
      </c>
    </row>
    <row r="11747" spans="2:8" x14ac:dyDescent="0.4">
      <c r="B11747" s="3" t="s">
        <v>7</v>
      </c>
      <c r="C11747" s="3" t="s">
        <v>1868</v>
      </c>
      <c r="D11747" s="4">
        <f>DATE(2009,5,8)</f>
        <v>39941</v>
      </c>
      <c r="E11747" s="5">
        <f t="shared" si="195"/>
        <v>2009</v>
      </c>
      <c r="F11747" s="3" t="s">
        <v>1869</v>
      </c>
      <c r="G11747" s="6">
        <v>1602</v>
      </c>
      <c r="H11747" s="5">
        <v>12362</v>
      </c>
    </row>
    <row r="11748" spans="2:8" x14ac:dyDescent="0.4">
      <c r="B11748" s="3" t="s">
        <v>7</v>
      </c>
      <c r="C11748" s="3" t="s">
        <v>1868</v>
      </c>
      <c r="D11748" s="4">
        <f>DATE(2010,1,8)</f>
        <v>40186</v>
      </c>
      <c r="E11748" s="5">
        <f t="shared" si="195"/>
        <v>2010</v>
      </c>
      <c r="F11748" s="3" t="s">
        <v>1869</v>
      </c>
      <c r="G11748" s="6">
        <v>1320.21</v>
      </c>
      <c r="H11748" s="5">
        <v>13416</v>
      </c>
    </row>
    <row r="11749" spans="2:8" x14ac:dyDescent="0.4">
      <c r="B11749" s="3" t="s">
        <v>7</v>
      </c>
      <c r="C11749" s="3" t="s">
        <v>1868</v>
      </c>
      <c r="D11749" s="4">
        <f>DATE(2010,1,18)</f>
        <v>40196</v>
      </c>
      <c r="E11749" s="5">
        <f t="shared" si="195"/>
        <v>2010</v>
      </c>
      <c r="F11749" s="3" t="s">
        <v>1869</v>
      </c>
      <c r="G11749" s="6">
        <v>1172.5</v>
      </c>
      <c r="H11749" s="5">
        <v>13354</v>
      </c>
    </row>
    <row r="11750" spans="2:8" x14ac:dyDescent="0.4">
      <c r="B11750" t="s">
        <v>7</v>
      </c>
      <c r="C11750" t="s">
        <v>1511</v>
      </c>
      <c r="D11750" s="7">
        <f>DATE(2015,4,7)</f>
        <v>42101</v>
      </c>
      <c r="E11750" s="8">
        <f t="shared" si="195"/>
        <v>2015</v>
      </c>
      <c r="F11750" t="s">
        <v>1870</v>
      </c>
      <c r="G11750" s="9">
        <v>1536</v>
      </c>
      <c r="H11750" s="8">
        <v>20236</v>
      </c>
    </row>
    <row r="11751" spans="2:8" x14ac:dyDescent="0.4">
      <c r="B11751" t="s">
        <v>7</v>
      </c>
      <c r="C11751" t="s">
        <v>1511</v>
      </c>
      <c r="D11751" s="7">
        <f>DATE(2015,6,10)</f>
        <v>42165</v>
      </c>
      <c r="E11751" s="8">
        <f t="shared" si="195"/>
        <v>2015</v>
      </c>
      <c r="F11751" t="s">
        <v>1870</v>
      </c>
      <c r="G11751" s="9">
        <v>775</v>
      </c>
      <c r="H11751" s="8">
        <v>20690</v>
      </c>
    </row>
    <row r="11752" spans="2:8" x14ac:dyDescent="0.4">
      <c r="B11752" t="s">
        <v>7</v>
      </c>
      <c r="C11752" t="s">
        <v>1511</v>
      </c>
      <c r="D11752" s="7">
        <f>DATE(2016,1,15)</f>
        <v>42384</v>
      </c>
      <c r="E11752" s="8">
        <f t="shared" si="195"/>
        <v>2016</v>
      </c>
      <c r="F11752" t="s">
        <v>1870</v>
      </c>
      <c r="G11752" s="9">
        <v>587</v>
      </c>
      <c r="H11752" s="8">
        <v>21943</v>
      </c>
    </row>
    <row r="11753" spans="2:8" x14ac:dyDescent="0.4">
      <c r="B11753" t="s">
        <v>7</v>
      </c>
      <c r="C11753" t="s">
        <v>1511</v>
      </c>
      <c r="D11753" s="7">
        <f>DATE(2016,6,15)</f>
        <v>42536</v>
      </c>
      <c r="E11753" s="8">
        <f t="shared" si="195"/>
        <v>2016</v>
      </c>
      <c r="F11753" t="s">
        <v>1870</v>
      </c>
      <c r="G11753" s="9">
        <v>5586.42</v>
      </c>
      <c r="H11753" s="8">
        <v>22995</v>
      </c>
    </row>
    <row r="11754" spans="2:8" x14ac:dyDescent="0.4">
      <c r="B11754" t="s">
        <v>7</v>
      </c>
      <c r="C11754" t="s">
        <v>1511</v>
      </c>
      <c r="D11754" s="7">
        <f>DATE(2016,9,27)</f>
        <v>42640</v>
      </c>
      <c r="E11754" s="8">
        <f t="shared" si="195"/>
        <v>2016</v>
      </c>
      <c r="F11754" t="s">
        <v>1870</v>
      </c>
      <c r="G11754" s="9">
        <v>1918</v>
      </c>
      <c r="H11754" s="8">
        <v>23530</v>
      </c>
    </row>
    <row r="11755" spans="2:8" x14ac:dyDescent="0.4">
      <c r="B11755" t="s">
        <v>7</v>
      </c>
      <c r="C11755" t="s">
        <v>1511</v>
      </c>
      <c r="D11755" s="7">
        <f>DATE(2017,4,24)</f>
        <v>42849</v>
      </c>
      <c r="E11755" s="8">
        <f t="shared" si="195"/>
        <v>2017</v>
      </c>
      <c r="F11755" t="s">
        <v>1870</v>
      </c>
      <c r="G11755" s="9">
        <v>1919</v>
      </c>
      <c r="H11755" s="8">
        <v>24715</v>
      </c>
    </row>
    <row r="11756" spans="2:8" x14ac:dyDescent="0.4">
      <c r="B11756" t="s">
        <v>7</v>
      </c>
      <c r="C11756" t="s">
        <v>1511</v>
      </c>
      <c r="D11756" s="7">
        <f>DATE(2017,6,12)</f>
        <v>42898</v>
      </c>
      <c r="E11756" s="8">
        <f t="shared" si="195"/>
        <v>2017</v>
      </c>
      <c r="F11756" t="s">
        <v>1870</v>
      </c>
      <c r="G11756" s="9">
        <v>18181.29</v>
      </c>
      <c r="H11756" s="8">
        <v>24991</v>
      </c>
    </row>
    <row r="11757" spans="2:8" x14ac:dyDescent="0.4">
      <c r="B11757" t="s">
        <v>7</v>
      </c>
      <c r="C11757" t="s">
        <v>1511</v>
      </c>
      <c r="D11757" s="7">
        <f>DATE(2017,8,3)</f>
        <v>42950</v>
      </c>
      <c r="E11757" s="8">
        <f t="shared" si="195"/>
        <v>2017</v>
      </c>
      <c r="F11757" t="s">
        <v>1870</v>
      </c>
      <c r="G11757" s="9">
        <v>12117.46</v>
      </c>
      <c r="H11757" s="8">
        <v>25351</v>
      </c>
    </row>
    <row r="11758" spans="2:8" x14ac:dyDescent="0.4">
      <c r="B11758" t="s">
        <v>7</v>
      </c>
      <c r="C11758" t="s">
        <v>1511</v>
      </c>
      <c r="D11758" s="7">
        <f>DATE(2017,10,24)</f>
        <v>43032</v>
      </c>
      <c r="E11758" s="8">
        <f t="shared" si="195"/>
        <v>2017</v>
      </c>
      <c r="F11758" t="s">
        <v>1870</v>
      </c>
      <c r="G11758" s="9">
        <v>2109</v>
      </c>
      <c r="H11758" s="8">
        <v>25776</v>
      </c>
    </row>
    <row r="11759" spans="2:8" x14ac:dyDescent="0.4">
      <c r="B11759" t="s">
        <v>7</v>
      </c>
      <c r="C11759" t="s">
        <v>1511</v>
      </c>
      <c r="D11759" s="7">
        <f>DATE(2018,1,17)</f>
        <v>43117</v>
      </c>
      <c r="E11759" s="8">
        <f t="shared" si="195"/>
        <v>2018</v>
      </c>
      <c r="F11759" t="s">
        <v>1870</v>
      </c>
      <c r="G11759" s="9">
        <v>5734.86</v>
      </c>
      <c r="H11759" s="8">
        <v>26215</v>
      </c>
    </row>
    <row r="11760" spans="2:8" x14ac:dyDescent="0.4">
      <c r="B11760" t="s">
        <v>7</v>
      </c>
      <c r="C11760" t="s">
        <v>1511</v>
      </c>
      <c r="D11760" s="7">
        <f>DATE(2018,10,22)</f>
        <v>43395</v>
      </c>
      <c r="E11760" s="8">
        <f t="shared" si="195"/>
        <v>2018</v>
      </c>
      <c r="F11760" t="s">
        <v>1870</v>
      </c>
      <c r="G11760" s="9">
        <v>25200</v>
      </c>
      <c r="H11760" s="8">
        <v>27844</v>
      </c>
    </row>
    <row r="11761" spans="2:8" x14ac:dyDescent="0.4">
      <c r="B11761" t="s">
        <v>7</v>
      </c>
      <c r="C11761" t="s">
        <v>1511</v>
      </c>
      <c r="D11761" s="7">
        <f>DATE(2019,3,14)</f>
        <v>43538</v>
      </c>
      <c r="E11761" s="8">
        <f t="shared" si="195"/>
        <v>2019</v>
      </c>
      <c r="F11761" t="s">
        <v>1870</v>
      </c>
      <c r="G11761" s="9">
        <v>1917</v>
      </c>
      <c r="H11761" s="8">
        <v>28602</v>
      </c>
    </row>
    <row r="11762" spans="2:8" x14ac:dyDescent="0.4">
      <c r="B11762" t="s">
        <v>7</v>
      </c>
      <c r="C11762" t="s">
        <v>1511</v>
      </c>
      <c r="D11762" s="7">
        <f>DATE(2019,5,8)</f>
        <v>43593</v>
      </c>
      <c r="E11762" s="8">
        <f t="shared" si="195"/>
        <v>2019</v>
      </c>
      <c r="F11762" t="s">
        <v>1870</v>
      </c>
      <c r="G11762" s="9">
        <v>1921</v>
      </c>
      <c r="H11762" s="8">
        <v>28975</v>
      </c>
    </row>
    <row r="11763" spans="2:8" x14ac:dyDescent="0.4">
      <c r="B11763" t="s">
        <v>7</v>
      </c>
      <c r="C11763" t="s">
        <v>1511</v>
      </c>
      <c r="D11763" s="7">
        <f>DATE(2007,4,1)</f>
        <v>39173</v>
      </c>
      <c r="E11763" s="8">
        <f t="shared" si="195"/>
        <v>2007</v>
      </c>
      <c r="F11763" t="s">
        <v>1870</v>
      </c>
      <c r="G11763" s="9">
        <v>25337.53</v>
      </c>
      <c r="H11763" s="8">
        <v>4665</v>
      </c>
    </row>
    <row r="11764" spans="2:8" x14ac:dyDescent="0.4">
      <c r="B11764" t="s">
        <v>7</v>
      </c>
      <c r="C11764" t="s">
        <v>1511</v>
      </c>
      <c r="D11764" s="7">
        <f>DATE(2008,2,1)</f>
        <v>39479</v>
      </c>
      <c r="E11764" s="8">
        <f t="shared" si="195"/>
        <v>2008</v>
      </c>
      <c r="F11764" t="s">
        <v>1870</v>
      </c>
      <c r="G11764" s="9">
        <v>25295.62</v>
      </c>
      <c r="H11764" s="8">
        <v>6802</v>
      </c>
    </row>
    <row r="11765" spans="2:8" x14ac:dyDescent="0.4">
      <c r="B11765" t="s">
        <v>7</v>
      </c>
      <c r="C11765" t="s">
        <v>1511</v>
      </c>
      <c r="D11765" s="7">
        <f>DATE(2008,2,28)</f>
        <v>39506</v>
      </c>
      <c r="E11765" s="8">
        <f t="shared" si="195"/>
        <v>2008</v>
      </c>
      <c r="F11765" t="s">
        <v>1870</v>
      </c>
      <c r="G11765" s="9">
        <v>9109.7800000000007</v>
      </c>
      <c r="H11765" s="8">
        <v>7105</v>
      </c>
    </row>
    <row r="11766" spans="2:8" x14ac:dyDescent="0.4">
      <c r="B11766" t="s">
        <v>7</v>
      </c>
      <c r="C11766" t="s">
        <v>1511</v>
      </c>
      <c r="D11766" s="7">
        <f>DATE(2008,5,26)</f>
        <v>39594</v>
      </c>
      <c r="E11766" s="8">
        <f t="shared" si="195"/>
        <v>2008</v>
      </c>
      <c r="F11766" t="s">
        <v>1870</v>
      </c>
      <c r="G11766" s="9">
        <v>12277.56</v>
      </c>
      <c r="H11766" s="8">
        <v>7466</v>
      </c>
    </row>
    <row r="11767" spans="2:8" x14ac:dyDescent="0.4">
      <c r="B11767" t="s">
        <v>7</v>
      </c>
      <c r="C11767" t="s">
        <v>1511</v>
      </c>
      <c r="D11767" s="7">
        <f>DATE(2008,6,9)</f>
        <v>39608</v>
      </c>
      <c r="E11767" s="8">
        <f t="shared" si="195"/>
        <v>2008</v>
      </c>
      <c r="F11767" t="s">
        <v>1870</v>
      </c>
      <c r="G11767" s="9">
        <v>22911.98</v>
      </c>
      <c r="H11767" s="8">
        <v>7512</v>
      </c>
    </row>
    <row r="11768" spans="2:8" x14ac:dyDescent="0.4">
      <c r="B11768" t="s">
        <v>7</v>
      </c>
      <c r="C11768" t="s">
        <v>1511</v>
      </c>
      <c r="D11768" s="7">
        <f>DATE(2008,6,30)</f>
        <v>39629</v>
      </c>
      <c r="E11768" s="8">
        <f t="shared" si="195"/>
        <v>2008</v>
      </c>
      <c r="F11768" t="s">
        <v>1870</v>
      </c>
      <c r="G11768" s="9">
        <v>20183.73</v>
      </c>
      <c r="H11768" s="8">
        <v>7581</v>
      </c>
    </row>
    <row r="11769" spans="2:8" x14ac:dyDescent="0.4">
      <c r="B11769" t="s">
        <v>7</v>
      </c>
      <c r="C11769" t="s">
        <v>1511</v>
      </c>
      <c r="D11769" s="7">
        <f>DATE(2008,9,25)</f>
        <v>39716</v>
      </c>
      <c r="E11769" s="8">
        <f t="shared" si="195"/>
        <v>2008</v>
      </c>
      <c r="F11769" t="s">
        <v>1870</v>
      </c>
      <c r="G11769" s="9">
        <v>18981.009999999998</v>
      </c>
      <c r="H11769" s="8">
        <v>6917</v>
      </c>
    </row>
    <row r="11770" spans="2:8" x14ac:dyDescent="0.4">
      <c r="B11770" t="s">
        <v>7</v>
      </c>
      <c r="C11770" t="s">
        <v>1511</v>
      </c>
      <c r="D11770" s="7">
        <f>DATE(2013,1,7)</f>
        <v>41281</v>
      </c>
      <c r="E11770" s="8">
        <f t="shared" si="195"/>
        <v>2013</v>
      </c>
      <c r="F11770" t="s">
        <v>1870</v>
      </c>
      <c r="G11770" s="9">
        <v>6387.91</v>
      </c>
      <c r="H11770" s="8">
        <v>12045</v>
      </c>
    </row>
    <row r="11771" spans="2:8" x14ac:dyDescent="0.4">
      <c r="B11771" t="s">
        <v>7</v>
      </c>
      <c r="C11771" t="s">
        <v>1511</v>
      </c>
      <c r="D11771" s="7">
        <f>DATE(2014,8,21)</f>
        <v>41872</v>
      </c>
      <c r="E11771" s="8">
        <f t="shared" si="195"/>
        <v>2014</v>
      </c>
      <c r="F11771" t="s">
        <v>1870</v>
      </c>
      <c r="G11771" s="9">
        <v>8359.01</v>
      </c>
      <c r="H11771" s="8">
        <v>13365</v>
      </c>
    </row>
    <row r="11772" spans="2:8" x14ac:dyDescent="0.4">
      <c r="B11772" s="3" t="s">
        <v>7</v>
      </c>
      <c r="C11772" s="3" t="s">
        <v>1511</v>
      </c>
      <c r="D11772" s="4">
        <f>DATE(2003,4,30)</f>
        <v>37741</v>
      </c>
      <c r="E11772" s="5">
        <f t="shared" si="195"/>
        <v>2003</v>
      </c>
      <c r="F11772" s="3" t="s">
        <v>1870</v>
      </c>
      <c r="G11772" s="6">
        <v>1089</v>
      </c>
      <c r="H11772" s="5">
        <v>856</v>
      </c>
    </row>
    <row r="11773" spans="2:8" x14ac:dyDescent="0.4">
      <c r="B11773" s="3" t="s">
        <v>7</v>
      </c>
      <c r="C11773" s="3" t="s">
        <v>1511</v>
      </c>
      <c r="D11773" s="4">
        <f>DATE(2003,6,26)</f>
        <v>37798</v>
      </c>
      <c r="E11773" s="5">
        <f t="shared" si="195"/>
        <v>2003</v>
      </c>
      <c r="F11773" s="3" t="s">
        <v>1870</v>
      </c>
      <c r="G11773" s="6">
        <v>1451</v>
      </c>
      <c r="H11773" s="5">
        <v>1151</v>
      </c>
    </row>
    <row r="11774" spans="2:8" x14ac:dyDescent="0.4">
      <c r="B11774" s="3" t="s">
        <v>7</v>
      </c>
      <c r="C11774" s="3" t="s">
        <v>1511</v>
      </c>
      <c r="D11774" s="4">
        <f>DATE(2003,10,2)</f>
        <v>37896</v>
      </c>
      <c r="E11774" s="5">
        <f t="shared" si="195"/>
        <v>2003</v>
      </c>
      <c r="F11774" s="3" t="s">
        <v>1870</v>
      </c>
      <c r="G11774" s="6">
        <v>728</v>
      </c>
      <c r="H11774" s="5">
        <v>1565</v>
      </c>
    </row>
    <row r="11775" spans="2:8" x14ac:dyDescent="0.4">
      <c r="B11775" s="3" t="s">
        <v>7</v>
      </c>
      <c r="C11775" s="3" t="s">
        <v>1511</v>
      </c>
      <c r="D11775" s="4">
        <f>DATE(2003,12,4)</f>
        <v>37959</v>
      </c>
      <c r="E11775" s="5">
        <f t="shared" si="195"/>
        <v>2003</v>
      </c>
      <c r="F11775" s="3" t="s">
        <v>1870</v>
      </c>
      <c r="G11775" s="6">
        <v>8696.5</v>
      </c>
      <c r="H11775" s="5">
        <v>1870</v>
      </c>
    </row>
    <row r="11776" spans="2:8" x14ac:dyDescent="0.4">
      <c r="B11776" s="3" t="s">
        <v>7</v>
      </c>
      <c r="C11776" s="3" t="s">
        <v>1511</v>
      </c>
      <c r="D11776" s="4">
        <f>DATE(2004,8,6)</f>
        <v>38205</v>
      </c>
      <c r="E11776" s="5">
        <f t="shared" si="195"/>
        <v>2004</v>
      </c>
      <c r="F11776" s="3" t="s">
        <v>1870</v>
      </c>
      <c r="G11776" s="6">
        <v>1452</v>
      </c>
      <c r="H11776" s="5">
        <v>3233</v>
      </c>
    </row>
    <row r="11777" spans="2:8" x14ac:dyDescent="0.4">
      <c r="B11777" s="3" t="s">
        <v>7</v>
      </c>
      <c r="C11777" s="3" t="s">
        <v>1511</v>
      </c>
      <c r="D11777" s="4">
        <f>DATE(2005,5,6)</f>
        <v>38478</v>
      </c>
      <c r="E11777" s="5">
        <f t="shared" si="195"/>
        <v>2005</v>
      </c>
      <c r="F11777" s="3" t="s">
        <v>1870</v>
      </c>
      <c r="G11777" s="6">
        <v>769</v>
      </c>
      <c r="H11777" s="5">
        <v>4707</v>
      </c>
    </row>
    <row r="11778" spans="2:8" x14ac:dyDescent="0.4">
      <c r="B11778" s="3" t="s">
        <v>7</v>
      </c>
      <c r="C11778" s="3" t="s">
        <v>1511</v>
      </c>
      <c r="D11778" s="4">
        <f>DATE(2005,9,8)</f>
        <v>38603</v>
      </c>
      <c r="E11778" s="5">
        <f t="shared" si="195"/>
        <v>2005</v>
      </c>
      <c r="F11778" s="3" t="s">
        <v>1870</v>
      </c>
      <c r="G11778" s="6">
        <v>1533</v>
      </c>
      <c r="H11778" s="5">
        <v>5227</v>
      </c>
    </row>
    <row r="11779" spans="2:8" x14ac:dyDescent="0.4">
      <c r="B11779" s="3" t="s">
        <v>7</v>
      </c>
      <c r="C11779" s="3" t="s">
        <v>1511</v>
      </c>
      <c r="D11779" s="4">
        <f>DATE(2005,10,20)</f>
        <v>38645</v>
      </c>
      <c r="E11779" s="5">
        <f t="shared" ref="E11779:E11842" si="196">YEAR(D11779)</f>
        <v>2005</v>
      </c>
      <c r="F11779" s="3" t="s">
        <v>1870</v>
      </c>
      <c r="G11779" s="6">
        <v>769</v>
      </c>
      <c r="H11779" s="5">
        <v>5463</v>
      </c>
    </row>
    <row r="11780" spans="2:8" x14ac:dyDescent="0.4">
      <c r="B11780" s="3" t="s">
        <v>7</v>
      </c>
      <c r="C11780" s="3" t="s">
        <v>1511</v>
      </c>
      <c r="D11780" s="4">
        <f>DATE(2006,3,16)</f>
        <v>38792</v>
      </c>
      <c r="E11780" s="5">
        <f t="shared" si="196"/>
        <v>2006</v>
      </c>
      <c r="F11780" s="3" t="s">
        <v>1870</v>
      </c>
      <c r="G11780" s="6">
        <v>770</v>
      </c>
      <c r="H11780" s="5">
        <v>6302</v>
      </c>
    </row>
    <row r="11781" spans="2:8" x14ac:dyDescent="0.4">
      <c r="B11781" s="3" t="s">
        <v>7</v>
      </c>
      <c r="C11781" s="3" t="s">
        <v>1511</v>
      </c>
      <c r="D11781" s="4">
        <f>DATE(2006,3,27)</f>
        <v>38803</v>
      </c>
      <c r="E11781" s="5">
        <f t="shared" si="196"/>
        <v>2006</v>
      </c>
      <c r="F11781" s="3" t="s">
        <v>1870</v>
      </c>
      <c r="G11781" s="6">
        <v>94.75</v>
      </c>
      <c r="H11781" s="5">
        <v>6400</v>
      </c>
    </row>
    <row r="11782" spans="2:8" x14ac:dyDescent="0.4">
      <c r="B11782" s="3" t="s">
        <v>7</v>
      </c>
      <c r="C11782" s="3" t="s">
        <v>1511</v>
      </c>
      <c r="D11782" s="4">
        <f>DATE(2006,4,19)</f>
        <v>38826</v>
      </c>
      <c r="E11782" s="5">
        <f t="shared" si="196"/>
        <v>2006</v>
      </c>
      <c r="F11782" s="3" t="s">
        <v>1870</v>
      </c>
      <c r="G11782" s="6">
        <v>4019.71</v>
      </c>
      <c r="H11782" s="5">
        <v>6566</v>
      </c>
    </row>
    <row r="11783" spans="2:8" x14ac:dyDescent="0.4">
      <c r="B11783" s="3" t="s">
        <v>7</v>
      </c>
      <c r="C11783" s="3" t="s">
        <v>1511</v>
      </c>
      <c r="D11783" s="4">
        <f>DATE(2006,4,27)</f>
        <v>38834</v>
      </c>
      <c r="E11783" s="5">
        <f t="shared" si="196"/>
        <v>2006</v>
      </c>
      <c r="F11783" s="3" t="s">
        <v>1870</v>
      </c>
      <c r="G11783" s="6">
        <v>1533</v>
      </c>
      <c r="H11783" s="5">
        <v>6616</v>
      </c>
    </row>
    <row r="11784" spans="2:8" x14ac:dyDescent="0.4">
      <c r="B11784" s="3" t="s">
        <v>7</v>
      </c>
      <c r="C11784" s="3" t="s">
        <v>1511</v>
      </c>
      <c r="D11784" s="4">
        <f>DATE(2006,6,28)</f>
        <v>38896</v>
      </c>
      <c r="E11784" s="5">
        <f t="shared" si="196"/>
        <v>2006</v>
      </c>
      <c r="F11784" s="3" t="s">
        <v>1870</v>
      </c>
      <c r="G11784" s="6">
        <v>1534</v>
      </c>
      <c r="H11784" s="5">
        <v>6897</v>
      </c>
    </row>
    <row r="11785" spans="2:8" x14ac:dyDescent="0.4">
      <c r="B11785" s="3" t="s">
        <v>7</v>
      </c>
      <c r="C11785" s="3" t="s">
        <v>1511</v>
      </c>
      <c r="D11785" s="4">
        <f>DATE(2006,7,26)</f>
        <v>38924</v>
      </c>
      <c r="E11785" s="5">
        <f t="shared" si="196"/>
        <v>2006</v>
      </c>
      <c r="F11785" s="3" t="s">
        <v>1870</v>
      </c>
      <c r="G11785" s="6">
        <v>642.98</v>
      </c>
      <c r="H11785" s="5">
        <v>6995</v>
      </c>
    </row>
    <row r="11786" spans="2:8" x14ac:dyDescent="0.4">
      <c r="B11786" s="3" t="s">
        <v>7</v>
      </c>
      <c r="C11786" s="3" t="s">
        <v>1511</v>
      </c>
      <c r="D11786" s="4">
        <f>DATE(2006,7,27)</f>
        <v>38925</v>
      </c>
      <c r="E11786" s="5">
        <f t="shared" si="196"/>
        <v>2006</v>
      </c>
      <c r="F11786" s="3" t="s">
        <v>1870</v>
      </c>
      <c r="G11786" s="6">
        <v>1534</v>
      </c>
      <c r="H11786" s="5">
        <v>6996</v>
      </c>
    </row>
    <row r="11787" spans="2:8" x14ac:dyDescent="0.4">
      <c r="B11787" s="3" t="s">
        <v>7</v>
      </c>
      <c r="C11787" s="3" t="s">
        <v>1511</v>
      </c>
      <c r="D11787" s="4">
        <f>DATE(2006,9,22)</f>
        <v>38982</v>
      </c>
      <c r="E11787" s="5">
        <f t="shared" si="196"/>
        <v>2006</v>
      </c>
      <c r="F11787" s="3" t="s">
        <v>1870</v>
      </c>
      <c r="G11787" s="6">
        <v>1534</v>
      </c>
      <c r="H11787" s="5">
        <v>7284</v>
      </c>
    </row>
    <row r="11788" spans="2:8" x14ac:dyDescent="0.4">
      <c r="B11788" s="3" t="s">
        <v>7</v>
      </c>
      <c r="C11788" s="3" t="s">
        <v>1511</v>
      </c>
      <c r="D11788" s="4">
        <f>DATE(2007,5,31)</f>
        <v>39233</v>
      </c>
      <c r="E11788" s="5">
        <f t="shared" si="196"/>
        <v>2007</v>
      </c>
      <c r="F11788" s="3" t="s">
        <v>1870</v>
      </c>
      <c r="G11788" s="6">
        <v>1534</v>
      </c>
      <c r="H11788" s="5">
        <v>8682</v>
      </c>
    </row>
    <row r="11789" spans="2:8" x14ac:dyDescent="0.4">
      <c r="B11789" s="3" t="s">
        <v>7</v>
      </c>
      <c r="C11789" s="3" t="s">
        <v>1511</v>
      </c>
      <c r="D11789" s="4">
        <f>DATE(2007,10,5)</f>
        <v>39360</v>
      </c>
      <c r="E11789" s="5">
        <f t="shared" si="196"/>
        <v>2007</v>
      </c>
      <c r="F11789" s="3" t="s">
        <v>1870</v>
      </c>
      <c r="G11789" s="6">
        <v>1911</v>
      </c>
      <c r="H11789" s="5">
        <v>9286</v>
      </c>
    </row>
    <row r="11790" spans="2:8" x14ac:dyDescent="0.4">
      <c r="B11790" s="3" t="s">
        <v>7</v>
      </c>
      <c r="C11790" s="3" t="s">
        <v>1511</v>
      </c>
      <c r="D11790" s="4">
        <f>DATE(2008,3,25)</f>
        <v>39532</v>
      </c>
      <c r="E11790" s="5">
        <f t="shared" si="196"/>
        <v>2008</v>
      </c>
      <c r="F11790" s="3" t="s">
        <v>1870</v>
      </c>
      <c r="G11790" s="6">
        <v>1535</v>
      </c>
      <c r="H11790" s="5">
        <v>10260</v>
      </c>
    </row>
    <row r="11791" spans="2:8" x14ac:dyDescent="0.4">
      <c r="B11791" s="3" t="s">
        <v>7</v>
      </c>
      <c r="C11791" s="3" t="s">
        <v>1511</v>
      </c>
      <c r="D11791" s="4">
        <f>DATE(2008,10,9)</f>
        <v>39730</v>
      </c>
      <c r="E11791" s="5">
        <f t="shared" si="196"/>
        <v>2008</v>
      </c>
      <c r="F11791" s="3" t="s">
        <v>1870</v>
      </c>
      <c r="G11791" s="6">
        <v>1912</v>
      </c>
      <c r="H11791" s="5">
        <v>11351</v>
      </c>
    </row>
    <row r="11792" spans="2:8" x14ac:dyDescent="0.4">
      <c r="B11792" s="3" t="s">
        <v>7</v>
      </c>
      <c r="C11792" s="3" t="s">
        <v>1511</v>
      </c>
      <c r="D11792" s="4">
        <f>DATE(2008,11,25)</f>
        <v>39777</v>
      </c>
      <c r="E11792" s="5">
        <f t="shared" si="196"/>
        <v>2008</v>
      </c>
      <c r="F11792" s="3" t="s">
        <v>1870</v>
      </c>
      <c r="G11792" s="6">
        <v>1162</v>
      </c>
      <c r="H11792" s="5">
        <v>11621</v>
      </c>
    </row>
    <row r="11793" spans="2:8" x14ac:dyDescent="0.4">
      <c r="B11793" s="3" t="s">
        <v>7</v>
      </c>
      <c r="C11793" s="3" t="s">
        <v>1511</v>
      </c>
      <c r="D11793" s="4">
        <f>DATE(2009,2,10)</f>
        <v>39854</v>
      </c>
      <c r="E11793" s="5">
        <f t="shared" si="196"/>
        <v>2009</v>
      </c>
      <c r="F11793" s="3" t="s">
        <v>1870</v>
      </c>
      <c r="G11793" s="6">
        <v>3818</v>
      </c>
      <c r="H11793" s="5">
        <v>11945</v>
      </c>
    </row>
    <row r="11794" spans="2:8" x14ac:dyDescent="0.4">
      <c r="B11794" s="3" t="s">
        <v>7</v>
      </c>
      <c r="C11794" s="3" t="s">
        <v>1511</v>
      </c>
      <c r="D11794" s="4">
        <f>DATE(2009,2,10)</f>
        <v>39854</v>
      </c>
      <c r="E11794" s="5">
        <f t="shared" si="196"/>
        <v>2009</v>
      </c>
      <c r="F11794" s="3" t="s">
        <v>1870</v>
      </c>
      <c r="G11794" s="6">
        <v>3065</v>
      </c>
      <c r="H11794" s="5">
        <v>11927</v>
      </c>
    </row>
    <row r="11795" spans="2:8" x14ac:dyDescent="0.4">
      <c r="B11795" s="3" t="s">
        <v>7</v>
      </c>
      <c r="C11795" s="3" t="s">
        <v>1511</v>
      </c>
      <c r="D11795" s="4">
        <f>DATE(2009,6,3)</f>
        <v>39967</v>
      </c>
      <c r="E11795" s="5">
        <f t="shared" si="196"/>
        <v>2009</v>
      </c>
      <c r="F11795" s="3" t="s">
        <v>1870</v>
      </c>
      <c r="G11795" s="6">
        <v>4838.5600000000004</v>
      </c>
      <c r="H11795" s="5">
        <v>12639</v>
      </c>
    </row>
    <row r="11796" spans="2:8" x14ac:dyDescent="0.4">
      <c r="B11796" s="3" t="s">
        <v>7</v>
      </c>
      <c r="C11796" s="3" t="s">
        <v>1511</v>
      </c>
      <c r="D11796" s="4">
        <f>DATE(2009,7,21)</f>
        <v>40015</v>
      </c>
      <c r="E11796" s="5">
        <f t="shared" si="196"/>
        <v>2009</v>
      </c>
      <c r="F11796" s="3" t="s">
        <v>1870</v>
      </c>
      <c r="G11796" s="6">
        <v>1535</v>
      </c>
      <c r="H11796" s="5">
        <v>12815</v>
      </c>
    </row>
    <row r="11797" spans="2:8" x14ac:dyDescent="0.4">
      <c r="B11797" s="3" t="s">
        <v>7</v>
      </c>
      <c r="C11797" s="3" t="s">
        <v>1511</v>
      </c>
      <c r="D11797" s="4">
        <f>DATE(2009,8,3)</f>
        <v>40028</v>
      </c>
      <c r="E11797" s="5">
        <f t="shared" si="196"/>
        <v>2009</v>
      </c>
      <c r="F11797" s="3" t="s">
        <v>1870</v>
      </c>
      <c r="G11797" s="6">
        <v>3040</v>
      </c>
      <c r="H11797" s="5">
        <v>12852</v>
      </c>
    </row>
    <row r="11798" spans="2:8" x14ac:dyDescent="0.4">
      <c r="B11798" s="3" t="s">
        <v>7</v>
      </c>
      <c r="C11798" s="3" t="s">
        <v>1511</v>
      </c>
      <c r="D11798" s="4">
        <f>DATE(2009,8,11)</f>
        <v>40036</v>
      </c>
      <c r="E11798" s="5">
        <f t="shared" si="196"/>
        <v>2009</v>
      </c>
      <c r="F11798" s="3" t="s">
        <v>1870</v>
      </c>
      <c r="G11798" s="6">
        <v>1536</v>
      </c>
      <c r="H11798" s="5">
        <v>12899</v>
      </c>
    </row>
    <row r="11799" spans="2:8" x14ac:dyDescent="0.4">
      <c r="B11799" s="3" t="s">
        <v>7</v>
      </c>
      <c r="C11799" s="3" t="s">
        <v>1511</v>
      </c>
      <c r="D11799" s="4">
        <f>DATE(2009,8,14)</f>
        <v>40039</v>
      </c>
      <c r="E11799" s="5">
        <f t="shared" si="196"/>
        <v>2009</v>
      </c>
      <c r="F11799" s="3" t="s">
        <v>1870</v>
      </c>
      <c r="G11799" s="6">
        <v>18123.39</v>
      </c>
      <c r="H11799" s="5">
        <v>12910</v>
      </c>
    </row>
    <row r="11800" spans="2:8" x14ac:dyDescent="0.4">
      <c r="B11800" s="3" t="s">
        <v>7</v>
      </c>
      <c r="C11800" s="3" t="s">
        <v>1511</v>
      </c>
      <c r="D11800" s="4">
        <f>DATE(2010,6,11)</f>
        <v>40340</v>
      </c>
      <c r="E11800" s="5">
        <f t="shared" si="196"/>
        <v>2010</v>
      </c>
      <c r="F11800" s="3" t="s">
        <v>1870</v>
      </c>
      <c r="G11800" s="6">
        <v>17595.93</v>
      </c>
      <c r="H11800" s="5">
        <v>14125</v>
      </c>
    </row>
    <row r="11801" spans="2:8" x14ac:dyDescent="0.4">
      <c r="B11801" s="3" t="s">
        <v>7</v>
      </c>
      <c r="C11801" s="3" t="s">
        <v>1511</v>
      </c>
      <c r="D11801" s="4">
        <f>DATE(2010,11,1)</f>
        <v>40483</v>
      </c>
      <c r="E11801" s="5">
        <f t="shared" si="196"/>
        <v>2010</v>
      </c>
      <c r="F11801" s="3" t="s">
        <v>1870</v>
      </c>
      <c r="G11801" s="6">
        <v>17217.16</v>
      </c>
      <c r="H11801" s="5">
        <v>14680</v>
      </c>
    </row>
    <row r="11802" spans="2:8" x14ac:dyDescent="0.4">
      <c r="B11802" s="3" t="s">
        <v>7</v>
      </c>
      <c r="C11802" s="3" t="s">
        <v>1511</v>
      </c>
      <c r="D11802" s="4">
        <f>DATE(2011,1,13)</f>
        <v>40556</v>
      </c>
      <c r="E11802" s="5">
        <f t="shared" si="196"/>
        <v>2011</v>
      </c>
      <c r="F11802" s="3" t="s">
        <v>1870</v>
      </c>
      <c r="G11802" s="6">
        <v>2867</v>
      </c>
      <c r="H11802" s="5">
        <v>14906</v>
      </c>
    </row>
    <row r="11803" spans="2:8" x14ac:dyDescent="0.4">
      <c r="B11803" s="3" t="s">
        <v>7</v>
      </c>
      <c r="C11803" s="3" t="s">
        <v>1511</v>
      </c>
      <c r="D11803" s="4">
        <f>DATE(2011,5,24)</f>
        <v>40687</v>
      </c>
      <c r="E11803" s="5">
        <f t="shared" si="196"/>
        <v>2011</v>
      </c>
      <c r="F11803" s="3" t="s">
        <v>1870</v>
      </c>
      <c r="G11803" s="6">
        <v>7481.1</v>
      </c>
      <c r="H11803" s="5">
        <v>15582</v>
      </c>
    </row>
    <row r="11804" spans="2:8" x14ac:dyDescent="0.4">
      <c r="B11804" s="3" t="s">
        <v>7</v>
      </c>
      <c r="C11804" s="3" t="s">
        <v>1511</v>
      </c>
      <c r="D11804" s="4">
        <f>DATE(2011,8,2)</f>
        <v>40757</v>
      </c>
      <c r="E11804" s="5">
        <f t="shared" si="196"/>
        <v>2011</v>
      </c>
      <c r="F11804" s="3" t="s">
        <v>1870</v>
      </c>
      <c r="G11804" s="6">
        <v>1914</v>
      </c>
      <c r="H11804" s="5">
        <v>15834</v>
      </c>
    </row>
    <row r="11805" spans="2:8" x14ac:dyDescent="0.4">
      <c r="B11805" s="3" t="s">
        <v>7</v>
      </c>
      <c r="C11805" s="3" t="s">
        <v>1511</v>
      </c>
      <c r="D11805" s="4">
        <f>DATE(2012,10,18)</f>
        <v>41200</v>
      </c>
      <c r="E11805" s="5">
        <f t="shared" si="196"/>
        <v>2012</v>
      </c>
      <c r="F11805" s="3" t="s">
        <v>1870</v>
      </c>
      <c r="G11805" s="6">
        <v>9599.0400000000009</v>
      </c>
      <c r="H11805" s="5">
        <v>17728</v>
      </c>
    </row>
    <row r="11806" spans="2:8" x14ac:dyDescent="0.4">
      <c r="B11806" s="3" t="s">
        <v>7</v>
      </c>
      <c r="C11806" s="3" t="s">
        <v>1511</v>
      </c>
      <c r="D11806" s="4">
        <f>DATE(2012,11,27)</f>
        <v>41240</v>
      </c>
      <c r="E11806" s="5">
        <f t="shared" si="196"/>
        <v>2012</v>
      </c>
      <c r="F11806" s="3" t="s">
        <v>1870</v>
      </c>
      <c r="G11806" s="6">
        <v>2026.2</v>
      </c>
      <c r="H11806" s="5">
        <v>17858</v>
      </c>
    </row>
    <row r="11807" spans="2:8" x14ac:dyDescent="0.4">
      <c r="B11807" s="3" t="s">
        <v>7</v>
      </c>
      <c r="C11807" s="3" t="s">
        <v>1511</v>
      </c>
      <c r="D11807" s="4">
        <f>DATE(2012,12,14)</f>
        <v>41257</v>
      </c>
      <c r="E11807" s="5">
        <f t="shared" si="196"/>
        <v>2012</v>
      </c>
      <c r="F11807" s="3" t="s">
        <v>1870</v>
      </c>
      <c r="G11807" s="6">
        <v>773</v>
      </c>
      <c r="H11807" s="5">
        <v>17901</v>
      </c>
    </row>
    <row r="11808" spans="2:8" x14ac:dyDescent="0.4">
      <c r="B11808" s="3" t="s">
        <v>7</v>
      </c>
      <c r="C11808" s="3" t="s">
        <v>1511</v>
      </c>
      <c r="D11808" s="4">
        <f>DATE(2013,1,17)</f>
        <v>41291</v>
      </c>
      <c r="E11808" s="5">
        <f t="shared" si="196"/>
        <v>2013</v>
      </c>
      <c r="F11808" s="3" t="s">
        <v>1870</v>
      </c>
      <c r="G11808" s="6">
        <v>964</v>
      </c>
      <c r="H11808" s="5">
        <v>18001</v>
      </c>
    </row>
    <row r="11809" spans="2:8" x14ac:dyDescent="0.4">
      <c r="B11809" s="3" t="s">
        <v>7</v>
      </c>
      <c r="C11809" s="3" t="s">
        <v>1511</v>
      </c>
      <c r="D11809" s="4">
        <f>DATE(2013,7,18)</f>
        <v>41473</v>
      </c>
      <c r="E11809" s="5">
        <f t="shared" si="196"/>
        <v>2013</v>
      </c>
      <c r="F11809" s="3" t="s">
        <v>1870</v>
      </c>
      <c r="G11809" s="6">
        <v>17234.47</v>
      </c>
      <c r="H11809" s="5">
        <v>18763</v>
      </c>
    </row>
    <row r="11810" spans="2:8" x14ac:dyDescent="0.4">
      <c r="B11810" s="3" t="s">
        <v>7</v>
      </c>
      <c r="C11810" s="3" t="s">
        <v>1511</v>
      </c>
      <c r="D11810" s="4">
        <f>DATE(2013,7,23)</f>
        <v>41478</v>
      </c>
      <c r="E11810" s="5">
        <f t="shared" si="196"/>
        <v>2013</v>
      </c>
      <c r="F11810" s="3" t="s">
        <v>1870</v>
      </c>
      <c r="G11810" s="6">
        <v>1725</v>
      </c>
      <c r="H11810" s="5">
        <v>18796</v>
      </c>
    </row>
    <row r="11811" spans="2:8" x14ac:dyDescent="0.4">
      <c r="B11811" s="3" t="s">
        <v>7</v>
      </c>
      <c r="C11811" s="3" t="s">
        <v>1511</v>
      </c>
      <c r="D11811" s="4">
        <f>DATE(2014,1,24)</f>
        <v>41663</v>
      </c>
      <c r="E11811" s="5">
        <f t="shared" si="196"/>
        <v>2014</v>
      </c>
      <c r="F11811" s="3" t="s">
        <v>1870</v>
      </c>
      <c r="G11811" s="6">
        <v>2298</v>
      </c>
      <c r="H11811" s="5">
        <v>19401</v>
      </c>
    </row>
    <row r="11812" spans="2:8" x14ac:dyDescent="0.4">
      <c r="B11812" s="3" t="s">
        <v>7</v>
      </c>
      <c r="C11812" s="3" t="s">
        <v>1511</v>
      </c>
      <c r="D11812" s="4">
        <f>DATE(2014,2,24)</f>
        <v>41694</v>
      </c>
      <c r="E11812" s="5">
        <f t="shared" si="196"/>
        <v>2014</v>
      </c>
      <c r="F11812" s="3" t="s">
        <v>1870</v>
      </c>
      <c r="G11812" s="6">
        <v>2823.56</v>
      </c>
      <c r="H11812" s="5">
        <v>19397</v>
      </c>
    </row>
    <row r="11813" spans="2:8" x14ac:dyDescent="0.4">
      <c r="B11813" s="3" t="s">
        <v>7</v>
      </c>
      <c r="C11813" s="3" t="s">
        <v>1511</v>
      </c>
      <c r="D11813" s="4">
        <f>DATE(2014,10,29)</f>
        <v>41941</v>
      </c>
      <c r="E11813" s="5">
        <f t="shared" si="196"/>
        <v>2014</v>
      </c>
      <c r="F11813" s="3" t="s">
        <v>1870</v>
      </c>
      <c r="G11813" s="6">
        <v>18158.580000000002</v>
      </c>
      <c r="H11813" s="5">
        <v>20519</v>
      </c>
    </row>
    <row r="11814" spans="2:8" x14ac:dyDescent="0.4">
      <c r="B11814" s="3" t="s">
        <v>16</v>
      </c>
      <c r="C11814" s="3" t="s">
        <v>1511</v>
      </c>
      <c r="D11814" s="4">
        <f>DATE(2012,1,11)</f>
        <v>40919</v>
      </c>
      <c r="E11814" s="5">
        <f t="shared" si="196"/>
        <v>2012</v>
      </c>
      <c r="F11814" s="3" t="s">
        <v>1870</v>
      </c>
      <c r="G11814" s="6">
        <v>1148.9000000000001</v>
      </c>
      <c r="H11814" s="5">
        <v>16435</v>
      </c>
    </row>
    <row r="11815" spans="2:8" x14ac:dyDescent="0.4">
      <c r="B11815" s="3" t="s">
        <v>7</v>
      </c>
      <c r="C11815" s="3" t="s">
        <v>1871</v>
      </c>
      <c r="D11815" s="4">
        <f>DATE(2003,5,2)</f>
        <v>37743</v>
      </c>
      <c r="E11815" s="5">
        <f t="shared" si="196"/>
        <v>2003</v>
      </c>
      <c r="F11815" s="3" t="s">
        <v>1872</v>
      </c>
      <c r="G11815" s="6">
        <v>1800</v>
      </c>
      <c r="H11815" s="5">
        <v>880</v>
      </c>
    </row>
    <row r="11816" spans="2:8" x14ac:dyDescent="0.4">
      <c r="B11816" s="3" t="s">
        <v>7</v>
      </c>
      <c r="C11816" s="3" t="s">
        <v>1871</v>
      </c>
      <c r="D11816" s="4">
        <f>DATE(2003,5,23)</f>
        <v>37764</v>
      </c>
      <c r="E11816" s="5">
        <f t="shared" si="196"/>
        <v>2003</v>
      </c>
      <c r="F11816" s="3" t="s">
        <v>1872</v>
      </c>
      <c r="G11816" s="6">
        <v>1800</v>
      </c>
      <c r="H11816" s="5">
        <v>994</v>
      </c>
    </row>
    <row r="11817" spans="2:8" x14ac:dyDescent="0.4">
      <c r="B11817" s="3" t="s">
        <v>7</v>
      </c>
      <c r="C11817" s="3" t="s">
        <v>1871</v>
      </c>
      <c r="D11817" s="4">
        <f>DATE(2003,10,17)</f>
        <v>37911</v>
      </c>
      <c r="E11817" s="5">
        <f t="shared" si="196"/>
        <v>2003</v>
      </c>
      <c r="F11817" s="3" t="s">
        <v>1872</v>
      </c>
      <c r="G11817" s="6">
        <v>1800</v>
      </c>
      <c r="H11817" s="5">
        <v>1662</v>
      </c>
    </row>
    <row r="11818" spans="2:8" x14ac:dyDescent="0.4">
      <c r="B11818" s="3" t="s">
        <v>7</v>
      </c>
      <c r="C11818" s="3" t="s">
        <v>1871</v>
      </c>
      <c r="D11818" s="4">
        <f>DATE(2003,11,19)</f>
        <v>37944</v>
      </c>
      <c r="E11818" s="5">
        <f t="shared" si="196"/>
        <v>2003</v>
      </c>
      <c r="F11818" s="3" t="s">
        <v>1872</v>
      </c>
      <c r="G11818" s="6">
        <v>1800</v>
      </c>
      <c r="H11818" s="5">
        <v>1766</v>
      </c>
    </row>
    <row r="11819" spans="2:8" x14ac:dyDescent="0.4">
      <c r="B11819" s="3" t="s">
        <v>7</v>
      </c>
      <c r="C11819" s="3" t="s">
        <v>1871</v>
      </c>
      <c r="D11819" s="4">
        <f>DATE(2003,12,19)</f>
        <v>37974</v>
      </c>
      <c r="E11819" s="5">
        <f t="shared" si="196"/>
        <v>2003</v>
      </c>
      <c r="F11819" s="3" t="s">
        <v>1872</v>
      </c>
      <c r="G11819" s="6">
        <v>1800</v>
      </c>
      <c r="H11819" s="5">
        <v>1912</v>
      </c>
    </row>
    <row r="11820" spans="2:8" x14ac:dyDescent="0.4">
      <c r="B11820" s="3" t="s">
        <v>7</v>
      </c>
      <c r="C11820" s="3" t="s">
        <v>1871</v>
      </c>
      <c r="D11820" s="4">
        <f>DATE(2004,7,8)</f>
        <v>38176</v>
      </c>
      <c r="E11820" s="5">
        <f t="shared" si="196"/>
        <v>2004</v>
      </c>
      <c r="F11820" s="3" t="s">
        <v>1872</v>
      </c>
      <c r="G11820" s="6">
        <v>1800</v>
      </c>
      <c r="H11820" s="5">
        <v>3120</v>
      </c>
    </row>
    <row r="11821" spans="2:8" x14ac:dyDescent="0.4">
      <c r="B11821" s="3" t="s">
        <v>7</v>
      </c>
      <c r="C11821" s="3" t="s">
        <v>1871</v>
      </c>
      <c r="D11821" s="4">
        <f>DATE(2004,9,28)</f>
        <v>38258</v>
      </c>
      <c r="E11821" s="5">
        <f t="shared" si="196"/>
        <v>2004</v>
      </c>
      <c r="F11821" s="3" t="s">
        <v>1872</v>
      </c>
      <c r="G11821" s="6">
        <v>500</v>
      </c>
      <c r="H11821" s="5">
        <v>3474</v>
      </c>
    </row>
    <row r="11822" spans="2:8" x14ac:dyDescent="0.4">
      <c r="B11822" s="3" t="s">
        <v>7</v>
      </c>
      <c r="C11822" s="3" t="s">
        <v>1871</v>
      </c>
      <c r="D11822" s="4">
        <f>DATE(2004,10,1)</f>
        <v>38261</v>
      </c>
      <c r="E11822" s="5">
        <f t="shared" si="196"/>
        <v>2004</v>
      </c>
      <c r="F11822" s="3" t="s">
        <v>1872</v>
      </c>
      <c r="G11822" s="6">
        <v>3600</v>
      </c>
      <c r="H11822" s="5">
        <v>3511</v>
      </c>
    </row>
    <row r="11823" spans="2:8" x14ac:dyDescent="0.4">
      <c r="B11823" s="3" t="s">
        <v>7</v>
      </c>
      <c r="C11823" s="3" t="s">
        <v>1871</v>
      </c>
      <c r="D11823" s="4">
        <f>DATE(2004,10,8)</f>
        <v>38268</v>
      </c>
      <c r="E11823" s="5">
        <f t="shared" si="196"/>
        <v>2004</v>
      </c>
      <c r="F11823" s="3" t="s">
        <v>1872</v>
      </c>
      <c r="G11823" s="6">
        <v>102.5</v>
      </c>
      <c r="H11823" s="5">
        <v>3540</v>
      </c>
    </row>
    <row r="11824" spans="2:8" x14ac:dyDescent="0.4">
      <c r="B11824" s="3" t="s">
        <v>7</v>
      </c>
      <c r="C11824" s="3" t="s">
        <v>1871</v>
      </c>
      <c r="D11824" s="4">
        <f>DATE(2005,5,27)</f>
        <v>38499</v>
      </c>
      <c r="E11824" s="5">
        <f t="shared" si="196"/>
        <v>2005</v>
      </c>
      <c r="F11824" s="3" t="s">
        <v>1872</v>
      </c>
      <c r="G11824" s="6">
        <v>1900</v>
      </c>
      <c r="H11824" s="5">
        <v>4777</v>
      </c>
    </row>
    <row r="11825" spans="2:8" x14ac:dyDescent="0.4">
      <c r="B11825" s="3" t="s">
        <v>7</v>
      </c>
      <c r="C11825" s="3" t="s">
        <v>1871</v>
      </c>
      <c r="D11825" s="4">
        <f>DATE(2005,9,30)</f>
        <v>38625</v>
      </c>
      <c r="E11825" s="5">
        <f t="shared" si="196"/>
        <v>2005</v>
      </c>
      <c r="F11825" s="3" t="s">
        <v>1872</v>
      </c>
      <c r="G11825" s="6">
        <v>1800</v>
      </c>
      <c r="H11825" s="5">
        <v>5356</v>
      </c>
    </row>
    <row r="11826" spans="2:8" x14ac:dyDescent="0.4">
      <c r="B11826" s="3" t="s">
        <v>7</v>
      </c>
      <c r="C11826" s="3" t="s">
        <v>1871</v>
      </c>
      <c r="D11826" s="4">
        <f>DATE(2006,8,11)</f>
        <v>38940</v>
      </c>
      <c r="E11826" s="5">
        <f t="shared" si="196"/>
        <v>2006</v>
      </c>
      <c r="F11826" s="3" t="s">
        <v>1872</v>
      </c>
      <c r="G11826" s="6">
        <v>1800</v>
      </c>
      <c r="H11826" s="5">
        <v>7076</v>
      </c>
    </row>
    <row r="11827" spans="2:8" x14ac:dyDescent="0.4">
      <c r="B11827" s="3" t="s">
        <v>7</v>
      </c>
      <c r="C11827" s="3" t="s">
        <v>1871</v>
      </c>
      <c r="D11827" s="4">
        <f>DATE(2006,8,29)</f>
        <v>38958</v>
      </c>
      <c r="E11827" s="5">
        <f t="shared" si="196"/>
        <v>2006</v>
      </c>
      <c r="F11827" s="3" t="s">
        <v>1872</v>
      </c>
      <c r="G11827" s="6">
        <v>100</v>
      </c>
      <c r="H11827" s="5">
        <v>7151</v>
      </c>
    </row>
    <row r="11828" spans="2:8" x14ac:dyDescent="0.4">
      <c r="B11828" s="3" t="s">
        <v>7</v>
      </c>
      <c r="C11828" s="3" t="s">
        <v>1871</v>
      </c>
      <c r="D11828" s="4">
        <f>DATE(2007,5,23)</f>
        <v>39225</v>
      </c>
      <c r="E11828" s="5">
        <f t="shared" si="196"/>
        <v>2007</v>
      </c>
      <c r="F11828" s="3" t="s">
        <v>1872</v>
      </c>
      <c r="G11828" s="6">
        <v>1900</v>
      </c>
      <c r="H11828" s="5">
        <v>8608</v>
      </c>
    </row>
    <row r="11829" spans="2:8" x14ac:dyDescent="0.4">
      <c r="B11829" s="3" t="s">
        <v>7</v>
      </c>
      <c r="C11829" s="3" t="s">
        <v>1871</v>
      </c>
      <c r="D11829" s="4">
        <f>DATE(2007,9,28)</f>
        <v>39353</v>
      </c>
      <c r="E11829" s="5">
        <f t="shared" si="196"/>
        <v>2007</v>
      </c>
      <c r="F11829" s="3" t="s">
        <v>1872</v>
      </c>
      <c r="G11829" s="6">
        <v>1900</v>
      </c>
      <c r="H11829" s="5">
        <v>9246</v>
      </c>
    </row>
    <row r="11830" spans="2:8" x14ac:dyDescent="0.4">
      <c r="B11830" s="3" t="s">
        <v>7</v>
      </c>
      <c r="C11830" s="3" t="s">
        <v>1871</v>
      </c>
      <c r="D11830" s="4">
        <f>DATE(2008,7,24)</f>
        <v>39653</v>
      </c>
      <c r="E11830" s="5">
        <f t="shared" si="196"/>
        <v>2008</v>
      </c>
      <c r="F11830" s="3" t="s">
        <v>1872</v>
      </c>
      <c r="G11830" s="6">
        <v>1900</v>
      </c>
      <c r="H11830" s="5">
        <v>10965</v>
      </c>
    </row>
    <row r="11831" spans="2:8" x14ac:dyDescent="0.4">
      <c r="B11831" s="3" t="s">
        <v>7</v>
      </c>
      <c r="C11831" s="3" t="s">
        <v>1871</v>
      </c>
      <c r="D11831" s="4">
        <f>DATE(2008,9,11)</f>
        <v>39702</v>
      </c>
      <c r="E11831" s="5">
        <f t="shared" si="196"/>
        <v>2008</v>
      </c>
      <c r="F11831" s="3" t="s">
        <v>1872</v>
      </c>
      <c r="G11831" s="6">
        <v>263.2</v>
      </c>
      <c r="H11831" s="5">
        <v>11236</v>
      </c>
    </row>
    <row r="11832" spans="2:8" x14ac:dyDescent="0.4">
      <c r="B11832" s="3" t="s">
        <v>7</v>
      </c>
      <c r="C11832" s="3" t="s">
        <v>1871</v>
      </c>
      <c r="D11832" s="4">
        <f>DATE(2009,5,27)</f>
        <v>39960</v>
      </c>
      <c r="E11832" s="5">
        <f t="shared" si="196"/>
        <v>2009</v>
      </c>
      <c r="F11832" s="3" t="s">
        <v>1872</v>
      </c>
      <c r="G11832" s="6">
        <v>1903.8</v>
      </c>
      <c r="H11832" s="5">
        <v>12570</v>
      </c>
    </row>
    <row r="11833" spans="2:8" x14ac:dyDescent="0.4">
      <c r="B11833" t="s">
        <v>7</v>
      </c>
      <c r="C11833" t="s">
        <v>1873</v>
      </c>
      <c r="D11833" s="7">
        <f>DATE(2015,10,30)</f>
        <v>42307</v>
      </c>
      <c r="E11833" s="8">
        <f t="shared" si="196"/>
        <v>2015</v>
      </c>
      <c r="F11833" t="s">
        <v>1874</v>
      </c>
      <c r="G11833" s="9">
        <v>29800</v>
      </c>
      <c r="H11833" s="8">
        <v>21045</v>
      </c>
    </row>
    <row r="11834" spans="2:8" x14ac:dyDescent="0.4">
      <c r="B11834" t="s">
        <v>7</v>
      </c>
      <c r="C11834" t="s">
        <v>1873</v>
      </c>
      <c r="D11834" s="7">
        <f>DATE(2015,5,26)</f>
        <v>42150</v>
      </c>
      <c r="E11834" s="8">
        <f t="shared" si="196"/>
        <v>2015</v>
      </c>
      <c r="F11834" t="s">
        <v>1874</v>
      </c>
      <c r="G11834" s="9">
        <v>13985.74</v>
      </c>
      <c r="H11834" s="8">
        <v>20542</v>
      </c>
    </row>
    <row r="11835" spans="2:8" x14ac:dyDescent="0.4">
      <c r="B11835" t="s">
        <v>7</v>
      </c>
      <c r="C11835" t="s">
        <v>1873</v>
      </c>
      <c r="D11835" s="7">
        <f>DATE(2015,7,22)</f>
        <v>42207</v>
      </c>
      <c r="E11835" s="8">
        <f t="shared" si="196"/>
        <v>2015</v>
      </c>
      <c r="F11835" t="s">
        <v>1874</v>
      </c>
      <c r="G11835" s="9">
        <v>13839.15</v>
      </c>
      <c r="H11835" s="8">
        <v>20877</v>
      </c>
    </row>
    <row r="11836" spans="2:8" x14ac:dyDescent="0.4">
      <c r="B11836" t="s">
        <v>7</v>
      </c>
      <c r="C11836" t="s">
        <v>1873</v>
      </c>
      <c r="D11836" s="7">
        <f>DATE(2015,11,24)</f>
        <v>42332</v>
      </c>
      <c r="E11836" s="8">
        <f t="shared" si="196"/>
        <v>2015</v>
      </c>
      <c r="F11836" t="s">
        <v>1874</v>
      </c>
      <c r="G11836" s="9">
        <v>13295</v>
      </c>
      <c r="H11836" s="8">
        <v>21150</v>
      </c>
    </row>
    <row r="11837" spans="2:8" x14ac:dyDescent="0.4">
      <c r="B11837" t="s">
        <v>7</v>
      </c>
      <c r="C11837" t="s">
        <v>1873</v>
      </c>
      <c r="D11837" s="7">
        <f>DATE(2011,11,10)</f>
        <v>40857</v>
      </c>
      <c r="E11837" s="8">
        <f t="shared" si="196"/>
        <v>2011</v>
      </c>
      <c r="F11837" t="s">
        <v>1874</v>
      </c>
      <c r="G11837" s="9">
        <v>35185.1</v>
      </c>
      <c r="H11837" s="8">
        <v>10961</v>
      </c>
    </row>
    <row r="11838" spans="2:8" x14ac:dyDescent="0.4">
      <c r="B11838" t="s">
        <v>7</v>
      </c>
      <c r="C11838" t="s">
        <v>1873</v>
      </c>
      <c r="D11838" s="7">
        <f>DATE(2012,5,14)</f>
        <v>41043</v>
      </c>
      <c r="E11838" s="8">
        <f t="shared" si="196"/>
        <v>2012</v>
      </c>
      <c r="F11838" t="s">
        <v>1875</v>
      </c>
      <c r="G11838" s="9">
        <v>34821.129999999997</v>
      </c>
      <c r="H11838" s="8">
        <v>11313</v>
      </c>
    </row>
    <row r="11839" spans="2:8" x14ac:dyDescent="0.4">
      <c r="B11839" t="s">
        <v>7</v>
      </c>
      <c r="C11839" t="s">
        <v>1873</v>
      </c>
      <c r="D11839" s="7">
        <f>DATE(2013,5,2)</f>
        <v>41396</v>
      </c>
      <c r="E11839" s="8">
        <f t="shared" si="196"/>
        <v>2013</v>
      </c>
      <c r="F11839" t="s">
        <v>1874</v>
      </c>
      <c r="G11839" s="9">
        <v>30539.55</v>
      </c>
      <c r="H11839" s="8">
        <v>12228</v>
      </c>
    </row>
    <row r="11840" spans="2:8" x14ac:dyDescent="0.4">
      <c r="B11840" t="s">
        <v>7</v>
      </c>
      <c r="C11840" t="s">
        <v>1873</v>
      </c>
      <c r="D11840" s="7">
        <f>DATE(2013,11,4)</f>
        <v>41582</v>
      </c>
      <c r="E11840" s="8">
        <f t="shared" si="196"/>
        <v>2013</v>
      </c>
      <c r="F11840" t="s">
        <v>1874</v>
      </c>
      <c r="G11840" s="9">
        <v>3937</v>
      </c>
      <c r="H11840" s="8">
        <v>12733</v>
      </c>
    </row>
    <row r="11841" spans="2:8" x14ac:dyDescent="0.4">
      <c r="B11841" t="s">
        <v>7</v>
      </c>
      <c r="C11841" t="s">
        <v>1873</v>
      </c>
      <c r="D11841" s="7">
        <f>DATE(2013,11,4)</f>
        <v>41582</v>
      </c>
      <c r="E11841" s="8">
        <f t="shared" si="196"/>
        <v>2013</v>
      </c>
      <c r="F11841" t="s">
        <v>1874</v>
      </c>
      <c r="G11841" s="9">
        <v>31789</v>
      </c>
      <c r="H11841" s="8">
        <v>12649</v>
      </c>
    </row>
    <row r="11842" spans="2:8" x14ac:dyDescent="0.4">
      <c r="B11842" t="s">
        <v>7</v>
      </c>
      <c r="C11842" t="s">
        <v>1873</v>
      </c>
      <c r="D11842" s="7">
        <f>DATE(2014,5,5)</f>
        <v>41764</v>
      </c>
      <c r="E11842" s="8">
        <f t="shared" si="196"/>
        <v>2014</v>
      </c>
      <c r="F11842" t="s">
        <v>1874</v>
      </c>
      <c r="G11842" s="9">
        <v>33423.1</v>
      </c>
      <c r="H11842" s="8">
        <v>12936</v>
      </c>
    </row>
    <row r="11843" spans="2:8" x14ac:dyDescent="0.4">
      <c r="B11843" t="s">
        <v>7</v>
      </c>
      <c r="C11843" t="s">
        <v>1873</v>
      </c>
      <c r="D11843" s="7">
        <f>DATE(2014,10,28)</f>
        <v>41940</v>
      </c>
      <c r="E11843" s="8">
        <f t="shared" ref="E11843:E11906" si="197">YEAR(D11843)</f>
        <v>2014</v>
      </c>
      <c r="F11843" t="s">
        <v>1874</v>
      </c>
      <c r="G11843" s="9">
        <v>28970</v>
      </c>
      <c r="H11843" s="8">
        <v>13474</v>
      </c>
    </row>
    <row r="11844" spans="2:8" x14ac:dyDescent="0.4">
      <c r="B11844" t="s">
        <v>7</v>
      </c>
      <c r="C11844" t="s">
        <v>1876</v>
      </c>
      <c r="D11844" s="7">
        <f>DATE(2016,4,1)</f>
        <v>42461</v>
      </c>
      <c r="E11844" s="8">
        <f t="shared" si="197"/>
        <v>2016</v>
      </c>
      <c r="F11844" t="s">
        <v>1877</v>
      </c>
      <c r="G11844" s="9">
        <v>265.45</v>
      </c>
      <c r="H11844" s="8">
        <v>22566</v>
      </c>
    </row>
    <row r="11845" spans="2:8" x14ac:dyDescent="0.4">
      <c r="B11845" t="s">
        <v>7</v>
      </c>
      <c r="C11845" t="s">
        <v>1876</v>
      </c>
      <c r="D11845" s="7">
        <f>DATE(2016,4,6)</f>
        <v>42466</v>
      </c>
      <c r="E11845" s="8">
        <f t="shared" si="197"/>
        <v>2016</v>
      </c>
      <c r="F11845" t="s">
        <v>1877</v>
      </c>
      <c r="G11845" s="9">
        <v>265.45</v>
      </c>
      <c r="H11845" s="8">
        <v>22584</v>
      </c>
    </row>
    <row r="11846" spans="2:8" x14ac:dyDescent="0.4">
      <c r="B11846" t="s">
        <v>7</v>
      </c>
      <c r="C11846" t="s">
        <v>1878</v>
      </c>
      <c r="D11846" s="7">
        <f>DATE(2017,5,30)</f>
        <v>42885</v>
      </c>
      <c r="E11846" s="8">
        <f t="shared" si="197"/>
        <v>2017</v>
      </c>
      <c r="F11846" t="s">
        <v>1879</v>
      </c>
      <c r="G11846" s="9">
        <v>255.76</v>
      </c>
      <c r="H11846" s="8">
        <v>25021</v>
      </c>
    </row>
    <row r="11847" spans="2:8" x14ac:dyDescent="0.4">
      <c r="B11847" t="s">
        <v>7</v>
      </c>
      <c r="C11847" t="s">
        <v>1880</v>
      </c>
      <c r="D11847" s="7">
        <f>DATE(2018,12,28)</f>
        <v>43462</v>
      </c>
      <c r="E11847" s="8">
        <f t="shared" si="197"/>
        <v>2018</v>
      </c>
      <c r="F11847" t="s">
        <v>1881</v>
      </c>
      <c r="G11847" s="9">
        <v>9441.9599999999991</v>
      </c>
      <c r="H11847" s="8">
        <v>28127</v>
      </c>
    </row>
    <row r="11848" spans="2:8" x14ac:dyDescent="0.4">
      <c r="B11848" t="s">
        <v>7</v>
      </c>
      <c r="C11848" t="s">
        <v>1882</v>
      </c>
      <c r="D11848" s="7">
        <f>DATE(2015,4,27)</f>
        <v>42121</v>
      </c>
      <c r="E11848" s="8">
        <f t="shared" si="197"/>
        <v>2015</v>
      </c>
      <c r="F11848" t="s">
        <v>1883</v>
      </c>
      <c r="G11848" s="9">
        <v>2756.59</v>
      </c>
      <c r="H11848" s="8">
        <v>20381</v>
      </c>
    </row>
    <row r="11849" spans="2:8" x14ac:dyDescent="0.4">
      <c r="B11849" t="s">
        <v>7</v>
      </c>
      <c r="C11849" t="s">
        <v>1882</v>
      </c>
      <c r="D11849" s="7">
        <f>DATE(2015,7,22)</f>
        <v>42207</v>
      </c>
      <c r="E11849" s="8">
        <f t="shared" si="197"/>
        <v>2015</v>
      </c>
      <c r="F11849" t="s">
        <v>1883</v>
      </c>
      <c r="G11849" s="9">
        <v>2420.0700000000002</v>
      </c>
      <c r="H11849" s="8">
        <v>20919</v>
      </c>
    </row>
    <row r="11850" spans="2:8" x14ac:dyDescent="0.4">
      <c r="B11850" t="s">
        <v>7</v>
      </c>
      <c r="C11850" t="s">
        <v>1882</v>
      </c>
      <c r="D11850" s="7">
        <f>DATE(2007,9,17)</f>
        <v>39342</v>
      </c>
      <c r="E11850" s="8">
        <f t="shared" si="197"/>
        <v>2007</v>
      </c>
      <c r="F11850" t="s">
        <v>1883</v>
      </c>
      <c r="G11850" s="9">
        <v>7975</v>
      </c>
      <c r="H11850" s="8">
        <v>6128</v>
      </c>
    </row>
    <row r="11851" spans="2:8" x14ac:dyDescent="0.4">
      <c r="B11851" s="3" t="s">
        <v>7</v>
      </c>
      <c r="C11851" s="3" t="s">
        <v>1882</v>
      </c>
      <c r="D11851" s="4">
        <f>DATE(2007,9,17)</f>
        <v>39342</v>
      </c>
      <c r="E11851" s="5">
        <f t="shared" si="197"/>
        <v>2007</v>
      </c>
      <c r="F11851" s="3" t="s">
        <v>1883</v>
      </c>
      <c r="G11851" s="6">
        <v>2945</v>
      </c>
      <c r="H11851" s="5">
        <v>8836</v>
      </c>
    </row>
    <row r="11852" spans="2:8" x14ac:dyDescent="0.4">
      <c r="B11852" s="3" t="s">
        <v>7</v>
      </c>
      <c r="C11852" s="3" t="s">
        <v>1884</v>
      </c>
      <c r="D11852" s="4">
        <f>DATE(2008,10,28)</f>
        <v>39749</v>
      </c>
      <c r="E11852" s="5">
        <f t="shared" si="197"/>
        <v>2008</v>
      </c>
      <c r="F11852" s="3" t="s">
        <v>1885</v>
      </c>
      <c r="G11852" s="6">
        <v>659.32</v>
      </c>
      <c r="H11852" s="5">
        <v>11500</v>
      </c>
    </row>
    <row r="11853" spans="2:8" x14ac:dyDescent="0.4">
      <c r="B11853" s="3" t="s">
        <v>7</v>
      </c>
      <c r="C11853" s="3" t="s">
        <v>1884</v>
      </c>
      <c r="D11853" s="4">
        <f>DATE(2008,11,12)</f>
        <v>39764</v>
      </c>
      <c r="E11853" s="5">
        <f t="shared" si="197"/>
        <v>2008</v>
      </c>
      <c r="F11853" s="3" t="s">
        <v>1885</v>
      </c>
      <c r="G11853" s="6">
        <v>693.65</v>
      </c>
      <c r="H11853" s="5">
        <v>11577</v>
      </c>
    </row>
    <row r="11854" spans="2:8" x14ac:dyDescent="0.4">
      <c r="B11854" s="3" t="s">
        <v>7</v>
      </c>
      <c r="C11854" s="3" t="s">
        <v>1884</v>
      </c>
      <c r="D11854" s="4">
        <f>DATE(2008,11,17)</f>
        <v>39769</v>
      </c>
      <c r="E11854" s="5">
        <f t="shared" si="197"/>
        <v>2008</v>
      </c>
      <c r="F11854" s="3" t="s">
        <v>1885</v>
      </c>
      <c r="G11854" s="6">
        <v>84.91</v>
      </c>
      <c r="H11854" s="5">
        <v>11594</v>
      </c>
    </row>
    <row r="11855" spans="2:8" x14ac:dyDescent="0.4">
      <c r="B11855" s="3" t="s">
        <v>7</v>
      </c>
      <c r="C11855" s="3" t="s">
        <v>1884</v>
      </c>
      <c r="D11855" s="4">
        <f>DATE(2008,12,9)</f>
        <v>39791</v>
      </c>
      <c r="E11855" s="5">
        <f t="shared" si="197"/>
        <v>2008</v>
      </c>
      <c r="F11855" s="3" t="s">
        <v>1885</v>
      </c>
      <c r="G11855" s="6">
        <v>837.68</v>
      </c>
      <c r="H11855" s="5">
        <v>11668</v>
      </c>
    </row>
    <row r="11856" spans="2:8" x14ac:dyDescent="0.4">
      <c r="B11856" s="3" t="s">
        <v>7</v>
      </c>
      <c r="C11856" s="3" t="s">
        <v>1884</v>
      </c>
      <c r="D11856" s="4">
        <f>DATE(2008,12,11)</f>
        <v>39793</v>
      </c>
      <c r="E11856" s="5">
        <f t="shared" si="197"/>
        <v>2008</v>
      </c>
      <c r="F11856" s="3" t="s">
        <v>1885</v>
      </c>
      <c r="G11856" s="6">
        <v>69.709999999999994</v>
      </c>
      <c r="H11856" s="5">
        <v>11687</v>
      </c>
    </row>
    <row r="11857" spans="2:8" x14ac:dyDescent="0.4">
      <c r="B11857" s="3" t="s">
        <v>7</v>
      </c>
      <c r="C11857" s="3" t="s">
        <v>1884</v>
      </c>
      <c r="D11857" s="4">
        <f>DATE(2009,3,18)</f>
        <v>39890</v>
      </c>
      <c r="E11857" s="5">
        <f t="shared" si="197"/>
        <v>2009</v>
      </c>
      <c r="F11857" s="3" t="s">
        <v>1885</v>
      </c>
      <c r="G11857" s="6">
        <v>978.38</v>
      </c>
      <c r="H11857" s="5">
        <v>12233</v>
      </c>
    </row>
    <row r="11858" spans="2:8" x14ac:dyDescent="0.4">
      <c r="B11858" s="3" t="s">
        <v>7</v>
      </c>
      <c r="C11858" s="3" t="s">
        <v>1884</v>
      </c>
      <c r="D11858" s="4">
        <f>DATE(2009,5,1)</f>
        <v>39934</v>
      </c>
      <c r="E11858" s="5">
        <f t="shared" si="197"/>
        <v>2009</v>
      </c>
      <c r="F11858" s="3" t="s">
        <v>1885</v>
      </c>
      <c r="G11858" s="6">
        <v>978.38</v>
      </c>
      <c r="H11858" s="5">
        <v>12456</v>
      </c>
    </row>
    <row r="11859" spans="2:8" x14ac:dyDescent="0.4">
      <c r="B11859" s="3" t="s">
        <v>7</v>
      </c>
      <c r="C11859" s="3" t="s">
        <v>1884</v>
      </c>
      <c r="D11859" s="4">
        <f>DATE(2010,4,21)</f>
        <v>40289</v>
      </c>
      <c r="E11859" s="5">
        <f t="shared" si="197"/>
        <v>2010</v>
      </c>
      <c r="F11859" s="3" t="s">
        <v>1885</v>
      </c>
      <c r="G11859" s="6">
        <v>38.5</v>
      </c>
      <c r="H11859" s="5">
        <v>13944</v>
      </c>
    </row>
    <row r="11860" spans="2:8" x14ac:dyDescent="0.4">
      <c r="B11860" s="3" t="s">
        <v>7</v>
      </c>
      <c r="C11860" s="3" t="s">
        <v>1884</v>
      </c>
      <c r="D11860" s="4">
        <f>DATE(2010,7,22)</f>
        <v>40381</v>
      </c>
      <c r="E11860" s="5">
        <f t="shared" si="197"/>
        <v>2010</v>
      </c>
      <c r="F11860" s="3" t="s">
        <v>1885</v>
      </c>
      <c r="G11860" s="6">
        <v>1074</v>
      </c>
      <c r="H11860" s="5">
        <v>14280</v>
      </c>
    </row>
    <row r="11861" spans="2:8" x14ac:dyDescent="0.4">
      <c r="B11861" s="3" t="s">
        <v>7</v>
      </c>
      <c r="C11861" s="3" t="s">
        <v>1884</v>
      </c>
      <c r="D11861" s="4">
        <f>DATE(2010,10,18)</f>
        <v>40469</v>
      </c>
      <c r="E11861" s="5">
        <f t="shared" si="197"/>
        <v>2010</v>
      </c>
      <c r="F11861" s="3" t="s">
        <v>1885</v>
      </c>
      <c r="G11861" s="6">
        <v>1786</v>
      </c>
      <c r="H11861" s="5">
        <v>14625</v>
      </c>
    </row>
    <row r="11862" spans="2:8" x14ac:dyDescent="0.4">
      <c r="B11862" s="3" t="s">
        <v>16</v>
      </c>
      <c r="C11862" s="3" t="s">
        <v>1884</v>
      </c>
      <c r="D11862" s="4">
        <f>DATE(2008,12,18)</f>
        <v>39800</v>
      </c>
      <c r="E11862" s="5">
        <f t="shared" si="197"/>
        <v>2008</v>
      </c>
      <c r="F11862" s="3" t="s">
        <v>1885</v>
      </c>
      <c r="G11862" s="6">
        <v>651.9</v>
      </c>
      <c r="H11862" s="5">
        <v>11666</v>
      </c>
    </row>
    <row r="11863" spans="2:8" x14ac:dyDescent="0.4">
      <c r="B11863" s="3" t="s">
        <v>16</v>
      </c>
      <c r="C11863" s="3" t="s">
        <v>1884</v>
      </c>
      <c r="D11863" s="4">
        <f>DATE(2008,12,18)</f>
        <v>39800</v>
      </c>
      <c r="E11863" s="5">
        <f t="shared" si="197"/>
        <v>2008</v>
      </c>
      <c r="F11863" s="3" t="s">
        <v>1885</v>
      </c>
      <c r="G11863" s="6">
        <v>776.5</v>
      </c>
      <c r="H11863" s="5">
        <v>11712</v>
      </c>
    </row>
    <row r="11864" spans="2:8" x14ac:dyDescent="0.4">
      <c r="B11864" s="3" t="s">
        <v>16</v>
      </c>
      <c r="C11864" s="3" t="s">
        <v>1884</v>
      </c>
      <c r="D11864" s="4">
        <f>DATE(2009,6,18)</f>
        <v>39982</v>
      </c>
      <c r="E11864" s="5">
        <f t="shared" si="197"/>
        <v>2009</v>
      </c>
      <c r="F11864" s="3" t="s">
        <v>1885</v>
      </c>
      <c r="G11864" s="6">
        <v>55.38</v>
      </c>
      <c r="H11864" s="5">
        <v>12717</v>
      </c>
    </row>
    <row r="11865" spans="2:8" x14ac:dyDescent="0.4">
      <c r="B11865" s="3" t="s">
        <v>16</v>
      </c>
      <c r="C11865" s="3" t="s">
        <v>1884</v>
      </c>
      <c r="D11865" s="4">
        <f>DATE(2009,6,18)</f>
        <v>39982</v>
      </c>
      <c r="E11865" s="5">
        <f t="shared" si="197"/>
        <v>2009</v>
      </c>
      <c r="F11865" s="3" t="s">
        <v>1885</v>
      </c>
      <c r="G11865" s="6">
        <v>39.26</v>
      </c>
      <c r="H11865" s="5">
        <v>12718</v>
      </c>
    </row>
    <row r="11866" spans="2:8" x14ac:dyDescent="0.4">
      <c r="B11866" s="3" t="s">
        <v>16</v>
      </c>
      <c r="C11866" s="3" t="s">
        <v>1884</v>
      </c>
      <c r="D11866" s="4">
        <f>DATE(2009,6,18)</f>
        <v>39982</v>
      </c>
      <c r="E11866" s="5">
        <f t="shared" si="197"/>
        <v>2009</v>
      </c>
      <c r="F11866" s="3" t="s">
        <v>1885</v>
      </c>
      <c r="G11866" s="6">
        <v>55.38</v>
      </c>
      <c r="H11866" s="5">
        <v>12719</v>
      </c>
    </row>
    <row r="11867" spans="2:8" x14ac:dyDescent="0.4">
      <c r="B11867" s="3" t="s">
        <v>7</v>
      </c>
      <c r="C11867" s="3" t="s">
        <v>1886</v>
      </c>
      <c r="D11867" s="4">
        <f>DATE(2012,3,7)</f>
        <v>40975</v>
      </c>
      <c r="E11867" s="5">
        <f t="shared" si="197"/>
        <v>2012</v>
      </c>
      <c r="F11867" s="3" t="s">
        <v>1887</v>
      </c>
      <c r="G11867" s="6">
        <v>23400</v>
      </c>
      <c r="H11867" s="5">
        <v>16440</v>
      </c>
    </row>
    <row r="11868" spans="2:8" x14ac:dyDescent="0.4">
      <c r="B11868" t="s">
        <v>7</v>
      </c>
      <c r="C11868" t="s">
        <v>1888</v>
      </c>
      <c r="D11868" s="7">
        <f>DATE(2003,8,30)</f>
        <v>37863</v>
      </c>
      <c r="E11868" s="8">
        <f t="shared" si="197"/>
        <v>2003</v>
      </c>
      <c r="F11868" t="s">
        <v>1889</v>
      </c>
      <c r="G11868" s="9">
        <v>8081.58</v>
      </c>
      <c r="H11868" s="8">
        <v>848</v>
      </c>
    </row>
    <row r="11869" spans="2:8" x14ac:dyDescent="0.4">
      <c r="B11869" t="s">
        <v>7</v>
      </c>
      <c r="C11869" t="s">
        <v>1888</v>
      </c>
      <c r="D11869" s="7">
        <f>DATE(2009,5,18)</f>
        <v>39951</v>
      </c>
      <c r="E11869" s="8">
        <f t="shared" si="197"/>
        <v>2009</v>
      </c>
      <c r="F11869" t="s">
        <v>1889</v>
      </c>
      <c r="G11869" s="9">
        <v>22994.32</v>
      </c>
      <c r="H11869" s="8">
        <v>219</v>
      </c>
    </row>
    <row r="11870" spans="2:8" x14ac:dyDescent="0.4">
      <c r="B11870" t="s">
        <v>7</v>
      </c>
      <c r="C11870" t="s">
        <v>1890</v>
      </c>
      <c r="D11870" s="7">
        <f>DATE(2016,2,5)</f>
        <v>42405</v>
      </c>
      <c r="E11870" s="8">
        <f t="shared" si="197"/>
        <v>2016</v>
      </c>
      <c r="F11870" t="s">
        <v>1891</v>
      </c>
      <c r="G11870" s="9">
        <v>2773.46</v>
      </c>
      <c r="H11870" s="8">
        <v>22040</v>
      </c>
    </row>
    <row r="11871" spans="2:8" x14ac:dyDescent="0.4">
      <c r="B11871" t="s">
        <v>7</v>
      </c>
      <c r="C11871" t="s">
        <v>1890</v>
      </c>
      <c r="D11871" s="7">
        <f>DATE(2016,12,7)</f>
        <v>42711</v>
      </c>
      <c r="E11871" s="8">
        <f t="shared" si="197"/>
        <v>2016</v>
      </c>
      <c r="F11871" t="s">
        <v>1891</v>
      </c>
      <c r="G11871" s="9">
        <v>2777.25</v>
      </c>
      <c r="H11871" s="8">
        <v>23847</v>
      </c>
    </row>
    <row r="11872" spans="2:8" x14ac:dyDescent="0.4">
      <c r="B11872" t="s">
        <v>7</v>
      </c>
      <c r="C11872" t="s">
        <v>1890</v>
      </c>
      <c r="D11872" s="7">
        <f>DATE(2018,12,28)</f>
        <v>43462</v>
      </c>
      <c r="E11872" s="8">
        <f t="shared" si="197"/>
        <v>2018</v>
      </c>
      <c r="F11872" t="s">
        <v>1891</v>
      </c>
      <c r="G11872" s="9">
        <v>4305.08</v>
      </c>
      <c r="H11872" s="8">
        <v>28119</v>
      </c>
    </row>
    <row r="11873" spans="2:8" x14ac:dyDescent="0.4">
      <c r="B11873" t="s">
        <v>7</v>
      </c>
      <c r="C11873" t="s">
        <v>1890</v>
      </c>
      <c r="D11873" s="7">
        <f>DATE(2013,9,4)</f>
        <v>41521</v>
      </c>
      <c r="E11873" s="8">
        <f t="shared" si="197"/>
        <v>2013</v>
      </c>
      <c r="F11873" t="s">
        <v>1891</v>
      </c>
      <c r="G11873" s="9">
        <v>2605.71</v>
      </c>
      <c r="H11873" s="8">
        <v>12632</v>
      </c>
    </row>
    <row r="11874" spans="2:8" x14ac:dyDescent="0.4">
      <c r="B11874" t="s">
        <v>7</v>
      </c>
      <c r="C11874" t="s">
        <v>1890</v>
      </c>
      <c r="D11874" s="7">
        <f>DATE(2008,1,8)</f>
        <v>39455</v>
      </c>
      <c r="E11874" s="8">
        <f t="shared" si="197"/>
        <v>2008</v>
      </c>
      <c r="F11874" t="s">
        <v>1891</v>
      </c>
      <c r="G11874" s="9">
        <v>2020.06</v>
      </c>
      <c r="H11874" s="8">
        <v>6817</v>
      </c>
    </row>
    <row r="11875" spans="2:8" x14ac:dyDescent="0.4">
      <c r="B11875" t="s">
        <v>7</v>
      </c>
      <c r="C11875" t="s">
        <v>1890</v>
      </c>
      <c r="D11875" s="7">
        <f>DATE(2013,4,3)</f>
        <v>41367</v>
      </c>
      <c r="E11875" s="8">
        <f t="shared" si="197"/>
        <v>2013</v>
      </c>
      <c r="F11875" t="s">
        <v>1891</v>
      </c>
      <c r="G11875" s="9">
        <v>2553.81</v>
      </c>
      <c r="H11875" s="8">
        <v>12346</v>
      </c>
    </row>
    <row r="11876" spans="2:8" x14ac:dyDescent="0.4">
      <c r="B11876" t="s">
        <v>7</v>
      </c>
      <c r="C11876" t="s">
        <v>1890</v>
      </c>
      <c r="D11876" s="7">
        <f>DATE(2014,2,25)</f>
        <v>41695</v>
      </c>
      <c r="E11876" s="8">
        <f t="shared" si="197"/>
        <v>2014</v>
      </c>
      <c r="F11876" t="s">
        <v>1891</v>
      </c>
      <c r="G11876" s="9">
        <v>2998.63</v>
      </c>
      <c r="H11876" s="8">
        <v>12985</v>
      </c>
    </row>
    <row r="11877" spans="2:8" x14ac:dyDescent="0.4">
      <c r="B11877" t="s">
        <v>7</v>
      </c>
      <c r="C11877" t="s">
        <v>1873</v>
      </c>
      <c r="D11877" s="7">
        <f>DATE(2004,4,9)</f>
        <v>38086</v>
      </c>
      <c r="E11877" s="8">
        <f t="shared" si="197"/>
        <v>2004</v>
      </c>
      <c r="F11877" t="s">
        <v>1892</v>
      </c>
      <c r="G11877" s="9">
        <v>25750.3</v>
      </c>
      <c r="H11877" s="8">
        <v>1678</v>
      </c>
    </row>
    <row r="11878" spans="2:8" x14ac:dyDescent="0.4">
      <c r="B11878" t="s">
        <v>7</v>
      </c>
      <c r="C11878" t="s">
        <v>1873</v>
      </c>
      <c r="D11878" s="7">
        <f>DATE(2004,4,25)</f>
        <v>38102</v>
      </c>
      <c r="E11878" s="8">
        <f t="shared" si="197"/>
        <v>2004</v>
      </c>
      <c r="F11878" t="s">
        <v>1892</v>
      </c>
      <c r="G11878" s="9">
        <v>6198</v>
      </c>
      <c r="H11878" s="8">
        <v>1694</v>
      </c>
    </row>
    <row r="11879" spans="2:8" x14ac:dyDescent="0.4">
      <c r="B11879" t="s">
        <v>7</v>
      </c>
      <c r="C11879" t="s">
        <v>1873</v>
      </c>
      <c r="D11879" s="7">
        <f>DATE(2005,10,10)</f>
        <v>38635</v>
      </c>
      <c r="E11879" s="8">
        <f t="shared" si="197"/>
        <v>2005</v>
      </c>
      <c r="F11879" t="s">
        <v>1892</v>
      </c>
      <c r="G11879" s="9">
        <v>22540</v>
      </c>
      <c r="H11879" s="8">
        <v>3658</v>
      </c>
    </row>
    <row r="11880" spans="2:8" x14ac:dyDescent="0.4">
      <c r="B11880" t="s">
        <v>7</v>
      </c>
      <c r="C11880" t="s">
        <v>1873</v>
      </c>
      <c r="D11880" s="7">
        <f>DATE(2006,9,27)</f>
        <v>38987</v>
      </c>
      <c r="E11880" s="8">
        <f t="shared" si="197"/>
        <v>2006</v>
      </c>
      <c r="F11880" t="s">
        <v>1892</v>
      </c>
      <c r="G11880" s="9">
        <v>22540</v>
      </c>
      <c r="H11880" s="8">
        <v>4802</v>
      </c>
    </row>
    <row r="11881" spans="2:8" x14ac:dyDescent="0.4">
      <c r="B11881" t="s">
        <v>7</v>
      </c>
      <c r="C11881" t="s">
        <v>1873</v>
      </c>
      <c r="D11881" s="7">
        <f>DATE(2007,9,29)</f>
        <v>39354</v>
      </c>
      <c r="E11881" s="8">
        <f t="shared" si="197"/>
        <v>2007</v>
      </c>
      <c r="F11881" t="s">
        <v>1892</v>
      </c>
      <c r="G11881" s="9">
        <v>7792.1</v>
      </c>
      <c r="H11881" s="8">
        <v>6420</v>
      </c>
    </row>
    <row r="11882" spans="2:8" x14ac:dyDescent="0.4">
      <c r="B11882" t="s">
        <v>7</v>
      </c>
      <c r="C11882" t="s">
        <v>1873</v>
      </c>
      <c r="D11882" s="7">
        <f>DATE(2007,10,21)</f>
        <v>39376</v>
      </c>
      <c r="E11882" s="8">
        <f t="shared" si="197"/>
        <v>2007</v>
      </c>
      <c r="F11882" t="s">
        <v>1892</v>
      </c>
      <c r="G11882" s="9">
        <v>32956.39</v>
      </c>
      <c r="H11882" s="8">
        <v>6369</v>
      </c>
    </row>
    <row r="11883" spans="2:8" x14ac:dyDescent="0.4">
      <c r="B11883" t="s">
        <v>7</v>
      </c>
      <c r="C11883" t="s">
        <v>1873</v>
      </c>
      <c r="D11883" s="7">
        <f>DATE(2008,4,27)</f>
        <v>39565</v>
      </c>
      <c r="E11883" s="8">
        <f t="shared" si="197"/>
        <v>2008</v>
      </c>
      <c r="F11883" t="s">
        <v>1892</v>
      </c>
      <c r="G11883" s="9">
        <v>32314</v>
      </c>
      <c r="H11883" s="8">
        <v>7227</v>
      </c>
    </row>
    <row r="11884" spans="2:8" x14ac:dyDescent="0.4">
      <c r="B11884" t="s">
        <v>7</v>
      </c>
      <c r="C11884" t="s">
        <v>1873</v>
      </c>
      <c r="D11884" s="7">
        <f>DATE(2008,10,9)</f>
        <v>39730</v>
      </c>
      <c r="E11884" s="8">
        <f t="shared" si="197"/>
        <v>2008</v>
      </c>
      <c r="F11884" t="s">
        <v>1892</v>
      </c>
      <c r="G11884" s="9">
        <v>11172.82</v>
      </c>
      <c r="H11884" s="8">
        <v>7881</v>
      </c>
    </row>
    <row r="11885" spans="2:8" x14ac:dyDescent="0.4">
      <c r="B11885" t="s">
        <v>7</v>
      </c>
      <c r="C11885" t="s">
        <v>1873</v>
      </c>
      <c r="D11885" s="7">
        <f>DATE(2008,10,31)</f>
        <v>39752</v>
      </c>
      <c r="E11885" s="8">
        <f t="shared" si="197"/>
        <v>2008</v>
      </c>
      <c r="F11885" t="s">
        <v>1892</v>
      </c>
      <c r="G11885" s="9">
        <v>30902.9</v>
      </c>
      <c r="H11885" s="8">
        <v>7738</v>
      </c>
    </row>
    <row r="11886" spans="2:8" x14ac:dyDescent="0.4">
      <c r="B11886" t="s">
        <v>7</v>
      </c>
      <c r="C11886" t="s">
        <v>1873</v>
      </c>
      <c r="D11886" s="7">
        <f>DATE(2009,4,28)</f>
        <v>39931</v>
      </c>
      <c r="E11886" s="8">
        <f t="shared" si="197"/>
        <v>2009</v>
      </c>
      <c r="F11886" t="s">
        <v>1892</v>
      </c>
      <c r="G11886" s="9">
        <v>30724.6</v>
      </c>
      <c r="H11886" s="8">
        <v>8405</v>
      </c>
    </row>
    <row r="11887" spans="2:8" x14ac:dyDescent="0.4">
      <c r="B11887" t="s">
        <v>7</v>
      </c>
      <c r="C11887" t="s">
        <v>1873</v>
      </c>
      <c r="D11887" s="7">
        <f>DATE(2009,11,3)</f>
        <v>40120</v>
      </c>
      <c r="E11887" s="8">
        <f t="shared" si="197"/>
        <v>2009</v>
      </c>
      <c r="F11887" t="s">
        <v>1892</v>
      </c>
      <c r="G11887" s="9">
        <v>32876.080000000002</v>
      </c>
      <c r="H11887" s="8">
        <v>9068</v>
      </c>
    </row>
    <row r="11888" spans="2:8" x14ac:dyDescent="0.4">
      <c r="B11888" t="s">
        <v>7</v>
      </c>
      <c r="C11888" t="s">
        <v>1873</v>
      </c>
      <c r="D11888" s="7">
        <f>DATE(2010,4,28)</f>
        <v>40296</v>
      </c>
      <c r="E11888" s="8">
        <f t="shared" si="197"/>
        <v>2010</v>
      </c>
      <c r="F11888" t="s">
        <v>1892</v>
      </c>
      <c r="G11888" s="9">
        <v>31523.200000000001</v>
      </c>
      <c r="H11888" s="8">
        <v>9401</v>
      </c>
    </row>
    <row r="11889" spans="2:8" x14ac:dyDescent="0.4">
      <c r="B11889" t="s">
        <v>7</v>
      </c>
      <c r="C11889" t="s">
        <v>1873</v>
      </c>
      <c r="D11889" s="7">
        <f>DATE(2010,11,9)</f>
        <v>40491</v>
      </c>
      <c r="E11889" s="8">
        <f t="shared" si="197"/>
        <v>2010</v>
      </c>
      <c r="F11889" t="s">
        <v>1892</v>
      </c>
      <c r="G11889" s="9">
        <v>31502.09</v>
      </c>
      <c r="H11889" s="8">
        <v>10098</v>
      </c>
    </row>
    <row r="11890" spans="2:8" x14ac:dyDescent="0.4">
      <c r="B11890" t="s">
        <v>7</v>
      </c>
      <c r="C11890" t="s">
        <v>1873</v>
      </c>
      <c r="D11890" s="7">
        <f>DATE(2011,4,29)</f>
        <v>40662</v>
      </c>
      <c r="E11890" s="8">
        <f t="shared" si="197"/>
        <v>2011</v>
      </c>
      <c r="F11890" t="s">
        <v>1892</v>
      </c>
      <c r="G11890" s="9">
        <v>36301.18</v>
      </c>
      <c r="H11890" s="8">
        <v>10677</v>
      </c>
    </row>
    <row r="11891" spans="2:8" x14ac:dyDescent="0.4">
      <c r="B11891" t="s">
        <v>16</v>
      </c>
      <c r="C11891" t="s">
        <v>1873</v>
      </c>
      <c r="D11891" s="7">
        <f>DATE(2009,7,11)</f>
        <v>40005</v>
      </c>
      <c r="E11891" s="8">
        <f t="shared" si="197"/>
        <v>2009</v>
      </c>
      <c r="F11891" t="s">
        <v>1892</v>
      </c>
      <c r="G11891" s="9">
        <v>200</v>
      </c>
      <c r="H11891" s="8">
        <v>8882</v>
      </c>
    </row>
    <row r="11892" spans="2:8" x14ac:dyDescent="0.4">
      <c r="B11892" t="s">
        <v>16</v>
      </c>
      <c r="C11892" t="s">
        <v>1873</v>
      </c>
      <c r="D11892" s="7">
        <f>DATE(2011,1,5)</f>
        <v>40548</v>
      </c>
      <c r="E11892" s="8">
        <f t="shared" si="197"/>
        <v>2011</v>
      </c>
      <c r="F11892" t="s">
        <v>1892</v>
      </c>
      <c r="G11892" s="9">
        <v>1200</v>
      </c>
      <c r="H11892" s="8">
        <v>10353</v>
      </c>
    </row>
    <row r="11893" spans="2:8" x14ac:dyDescent="0.4">
      <c r="B11893" t="s">
        <v>7</v>
      </c>
      <c r="C11893" t="s">
        <v>1893</v>
      </c>
      <c r="D11893" s="7">
        <f>DATE(2007,5,1)</f>
        <v>39203</v>
      </c>
      <c r="E11893" s="8">
        <f t="shared" si="197"/>
        <v>2007</v>
      </c>
      <c r="F11893" t="s">
        <v>1894</v>
      </c>
      <c r="G11893" s="9">
        <v>24818.18</v>
      </c>
      <c r="H11893" s="8">
        <v>5905</v>
      </c>
    </row>
    <row r="11894" spans="2:8" x14ac:dyDescent="0.4">
      <c r="B11894" t="s">
        <v>7</v>
      </c>
      <c r="C11894" t="s">
        <v>1893</v>
      </c>
      <c r="D11894" s="7">
        <f>DATE(2007,5,13)</f>
        <v>39215</v>
      </c>
      <c r="E11894" s="8">
        <f t="shared" si="197"/>
        <v>2007</v>
      </c>
      <c r="F11894" t="s">
        <v>1894</v>
      </c>
      <c r="G11894" s="9">
        <v>21293.360000000001</v>
      </c>
      <c r="H11894" s="8">
        <v>5959</v>
      </c>
    </row>
    <row r="11895" spans="2:8" x14ac:dyDescent="0.4">
      <c r="B11895" t="s">
        <v>7</v>
      </c>
      <c r="C11895" t="s">
        <v>1893</v>
      </c>
      <c r="D11895" s="7">
        <f>DATE(2007,7,28)</f>
        <v>39291</v>
      </c>
      <c r="E11895" s="8">
        <f t="shared" si="197"/>
        <v>2007</v>
      </c>
      <c r="F11895" t="s">
        <v>1894</v>
      </c>
      <c r="G11895" s="9">
        <v>18205.28</v>
      </c>
      <c r="H11895" s="8">
        <v>6144</v>
      </c>
    </row>
    <row r="11896" spans="2:8" x14ac:dyDescent="0.4">
      <c r="B11896" t="s">
        <v>7</v>
      </c>
      <c r="C11896" t="s">
        <v>1893</v>
      </c>
      <c r="D11896" s="7">
        <f>DATE(2007,11,30)</f>
        <v>39416</v>
      </c>
      <c r="E11896" s="8">
        <f t="shared" si="197"/>
        <v>2007</v>
      </c>
      <c r="F11896" t="s">
        <v>1894</v>
      </c>
      <c r="G11896" s="9">
        <v>22825.31</v>
      </c>
      <c r="H11896" s="8">
        <v>6569</v>
      </c>
    </row>
    <row r="11897" spans="2:8" x14ac:dyDescent="0.4">
      <c r="B11897" t="s">
        <v>7</v>
      </c>
      <c r="C11897" t="s">
        <v>1893</v>
      </c>
      <c r="D11897" s="7">
        <f>DATE(2008,10,9)</f>
        <v>39730</v>
      </c>
      <c r="E11897" s="8">
        <f t="shared" si="197"/>
        <v>2008</v>
      </c>
      <c r="F11897" t="s">
        <v>1894</v>
      </c>
      <c r="G11897" s="9">
        <v>9794.8799999999992</v>
      </c>
      <c r="H11897" s="8">
        <v>7763</v>
      </c>
    </row>
    <row r="11898" spans="2:8" x14ac:dyDescent="0.4">
      <c r="B11898" t="s">
        <v>7</v>
      </c>
      <c r="C11898" t="s">
        <v>1895</v>
      </c>
      <c r="D11898" s="7">
        <f>DATE(2011,5,23)</f>
        <v>40686</v>
      </c>
      <c r="E11898" s="8">
        <f t="shared" si="197"/>
        <v>2011</v>
      </c>
      <c r="F11898" t="s">
        <v>1896</v>
      </c>
      <c r="G11898" s="9">
        <v>14674.99</v>
      </c>
      <c r="H11898" s="8">
        <v>10659</v>
      </c>
    </row>
    <row r="11899" spans="2:8" x14ac:dyDescent="0.4">
      <c r="B11899" t="s">
        <v>7</v>
      </c>
      <c r="C11899" t="s">
        <v>1895</v>
      </c>
      <c r="D11899" s="7">
        <f>DATE(2011,5,23)</f>
        <v>40686</v>
      </c>
      <c r="E11899" s="8">
        <f t="shared" si="197"/>
        <v>2011</v>
      </c>
      <c r="F11899" t="s">
        <v>1897</v>
      </c>
      <c r="G11899" s="9">
        <v>16242</v>
      </c>
      <c r="H11899" s="8">
        <v>10660</v>
      </c>
    </row>
    <row r="11900" spans="2:8" x14ac:dyDescent="0.4">
      <c r="B11900" t="s">
        <v>7</v>
      </c>
      <c r="C11900" t="s">
        <v>1895</v>
      </c>
      <c r="D11900" s="7">
        <f>DATE(2005,9,28)</f>
        <v>38623</v>
      </c>
      <c r="E11900" s="8">
        <f t="shared" si="197"/>
        <v>2005</v>
      </c>
      <c r="F11900" t="s">
        <v>1897</v>
      </c>
      <c r="G11900" s="9">
        <v>5118.6499999999996</v>
      </c>
      <c r="H11900" s="8">
        <v>3642</v>
      </c>
    </row>
    <row r="11901" spans="2:8" x14ac:dyDescent="0.4">
      <c r="B11901" t="s">
        <v>7</v>
      </c>
      <c r="C11901" t="s">
        <v>1895</v>
      </c>
      <c r="D11901" s="7">
        <f>DATE(2007,4,10)</f>
        <v>39182</v>
      </c>
      <c r="E11901" s="8">
        <f t="shared" si="197"/>
        <v>2007</v>
      </c>
      <c r="F11901" t="s">
        <v>1897</v>
      </c>
      <c r="G11901" s="9">
        <v>3118.86</v>
      </c>
      <c r="H11901" s="8">
        <v>5835</v>
      </c>
    </row>
    <row r="11902" spans="2:8" x14ac:dyDescent="0.4">
      <c r="B11902" t="s">
        <v>7</v>
      </c>
      <c r="C11902" t="s">
        <v>1895</v>
      </c>
      <c r="D11902" s="7">
        <f>DATE(2007,4,4)</f>
        <v>39176</v>
      </c>
      <c r="E11902" s="8">
        <f t="shared" si="197"/>
        <v>2007</v>
      </c>
      <c r="F11902" t="s">
        <v>1897</v>
      </c>
      <c r="G11902" s="9">
        <v>7990</v>
      </c>
      <c r="H11902" s="8">
        <v>5775</v>
      </c>
    </row>
    <row r="11903" spans="2:8" x14ac:dyDescent="0.4">
      <c r="B11903" t="s">
        <v>7</v>
      </c>
      <c r="C11903" t="s">
        <v>1895</v>
      </c>
      <c r="D11903" s="7">
        <f>DATE(2008,6,5)</f>
        <v>39604</v>
      </c>
      <c r="E11903" s="8">
        <f t="shared" si="197"/>
        <v>2008</v>
      </c>
      <c r="F11903" t="s">
        <v>1897</v>
      </c>
      <c r="G11903" s="9">
        <v>4780.88</v>
      </c>
      <c r="H11903" s="8">
        <v>7494</v>
      </c>
    </row>
    <row r="11904" spans="2:8" x14ac:dyDescent="0.4">
      <c r="B11904" t="s">
        <v>7</v>
      </c>
      <c r="C11904" t="s">
        <v>1895</v>
      </c>
      <c r="D11904" s="7">
        <f>DATE(2010,11,18)</f>
        <v>40500</v>
      </c>
      <c r="E11904" s="8">
        <f t="shared" si="197"/>
        <v>2010</v>
      </c>
      <c r="F11904" t="s">
        <v>1897</v>
      </c>
      <c r="G11904" s="9">
        <v>5675.42</v>
      </c>
      <c r="H11904" s="8">
        <v>10258</v>
      </c>
    </row>
    <row r="11905" spans="2:8" x14ac:dyDescent="0.4">
      <c r="B11905" t="s">
        <v>7</v>
      </c>
      <c r="C11905" t="s">
        <v>1895</v>
      </c>
      <c r="D11905" s="7">
        <f>DATE(2004,11,19)</f>
        <v>38310</v>
      </c>
      <c r="E11905" s="8">
        <f t="shared" si="197"/>
        <v>2004</v>
      </c>
      <c r="F11905" t="s">
        <v>1898</v>
      </c>
      <c r="G11905" s="9">
        <v>24729.59</v>
      </c>
      <c r="H11905" s="8">
        <v>2357</v>
      </c>
    </row>
    <row r="11906" spans="2:8" x14ac:dyDescent="0.4">
      <c r="B11906" s="3" t="s">
        <v>7</v>
      </c>
      <c r="C11906" s="3" t="s">
        <v>1899</v>
      </c>
      <c r="D11906" s="4">
        <f>DATE(2008,10,13)</f>
        <v>39734</v>
      </c>
      <c r="E11906" s="5">
        <f t="shared" si="197"/>
        <v>2008</v>
      </c>
      <c r="F11906" s="3" t="s">
        <v>1900</v>
      </c>
      <c r="G11906" s="6">
        <v>19900.3</v>
      </c>
      <c r="H11906" s="5">
        <v>3103</v>
      </c>
    </row>
    <row r="11907" spans="2:8" x14ac:dyDescent="0.4">
      <c r="B11907" t="s">
        <v>7</v>
      </c>
      <c r="C11907" t="s">
        <v>1901</v>
      </c>
      <c r="D11907" s="7">
        <f>DATE(2006,2,21)</f>
        <v>38769</v>
      </c>
      <c r="E11907" s="8">
        <f t="shared" ref="E11907:E11970" si="198">YEAR(D11907)</f>
        <v>2006</v>
      </c>
      <c r="F11907" t="s">
        <v>1902</v>
      </c>
      <c r="G11907" s="9">
        <v>3604.69</v>
      </c>
      <c r="H11907" s="8">
        <v>4135</v>
      </c>
    </row>
    <row r="11908" spans="2:8" x14ac:dyDescent="0.4">
      <c r="B11908" t="s">
        <v>7</v>
      </c>
      <c r="C11908" t="s">
        <v>1903</v>
      </c>
      <c r="D11908" s="7">
        <f>DATE(2015,10,28)</f>
        <v>42305</v>
      </c>
      <c r="E11908" s="8">
        <f t="shared" si="198"/>
        <v>2015</v>
      </c>
      <c r="F11908" t="s">
        <v>1904</v>
      </c>
      <c r="G11908" s="9">
        <v>363.6</v>
      </c>
      <c r="H11908" s="8">
        <v>21442</v>
      </c>
    </row>
    <row r="11909" spans="2:8" x14ac:dyDescent="0.4">
      <c r="B11909" t="s">
        <v>7</v>
      </c>
      <c r="C11909" t="s">
        <v>1903</v>
      </c>
      <c r="D11909" s="7">
        <f>DATE(2017,5,4)</f>
        <v>42859</v>
      </c>
      <c r="E11909" s="8">
        <f t="shared" si="198"/>
        <v>2017</v>
      </c>
      <c r="F11909" t="s">
        <v>1904</v>
      </c>
      <c r="G11909" s="9">
        <v>367.75</v>
      </c>
      <c r="H11909" s="8">
        <v>24862</v>
      </c>
    </row>
    <row r="11910" spans="2:8" x14ac:dyDescent="0.4">
      <c r="B11910" t="s">
        <v>7</v>
      </c>
      <c r="C11910" t="s">
        <v>1786</v>
      </c>
      <c r="D11910" s="7">
        <f>DATE(2015,10,13)</f>
        <v>42290</v>
      </c>
      <c r="E11910" s="8">
        <f t="shared" si="198"/>
        <v>2015</v>
      </c>
      <c r="F11910" t="s">
        <v>1905</v>
      </c>
      <c r="G11910" s="9">
        <v>66526.38</v>
      </c>
      <c r="H11910" s="8">
        <v>20282</v>
      </c>
    </row>
    <row r="11911" spans="2:8" x14ac:dyDescent="0.4">
      <c r="B11911" t="s">
        <v>7</v>
      </c>
      <c r="C11911" t="s">
        <v>1786</v>
      </c>
      <c r="D11911" s="7">
        <f>DATE(2016,7,1)</f>
        <v>42552</v>
      </c>
      <c r="E11911" s="8">
        <f t="shared" si="198"/>
        <v>2016</v>
      </c>
      <c r="F11911" t="s">
        <v>1905</v>
      </c>
      <c r="G11911" s="9">
        <v>106276</v>
      </c>
      <c r="H11911" s="8">
        <v>22916</v>
      </c>
    </row>
    <row r="11912" spans="2:8" x14ac:dyDescent="0.4">
      <c r="B11912" t="s">
        <v>7</v>
      </c>
      <c r="C11912" t="s">
        <v>1786</v>
      </c>
      <c r="D11912" s="7">
        <f>DATE(2004,3,12)</f>
        <v>38058</v>
      </c>
      <c r="E11912" s="8">
        <f t="shared" si="198"/>
        <v>2004</v>
      </c>
      <c r="F11912" t="s">
        <v>1905</v>
      </c>
      <c r="G11912" s="9">
        <v>12000</v>
      </c>
      <c r="H11912" s="8">
        <v>1424</v>
      </c>
    </row>
    <row r="11913" spans="2:8" x14ac:dyDescent="0.4">
      <c r="B11913" t="s">
        <v>7</v>
      </c>
      <c r="C11913" t="s">
        <v>1786</v>
      </c>
      <c r="D11913" s="7">
        <f>DATE(2004,3,12)</f>
        <v>38058</v>
      </c>
      <c r="E11913" s="8">
        <f t="shared" si="198"/>
        <v>2004</v>
      </c>
      <c r="F11913" t="s">
        <v>1905</v>
      </c>
      <c r="G11913" s="9">
        <v>8000</v>
      </c>
      <c r="H11913" s="8">
        <v>1652</v>
      </c>
    </row>
    <row r="11914" spans="2:8" x14ac:dyDescent="0.4">
      <c r="B11914" t="s">
        <v>7</v>
      </c>
      <c r="C11914" t="s">
        <v>1786</v>
      </c>
      <c r="D11914" s="7">
        <f>DATE(2004,6,17)</f>
        <v>38155</v>
      </c>
      <c r="E11914" s="8">
        <f t="shared" si="198"/>
        <v>2004</v>
      </c>
      <c r="F11914" t="s">
        <v>1905</v>
      </c>
      <c r="G11914" s="9">
        <v>6500</v>
      </c>
      <c r="H11914" s="8">
        <v>1845</v>
      </c>
    </row>
    <row r="11915" spans="2:8" x14ac:dyDescent="0.4">
      <c r="B11915" t="s">
        <v>7</v>
      </c>
      <c r="C11915" t="s">
        <v>1786</v>
      </c>
      <c r="D11915" s="7">
        <f>DATE(2008,4,1)</f>
        <v>39539</v>
      </c>
      <c r="E11915" s="8">
        <f t="shared" si="198"/>
        <v>2008</v>
      </c>
      <c r="F11915" t="s">
        <v>1905</v>
      </c>
      <c r="G11915" s="9">
        <v>8565.7800000000007</v>
      </c>
      <c r="H11915" s="8">
        <v>7160</v>
      </c>
    </row>
    <row r="11916" spans="2:8" x14ac:dyDescent="0.4">
      <c r="B11916" t="s">
        <v>7</v>
      </c>
      <c r="C11916" t="s">
        <v>1786</v>
      </c>
      <c r="D11916" s="7">
        <f>DATE(2008,7,1)</f>
        <v>39630</v>
      </c>
      <c r="E11916" s="8">
        <f t="shared" si="198"/>
        <v>2008</v>
      </c>
      <c r="F11916" t="s">
        <v>1905</v>
      </c>
      <c r="G11916" s="9">
        <v>18185</v>
      </c>
      <c r="H11916" s="8">
        <v>7498</v>
      </c>
    </row>
    <row r="11917" spans="2:8" x14ac:dyDescent="0.4">
      <c r="B11917" t="s">
        <v>7</v>
      </c>
      <c r="C11917" t="s">
        <v>1786</v>
      </c>
      <c r="D11917" s="7">
        <f>DATE(2010,8,3)</f>
        <v>40393</v>
      </c>
      <c r="E11917" s="8">
        <f t="shared" si="198"/>
        <v>2010</v>
      </c>
      <c r="F11917" t="s">
        <v>1905</v>
      </c>
      <c r="G11917" s="9">
        <v>8602.08</v>
      </c>
      <c r="H11917" s="8">
        <v>9980</v>
      </c>
    </row>
    <row r="11918" spans="2:8" x14ac:dyDescent="0.4">
      <c r="B11918" t="s">
        <v>7</v>
      </c>
      <c r="C11918" t="s">
        <v>1786</v>
      </c>
      <c r="D11918" s="7">
        <f>DATE(2011,7,19)</f>
        <v>40743</v>
      </c>
      <c r="E11918" s="8">
        <f t="shared" si="198"/>
        <v>2011</v>
      </c>
      <c r="F11918" t="s">
        <v>1905</v>
      </c>
      <c r="G11918" s="9">
        <v>7178.11</v>
      </c>
      <c r="H11918" s="8">
        <v>10794</v>
      </c>
    </row>
    <row r="11919" spans="2:8" x14ac:dyDescent="0.4">
      <c r="B11919" t="s">
        <v>7</v>
      </c>
      <c r="C11919" t="s">
        <v>1786</v>
      </c>
      <c r="D11919" s="7">
        <f>DATE(2012,7,25)</f>
        <v>41115</v>
      </c>
      <c r="E11919" s="8">
        <f t="shared" si="198"/>
        <v>2012</v>
      </c>
      <c r="F11919" t="s">
        <v>1905</v>
      </c>
      <c r="G11919" s="9">
        <v>9496.44</v>
      </c>
      <c r="H11919" s="8">
        <v>11694</v>
      </c>
    </row>
    <row r="11920" spans="2:8" x14ac:dyDescent="0.4">
      <c r="B11920" t="s">
        <v>7</v>
      </c>
      <c r="C11920" t="s">
        <v>1786</v>
      </c>
      <c r="D11920" s="7">
        <f>DATE(2012,11,13)</f>
        <v>41226</v>
      </c>
      <c r="E11920" s="8">
        <f t="shared" si="198"/>
        <v>2012</v>
      </c>
      <c r="F11920" t="s">
        <v>1905</v>
      </c>
      <c r="G11920" s="9">
        <v>7468.63</v>
      </c>
      <c r="H11920" s="8">
        <v>11969</v>
      </c>
    </row>
    <row r="11921" spans="2:8" x14ac:dyDescent="0.4">
      <c r="B11921" t="s">
        <v>16</v>
      </c>
      <c r="C11921" t="s">
        <v>1786</v>
      </c>
      <c r="D11921" s="7">
        <f>DATE(2004,3,12)</f>
        <v>38058</v>
      </c>
      <c r="E11921" s="8">
        <f t="shared" si="198"/>
        <v>2004</v>
      </c>
      <c r="F11921" t="s">
        <v>1905</v>
      </c>
      <c r="G11921" s="9">
        <v>12000</v>
      </c>
      <c r="H11921" s="8">
        <v>1642</v>
      </c>
    </row>
    <row r="11922" spans="2:8" x14ac:dyDescent="0.4">
      <c r="B11922" s="3" t="s">
        <v>7</v>
      </c>
      <c r="C11922" s="3" t="s">
        <v>1786</v>
      </c>
      <c r="D11922" s="4">
        <f>DATE(2013,6,25)</f>
        <v>41450</v>
      </c>
      <c r="E11922" s="5">
        <f t="shared" si="198"/>
        <v>2013</v>
      </c>
      <c r="F11922" s="3" t="s">
        <v>1905</v>
      </c>
      <c r="G11922" s="6">
        <v>15857.76</v>
      </c>
      <c r="H11922" s="5">
        <v>5581</v>
      </c>
    </row>
    <row r="11923" spans="2:8" x14ac:dyDescent="0.4">
      <c r="B11923" s="3" t="s">
        <v>7</v>
      </c>
      <c r="C11923" s="3" t="s">
        <v>1786</v>
      </c>
      <c r="D11923" s="4">
        <f>DATE(2014,6,20)</f>
        <v>41810</v>
      </c>
      <c r="E11923" s="5">
        <f t="shared" si="198"/>
        <v>2014</v>
      </c>
      <c r="F11923" s="3" t="s">
        <v>1905</v>
      </c>
      <c r="G11923" s="6">
        <v>15910.78</v>
      </c>
      <c r="H11923" s="5">
        <v>6197</v>
      </c>
    </row>
    <row r="11924" spans="2:8" x14ac:dyDescent="0.4">
      <c r="B11924" s="3" t="s">
        <v>7</v>
      </c>
      <c r="C11924" s="3" t="s">
        <v>1786</v>
      </c>
      <c r="D11924" s="4">
        <f>DATE(2003,2,10)</f>
        <v>37662</v>
      </c>
      <c r="E11924" s="5">
        <f t="shared" si="198"/>
        <v>2003</v>
      </c>
      <c r="F11924" s="3" t="s">
        <v>1905</v>
      </c>
      <c r="G11924" s="6">
        <v>8714.9</v>
      </c>
      <c r="H11924" s="5">
        <v>241</v>
      </c>
    </row>
    <row r="11925" spans="2:8" x14ac:dyDescent="0.4">
      <c r="B11925" s="3" t="s">
        <v>7</v>
      </c>
      <c r="C11925" s="3" t="s">
        <v>1786</v>
      </c>
      <c r="D11925" s="4">
        <f>DATE(2003,4,22)</f>
        <v>37733</v>
      </c>
      <c r="E11925" s="5">
        <f t="shared" si="198"/>
        <v>2003</v>
      </c>
      <c r="F11925" s="3" t="s">
        <v>1905</v>
      </c>
      <c r="G11925" s="6">
        <v>8720.9</v>
      </c>
      <c r="H11925" s="5">
        <v>697</v>
      </c>
    </row>
    <row r="11926" spans="2:8" x14ac:dyDescent="0.4">
      <c r="B11926" t="s">
        <v>7</v>
      </c>
      <c r="C11926" t="s">
        <v>1906</v>
      </c>
      <c r="D11926" s="7">
        <f>DATE(2015,1,23)</f>
        <v>42027</v>
      </c>
      <c r="E11926" s="8">
        <f t="shared" si="198"/>
        <v>2015</v>
      </c>
      <c r="F11926" t="s">
        <v>1907</v>
      </c>
      <c r="G11926" s="9">
        <v>248.5</v>
      </c>
      <c r="H11926" s="8">
        <v>29</v>
      </c>
    </row>
    <row r="11927" spans="2:8" x14ac:dyDescent="0.4">
      <c r="B11927" t="s">
        <v>7</v>
      </c>
      <c r="C11927" t="s">
        <v>1906</v>
      </c>
      <c r="D11927" s="7">
        <f>DATE(2015,3,19)</f>
        <v>42082</v>
      </c>
      <c r="E11927" s="8">
        <f t="shared" si="198"/>
        <v>2015</v>
      </c>
      <c r="F11927" t="s">
        <v>1907</v>
      </c>
      <c r="G11927" s="9">
        <v>958</v>
      </c>
      <c r="H11927" s="8">
        <v>20134</v>
      </c>
    </row>
    <row r="11928" spans="2:8" x14ac:dyDescent="0.4">
      <c r="B11928" t="s">
        <v>7</v>
      </c>
      <c r="C11928" t="s">
        <v>1906</v>
      </c>
      <c r="D11928" s="7">
        <f>DATE(2015,2,13)</f>
        <v>42048</v>
      </c>
      <c r="E11928" s="8">
        <f t="shared" si="198"/>
        <v>2015</v>
      </c>
      <c r="F11928" t="s">
        <v>1907</v>
      </c>
      <c r="G11928" s="9">
        <v>9140.69</v>
      </c>
      <c r="H11928" s="8">
        <v>352</v>
      </c>
    </row>
    <row r="11929" spans="2:8" x14ac:dyDescent="0.4">
      <c r="B11929" t="s">
        <v>7</v>
      </c>
      <c r="C11929" t="s">
        <v>1906</v>
      </c>
      <c r="D11929" s="7">
        <f>DATE(2010,8,12)</f>
        <v>40402</v>
      </c>
      <c r="E11929" s="8">
        <f t="shared" si="198"/>
        <v>2010</v>
      </c>
      <c r="F11929" t="s">
        <v>1907</v>
      </c>
      <c r="G11929" s="9">
        <v>1140.53</v>
      </c>
      <c r="H11929" s="8">
        <v>9987</v>
      </c>
    </row>
    <row r="11930" spans="2:8" x14ac:dyDescent="0.4">
      <c r="B11930" t="s">
        <v>7</v>
      </c>
      <c r="C11930" t="s">
        <v>1906</v>
      </c>
      <c r="D11930" s="7">
        <f>DATE(2004,4,13)</f>
        <v>38090</v>
      </c>
      <c r="E11930" s="8">
        <f t="shared" si="198"/>
        <v>2004</v>
      </c>
      <c r="F11930" t="s">
        <v>1907</v>
      </c>
      <c r="G11930" s="9">
        <v>4864.93</v>
      </c>
      <c r="H11930" s="8">
        <v>1641</v>
      </c>
    </row>
    <row r="11931" spans="2:8" x14ac:dyDescent="0.4">
      <c r="B11931" t="s">
        <v>7</v>
      </c>
      <c r="C11931" t="s">
        <v>1906</v>
      </c>
      <c r="D11931" s="7">
        <f>DATE(2011,7,14)</f>
        <v>40738</v>
      </c>
      <c r="E11931" s="8">
        <f t="shared" si="198"/>
        <v>2011</v>
      </c>
      <c r="F11931" t="s">
        <v>1907</v>
      </c>
      <c r="G11931" s="9">
        <v>7112.36</v>
      </c>
      <c r="H11931" s="8">
        <v>10838</v>
      </c>
    </row>
    <row r="11932" spans="2:8" x14ac:dyDescent="0.4">
      <c r="B11932" t="s">
        <v>7</v>
      </c>
      <c r="C11932" t="s">
        <v>1906</v>
      </c>
      <c r="D11932" s="7">
        <f>DATE(2014,3,13)</f>
        <v>41711</v>
      </c>
      <c r="E11932" s="8">
        <f t="shared" si="198"/>
        <v>2014</v>
      </c>
      <c r="F11932" t="s">
        <v>1907</v>
      </c>
      <c r="G11932" s="9">
        <v>6682.65</v>
      </c>
      <c r="H11932" s="8">
        <v>13050</v>
      </c>
    </row>
    <row r="11933" spans="2:8" x14ac:dyDescent="0.4">
      <c r="B11933" s="3" t="s">
        <v>7</v>
      </c>
      <c r="C11933" s="3" t="s">
        <v>1906</v>
      </c>
      <c r="D11933" s="4">
        <f>DATE(2003,5,29)</f>
        <v>37770</v>
      </c>
      <c r="E11933" s="5">
        <f t="shared" si="198"/>
        <v>2003</v>
      </c>
      <c r="F11933" s="3" t="s">
        <v>1907</v>
      </c>
      <c r="G11933" s="6">
        <v>454</v>
      </c>
      <c r="H11933" s="5">
        <v>1027</v>
      </c>
    </row>
    <row r="11934" spans="2:8" x14ac:dyDescent="0.4">
      <c r="B11934" s="3" t="s">
        <v>7</v>
      </c>
      <c r="C11934" s="3" t="s">
        <v>1906</v>
      </c>
      <c r="D11934" s="4">
        <f>DATE(2003,7,9)</f>
        <v>37811</v>
      </c>
      <c r="E11934" s="5">
        <f t="shared" si="198"/>
        <v>2003</v>
      </c>
      <c r="F11934" s="3" t="s">
        <v>1907</v>
      </c>
      <c r="G11934" s="6">
        <v>757</v>
      </c>
      <c r="H11934" s="5">
        <v>1173</v>
      </c>
    </row>
    <row r="11935" spans="2:8" x14ac:dyDescent="0.4">
      <c r="B11935" s="3" t="s">
        <v>7</v>
      </c>
      <c r="C11935" s="3" t="s">
        <v>1906</v>
      </c>
      <c r="D11935" s="4">
        <f>DATE(2004,3,19)</f>
        <v>38065</v>
      </c>
      <c r="E11935" s="5">
        <f t="shared" si="198"/>
        <v>2004</v>
      </c>
      <c r="F11935" s="3" t="s">
        <v>1907</v>
      </c>
      <c r="G11935" s="6">
        <v>758</v>
      </c>
      <c r="H11935" s="5">
        <v>2406</v>
      </c>
    </row>
    <row r="11936" spans="2:8" x14ac:dyDescent="0.4">
      <c r="B11936" s="3" t="s">
        <v>7</v>
      </c>
      <c r="C11936" s="3" t="s">
        <v>1906</v>
      </c>
      <c r="D11936" s="4">
        <f>DATE(2004,4,20)</f>
        <v>38097</v>
      </c>
      <c r="E11936" s="5">
        <f t="shared" si="198"/>
        <v>2004</v>
      </c>
      <c r="F11936" s="3" t="s">
        <v>1907</v>
      </c>
      <c r="G11936" s="6">
        <v>2271</v>
      </c>
      <c r="H11936" s="5">
        <v>2685</v>
      </c>
    </row>
    <row r="11937" spans="2:8" x14ac:dyDescent="0.4">
      <c r="B11937" s="3" t="s">
        <v>7</v>
      </c>
      <c r="C11937" s="3" t="s">
        <v>1906</v>
      </c>
      <c r="D11937" s="4">
        <f>DATE(2010,7,23)</f>
        <v>40382</v>
      </c>
      <c r="E11937" s="5">
        <f t="shared" si="198"/>
        <v>2010</v>
      </c>
      <c r="F11937" s="3" t="s">
        <v>1907</v>
      </c>
      <c r="G11937" s="6">
        <v>865</v>
      </c>
      <c r="H11937" s="5">
        <v>14269</v>
      </c>
    </row>
    <row r="11938" spans="2:8" x14ac:dyDescent="0.4">
      <c r="B11938" s="3" t="s">
        <v>7</v>
      </c>
      <c r="C11938" s="3" t="s">
        <v>1906</v>
      </c>
      <c r="D11938" s="4">
        <f>DATE(2011,2,11)</f>
        <v>40585</v>
      </c>
      <c r="E11938" s="5">
        <f t="shared" si="198"/>
        <v>2011</v>
      </c>
      <c r="F11938" s="3" t="s">
        <v>1907</v>
      </c>
      <c r="G11938" s="6">
        <v>740.95</v>
      </c>
      <c r="H11938" s="5">
        <v>15059</v>
      </c>
    </row>
    <row r="11939" spans="2:8" x14ac:dyDescent="0.4">
      <c r="B11939" s="3" t="s">
        <v>7</v>
      </c>
      <c r="C11939" s="3" t="s">
        <v>1906</v>
      </c>
      <c r="D11939" s="4">
        <f>DATE(2011,8,18)</f>
        <v>40773</v>
      </c>
      <c r="E11939" s="5">
        <f t="shared" si="198"/>
        <v>2011</v>
      </c>
      <c r="F11939" s="3" t="s">
        <v>1907</v>
      </c>
      <c r="G11939" s="6">
        <v>955</v>
      </c>
      <c r="H11939" s="5">
        <v>15865</v>
      </c>
    </row>
    <row r="11940" spans="2:8" x14ac:dyDescent="0.4">
      <c r="B11940" s="3" t="s">
        <v>7</v>
      </c>
      <c r="C11940" s="3" t="s">
        <v>1906</v>
      </c>
      <c r="D11940" s="4">
        <f>DATE(2011,9,8)</f>
        <v>40794</v>
      </c>
      <c r="E11940" s="5">
        <f t="shared" si="198"/>
        <v>2011</v>
      </c>
      <c r="F11940" s="3" t="s">
        <v>1907</v>
      </c>
      <c r="G11940" s="6">
        <v>955</v>
      </c>
      <c r="H11940" s="5">
        <v>15943</v>
      </c>
    </row>
    <row r="11941" spans="2:8" x14ac:dyDescent="0.4">
      <c r="B11941" s="3" t="s">
        <v>7</v>
      </c>
      <c r="C11941" s="3" t="s">
        <v>1906</v>
      </c>
      <c r="D11941" s="4">
        <f>DATE(2012,5,21)</f>
        <v>41050</v>
      </c>
      <c r="E11941" s="5">
        <f t="shared" si="198"/>
        <v>2012</v>
      </c>
      <c r="F11941" s="3" t="s">
        <v>1907</v>
      </c>
      <c r="G11941" s="6">
        <v>956</v>
      </c>
      <c r="H11941" s="5">
        <v>17167</v>
      </c>
    </row>
    <row r="11942" spans="2:8" x14ac:dyDescent="0.4">
      <c r="B11942" s="3" t="s">
        <v>7</v>
      </c>
      <c r="C11942" s="3" t="s">
        <v>1906</v>
      </c>
      <c r="D11942" s="4">
        <f>DATE(2012,9,28)</f>
        <v>41180</v>
      </c>
      <c r="E11942" s="5">
        <f t="shared" si="198"/>
        <v>2012</v>
      </c>
      <c r="F11942" s="3" t="s">
        <v>1907</v>
      </c>
      <c r="G11942" s="6">
        <v>956</v>
      </c>
      <c r="H11942" s="5">
        <v>17661</v>
      </c>
    </row>
    <row r="11943" spans="2:8" x14ac:dyDescent="0.4">
      <c r="B11943" s="3" t="s">
        <v>7</v>
      </c>
      <c r="C11943" s="3" t="s">
        <v>1906</v>
      </c>
      <c r="D11943" s="4">
        <f>DATE(2013,2,28)</f>
        <v>41333</v>
      </c>
      <c r="E11943" s="5">
        <f t="shared" si="198"/>
        <v>2013</v>
      </c>
      <c r="F11943" s="3" t="s">
        <v>1907</v>
      </c>
      <c r="G11943" s="6">
        <v>956</v>
      </c>
      <c r="H11943" s="5">
        <v>18220</v>
      </c>
    </row>
    <row r="11944" spans="2:8" x14ac:dyDescent="0.4">
      <c r="B11944" s="3" t="s">
        <v>7</v>
      </c>
      <c r="C11944" s="3" t="s">
        <v>1906</v>
      </c>
      <c r="D11944" s="4">
        <f>DATE(2013,3,5)</f>
        <v>41338</v>
      </c>
      <c r="E11944" s="5">
        <f t="shared" si="198"/>
        <v>2013</v>
      </c>
      <c r="F11944" s="3" t="s">
        <v>1907</v>
      </c>
      <c r="G11944" s="6">
        <v>956</v>
      </c>
      <c r="H11944" s="5">
        <v>18264</v>
      </c>
    </row>
    <row r="11945" spans="2:8" x14ac:dyDescent="0.4">
      <c r="B11945" s="3" t="s">
        <v>7</v>
      </c>
      <c r="C11945" s="3" t="s">
        <v>1906</v>
      </c>
      <c r="D11945" s="4">
        <f>DATE(2013,4,16)</f>
        <v>41380</v>
      </c>
      <c r="E11945" s="5">
        <f t="shared" si="198"/>
        <v>2013</v>
      </c>
      <c r="F11945" s="3" t="s">
        <v>1907</v>
      </c>
      <c r="G11945" s="6">
        <v>956</v>
      </c>
      <c r="H11945" s="5">
        <v>18453</v>
      </c>
    </row>
    <row r="11946" spans="2:8" x14ac:dyDescent="0.4">
      <c r="B11946" s="3" t="s">
        <v>7</v>
      </c>
      <c r="C11946" s="3" t="s">
        <v>1906</v>
      </c>
      <c r="D11946" s="4">
        <f>DATE(2014,9,12)</f>
        <v>41894</v>
      </c>
      <c r="E11946" s="5">
        <f t="shared" si="198"/>
        <v>2014</v>
      </c>
      <c r="F11946" s="3" t="s">
        <v>1907</v>
      </c>
      <c r="G11946" s="6">
        <v>657.5</v>
      </c>
      <c r="H11946" s="5">
        <v>20388</v>
      </c>
    </row>
    <row r="11947" spans="2:8" x14ac:dyDescent="0.4">
      <c r="B11947" s="3" t="s">
        <v>7</v>
      </c>
      <c r="C11947" s="3" t="s">
        <v>1906</v>
      </c>
      <c r="D11947" s="4">
        <f>DATE(2014,9,17)</f>
        <v>41899</v>
      </c>
      <c r="E11947" s="5">
        <f t="shared" si="198"/>
        <v>2014</v>
      </c>
      <c r="F11947" s="3" t="s">
        <v>1907</v>
      </c>
      <c r="G11947" s="6">
        <v>2907.68</v>
      </c>
      <c r="H11947" s="5">
        <v>20380</v>
      </c>
    </row>
    <row r="11948" spans="2:8" x14ac:dyDescent="0.4">
      <c r="B11948" t="s">
        <v>7</v>
      </c>
      <c r="C11948" t="s">
        <v>1908</v>
      </c>
      <c r="D11948" s="7">
        <f>DATE(2016,1,27)</f>
        <v>42396</v>
      </c>
      <c r="E11948" s="8">
        <f t="shared" si="198"/>
        <v>2016</v>
      </c>
      <c r="F11948" t="s">
        <v>1909</v>
      </c>
      <c r="G11948" s="9">
        <v>469</v>
      </c>
      <c r="H11948" s="8">
        <v>21967</v>
      </c>
    </row>
    <row r="11949" spans="2:8" x14ac:dyDescent="0.4">
      <c r="B11949" t="s">
        <v>7</v>
      </c>
      <c r="C11949" t="s">
        <v>1908</v>
      </c>
      <c r="D11949" s="7">
        <f>DATE(2017,10,25)</f>
        <v>43033</v>
      </c>
      <c r="E11949" s="8">
        <f t="shared" si="198"/>
        <v>2017</v>
      </c>
      <c r="F11949" t="s">
        <v>1909</v>
      </c>
      <c r="G11949" s="9">
        <v>469</v>
      </c>
      <c r="H11949" s="8">
        <v>25773</v>
      </c>
    </row>
    <row r="11950" spans="2:8" x14ac:dyDescent="0.4">
      <c r="B11950" t="s">
        <v>7</v>
      </c>
      <c r="C11950" t="s">
        <v>1908</v>
      </c>
      <c r="D11950" s="7">
        <f>DATE(2014,5,9)</f>
        <v>41768</v>
      </c>
      <c r="E11950" s="8">
        <f t="shared" si="198"/>
        <v>2014</v>
      </c>
      <c r="F11950" t="s">
        <v>1909</v>
      </c>
      <c r="G11950" s="9">
        <v>27596.59</v>
      </c>
      <c r="H11950" s="8">
        <v>13178</v>
      </c>
    </row>
    <row r="11951" spans="2:8" x14ac:dyDescent="0.4">
      <c r="B11951" s="3" t="s">
        <v>7</v>
      </c>
      <c r="C11951" s="3" t="s">
        <v>1908</v>
      </c>
      <c r="D11951" s="4">
        <f>DATE(2008,3,27)</f>
        <v>39534</v>
      </c>
      <c r="E11951" s="5">
        <f t="shared" si="198"/>
        <v>2008</v>
      </c>
      <c r="F11951" s="3" t="s">
        <v>1909</v>
      </c>
      <c r="G11951" s="6">
        <v>13800</v>
      </c>
      <c r="H11951" s="5">
        <v>9879</v>
      </c>
    </row>
    <row r="11952" spans="2:8" x14ac:dyDescent="0.4">
      <c r="B11952" s="3" t="s">
        <v>7</v>
      </c>
      <c r="C11952" s="3" t="s">
        <v>1908</v>
      </c>
      <c r="D11952" s="4">
        <f>DATE(2008,5,2)</f>
        <v>39570</v>
      </c>
      <c r="E11952" s="5">
        <f t="shared" si="198"/>
        <v>2008</v>
      </c>
      <c r="F11952" s="3" t="s">
        <v>1909</v>
      </c>
      <c r="G11952" s="6">
        <v>1305</v>
      </c>
      <c r="H11952" s="5">
        <v>10583</v>
      </c>
    </row>
    <row r="11953" spans="2:8" x14ac:dyDescent="0.4">
      <c r="B11953" s="3" t="s">
        <v>7</v>
      </c>
      <c r="C11953" s="3" t="s">
        <v>1908</v>
      </c>
      <c r="D11953" s="4">
        <f>DATE(2008,9,9)</f>
        <v>39700</v>
      </c>
      <c r="E11953" s="5">
        <f t="shared" si="198"/>
        <v>2008</v>
      </c>
      <c r="F11953" s="3" t="s">
        <v>1909</v>
      </c>
      <c r="G11953" s="6">
        <v>309.42</v>
      </c>
      <c r="H11953" s="5">
        <v>11189</v>
      </c>
    </row>
    <row r="11954" spans="2:8" x14ac:dyDescent="0.4">
      <c r="B11954" s="3" t="s">
        <v>7</v>
      </c>
      <c r="C11954" s="3" t="s">
        <v>1908</v>
      </c>
      <c r="D11954" s="4">
        <f>DATE(2009,5,1)</f>
        <v>39934</v>
      </c>
      <c r="E11954" s="5">
        <f t="shared" si="198"/>
        <v>2009</v>
      </c>
      <c r="F11954" s="3" t="s">
        <v>1909</v>
      </c>
      <c r="G11954" s="6">
        <v>234.5</v>
      </c>
      <c r="H11954" s="5">
        <v>12460</v>
      </c>
    </row>
    <row r="11955" spans="2:8" x14ac:dyDescent="0.4">
      <c r="B11955" s="3" t="s">
        <v>7</v>
      </c>
      <c r="C11955" s="3" t="s">
        <v>1908</v>
      </c>
      <c r="D11955" s="4">
        <f>DATE(2010,6,24)</f>
        <v>40353</v>
      </c>
      <c r="E11955" s="5">
        <f t="shared" si="198"/>
        <v>2010</v>
      </c>
      <c r="F11955" s="3" t="s">
        <v>1909</v>
      </c>
      <c r="G11955" s="6">
        <v>234.5</v>
      </c>
      <c r="H11955" s="5">
        <v>14194</v>
      </c>
    </row>
    <row r="11956" spans="2:8" x14ac:dyDescent="0.4">
      <c r="B11956" s="3" t="s">
        <v>7</v>
      </c>
      <c r="C11956" s="3" t="s">
        <v>1908</v>
      </c>
      <c r="D11956" s="4">
        <f>DATE(2011,2,1)</f>
        <v>40575</v>
      </c>
      <c r="E11956" s="5">
        <f t="shared" si="198"/>
        <v>2011</v>
      </c>
      <c r="F11956" s="3" t="s">
        <v>1909</v>
      </c>
      <c r="G11956" s="6">
        <v>469</v>
      </c>
      <c r="H11956" s="5">
        <v>14993</v>
      </c>
    </row>
    <row r="11957" spans="2:8" x14ac:dyDescent="0.4">
      <c r="B11957" s="3" t="s">
        <v>7</v>
      </c>
      <c r="C11957" s="3" t="s">
        <v>1908</v>
      </c>
      <c r="D11957" s="4">
        <f>DATE(2011,4,5)</f>
        <v>40638</v>
      </c>
      <c r="E11957" s="5">
        <f t="shared" si="198"/>
        <v>2011</v>
      </c>
      <c r="F11957" s="3" t="s">
        <v>1909</v>
      </c>
      <c r="G11957" s="6">
        <v>64.680000000000007</v>
      </c>
      <c r="H11957" s="5">
        <v>15379</v>
      </c>
    </row>
    <row r="11958" spans="2:8" x14ac:dyDescent="0.4">
      <c r="B11958" s="3" t="s">
        <v>7</v>
      </c>
      <c r="C11958" s="3" t="s">
        <v>1908</v>
      </c>
      <c r="D11958" s="4">
        <f>DATE(2012,4,16)</f>
        <v>41015</v>
      </c>
      <c r="E11958" s="5">
        <f t="shared" si="198"/>
        <v>2012</v>
      </c>
      <c r="F11958" s="3" t="s">
        <v>1909</v>
      </c>
      <c r="G11958" s="6">
        <v>938</v>
      </c>
      <c r="H11958" s="5">
        <v>16982</v>
      </c>
    </row>
    <row r="11959" spans="2:8" x14ac:dyDescent="0.4">
      <c r="B11959" s="3" t="s">
        <v>7</v>
      </c>
      <c r="C11959" s="3" t="s">
        <v>1908</v>
      </c>
      <c r="D11959" s="4">
        <f>DATE(2012,10,9)</f>
        <v>41191</v>
      </c>
      <c r="E11959" s="5">
        <f t="shared" si="198"/>
        <v>2012</v>
      </c>
      <c r="F11959" s="3" t="s">
        <v>1909</v>
      </c>
      <c r="G11959" s="6">
        <v>244.15</v>
      </c>
      <c r="H11959" s="5">
        <v>17691</v>
      </c>
    </row>
    <row r="11960" spans="2:8" x14ac:dyDescent="0.4">
      <c r="B11960" s="3" t="s">
        <v>7</v>
      </c>
      <c r="C11960" s="3" t="s">
        <v>1908</v>
      </c>
      <c r="D11960" s="4">
        <f>DATE(2012,11,2)</f>
        <v>41215</v>
      </c>
      <c r="E11960" s="5">
        <f t="shared" si="198"/>
        <v>2012</v>
      </c>
      <c r="F11960" s="3" t="s">
        <v>1909</v>
      </c>
      <c r="G11960" s="6">
        <v>23760</v>
      </c>
      <c r="H11960" s="5">
        <v>17694</v>
      </c>
    </row>
    <row r="11961" spans="2:8" x14ac:dyDescent="0.4">
      <c r="B11961" s="3" t="s">
        <v>7</v>
      </c>
      <c r="C11961" s="3" t="s">
        <v>1908</v>
      </c>
      <c r="D11961" s="4">
        <f>DATE(2013,5,23)</f>
        <v>41417</v>
      </c>
      <c r="E11961" s="5">
        <f t="shared" si="198"/>
        <v>2013</v>
      </c>
      <c r="F11961" s="3" t="s">
        <v>1909</v>
      </c>
      <c r="G11961" s="6">
        <v>49.76</v>
      </c>
      <c r="H11961" s="5">
        <v>18560</v>
      </c>
    </row>
    <row r="11962" spans="2:8" x14ac:dyDescent="0.4">
      <c r="B11962" s="3" t="s">
        <v>7</v>
      </c>
      <c r="C11962" s="3" t="s">
        <v>1908</v>
      </c>
      <c r="D11962" s="4">
        <f>DATE(2014,9,3)</f>
        <v>41885</v>
      </c>
      <c r="E11962" s="5">
        <f t="shared" si="198"/>
        <v>2014</v>
      </c>
      <c r="F11962" s="3" t="s">
        <v>1909</v>
      </c>
      <c r="G11962" s="6">
        <v>469</v>
      </c>
      <c r="H11962" s="5">
        <v>20363</v>
      </c>
    </row>
    <row r="11963" spans="2:8" x14ac:dyDescent="0.4">
      <c r="B11963" t="s">
        <v>7</v>
      </c>
      <c r="C11963" t="s">
        <v>1910</v>
      </c>
      <c r="D11963" s="7">
        <f>DATE(2018,9,19)</f>
        <v>43362</v>
      </c>
      <c r="E11963" s="8">
        <f t="shared" si="198"/>
        <v>2018</v>
      </c>
      <c r="F11963" t="s">
        <v>1911</v>
      </c>
      <c r="G11963" s="9">
        <v>5766.35</v>
      </c>
      <c r="H11963" s="8">
        <v>27529</v>
      </c>
    </row>
    <row r="11964" spans="2:8" x14ac:dyDescent="0.4">
      <c r="B11964" t="s">
        <v>7</v>
      </c>
      <c r="C11964" t="s">
        <v>1910</v>
      </c>
      <c r="D11964" s="7">
        <f>DATE(2006,7,27)</f>
        <v>38925</v>
      </c>
      <c r="E11964" s="8">
        <f t="shared" si="198"/>
        <v>2006</v>
      </c>
      <c r="F11964" t="s">
        <v>1911</v>
      </c>
      <c r="G11964" s="9">
        <v>2595.44</v>
      </c>
      <c r="H11964" s="8">
        <v>4813</v>
      </c>
    </row>
    <row r="11965" spans="2:8" x14ac:dyDescent="0.4">
      <c r="B11965" t="s">
        <v>7</v>
      </c>
      <c r="C11965" t="s">
        <v>1910</v>
      </c>
      <c r="D11965" s="7">
        <f>DATE(2010,10,1)</f>
        <v>40452</v>
      </c>
      <c r="E11965" s="8">
        <f t="shared" si="198"/>
        <v>2010</v>
      </c>
      <c r="F11965" t="s">
        <v>1911</v>
      </c>
      <c r="G11965" s="9">
        <v>10800</v>
      </c>
      <c r="H11965" s="8">
        <v>10155</v>
      </c>
    </row>
    <row r="11966" spans="2:8" x14ac:dyDescent="0.4">
      <c r="B11966" s="3" t="s">
        <v>7</v>
      </c>
      <c r="C11966" s="3" t="s">
        <v>1912</v>
      </c>
      <c r="D11966" s="4">
        <f>DATE(2008,12,3)</f>
        <v>39785</v>
      </c>
      <c r="E11966" s="5">
        <f t="shared" si="198"/>
        <v>2008</v>
      </c>
      <c r="F11966" s="3" t="s">
        <v>1913</v>
      </c>
      <c r="G11966" s="6">
        <v>5611.2</v>
      </c>
      <c r="H11966" s="5">
        <v>3164</v>
      </c>
    </row>
    <row r="11967" spans="2:8" x14ac:dyDescent="0.4">
      <c r="B11967" s="3" t="s">
        <v>16</v>
      </c>
      <c r="C11967" s="3" t="s">
        <v>1912</v>
      </c>
      <c r="D11967" s="4">
        <f>DATE(2009,7,11)</f>
        <v>40005</v>
      </c>
      <c r="E11967" s="5">
        <f t="shared" si="198"/>
        <v>2009</v>
      </c>
      <c r="F11967" s="3" t="s">
        <v>1913</v>
      </c>
      <c r="G11967" s="6">
        <v>5611.2</v>
      </c>
      <c r="H11967" s="5">
        <v>3518</v>
      </c>
    </row>
    <row r="11968" spans="2:8" x14ac:dyDescent="0.4">
      <c r="B11968" t="s">
        <v>7</v>
      </c>
      <c r="C11968" t="s">
        <v>1914</v>
      </c>
      <c r="D11968" s="7">
        <f>DATE(2007,4,28)</f>
        <v>39200</v>
      </c>
      <c r="E11968" s="8">
        <f t="shared" si="198"/>
        <v>2007</v>
      </c>
      <c r="F11968" t="s">
        <v>1915</v>
      </c>
      <c r="G11968" s="9">
        <v>7008.54</v>
      </c>
      <c r="H11968" s="8">
        <v>5923</v>
      </c>
    </row>
    <row r="11969" spans="2:8" x14ac:dyDescent="0.4">
      <c r="B11969" s="3" t="s">
        <v>7</v>
      </c>
      <c r="C11969" s="3" t="s">
        <v>1914</v>
      </c>
      <c r="D11969" s="4">
        <f>DATE(2006,9,25)</f>
        <v>38985</v>
      </c>
      <c r="E11969" s="5">
        <f t="shared" si="198"/>
        <v>2006</v>
      </c>
      <c r="F11969" s="3" t="s">
        <v>1915</v>
      </c>
      <c r="G11969" s="6">
        <v>10575</v>
      </c>
      <c r="H11969" s="5">
        <v>6811</v>
      </c>
    </row>
    <row r="11970" spans="2:8" x14ac:dyDescent="0.4">
      <c r="B11970" s="3" t="s">
        <v>7</v>
      </c>
      <c r="C11970" s="3" t="s">
        <v>1914</v>
      </c>
      <c r="D11970" s="4">
        <f>DATE(2013,7,3)</f>
        <v>41458</v>
      </c>
      <c r="E11970" s="5">
        <f t="shared" si="198"/>
        <v>2013</v>
      </c>
      <c r="F11970" s="3" t="s">
        <v>1915</v>
      </c>
      <c r="G11970" s="6">
        <v>1692</v>
      </c>
      <c r="H11970" s="5">
        <v>18738</v>
      </c>
    </row>
    <row r="11971" spans="2:8" x14ac:dyDescent="0.4">
      <c r="B11971" t="s">
        <v>7</v>
      </c>
      <c r="C11971" t="s">
        <v>1916</v>
      </c>
      <c r="D11971" s="7">
        <f>DATE(2015,3,26)</f>
        <v>42089</v>
      </c>
      <c r="E11971" s="8">
        <f t="shared" ref="E11971:E12034" si="199">YEAR(D11971)</f>
        <v>2015</v>
      </c>
      <c r="F11971" t="s">
        <v>1917</v>
      </c>
      <c r="G11971" s="9">
        <v>1933</v>
      </c>
      <c r="H11971" s="8">
        <v>20162</v>
      </c>
    </row>
    <row r="11972" spans="2:8" x14ac:dyDescent="0.4">
      <c r="B11972" s="3" t="s">
        <v>7</v>
      </c>
      <c r="C11972" s="3" t="s">
        <v>1916</v>
      </c>
      <c r="D11972" s="4">
        <f>DATE(2010,2,22)</f>
        <v>40231</v>
      </c>
      <c r="E11972" s="5">
        <f t="shared" si="199"/>
        <v>2010</v>
      </c>
      <c r="F11972" s="3" t="s">
        <v>1917</v>
      </c>
      <c r="G11972" s="6">
        <v>504.56</v>
      </c>
      <c r="H11972" s="5">
        <v>13623</v>
      </c>
    </row>
    <row r="11973" spans="2:8" x14ac:dyDescent="0.4">
      <c r="B11973" s="3" t="s">
        <v>7</v>
      </c>
      <c r="C11973" s="3" t="s">
        <v>1916</v>
      </c>
      <c r="D11973" s="4">
        <f>DATE(2010,7,7)</f>
        <v>40366</v>
      </c>
      <c r="E11973" s="5">
        <f t="shared" si="199"/>
        <v>2010</v>
      </c>
      <c r="F11973" s="3" t="s">
        <v>1917</v>
      </c>
      <c r="G11973" s="6">
        <v>458.98</v>
      </c>
      <c r="H11973" s="5">
        <v>14244</v>
      </c>
    </row>
    <row r="11974" spans="2:8" x14ac:dyDescent="0.4">
      <c r="B11974" s="3" t="s">
        <v>7</v>
      </c>
      <c r="C11974" s="3" t="s">
        <v>1916</v>
      </c>
      <c r="D11974" s="4">
        <f>DATE(2010,10,25)</f>
        <v>40476</v>
      </c>
      <c r="E11974" s="5">
        <f t="shared" si="199"/>
        <v>2010</v>
      </c>
      <c r="F11974" s="3" t="s">
        <v>1917</v>
      </c>
      <c r="G11974" s="6">
        <v>119.56</v>
      </c>
      <c r="H11974" s="5">
        <v>14665</v>
      </c>
    </row>
    <row r="11975" spans="2:8" x14ac:dyDescent="0.4">
      <c r="B11975" s="3" t="s">
        <v>7</v>
      </c>
      <c r="C11975" s="3" t="s">
        <v>1916</v>
      </c>
      <c r="D11975" s="4">
        <f>DATE(2011,1,25)</f>
        <v>40568</v>
      </c>
      <c r="E11975" s="5">
        <f t="shared" si="199"/>
        <v>2011</v>
      </c>
      <c r="F11975" s="3" t="s">
        <v>1917</v>
      </c>
      <c r="G11975" s="6">
        <v>177.51</v>
      </c>
      <c r="H11975" s="5">
        <v>14970</v>
      </c>
    </row>
    <row r="11976" spans="2:8" x14ac:dyDescent="0.4">
      <c r="B11976" s="3" t="s">
        <v>7</v>
      </c>
      <c r="C11976" s="3" t="s">
        <v>1916</v>
      </c>
      <c r="D11976" s="4">
        <f>DATE(2011,2,21)</f>
        <v>40595</v>
      </c>
      <c r="E11976" s="5">
        <f t="shared" si="199"/>
        <v>2011</v>
      </c>
      <c r="F11976" s="3" t="s">
        <v>1917</v>
      </c>
      <c r="G11976" s="6">
        <v>460.04</v>
      </c>
      <c r="H11976" s="5">
        <v>15087</v>
      </c>
    </row>
    <row r="11977" spans="2:8" x14ac:dyDescent="0.4">
      <c r="B11977" s="3" t="s">
        <v>7</v>
      </c>
      <c r="C11977" s="3" t="s">
        <v>1916</v>
      </c>
      <c r="D11977" s="4">
        <f>DATE(2011,9,29)</f>
        <v>40815</v>
      </c>
      <c r="E11977" s="5">
        <f t="shared" si="199"/>
        <v>2011</v>
      </c>
      <c r="F11977" s="3" t="s">
        <v>1917</v>
      </c>
      <c r="G11977" s="6">
        <v>127.79</v>
      </c>
      <c r="H11977" s="5">
        <v>16049</v>
      </c>
    </row>
    <row r="11978" spans="2:8" x14ac:dyDescent="0.4">
      <c r="B11978" s="3" t="s">
        <v>7</v>
      </c>
      <c r="C11978" s="3" t="s">
        <v>1916</v>
      </c>
      <c r="D11978" s="4">
        <f>DATE(2011,11,1)</f>
        <v>40848</v>
      </c>
      <c r="E11978" s="5">
        <f t="shared" si="199"/>
        <v>2011</v>
      </c>
      <c r="F11978" s="3" t="s">
        <v>1917</v>
      </c>
      <c r="G11978" s="6">
        <v>127.79</v>
      </c>
      <c r="H11978" s="5">
        <v>16159</v>
      </c>
    </row>
    <row r="11979" spans="2:8" x14ac:dyDescent="0.4">
      <c r="B11979" t="s">
        <v>7</v>
      </c>
      <c r="C11979" t="s">
        <v>1918</v>
      </c>
      <c r="D11979" s="7">
        <f>DATE(2019,5,17)</f>
        <v>43602</v>
      </c>
      <c r="E11979" s="8">
        <f t="shared" si="199"/>
        <v>2019</v>
      </c>
      <c r="F11979" t="s">
        <v>1919</v>
      </c>
      <c r="G11979" s="9">
        <v>15312.45</v>
      </c>
      <c r="H11979" s="8">
        <v>28479</v>
      </c>
    </row>
    <row r="11980" spans="2:8" x14ac:dyDescent="0.4">
      <c r="B11980" s="3" t="s">
        <v>7</v>
      </c>
      <c r="C11980" s="3" t="s">
        <v>1920</v>
      </c>
      <c r="D11980" s="4">
        <f>DATE(2005,6,9)</f>
        <v>38512</v>
      </c>
      <c r="E11980" s="5">
        <f t="shared" si="199"/>
        <v>2005</v>
      </c>
      <c r="F11980" s="3" t="s">
        <v>1921</v>
      </c>
      <c r="G11980" s="6">
        <v>379</v>
      </c>
      <c r="H11980" s="5">
        <v>4858</v>
      </c>
    </row>
    <row r="11981" spans="2:8" x14ac:dyDescent="0.4">
      <c r="B11981" t="s">
        <v>7</v>
      </c>
      <c r="C11981" t="s">
        <v>1920</v>
      </c>
      <c r="D11981" s="7">
        <f>DATE(2015,6,25)</f>
        <v>42180</v>
      </c>
      <c r="E11981" s="8">
        <f t="shared" si="199"/>
        <v>2015</v>
      </c>
      <c r="F11981" t="s">
        <v>1922</v>
      </c>
      <c r="G11981" s="9">
        <v>174</v>
      </c>
      <c r="H11981" s="8">
        <v>20813</v>
      </c>
    </row>
    <row r="11982" spans="2:8" x14ac:dyDescent="0.4">
      <c r="B11982" t="s">
        <v>7</v>
      </c>
      <c r="C11982" t="s">
        <v>1920</v>
      </c>
      <c r="D11982" s="7">
        <f>DATE(2015,8,4)</f>
        <v>42220</v>
      </c>
      <c r="E11982" s="8">
        <f t="shared" si="199"/>
        <v>2015</v>
      </c>
      <c r="F11982" t="s">
        <v>1922</v>
      </c>
      <c r="G11982" s="9">
        <v>414.8</v>
      </c>
      <c r="H11982" s="8">
        <v>21023</v>
      </c>
    </row>
    <row r="11983" spans="2:8" x14ac:dyDescent="0.4">
      <c r="B11983" t="s">
        <v>7</v>
      </c>
      <c r="C11983" t="s">
        <v>1920</v>
      </c>
      <c r="D11983" s="7">
        <f>DATE(2019,2,28)</f>
        <v>43524</v>
      </c>
      <c r="E11983" s="8">
        <f t="shared" si="199"/>
        <v>2019</v>
      </c>
      <c r="F11983" t="s">
        <v>1922</v>
      </c>
      <c r="G11983" s="9">
        <v>1739.94</v>
      </c>
      <c r="H11983" s="8">
        <v>28509</v>
      </c>
    </row>
    <row r="11984" spans="2:8" x14ac:dyDescent="0.4">
      <c r="B11984" s="3" t="s">
        <v>7</v>
      </c>
      <c r="C11984" s="3" t="s">
        <v>1920</v>
      </c>
      <c r="D11984" s="4">
        <f>DATE(2005,7,8)</f>
        <v>38541</v>
      </c>
      <c r="E11984" s="5">
        <f t="shared" si="199"/>
        <v>2005</v>
      </c>
      <c r="F11984" s="3" t="s">
        <v>1922</v>
      </c>
      <c r="G11984" s="6">
        <v>472.5</v>
      </c>
      <c r="H11984" s="5">
        <v>4963</v>
      </c>
    </row>
    <row r="11985" spans="2:8" x14ac:dyDescent="0.4">
      <c r="B11985" s="3" t="s">
        <v>7</v>
      </c>
      <c r="C11985" s="3" t="s">
        <v>1920</v>
      </c>
      <c r="D11985" s="4">
        <f>DATE(2005,11,8)</f>
        <v>38664</v>
      </c>
      <c r="E11985" s="5">
        <f t="shared" si="199"/>
        <v>2005</v>
      </c>
      <c r="F11985" s="3" t="s">
        <v>1922</v>
      </c>
      <c r="G11985" s="6">
        <v>711</v>
      </c>
      <c r="H11985" s="5">
        <v>5052</v>
      </c>
    </row>
    <row r="11986" spans="2:8" x14ac:dyDescent="0.4">
      <c r="B11986" s="3" t="s">
        <v>7</v>
      </c>
      <c r="C11986" s="3" t="s">
        <v>1920</v>
      </c>
      <c r="D11986" s="4">
        <f>DATE(2008,8,1)</f>
        <v>39661</v>
      </c>
      <c r="E11986" s="5">
        <f t="shared" si="199"/>
        <v>2008</v>
      </c>
      <c r="F11986" s="3" t="s">
        <v>1922</v>
      </c>
      <c r="G11986" s="6">
        <v>774</v>
      </c>
      <c r="H11986" s="5">
        <v>10942</v>
      </c>
    </row>
    <row r="11987" spans="2:8" x14ac:dyDescent="0.4">
      <c r="B11987" s="3" t="s">
        <v>7</v>
      </c>
      <c r="C11987" s="3" t="s">
        <v>1920</v>
      </c>
      <c r="D11987" s="4">
        <f>DATE(2009,8,14)</f>
        <v>40039</v>
      </c>
      <c r="E11987" s="5">
        <f t="shared" si="199"/>
        <v>2009</v>
      </c>
      <c r="F11987" s="3" t="s">
        <v>1922</v>
      </c>
      <c r="G11987" s="6">
        <v>391</v>
      </c>
      <c r="H11987" s="5">
        <v>12909</v>
      </c>
    </row>
    <row r="11988" spans="2:8" x14ac:dyDescent="0.4">
      <c r="B11988" s="3" t="s">
        <v>7</v>
      </c>
      <c r="C11988" s="3" t="s">
        <v>1920</v>
      </c>
      <c r="D11988" s="4">
        <f>DATE(2010,7,26)</f>
        <v>40385</v>
      </c>
      <c r="E11988" s="5">
        <f t="shared" si="199"/>
        <v>2010</v>
      </c>
      <c r="F11988" s="3" t="s">
        <v>1922</v>
      </c>
      <c r="G11988" s="6">
        <v>504.5</v>
      </c>
      <c r="H11988" s="5">
        <v>14315</v>
      </c>
    </row>
    <row r="11989" spans="2:8" x14ac:dyDescent="0.4">
      <c r="B11989" s="3" t="s">
        <v>7</v>
      </c>
      <c r="C11989" s="3" t="s">
        <v>1920</v>
      </c>
      <c r="D11989" s="4">
        <f>DATE(2010,8,27)</f>
        <v>40417</v>
      </c>
      <c r="E11989" s="5">
        <f t="shared" si="199"/>
        <v>2010</v>
      </c>
      <c r="F11989" s="3" t="s">
        <v>1922</v>
      </c>
      <c r="G11989" s="6">
        <v>470.2</v>
      </c>
      <c r="H11989" s="5">
        <v>14409</v>
      </c>
    </row>
    <row r="11990" spans="2:8" x14ac:dyDescent="0.4">
      <c r="B11990" s="3" t="s">
        <v>7</v>
      </c>
      <c r="C11990" s="3" t="s">
        <v>1923</v>
      </c>
      <c r="D11990" s="4">
        <f>DATE(2003,4,22)</f>
        <v>37733</v>
      </c>
      <c r="E11990" s="5">
        <f t="shared" si="199"/>
        <v>2003</v>
      </c>
      <c r="F11990" s="3" t="s">
        <v>1924</v>
      </c>
      <c r="G11990" s="6">
        <v>727</v>
      </c>
      <c r="H11990" s="5">
        <v>799</v>
      </c>
    </row>
    <row r="11991" spans="2:8" x14ac:dyDescent="0.4">
      <c r="B11991" s="3" t="s">
        <v>7</v>
      </c>
      <c r="C11991" s="3" t="s">
        <v>1923</v>
      </c>
      <c r="D11991" s="4">
        <f>DATE(2005,3,16)</f>
        <v>38427</v>
      </c>
      <c r="E11991" s="5">
        <f t="shared" si="199"/>
        <v>2005</v>
      </c>
      <c r="F11991" s="3" t="s">
        <v>1924</v>
      </c>
      <c r="G11991" s="6">
        <v>768</v>
      </c>
      <c r="H11991" s="5">
        <v>4349</v>
      </c>
    </row>
    <row r="11992" spans="2:8" x14ac:dyDescent="0.4">
      <c r="B11992" s="3" t="s">
        <v>7</v>
      </c>
      <c r="C11992" s="3" t="s">
        <v>1923</v>
      </c>
      <c r="D11992" s="4">
        <f>DATE(2006,1,17)</f>
        <v>38734</v>
      </c>
      <c r="E11992" s="5">
        <f t="shared" si="199"/>
        <v>2006</v>
      </c>
      <c r="F11992" s="3" t="s">
        <v>1925</v>
      </c>
      <c r="G11992" s="6">
        <v>388</v>
      </c>
      <c r="H11992" s="5">
        <v>5851</v>
      </c>
    </row>
    <row r="11993" spans="2:8" x14ac:dyDescent="0.4">
      <c r="B11993" s="3" t="s">
        <v>7</v>
      </c>
      <c r="C11993" s="3" t="s">
        <v>1923</v>
      </c>
      <c r="D11993" s="4">
        <f>DATE(2007,4,4)</f>
        <v>39176</v>
      </c>
      <c r="E11993" s="5">
        <f t="shared" si="199"/>
        <v>2007</v>
      </c>
      <c r="F11993" s="3" t="s">
        <v>1925</v>
      </c>
      <c r="G11993" s="6">
        <v>769</v>
      </c>
      <c r="H11993" s="5">
        <v>8312</v>
      </c>
    </row>
    <row r="11994" spans="2:8" x14ac:dyDescent="0.4">
      <c r="B11994" s="3" t="s">
        <v>7</v>
      </c>
      <c r="C11994" s="3" t="s">
        <v>1923</v>
      </c>
      <c r="D11994" s="4">
        <f>DATE(2008,3,11)</f>
        <v>39518</v>
      </c>
      <c r="E11994" s="5">
        <f t="shared" si="199"/>
        <v>2008</v>
      </c>
      <c r="F11994" s="3" t="s">
        <v>1925</v>
      </c>
      <c r="G11994" s="6">
        <v>770</v>
      </c>
      <c r="H11994" s="5">
        <v>10183</v>
      </c>
    </row>
    <row r="11995" spans="2:8" x14ac:dyDescent="0.4">
      <c r="B11995" s="3" t="s">
        <v>7</v>
      </c>
      <c r="C11995" s="3" t="s">
        <v>1923</v>
      </c>
      <c r="D11995" s="4">
        <f>DATE(2009,3,18)</f>
        <v>39890</v>
      </c>
      <c r="E11995" s="5">
        <f t="shared" si="199"/>
        <v>2009</v>
      </c>
      <c r="F11995" s="3" t="s">
        <v>1925</v>
      </c>
      <c r="G11995" s="6">
        <v>770</v>
      </c>
      <c r="H11995" s="5">
        <v>12193</v>
      </c>
    </row>
    <row r="11996" spans="2:8" x14ac:dyDescent="0.4">
      <c r="B11996" t="s">
        <v>7</v>
      </c>
      <c r="C11996" t="s">
        <v>1926</v>
      </c>
      <c r="D11996" s="7">
        <f>DATE(2017,4,12)</f>
        <v>42837</v>
      </c>
      <c r="E11996" s="8">
        <f t="shared" si="199"/>
        <v>2017</v>
      </c>
      <c r="F11996" t="s">
        <v>1927</v>
      </c>
      <c r="G11996" s="9">
        <v>35974</v>
      </c>
      <c r="H11996" s="8">
        <v>24598</v>
      </c>
    </row>
    <row r="11997" spans="2:8" x14ac:dyDescent="0.4">
      <c r="B11997" t="s">
        <v>7</v>
      </c>
      <c r="C11997" t="s">
        <v>1926</v>
      </c>
      <c r="D11997" s="7">
        <f>DATE(2017,4,18)</f>
        <v>42843</v>
      </c>
      <c r="E11997" s="8">
        <f t="shared" si="199"/>
        <v>2017</v>
      </c>
      <c r="F11997" t="s">
        <v>1927</v>
      </c>
      <c r="G11997" s="9">
        <v>38000</v>
      </c>
      <c r="H11997" s="8">
        <v>24599</v>
      </c>
    </row>
    <row r="11998" spans="2:8" x14ac:dyDescent="0.4">
      <c r="B11998" t="s">
        <v>7</v>
      </c>
      <c r="C11998" t="s">
        <v>1926</v>
      </c>
      <c r="D11998" s="7">
        <f>DATE(2014,1,21)</f>
        <v>41660</v>
      </c>
      <c r="E11998" s="8">
        <f t="shared" si="199"/>
        <v>2014</v>
      </c>
      <c r="F11998" t="s">
        <v>1927</v>
      </c>
      <c r="G11998" s="9">
        <v>35780</v>
      </c>
      <c r="H11998" s="8">
        <v>12823</v>
      </c>
    </row>
    <row r="11999" spans="2:8" x14ac:dyDescent="0.4">
      <c r="B11999" t="s">
        <v>7</v>
      </c>
      <c r="C11999" t="s">
        <v>1926</v>
      </c>
      <c r="D11999" s="7">
        <f>DATE(2012,7,19)</f>
        <v>41109</v>
      </c>
      <c r="E11999" s="8">
        <f t="shared" si="199"/>
        <v>2012</v>
      </c>
      <c r="F11999" t="s">
        <v>1927</v>
      </c>
      <c r="G11999" s="9">
        <v>7717.35</v>
      </c>
      <c r="H11999" s="8">
        <v>11707</v>
      </c>
    </row>
    <row r="12000" spans="2:8" x14ac:dyDescent="0.4">
      <c r="B12000" t="s">
        <v>7</v>
      </c>
      <c r="C12000" t="s">
        <v>1926</v>
      </c>
      <c r="D12000" s="7">
        <f>DATE(2013,7,23)</f>
        <v>41478</v>
      </c>
      <c r="E12000" s="8">
        <f t="shared" si="199"/>
        <v>2013</v>
      </c>
      <c r="F12000" t="s">
        <v>1927</v>
      </c>
      <c r="G12000" s="9">
        <v>8365.24</v>
      </c>
      <c r="H12000" s="8">
        <v>12567</v>
      </c>
    </row>
    <row r="12001" spans="2:8" x14ac:dyDescent="0.4">
      <c r="B12001" t="s">
        <v>7</v>
      </c>
      <c r="C12001" t="s">
        <v>1926</v>
      </c>
      <c r="D12001" s="7">
        <f>DATE(2010,10,25)</f>
        <v>40476</v>
      </c>
      <c r="E12001" s="8">
        <f t="shared" si="199"/>
        <v>2010</v>
      </c>
      <c r="F12001" t="s">
        <v>1928</v>
      </c>
      <c r="G12001" s="9">
        <v>38450</v>
      </c>
      <c r="H12001" s="8">
        <v>10094</v>
      </c>
    </row>
    <row r="12002" spans="2:8" x14ac:dyDescent="0.4">
      <c r="B12002" t="s">
        <v>7</v>
      </c>
      <c r="C12002" t="s">
        <v>1926</v>
      </c>
      <c r="D12002" s="7">
        <f>DATE(2011,11,8)</f>
        <v>40855</v>
      </c>
      <c r="E12002" s="8">
        <f t="shared" si="199"/>
        <v>2011</v>
      </c>
      <c r="F12002" t="s">
        <v>1928</v>
      </c>
      <c r="G12002" s="9">
        <v>9346.5300000000007</v>
      </c>
      <c r="H12002" s="8">
        <v>11036</v>
      </c>
    </row>
    <row r="12003" spans="2:8" x14ac:dyDescent="0.4">
      <c r="B12003" s="3" t="s">
        <v>7</v>
      </c>
      <c r="C12003" s="3" t="s">
        <v>1929</v>
      </c>
      <c r="D12003" s="4">
        <f>DATE(2005,11,28)</f>
        <v>38684</v>
      </c>
      <c r="E12003" s="5">
        <f t="shared" si="199"/>
        <v>2005</v>
      </c>
      <c r="F12003" s="3" t="s">
        <v>1930</v>
      </c>
      <c r="G12003" s="6">
        <v>2026.5</v>
      </c>
      <c r="H12003" s="5">
        <v>5633</v>
      </c>
    </row>
    <row r="12004" spans="2:8" x14ac:dyDescent="0.4">
      <c r="B12004" s="3" t="s">
        <v>7</v>
      </c>
      <c r="C12004" s="3" t="s">
        <v>1931</v>
      </c>
      <c r="D12004" s="4">
        <f>DATE(2013,7,18)</f>
        <v>41473</v>
      </c>
      <c r="E12004" s="5">
        <f t="shared" si="199"/>
        <v>2013</v>
      </c>
      <c r="F12004" s="3" t="s">
        <v>1932</v>
      </c>
      <c r="G12004" s="6">
        <v>93.2</v>
      </c>
      <c r="H12004" s="5">
        <v>18716</v>
      </c>
    </row>
    <row r="12005" spans="2:8" x14ac:dyDescent="0.4">
      <c r="B12005" t="s">
        <v>7</v>
      </c>
      <c r="C12005" t="s">
        <v>1933</v>
      </c>
      <c r="D12005" s="7">
        <f>DATE(2012,3,5)</f>
        <v>40973</v>
      </c>
      <c r="E12005" s="8">
        <f t="shared" si="199"/>
        <v>2012</v>
      </c>
      <c r="F12005" t="s">
        <v>1934</v>
      </c>
      <c r="G12005" s="9">
        <v>29778</v>
      </c>
      <c r="H12005" s="8">
        <v>11220</v>
      </c>
    </row>
    <row r="12006" spans="2:8" x14ac:dyDescent="0.4">
      <c r="B12006" t="s">
        <v>16</v>
      </c>
      <c r="C12006" t="s">
        <v>1933</v>
      </c>
      <c r="D12006" s="7">
        <f>DATE(2012,3,28)</f>
        <v>40996</v>
      </c>
      <c r="E12006" s="8">
        <f t="shared" si="199"/>
        <v>2012</v>
      </c>
      <c r="F12006" t="s">
        <v>1934</v>
      </c>
      <c r="G12006" s="9">
        <v>1000</v>
      </c>
      <c r="H12006" s="8">
        <v>11521</v>
      </c>
    </row>
    <row r="12007" spans="2:8" x14ac:dyDescent="0.4">
      <c r="B12007" s="3" t="s">
        <v>7</v>
      </c>
      <c r="C12007" s="3" t="s">
        <v>1933</v>
      </c>
      <c r="D12007" s="4">
        <f>DATE(2012,2,29)</f>
        <v>40968</v>
      </c>
      <c r="E12007" s="5">
        <f t="shared" si="199"/>
        <v>2012</v>
      </c>
      <c r="F12007" s="3" t="s">
        <v>1934</v>
      </c>
      <c r="G12007" s="6">
        <v>79.23</v>
      </c>
      <c r="H12007" s="5">
        <v>16657</v>
      </c>
    </row>
    <row r="12008" spans="2:8" x14ac:dyDescent="0.4">
      <c r="B12008" t="s">
        <v>7</v>
      </c>
      <c r="C12008" t="s">
        <v>1935</v>
      </c>
      <c r="D12008" s="7">
        <f>DATE(2012,2,7)</f>
        <v>40946</v>
      </c>
      <c r="E12008" s="8">
        <f t="shared" si="199"/>
        <v>2012</v>
      </c>
      <c r="F12008" t="s">
        <v>1936</v>
      </c>
      <c r="G12008" s="9">
        <v>3127</v>
      </c>
      <c r="H12008" s="8">
        <v>11294</v>
      </c>
    </row>
    <row r="12009" spans="2:8" x14ac:dyDescent="0.4">
      <c r="B12009" t="s">
        <v>7</v>
      </c>
      <c r="C12009" t="s">
        <v>1935</v>
      </c>
      <c r="D12009" s="7">
        <f>DATE(2005,12,7)</f>
        <v>38693</v>
      </c>
      <c r="E12009" s="8">
        <f t="shared" si="199"/>
        <v>2005</v>
      </c>
      <c r="F12009" t="s">
        <v>1936</v>
      </c>
      <c r="G12009" s="9">
        <v>1553.64</v>
      </c>
      <c r="H12009" s="8">
        <v>3815</v>
      </c>
    </row>
    <row r="12010" spans="2:8" x14ac:dyDescent="0.4">
      <c r="B12010" t="s">
        <v>7</v>
      </c>
      <c r="C12010" t="s">
        <v>1935</v>
      </c>
      <c r="D12010" s="7">
        <f>DATE(2005,12,6)</f>
        <v>38692</v>
      </c>
      <c r="E12010" s="8">
        <f t="shared" si="199"/>
        <v>2005</v>
      </c>
      <c r="F12010" t="s">
        <v>1936</v>
      </c>
      <c r="G12010" s="9">
        <v>1610.35</v>
      </c>
      <c r="H12010" s="8">
        <v>3781</v>
      </c>
    </row>
    <row r="12011" spans="2:8" x14ac:dyDescent="0.4">
      <c r="B12011" t="s">
        <v>7</v>
      </c>
      <c r="C12011" t="s">
        <v>1935</v>
      </c>
      <c r="D12011" s="7">
        <f>DATE(2006,5,24)</f>
        <v>38861</v>
      </c>
      <c r="E12011" s="8">
        <f t="shared" si="199"/>
        <v>2006</v>
      </c>
      <c r="F12011" t="s">
        <v>1936</v>
      </c>
      <c r="G12011" s="9">
        <v>1575.04</v>
      </c>
      <c r="H12011" s="8">
        <v>4484</v>
      </c>
    </row>
    <row r="12012" spans="2:8" x14ac:dyDescent="0.4">
      <c r="B12012" t="s">
        <v>7</v>
      </c>
      <c r="C12012" t="s">
        <v>1935</v>
      </c>
      <c r="D12012" s="7">
        <f>DATE(2006,5,22)</f>
        <v>38859</v>
      </c>
      <c r="E12012" s="8">
        <f t="shared" si="199"/>
        <v>2006</v>
      </c>
      <c r="F12012" t="s">
        <v>1936</v>
      </c>
      <c r="G12012" s="9">
        <v>1610.35</v>
      </c>
      <c r="H12012" s="8">
        <v>4482</v>
      </c>
    </row>
    <row r="12013" spans="2:8" x14ac:dyDescent="0.4">
      <c r="B12013" t="s">
        <v>7</v>
      </c>
      <c r="C12013" t="s">
        <v>1935</v>
      </c>
      <c r="D12013" s="7">
        <f>DATE(2010,3,10)</f>
        <v>40247</v>
      </c>
      <c r="E12013" s="8">
        <f t="shared" si="199"/>
        <v>2010</v>
      </c>
      <c r="F12013" t="s">
        <v>1936</v>
      </c>
      <c r="G12013" s="9">
        <v>2273.75</v>
      </c>
      <c r="H12013" s="8">
        <v>9572</v>
      </c>
    </row>
    <row r="12014" spans="2:8" x14ac:dyDescent="0.4">
      <c r="B12014" t="s">
        <v>7</v>
      </c>
      <c r="C12014" t="s">
        <v>1935</v>
      </c>
      <c r="D12014" s="7">
        <f>DATE(2010,3,16)</f>
        <v>40253</v>
      </c>
      <c r="E12014" s="8">
        <f t="shared" si="199"/>
        <v>2010</v>
      </c>
      <c r="F12014" t="s">
        <v>1936</v>
      </c>
      <c r="G12014" s="9">
        <v>5890.5</v>
      </c>
      <c r="H12014" s="8">
        <v>9482</v>
      </c>
    </row>
    <row r="12015" spans="2:8" x14ac:dyDescent="0.4">
      <c r="B12015" s="3" t="s">
        <v>7</v>
      </c>
      <c r="C12015" s="3" t="s">
        <v>1935</v>
      </c>
      <c r="D12015" s="4">
        <f>DATE(2004,2,11)</f>
        <v>38028</v>
      </c>
      <c r="E12015" s="5">
        <f t="shared" si="199"/>
        <v>2004</v>
      </c>
      <c r="F12015" s="3" t="s">
        <v>1936</v>
      </c>
      <c r="G12015" s="6">
        <v>271.25</v>
      </c>
      <c r="H12015" s="5">
        <v>2142</v>
      </c>
    </row>
    <row r="12016" spans="2:8" x14ac:dyDescent="0.4">
      <c r="B12016" s="3" t="s">
        <v>7</v>
      </c>
      <c r="C12016" s="3" t="s">
        <v>1935</v>
      </c>
      <c r="D12016" s="4">
        <f>DATE(2006,12,29)</f>
        <v>39080</v>
      </c>
      <c r="E12016" s="5">
        <f t="shared" si="199"/>
        <v>2006</v>
      </c>
      <c r="F12016" s="3" t="s">
        <v>1936</v>
      </c>
      <c r="G12016" s="6">
        <v>243.9</v>
      </c>
      <c r="H12016" s="5">
        <v>7681</v>
      </c>
    </row>
    <row r="12017" spans="2:8" x14ac:dyDescent="0.4">
      <c r="B12017" s="3" t="s">
        <v>7</v>
      </c>
      <c r="C12017" s="3" t="s">
        <v>1935</v>
      </c>
      <c r="D12017" s="4">
        <f>DATE(2012,3,12)</f>
        <v>40980</v>
      </c>
      <c r="E12017" s="5">
        <f t="shared" si="199"/>
        <v>2012</v>
      </c>
      <c r="F12017" s="3" t="s">
        <v>1936</v>
      </c>
      <c r="G12017" s="6">
        <v>52.77</v>
      </c>
      <c r="H12017" s="5">
        <v>16730</v>
      </c>
    </row>
    <row r="12018" spans="2:8" x14ac:dyDescent="0.4">
      <c r="B12018" t="s">
        <v>7</v>
      </c>
      <c r="C12018" t="s">
        <v>1937</v>
      </c>
      <c r="D12018" s="7">
        <f>DATE(2005,4,15)</f>
        <v>38457</v>
      </c>
      <c r="E12018" s="8">
        <f t="shared" si="199"/>
        <v>2005</v>
      </c>
      <c r="F12018" t="s">
        <v>1938</v>
      </c>
      <c r="G12018" s="9">
        <v>3972.59</v>
      </c>
      <c r="H12018" s="8">
        <v>3023</v>
      </c>
    </row>
    <row r="12019" spans="2:8" x14ac:dyDescent="0.4">
      <c r="B12019" t="s">
        <v>7</v>
      </c>
      <c r="C12019" t="s">
        <v>1937</v>
      </c>
      <c r="D12019" s="7">
        <f>DATE(2009,11,24)</f>
        <v>40141</v>
      </c>
      <c r="E12019" s="8">
        <f t="shared" si="199"/>
        <v>2009</v>
      </c>
      <c r="F12019" t="s">
        <v>1938</v>
      </c>
      <c r="G12019" s="9">
        <v>7353</v>
      </c>
      <c r="H12019" s="8">
        <v>9251</v>
      </c>
    </row>
    <row r="12020" spans="2:8" x14ac:dyDescent="0.4">
      <c r="B12020" t="s">
        <v>7</v>
      </c>
      <c r="C12020" t="s">
        <v>1937</v>
      </c>
      <c r="D12020" s="7">
        <f>DATE(2009,12,16)</f>
        <v>40163</v>
      </c>
      <c r="E12020" s="8">
        <f t="shared" si="199"/>
        <v>2009</v>
      </c>
      <c r="F12020" t="s">
        <v>1938</v>
      </c>
      <c r="G12020" s="9">
        <v>19498.57</v>
      </c>
      <c r="H12020" s="8">
        <v>8935</v>
      </c>
    </row>
    <row r="12021" spans="2:8" x14ac:dyDescent="0.4">
      <c r="B12021" t="s">
        <v>7</v>
      </c>
      <c r="C12021" t="s">
        <v>1937</v>
      </c>
      <c r="D12021" s="7">
        <f>DATE(2010,4,5)</f>
        <v>40273</v>
      </c>
      <c r="E12021" s="8">
        <f t="shared" si="199"/>
        <v>2010</v>
      </c>
      <c r="F12021" t="s">
        <v>1938</v>
      </c>
      <c r="G12021" s="9">
        <v>7892.7</v>
      </c>
      <c r="H12021" s="8">
        <v>9488</v>
      </c>
    </row>
    <row r="12022" spans="2:8" x14ac:dyDescent="0.4">
      <c r="B12022" t="s">
        <v>7</v>
      </c>
      <c r="C12022" t="s">
        <v>1937</v>
      </c>
      <c r="D12022" s="7">
        <f>DATE(2010,4,6)</f>
        <v>40274</v>
      </c>
      <c r="E12022" s="8">
        <f t="shared" si="199"/>
        <v>2010</v>
      </c>
      <c r="F12022" t="s">
        <v>1938</v>
      </c>
      <c r="G12022" s="9">
        <v>19368.330000000002</v>
      </c>
      <c r="H12022" s="8">
        <v>9507</v>
      </c>
    </row>
    <row r="12023" spans="2:8" x14ac:dyDescent="0.4">
      <c r="B12023" t="s">
        <v>7</v>
      </c>
      <c r="C12023" t="s">
        <v>1937</v>
      </c>
      <c r="D12023" s="7">
        <f>DATE(2011,9,22)</f>
        <v>40808</v>
      </c>
      <c r="E12023" s="8">
        <f t="shared" si="199"/>
        <v>2011</v>
      </c>
      <c r="F12023" t="s">
        <v>1939</v>
      </c>
      <c r="G12023" s="9">
        <v>9775.24</v>
      </c>
      <c r="H12023" s="8">
        <v>11027</v>
      </c>
    </row>
    <row r="12024" spans="2:8" x14ac:dyDescent="0.4">
      <c r="B12024" s="3" t="s">
        <v>7</v>
      </c>
      <c r="C12024" s="3" t="s">
        <v>1940</v>
      </c>
      <c r="D12024" s="4">
        <f>DATE(2012,5,23)</f>
        <v>41052</v>
      </c>
      <c r="E12024" s="5">
        <f t="shared" si="199"/>
        <v>2012</v>
      </c>
      <c r="F12024" s="3" t="s">
        <v>1941</v>
      </c>
      <c r="G12024" s="6">
        <v>118.96</v>
      </c>
      <c r="H12024" s="5">
        <v>5091</v>
      </c>
    </row>
    <row r="12025" spans="2:8" x14ac:dyDescent="0.4">
      <c r="B12025" s="3" t="s">
        <v>7</v>
      </c>
      <c r="C12025" s="3" t="s">
        <v>1942</v>
      </c>
      <c r="D12025" s="4">
        <f>DATE(2006,6,9)</f>
        <v>38877</v>
      </c>
      <c r="E12025" s="5">
        <f t="shared" si="199"/>
        <v>2006</v>
      </c>
      <c r="F12025" s="3" t="s">
        <v>1943</v>
      </c>
      <c r="G12025" s="6">
        <v>3000</v>
      </c>
      <c r="H12025" s="5">
        <v>6801</v>
      </c>
    </row>
    <row r="12026" spans="2:8" x14ac:dyDescent="0.4">
      <c r="B12026" s="3" t="s">
        <v>7</v>
      </c>
      <c r="C12026" s="3" t="s">
        <v>1942</v>
      </c>
      <c r="D12026" s="4">
        <f>DATE(2006,6,27)</f>
        <v>38895</v>
      </c>
      <c r="E12026" s="5">
        <f t="shared" si="199"/>
        <v>2006</v>
      </c>
      <c r="F12026" s="3" t="s">
        <v>1943</v>
      </c>
      <c r="G12026" s="6">
        <v>835</v>
      </c>
      <c r="H12026" s="5">
        <v>6889</v>
      </c>
    </row>
    <row r="12027" spans="2:8" x14ac:dyDescent="0.4">
      <c r="B12027" s="3" t="s">
        <v>7</v>
      </c>
      <c r="C12027" s="3" t="s">
        <v>1942</v>
      </c>
      <c r="D12027" s="4">
        <f>DATE(2006,6,30)</f>
        <v>38898</v>
      </c>
      <c r="E12027" s="5">
        <f t="shared" si="199"/>
        <v>2006</v>
      </c>
      <c r="F12027" s="3" t="s">
        <v>1943</v>
      </c>
      <c r="G12027" s="6">
        <v>375</v>
      </c>
      <c r="H12027" s="5">
        <v>6909</v>
      </c>
    </row>
    <row r="12028" spans="2:8" x14ac:dyDescent="0.4">
      <c r="B12028" s="3" t="s">
        <v>7</v>
      </c>
      <c r="C12028" s="3" t="s">
        <v>1942</v>
      </c>
      <c r="D12028" s="4">
        <f>DATE(2006,9,6)</f>
        <v>38966</v>
      </c>
      <c r="E12028" s="5">
        <f t="shared" si="199"/>
        <v>2006</v>
      </c>
      <c r="F12028" s="3" t="s">
        <v>1943</v>
      </c>
      <c r="G12028" s="6">
        <v>800</v>
      </c>
      <c r="H12028" s="5">
        <v>7187</v>
      </c>
    </row>
    <row r="12029" spans="2:8" x14ac:dyDescent="0.4">
      <c r="B12029" s="3" t="s">
        <v>7</v>
      </c>
      <c r="C12029" s="3" t="s">
        <v>1942</v>
      </c>
      <c r="D12029" s="4">
        <f>DATE(2008,3,10)</f>
        <v>39517</v>
      </c>
      <c r="E12029" s="5">
        <f t="shared" si="199"/>
        <v>2008</v>
      </c>
      <c r="F12029" s="3" t="s">
        <v>1943</v>
      </c>
      <c r="G12029" s="6">
        <v>1100</v>
      </c>
      <c r="H12029" s="5">
        <v>10160</v>
      </c>
    </row>
    <row r="12030" spans="2:8" x14ac:dyDescent="0.4">
      <c r="B12030" s="3" t="s">
        <v>7</v>
      </c>
      <c r="C12030" s="3" t="s">
        <v>1942</v>
      </c>
      <c r="D12030" s="4">
        <f>DATE(2009,3,13)</f>
        <v>39885</v>
      </c>
      <c r="E12030" s="5">
        <f t="shared" si="199"/>
        <v>2009</v>
      </c>
      <c r="F12030" s="3" t="s">
        <v>1943</v>
      </c>
      <c r="G12030" s="6">
        <v>759.48</v>
      </c>
      <c r="H12030" s="5">
        <v>12220</v>
      </c>
    </row>
    <row r="12031" spans="2:8" x14ac:dyDescent="0.4">
      <c r="B12031" s="3" t="s">
        <v>7</v>
      </c>
      <c r="C12031" s="3" t="s">
        <v>1942</v>
      </c>
      <c r="D12031" s="4">
        <f>DATE(2010,1,27)</f>
        <v>40205</v>
      </c>
      <c r="E12031" s="5">
        <f t="shared" si="199"/>
        <v>2010</v>
      </c>
      <c r="F12031" s="3" t="s">
        <v>1943</v>
      </c>
      <c r="G12031" s="6">
        <v>4384.6499999999996</v>
      </c>
      <c r="H12031" s="5">
        <v>12704</v>
      </c>
    </row>
    <row r="12032" spans="2:8" x14ac:dyDescent="0.4">
      <c r="B12032" t="s">
        <v>7</v>
      </c>
      <c r="C12032" t="s">
        <v>1944</v>
      </c>
      <c r="D12032" s="7">
        <f>DATE(2006,1,16)</f>
        <v>38733</v>
      </c>
      <c r="E12032" s="8">
        <f t="shared" si="199"/>
        <v>2006</v>
      </c>
      <c r="F12032" t="s">
        <v>1945</v>
      </c>
      <c r="G12032" s="9">
        <v>147</v>
      </c>
      <c r="H12032" s="8">
        <v>3961</v>
      </c>
    </row>
    <row r="12033" spans="2:8" x14ac:dyDescent="0.4">
      <c r="B12033" s="3" t="s">
        <v>7</v>
      </c>
      <c r="C12033" s="3" t="s">
        <v>1944</v>
      </c>
      <c r="D12033" s="4">
        <f>DATE(2004,3,23)</f>
        <v>38069</v>
      </c>
      <c r="E12033" s="5">
        <f t="shared" si="199"/>
        <v>2004</v>
      </c>
      <c r="F12033" s="3" t="s">
        <v>1945</v>
      </c>
      <c r="G12033" s="6">
        <v>739.26</v>
      </c>
      <c r="H12033" s="5">
        <v>2449</v>
      </c>
    </row>
    <row r="12034" spans="2:8" x14ac:dyDescent="0.4">
      <c r="B12034" s="3" t="s">
        <v>7</v>
      </c>
      <c r="C12034" s="3" t="s">
        <v>1944</v>
      </c>
      <c r="D12034" s="4">
        <f>DATE(2004,9,8)</f>
        <v>38238</v>
      </c>
      <c r="E12034" s="5">
        <f t="shared" si="199"/>
        <v>2004</v>
      </c>
      <c r="F12034" s="3" t="s">
        <v>1945</v>
      </c>
      <c r="G12034" s="6">
        <v>3555.21</v>
      </c>
      <c r="H12034" s="5">
        <v>3350</v>
      </c>
    </row>
    <row r="12035" spans="2:8" x14ac:dyDescent="0.4">
      <c r="B12035" s="3" t="s">
        <v>7</v>
      </c>
      <c r="C12035" s="3" t="s">
        <v>1944</v>
      </c>
      <c r="D12035" s="4">
        <f>DATE(2004,9,16)</f>
        <v>38246</v>
      </c>
      <c r="E12035" s="5">
        <f t="shared" ref="E12035:E12098" si="200">YEAR(D12035)</f>
        <v>2004</v>
      </c>
      <c r="F12035" s="3" t="s">
        <v>1945</v>
      </c>
      <c r="G12035" s="6">
        <v>3555.21</v>
      </c>
      <c r="H12035" s="5">
        <v>3396</v>
      </c>
    </row>
    <row r="12036" spans="2:8" x14ac:dyDescent="0.4">
      <c r="B12036" s="3" t="s">
        <v>7</v>
      </c>
      <c r="C12036" s="3" t="s">
        <v>1944</v>
      </c>
      <c r="D12036" s="4">
        <f>DATE(2006,2,16)</f>
        <v>38764</v>
      </c>
      <c r="E12036" s="5">
        <f t="shared" si="200"/>
        <v>2006</v>
      </c>
      <c r="F12036" s="3" t="s">
        <v>1945</v>
      </c>
      <c r="G12036" s="6">
        <v>875.58</v>
      </c>
      <c r="H12036" s="5">
        <v>6072</v>
      </c>
    </row>
    <row r="12037" spans="2:8" x14ac:dyDescent="0.4">
      <c r="B12037" s="3" t="s">
        <v>7</v>
      </c>
      <c r="C12037" s="3" t="s">
        <v>1944</v>
      </c>
      <c r="D12037" s="4">
        <f>DATE(2006,11,14)</f>
        <v>39035</v>
      </c>
      <c r="E12037" s="5">
        <f t="shared" si="200"/>
        <v>2006</v>
      </c>
      <c r="F12037" s="3" t="s">
        <v>1945</v>
      </c>
      <c r="G12037" s="6">
        <v>3829.39</v>
      </c>
      <c r="H12037" s="5">
        <v>7531</v>
      </c>
    </row>
    <row r="12038" spans="2:8" x14ac:dyDescent="0.4">
      <c r="B12038" s="3" t="s">
        <v>7</v>
      </c>
      <c r="C12038" s="3" t="s">
        <v>1944</v>
      </c>
      <c r="D12038" s="4">
        <f>DATE(2007,4,18)</f>
        <v>39190</v>
      </c>
      <c r="E12038" s="5">
        <f t="shared" si="200"/>
        <v>2007</v>
      </c>
      <c r="F12038" s="3" t="s">
        <v>1945</v>
      </c>
      <c r="G12038" s="6">
        <v>932.62</v>
      </c>
      <c r="H12038" s="5">
        <v>8418</v>
      </c>
    </row>
    <row r="12039" spans="2:8" x14ac:dyDescent="0.4">
      <c r="B12039" s="3" t="s">
        <v>7</v>
      </c>
      <c r="C12039" s="3" t="s">
        <v>1944</v>
      </c>
      <c r="D12039" s="4">
        <f>DATE(2007,10,11)</f>
        <v>39366</v>
      </c>
      <c r="E12039" s="5">
        <f t="shared" si="200"/>
        <v>2007</v>
      </c>
      <c r="F12039" s="3" t="s">
        <v>1945</v>
      </c>
      <c r="G12039" s="6">
        <v>93.78</v>
      </c>
      <c r="H12039" s="5">
        <v>9327</v>
      </c>
    </row>
    <row r="12040" spans="2:8" x14ac:dyDescent="0.4">
      <c r="B12040" s="3" t="s">
        <v>7</v>
      </c>
      <c r="C12040" s="3" t="s">
        <v>1944</v>
      </c>
      <c r="D12040" s="4">
        <f>DATE(2009,9,29)</f>
        <v>40085</v>
      </c>
      <c r="E12040" s="5">
        <f t="shared" si="200"/>
        <v>2009</v>
      </c>
      <c r="F12040" s="3" t="s">
        <v>1945</v>
      </c>
      <c r="G12040" s="6">
        <v>3373.5</v>
      </c>
      <c r="H12040" s="5">
        <v>13061</v>
      </c>
    </row>
    <row r="12041" spans="2:8" x14ac:dyDescent="0.4">
      <c r="B12041" s="3" t="s">
        <v>7</v>
      </c>
      <c r="C12041" s="3" t="s">
        <v>1944</v>
      </c>
      <c r="D12041" s="4">
        <f>DATE(2011,5,13)</f>
        <v>40676</v>
      </c>
      <c r="E12041" s="5">
        <f t="shared" si="200"/>
        <v>2011</v>
      </c>
      <c r="F12041" s="3" t="s">
        <v>1945</v>
      </c>
      <c r="G12041" s="6">
        <v>3384.72</v>
      </c>
      <c r="H12041" s="5">
        <v>15574</v>
      </c>
    </row>
    <row r="12042" spans="2:8" x14ac:dyDescent="0.4">
      <c r="B12042" s="3" t="s">
        <v>7</v>
      </c>
      <c r="C12042" s="3" t="s">
        <v>1946</v>
      </c>
      <c r="D12042" s="4">
        <f>DATE(2003,6,9)</f>
        <v>37781</v>
      </c>
      <c r="E12042" s="5">
        <f t="shared" si="200"/>
        <v>2003</v>
      </c>
      <c r="F12042" s="3" t="s">
        <v>1947</v>
      </c>
      <c r="G12042" s="6">
        <v>493.25</v>
      </c>
      <c r="H12042" s="5">
        <v>1072</v>
      </c>
    </row>
    <row r="12043" spans="2:8" x14ac:dyDescent="0.4">
      <c r="B12043" s="3" t="s">
        <v>7</v>
      </c>
      <c r="C12043" s="3" t="s">
        <v>1948</v>
      </c>
      <c r="D12043" s="4">
        <f>DATE(2003,10,7)</f>
        <v>37901</v>
      </c>
      <c r="E12043" s="5">
        <f t="shared" si="200"/>
        <v>2003</v>
      </c>
      <c r="F12043" s="3" t="s">
        <v>1949</v>
      </c>
      <c r="G12043" s="6">
        <v>56</v>
      </c>
      <c r="H12043" s="5">
        <v>1600</v>
      </c>
    </row>
    <row r="12044" spans="2:8" x14ac:dyDescent="0.4">
      <c r="B12044" s="3" t="s">
        <v>7</v>
      </c>
      <c r="C12044" s="3" t="s">
        <v>1948</v>
      </c>
      <c r="D12044" s="4">
        <f>DATE(2004,7,27)</f>
        <v>38195</v>
      </c>
      <c r="E12044" s="5">
        <f t="shared" si="200"/>
        <v>2004</v>
      </c>
      <c r="F12044" s="3" t="s">
        <v>1949</v>
      </c>
      <c r="G12044" s="6">
        <v>56</v>
      </c>
      <c r="H12044" s="5">
        <v>3197</v>
      </c>
    </row>
    <row r="12045" spans="2:8" x14ac:dyDescent="0.4">
      <c r="B12045" s="3" t="s">
        <v>7</v>
      </c>
      <c r="C12045" s="3" t="s">
        <v>1950</v>
      </c>
      <c r="D12045" s="4">
        <f>DATE(2006,8,15)</f>
        <v>38944</v>
      </c>
      <c r="E12045" s="5">
        <f t="shared" si="200"/>
        <v>2006</v>
      </c>
      <c r="F12045" s="3" t="s">
        <v>1951</v>
      </c>
      <c r="G12045" s="6">
        <v>5771</v>
      </c>
      <c r="H12045" s="5">
        <v>6991</v>
      </c>
    </row>
    <row r="12046" spans="2:8" x14ac:dyDescent="0.4">
      <c r="B12046" s="3" t="s">
        <v>7</v>
      </c>
      <c r="C12046" s="3" t="s">
        <v>1950</v>
      </c>
      <c r="D12046" s="4">
        <f>DATE(2007,3,16)</f>
        <v>39157</v>
      </c>
      <c r="E12046" s="5">
        <f t="shared" si="200"/>
        <v>2007</v>
      </c>
      <c r="F12046" s="3" t="s">
        <v>1951</v>
      </c>
      <c r="G12046" s="6">
        <v>13930</v>
      </c>
      <c r="H12046" s="5">
        <v>7941</v>
      </c>
    </row>
    <row r="12047" spans="2:8" x14ac:dyDescent="0.4">
      <c r="B12047" s="3" t="s">
        <v>7</v>
      </c>
      <c r="C12047" s="3" t="s">
        <v>1950</v>
      </c>
      <c r="D12047" s="4">
        <f>DATE(2007,4,2)</f>
        <v>39174</v>
      </c>
      <c r="E12047" s="5">
        <f t="shared" si="200"/>
        <v>2007</v>
      </c>
      <c r="F12047" s="3" t="s">
        <v>1951</v>
      </c>
      <c r="G12047" s="6">
        <v>5550</v>
      </c>
      <c r="H12047" s="5">
        <v>8229</v>
      </c>
    </row>
    <row r="12048" spans="2:8" x14ac:dyDescent="0.4">
      <c r="B12048" s="3" t="s">
        <v>7</v>
      </c>
      <c r="C12048" s="3" t="s">
        <v>1950</v>
      </c>
      <c r="D12048" s="4">
        <f>DATE(2007,4,10)</f>
        <v>39182</v>
      </c>
      <c r="E12048" s="5">
        <f t="shared" si="200"/>
        <v>2007</v>
      </c>
      <c r="F12048" s="3" t="s">
        <v>1951</v>
      </c>
      <c r="G12048" s="6">
        <v>315</v>
      </c>
      <c r="H12048" s="5">
        <v>8361</v>
      </c>
    </row>
    <row r="12049" spans="2:8" x14ac:dyDescent="0.4">
      <c r="B12049" s="3" t="s">
        <v>7</v>
      </c>
      <c r="C12049" s="3" t="s">
        <v>1950</v>
      </c>
      <c r="D12049" s="4">
        <f>DATE(2007,4,11)</f>
        <v>39183</v>
      </c>
      <c r="E12049" s="5">
        <f t="shared" si="200"/>
        <v>2007</v>
      </c>
      <c r="F12049" s="3" t="s">
        <v>1951</v>
      </c>
      <c r="G12049" s="6">
        <v>315</v>
      </c>
      <c r="H12049" s="5">
        <v>8369</v>
      </c>
    </row>
    <row r="12050" spans="2:8" x14ac:dyDescent="0.4">
      <c r="B12050" t="s">
        <v>7</v>
      </c>
      <c r="C12050" t="s">
        <v>1950</v>
      </c>
      <c r="D12050" s="7">
        <f>DATE(2017,12,19)</f>
        <v>43088</v>
      </c>
      <c r="E12050" s="8">
        <f t="shared" si="200"/>
        <v>2017</v>
      </c>
      <c r="F12050" t="s">
        <v>1952</v>
      </c>
      <c r="G12050" s="9">
        <v>462.53</v>
      </c>
      <c r="H12050" s="8">
        <v>26038</v>
      </c>
    </row>
    <row r="12051" spans="2:8" x14ac:dyDescent="0.4">
      <c r="B12051" t="s">
        <v>7</v>
      </c>
      <c r="C12051" t="s">
        <v>1950</v>
      </c>
      <c r="D12051" s="7">
        <f>DATE(2012,4,17)</f>
        <v>41016</v>
      </c>
      <c r="E12051" s="8">
        <f t="shared" si="200"/>
        <v>2012</v>
      </c>
      <c r="F12051" t="s">
        <v>1952</v>
      </c>
      <c r="G12051" s="9">
        <v>461</v>
      </c>
      <c r="H12051" s="8">
        <v>11568</v>
      </c>
    </row>
    <row r="12052" spans="2:8" x14ac:dyDescent="0.4">
      <c r="B12052" t="s">
        <v>7</v>
      </c>
      <c r="C12052" t="s">
        <v>1950</v>
      </c>
      <c r="D12052" s="7">
        <f>DATE(2014,11,24)</f>
        <v>41967</v>
      </c>
      <c r="E12052" s="8">
        <f t="shared" si="200"/>
        <v>2014</v>
      </c>
      <c r="F12052" t="s">
        <v>1952</v>
      </c>
      <c r="G12052" s="9">
        <v>31633.360000000001</v>
      </c>
      <c r="H12052" s="8">
        <v>13533</v>
      </c>
    </row>
    <row r="12053" spans="2:8" x14ac:dyDescent="0.4">
      <c r="B12053" s="3" t="s">
        <v>7</v>
      </c>
      <c r="C12053" s="3" t="s">
        <v>1950</v>
      </c>
      <c r="D12053" s="4">
        <f>DATE(2008,10,23)</f>
        <v>39744</v>
      </c>
      <c r="E12053" s="5">
        <f t="shared" si="200"/>
        <v>2008</v>
      </c>
      <c r="F12053" s="3" t="s">
        <v>1952</v>
      </c>
      <c r="G12053" s="6">
        <v>7409</v>
      </c>
      <c r="H12053" s="5">
        <v>11421</v>
      </c>
    </row>
    <row r="12054" spans="2:8" x14ac:dyDescent="0.4">
      <c r="B12054" s="3" t="s">
        <v>7</v>
      </c>
      <c r="C12054" s="3" t="s">
        <v>1950</v>
      </c>
      <c r="D12054" s="4">
        <f>DATE(2011,6,14)</f>
        <v>40708</v>
      </c>
      <c r="E12054" s="5">
        <f t="shared" si="200"/>
        <v>2011</v>
      </c>
      <c r="F12054" s="3" t="s">
        <v>1952</v>
      </c>
      <c r="G12054" s="6">
        <v>8744.75</v>
      </c>
      <c r="H12054" s="5">
        <v>15643</v>
      </c>
    </row>
    <row r="12055" spans="2:8" x14ac:dyDescent="0.4">
      <c r="B12055" s="3" t="s">
        <v>7</v>
      </c>
      <c r="C12055" s="3" t="s">
        <v>1950</v>
      </c>
      <c r="D12055" s="4">
        <f>DATE(2012,2,2)</f>
        <v>40941</v>
      </c>
      <c r="E12055" s="5">
        <f t="shared" si="200"/>
        <v>2012</v>
      </c>
      <c r="F12055" s="3" t="s">
        <v>1952</v>
      </c>
      <c r="G12055" s="6">
        <v>577.5</v>
      </c>
      <c r="H12055" s="5">
        <v>16479</v>
      </c>
    </row>
    <row r="12056" spans="2:8" x14ac:dyDescent="0.4">
      <c r="B12056" s="3" t="s">
        <v>7</v>
      </c>
      <c r="C12056" s="3" t="s">
        <v>1950</v>
      </c>
      <c r="D12056" s="4">
        <f>DATE(2013,9,11)</f>
        <v>41528</v>
      </c>
      <c r="E12056" s="5">
        <f t="shared" si="200"/>
        <v>2013</v>
      </c>
      <c r="F12056" s="3" t="s">
        <v>1952</v>
      </c>
      <c r="G12056" s="6">
        <v>42542</v>
      </c>
      <c r="H12056" s="5">
        <v>18828</v>
      </c>
    </row>
    <row r="12057" spans="2:8" x14ac:dyDescent="0.4">
      <c r="B12057" s="3" t="s">
        <v>7</v>
      </c>
      <c r="C12057" s="3" t="s">
        <v>1953</v>
      </c>
      <c r="D12057" s="4">
        <f>DATE(2007,2,2)</f>
        <v>39115</v>
      </c>
      <c r="E12057" s="5">
        <f t="shared" si="200"/>
        <v>2007</v>
      </c>
      <c r="F12057" s="3" t="s">
        <v>1954</v>
      </c>
      <c r="G12057" s="6">
        <v>828</v>
      </c>
      <c r="H12057" s="5">
        <v>2014</v>
      </c>
    </row>
    <row r="12058" spans="2:8" x14ac:dyDescent="0.4">
      <c r="B12058" s="3" t="s">
        <v>7</v>
      </c>
      <c r="C12058" s="3" t="s">
        <v>1955</v>
      </c>
      <c r="D12058" s="4">
        <f>DATE(2004,2,5)</f>
        <v>38022</v>
      </c>
      <c r="E12058" s="5">
        <f t="shared" si="200"/>
        <v>2004</v>
      </c>
      <c r="F12058" s="3" t="s">
        <v>1956</v>
      </c>
      <c r="G12058" s="6">
        <v>597</v>
      </c>
      <c r="H12058" s="5">
        <v>2121</v>
      </c>
    </row>
    <row r="12059" spans="2:8" x14ac:dyDescent="0.4">
      <c r="B12059" s="3" t="s">
        <v>7</v>
      </c>
      <c r="C12059" s="3" t="s">
        <v>1955</v>
      </c>
      <c r="D12059" s="4">
        <f>DATE(2004,10,18)</f>
        <v>38278</v>
      </c>
      <c r="E12059" s="5">
        <f t="shared" si="200"/>
        <v>2004</v>
      </c>
      <c r="F12059" s="3" t="s">
        <v>1956</v>
      </c>
      <c r="G12059" s="6">
        <v>728</v>
      </c>
      <c r="H12059" s="5">
        <v>3579</v>
      </c>
    </row>
    <row r="12060" spans="2:8" x14ac:dyDescent="0.4">
      <c r="B12060" s="3" t="s">
        <v>7</v>
      </c>
      <c r="C12060" s="3" t="s">
        <v>1955</v>
      </c>
      <c r="D12060" s="4">
        <f>DATE(2005,4,11)</f>
        <v>38453</v>
      </c>
      <c r="E12060" s="5">
        <f t="shared" si="200"/>
        <v>2005</v>
      </c>
      <c r="F12060" s="3" t="s">
        <v>1957</v>
      </c>
      <c r="G12060" s="6">
        <v>727</v>
      </c>
      <c r="H12060" s="5">
        <v>4531</v>
      </c>
    </row>
    <row r="12061" spans="2:8" x14ac:dyDescent="0.4">
      <c r="B12061" s="3" t="s">
        <v>7</v>
      </c>
      <c r="C12061" s="3" t="s">
        <v>1955</v>
      </c>
      <c r="D12061" s="4">
        <f>DATE(2006,2,17)</f>
        <v>38765</v>
      </c>
      <c r="E12061" s="5">
        <f t="shared" si="200"/>
        <v>2006</v>
      </c>
      <c r="F12061" s="3" t="s">
        <v>1957</v>
      </c>
      <c r="G12061" s="6">
        <v>3382.4</v>
      </c>
      <c r="H12061" s="5">
        <v>6062</v>
      </c>
    </row>
    <row r="12062" spans="2:8" x14ac:dyDescent="0.4">
      <c r="B12062" s="3" t="s">
        <v>7</v>
      </c>
      <c r="C12062" s="3" t="s">
        <v>1955</v>
      </c>
      <c r="D12062" s="4">
        <f>DATE(2006,2,23)</f>
        <v>38771</v>
      </c>
      <c r="E12062" s="5">
        <f t="shared" si="200"/>
        <v>2006</v>
      </c>
      <c r="F12062" s="3" t="s">
        <v>1957</v>
      </c>
      <c r="G12062" s="6">
        <v>241.6</v>
      </c>
      <c r="H12062" s="5">
        <v>6062</v>
      </c>
    </row>
    <row r="12063" spans="2:8" x14ac:dyDescent="0.4">
      <c r="B12063" s="3" t="s">
        <v>7</v>
      </c>
      <c r="C12063" s="3" t="s">
        <v>1955</v>
      </c>
      <c r="D12063" s="4">
        <f>DATE(2014,3,27)</f>
        <v>41725</v>
      </c>
      <c r="E12063" s="5">
        <f t="shared" si="200"/>
        <v>2014</v>
      </c>
      <c r="F12063" s="3" t="s">
        <v>1957</v>
      </c>
      <c r="G12063" s="6">
        <v>10620</v>
      </c>
      <c r="H12063" s="5">
        <v>19723</v>
      </c>
    </row>
    <row r="12064" spans="2:8" x14ac:dyDescent="0.4">
      <c r="B12064" s="3" t="s">
        <v>7</v>
      </c>
      <c r="C12064" s="3" t="s">
        <v>1958</v>
      </c>
      <c r="D12064" s="4">
        <f>DATE(2004,6,11)</f>
        <v>38149</v>
      </c>
      <c r="E12064" s="5">
        <f t="shared" si="200"/>
        <v>2004</v>
      </c>
      <c r="F12064" s="3" t="s">
        <v>1959</v>
      </c>
      <c r="G12064" s="6">
        <v>552</v>
      </c>
      <c r="H12064" s="5">
        <v>2890</v>
      </c>
    </row>
    <row r="12065" spans="2:8" x14ac:dyDescent="0.4">
      <c r="B12065" s="3" t="s">
        <v>7</v>
      </c>
      <c r="C12065" s="3" t="s">
        <v>1958</v>
      </c>
      <c r="D12065" s="4">
        <f>DATE(2004,7,1)</f>
        <v>38169</v>
      </c>
      <c r="E12065" s="5">
        <f t="shared" si="200"/>
        <v>2004</v>
      </c>
      <c r="F12065" s="3" t="s">
        <v>1959</v>
      </c>
      <c r="G12065" s="6">
        <v>173</v>
      </c>
      <c r="H12065" s="5">
        <v>3099</v>
      </c>
    </row>
    <row r="12066" spans="2:8" x14ac:dyDescent="0.4">
      <c r="B12066" s="3" t="s">
        <v>7</v>
      </c>
      <c r="C12066" s="3" t="s">
        <v>1958</v>
      </c>
      <c r="D12066" s="4">
        <f>DATE(2005,3,15)</f>
        <v>38426</v>
      </c>
      <c r="E12066" s="5">
        <f t="shared" si="200"/>
        <v>2005</v>
      </c>
      <c r="F12066" s="3" t="s">
        <v>1960</v>
      </c>
      <c r="G12066" s="6">
        <v>63</v>
      </c>
      <c r="H12066" s="5">
        <v>4348</v>
      </c>
    </row>
    <row r="12067" spans="2:8" x14ac:dyDescent="0.4">
      <c r="B12067" s="3" t="s">
        <v>7</v>
      </c>
      <c r="C12067" s="3" t="s">
        <v>1958</v>
      </c>
      <c r="D12067" s="4">
        <f>DATE(2010,12,16)</f>
        <v>40528</v>
      </c>
      <c r="E12067" s="5">
        <f t="shared" si="200"/>
        <v>2010</v>
      </c>
      <c r="F12067" s="3" t="s">
        <v>1960</v>
      </c>
      <c r="G12067" s="6">
        <v>289.60000000000002</v>
      </c>
      <c r="H12067" s="5">
        <v>14807</v>
      </c>
    </row>
    <row r="12068" spans="2:8" x14ac:dyDescent="0.4">
      <c r="B12068" s="3" t="s">
        <v>7</v>
      </c>
      <c r="C12068" s="3" t="s">
        <v>1961</v>
      </c>
      <c r="D12068" s="4">
        <f>DATE(2007,10,1)</f>
        <v>39356</v>
      </c>
      <c r="E12068" s="5">
        <f t="shared" si="200"/>
        <v>2007</v>
      </c>
      <c r="F12068" s="3" t="s">
        <v>1962</v>
      </c>
      <c r="G12068" s="6">
        <v>1000</v>
      </c>
      <c r="H12068" s="5">
        <v>2358</v>
      </c>
    </row>
    <row r="12069" spans="2:8" x14ac:dyDescent="0.4">
      <c r="B12069" t="s">
        <v>7</v>
      </c>
      <c r="C12069" t="s">
        <v>1963</v>
      </c>
      <c r="D12069" s="7">
        <f>DATE(2019,3,27)</f>
        <v>43551</v>
      </c>
      <c r="E12069" s="8">
        <f t="shared" si="200"/>
        <v>2019</v>
      </c>
      <c r="F12069" t="s">
        <v>1964</v>
      </c>
      <c r="G12069" s="9">
        <v>3800</v>
      </c>
      <c r="H12069" s="8">
        <v>28653</v>
      </c>
    </row>
    <row r="12070" spans="2:8" x14ac:dyDescent="0.4">
      <c r="B12070" t="s">
        <v>7</v>
      </c>
      <c r="C12070" t="s">
        <v>1963</v>
      </c>
      <c r="D12070" s="7">
        <f>DATE(2019,4,2)</f>
        <v>43557</v>
      </c>
      <c r="E12070" s="8">
        <f t="shared" si="200"/>
        <v>2019</v>
      </c>
      <c r="F12070" t="s">
        <v>1964</v>
      </c>
      <c r="G12070" s="9">
        <v>1592</v>
      </c>
      <c r="H12070" s="8">
        <v>28710</v>
      </c>
    </row>
    <row r="12071" spans="2:8" x14ac:dyDescent="0.4">
      <c r="B12071" t="s">
        <v>7</v>
      </c>
      <c r="C12071" t="s">
        <v>1963</v>
      </c>
      <c r="D12071" s="7">
        <f>DATE(2019,5,1)</f>
        <v>43586</v>
      </c>
      <c r="E12071" s="8">
        <f t="shared" si="200"/>
        <v>2019</v>
      </c>
      <c r="F12071" t="s">
        <v>1964</v>
      </c>
      <c r="G12071" s="9">
        <v>625</v>
      </c>
      <c r="H12071" s="8">
        <v>28915</v>
      </c>
    </row>
    <row r="12072" spans="2:8" x14ac:dyDescent="0.4">
      <c r="B12072" s="3" t="s">
        <v>7</v>
      </c>
      <c r="C12072" s="3" t="s">
        <v>1965</v>
      </c>
      <c r="D12072" s="4">
        <f>DATE(2005,11,16)</f>
        <v>38672</v>
      </c>
      <c r="E12072" s="5">
        <f t="shared" si="200"/>
        <v>2005</v>
      </c>
      <c r="F12072" s="3" t="s">
        <v>1966</v>
      </c>
      <c r="G12072" s="6">
        <v>2425.9</v>
      </c>
      <c r="H12072" s="5">
        <v>5532</v>
      </c>
    </row>
    <row r="12073" spans="2:8" x14ac:dyDescent="0.4">
      <c r="B12073" s="3" t="s">
        <v>7</v>
      </c>
      <c r="C12073" s="3" t="s">
        <v>1965</v>
      </c>
      <c r="D12073" s="4">
        <f>DATE(2006,11,8)</f>
        <v>39029</v>
      </c>
      <c r="E12073" s="5">
        <f t="shared" si="200"/>
        <v>2006</v>
      </c>
      <c r="F12073" s="3" t="s">
        <v>1966</v>
      </c>
      <c r="G12073" s="6">
        <v>633.85</v>
      </c>
      <c r="H12073" s="5">
        <v>7453</v>
      </c>
    </row>
    <row r="12074" spans="2:8" x14ac:dyDescent="0.4">
      <c r="B12074" s="3" t="s">
        <v>7</v>
      </c>
      <c r="C12074" s="3" t="s">
        <v>1965</v>
      </c>
      <c r="D12074" s="4">
        <f>DATE(2006,12,7)</f>
        <v>39058</v>
      </c>
      <c r="E12074" s="5">
        <f t="shared" si="200"/>
        <v>2006</v>
      </c>
      <c r="F12074" s="3" t="s">
        <v>1966</v>
      </c>
      <c r="G12074" s="6">
        <v>1455</v>
      </c>
      <c r="H12074" s="5">
        <v>7543</v>
      </c>
    </row>
    <row r="12075" spans="2:8" x14ac:dyDescent="0.4">
      <c r="B12075" s="3" t="s">
        <v>7</v>
      </c>
      <c r="C12075" s="3" t="s">
        <v>1965</v>
      </c>
      <c r="D12075" s="4">
        <f>DATE(2007,1,15)</f>
        <v>39097</v>
      </c>
      <c r="E12075" s="5">
        <f t="shared" si="200"/>
        <v>2007</v>
      </c>
      <c r="F12075" s="3" t="s">
        <v>1966</v>
      </c>
      <c r="G12075" s="6">
        <v>272.89999999999998</v>
      </c>
      <c r="H12075" s="5">
        <v>7649</v>
      </c>
    </row>
    <row r="12076" spans="2:8" x14ac:dyDescent="0.4">
      <c r="B12076" s="3" t="s">
        <v>16</v>
      </c>
      <c r="C12076" s="3" t="s">
        <v>1965</v>
      </c>
      <c r="D12076" s="4">
        <f>DATE(2007,1,7)</f>
        <v>39089</v>
      </c>
      <c r="E12076" s="5">
        <f t="shared" si="200"/>
        <v>2007</v>
      </c>
      <c r="F12076" s="3" t="s">
        <v>1966</v>
      </c>
      <c r="G12076" s="6">
        <v>633.85</v>
      </c>
      <c r="H12076" s="5">
        <v>7542</v>
      </c>
    </row>
    <row r="12077" spans="2:8" x14ac:dyDescent="0.4">
      <c r="B12077" s="3" t="s">
        <v>7</v>
      </c>
      <c r="C12077" s="3" t="s">
        <v>1965</v>
      </c>
      <c r="D12077" s="4">
        <f>DATE(2012,5,16)</f>
        <v>41045</v>
      </c>
      <c r="E12077" s="5">
        <f t="shared" si="200"/>
        <v>2012</v>
      </c>
      <c r="F12077" s="3" t="s">
        <v>1967</v>
      </c>
      <c r="G12077" s="6">
        <v>837.66</v>
      </c>
      <c r="H12077" s="5">
        <v>17137</v>
      </c>
    </row>
    <row r="12078" spans="2:8" x14ac:dyDescent="0.4">
      <c r="B12078" t="s">
        <v>7</v>
      </c>
      <c r="C12078" t="s">
        <v>1968</v>
      </c>
      <c r="D12078" s="7">
        <f>DATE(2018,5,3)</f>
        <v>43223</v>
      </c>
      <c r="E12078" s="8">
        <f t="shared" si="200"/>
        <v>2018</v>
      </c>
      <c r="F12078" t="s">
        <v>1969</v>
      </c>
      <c r="G12078" s="9">
        <v>7125.34</v>
      </c>
      <c r="H12078" s="8">
        <v>26952</v>
      </c>
    </row>
    <row r="12079" spans="2:8" x14ac:dyDescent="0.4">
      <c r="B12079" t="s">
        <v>7</v>
      </c>
      <c r="C12079" t="s">
        <v>1968</v>
      </c>
      <c r="D12079" s="7">
        <f>DATE(2004,9,25)</f>
        <v>38255</v>
      </c>
      <c r="E12079" s="8">
        <f t="shared" si="200"/>
        <v>2004</v>
      </c>
      <c r="F12079" t="s">
        <v>1969</v>
      </c>
      <c r="G12079" s="9">
        <v>8053.96</v>
      </c>
      <c r="H12079" s="8">
        <v>2155</v>
      </c>
    </row>
    <row r="12080" spans="2:8" x14ac:dyDescent="0.4">
      <c r="B12080" t="s">
        <v>7</v>
      </c>
      <c r="C12080" t="s">
        <v>1968</v>
      </c>
      <c r="D12080" s="7">
        <f>DATE(2004,9,21)</f>
        <v>38251</v>
      </c>
      <c r="E12080" s="8">
        <f t="shared" si="200"/>
        <v>2004</v>
      </c>
      <c r="F12080" t="s">
        <v>1969</v>
      </c>
      <c r="G12080" s="9">
        <v>8053.97</v>
      </c>
      <c r="H12080" s="8">
        <v>2228</v>
      </c>
    </row>
    <row r="12081" spans="2:8" x14ac:dyDescent="0.4">
      <c r="B12081" t="s">
        <v>7</v>
      </c>
      <c r="C12081" t="s">
        <v>1968</v>
      </c>
      <c r="D12081" s="7">
        <f>DATE(2004,11,3)</f>
        <v>38294</v>
      </c>
      <c r="E12081" s="8">
        <f t="shared" si="200"/>
        <v>2004</v>
      </c>
      <c r="F12081" t="s">
        <v>1969</v>
      </c>
      <c r="G12081" s="9">
        <v>10486</v>
      </c>
      <c r="H12081" s="8">
        <v>2322</v>
      </c>
    </row>
    <row r="12082" spans="2:8" x14ac:dyDescent="0.4">
      <c r="B12082" t="s">
        <v>7</v>
      </c>
      <c r="C12082" t="s">
        <v>1968</v>
      </c>
      <c r="D12082" s="7">
        <f>DATE(2005,11,29)</f>
        <v>38685</v>
      </c>
      <c r="E12082" s="8">
        <f t="shared" si="200"/>
        <v>2005</v>
      </c>
      <c r="F12082" t="s">
        <v>1969</v>
      </c>
      <c r="G12082" s="9">
        <v>5990</v>
      </c>
      <c r="H12082" s="8">
        <v>3600</v>
      </c>
    </row>
    <row r="12083" spans="2:8" x14ac:dyDescent="0.4">
      <c r="B12083" t="s">
        <v>7</v>
      </c>
      <c r="C12083" t="s">
        <v>1968</v>
      </c>
      <c r="D12083" s="7">
        <f>DATE(2005,11,30)</f>
        <v>38686</v>
      </c>
      <c r="E12083" s="8">
        <f t="shared" si="200"/>
        <v>2005</v>
      </c>
      <c r="F12083" t="s">
        <v>1969</v>
      </c>
      <c r="G12083" s="9">
        <v>4600</v>
      </c>
      <c r="H12083" s="8">
        <v>3602</v>
      </c>
    </row>
    <row r="12084" spans="2:8" x14ac:dyDescent="0.4">
      <c r="B12084" t="s">
        <v>7</v>
      </c>
      <c r="C12084" t="s">
        <v>1968</v>
      </c>
      <c r="D12084" s="7">
        <f>DATE(2006,1,6)</f>
        <v>38723</v>
      </c>
      <c r="E12084" s="8">
        <f t="shared" si="200"/>
        <v>2006</v>
      </c>
      <c r="F12084" t="s">
        <v>1969</v>
      </c>
      <c r="G12084" s="9">
        <v>4599</v>
      </c>
      <c r="H12084" s="8">
        <v>3900</v>
      </c>
    </row>
    <row r="12085" spans="2:8" x14ac:dyDescent="0.4">
      <c r="B12085" t="s">
        <v>7</v>
      </c>
      <c r="C12085" t="s">
        <v>1968</v>
      </c>
      <c r="D12085" s="7">
        <f>DATE(2006,9,30)</f>
        <v>38990</v>
      </c>
      <c r="E12085" s="8">
        <f t="shared" si="200"/>
        <v>2006</v>
      </c>
      <c r="F12085" t="s">
        <v>1969</v>
      </c>
      <c r="G12085" s="9">
        <v>10933.55</v>
      </c>
      <c r="H12085" s="8">
        <v>5000</v>
      </c>
    </row>
    <row r="12086" spans="2:8" x14ac:dyDescent="0.4">
      <c r="B12086" t="s">
        <v>7</v>
      </c>
      <c r="C12086" t="s">
        <v>1968</v>
      </c>
      <c r="D12086" s="7">
        <f>DATE(2006,10,3)</f>
        <v>38993</v>
      </c>
      <c r="E12086" s="8">
        <f t="shared" si="200"/>
        <v>2006</v>
      </c>
      <c r="F12086" t="s">
        <v>1969</v>
      </c>
      <c r="G12086" s="9">
        <v>15518.45</v>
      </c>
      <c r="H12086" s="8">
        <v>5001</v>
      </c>
    </row>
    <row r="12087" spans="2:8" x14ac:dyDescent="0.4">
      <c r="B12087" t="s">
        <v>7</v>
      </c>
      <c r="C12087" t="s">
        <v>1968</v>
      </c>
      <c r="D12087" s="7">
        <f>DATE(2006,10,1)</f>
        <v>38991</v>
      </c>
      <c r="E12087" s="8">
        <f t="shared" si="200"/>
        <v>2006</v>
      </c>
      <c r="F12087" t="s">
        <v>1969</v>
      </c>
      <c r="G12087" s="9">
        <v>9184</v>
      </c>
      <c r="H12087" s="8">
        <v>5138</v>
      </c>
    </row>
    <row r="12088" spans="2:8" x14ac:dyDescent="0.4">
      <c r="B12088" t="s">
        <v>7</v>
      </c>
      <c r="C12088" t="s">
        <v>1968</v>
      </c>
      <c r="D12088" s="7">
        <f>DATE(2006,10,1)</f>
        <v>38991</v>
      </c>
      <c r="E12088" s="8">
        <f t="shared" si="200"/>
        <v>2006</v>
      </c>
      <c r="F12088" t="s">
        <v>1969</v>
      </c>
      <c r="G12088" s="9">
        <v>9873</v>
      </c>
      <c r="H12088" s="8">
        <v>5140</v>
      </c>
    </row>
    <row r="12089" spans="2:8" x14ac:dyDescent="0.4">
      <c r="B12089" t="s">
        <v>7</v>
      </c>
      <c r="C12089" t="s">
        <v>1968</v>
      </c>
      <c r="D12089" s="7">
        <f>DATE(2006,10,1)</f>
        <v>38991</v>
      </c>
      <c r="E12089" s="8">
        <f t="shared" si="200"/>
        <v>2006</v>
      </c>
      <c r="F12089" t="s">
        <v>1969</v>
      </c>
      <c r="G12089" s="9">
        <v>1749.55</v>
      </c>
      <c r="H12089" s="8">
        <v>5141</v>
      </c>
    </row>
    <row r="12090" spans="2:8" x14ac:dyDescent="0.4">
      <c r="B12090" t="s">
        <v>7</v>
      </c>
      <c r="C12090" t="s">
        <v>1968</v>
      </c>
      <c r="D12090" s="7">
        <f>DATE(2006,10,3)</f>
        <v>38993</v>
      </c>
      <c r="E12090" s="8">
        <f t="shared" si="200"/>
        <v>2006</v>
      </c>
      <c r="F12090" t="s">
        <v>1969</v>
      </c>
      <c r="G12090" s="9">
        <v>5645.45</v>
      </c>
      <c r="H12090" s="8">
        <v>5142</v>
      </c>
    </row>
    <row r="12091" spans="2:8" x14ac:dyDescent="0.4">
      <c r="B12091" t="s">
        <v>7</v>
      </c>
      <c r="C12091" t="s">
        <v>1968</v>
      </c>
      <c r="D12091" s="7">
        <f>DATE(2006,11,8)</f>
        <v>39029</v>
      </c>
      <c r="E12091" s="8">
        <f t="shared" si="200"/>
        <v>2006</v>
      </c>
      <c r="F12091" t="s">
        <v>1969</v>
      </c>
      <c r="G12091" s="9">
        <v>9184</v>
      </c>
      <c r="H12091" s="8">
        <v>5009</v>
      </c>
    </row>
    <row r="12092" spans="2:8" x14ac:dyDescent="0.4">
      <c r="B12092" t="s">
        <v>7</v>
      </c>
      <c r="C12092" t="s">
        <v>1968</v>
      </c>
      <c r="D12092" s="7">
        <f>DATE(2006,11,8)</f>
        <v>39029</v>
      </c>
      <c r="E12092" s="8">
        <f t="shared" si="200"/>
        <v>2006</v>
      </c>
      <c r="F12092" t="s">
        <v>1969</v>
      </c>
      <c r="G12092" s="9">
        <v>1749.55</v>
      </c>
      <c r="H12092" s="8">
        <v>5096</v>
      </c>
    </row>
    <row r="12093" spans="2:8" x14ac:dyDescent="0.4">
      <c r="B12093" t="s">
        <v>7</v>
      </c>
      <c r="C12093" t="s">
        <v>1968</v>
      </c>
      <c r="D12093" s="7">
        <f>DATE(2006,11,10)</f>
        <v>39031</v>
      </c>
      <c r="E12093" s="8">
        <f t="shared" si="200"/>
        <v>2006</v>
      </c>
      <c r="F12093" t="s">
        <v>1969</v>
      </c>
      <c r="G12093" s="9">
        <v>5645.45</v>
      </c>
      <c r="H12093" s="8">
        <v>5010</v>
      </c>
    </row>
    <row r="12094" spans="2:8" x14ac:dyDescent="0.4">
      <c r="B12094" t="s">
        <v>16</v>
      </c>
      <c r="C12094" t="s">
        <v>1968</v>
      </c>
      <c r="D12094" s="7">
        <f>DATE(2006,10,1)</f>
        <v>38991</v>
      </c>
      <c r="E12094" s="8">
        <f t="shared" si="200"/>
        <v>2006</v>
      </c>
      <c r="F12094" t="s">
        <v>1969</v>
      </c>
      <c r="G12094" s="9">
        <v>15518.45</v>
      </c>
      <c r="H12094" s="8">
        <v>5136</v>
      </c>
    </row>
    <row r="12095" spans="2:8" x14ac:dyDescent="0.4">
      <c r="B12095" t="s">
        <v>16</v>
      </c>
      <c r="C12095" t="s">
        <v>1968</v>
      </c>
      <c r="D12095" s="7">
        <f>DATE(2006,10,3)</f>
        <v>38993</v>
      </c>
      <c r="E12095" s="8">
        <f t="shared" si="200"/>
        <v>2006</v>
      </c>
      <c r="F12095" t="s">
        <v>1969</v>
      </c>
      <c r="G12095" s="9">
        <v>10933.55</v>
      </c>
      <c r="H12095" s="8">
        <v>5137</v>
      </c>
    </row>
    <row r="12096" spans="2:8" x14ac:dyDescent="0.4">
      <c r="B12096" t="s">
        <v>7</v>
      </c>
      <c r="C12096" t="s">
        <v>1970</v>
      </c>
      <c r="D12096" s="7">
        <f>DATE(2003,12,8)</f>
        <v>37963</v>
      </c>
      <c r="E12096" s="8">
        <f t="shared" si="200"/>
        <v>2003</v>
      </c>
      <c r="F12096" t="s">
        <v>1971</v>
      </c>
      <c r="G12096" s="9">
        <v>32380.51</v>
      </c>
      <c r="H12096" s="8">
        <v>1018</v>
      </c>
    </row>
    <row r="12097" spans="2:8" x14ac:dyDescent="0.4">
      <c r="B12097" t="s">
        <v>7</v>
      </c>
      <c r="C12097" t="s">
        <v>1970</v>
      </c>
      <c r="D12097" s="7">
        <f>DATE(2018,6,6)</f>
        <v>43257</v>
      </c>
      <c r="E12097" s="8">
        <f t="shared" si="200"/>
        <v>2018</v>
      </c>
      <c r="F12097" t="s">
        <v>1972</v>
      </c>
      <c r="G12097" s="9">
        <v>14425.71</v>
      </c>
      <c r="H12097" s="8">
        <v>26897</v>
      </c>
    </row>
    <row r="12098" spans="2:8" x14ac:dyDescent="0.4">
      <c r="B12098" t="s">
        <v>7</v>
      </c>
      <c r="C12098" t="s">
        <v>1970</v>
      </c>
      <c r="D12098" s="7">
        <f>DATE(2018,12,28)</f>
        <v>43462</v>
      </c>
      <c r="E12098" s="8">
        <f t="shared" si="200"/>
        <v>2018</v>
      </c>
      <c r="F12098" t="s">
        <v>1972</v>
      </c>
      <c r="G12098" s="9">
        <v>7454.08</v>
      </c>
      <c r="H12098" s="8">
        <v>27769</v>
      </c>
    </row>
    <row r="12099" spans="2:8" x14ac:dyDescent="0.4">
      <c r="B12099" t="s">
        <v>7</v>
      </c>
      <c r="C12099" t="s">
        <v>1970</v>
      </c>
      <c r="D12099" s="7">
        <f>DATE(2018,12,10)</f>
        <v>43444</v>
      </c>
      <c r="E12099" s="8">
        <f t="shared" ref="E12099:E12162" si="201">YEAR(D12099)</f>
        <v>2018</v>
      </c>
      <c r="F12099" t="s">
        <v>1972</v>
      </c>
      <c r="G12099" s="9">
        <v>9577.7999999999993</v>
      </c>
      <c r="H12099" s="8">
        <v>28035</v>
      </c>
    </row>
    <row r="12100" spans="2:8" x14ac:dyDescent="0.4">
      <c r="B12100" t="s">
        <v>7</v>
      </c>
      <c r="C12100" t="s">
        <v>1970</v>
      </c>
      <c r="D12100" s="7">
        <f>DATE(2019,4,9)</f>
        <v>43564</v>
      </c>
      <c r="E12100" s="8">
        <f t="shared" si="201"/>
        <v>2019</v>
      </c>
      <c r="F12100" t="s">
        <v>1972</v>
      </c>
      <c r="G12100" s="9">
        <v>8192</v>
      </c>
      <c r="H12100" s="8">
        <v>28628</v>
      </c>
    </row>
    <row r="12101" spans="2:8" x14ac:dyDescent="0.4">
      <c r="B12101" t="s">
        <v>7</v>
      </c>
      <c r="C12101" t="s">
        <v>1970</v>
      </c>
      <c r="D12101" s="7">
        <f>DATE(2018,6,6)</f>
        <v>43257</v>
      </c>
      <c r="E12101" s="8">
        <f t="shared" si="201"/>
        <v>2018</v>
      </c>
      <c r="F12101" t="s">
        <v>1972</v>
      </c>
      <c r="G12101" s="9">
        <v>16400</v>
      </c>
      <c r="H12101" s="8">
        <v>26900</v>
      </c>
    </row>
    <row r="12102" spans="2:8" x14ac:dyDescent="0.4">
      <c r="B12102" t="s">
        <v>7</v>
      </c>
      <c r="C12102" t="s">
        <v>1970</v>
      </c>
      <c r="D12102" s="7">
        <f>DATE(2018,12,28)</f>
        <v>43462</v>
      </c>
      <c r="E12102" s="8">
        <f t="shared" si="201"/>
        <v>2018</v>
      </c>
      <c r="F12102" t="s">
        <v>1972</v>
      </c>
      <c r="G12102" s="9">
        <v>8289.6299999999992</v>
      </c>
      <c r="H12102" s="8">
        <v>27770</v>
      </c>
    </row>
    <row r="12103" spans="2:8" x14ac:dyDescent="0.4">
      <c r="B12103" t="s">
        <v>7</v>
      </c>
      <c r="C12103" t="s">
        <v>1970</v>
      </c>
      <c r="D12103" s="7">
        <f>DATE(2018,12,10)</f>
        <v>43444</v>
      </c>
      <c r="E12103" s="8">
        <f t="shared" si="201"/>
        <v>2018</v>
      </c>
      <c r="F12103" t="s">
        <v>1972</v>
      </c>
      <c r="G12103" s="9">
        <v>8700</v>
      </c>
      <c r="H12103" s="8">
        <v>28036</v>
      </c>
    </row>
    <row r="12104" spans="2:8" x14ac:dyDescent="0.4">
      <c r="B12104" t="s">
        <v>7</v>
      </c>
      <c r="C12104" t="s">
        <v>1970</v>
      </c>
      <c r="D12104" s="7">
        <f>DATE(2019,4,9)</f>
        <v>43564</v>
      </c>
      <c r="E12104" s="8">
        <f t="shared" si="201"/>
        <v>2019</v>
      </c>
      <c r="F12104" t="s">
        <v>1972</v>
      </c>
      <c r="G12104" s="9">
        <v>7675</v>
      </c>
      <c r="H12104" s="8">
        <v>28629</v>
      </c>
    </row>
    <row r="12105" spans="2:8" x14ac:dyDescent="0.4">
      <c r="B12105" t="s">
        <v>7</v>
      </c>
      <c r="C12105" t="s">
        <v>1970</v>
      </c>
      <c r="D12105" s="7">
        <f>DATE(2012,4,24)</f>
        <v>41023</v>
      </c>
      <c r="E12105" s="8">
        <f t="shared" si="201"/>
        <v>2012</v>
      </c>
      <c r="F12105" t="s">
        <v>1972</v>
      </c>
      <c r="G12105" s="9">
        <v>17305</v>
      </c>
      <c r="H12105" s="8">
        <v>11574</v>
      </c>
    </row>
    <row r="12106" spans="2:8" x14ac:dyDescent="0.4">
      <c r="B12106" t="s">
        <v>7</v>
      </c>
      <c r="C12106" t="s">
        <v>1970</v>
      </c>
      <c r="D12106" s="7">
        <f>DATE(2008,10,17)</f>
        <v>39738</v>
      </c>
      <c r="E12106" s="8">
        <f t="shared" si="201"/>
        <v>2008</v>
      </c>
      <c r="F12106" t="s">
        <v>1972</v>
      </c>
      <c r="G12106" s="9">
        <v>30052.79</v>
      </c>
      <c r="H12106" s="8">
        <v>7921</v>
      </c>
    </row>
    <row r="12107" spans="2:8" x14ac:dyDescent="0.4">
      <c r="B12107" t="s">
        <v>7</v>
      </c>
      <c r="C12107" t="s">
        <v>1970</v>
      </c>
      <c r="D12107" s="7">
        <f>DATE(2009,6,19)</f>
        <v>39983</v>
      </c>
      <c r="E12107" s="8">
        <f t="shared" si="201"/>
        <v>2009</v>
      </c>
      <c r="F12107" t="s">
        <v>1972</v>
      </c>
      <c r="G12107" s="9">
        <v>8403.75</v>
      </c>
      <c r="H12107" s="8">
        <v>8720</v>
      </c>
    </row>
    <row r="12108" spans="2:8" x14ac:dyDescent="0.4">
      <c r="B12108" t="s">
        <v>7</v>
      </c>
      <c r="C12108" t="s">
        <v>1970</v>
      </c>
      <c r="D12108" s="7">
        <f>DATE(2012,5,7)</f>
        <v>41036</v>
      </c>
      <c r="E12108" s="8">
        <f t="shared" si="201"/>
        <v>2012</v>
      </c>
      <c r="F12108" t="s">
        <v>1972</v>
      </c>
      <c r="G12108" s="9">
        <v>27011</v>
      </c>
      <c r="H12108" s="8">
        <v>11573</v>
      </c>
    </row>
    <row r="12109" spans="2:8" x14ac:dyDescent="0.4">
      <c r="B12109" t="s">
        <v>7</v>
      </c>
      <c r="C12109" t="s">
        <v>1970</v>
      </c>
      <c r="D12109" s="7">
        <f>DATE(2003,2,23)</f>
        <v>37675</v>
      </c>
      <c r="E12109" s="8">
        <f t="shared" si="201"/>
        <v>2003</v>
      </c>
      <c r="F12109" t="s">
        <v>1973</v>
      </c>
      <c r="G12109" s="9">
        <v>7066.39</v>
      </c>
      <c r="H12109" s="8">
        <v>267</v>
      </c>
    </row>
    <row r="12110" spans="2:8" x14ac:dyDescent="0.4">
      <c r="B12110" t="s">
        <v>7</v>
      </c>
      <c r="C12110" t="s">
        <v>1970</v>
      </c>
      <c r="D12110" s="7">
        <f>DATE(2004,12,4)</f>
        <v>38325</v>
      </c>
      <c r="E12110" s="8">
        <f t="shared" si="201"/>
        <v>2004</v>
      </c>
      <c r="F12110" t="s">
        <v>1974</v>
      </c>
      <c r="G12110" s="9">
        <v>26840.880000000001</v>
      </c>
      <c r="H12110" s="8">
        <v>2297</v>
      </c>
    </row>
    <row r="12111" spans="2:8" x14ac:dyDescent="0.4">
      <c r="B12111" t="s">
        <v>7</v>
      </c>
      <c r="C12111" t="s">
        <v>1970</v>
      </c>
      <c r="D12111" s="7">
        <f>DATE(2003,3,4)</f>
        <v>37684</v>
      </c>
      <c r="E12111" s="8">
        <f t="shared" si="201"/>
        <v>2003</v>
      </c>
      <c r="F12111" t="s">
        <v>1975</v>
      </c>
      <c r="G12111" s="9">
        <v>24170.5</v>
      </c>
      <c r="H12111" s="8">
        <v>265</v>
      </c>
    </row>
    <row r="12112" spans="2:8" x14ac:dyDescent="0.4">
      <c r="B12112" s="3" t="s">
        <v>7</v>
      </c>
      <c r="C12112" s="3" t="s">
        <v>1976</v>
      </c>
      <c r="D12112" s="4">
        <f>DATE(2005,2,2)</f>
        <v>38385</v>
      </c>
      <c r="E12112" s="5">
        <f t="shared" si="201"/>
        <v>2005</v>
      </c>
      <c r="F12112" s="3" t="s">
        <v>1977</v>
      </c>
      <c r="G12112" s="6">
        <v>328</v>
      </c>
      <c r="H12112" s="5">
        <v>4063</v>
      </c>
    </row>
    <row r="12113" spans="2:8" x14ac:dyDescent="0.4">
      <c r="B12113" t="s">
        <v>7</v>
      </c>
      <c r="C12113" t="s">
        <v>1978</v>
      </c>
      <c r="D12113" s="7">
        <f>DATE(2015,10,5)</f>
        <v>42282</v>
      </c>
      <c r="E12113" s="8">
        <f t="shared" si="201"/>
        <v>2015</v>
      </c>
      <c r="F12113" t="s">
        <v>1979</v>
      </c>
      <c r="G12113" s="9">
        <v>7807</v>
      </c>
      <c r="H12113" s="8">
        <v>21231</v>
      </c>
    </row>
    <row r="12114" spans="2:8" x14ac:dyDescent="0.4">
      <c r="B12114" t="s">
        <v>7</v>
      </c>
      <c r="C12114" t="s">
        <v>1978</v>
      </c>
      <c r="D12114" s="7">
        <f>DATE(2015,10,5)</f>
        <v>42282</v>
      </c>
      <c r="E12114" s="8">
        <f t="shared" si="201"/>
        <v>2015</v>
      </c>
      <c r="F12114" t="s">
        <v>1979</v>
      </c>
      <c r="G12114" s="9">
        <v>10912</v>
      </c>
      <c r="H12114" s="8">
        <v>21310</v>
      </c>
    </row>
    <row r="12115" spans="2:8" x14ac:dyDescent="0.4">
      <c r="B12115" t="s">
        <v>7</v>
      </c>
      <c r="C12115" t="s">
        <v>1978</v>
      </c>
      <c r="D12115" s="7">
        <f>DATE(2016,4,29)</f>
        <v>42489</v>
      </c>
      <c r="E12115" s="8">
        <f t="shared" si="201"/>
        <v>2016</v>
      </c>
      <c r="F12115" t="s">
        <v>1979</v>
      </c>
      <c r="G12115" s="9">
        <v>26974.080000000002</v>
      </c>
      <c r="H12115" s="8">
        <v>22713</v>
      </c>
    </row>
    <row r="12116" spans="2:8" x14ac:dyDescent="0.4">
      <c r="B12116" t="s">
        <v>7</v>
      </c>
      <c r="C12116" t="s">
        <v>1978</v>
      </c>
      <c r="D12116" s="7">
        <f>DATE(2017,1,18)</f>
        <v>42753</v>
      </c>
      <c r="E12116" s="8">
        <f t="shared" si="201"/>
        <v>2017</v>
      </c>
      <c r="F12116" t="s">
        <v>1979</v>
      </c>
      <c r="G12116" s="9">
        <v>13000</v>
      </c>
      <c r="H12116" s="8">
        <v>24109</v>
      </c>
    </row>
    <row r="12117" spans="2:8" x14ac:dyDescent="0.4">
      <c r="B12117" t="s">
        <v>7</v>
      </c>
      <c r="C12117" t="s">
        <v>1978</v>
      </c>
      <c r="D12117" s="7">
        <f>DATE(2019,4,18)</f>
        <v>43573</v>
      </c>
      <c r="E12117" s="8">
        <f t="shared" si="201"/>
        <v>2019</v>
      </c>
      <c r="F12117" t="s">
        <v>1979</v>
      </c>
      <c r="G12117" s="9">
        <v>29982</v>
      </c>
      <c r="H12117" s="8">
        <v>28604</v>
      </c>
    </row>
    <row r="12118" spans="2:8" x14ac:dyDescent="0.4">
      <c r="B12118" t="s">
        <v>7</v>
      </c>
      <c r="C12118" t="s">
        <v>1978</v>
      </c>
      <c r="D12118" s="7">
        <f>DATE(2015,2,4)</f>
        <v>42039</v>
      </c>
      <c r="E12118" s="8">
        <f t="shared" si="201"/>
        <v>2015</v>
      </c>
      <c r="F12118" t="s">
        <v>1979</v>
      </c>
      <c r="G12118" s="9">
        <v>1956.26</v>
      </c>
      <c r="H12118" s="8">
        <v>306</v>
      </c>
    </row>
    <row r="12119" spans="2:8" x14ac:dyDescent="0.4">
      <c r="B12119" t="s">
        <v>7</v>
      </c>
      <c r="C12119" t="s">
        <v>1978</v>
      </c>
      <c r="D12119" s="7">
        <f>DATE(2018,6,7)</f>
        <v>43258</v>
      </c>
      <c r="E12119" s="8">
        <f t="shared" si="201"/>
        <v>2018</v>
      </c>
      <c r="F12119" t="s">
        <v>1979</v>
      </c>
      <c r="G12119" s="9">
        <v>4130.8100000000004</v>
      </c>
      <c r="H12119" s="8">
        <v>27142</v>
      </c>
    </row>
    <row r="12120" spans="2:8" x14ac:dyDescent="0.4">
      <c r="B12120" t="s">
        <v>7</v>
      </c>
      <c r="C12120" t="s">
        <v>1978</v>
      </c>
      <c r="D12120" s="7">
        <f>DATE(2009,9,18)</f>
        <v>40074</v>
      </c>
      <c r="E12120" s="8">
        <f t="shared" si="201"/>
        <v>2009</v>
      </c>
      <c r="F12120" t="s">
        <v>1979</v>
      </c>
      <c r="G12120" s="9">
        <v>10538.28</v>
      </c>
      <c r="H12120" s="8">
        <v>8805</v>
      </c>
    </row>
    <row r="12121" spans="2:8" x14ac:dyDescent="0.4">
      <c r="B12121" t="s">
        <v>7</v>
      </c>
      <c r="C12121" t="s">
        <v>1978</v>
      </c>
      <c r="D12121" s="7">
        <f>DATE(2010,1,25)</f>
        <v>40203</v>
      </c>
      <c r="E12121" s="8">
        <f t="shared" si="201"/>
        <v>2010</v>
      </c>
      <c r="F12121" t="s">
        <v>1979</v>
      </c>
      <c r="G12121" s="9">
        <v>10805.81</v>
      </c>
      <c r="H12121" s="8">
        <v>9387</v>
      </c>
    </row>
    <row r="12122" spans="2:8" x14ac:dyDescent="0.4">
      <c r="B12122" t="s">
        <v>7</v>
      </c>
      <c r="C12122" t="s">
        <v>1978</v>
      </c>
      <c r="D12122" s="7">
        <f>DATE(2010,3,3)</f>
        <v>40240</v>
      </c>
      <c r="E12122" s="8">
        <f t="shared" si="201"/>
        <v>2010</v>
      </c>
      <c r="F12122" t="s">
        <v>1979</v>
      </c>
      <c r="G12122" s="9">
        <v>4917.3999999999996</v>
      </c>
      <c r="H12122" s="8">
        <v>9559</v>
      </c>
    </row>
    <row r="12123" spans="2:8" x14ac:dyDescent="0.4">
      <c r="B12123" t="s">
        <v>7</v>
      </c>
      <c r="C12123" t="s">
        <v>1978</v>
      </c>
      <c r="D12123" s="7">
        <f>DATE(2010,4,28)</f>
        <v>40296</v>
      </c>
      <c r="E12123" s="8">
        <f t="shared" si="201"/>
        <v>2010</v>
      </c>
      <c r="F12123" t="s">
        <v>1979</v>
      </c>
      <c r="G12123" s="9">
        <v>8990</v>
      </c>
      <c r="H12123" s="8">
        <v>9729</v>
      </c>
    </row>
    <row r="12124" spans="2:8" x14ac:dyDescent="0.4">
      <c r="B12124" t="s">
        <v>7</v>
      </c>
      <c r="C12124" t="s">
        <v>1978</v>
      </c>
      <c r="D12124" s="7">
        <f>DATE(2010,5,18)</f>
        <v>40316</v>
      </c>
      <c r="E12124" s="8">
        <f t="shared" si="201"/>
        <v>2010</v>
      </c>
      <c r="F12124" t="s">
        <v>1979</v>
      </c>
      <c r="G12124" s="9">
        <v>11243</v>
      </c>
      <c r="H12124" s="8">
        <v>9858</v>
      </c>
    </row>
    <row r="12125" spans="2:8" x14ac:dyDescent="0.4">
      <c r="B12125" t="s">
        <v>7</v>
      </c>
      <c r="C12125" t="s">
        <v>1978</v>
      </c>
      <c r="D12125" s="7">
        <f>DATE(2010,9,3)</f>
        <v>40424</v>
      </c>
      <c r="E12125" s="8">
        <f t="shared" si="201"/>
        <v>2010</v>
      </c>
      <c r="F12125" t="s">
        <v>1979</v>
      </c>
      <c r="G12125" s="9">
        <v>12568.53</v>
      </c>
      <c r="H12125" s="8">
        <v>10093</v>
      </c>
    </row>
    <row r="12126" spans="2:8" x14ac:dyDescent="0.4">
      <c r="B12126" t="s">
        <v>7</v>
      </c>
      <c r="C12126" t="s">
        <v>1978</v>
      </c>
      <c r="D12126" s="7">
        <f>DATE(2010,9,15)</f>
        <v>40436</v>
      </c>
      <c r="E12126" s="8">
        <f t="shared" si="201"/>
        <v>2010</v>
      </c>
      <c r="F12126" t="s">
        <v>1979</v>
      </c>
      <c r="G12126" s="9">
        <v>11185.56</v>
      </c>
      <c r="H12126" s="8">
        <v>10133</v>
      </c>
    </row>
    <row r="12127" spans="2:8" x14ac:dyDescent="0.4">
      <c r="B12127" t="s">
        <v>7</v>
      </c>
      <c r="C12127" t="s">
        <v>1978</v>
      </c>
      <c r="D12127" s="7">
        <f>DATE(2010,10,1)</f>
        <v>40452</v>
      </c>
      <c r="E12127" s="8">
        <f t="shared" si="201"/>
        <v>2010</v>
      </c>
      <c r="F12127" t="s">
        <v>1979</v>
      </c>
      <c r="G12127" s="9">
        <v>26896.32</v>
      </c>
      <c r="H12127" s="8">
        <v>10143</v>
      </c>
    </row>
    <row r="12128" spans="2:8" x14ac:dyDescent="0.4">
      <c r="B12128" t="s">
        <v>7</v>
      </c>
      <c r="C12128" t="s">
        <v>1978</v>
      </c>
      <c r="D12128" s="7">
        <f>DATE(2010,10,18)</f>
        <v>40469</v>
      </c>
      <c r="E12128" s="8">
        <f t="shared" si="201"/>
        <v>2010</v>
      </c>
      <c r="F12128" t="s">
        <v>1979</v>
      </c>
      <c r="G12128" s="9">
        <v>46807.360000000001</v>
      </c>
      <c r="H12128" s="8">
        <v>10196</v>
      </c>
    </row>
    <row r="12129" spans="2:8" x14ac:dyDescent="0.4">
      <c r="B12129" t="s">
        <v>7</v>
      </c>
      <c r="C12129" t="s">
        <v>1978</v>
      </c>
      <c r="D12129" s="7">
        <f>DATE(2011,9,22)</f>
        <v>40808</v>
      </c>
      <c r="E12129" s="8">
        <f t="shared" si="201"/>
        <v>2011</v>
      </c>
      <c r="F12129" t="s">
        <v>1979</v>
      </c>
      <c r="G12129" s="9">
        <v>11900</v>
      </c>
      <c r="H12129" s="8">
        <v>10978</v>
      </c>
    </row>
    <row r="12130" spans="2:8" x14ac:dyDescent="0.4">
      <c r="B12130" t="s">
        <v>7</v>
      </c>
      <c r="C12130" t="s">
        <v>1978</v>
      </c>
      <c r="D12130" s="7">
        <f>DATE(2011,10,10)</f>
        <v>40826</v>
      </c>
      <c r="E12130" s="8">
        <f t="shared" si="201"/>
        <v>2011</v>
      </c>
      <c r="F12130" t="s">
        <v>1979</v>
      </c>
      <c r="G12130" s="9">
        <v>23610.79</v>
      </c>
      <c r="H12130" s="8">
        <v>11061</v>
      </c>
    </row>
    <row r="12131" spans="2:8" x14ac:dyDescent="0.4">
      <c r="B12131" t="s">
        <v>7</v>
      </c>
      <c r="C12131" t="s">
        <v>1978</v>
      </c>
      <c r="D12131" s="7">
        <f>DATE(2012,4,30)</f>
        <v>41029</v>
      </c>
      <c r="E12131" s="8">
        <f t="shared" si="201"/>
        <v>2012</v>
      </c>
      <c r="F12131" t="s">
        <v>1979</v>
      </c>
      <c r="G12131" s="9">
        <v>49006</v>
      </c>
      <c r="H12131" s="8">
        <v>11442</v>
      </c>
    </row>
    <row r="12132" spans="2:8" x14ac:dyDescent="0.4">
      <c r="B12132" t="s">
        <v>7</v>
      </c>
      <c r="C12132" t="s">
        <v>1978</v>
      </c>
      <c r="D12132" s="7">
        <f>DATE(2013,5,29)</f>
        <v>41423</v>
      </c>
      <c r="E12132" s="8">
        <f t="shared" si="201"/>
        <v>2013</v>
      </c>
      <c r="F12132" t="s">
        <v>1979</v>
      </c>
      <c r="G12132" s="9">
        <v>9264.7800000000007</v>
      </c>
      <c r="H12132" s="8">
        <v>12478</v>
      </c>
    </row>
    <row r="12133" spans="2:8" x14ac:dyDescent="0.4">
      <c r="B12133" s="3" t="s">
        <v>7</v>
      </c>
      <c r="C12133" s="3" t="s">
        <v>1978</v>
      </c>
      <c r="D12133" s="4">
        <f>DATE(2006,11,17)</f>
        <v>39038</v>
      </c>
      <c r="E12133" s="5">
        <f t="shared" si="201"/>
        <v>2006</v>
      </c>
      <c r="F12133" s="3" t="s">
        <v>1979</v>
      </c>
      <c r="G12133" s="6">
        <v>2636.05</v>
      </c>
      <c r="H12133" s="5">
        <v>7559</v>
      </c>
    </row>
    <row r="12134" spans="2:8" x14ac:dyDescent="0.4">
      <c r="B12134" s="3" t="s">
        <v>7</v>
      </c>
      <c r="C12134" s="3" t="s">
        <v>1978</v>
      </c>
      <c r="D12134" s="4">
        <f>DATE(2006,11,16)</f>
        <v>39037</v>
      </c>
      <c r="E12134" s="5">
        <f t="shared" si="201"/>
        <v>2006</v>
      </c>
      <c r="F12134" s="3" t="s">
        <v>1979</v>
      </c>
      <c r="G12134" s="6">
        <v>2570.62</v>
      </c>
      <c r="H12134" s="5">
        <v>7539</v>
      </c>
    </row>
    <row r="12135" spans="2:8" x14ac:dyDescent="0.4">
      <c r="B12135" s="3" t="s">
        <v>7</v>
      </c>
      <c r="C12135" s="3" t="s">
        <v>1978</v>
      </c>
      <c r="D12135" s="4">
        <f>DATE(2006,12,4)</f>
        <v>39055</v>
      </c>
      <c r="E12135" s="5">
        <f t="shared" si="201"/>
        <v>2006</v>
      </c>
      <c r="F12135" s="3" t="s">
        <v>1979</v>
      </c>
      <c r="G12135" s="6">
        <v>508</v>
      </c>
      <c r="H12135" s="5">
        <v>7603</v>
      </c>
    </row>
    <row r="12136" spans="2:8" x14ac:dyDescent="0.4">
      <c r="B12136" s="3" t="s">
        <v>7</v>
      </c>
      <c r="C12136" s="3" t="s">
        <v>1978</v>
      </c>
      <c r="D12136" s="4">
        <f>DATE(2007,8,17)</f>
        <v>39311</v>
      </c>
      <c r="E12136" s="5">
        <f t="shared" si="201"/>
        <v>2007</v>
      </c>
      <c r="F12136" s="3" t="s">
        <v>1979</v>
      </c>
      <c r="G12136" s="6">
        <v>732.8</v>
      </c>
      <c r="H12136" s="5">
        <v>8989</v>
      </c>
    </row>
    <row r="12137" spans="2:8" x14ac:dyDescent="0.4">
      <c r="B12137" s="3" t="s">
        <v>7</v>
      </c>
      <c r="C12137" s="3" t="s">
        <v>1978</v>
      </c>
      <c r="D12137" s="4">
        <f>DATE(2007,11,5)</f>
        <v>39391</v>
      </c>
      <c r="E12137" s="5">
        <f t="shared" si="201"/>
        <v>2007</v>
      </c>
      <c r="F12137" s="3" t="s">
        <v>1979</v>
      </c>
      <c r="G12137" s="6">
        <v>3449.49</v>
      </c>
      <c r="H12137" s="5">
        <v>9335</v>
      </c>
    </row>
    <row r="12138" spans="2:8" x14ac:dyDescent="0.4">
      <c r="B12138" s="3" t="s">
        <v>7</v>
      </c>
      <c r="C12138" s="3" t="s">
        <v>1978</v>
      </c>
      <c r="D12138" s="4">
        <f>DATE(2010,2,25)</f>
        <v>40234</v>
      </c>
      <c r="E12138" s="5">
        <f t="shared" si="201"/>
        <v>2010</v>
      </c>
      <c r="F12138" s="3" t="s">
        <v>1979</v>
      </c>
      <c r="G12138" s="6">
        <v>6890.59</v>
      </c>
      <c r="H12138" s="5">
        <v>13610</v>
      </c>
    </row>
    <row r="12139" spans="2:8" x14ac:dyDescent="0.4">
      <c r="B12139" s="3" t="s">
        <v>7</v>
      </c>
      <c r="C12139" s="3" t="s">
        <v>1978</v>
      </c>
      <c r="D12139" s="4">
        <f>DATE(2010,3,22)</f>
        <v>40259</v>
      </c>
      <c r="E12139" s="5">
        <f t="shared" si="201"/>
        <v>2010</v>
      </c>
      <c r="F12139" s="3" t="s">
        <v>1979</v>
      </c>
      <c r="G12139" s="6">
        <v>552.53</v>
      </c>
      <c r="H12139" s="5">
        <v>13772</v>
      </c>
    </row>
    <row r="12140" spans="2:8" x14ac:dyDescent="0.4">
      <c r="B12140" s="3" t="s">
        <v>7</v>
      </c>
      <c r="C12140" s="3" t="s">
        <v>1978</v>
      </c>
      <c r="D12140" s="4">
        <f>DATE(2010,5,28)</f>
        <v>40326</v>
      </c>
      <c r="E12140" s="5">
        <f t="shared" si="201"/>
        <v>2010</v>
      </c>
      <c r="F12140" s="3" t="s">
        <v>1979</v>
      </c>
      <c r="G12140" s="6">
        <v>280.45</v>
      </c>
      <c r="H12140" s="5">
        <v>14087</v>
      </c>
    </row>
    <row r="12141" spans="2:8" x14ac:dyDescent="0.4">
      <c r="B12141" s="3" t="s">
        <v>7</v>
      </c>
      <c r="C12141" s="3" t="s">
        <v>1978</v>
      </c>
      <c r="D12141" s="4">
        <f>DATE(2010,7,22)</f>
        <v>40381</v>
      </c>
      <c r="E12141" s="5">
        <f t="shared" si="201"/>
        <v>2010</v>
      </c>
      <c r="F12141" s="3" t="s">
        <v>1979</v>
      </c>
      <c r="G12141" s="6">
        <v>762.4</v>
      </c>
      <c r="H12141" s="5">
        <v>14220</v>
      </c>
    </row>
    <row r="12142" spans="2:8" x14ac:dyDescent="0.4">
      <c r="B12142" s="3" t="s">
        <v>7</v>
      </c>
      <c r="C12142" s="3" t="s">
        <v>1978</v>
      </c>
      <c r="D12142" s="4">
        <f>DATE(2011,2,14)</f>
        <v>40588</v>
      </c>
      <c r="E12142" s="5">
        <f t="shared" si="201"/>
        <v>2011</v>
      </c>
      <c r="F12142" s="3" t="s">
        <v>1979</v>
      </c>
      <c r="G12142" s="6">
        <v>479</v>
      </c>
      <c r="H12142" s="5">
        <v>15033</v>
      </c>
    </row>
    <row r="12143" spans="2:8" x14ac:dyDescent="0.4">
      <c r="B12143" s="3" t="s">
        <v>7</v>
      </c>
      <c r="C12143" s="3" t="s">
        <v>1978</v>
      </c>
      <c r="D12143" s="4">
        <f>DATE(2011,7,1)</f>
        <v>40725</v>
      </c>
      <c r="E12143" s="5">
        <f t="shared" si="201"/>
        <v>2011</v>
      </c>
      <c r="F12143" s="3" t="s">
        <v>1979</v>
      </c>
      <c r="G12143" s="6">
        <v>1078.19</v>
      </c>
      <c r="H12143" s="5">
        <v>15737</v>
      </c>
    </row>
    <row r="12144" spans="2:8" x14ac:dyDescent="0.4">
      <c r="B12144" s="3" t="s">
        <v>7</v>
      </c>
      <c r="C12144" s="3" t="s">
        <v>1978</v>
      </c>
      <c r="D12144" s="4">
        <f>DATE(2011,10,17)</f>
        <v>40833</v>
      </c>
      <c r="E12144" s="5">
        <f t="shared" si="201"/>
        <v>2011</v>
      </c>
      <c r="F12144" s="3" t="s">
        <v>1979</v>
      </c>
      <c r="G12144" s="6">
        <v>953</v>
      </c>
      <c r="H12144" s="5">
        <v>16086</v>
      </c>
    </row>
    <row r="12145" spans="2:8" x14ac:dyDescent="0.4">
      <c r="B12145" s="3" t="s">
        <v>7</v>
      </c>
      <c r="C12145" s="3" t="s">
        <v>1978</v>
      </c>
      <c r="D12145" s="4">
        <f>DATE(2014,4,15)</f>
        <v>41744</v>
      </c>
      <c r="E12145" s="5">
        <f t="shared" si="201"/>
        <v>2014</v>
      </c>
      <c r="F12145" s="3" t="s">
        <v>1979</v>
      </c>
      <c r="G12145" s="6">
        <v>1707.02</v>
      </c>
      <c r="H12145" s="5">
        <v>19814</v>
      </c>
    </row>
    <row r="12146" spans="2:8" x14ac:dyDescent="0.4">
      <c r="B12146" t="s">
        <v>7</v>
      </c>
      <c r="C12146" t="s">
        <v>1980</v>
      </c>
      <c r="D12146" s="7">
        <f>DATE(2015,5,1)</f>
        <v>42125</v>
      </c>
      <c r="E12146" s="8">
        <f t="shared" si="201"/>
        <v>2015</v>
      </c>
      <c r="F12146" t="s">
        <v>1981</v>
      </c>
      <c r="G12146" s="9">
        <v>45.88</v>
      </c>
      <c r="H12146" s="8">
        <v>20528</v>
      </c>
    </row>
    <row r="12147" spans="2:8" x14ac:dyDescent="0.4">
      <c r="B12147" t="s">
        <v>7</v>
      </c>
      <c r="C12147" t="s">
        <v>1980</v>
      </c>
      <c r="D12147" s="7">
        <f>DATE(2015,5,12)</f>
        <v>42136</v>
      </c>
      <c r="E12147" s="8">
        <f t="shared" si="201"/>
        <v>2015</v>
      </c>
      <c r="F12147" t="s">
        <v>1981</v>
      </c>
      <c r="G12147" s="9">
        <v>48.88</v>
      </c>
      <c r="H12147" s="8">
        <v>20570</v>
      </c>
    </row>
    <row r="12148" spans="2:8" x14ac:dyDescent="0.4">
      <c r="B12148" t="s">
        <v>7</v>
      </c>
      <c r="C12148" t="s">
        <v>1982</v>
      </c>
      <c r="D12148" s="7">
        <f>DATE(2016,4,6)</f>
        <v>42466</v>
      </c>
      <c r="E12148" s="8">
        <f t="shared" si="201"/>
        <v>2016</v>
      </c>
      <c r="F12148" t="s">
        <v>1983</v>
      </c>
      <c r="G12148" s="9">
        <v>611</v>
      </c>
      <c r="H12148" s="8">
        <v>22554</v>
      </c>
    </row>
    <row r="12149" spans="2:8" x14ac:dyDescent="0.4">
      <c r="B12149" s="3" t="s">
        <v>7</v>
      </c>
      <c r="C12149" s="3" t="s">
        <v>1984</v>
      </c>
      <c r="D12149" s="4">
        <f>DATE(2003,2,28)</f>
        <v>37680</v>
      </c>
      <c r="E12149" s="5">
        <f t="shared" si="201"/>
        <v>2003</v>
      </c>
      <c r="F12149" s="3" t="s">
        <v>1985</v>
      </c>
      <c r="G12149" s="6">
        <v>5692.05</v>
      </c>
      <c r="H12149" s="5">
        <v>352</v>
      </c>
    </row>
    <row r="12150" spans="2:8" x14ac:dyDescent="0.4">
      <c r="B12150" s="3" t="s">
        <v>7</v>
      </c>
      <c r="C12150" s="3" t="s">
        <v>1984</v>
      </c>
      <c r="D12150" s="4">
        <f>DATE(2003,3,6)</f>
        <v>37686</v>
      </c>
      <c r="E12150" s="5">
        <f t="shared" si="201"/>
        <v>2003</v>
      </c>
      <c r="F12150" s="3" t="s">
        <v>1985</v>
      </c>
      <c r="G12150" s="6">
        <v>5546</v>
      </c>
      <c r="H12150" s="5">
        <v>352</v>
      </c>
    </row>
    <row r="12151" spans="2:8" x14ac:dyDescent="0.4">
      <c r="B12151" s="3" t="s">
        <v>7</v>
      </c>
      <c r="C12151" s="3" t="s">
        <v>1984</v>
      </c>
      <c r="D12151" s="4">
        <f>DATE(2003,4,30)</f>
        <v>37741</v>
      </c>
      <c r="E12151" s="5">
        <f t="shared" si="201"/>
        <v>2003</v>
      </c>
      <c r="F12151" s="3" t="s">
        <v>1985</v>
      </c>
      <c r="G12151" s="6">
        <v>6046</v>
      </c>
      <c r="H12151" s="5">
        <v>867</v>
      </c>
    </row>
    <row r="12152" spans="2:8" x14ac:dyDescent="0.4">
      <c r="B12152" s="3" t="s">
        <v>7</v>
      </c>
      <c r="C12152" s="3" t="s">
        <v>1984</v>
      </c>
      <c r="D12152" s="4">
        <f>DATE(2003,11,26)</f>
        <v>37951</v>
      </c>
      <c r="E12152" s="5">
        <f t="shared" si="201"/>
        <v>2003</v>
      </c>
      <c r="F12152" s="3" t="s">
        <v>1985</v>
      </c>
      <c r="G12152" s="6">
        <v>6046</v>
      </c>
      <c r="H12152" s="5">
        <v>1797</v>
      </c>
    </row>
    <row r="12153" spans="2:8" x14ac:dyDescent="0.4">
      <c r="B12153" s="3" t="s">
        <v>7</v>
      </c>
      <c r="C12153" s="3" t="s">
        <v>1984</v>
      </c>
      <c r="D12153" s="4">
        <f>DATE(2004,1,13)</f>
        <v>37999</v>
      </c>
      <c r="E12153" s="5">
        <f t="shared" si="201"/>
        <v>2004</v>
      </c>
      <c r="F12153" s="3" t="s">
        <v>1985</v>
      </c>
      <c r="G12153" s="6">
        <v>6046.85</v>
      </c>
      <c r="H12153" s="5">
        <v>1953</v>
      </c>
    </row>
    <row r="12154" spans="2:8" x14ac:dyDescent="0.4">
      <c r="B12154" s="3" t="s">
        <v>7</v>
      </c>
      <c r="C12154" s="3" t="s">
        <v>1984</v>
      </c>
      <c r="D12154" s="4">
        <f>DATE(2004,2,13)</f>
        <v>38030</v>
      </c>
      <c r="E12154" s="5">
        <f t="shared" si="201"/>
        <v>2004</v>
      </c>
      <c r="F12154" s="3" t="s">
        <v>1985</v>
      </c>
      <c r="G12154" s="6">
        <v>8100</v>
      </c>
      <c r="H12154" s="5">
        <v>2052</v>
      </c>
    </row>
    <row r="12155" spans="2:8" x14ac:dyDescent="0.4">
      <c r="B12155" s="3" t="s">
        <v>7</v>
      </c>
      <c r="C12155" s="3" t="s">
        <v>1984</v>
      </c>
      <c r="D12155" s="4">
        <f>DATE(2004,3,12)</f>
        <v>38058</v>
      </c>
      <c r="E12155" s="5">
        <f t="shared" si="201"/>
        <v>2004</v>
      </c>
      <c r="F12155" s="3" t="s">
        <v>1985</v>
      </c>
      <c r="G12155" s="6">
        <v>12300</v>
      </c>
      <c r="H12155" s="5">
        <v>2332</v>
      </c>
    </row>
    <row r="12156" spans="2:8" x14ac:dyDescent="0.4">
      <c r="B12156" s="3" t="s">
        <v>7</v>
      </c>
      <c r="C12156" s="3" t="s">
        <v>1984</v>
      </c>
      <c r="D12156" s="4">
        <f>DATE(2004,3,24)</f>
        <v>38070</v>
      </c>
      <c r="E12156" s="5">
        <f t="shared" si="201"/>
        <v>2004</v>
      </c>
      <c r="F12156" s="3" t="s">
        <v>1985</v>
      </c>
      <c r="G12156" s="6">
        <v>7437.33</v>
      </c>
      <c r="H12156" s="5">
        <v>2349</v>
      </c>
    </row>
    <row r="12157" spans="2:8" x14ac:dyDescent="0.4">
      <c r="B12157" s="3" t="s">
        <v>7</v>
      </c>
      <c r="C12157" s="3" t="s">
        <v>1984</v>
      </c>
      <c r="D12157" s="4">
        <f>DATE(2004,9,13)</f>
        <v>38243</v>
      </c>
      <c r="E12157" s="5">
        <f t="shared" si="201"/>
        <v>2004</v>
      </c>
      <c r="F12157" s="3" t="s">
        <v>1985</v>
      </c>
      <c r="G12157" s="6">
        <v>8157.33</v>
      </c>
      <c r="H12157" s="5">
        <v>3355</v>
      </c>
    </row>
    <row r="12158" spans="2:8" x14ac:dyDescent="0.4">
      <c r="B12158" s="3" t="s">
        <v>7</v>
      </c>
      <c r="C12158" s="3" t="s">
        <v>1984</v>
      </c>
      <c r="D12158" s="4">
        <f>DATE(2004,12,10)</f>
        <v>38331</v>
      </c>
      <c r="E12158" s="5">
        <f t="shared" si="201"/>
        <v>2004</v>
      </c>
      <c r="F12158" s="3" t="s">
        <v>1985</v>
      </c>
      <c r="G12158" s="6">
        <v>8298.2900000000009</v>
      </c>
      <c r="H12158" s="5">
        <v>3796</v>
      </c>
    </row>
    <row r="12159" spans="2:8" x14ac:dyDescent="0.4">
      <c r="B12159" s="3" t="s">
        <v>7</v>
      </c>
      <c r="C12159" s="3" t="s">
        <v>1984</v>
      </c>
      <c r="D12159" s="4">
        <f>DATE(2005,1,20)</f>
        <v>38372</v>
      </c>
      <c r="E12159" s="5">
        <f t="shared" si="201"/>
        <v>2005</v>
      </c>
      <c r="F12159" s="3" t="s">
        <v>1985</v>
      </c>
      <c r="G12159" s="6">
        <v>8546.0400000000009</v>
      </c>
      <c r="H12159" s="5">
        <v>3951</v>
      </c>
    </row>
    <row r="12160" spans="2:8" x14ac:dyDescent="0.4">
      <c r="B12160" s="3" t="s">
        <v>7</v>
      </c>
      <c r="C12160" s="3" t="s">
        <v>1984</v>
      </c>
      <c r="D12160" s="4">
        <f>DATE(2005,2,23)</f>
        <v>38406</v>
      </c>
      <c r="E12160" s="5">
        <f t="shared" si="201"/>
        <v>2005</v>
      </c>
      <c r="F12160" s="3" t="s">
        <v>1985</v>
      </c>
      <c r="G12160" s="6">
        <v>10755</v>
      </c>
      <c r="H12160" s="5">
        <v>3952</v>
      </c>
    </row>
    <row r="12161" spans="2:8" x14ac:dyDescent="0.4">
      <c r="B12161" s="3" t="s">
        <v>7</v>
      </c>
      <c r="C12161" s="3" t="s">
        <v>1984</v>
      </c>
      <c r="D12161" s="4">
        <f>DATE(2005,3,28)</f>
        <v>38439</v>
      </c>
      <c r="E12161" s="5">
        <f t="shared" si="201"/>
        <v>2005</v>
      </c>
      <c r="F12161" s="3" t="s">
        <v>1985</v>
      </c>
      <c r="G12161" s="6">
        <v>6500</v>
      </c>
      <c r="H12161" s="5">
        <v>4375</v>
      </c>
    </row>
    <row r="12162" spans="2:8" x14ac:dyDescent="0.4">
      <c r="B12162" s="3" t="s">
        <v>7</v>
      </c>
      <c r="C12162" s="3" t="s">
        <v>1984</v>
      </c>
      <c r="D12162" s="4">
        <f>DATE(2005,4,19)</f>
        <v>38461</v>
      </c>
      <c r="E12162" s="5">
        <f t="shared" si="201"/>
        <v>2005</v>
      </c>
      <c r="F12162" s="3" t="s">
        <v>1985</v>
      </c>
      <c r="G12162" s="6">
        <v>1600</v>
      </c>
      <c r="H12162" s="5">
        <v>4533</v>
      </c>
    </row>
    <row r="12163" spans="2:8" x14ac:dyDescent="0.4">
      <c r="B12163" s="3" t="s">
        <v>7</v>
      </c>
      <c r="C12163" s="3" t="s">
        <v>1984</v>
      </c>
      <c r="D12163" s="4">
        <f>DATE(2005,9,30)</f>
        <v>38625</v>
      </c>
      <c r="E12163" s="5">
        <f t="shared" ref="E12163:E12226" si="202">YEAR(D12163)</f>
        <v>2005</v>
      </c>
      <c r="F12163" s="3" t="s">
        <v>1985</v>
      </c>
      <c r="G12163" s="6">
        <v>12409.55</v>
      </c>
      <c r="H12163" s="5">
        <v>5298</v>
      </c>
    </row>
    <row r="12164" spans="2:8" x14ac:dyDescent="0.4">
      <c r="B12164" s="3" t="s">
        <v>7</v>
      </c>
      <c r="C12164" s="3" t="s">
        <v>1984</v>
      </c>
      <c r="D12164" s="4">
        <f>DATE(2005,11,9)</f>
        <v>38665</v>
      </c>
      <c r="E12164" s="5">
        <f t="shared" si="202"/>
        <v>2005</v>
      </c>
      <c r="F12164" s="3" t="s">
        <v>1985</v>
      </c>
      <c r="G12164" s="6">
        <v>920</v>
      </c>
      <c r="H12164" s="5">
        <v>5527</v>
      </c>
    </row>
    <row r="12165" spans="2:8" x14ac:dyDescent="0.4">
      <c r="B12165" s="3" t="s">
        <v>7</v>
      </c>
      <c r="C12165" s="3" t="s">
        <v>1984</v>
      </c>
      <c r="D12165" s="4">
        <f>DATE(2006,1,6)</f>
        <v>38723</v>
      </c>
      <c r="E12165" s="5">
        <f t="shared" si="202"/>
        <v>2006</v>
      </c>
      <c r="F12165" s="3" t="s">
        <v>1985</v>
      </c>
      <c r="G12165" s="6">
        <v>10800</v>
      </c>
      <c r="H12165" s="5">
        <v>5769</v>
      </c>
    </row>
    <row r="12166" spans="2:8" x14ac:dyDescent="0.4">
      <c r="B12166" s="3" t="s">
        <v>7</v>
      </c>
      <c r="C12166" s="3" t="s">
        <v>1984</v>
      </c>
      <c r="D12166" s="4">
        <f>DATE(2006,1,26)</f>
        <v>38743</v>
      </c>
      <c r="E12166" s="5">
        <f t="shared" si="202"/>
        <v>2006</v>
      </c>
      <c r="F12166" s="3" t="s">
        <v>1985</v>
      </c>
      <c r="G12166" s="6">
        <v>8288</v>
      </c>
      <c r="H12166" s="5">
        <v>5833</v>
      </c>
    </row>
    <row r="12167" spans="2:8" x14ac:dyDescent="0.4">
      <c r="B12167" s="3" t="s">
        <v>7</v>
      </c>
      <c r="C12167" s="3" t="s">
        <v>1984</v>
      </c>
      <c r="D12167" s="4">
        <f>DATE(2006,4,3)</f>
        <v>38810</v>
      </c>
      <c r="E12167" s="5">
        <f t="shared" si="202"/>
        <v>2006</v>
      </c>
      <c r="F12167" s="3" t="s">
        <v>1985</v>
      </c>
      <c r="G12167" s="6">
        <v>8288</v>
      </c>
      <c r="H12167" s="5">
        <v>6384</v>
      </c>
    </row>
    <row r="12168" spans="2:8" x14ac:dyDescent="0.4">
      <c r="B12168" s="3" t="s">
        <v>7</v>
      </c>
      <c r="C12168" s="3" t="s">
        <v>1984</v>
      </c>
      <c r="D12168" s="4">
        <f>DATE(2006,7,18)</f>
        <v>38916</v>
      </c>
      <c r="E12168" s="5">
        <f t="shared" si="202"/>
        <v>2006</v>
      </c>
      <c r="F12168" s="3" t="s">
        <v>1985</v>
      </c>
      <c r="G12168" s="6">
        <v>14400</v>
      </c>
      <c r="H12168" s="5">
        <v>6937</v>
      </c>
    </row>
    <row r="12169" spans="2:8" x14ac:dyDescent="0.4">
      <c r="B12169" s="3" t="s">
        <v>7</v>
      </c>
      <c r="C12169" s="3" t="s">
        <v>1984</v>
      </c>
      <c r="D12169" s="4">
        <f>DATE(2006,8,16)</f>
        <v>38945</v>
      </c>
      <c r="E12169" s="5">
        <f t="shared" si="202"/>
        <v>2006</v>
      </c>
      <c r="F12169" s="3" t="s">
        <v>1985</v>
      </c>
      <c r="G12169" s="6">
        <v>7992</v>
      </c>
      <c r="H12169" s="5">
        <v>7055</v>
      </c>
    </row>
    <row r="12170" spans="2:8" x14ac:dyDescent="0.4">
      <c r="B12170" s="3" t="s">
        <v>7</v>
      </c>
      <c r="C12170" s="3" t="s">
        <v>1984</v>
      </c>
      <c r="D12170" s="4">
        <f>DATE(2006,10,18)</f>
        <v>39008</v>
      </c>
      <c r="E12170" s="5">
        <f t="shared" si="202"/>
        <v>2006</v>
      </c>
      <c r="F12170" s="3" t="s">
        <v>1985</v>
      </c>
      <c r="G12170" s="6">
        <v>10800</v>
      </c>
      <c r="H12170" s="5">
        <v>7387</v>
      </c>
    </row>
    <row r="12171" spans="2:8" x14ac:dyDescent="0.4">
      <c r="B12171" s="3" t="s">
        <v>7</v>
      </c>
      <c r="C12171" s="3" t="s">
        <v>1984</v>
      </c>
      <c r="D12171" s="4">
        <f>DATE(2006,11,16)</f>
        <v>39037</v>
      </c>
      <c r="E12171" s="5">
        <f t="shared" si="202"/>
        <v>2006</v>
      </c>
      <c r="F12171" s="3" t="s">
        <v>1985</v>
      </c>
      <c r="G12171" s="6">
        <v>4256</v>
      </c>
      <c r="H12171" s="5">
        <v>7532</v>
      </c>
    </row>
    <row r="12172" spans="2:8" x14ac:dyDescent="0.4">
      <c r="B12172" s="3" t="s">
        <v>7</v>
      </c>
      <c r="C12172" s="3" t="s">
        <v>1984</v>
      </c>
      <c r="D12172" s="4">
        <f>DATE(2007,4,19)</f>
        <v>39191</v>
      </c>
      <c r="E12172" s="5">
        <f t="shared" si="202"/>
        <v>2007</v>
      </c>
      <c r="F12172" s="3" t="s">
        <v>1985</v>
      </c>
      <c r="G12172" s="6">
        <v>14400</v>
      </c>
      <c r="H12172" s="5">
        <v>7897</v>
      </c>
    </row>
    <row r="12173" spans="2:8" x14ac:dyDescent="0.4">
      <c r="B12173" s="3" t="s">
        <v>7</v>
      </c>
      <c r="C12173" s="3" t="s">
        <v>1984</v>
      </c>
      <c r="D12173" s="4">
        <f>DATE(2007,4,25)</f>
        <v>39197</v>
      </c>
      <c r="E12173" s="5">
        <f t="shared" si="202"/>
        <v>2007</v>
      </c>
      <c r="F12173" s="3" t="s">
        <v>1985</v>
      </c>
      <c r="G12173" s="6">
        <v>7200</v>
      </c>
      <c r="H12173" s="5">
        <v>7897</v>
      </c>
    </row>
    <row r="12174" spans="2:8" x14ac:dyDescent="0.4">
      <c r="B12174" s="3" t="s">
        <v>7</v>
      </c>
      <c r="C12174" s="3" t="s">
        <v>1984</v>
      </c>
      <c r="D12174" s="4">
        <f>DATE(2010,4,19)</f>
        <v>40287</v>
      </c>
      <c r="E12174" s="5">
        <f t="shared" si="202"/>
        <v>2010</v>
      </c>
      <c r="F12174" s="3" t="s">
        <v>1985</v>
      </c>
      <c r="G12174" s="6">
        <v>4500</v>
      </c>
      <c r="H12174" s="5">
        <v>13874</v>
      </c>
    </row>
    <row r="12175" spans="2:8" x14ac:dyDescent="0.4">
      <c r="B12175" s="3" t="s">
        <v>7</v>
      </c>
      <c r="C12175" s="3" t="s">
        <v>1984</v>
      </c>
      <c r="D12175" s="4">
        <f>DATE(2011,7,14)</f>
        <v>40738</v>
      </c>
      <c r="E12175" s="5">
        <f t="shared" si="202"/>
        <v>2011</v>
      </c>
      <c r="F12175" s="3" t="s">
        <v>1985</v>
      </c>
      <c r="G12175" s="6">
        <v>8288</v>
      </c>
      <c r="H12175" s="5">
        <v>15776</v>
      </c>
    </row>
    <row r="12176" spans="2:8" x14ac:dyDescent="0.4">
      <c r="B12176" s="3" t="s">
        <v>7</v>
      </c>
      <c r="C12176" s="3" t="s">
        <v>1984</v>
      </c>
      <c r="D12176" s="4">
        <f>DATE(2013,7,23)</f>
        <v>41478</v>
      </c>
      <c r="E12176" s="5">
        <f t="shared" si="202"/>
        <v>2013</v>
      </c>
      <c r="F12176" s="3" t="s">
        <v>1985</v>
      </c>
      <c r="G12176" s="6">
        <v>10800</v>
      </c>
      <c r="H12176" s="5">
        <v>18745</v>
      </c>
    </row>
    <row r="12177" spans="2:8" x14ac:dyDescent="0.4">
      <c r="B12177" t="s">
        <v>7</v>
      </c>
      <c r="C12177" t="s">
        <v>1986</v>
      </c>
      <c r="D12177" s="7">
        <f>DATE(2003,12,18)</f>
        <v>37973</v>
      </c>
      <c r="E12177" s="8">
        <f t="shared" si="202"/>
        <v>2003</v>
      </c>
      <c r="F12177" t="s">
        <v>1987</v>
      </c>
      <c r="G12177" s="9">
        <v>19000</v>
      </c>
      <c r="H12177" s="8">
        <v>1078</v>
      </c>
    </row>
    <row r="12178" spans="2:8" x14ac:dyDescent="0.4">
      <c r="B12178" t="s">
        <v>7</v>
      </c>
      <c r="C12178" t="s">
        <v>1986</v>
      </c>
      <c r="D12178" s="7">
        <f>DATE(2003,12,18)</f>
        <v>37973</v>
      </c>
      <c r="E12178" s="8">
        <f t="shared" si="202"/>
        <v>2003</v>
      </c>
      <c r="F12178" t="s">
        <v>1987</v>
      </c>
      <c r="G12178" s="9">
        <v>8270</v>
      </c>
      <c r="H12178" s="8">
        <v>1079</v>
      </c>
    </row>
    <row r="12179" spans="2:8" x14ac:dyDescent="0.4">
      <c r="B12179" t="s">
        <v>7</v>
      </c>
      <c r="C12179" t="s">
        <v>1986</v>
      </c>
      <c r="D12179" s="7">
        <f>DATE(2005,12,15)</f>
        <v>38701</v>
      </c>
      <c r="E12179" s="8">
        <f t="shared" si="202"/>
        <v>2005</v>
      </c>
      <c r="F12179" t="s">
        <v>1987</v>
      </c>
      <c r="G12179" s="9">
        <v>8633.6</v>
      </c>
      <c r="H12179" s="8">
        <v>3746</v>
      </c>
    </row>
    <row r="12180" spans="2:8" x14ac:dyDescent="0.4">
      <c r="B12180" t="s">
        <v>7</v>
      </c>
      <c r="C12180" t="s">
        <v>1986</v>
      </c>
      <c r="D12180" s="7">
        <f>DATE(2009,1,9)</f>
        <v>39822</v>
      </c>
      <c r="E12180" s="8">
        <f t="shared" si="202"/>
        <v>2009</v>
      </c>
      <c r="F12180" t="s">
        <v>1987</v>
      </c>
      <c r="G12180" s="9">
        <v>8360</v>
      </c>
      <c r="H12180" s="8">
        <v>7852</v>
      </c>
    </row>
    <row r="12181" spans="2:8" x14ac:dyDescent="0.4">
      <c r="B12181" t="s">
        <v>7</v>
      </c>
      <c r="C12181" t="s">
        <v>1986</v>
      </c>
      <c r="D12181" s="7">
        <f>DATE(2009,1,10)</f>
        <v>39823</v>
      </c>
      <c r="E12181" s="8">
        <f t="shared" si="202"/>
        <v>2009</v>
      </c>
      <c r="F12181" t="s">
        <v>1987</v>
      </c>
      <c r="G12181" s="9">
        <v>14300.19</v>
      </c>
      <c r="H12181" s="8">
        <v>7848</v>
      </c>
    </row>
    <row r="12182" spans="2:8" x14ac:dyDescent="0.4">
      <c r="B12182" s="3" t="s">
        <v>7</v>
      </c>
      <c r="C12182" s="3" t="s">
        <v>1986</v>
      </c>
      <c r="D12182" s="4">
        <f>DATE(2003,12,22)</f>
        <v>37977</v>
      </c>
      <c r="E12182" s="5">
        <f t="shared" si="202"/>
        <v>2003</v>
      </c>
      <c r="F12182" s="3" t="s">
        <v>1987</v>
      </c>
      <c r="G12182" s="6">
        <v>233.66</v>
      </c>
      <c r="H12182" s="5">
        <v>1920</v>
      </c>
    </row>
    <row r="12183" spans="2:8" x14ac:dyDescent="0.4">
      <c r="B12183" s="3" t="s">
        <v>7</v>
      </c>
      <c r="C12183" s="3" t="s">
        <v>1986</v>
      </c>
      <c r="D12183" s="4">
        <f>DATE(2007,7,6)</f>
        <v>39269</v>
      </c>
      <c r="E12183" s="5">
        <f t="shared" si="202"/>
        <v>2007</v>
      </c>
      <c r="F12183" s="3" t="s">
        <v>1987</v>
      </c>
      <c r="G12183" s="6">
        <v>754.31</v>
      </c>
      <c r="H12183" s="5">
        <v>8855</v>
      </c>
    </row>
    <row r="12184" spans="2:8" x14ac:dyDescent="0.4">
      <c r="B12184" s="3" t="s">
        <v>7</v>
      </c>
      <c r="C12184" s="3" t="s">
        <v>1986</v>
      </c>
      <c r="D12184" s="4">
        <f>DATE(2010,2,19)</f>
        <v>40228</v>
      </c>
      <c r="E12184" s="5">
        <f t="shared" si="202"/>
        <v>2010</v>
      </c>
      <c r="F12184" s="3" t="s">
        <v>1987</v>
      </c>
      <c r="G12184" s="6">
        <v>372.58</v>
      </c>
      <c r="H12184" s="5">
        <v>13486</v>
      </c>
    </row>
    <row r="12185" spans="2:8" x14ac:dyDescent="0.4">
      <c r="B12185" t="s">
        <v>7</v>
      </c>
      <c r="C12185" t="s">
        <v>1988</v>
      </c>
      <c r="D12185" s="7">
        <f>DATE(2017,8,22)</f>
        <v>42969</v>
      </c>
      <c r="E12185" s="8">
        <f t="shared" si="202"/>
        <v>2017</v>
      </c>
      <c r="F12185" t="s">
        <v>1989</v>
      </c>
      <c r="G12185" s="9">
        <v>5935.94</v>
      </c>
      <c r="H12185" s="8">
        <v>25401</v>
      </c>
    </row>
    <row r="12186" spans="2:8" x14ac:dyDescent="0.4">
      <c r="B12186" s="3" t="s">
        <v>7</v>
      </c>
      <c r="C12186" s="3" t="s">
        <v>1990</v>
      </c>
      <c r="D12186" s="4">
        <f>DATE(2013,2,14)</f>
        <v>41319</v>
      </c>
      <c r="E12186" s="5">
        <f t="shared" si="202"/>
        <v>2013</v>
      </c>
      <c r="F12186" s="3" t="s">
        <v>1991</v>
      </c>
      <c r="G12186" s="6">
        <v>909.89</v>
      </c>
      <c r="H12186" s="5">
        <v>18155</v>
      </c>
    </row>
    <row r="12187" spans="2:8" x14ac:dyDescent="0.4">
      <c r="B12187" t="s">
        <v>7</v>
      </c>
      <c r="C12187" t="s">
        <v>1992</v>
      </c>
      <c r="D12187" s="7">
        <f>DATE(2015,5,5)</f>
        <v>42129</v>
      </c>
      <c r="E12187" s="8">
        <f t="shared" si="202"/>
        <v>2015</v>
      </c>
      <c r="F12187" t="s">
        <v>1993</v>
      </c>
      <c r="G12187" s="9">
        <v>30683.56</v>
      </c>
      <c r="H12187" s="8">
        <v>20125</v>
      </c>
    </row>
    <row r="12188" spans="2:8" x14ac:dyDescent="0.4">
      <c r="B12188" t="s">
        <v>7</v>
      </c>
      <c r="C12188" t="s">
        <v>1992</v>
      </c>
      <c r="D12188" s="7">
        <f>DATE(2011,5,11)</f>
        <v>40674</v>
      </c>
      <c r="E12188" s="8">
        <f t="shared" si="202"/>
        <v>2011</v>
      </c>
      <c r="F12188" t="s">
        <v>1993</v>
      </c>
      <c r="G12188" s="9">
        <v>26835.95</v>
      </c>
      <c r="H12188" s="8">
        <v>10597</v>
      </c>
    </row>
    <row r="12189" spans="2:8" x14ac:dyDescent="0.4">
      <c r="B12189" t="s">
        <v>7</v>
      </c>
      <c r="C12189" t="s">
        <v>1992</v>
      </c>
      <c r="D12189" s="7">
        <f>DATE(2013,5,1)</f>
        <v>41395</v>
      </c>
      <c r="E12189" s="8">
        <f t="shared" si="202"/>
        <v>2013</v>
      </c>
      <c r="F12189" t="s">
        <v>1993</v>
      </c>
      <c r="G12189" s="9">
        <v>24496.69</v>
      </c>
      <c r="H12189" s="8">
        <v>12327</v>
      </c>
    </row>
    <row r="12190" spans="2:8" x14ac:dyDescent="0.4">
      <c r="B12190" t="s">
        <v>7</v>
      </c>
      <c r="C12190" t="s">
        <v>1992</v>
      </c>
      <c r="D12190" s="7">
        <f>DATE(2005,3,21)</f>
        <v>38432</v>
      </c>
      <c r="E12190" s="8">
        <f t="shared" si="202"/>
        <v>2005</v>
      </c>
      <c r="F12190" t="s">
        <v>1993</v>
      </c>
      <c r="G12190" s="9">
        <v>21028.75</v>
      </c>
      <c r="H12190" s="8">
        <v>2634</v>
      </c>
    </row>
    <row r="12191" spans="2:8" x14ac:dyDescent="0.4">
      <c r="B12191" t="s">
        <v>7</v>
      </c>
      <c r="C12191" t="s">
        <v>1992</v>
      </c>
      <c r="D12191" s="7">
        <f>DATE(2007,8,1)</f>
        <v>39295</v>
      </c>
      <c r="E12191" s="8">
        <f t="shared" si="202"/>
        <v>2007</v>
      </c>
      <c r="F12191" t="s">
        <v>1993</v>
      </c>
      <c r="G12191" s="9">
        <v>26288.28</v>
      </c>
      <c r="H12191" s="8">
        <v>6212</v>
      </c>
    </row>
    <row r="12192" spans="2:8" x14ac:dyDescent="0.4">
      <c r="B12192" t="s">
        <v>7</v>
      </c>
      <c r="C12192" t="s">
        <v>1992</v>
      </c>
      <c r="D12192" s="7">
        <f>DATE(2008,3,14)</f>
        <v>39521</v>
      </c>
      <c r="E12192" s="8">
        <f t="shared" si="202"/>
        <v>2008</v>
      </c>
      <c r="F12192" t="s">
        <v>1993</v>
      </c>
      <c r="G12192" s="9">
        <v>22890.63</v>
      </c>
      <c r="H12192" s="8">
        <v>7147</v>
      </c>
    </row>
    <row r="12193" spans="2:8" x14ac:dyDescent="0.4">
      <c r="B12193" t="s">
        <v>7</v>
      </c>
      <c r="C12193" t="s">
        <v>1992</v>
      </c>
      <c r="D12193" s="7">
        <f>DATE(2009,4,13)</f>
        <v>39916</v>
      </c>
      <c r="E12193" s="8">
        <f t="shared" si="202"/>
        <v>2009</v>
      </c>
      <c r="F12193" t="s">
        <v>1993</v>
      </c>
      <c r="G12193" s="9">
        <v>25117.41</v>
      </c>
      <c r="H12193" s="8">
        <v>8457</v>
      </c>
    </row>
    <row r="12194" spans="2:8" x14ac:dyDescent="0.4">
      <c r="B12194" t="s">
        <v>7</v>
      </c>
      <c r="C12194" t="s">
        <v>1992</v>
      </c>
      <c r="D12194" s="7">
        <f>DATE(2010,4,14)</f>
        <v>40282</v>
      </c>
      <c r="E12194" s="8">
        <f t="shared" si="202"/>
        <v>2010</v>
      </c>
      <c r="F12194" t="s">
        <v>1993</v>
      </c>
      <c r="G12194" s="9">
        <v>23157.78</v>
      </c>
      <c r="H12194" s="8">
        <v>9509</v>
      </c>
    </row>
    <row r="12195" spans="2:8" x14ac:dyDescent="0.4">
      <c r="B12195" t="s">
        <v>7</v>
      </c>
      <c r="C12195" t="s">
        <v>1992</v>
      </c>
      <c r="D12195" s="7">
        <f>DATE(2011,5,11)</f>
        <v>40674</v>
      </c>
      <c r="E12195" s="8">
        <f t="shared" si="202"/>
        <v>2011</v>
      </c>
      <c r="F12195" t="s">
        <v>1993</v>
      </c>
      <c r="G12195" s="9">
        <v>29997.57</v>
      </c>
      <c r="H12195" s="8">
        <v>10593</v>
      </c>
    </row>
    <row r="12196" spans="2:8" x14ac:dyDescent="0.4">
      <c r="B12196" t="s">
        <v>7</v>
      </c>
      <c r="C12196" t="s">
        <v>1992</v>
      </c>
      <c r="D12196" s="7">
        <f>DATE(2012,3,29)</f>
        <v>40997</v>
      </c>
      <c r="E12196" s="8">
        <f t="shared" si="202"/>
        <v>2012</v>
      </c>
      <c r="F12196" t="s">
        <v>1993</v>
      </c>
      <c r="G12196" s="9">
        <v>30926.54</v>
      </c>
      <c r="H12196" s="8">
        <v>11311</v>
      </c>
    </row>
    <row r="12197" spans="2:8" x14ac:dyDescent="0.4">
      <c r="B12197" t="s">
        <v>7</v>
      </c>
      <c r="C12197" t="s">
        <v>1992</v>
      </c>
      <c r="D12197" s="7">
        <f>DATE(2013,5,1)</f>
        <v>41395</v>
      </c>
      <c r="E12197" s="8">
        <f t="shared" si="202"/>
        <v>2013</v>
      </c>
      <c r="F12197" t="s">
        <v>1993</v>
      </c>
      <c r="G12197" s="9">
        <v>31098.42</v>
      </c>
      <c r="H12197" s="8">
        <v>12326</v>
      </c>
    </row>
    <row r="12198" spans="2:8" x14ac:dyDescent="0.4">
      <c r="B12198" t="s">
        <v>7</v>
      </c>
      <c r="C12198" t="s">
        <v>1992</v>
      </c>
      <c r="D12198" s="7">
        <f>DATE(2014,4,22)</f>
        <v>41751</v>
      </c>
      <c r="E12198" s="8">
        <f t="shared" si="202"/>
        <v>2014</v>
      </c>
      <c r="F12198" t="s">
        <v>1993</v>
      </c>
      <c r="G12198" s="9">
        <v>31016.06</v>
      </c>
      <c r="H12198" s="8">
        <v>13074</v>
      </c>
    </row>
    <row r="12199" spans="2:8" x14ac:dyDescent="0.4">
      <c r="B12199" t="s">
        <v>16</v>
      </c>
      <c r="C12199" t="s">
        <v>1992</v>
      </c>
      <c r="D12199" s="7">
        <f>DATE(2010,4,14)</f>
        <v>40282</v>
      </c>
      <c r="E12199" s="8">
        <f t="shared" si="202"/>
        <v>2010</v>
      </c>
      <c r="F12199" t="s">
        <v>1993</v>
      </c>
      <c r="G12199" s="9">
        <v>7618.4</v>
      </c>
      <c r="H12199" s="8">
        <v>9786</v>
      </c>
    </row>
    <row r="12200" spans="2:8" x14ac:dyDescent="0.4">
      <c r="B12200" s="3" t="s">
        <v>7</v>
      </c>
      <c r="C12200" s="3" t="s">
        <v>1992</v>
      </c>
      <c r="D12200" s="4">
        <f>DATE(2010,3,9)</f>
        <v>40246</v>
      </c>
      <c r="E12200" s="5">
        <f t="shared" si="202"/>
        <v>2010</v>
      </c>
      <c r="F12200" s="3" t="s">
        <v>1993</v>
      </c>
      <c r="G12200" s="6">
        <v>7708.6</v>
      </c>
      <c r="H12200" s="5">
        <v>13579</v>
      </c>
    </row>
    <row r="12201" spans="2:8" x14ac:dyDescent="0.4">
      <c r="B12201" s="3" t="s">
        <v>7</v>
      </c>
      <c r="C12201" s="3" t="s">
        <v>1994</v>
      </c>
      <c r="D12201" s="4">
        <f>DATE(2005,4,5)</f>
        <v>38447</v>
      </c>
      <c r="E12201" s="5">
        <f t="shared" si="202"/>
        <v>2005</v>
      </c>
      <c r="F12201" s="3" t="s">
        <v>1995</v>
      </c>
      <c r="G12201" s="6">
        <v>1266.5</v>
      </c>
      <c r="H12201" s="5">
        <v>4458</v>
      </c>
    </row>
    <row r="12202" spans="2:8" x14ac:dyDescent="0.4">
      <c r="B12202" t="s">
        <v>7</v>
      </c>
      <c r="C12202" t="s">
        <v>1994</v>
      </c>
      <c r="D12202" s="7">
        <f>DATE(2016,10,21)</f>
        <v>42664</v>
      </c>
      <c r="E12202" s="8">
        <f t="shared" si="202"/>
        <v>2016</v>
      </c>
      <c r="F12202" t="s">
        <v>1996</v>
      </c>
      <c r="G12202" s="9">
        <v>4177.8</v>
      </c>
      <c r="H12202" s="8">
        <v>23632</v>
      </c>
    </row>
    <row r="12203" spans="2:8" x14ac:dyDescent="0.4">
      <c r="B12203" t="s">
        <v>7</v>
      </c>
      <c r="C12203" t="s">
        <v>1994</v>
      </c>
      <c r="D12203" s="7">
        <f>DATE(2017,9,29)</f>
        <v>43007</v>
      </c>
      <c r="E12203" s="8">
        <f t="shared" si="202"/>
        <v>2017</v>
      </c>
      <c r="F12203" t="s">
        <v>1996</v>
      </c>
      <c r="G12203" s="9">
        <v>151.91999999999999</v>
      </c>
      <c r="H12203" s="8">
        <v>25580</v>
      </c>
    </row>
    <row r="12204" spans="2:8" x14ac:dyDescent="0.4">
      <c r="B12204" t="s">
        <v>7</v>
      </c>
      <c r="C12204" t="s">
        <v>1994</v>
      </c>
      <c r="D12204" s="7">
        <f>DATE(2018,4,11)</f>
        <v>43201</v>
      </c>
      <c r="E12204" s="8">
        <f t="shared" si="202"/>
        <v>2018</v>
      </c>
      <c r="F12204" t="s">
        <v>1996</v>
      </c>
      <c r="G12204" s="9">
        <v>1012.8</v>
      </c>
      <c r="H12204" s="8">
        <v>26811</v>
      </c>
    </row>
    <row r="12205" spans="2:8" x14ac:dyDescent="0.4">
      <c r="B12205" t="s">
        <v>7</v>
      </c>
      <c r="C12205" t="s">
        <v>1994</v>
      </c>
      <c r="D12205" s="7">
        <f>DATE(2018,4,26)</f>
        <v>43216</v>
      </c>
      <c r="E12205" s="8">
        <f t="shared" si="202"/>
        <v>2018</v>
      </c>
      <c r="F12205" t="s">
        <v>1996</v>
      </c>
      <c r="G12205" s="9">
        <v>379.8</v>
      </c>
      <c r="H12205" s="8">
        <v>26904</v>
      </c>
    </row>
    <row r="12206" spans="2:8" x14ac:dyDescent="0.4">
      <c r="B12206" t="s">
        <v>7</v>
      </c>
      <c r="C12206" t="s">
        <v>1994</v>
      </c>
      <c r="D12206" s="7">
        <f>DATE(2005,5,28)</f>
        <v>38500</v>
      </c>
      <c r="E12206" s="8">
        <f t="shared" si="202"/>
        <v>2005</v>
      </c>
      <c r="F12206" t="s">
        <v>1996</v>
      </c>
      <c r="G12206" s="9">
        <v>5405.58</v>
      </c>
      <c r="H12206" s="8">
        <v>3239</v>
      </c>
    </row>
    <row r="12207" spans="2:8" x14ac:dyDescent="0.4">
      <c r="B12207" t="s">
        <v>7</v>
      </c>
      <c r="C12207" t="s">
        <v>1994</v>
      </c>
      <c r="D12207" s="7">
        <f>DATE(2005,5,28)</f>
        <v>38500</v>
      </c>
      <c r="E12207" s="8">
        <f t="shared" si="202"/>
        <v>2005</v>
      </c>
      <c r="F12207" t="s">
        <v>1996</v>
      </c>
      <c r="G12207" s="9">
        <v>4866.08</v>
      </c>
      <c r="H12207" s="8">
        <v>3341</v>
      </c>
    </row>
    <row r="12208" spans="2:8" x14ac:dyDescent="0.4">
      <c r="B12208" t="s">
        <v>16</v>
      </c>
      <c r="C12208" t="s">
        <v>1994</v>
      </c>
      <c r="D12208" s="7">
        <f>DATE(2005,5,28)</f>
        <v>38500</v>
      </c>
      <c r="E12208" s="8">
        <f t="shared" si="202"/>
        <v>2005</v>
      </c>
      <c r="F12208" t="s">
        <v>1996</v>
      </c>
      <c r="G12208" s="9">
        <v>5405.58</v>
      </c>
      <c r="H12208" s="8">
        <v>3339</v>
      </c>
    </row>
    <row r="12209" spans="2:8" x14ac:dyDescent="0.4">
      <c r="B12209" s="3" t="s">
        <v>7</v>
      </c>
      <c r="C12209" s="3" t="s">
        <v>1994</v>
      </c>
      <c r="D12209" s="4">
        <f>DATE(2005,5,23)</f>
        <v>38495</v>
      </c>
      <c r="E12209" s="5">
        <f t="shared" si="202"/>
        <v>2005</v>
      </c>
      <c r="F12209" s="3" t="s">
        <v>1996</v>
      </c>
      <c r="G12209" s="6">
        <v>2287</v>
      </c>
      <c r="H12209" s="5">
        <v>4795</v>
      </c>
    </row>
    <row r="12210" spans="2:8" x14ac:dyDescent="0.4">
      <c r="B12210" s="3" t="s">
        <v>7</v>
      </c>
      <c r="C12210" s="3" t="s">
        <v>1994</v>
      </c>
      <c r="D12210" s="4">
        <f>DATE(2007,8,20)</f>
        <v>39314</v>
      </c>
      <c r="E12210" s="5">
        <f t="shared" si="202"/>
        <v>2007</v>
      </c>
      <c r="F12210" s="3" t="s">
        <v>1996</v>
      </c>
      <c r="G12210" s="6">
        <v>1393.9</v>
      </c>
      <c r="H12210" s="5">
        <v>9033</v>
      </c>
    </row>
    <row r="12211" spans="2:8" x14ac:dyDescent="0.4">
      <c r="B12211" s="3" t="s">
        <v>7</v>
      </c>
      <c r="C12211" s="3" t="s">
        <v>1994</v>
      </c>
      <c r="D12211" s="4">
        <f>DATE(2008,5,12)</f>
        <v>39580</v>
      </c>
      <c r="E12211" s="5">
        <f t="shared" si="202"/>
        <v>2008</v>
      </c>
      <c r="F12211" s="3" t="s">
        <v>1996</v>
      </c>
      <c r="G12211" s="6">
        <v>1898.5</v>
      </c>
      <c r="H12211" s="5">
        <v>10647</v>
      </c>
    </row>
    <row r="12212" spans="2:8" x14ac:dyDescent="0.4">
      <c r="B12212" s="3" t="s">
        <v>7</v>
      </c>
      <c r="C12212" s="3" t="s">
        <v>1994</v>
      </c>
      <c r="D12212" s="4">
        <f>DATE(2010,4,8)</f>
        <v>40276</v>
      </c>
      <c r="E12212" s="5">
        <f t="shared" si="202"/>
        <v>2010</v>
      </c>
      <c r="F12212" s="3" t="s">
        <v>1996</v>
      </c>
      <c r="G12212" s="6">
        <v>390.8</v>
      </c>
      <c r="H12212" s="5">
        <v>13853</v>
      </c>
    </row>
    <row r="12213" spans="2:8" x14ac:dyDescent="0.4">
      <c r="B12213" s="3" t="s">
        <v>7</v>
      </c>
      <c r="C12213" s="3" t="s">
        <v>1994</v>
      </c>
      <c r="D12213" s="4">
        <f>DATE(2010,5,21)</f>
        <v>40319</v>
      </c>
      <c r="E12213" s="5">
        <f t="shared" si="202"/>
        <v>2010</v>
      </c>
      <c r="F12213" s="3" t="s">
        <v>1996</v>
      </c>
      <c r="G12213" s="6">
        <v>759.6</v>
      </c>
      <c r="H12213" s="5">
        <v>14053</v>
      </c>
    </row>
    <row r="12214" spans="2:8" x14ac:dyDescent="0.4">
      <c r="B12214" s="3" t="s">
        <v>7</v>
      </c>
      <c r="C12214" s="3" t="s">
        <v>1994</v>
      </c>
      <c r="D12214" s="4">
        <f>DATE(2010,8,23)</f>
        <v>40413</v>
      </c>
      <c r="E12214" s="5">
        <f t="shared" si="202"/>
        <v>2010</v>
      </c>
      <c r="F12214" s="3" t="s">
        <v>1996</v>
      </c>
      <c r="G12214" s="6">
        <v>1259</v>
      </c>
      <c r="H12214" s="5">
        <v>14387</v>
      </c>
    </row>
    <row r="12215" spans="2:8" x14ac:dyDescent="0.4">
      <c r="B12215" s="3" t="s">
        <v>7</v>
      </c>
      <c r="C12215" s="3" t="s">
        <v>1994</v>
      </c>
      <c r="D12215" s="4">
        <f>DATE(2011,1,28)</f>
        <v>40571</v>
      </c>
      <c r="E12215" s="5">
        <f t="shared" si="202"/>
        <v>2011</v>
      </c>
      <c r="F12215" s="3" t="s">
        <v>1996</v>
      </c>
      <c r="G12215" s="6">
        <v>685.32</v>
      </c>
      <c r="H12215" s="5">
        <v>14986</v>
      </c>
    </row>
    <row r="12216" spans="2:8" x14ac:dyDescent="0.4">
      <c r="B12216" t="s">
        <v>7</v>
      </c>
      <c r="C12216" t="s">
        <v>1997</v>
      </c>
      <c r="D12216" s="7">
        <f>DATE(2013,12,13)</f>
        <v>41621</v>
      </c>
      <c r="E12216" s="8">
        <f t="shared" si="202"/>
        <v>2013</v>
      </c>
      <c r="F12216" t="s">
        <v>1998</v>
      </c>
      <c r="G12216" s="9">
        <v>24912</v>
      </c>
      <c r="H12216" s="8">
        <v>12814</v>
      </c>
    </row>
    <row r="12217" spans="2:8" x14ac:dyDescent="0.4">
      <c r="B12217" t="s">
        <v>7</v>
      </c>
      <c r="C12217" t="s">
        <v>1997</v>
      </c>
      <c r="D12217" s="7">
        <f>DATE(2011,7,26)</f>
        <v>40750</v>
      </c>
      <c r="E12217" s="8">
        <f t="shared" si="202"/>
        <v>2011</v>
      </c>
      <c r="F12217" t="s">
        <v>1998</v>
      </c>
      <c r="G12217" s="9">
        <v>6909.68</v>
      </c>
      <c r="H12217" s="8">
        <v>10883</v>
      </c>
    </row>
    <row r="12218" spans="2:8" x14ac:dyDescent="0.4">
      <c r="B12218" s="3" t="s">
        <v>7</v>
      </c>
      <c r="C12218" s="3" t="s">
        <v>1999</v>
      </c>
      <c r="D12218" s="4">
        <f>DATE(2004,11,4)</f>
        <v>38295</v>
      </c>
      <c r="E12218" s="5">
        <f t="shared" si="202"/>
        <v>2004</v>
      </c>
      <c r="F12218" s="3" t="s">
        <v>2000</v>
      </c>
      <c r="G12218" s="6">
        <v>41</v>
      </c>
      <c r="H12218" s="5">
        <v>3669</v>
      </c>
    </row>
    <row r="12219" spans="2:8" x14ac:dyDescent="0.4">
      <c r="B12219" s="3" t="s">
        <v>7</v>
      </c>
      <c r="C12219" s="3" t="s">
        <v>1999</v>
      </c>
      <c r="D12219" s="4">
        <f>DATE(2005,11,30)</f>
        <v>38686</v>
      </c>
      <c r="E12219" s="5">
        <f t="shared" si="202"/>
        <v>2005</v>
      </c>
      <c r="F12219" s="3" t="s">
        <v>2000</v>
      </c>
      <c r="G12219" s="6">
        <v>45</v>
      </c>
      <c r="H12219" s="5">
        <v>5652</v>
      </c>
    </row>
    <row r="12220" spans="2:8" x14ac:dyDescent="0.4">
      <c r="B12220" t="s">
        <v>7</v>
      </c>
      <c r="C12220" t="s">
        <v>1999</v>
      </c>
      <c r="D12220" s="7">
        <f>DATE(2017,3,28)</f>
        <v>42822</v>
      </c>
      <c r="E12220" s="8">
        <f t="shared" si="202"/>
        <v>2017</v>
      </c>
      <c r="F12220" t="s">
        <v>2001</v>
      </c>
      <c r="G12220" s="9">
        <v>116.6</v>
      </c>
      <c r="H12220" s="8">
        <v>24603</v>
      </c>
    </row>
    <row r="12221" spans="2:8" x14ac:dyDescent="0.4">
      <c r="B12221" t="s">
        <v>7</v>
      </c>
      <c r="C12221" t="s">
        <v>1999</v>
      </c>
      <c r="D12221" s="7">
        <f>DATE(2017,6,19)</f>
        <v>42905</v>
      </c>
      <c r="E12221" s="8">
        <f t="shared" si="202"/>
        <v>2017</v>
      </c>
      <c r="F12221" t="s">
        <v>2001</v>
      </c>
      <c r="G12221" s="9">
        <v>223.2</v>
      </c>
      <c r="H12221" s="8">
        <v>25120</v>
      </c>
    </row>
    <row r="12222" spans="2:8" x14ac:dyDescent="0.4">
      <c r="B12222" t="s">
        <v>7</v>
      </c>
      <c r="C12222" t="s">
        <v>1999</v>
      </c>
      <c r="D12222" s="7">
        <f>DATE(2012,2,28)</f>
        <v>40967</v>
      </c>
      <c r="E12222" s="8">
        <f t="shared" si="202"/>
        <v>2012</v>
      </c>
      <c r="F12222" t="s">
        <v>2001</v>
      </c>
      <c r="G12222" s="9">
        <v>75733.38</v>
      </c>
      <c r="H12222" s="8">
        <v>11268</v>
      </c>
    </row>
    <row r="12223" spans="2:8" x14ac:dyDescent="0.4">
      <c r="B12223" t="s">
        <v>7</v>
      </c>
      <c r="C12223" t="s">
        <v>2002</v>
      </c>
      <c r="D12223" s="7">
        <f>DATE(2005,3,29)</f>
        <v>38440</v>
      </c>
      <c r="E12223" s="8">
        <f t="shared" si="202"/>
        <v>2005</v>
      </c>
      <c r="F12223" t="s">
        <v>2003</v>
      </c>
      <c r="G12223" s="9">
        <v>975</v>
      </c>
      <c r="H12223" s="8">
        <v>3011</v>
      </c>
    </row>
    <row r="12224" spans="2:8" x14ac:dyDescent="0.4">
      <c r="B12224" t="s">
        <v>7</v>
      </c>
      <c r="C12224" t="s">
        <v>2002</v>
      </c>
      <c r="D12224" s="7">
        <f>DATE(2006,1,30)</f>
        <v>38747</v>
      </c>
      <c r="E12224" s="8">
        <f t="shared" si="202"/>
        <v>2006</v>
      </c>
      <c r="F12224" t="s">
        <v>2003</v>
      </c>
      <c r="G12224" s="9">
        <v>77</v>
      </c>
      <c r="H12224" s="8">
        <v>4046</v>
      </c>
    </row>
    <row r="12225" spans="2:8" x14ac:dyDescent="0.4">
      <c r="B12225" t="s">
        <v>7</v>
      </c>
      <c r="C12225" t="s">
        <v>2002</v>
      </c>
      <c r="D12225" s="7">
        <f>DATE(2006,5,2)</f>
        <v>38839</v>
      </c>
      <c r="E12225" s="8">
        <f t="shared" si="202"/>
        <v>2006</v>
      </c>
      <c r="F12225" t="s">
        <v>2003</v>
      </c>
      <c r="G12225" s="9">
        <v>1538</v>
      </c>
      <c r="H12225" s="8">
        <v>4549</v>
      </c>
    </row>
    <row r="12226" spans="2:8" x14ac:dyDescent="0.4">
      <c r="B12226" t="s">
        <v>7</v>
      </c>
      <c r="C12226" t="s">
        <v>2002</v>
      </c>
      <c r="D12226" s="7">
        <f>DATE(2006,5,22)</f>
        <v>38859</v>
      </c>
      <c r="E12226" s="8">
        <f t="shared" si="202"/>
        <v>2006</v>
      </c>
      <c r="F12226" t="s">
        <v>2003</v>
      </c>
      <c r="G12226" s="9">
        <v>385</v>
      </c>
      <c r="H12226" s="8">
        <v>4638</v>
      </c>
    </row>
    <row r="12227" spans="2:8" x14ac:dyDescent="0.4">
      <c r="B12227" t="s">
        <v>7</v>
      </c>
      <c r="C12227" t="s">
        <v>2002</v>
      </c>
      <c r="D12227" s="7">
        <f>DATE(2007,3,1)</f>
        <v>39142</v>
      </c>
      <c r="E12227" s="8">
        <f t="shared" ref="E12227:E12290" si="203">YEAR(D12227)</f>
        <v>2007</v>
      </c>
      <c r="F12227" t="s">
        <v>2003</v>
      </c>
      <c r="G12227" s="9">
        <v>638.04</v>
      </c>
      <c r="H12227" s="8">
        <v>5648</v>
      </c>
    </row>
    <row r="12228" spans="2:8" x14ac:dyDescent="0.4">
      <c r="B12228" t="s">
        <v>7</v>
      </c>
      <c r="C12228" t="s">
        <v>2002</v>
      </c>
      <c r="D12228" s="7">
        <f>DATE(2007,4,20)</f>
        <v>39192</v>
      </c>
      <c r="E12228" s="8">
        <f t="shared" si="203"/>
        <v>2007</v>
      </c>
      <c r="F12228" t="s">
        <v>2003</v>
      </c>
      <c r="G12228" s="9">
        <v>709</v>
      </c>
      <c r="H12228" s="8">
        <v>5894</v>
      </c>
    </row>
    <row r="12229" spans="2:8" x14ac:dyDescent="0.4">
      <c r="B12229" t="s">
        <v>7</v>
      </c>
      <c r="C12229" t="s">
        <v>2002</v>
      </c>
      <c r="D12229" s="7">
        <f>DATE(2008,1,25)</f>
        <v>39472</v>
      </c>
      <c r="E12229" s="8">
        <f t="shared" si="203"/>
        <v>2008</v>
      </c>
      <c r="F12229" t="s">
        <v>2003</v>
      </c>
      <c r="G12229" s="9">
        <v>809</v>
      </c>
      <c r="H12229" s="8">
        <v>6872</v>
      </c>
    </row>
    <row r="12230" spans="2:8" x14ac:dyDescent="0.4">
      <c r="B12230" t="s">
        <v>7</v>
      </c>
      <c r="C12230" t="s">
        <v>2002</v>
      </c>
      <c r="D12230" s="7">
        <f>DATE(2005,4,4)</f>
        <v>38446</v>
      </c>
      <c r="E12230" s="8">
        <f t="shared" si="203"/>
        <v>2005</v>
      </c>
      <c r="F12230" t="s">
        <v>2003</v>
      </c>
      <c r="G12230" s="9">
        <v>13107.41</v>
      </c>
      <c r="H12230" s="8">
        <v>3018</v>
      </c>
    </row>
    <row r="12231" spans="2:8" x14ac:dyDescent="0.4">
      <c r="B12231" t="s">
        <v>7</v>
      </c>
      <c r="C12231" t="s">
        <v>2002</v>
      </c>
      <c r="D12231" s="7">
        <f>DATE(2005,5,30)</f>
        <v>38502</v>
      </c>
      <c r="E12231" s="8">
        <f t="shared" si="203"/>
        <v>2005</v>
      </c>
      <c r="F12231" t="s">
        <v>2003</v>
      </c>
      <c r="G12231" s="9">
        <v>17510.2</v>
      </c>
      <c r="H12231" s="8">
        <v>3238</v>
      </c>
    </row>
    <row r="12232" spans="2:8" x14ac:dyDescent="0.4">
      <c r="B12232" t="s">
        <v>7</v>
      </c>
      <c r="C12232" t="s">
        <v>2002</v>
      </c>
      <c r="D12232" s="7">
        <f>DATE(2007,2,1)</f>
        <v>39114</v>
      </c>
      <c r="E12232" s="8">
        <f t="shared" si="203"/>
        <v>2007</v>
      </c>
      <c r="F12232" t="s">
        <v>2003</v>
      </c>
      <c r="G12232" s="9">
        <v>1800</v>
      </c>
      <c r="H12232" s="8">
        <v>5494</v>
      </c>
    </row>
    <row r="12233" spans="2:8" x14ac:dyDescent="0.4">
      <c r="B12233" t="s">
        <v>7</v>
      </c>
      <c r="C12233" t="s">
        <v>2002</v>
      </c>
      <c r="D12233" s="7">
        <f>DATE(2007,3,29)</f>
        <v>39170</v>
      </c>
      <c r="E12233" s="8">
        <f t="shared" si="203"/>
        <v>2007</v>
      </c>
      <c r="F12233" t="s">
        <v>2003</v>
      </c>
      <c r="G12233" s="9">
        <v>720.2</v>
      </c>
      <c r="H12233" s="8">
        <v>5654</v>
      </c>
    </row>
    <row r="12234" spans="2:8" x14ac:dyDescent="0.4">
      <c r="B12234" s="3" t="s">
        <v>7</v>
      </c>
      <c r="C12234" s="3" t="s">
        <v>2002</v>
      </c>
      <c r="D12234" s="4">
        <f>DATE(2006,3,9)</f>
        <v>38785</v>
      </c>
      <c r="E12234" s="5">
        <f t="shared" si="203"/>
        <v>2006</v>
      </c>
      <c r="F12234" s="3" t="s">
        <v>2003</v>
      </c>
      <c r="G12234" s="6">
        <v>602.41999999999996</v>
      </c>
      <c r="H12234" s="5">
        <v>6235</v>
      </c>
    </row>
    <row r="12235" spans="2:8" x14ac:dyDescent="0.4">
      <c r="B12235" s="3" t="s">
        <v>7</v>
      </c>
      <c r="C12235" s="3" t="s">
        <v>2002</v>
      </c>
      <c r="D12235" s="4">
        <f>DATE(2006,3,27)</f>
        <v>38803</v>
      </c>
      <c r="E12235" s="5">
        <f t="shared" si="203"/>
        <v>2006</v>
      </c>
      <c r="F12235" s="3" t="s">
        <v>2003</v>
      </c>
      <c r="G12235" s="6">
        <v>445.93</v>
      </c>
      <c r="H12235" s="5">
        <v>6235</v>
      </c>
    </row>
    <row r="12236" spans="2:8" x14ac:dyDescent="0.4">
      <c r="B12236" t="s">
        <v>7</v>
      </c>
      <c r="C12236" t="s">
        <v>2002</v>
      </c>
      <c r="D12236" s="7">
        <f>DATE(2015,3,6)</f>
        <v>42069</v>
      </c>
      <c r="E12236" s="8">
        <f t="shared" si="203"/>
        <v>2015</v>
      </c>
      <c r="F12236" t="s">
        <v>2004</v>
      </c>
      <c r="G12236" s="9">
        <v>244655.53</v>
      </c>
      <c r="H12236" s="8">
        <v>65</v>
      </c>
    </row>
    <row r="12237" spans="2:8" x14ac:dyDescent="0.4">
      <c r="B12237" t="s">
        <v>7</v>
      </c>
      <c r="C12237" t="s">
        <v>2002</v>
      </c>
      <c r="D12237" s="7">
        <f>DATE(2016,3,29)</f>
        <v>42458</v>
      </c>
      <c r="E12237" s="8">
        <f t="shared" si="203"/>
        <v>2016</v>
      </c>
      <c r="F12237" t="s">
        <v>2004</v>
      </c>
      <c r="G12237" s="9">
        <v>246944.94</v>
      </c>
      <c r="H12237" s="8">
        <v>21677</v>
      </c>
    </row>
    <row r="12238" spans="2:8" x14ac:dyDescent="0.4">
      <c r="B12238" t="s">
        <v>7</v>
      </c>
      <c r="C12238" t="s">
        <v>2002</v>
      </c>
      <c r="D12238" s="7">
        <f>DATE(2017,2,28)</f>
        <v>42794</v>
      </c>
      <c r="E12238" s="8">
        <f t="shared" si="203"/>
        <v>2017</v>
      </c>
      <c r="F12238" t="s">
        <v>2004</v>
      </c>
      <c r="G12238" s="9">
        <v>203018.65</v>
      </c>
      <c r="H12238" s="8">
        <v>23938</v>
      </c>
    </row>
    <row r="12239" spans="2:8" x14ac:dyDescent="0.4">
      <c r="B12239" t="s">
        <v>7</v>
      </c>
      <c r="C12239" t="s">
        <v>2002</v>
      </c>
      <c r="D12239" s="7">
        <f>DATE(2018,2,16)</f>
        <v>43147</v>
      </c>
      <c r="E12239" s="8">
        <f t="shared" si="203"/>
        <v>2018</v>
      </c>
      <c r="F12239" t="s">
        <v>2004</v>
      </c>
      <c r="G12239" s="9">
        <v>265439.65000000002</v>
      </c>
      <c r="H12239" s="8">
        <v>26195</v>
      </c>
    </row>
    <row r="12240" spans="2:8" x14ac:dyDescent="0.4">
      <c r="B12240" t="s">
        <v>7</v>
      </c>
      <c r="C12240" t="s">
        <v>2002</v>
      </c>
      <c r="D12240" s="7">
        <f>DATE(2019,2,26)</f>
        <v>43522</v>
      </c>
      <c r="E12240" s="8">
        <f t="shared" si="203"/>
        <v>2019</v>
      </c>
      <c r="F12240" t="s">
        <v>2004</v>
      </c>
      <c r="G12240" s="9">
        <v>306327.5</v>
      </c>
      <c r="H12240" s="8">
        <v>27592</v>
      </c>
    </row>
    <row r="12241" spans="2:8" x14ac:dyDescent="0.4">
      <c r="B12241" t="s">
        <v>7</v>
      </c>
      <c r="C12241" t="s">
        <v>2002</v>
      </c>
      <c r="D12241" s="7">
        <f>DATE(2018,5,16)</f>
        <v>43236</v>
      </c>
      <c r="E12241" s="8">
        <f t="shared" si="203"/>
        <v>2018</v>
      </c>
      <c r="F12241" t="s">
        <v>2004</v>
      </c>
      <c r="G12241" s="9">
        <v>18355.79</v>
      </c>
      <c r="H12241" s="8">
        <v>27010</v>
      </c>
    </row>
    <row r="12242" spans="2:8" x14ac:dyDescent="0.4">
      <c r="B12242" t="s">
        <v>16</v>
      </c>
      <c r="C12242" t="s">
        <v>2002</v>
      </c>
      <c r="D12242" s="7">
        <f>DATE(2019,2,28)</f>
        <v>43524</v>
      </c>
      <c r="E12242" s="8">
        <f t="shared" si="203"/>
        <v>2019</v>
      </c>
      <c r="F12242" t="s">
        <v>2004</v>
      </c>
      <c r="G12242" s="9">
        <v>21327.5</v>
      </c>
      <c r="H12242" s="8">
        <v>28537</v>
      </c>
    </row>
    <row r="12243" spans="2:8" x14ac:dyDescent="0.4">
      <c r="B12243" t="s">
        <v>7</v>
      </c>
      <c r="C12243" t="s">
        <v>2002</v>
      </c>
      <c r="D12243" s="7">
        <f>DATE(2009,3,4)</f>
        <v>39876</v>
      </c>
      <c r="E12243" s="8">
        <f t="shared" si="203"/>
        <v>2009</v>
      </c>
      <c r="F12243" t="s">
        <v>2004</v>
      </c>
      <c r="G12243" s="9">
        <v>909</v>
      </c>
      <c r="H12243" s="8">
        <v>8430</v>
      </c>
    </row>
    <row r="12244" spans="2:8" x14ac:dyDescent="0.4">
      <c r="B12244" t="s">
        <v>7</v>
      </c>
      <c r="C12244" t="s">
        <v>2002</v>
      </c>
      <c r="D12244" s="7">
        <f>DATE(2010,1,4)</f>
        <v>40182</v>
      </c>
      <c r="E12244" s="8">
        <f t="shared" si="203"/>
        <v>2010</v>
      </c>
      <c r="F12244" t="s">
        <v>2004</v>
      </c>
      <c r="G12244" s="9">
        <v>909</v>
      </c>
      <c r="H12244" s="8">
        <v>9330</v>
      </c>
    </row>
    <row r="12245" spans="2:8" x14ac:dyDescent="0.4">
      <c r="B12245" t="s">
        <v>7</v>
      </c>
      <c r="C12245" t="s">
        <v>2002</v>
      </c>
      <c r="D12245" s="7">
        <f>DATE(2010,3,10)</f>
        <v>40247</v>
      </c>
      <c r="E12245" s="8">
        <f t="shared" si="203"/>
        <v>2010</v>
      </c>
      <c r="F12245" t="s">
        <v>2004</v>
      </c>
      <c r="G12245" s="9">
        <v>1712</v>
      </c>
      <c r="H12245" s="8">
        <v>9617</v>
      </c>
    </row>
    <row r="12246" spans="2:8" x14ac:dyDescent="0.4">
      <c r="B12246" t="s">
        <v>7</v>
      </c>
      <c r="C12246" t="s">
        <v>2002</v>
      </c>
      <c r="D12246" s="7">
        <f>DATE(2010,12,1)</f>
        <v>40513</v>
      </c>
      <c r="E12246" s="8">
        <f t="shared" si="203"/>
        <v>2010</v>
      </c>
      <c r="F12246" t="s">
        <v>2004</v>
      </c>
      <c r="G12246" s="9">
        <v>908.78</v>
      </c>
      <c r="H12246" s="8">
        <v>10290</v>
      </c>
    </row>
    <row r="12247" spans="2:8" x14ac:dyDescent="0.4">
      <c r="B12247" t="s">
        <v>7</v>
      </c>
      <c r="C12247" t="s">
        <v>2002</v>
      </c>
      <c r="D12247" s="7">
        <f>DATE(2012,4,2)</f>
        <v>41001</v>
      </c>
      <c r="E12247" s="8">
        <f t="shared" si="203"/>
        <v>2012</v>
      </c>
      <c r="F12247" t="s">
        <v>2004</v>
      </c>
      <c r="G12247" s="9">
        <v>1716</v>
      </c>
      <c r="H12247" s="8">
        <v>11517</v>
      </c>
    </row>
    <row r="12248" spans="2:8" x14ac:dyDescent="0.4">
      <c r="B12248" t="s">
        <v>7</v>
      </c>
      <c r="C12248" t="s">
        <v>2002</v>
      </c>
      <c r="D12248" s="7">
        <f>DATE(2012,12,7)</f>
        <v>41250</v>
      </c>
      <c r="E12248" s="8">
        <f t="shared" si="203"/>
        <v>2012</v>
      </c>
      <c r="F12248" t="s">
        <v>2004</v>
      </c>
      <c r="G12248" s="9">
        <v>1800</v>
      </c>
      <c r="H12248" s="8">
        <v>11972</v>
      </c>
    </row>
    <row r="12249" spans="2:8" x14ac:dyDescent="0.4">
      <c r="B12249" t="s">
        <v>7</v>
      </c>
      <c r="C12249" t="s">
        <v>2002</v>
      </c>
      <c r="D12249" s="7">
        <f>DATE(2014,3,7)</f>
        <v>41705</v>
      </c>
      <c r="E12249" s="8">
        <f t="shared" si="203"/>
        <v>2014</v>
      </c>
      <c r="F12249" t="s">
        <v>2004</v>
      </c>
      <c r="G12249" s="9">
        <v>1800</v>
      </c>
      <c r="H12249" s="8">
        <v>13044</v>
      </c>
    </row>
    <row r="12250" spans="2:8" x14ac:dyDescent="0.4">
      <c r="B12250" t="s">
        <v>7</v>
      </c>
      <c r="C12250" t="s">
        <v>2002</v>
      </c>
      <c r="D12250" s="7">
        <f>DATE(2013,3,8)</f>
        <v>41341</v>
      </c>
      <c r="E12250" s="8">
        <f t="shared" si="203"/>
        <v>2013</v>
      </c>
      <c r="F12250" t="s">
        <v>2004</v>
      </c>
      <c r="G12250" s="9">
        <v>110758.41</v>
      </c>
      <c r="H12250" s="8">
        <v>12074</v>
      </c>
    </row>
    <row r="12251" spans="2:8" x14ac:dyDescent="0.4">
      <c r="B12251" t="s">
        <v>7</v>
      </c>
      <c r="C12251" t="s">
        <v>2002</v>
      </c>
      <c r="D12251" s="7">
        <f>DATE(2013,3,14)</f>
        <v>41347</v>
      </c>
      <c r="E12251" s="8">
        <f t="shared" si="203"/>
        <v>2013</v>
      </c>
      <c r="F12251" t="s">
        <v>2004</v>
      </c>
      <c r="G12251" s="9">
        <v>109550.7</v>
      </c>
      <c r="H12251" s="8">
        <v>12306</v>
      </c>
    </row>
    <row r="12252" spans="2:8" x14ac:dyDescent="0.4">
      <c r="B12252" t="s">
        <v>7</v>
      </c>
      <c r="C12252" t="s">
        <v>2002</v>
      </c>
      <c r="D12252" s="7">
        <f>DATE(2013,3,14)</f>
        <v>41347</v>
      </c>
      <c r="E12252" s="8">
        <f t="shared" si="203"/>
        <v>2013</v>
      </c>
      <c r="F12252" t="s">
        <v>2004</v>
      </c>
      <c r="G12252" s="9">
        <v>109251.44</v>
      </c>
      <c r="H12252" s="8">
        <v>12384</v>
      </c>
    </row>
    <row r="12253" spans="2:8" x14ac:dyDescent="0.4">
      <c r="B12253" t="s">
        <v>7</v>
      </c>
      <c r="C12253" t="s">
        <v>2002</v>
      </c>
      <c r="D12253" s="7">
        <f>DATE(2014,3,6)</f>
        <v>41704</v>
      </c>
      <c r="E12253" s="8">
        <f t="shared" si="203"/>
        <v>2014</v>
      </c>
      <c r="F12253" t="s">
        <v>2004</v>
      </c>
      <c r="G12253" s="9">
        <v>134894.45000000001</v>
      </c>
      <c r="H12253" s="8">
        <v>12835</v>
      </c>
    </row>
    <row r="12254" spans="2:8" x14ac:dyDescent="0.4">
      <c r="B12254" t="s">
        <v>16</v>
      </c>
      <c r="C12254" t="s">
        <v>2002</v>
      </c>
      <c r="D12254" s="7">
        <f>DATE(2013,3,8)</f>
        <v>41341</v>
      </c>
      <c r="E12254" s="8">
        <f t="shared" si="203"/>
        <v>2013</v>
      </c>
      <c r="F12254" t="s">
        <v>2004</v>
      </c>
      <c r="G12254" s="9">
        <v>110758.41</v>
      </c>
      <c r="H12254" s="8">
        <v>12307</v>
      </c>
    </row>
    <row r="12255" spans="2:8" x14ac:dyDescent="0.4">
      <c r="B12255" t="s">
        <v>16</v>
      </c>
      <c r="C12255" t="s">
        <v>2002</v>
      </c>
      <c r="D12255" s="7">
        <f>DATE(2013,3,14)</f>
        <v>41347</v>
      </c>
      <c r="E12255" s="8">
        <f t="shared" si="203"/>
        <v>2013</v>
      </c>
      <c r="F12255" t="s">
        <v>2004</v>
      </c>
      <c r="G12255" s="9">
        <v>109550.7</v>
      </c>
      <c r="H12255" s="8">
        <v>12385</v>
      </c>
    </row>
    <row r="12256" spans="2:8" x14ac:dyDescent="0.4">
      <c r="B12256" t="s">
        <v>7</v>
      </c>
      <c r="C12256" t="s">
        <v>2002</v>
      </c>
      <c r="D12256" s="7">
        <f>DATE(2003,2,27)</f>
        <v>37679</v>
      </c>
      <c r="E12256" s="8">
        <f t="shared" si="203"/>
        <v>2003</v>
      </c>
      <c r="F12256" t="s">
        <v>2005</v>
      </c>
      <c r="G12256" s="9">
        <v>12494.23</v>
      </c>
      <c r="H12256" s="8">
        <v>243</v>
      </c>
    </row>
    <row r="12257" spans="2:8" x14ac:dyDescent="0.4">
      <c r="B12257" t="s">
        <v>7</v>
      </c>
      <c r="C12257" t="s">
        <v>2002</v>
      </c>
      <c r="D12257" s="7">
        <f>DATE(2003,4,17)</f>
        <v>37728</v>
      </c>
      <c r="E12257" s="8">
        <f t="shared" si="203"/>
        <v>2003</v>
      </c>
      <c r="F12257" t="s">
        <v>2005</v>
      </c>
      <c r="G12257" s="9">
        <v>395.53</v>
      </c>
      <c r="H12257" s="8">
        <v>510</v>
      </c>
    </row>
    <row r="12258" spans="2:8" x14ac:dyDescent="0.4">
      <c r="B12258" s="3" t="s">
        <v>7</v>
      </c>
      <c r="C12258" s="3" t="s">
        <v>2002</v>
      </c>
      <c r="D12258" s="4">
        <f>DATE(2003,2,25)</f>
        <v>37677</v>
      </c>
      <c r="E12258" s="5">
        <f t="shared" si="203"/>
        <v>2003</v>
      </c>
      <c r="F12258" s="3" t="s">
        <v>2005</v>
      </c>
      <c r="G12258" s="6">
        <v>256</v>
      </c>
      <c r="H12258" s="5">
        <v>324</v>
      </c>
    </row>
    <row r="12259" spans="2:8" x14ac:dyDescent="0.4">
      <c r="B12259" s="3" t="s">
        <v>7</v>
      </c>
      <c r="C12259" s="3" t="s">
        <v>2002</v>
      </c>
      <c r="D12259" s="4">
        <f>DATE(2003,5,13)</f>
        <v>37754</v>
      </c>
      <c r="E12259" s="5">
        <f t="shared" si="203"/>
        <v>2003</v>
      </c>
      <c r="F12259" s="3" t="s">
        <v>2005</v>
      </c>
      <c r="G12259" s="6">
        <v>76</v>
      </c>
      <c r="H12259" s="5">
        <v>955</v>
      </c>
    </row>
    <row r="12260" spans="2:8" x14ac:dyDescent="0.4">
      <c r="B12260" s="3" t="s">
        <v>7</v>
      </c>
      <c r="C12260" s="3" t="s">
        <v>2002</v>
      </c>
      <c r="D12260" s="4">
        <f>DATE(2004,11,1)</f>
        <v>38292</v>
      </c>
      <c r="E12260" s="5">
        <f t="shared" si="203"/>
        <v>2004</v>
      </c>
      <c r="F12260" s="3" t="s">
        <v>2005</v>
      </c>
      <c r="G12260" s="6">
        <v>114</v>
      </c>
      <c r="H12260" s="5">
        <v>3633</v>
      </c>
    </row>
    <row r="12261" spans="2:8" x14ac:dyDescent="0.4">
      <c r="B12261" s="3" t="s">
        <v>16</v>
      </c>
      <c r="C12261" s="3" t="s">
        <v>2002</v>
      </c>
      <c r="D12261" s="4">
        <f>DATE(2003,2,24)</f>
        <v>37676</v>
      </c>
      <c r="E12261" s="5">
        <f t="shared" si="203"/>
        <v>2003</v>
      </c>
      <c r="F12261" s="3" t="s">
        <v>2005</v>
      </c>
      <c r="G12261" s="6">
        <v>256</v>
      </c>
      <c r="H12261" s="5">
        <v>1159</v>
      </c>
    </row>
    <row r="12262" spans="2:8" x14ac:dyDescent="0.4">
      <c r="B12262" t="s">
        <v>7</v>
      </c>
      <c r="C12262" t="s">
        <v>2006</v>
      </c>
      <c r="D12262" s="7">
        <f>DATE(2003,4,19)</f>
        <v>37730</v>
      </c>
      <c r="E12262" s="8">
        <f t="shared" si="203"/>
        <v>2003</v>
      </c>
      <c r="F12262" t="s">
        <v>2007</v>
      </c>
      <c r="G12262" s="9">
        <v>3257</v>
      </c>
      <c r="H12262" s="8">
        <v>514</v>
      </c>
    </row>
    <row r="12263" spans="2:8" x14ac:dyDescent="0.4">
      <c r="B12263" t="s">
        <v>7</v>
      </c>
      <c r="C12263" t="s">
        <v>2006</v>
      </c>
      <c r="D12263" s="7">
        <f>DATE(2004,7,26)</f>
        <v>38194</v>
      </c>
      <c r="E12263" s="8">
        <f t="shared" si="203"/>
        <v>2004</v>
      </c>
      <c r="F12263" t="s">
        <v>2007</v>
      </c>
      <c r="G12263" s="9">
        <v>4489.8100000000004</v>
      </c>
      <c r="H12263" s="8">
        <v>2010</v>
      </c>
    </row>
    <row r="12264" spans="2:8" x14ac:dyDescent="0.4">
      <c r="B12264" s="3" t="s">
        <v>7</v>
      </c>
      <c r="C12264" s="3" t="s">
        <v>2006</v>
      </c>
      <c r="D12264" s="4">
        <f>DATE(2010,12,15)</f>
        <v>40527</v>
      </c>
      <c r="E12264" s="5">
        <f t="shared" si="203"/>
        <v>2010</v>
      </c>
      <c r="F12264" s="3" t="s">
        <v>2007</v>
      </c>
      <c r="G12264" s="6">
        <v>629.5</v>
      </c>
      <c r="H12264" s="5">
        <v>14827</v>
      </c>
    </row>
    <row r="12265" spans="2:8" x14ac:dyDescent="0.4">
      <c r="B12265" s="3" t="s">
        <v>7</v>
      </c>
      <c r="C12265" s="3" t="s">
        <v>2006</v>
      </c>
      <c r="D12265" s="4">
        <f>DATE(2011,3,14)</f>
        <v>40616</v>
      </c>
      <c r="E12265" s="5">
        <f t="shared" si="203"/>
        <v>2011</v>
      </c>
      <c r="F12265" s="3" t="s">
        <v>2007</v>
      </c>
      <c r="G12265" s="6">
        <v>629.5</v>
      </c>
      <c r="H12265" s="5">
        <v>15224</v>
      </c>
    </row>
    <row r="12266" spans="2:8" x14ac:dyDescent="0.4">
      <c r="B12266" s="3" t="s">
        <v>7</v>
      </c>
      <c r="C12266" s="3" t="s">
        <v>2008</v>
      </c>
      <c r="D12266" s="4">
        <f>DATE(2004,7,12)</f>
        <v>38180</v>
      </c>
      <c r="E12266" s="5">
        <f t="shared" si="203"/>
        <v>2004</v>
      </c>
      <c r="F12266" s="3" t="s">
        <v>2009</v>
      </c>
      <c r="G12266" s="6">
        <v>35</v>
      </c>
      <c r="H12266" s="5">
        <v>3095</v>
      </c>
    </row>
    <row r="12267" spans="2:8" x14ac:dyDescent="0.4">
      <c r="B12267" s="3" t="s">
        <v>7</v>
      </c>
      <c r="C12267" s="3" t="s">
        <v>2008</v>
      </c>
      <c r="D12267" s="4">
        <f>DATE(2004,8,9)</f>
        <v>38208</v>
      </c>
      <c r="E12267" s="5">
        <f t="shared" si="203"/>
        <v>2004</v>
      </c>
      <c r="F12267" s="3" t="s">
        <v>2009</v>
      </c>
      <c r="G12267" s="6">
        <v>35</v>
      </c>
      <c r="H12267" s="5">
        <v>3183</v>
      </c>
    </row>
    <row r="12268" spans="2:8" x14ac:dyDescent="0.4">
      <c r="B12268" t="s">
        <v>7</v>
      </c>
      <c r="C12268" t="s">
        <v>2010</v>
      </c>
      <c r="D12268" s="7">
        <f>DATE(2009,10,31)</f>
        <v>40117</v>
      </c>
      <c r="E12268" s="8">
        <f t="shared" si="203"/>
        <v>2009</v>
      </c>
      <c r="F12268" t="s">
        <v>2011</v>
      </c>
      <c r="G12268" s="9">
        <v>29221.3</v>
      </c>
      <c r="H12268" s="8">
        <v>9177</v>
      </c>
    </row>
    <row r="12269" spans="2:8" x14ac:dyDescent="0.4">
      <c r="B12269" t="s">
        <v>7</v>
      </c>
      <c r="C12269" t="s">
        <v>2010</v>
      </c>
      <c r="D12269" s="7">
        <f>DATE(2009,10,31)</f>
        <v>40117</v>
      </c>
      <c r="E12269" s="8">
        <f t="shared" si="203"/>
        <v>2009</v>
      </c>
      <c r="F12269" t="s">
        <v>2011</v>
      </c>
      <c r="G12269" s="9">
        <v>8107.43</v>
      </c>
      <c r="H12269" s="8">
        <v>9178</v>
      </c>
    </row>
    <row r="12270" spans="2:8" x14ac:dyDescent="0.4">
      <c r="B12270" t="s">
        <v>7</v>
      </c>
      <c r="C12270" t="s">
        <v>2010</v>
      </c>
      <c r="D12270" s="7">
        <f>DATE(2011,4,27)</f>
        <v>40660</v>
      </c>
      <c r="E12270" s="8">
        <f t="shared" si="203"/>
        <v>2011</v>
      </c>
      <c r="F12270" t="s">
        <v>2011</v>
      </c>
      <c r="G12270" s="9">
        <v>93137.17</v>
      </c>
      <c r="H12270" s="8">
        <v>10491</v>
      </c>
    </row>
    <row r="12271" spans="2:8" x14ac:dyDescent="0.4">
      <c r="B12271" t="s">
        <v>7</v>
      </c>
      <c r="C12271" t="s">
        <v>2010</v>
      </c>
      <c r="D12271" s="7">
        <f>DATE(2010,7,12)</f>
        <v>40371</v>
      </c>
      <c r="E12271" s="8">
        <f t="shared" si="203"/>
        <v>2010</v>
      </c>
      <c r="F12271" t="s">
        <v>2011</v>
      </c>
      <c r="G12271" s="9">
        <v>17301.98</v>
      </c>
      <c r="H12271" s="8">
        <v>9932</v>
      </c>
    </row>
    <row r="12272" spans="2:8" x14ac:dyDescent="0.4">
      <c r="B12272" s="3" t="s">
        <v>7</v>
      </c>
      <c r="C12272" s="3" t="s">
        <v>2012</v>
      </c>
      <c r="D12272" s="4">
        <f>DATE(2012,9,26)</f>
        <v>41178</v>
      </c>
      <c r="E12272" s="5">
        <f t="shared" si="203"/>
        <v>2012</v>
      </c>
      <c r="F12272" s="3" t="s">
        <v>2013</v>
      </c>
      <c r="G12272" s="6">
        <v>19858.439999999999</v>
      </c>
      <c r="H12272" s="5">
        <v>5207</v>
      </c>
    </row>
    <row r="12273" spans="2:8" x14ac:dyDescent="0.4">
      <c r="B12273" s="3" t="s">
        <v>7</v>
      </c>
      <c r="C12273" s="3" t="s">
        <v>2014</v>
      </c>
      <c r="D12273" s="4">
        <f>DATE(2007,8,8)</f>
        <v>39302</v>
      </c>
      <c r="E12273" s="5">
        <f t="shared" si="203"/>
        <v>2007</v>
      </c>
      <c r="F12273" s="3" t="s">
        <v>2015</v>
      </c>
      <c r="G12273" s="6">
        <v>1198.71</v>
      </c>
      <c r="H12273" s="5">
        <v>8998</v>
      </c>
    </row>
    <row r="12274" spans="2:8" x14ac:dyDescent="0.4">
      <c r="B12274" s="3" t="s">
        <v>7</v>
      </c>
      <c r="C12274" s="3" t="s">
        <v>2014</v>
      </c>
      <c r="D12274" s="4">
        <f>DATE(2011,9,22)</f>
        <v>40808</v>
      </c>
      <c r="E12274" s="5">
        <f t="shared" si="203"/>
        <v>2011</v>
      </c>
      <c r="F12274" s="3" t="s">
        <v>2015</v>
      </c>
      <c r="G12274" s="6">
        <v>97.22</v>
      </c>
      <c r="H12274" s="5">
        <v>15796</v>
      </c>
    </row>
    <row r="12275" spans="2:8" x14ac:dyDescent="0.4">
      <c r="B12275" s="3" t="s">
        <v>7</v>
      </c>
      <c r="C12275" s="3" t="s">
        <v>2014</v>
      </c>
      <c r="D12275" s="4">
        <f>DATE(2011,12,13)</f>
        <v>40890</v>
      </c>
      <c r="E12275" s="5">
        <f t="shared" si="203"/>
        <v>2011</v>
      </c>
      <c r="F12275" s="3" t="s">
        <v>2015</v>
      </c>
      <c r="G12275" s="6">
        <v>96.9</v>
      </c>
      <c r="H12275" s="5">
        <v>16301</v>
      </c>
    </row>
    <row r="12276" spans="2:8" x14ac:dyDescent="0.4">
      <c r="B12276" s="3" t="s">
        <v>7</v>
      </c>
      <c r="C12276" s="3" t="s">
        <v>2016</v>
      </c>
      <c r="D12276" s="4">
        <f>DATE(2004,4,6)</f>
        <v>38083</v>
      </c>
      <c r="E12276" s="5">
        <f t="shared" si="203"/>
        <v>2004</v>
      </c>
      <c r="F12276" s="3" t="s">
        <v>2017</v>
      </c>
      <c r="G12276" s="6">
        <v>2445.5</v>
      </c>
      <c r="H12276" s="5">
        <v>2124</v>
      </c>
    </row>
    <row r="12277" spans="2:8" x14ac:dyDescent="0.4">
      <c r="B12277" s="3" t="s">
        <v>7</v>
      </c>
      <c r="C12277" s="3" t="s">
        <v>2016</v>
      </c>
      <c r="D12277" s="4">
        <f>DATE(2011,10,31)</f>
        <v>40847</v>
      </c>
      <c r="E12277" s="5">
        <f t="shared" si="203"/>
        <v>2011</v>
      </c>
      <c r="F12277" s="3" t="s">
        <v>2017</v>
      </c>
      <c r="G12277" s="6">
        <v>6326.4</v>
      </c>
      <c r="H12277" s="5">
        <v>16145</v>
      </c>
    </row>
    <row r="12278" spans="2:8" x14ac:dyDescent="0.4">
      <c r="B12278" s="3" t="s">
        <v>7</v>
      </c>
      <c r="C12278" s="3" t="s">
        <v>2016</v>
      </c>
      <c r="D12278" s="4">
        <f>DATE(2011,10,31)</f>
        <v>40847</v>
      </c>
      <c r="E12278" s="5">
        <f t="shared" si="203"/>
        <v>2011</v>
      </c>
      <c r="F12278" s="3" t="s">
        <v>2017</v>
      </c>
      <c r="G12278" s="6">
        <v>1181.8900000000001</v>
      </c>
      <c r="H12278" s="5">
        <v>16148</v>
      </c>
    </row>
    <row r="12279" spans="2:8" x14ac:dyDescent="0.4">
      <c r="B12279" s="3" t="s">
        <v>7</v>
      </c>
      <c r="C12279" s="3" t="s">
        <v>2016</v>
      </c>
      <c r="D12279" s="4">
        <f>DATE(2011,10,31)</f>
        <v>40847</v>
      </c>
      <c r="E12279" s="5">
        <f t="shared" si="203"/>
        <v>2011</v>
      </c>
      <c r="F12279" s="3" t="s">
        <v>2017</v>
      </c>
      <c r="G12279" s="6">
        <v>2341.31</v>
      </c>
      <c r="H12279" s="5">
        <v>16147</v>
      </c>
    </row>
    <row r="12280" spans="2:8" x14ac:dyDescent="0.4">
      <c r="B12280" t="s">
        <v>7</v>
      </c>
      <c r="C12280" t="s">
        <v>2018</v>
      </c>
      <c r="D12280" s="7">
        <f>DATE(2016,3,15)</f>
        <v>42444</v>
      </c>
      <c r="E12280" s="8">
        <f t="shared" si="203"/>
        <v>2016</v>
      </c>
      <c r="F12280" t="s">
        <v>2019</v>
      </c>
      <c r="G12280" s="9">
        <v>85252.39</v>
      </c>
      <c r="H12280" s="8">
        <v>22341</v>
      </c>
    </row>
    <row r="12281" spans="2:8" x14ac:dyDescent="0.4">
      <c r="B12281" t="s">
        <v>7</v>
      </c>
      <c r="C12281" t="s">
        <v>2018</v>
      </c>
      <c r="D12281" s="7">
        <f>DATE(2016,5,2)</f>
        <v>42492</v>
      </c>
      <c r="E12281" s="8">
        <f t="shared" si="203"/>
        <v>2016</v>
      </c>
      <c r="F12281" t="s">
        <v>2019</v>
      </c>
      <c r="G12281" s="9">
        <v>38432.51</v>
      </c>
      <c r="H12281" s="8">
        <v>22412</v>
      </c>
    </row>
    <row r="12282" spans="2:8" x14ac:dyDescent="0.4">
      <c r="B12282" t="s">
        <v>7</v>
      </c>
      <c r="C12282" t="s">
        <v>2018</v>
      </c>
      <c r="D12282" s="7">
        <f>DATE(2017,12,15)</f>
        <v>43084</v>
      </c>
      <c r="E12282" s="8">
        <f t="shared" si="203"/>
        <v>2017</v>
      </c>
      <c r="F12282" t="s">
        <v>2019</v>
      </c>
      <c r="G12282" s="9">
        <v>14352.55</v>
      </c>
      <c r="H12282" s="8">
        <v>25966</v>
      </c>
    </row>
    <row r="12283" spans="2:8" x14ac:dyDescent="0.4">
      <c r="B12283" t="s">
        <v>7</v>
      </c>
      <c r="C12283" t="s">
        <v>2018</v>
      </c>
      <c r="D12283" s="7">
        <f>DATE(2003,7,14)</f>
        <v>37816</v>
      </c>
      <c r="E12283" s="8">
        <f t="shared" si="203"/>
        <v>2003</v>
      </c>
      <c r="F12283" t="s">
        <v>2019</v>
      </c>
      <c r="G12283" s="9">
        <v>18752.189999999999</v>
      </c>
      <c r="H12283" s="8">
        <v>725</v>
      </c>
    </row>
    <row r="12284" spans="2:8" x14ac:dyDescent="0.4">
      <c r="B12284" t="s">
        <v>7</v>
      </c>
      <c r="C12284" t="s">
        <v>2018</v>
      </c>
      <c r="D12284" s="7">
        <f>DATE(2003,8,11)</f>
        <v>37844</v>
      </c>
      <c r="E12284" s="8">
        <f t="shared" si="203"/>
        <v>2003</v>
      </c>
      <c r="F12284" t="s">
        <v>2019</v>
      </c>
      <c r="G12284" s="9">
        <v>4196.72</v>
      </c>
      <c r="H12284" s="8">
        <v>798</v>
      </c>
    </row>
    <row r="12285" spans="2:8" x14ac:dyDescent="0.4">
      <c r="B12285" t="s">
        <v>7</v>
      </c>
      <c r="C12285" t="s">
        <v>2018</v>
      </c>
      <c r="D12285" s="7">
        <f>DATE(2010,11,2)</f>
        <v>40484</v>
      </c>
      <c r="E12285" s="8">
        <f t="shared" si="203"/>
        <v>2010</v>
      </c>
      <c r="F12285" t="s">
        <v>2019</v>
      </c>
      <c r="G12285" s="9">
        <v>10982.65</v>
      </c>
      <c r="H12285" s="8">
        <v>10225</v>
      </c>
    </row>
    <row r="12286" spans="2:8" x14ac:dyDescent="0.4">
      <c r="B12286" t="s">
        <v>7</v>
      </c>
      <c r="C12286" t="s">
        <v>2018</v>
      </c>
      <c r="D12286" s="7">
        <f>DATE(2010,12,13)</f>
        <v>40525</v>
      </c>
      <c r="E12286" s="8">
        <f t="shared" si="203"/>
        <v>2010</v>
      </c>
      <c r="F12286" t="s">
        <v>2019</v>
      </c>
      <c r="G12286" s="9">
        <v>8576.32</v>
      </c>
      <c r="H12286" s="8">
        <v>10293</v>
      </c>
    </row>
    <row r="12287" spans="2:8" x14ac:dyDescent="0.4">
      <c r="B12287" t="s">
        <v>7</v>
      </c>
      <c r="C12287" t="s">
        <v>2018</v>
      </c>
      <c r="D12287" s="7">
        <f>DATE(2011,1,27)</f>
        <v>40570</v>
      </c>
      <c r="E12287" s="8">
        <f t="shared" si="203"/>
        <v>2011</v>
      </c>
      <c r="F12287" t="s">
        <v>2019</v>
      </c>
      <c r="G12287" s="9">
        <v>8924.7900000000009</v>
      </c>
      <c r="H12287" s="8">
        <v>10362</v>
      </c>
    </row>
    <row r="12288" spans="2:8" x14ac:dyDescent="0.4">
      <c r="B12288" t="s">
        <v>7</v>
      </c>
      <c r="C12288" t="s">
        <v>2018</v>
      </c>
      <c r="D12288" s="7">
        <f>DATE(2011,5,12)</f>
        <v>40675</v>
      </c>
      <c r="E12288" s="8">
        <f t="shared" si="203"/>
        <v>2011</v>
      </c>
      <c r="F12288" t="s">
        <v>2019</v>
      </c>
      <c r="G12288" s="9">
        <v>11439.65</v>
      </c>
      <c r="H12288" s="8">
        <v>10739</v>
      </c>
    </row>
    <row r="12289" spans="2:8" x14ac:dyDescent="0.4">
      <c r="B12289" t="s">
        <v>7</v>
      </c>
      <c r="C12289" t="s">
        <v>2018</v>
      </c>
      <c r="D12289" s="7">
        <f>DATE(2011,8,4)</f>
        <v>40759</v>
      </c>
      <c r="E12289" s="8">
        <f t="shared" si="203"/>
        <v>2011</v>
      </c>
      <c r="F12289" t="s">
        <v>2019</v>
      </c>
      <c r="G12289" s="9">
        <v>7436.18</v>
      </c>
      <c r="H12289" s="8">
        <v>10916</v>
      </c>
    </row>
    <row r="12290" spans="2:8" x14ac:dyDescent="0.4">
      <c r="B12290" t="s">
        <v>7</v>
      </c>
      <c r="C12290" t="s">
        <v>2018</v>
      </c>
      <c r="D12290" s="7">
        <f>DATE(2011,10,27)</f>
        <v>40843</v>
      </c>
      <c r="E12290" s="8">
        <f t="shared" si="203"/>
        <v>2011</v>
      </c>
      <c r="F12290" t="s">
        <v>2019</v>
      </c>
      <c r="G12290" s="9">
        <v>9172.01</v>
      </c>
      <c r="H12290" s="8">
        <v>11087</v>
      </c>
    </row>
    <row r="12291" spans="2:8" x14ac:dyDescent="0.4">
      <c r="B12291" t="s">
        <v>7</v>
      </c>
      <c r="C12291" t="s">
        <v>2018</v>
      </c>
      <c r="D12291" s="7">
        <f>DATE(2011,11,22)</f>
        <v>40869</v>
      </c>
      <c r="E12291" s="8">
        <f t="shared" ref="E12291:E12354" si="204">YEAR(D12291)</f>
        <v>2011</v>
      </c>
      <c r="F12291" t="s">
        <v>2019</v>
      </c>
      <c r="G12291" s="9">
        <v>4684.4399999999996</v>
      </c>
      <c r="H12291" s="8">
        <v>11141</v>
      </c>
    </row>
    <row r="12292" spans="2:8" x14ac:dyDescent="0.4">
      <c r="B12292" t="s">
        <v>7</v>
      </c>
      <c r="C12292" t="s">
        <v>2018</v>
      </c>
      <c r="D12292" s="7">
        <f>DATE(2013,7,2)</f>
        <v>41457</v>
      </c>
      <c r="E12292" s="8">
        <f t="shared" si="204"/>
        <v>2013</v>
      </c>
      <c r="F12292" t="s">
        <v>2019</v>
      </c>
      <c r="G12292" s="9">
        <v>7334.98</v>
      </c>
      <c r="H12292" s="8">
        <v>12522</v>
      </c>
    </row>
    <row r="12293" spans="2:8" x14ac:dyDescent="0.4">
      <c r="B12293" s="3" t="s">
        <v>7</v>
      </c>
      <c r="C12293" s="3" t="s">
        <v>2018</v>
      </c>
      <c r="D12293" s="4">
        <f>DATE(2003,8,8)</f>
        <v>37841</v>
      </c>
      <c r="E12293" s="5">
        <f t="shared" si="204"/>
        <v>2003</v>
      </c>
      <c r="F12293" s="3" t="s">
        <v>2019</v>
      </c>
      <c r="G12293" s="6">
        <v>15275</v>
      </c>
      <c r="H12293" s="5">
        <v>1336</v>
      </c>
    </row>
    <row r="12294" spans="2:8" x14ac:dyDescent="0.4">
      <c r="B12294" s="3" t="s">
        <v>7</v>
      </c>
      <c r="C12294" s="3" t="s">
        <v>2018</v>
      </c>
      <c r="D12294" s="4">
        <f>DATE(2003,8,20)</f>
        <v>37853</v>
      </c>
      <c r="E12294" s="5">
        <f t="shared" si="204"/>
        <v>2003</v>
      </c>
      <c r="F12294" s="3" t="s">
        <v>2019</v>
      </c>
      <c r="G12294" s="6">
        <v>313.25</v>
      </c>
      <c r="H12294" s="5">
        <v>1372</v>
      </c>
    </row>
    <row r="12295" spans="2:8" x14ac:dyDescent="0.4">
      <c r="B12295" s="3" t="s">
        <v>7</v>
      </c>
      <c r="C12295" s="3" t="s">
        <v>2018</v>
      </c>
      <c r="D12295" s="4">
        <f>DATE(2003,8,20)</f>
        <v>37853</v>
      </c>
      <c r="E12295" s="5">
        <f t="shared" si="204"/>
        <v>2003</v>
      </c>
      <c r="F12295" s="3" t="s">
        <v>2019</v>
      </c>
      <c r="G12295" s="6">
        <v>4477</v>
      </c>
      <c r="H12295" s="5">
        <v>1371</v>
      </c>
    </row>
    <row r="12296" spans="2:8" x14ac:dyDescent="0.4">
      <c r="B12296" s="3" t="s">
        <v>7</v>
      </c>
      <c r="C12296" s="3" t="s">
        <v>2018</v>
      </c>
      <c r="D12296" s="4">
        <f>DATE(2003,8,20)</f>
        <v>37853</v>
      </c>
      <c r="E12296" s="5">
        <f t="shared" si="204"/>
        <v>2003</v>
      </c>
      <c r="F12296" s="3" t="s">
        <v>2019</v>
      </c>
      <c r="G12296" s="6">
        <v>20673</v>
      </c>
      <c r="H12296" s="5">
        <v>1390</v>
      </c>
    </row>
    <row r="12297" spans="2:8" x14ac:dyDescent="0.4">
      <c r="B12297" s="3" t="s">
        <v>7</v>
      </c>
      <c r="C12297" s="3" t="s">
        <v>2018</v>
      </c>
      <c r="D12297" s="4">
        <f>DATE(2003,8,25)</f>
        <v>37858</v>
      </c>
      <c r="E12297" s="5">
        <f t="shared" si="204"/>
        <v>2003</v>
      </c>
      <c r="F12297" s="3" t="s">
        <v>2019</v>
      </c>
      <c r="G12297" s="6">
        <v>1701</v>
      </c>
      <c r="H12297" s="5">
        <v>1412</v>
      </c>
    </row>
    <row r="12298" spans="2:8" x14ac:dyDescent="0.4">
      <c r="B12298" s="3" t="s">
        <v>7</v>
      </c>
      <c r="C12298" s="3" t="s">
        <v>2018</v>
      </c>
      <c r="D12298" s="4">
        <f>DATE(2003,9,5)</f>
        <v>37869</v>
      </c>
      <c r="E12298" s="5">
        <f t="shared" si="204"/>
        <v>2003</v>
      </c>
      <c r="F12298" s="3" t="s">
        <v>2019</v>
      </c>
      <c r="G12298" s="6">
        <v>1812</v>
      </c>
      <c r="H12298" s="5">
        <v>1473</v>
      </c>
    </row>
    <row r="12299" spans="2:8" x14ac:dyDescent="0.4">
      <c r="B12299" s="3" t="s">
        <v>7</v>
      </c>
      <c r="C12299" s="3" t="s">
        <v>2018</v>
      </c>
      <c r="D12299" s="4">
        <f>DATE(2003,9,5)</f>
        <v>37869</v>
      </c>
      <c r="E12299" s="5">
        <f t="shared" si="204"/>
        <v>2003</v>
      </c>
      <c r="F12299" s="3" t="s">
        <v>2019</v>
      </c>
      <c r="G12299" s="6">
        <v>6510.81</v>
      </c>
      <c r="H12299" s="5">
        <v>1474</v>
      </c>
    </row>
    <row r="12300" spans="2:8" x14ac:dyDescent="0.4">
      <c r="B12300" s="3" t="s">
        <v>7</v>
      </c>
      <c r="C12300" s="3" t="s">
        <v>2018</v>
      </c>
      <c r="D12300" s="4">
        <f>DATE(2003,9,5)</f>
        <v>37869</v>
      </c>
      <c r="E12300" s="5">
        <f t="shared" si="204"/>
        <v>2003</v>
      </c>
      <c r="F12300" s="3" t="s">
        <v>2019</v>
      </c>
      <c r="G12300" s="6">
        <v>2894</v>
      </c>
      <c r="H12300" s="5">
        <v>1472</v>
      </c>
    </row>
    <row r="12301" spans="2:8" x14ac:dyDescent="0.4">
      <c r="B12301" s="3" t="s">
        <v>7</v>
      </c>
      <c r="C12301" s="3" t="s">
        <v>2018</v>
      </c>
      <c r="D12301" s="4">
        <f>DATE(2003,10,7)</f>
        <v>37901</v>
      </c>
      <c r="E12301" s="5">
        <f t="shared" si="204"/>
        <v>2003</v>
      </c>
      <c r="F12301" s="3" t="s">
        <v>2019</v>
      </c>
      <c r="G12301" s="6">
        <v>12656.5</v>
      </c>
      <c r="H12301" s="5">
        <v>1591</v>
      </c>
    </row>
    <row r="12302" spans="2:8" x14ac:dyDescent="0.4">
      <c r="B12302" s="3" t="s">
        <v>7</v>
      </c>
      <c r="C12302" s="3" t="s">
        <v>2018</v>
      </c>
      <c r="D12302" s="4">
        <f>DATE(2004,4,26)</f>
        <v>38103</v>
      </c>
      <c r="E12302" s="5">
        <f t="shared" si="204"/>
        <v>2004</v>
      </c>
      <c r="F12302" s="3" t="s">
        <v>2019</v>
      </c>
      <c r="G12302" s="6">
        <v>5786.18</v>
      </c>
      <c r="H12302" s="5">
        <v>2695</v>
      </c>
    </row>
    <row r="12303" spans="2:8" x14ac:dyDescent="0.4">
      <c r="B12303" s="3" t="s">
        <v>7</v>
      </c>
      <c r="C12303" s="3" t="s">
        <v>2018</v>
      </c>
      <c r="D12303" s="4">
        <f>DATE(2004,5,24)</f>
        <v>38131</v>
      </c>
      <c r="E12303" s="5">
        <f t="shared" si="204"/>
        <v>2004</v>
      </c>
      <c r="F12303" s="3" t="s">
        <v>2019</v>
      </c>
      <c r="G12303" s="6">
        <v>7979.9</v>
      </c>
      <c r="H12303" s="5">
        <v>2893</v>
      </c>
    </row>
    <row r="12304" spans="2:8" x14ac:dyDescent="0.4">
      <c r="B12304" s="3" t="s">
        <v>7</v>
      </c>
      <c r="C12304" s="3" t="s">
        <v>2018</v>
      </c>
      <c r="D12304" s="4">
        <f>DATE(2004,5,25)</f>
        <v>38132</v>
      </c>
      <c r="E12304" s="5">
        <f t="shared" si="204"/>
        <v>2004</v>
      </c>
      <c r="F12304" s="3" t="s">
        <v>2019</v>
      </c>
      <c r="G12304" s="6">
        <v>455</v>
      </c>
      <c r="H12304" s="5">
        <v>2941</v>
      </c>
    </row>
    <row r="12305" spans="2:8" x14ac:dyDescent="0.4">
      <c r="B12305" s="3" t="s">
        <v>7</v>
      </c>
      <c r="C12305" s="3" t="s">
        <v>2018</v>
      </c>
      <c r="D12305" s="4">
        <f>DATE(2004,9,1)</f>
        <v>38231</v>
      </c>
      <c r="E12305" s="5">
        <f t="shared" si="204"/>
        <v>2004</v>
      </c>
      <c r="F12305" s="3" t="s">
        <v>2019</v>
      </c>
      <c r="G12305" s="6">
        <v>2160</v>
      </c>
      <c r="H12305" s="5">
        <v>3325</v>
      </c>
    </row>
    <row r="12306" spans="2:8" x14ac:dyDescent="0.4">
      <c r="B12306" s="3" t="s">
        <v>7</v>
      </c>
      <c r="C12306" s="3" t="s">
        <v>2018</v>
      </c>
      <c r="D12306" s="4">
        <f>DATE(2005,4,5)</f>
        <v>38447</v>
      </c>
      <c r="E12306" s="5">
        <f t="shared" si="204"/>
        <v>2005</v>
      </c>
      <c r="F12306" s="3" t="s">
        <v>2019</v>
      </c>
      <c r="G12306" s="6">
        <v>3040</v>
      </c>
      <c r="H12306" s="5">
        <v>4511</v>
      </c>
    </row>
    <row r="12307" spans="2:8" x14ac:dyDescent="0.4">
      <c r="B12307" s="3" t="s">
        <v>7</v>
      </c>
      <c r="C12307" s="3" t="s">
        <v>2018</v>
      </c>
      <c r="D12307" s="4">
        <f>DATE(2005,4,11)</f>
        <v>38453</v>
      </c>
      <c r="E12307" s="5">
        <f t="shared" si="204"/>
        <v>2005</v>
      </c>
      <c r="F12307" s="3" t="s">
        <v>2019</v>
      </c>
      <c r="G12307" s="6">
        <v>3800</v>
      </c>
      <c r="H12307" s="5">
        <v>4535</v>
      </c>
    </row>
    <row r="12308" spans="2:8" x14ac:dyDescent="0.4">
      <c r="B12308" s="3" t="s">
        <v>7</v>
      </c>
      <c r="C12308" s="3" t="s">
        <v>2018</v>
      </c>
      <c r="D12308" s="4">
        <f>DATE(2005,4,22)</f>
        <v>38464</v>
      </c>
      <c r="E12308" s="5">
        <f t="shared" si="204"/>
        <v>2005</v>
      </c>
      <c r="F12308" s="3" t="s">
        <v>2019</v>
      </c>
      <c r="G12308" s="6">
        <v>3040</v>
      </c>
      <c r="H12308" s="5">
        <v>4567</v>
      </c>
    </row>
    <row r="12309" spans="2:8" x14ac:dyDescent="0.4">
      <c r="B12309" s="3" t="s">
        <v>7</v>
      </c>
      <c r="C12309" s="3" t="s">
        <v>2018</v>
      </c>
      <c r="D12309" s="4">
        <f>DATE(2007,3,21)</f>
        <v>39162</v>
      </c>
      <c r="E12309" s="5">
        <f t="shared" si="204"/>
        <v>2007</v>
      </c>
      <c r="F12309" s="3" t="s">
        <v>2019</v>
      </c>
      <c r="G12309" s="6">
        <v>9880</v>
      </c>
      <c r="H12309" s="5">
        <v>8183</v>
      </c>
    </row>
    <row r="12310" spans="2:8" x14ac:dyDescent="0.4">
      <c r="B12310" s="3" t="s">
        <v>7</v>
      </c>
      <c r="C12310" s="3" t="s">
        <v>2018</v>
      </c>
      <c r="D12310" s="4">
        <f>DATE(2007,3,27)</f>
        <v>39168</v>
      </c>
      <c r="E12310" s="5">
        <f t="shared" si="204"/>
        <v>2007</v>
      </c>
      <c r="F12310" s="3" t="s">
        <v>2019</v>
      </c>
      <c r="G12310" s="6">
        <v>6840</v>
      </c>
      <c r="H12310" s="5">
        <v>8247</v>
      </c>
    </row>
    <row r="12311" spans="2:8" x14ac:dyDescent="0.4">
      <c r="B12311" s="3" t="s">
        <v>7</v>
      </c>
      <c r="C12311" s="3" t="s">
        <v>2018</v>
      </c>
      <c r="D12311" s="4">
        <f>DATE(2008,4,18)</f>
        <v>39556</v>
      </c>
      <c r="E12311" s="5">
        <f t="shared" si="204"/>
        <v>2008</v>
      </c>
      <c r="F12311" s="3" t="s">
        <v>2019</v>
      </c>
      <c r="G12311" s="6">
        <v>337.3</v>
      </c>
      <c r="H12311" s="5">
        <v>10504</v>
      </c>
    </row>
    <row r="12312" spans="2:8" x14ac:dyDescent="0.4">
      <c r="B12312" s="3" t="s">
        <v>7</v>
      </c>
      <c r="C12312" s="3" t="s">
        <v>2018</v>
      </c>
      <c r="D12312" s="4">
        <f>DATE(2008,5,30)</f>
        <v>39598</v>
      </c>
      <c r="E12312" s="5">
        <f t="shared" si="204"/>
        <v>2008</v>
      </c>
      <c r="F12312" s="3" t="s">
        <v>2019</v>
      </c>
      <c r="G12312" s="6">
        <v>469</v>
      </c>
      <c r="H12312" s="5">
        <v>10780</v>
      </c>
    </row>
    <row r="12313" spans="2:8" x14ac:dyDescent="0.4">
      <c r="B12313" s="3" t="s">
        <v>7</v>
      </c>
      <c r="C12313" s="3" t="s">
        <v>2018</v>
      </c>
      <c r="D12313" s="4">
        <f>DATE(2008,6,10)</f>
        <v>39609</v>
      </c>
      <c r="E12313" s="5">
        <f t="shared" si="204"/>
        <v>2008</v>
      </c>
      <c r="F12313" s="3" t="s">
        <v>2019</v>
      </c>
      <c r="G12313" s="6">
        <v>384.58</v>
      </c>
      <c r="H12313" s="5">
        <v>10822</v>
      </c>
    </row>
    <row r="12314" spans="2:8" x14ac:dyDescent="0.4">
      <c r="B12314" s="3" t="s">
        <v>7</v>
      </c>
      <c r="C12314" s="3" t="s">
        <v>2020</v>
      </c>
      <c r="D12314" s="4">
        <f>DATE(2014,12,4)</f>
        <v>41977</v>
      </c>
      <c r="E12314" s="5">
        <f t="shared" si="204"/>
        <v>2014</v>
      </c>
      <c r="F12314" s="3" t="s">
        <v>2021</v>
      </c>
      <c r="G12314" s="6">
        <v>45248.4</v>
      </c>
      <c r="H12314" s="5">
        <v>20193</v>
      </c>
    </row>
    <row r="12315" spans="2:8" x14ac:dyDescent="0.4">
      <c r="B12315" s="3" t="s">
        <v>7</v>
      </c>
      <c r="C12315" s="3" t="s">
        <v>2022</v>
      </c>
      <c r="D12315" s="4">
        <f>DATE(2006,8,23)</f>
        <v>38952</v>
      </c>
      <c r="E12315" s="5">
        <f t="shared" si="204"/>
        <v>2006</v>
      </c>
      <c r="F12315" s="3" t="s">
        <v>2023</v>
      </c>
      <c r="G12315" s="6">
        <v>120</v>
      </c>
      <c r="H12315" s="5">
        <v>7135</v>
      </c>
    </row>
    <row r="12316" spans="2:8" x14ac:dyDescent="0.4">
      <c r="B12316" t="s">
        <v>7</v>
      </c>
      <c r="C12316" t="s">
        <v>2024</v>
      </c>
      <c r="D12316" s="7">
        <f>DATE(2015,4,9)</f>
        <v>42103</v>
      </c>
      <c r="E12316" s="8">
        <f t="shared" si="204"/>
        <v>2015</v>
      </c>
      <c r="F12316" t="s">
        <v>2025</v>
      </c>
      <c r="G12316" s="9">
        <v>23173.48</v>
      </c>
      <c r="H12316" s="8">
        <v>20094</v>
      </c>
    </row>
    <row r="12317" spans="2:8" x14ac:dyDescent="0.4">
      <c r="B12317" t="s">
        <v>7</v>
      </c>
      <c r="C12317" t="s">
        <v>2024</v>
      </c>
      <c r="D12317" s="7">
        <f>DATE(2016,3,31)</f>
        <v>42460</v>
      </c>
      <c r="E12317" s="8">
        <f t="shared" si="204"/>
        <v>2016</v>
      </c>
      <c r="F12317" t="s">
        <v>2025</v>
      </c>
      <c r="G12317" s="9">
        <v>42982.62</v>
      </c>
      <c r="H12317" s="8">
        <v>22155</v>
      </c>
    </row>
    <row r="12318" spans="2:8" x14ac:dyDescent="0.4">
      <c r="B12318" t="s">
        <v>7</v>
      </c>
      <c r="C12318" t="s">
        <v>2024</v>
      </c>
      <c r="D12318" s="7">
        <f>DATE(2018,4,25)</f>
        <v>43215</v>
      </c>
      <c r="E12318" s="8">
        <f t="shared" si="204"/>
        <v>2018</v>
      </c>
      <c r="F12318" t="s">
        <v>2025</v>
      </c>
      <c r="G12318" s="9">
        <v>52442.55</v>
      </c>
      <c r="H12318" s="8">
        <v>26225</v>
      </c>
    </row>
    <row r="12319" spans="2:8" x14ac:dyDescent="0.4">
      <c r="B12319" t="s">
        <v>7</v>
      </c>
      <c r="C12319" t="s">
        <v>2024</v>
      </c>
      <c r="D12319" s="7">
        <f>DATE(2017,5,4)</f>
        <v>42859</v>
      </c>
      <c r="E12319" s="8">
        <f t="shared" si="204"/>
        <v>2017</v>
      </c>
      <c r="F12319" t="s">
        <v>2025</v>
      </c>
      <c r="G12319" s="9">
        <v>1159</v>
      </c>
      <c r="H12319" s="8">
        <v>24852</v>
      </c>
    </row>
    <row r="12320" spans="2:8" x14ac:dyDescent="0.4">
      <c r="B12320" t="s">
        <v>7</v>
      </c>
      <c r="C12320" t="s">
        <v>2024</v>
      </c>
      <c r="D12320" s="7">
        <f>DATE(2017,5,8)</f>
        <v>42863</v>
      </c>
      <c r="E12320" s="8">
        <f t="shared" si="204"/>
        <v>2017</v>
      </c>
      <c r="F12320" t="s">
        <v>2025</v>
      </c>
      <c r="G12320" s="9">
        <v>1325.92</v>
      </c>
      <c r="H12320" s="8">
        <v>24840</v>
      </c>
    </row>
    <row r="12321" spans="2:8" x14ac:dyDescent="0.4">
      <c r="B12321" t="s">
        <v>7</v>
      </c>
      <c r="C12321" t="s">
        <v>2024</v>
      </c>
      <c r="D12321" s="7">
        <f>DATE(2017,6,9)</f>
        <v>42895</v>
      </c>
      <c r="E12321" s="8">
        <f t="shared" si="204"/>
        <v>2017</v>
      </c>
      <c r="F12321" t="s">
        <v>2025</v>
      </c>
      <c r="G12321" s="9">
        <v>1521.48</v>
      </c>
      <c r="H12321" s="8">
        <v>24754</v>
      </c>
    </row>
    <row r="12322" spans="2:8" x14ac:dyDescent="0.4">
      <c r="B12322" t="s">
        <v>7</v>
      </c>
      <c r="C12322" t="s">
        <v>2024</v>
      </c>
      <c r="D12322" s="7">
        <f>DATE(2017,6,9)</f>
        <v>42895</v>
      </c>
      <c r="E12322" s="8">
        <f t="shared" si="204"/>
        <v>2017</v>
      </c>
      <c r="F12322" t="s">
        <v>2025</v>
      </c>
      <c r="G12322" s="9">
        <v>3243.12</v>
      </c>
      <c r="H12322" s="8">
        <v>25095</v>
      </c>
    </row>
    <row r="12323" spans="2:8" x14ac:dyDescent="0.4">
      <c r="B12323" t="s">
        <v>7</v>
      </c>
      <c r="C12323" t="s">
        <v>2024</v>
      </c>
      <c r="D12323" s="7">
        <f>DATE(2017,10,5)</f>
        <v>43013</v>
      </c>
      <c r="E12323" s="8">
        <f t="shared" si="204"/>
        <v>2017</v>
      </c>
      <c r="F12323" t="s">
        <v>2025</v>
      </c>
      <c r="G12323" s="9">
        <v>5000</v>
      </c>
      <c r="H12323" s="8">
        <v>25094</v>
      </c>
    </row>
    <row r="12324" spans="2:8" x14ac:dyDescent="0.4">
      <c r="B12324" t="s">
        <v>7</v>
      </c>
      <c r="C12324" t="s">
        <v>2024</v>
      </c>
      <c r="D12324" s="7">
        <f>DATE(2017,10,5)</f>
        <v>43013</v>
      </c>
      <c r="E12324" s="8">
        <f t="shared" si="204"/>
        <v>2017</v>
      </c>
      <c r="F12324" t="s">
        <v>2025</v>
      </c>
      <c r="G12324" s="9">
        <v>5000</v>
      </c>
      <c r="H12324" s="8">
        <v>25690</v>
      </c>
    </row>
    <row r="12325" spans="2:8" x14ac:dyDescent="0.4">
      <c r="B12325" t="s">
        <v>7</v>
      </c>
      <c r="C12325" t="s">
        <v>2024</v>
      </c>
      <c r="D12325" s="7">
        <f>DATE(2017,7,5)</f>
        <v>42921</v>
      </c>
      <c r="E12325" s="8">
        <f t="shared" si="204"/>
        <v>2017</v>
      </c>
      <c r="F12325" t="s">
        <v>2025</v>
      </c>
      <c r="G12325" s="9">
        <v>10164.49</v>
      </c>
      <c r="H12325" s="8">
        <v>25024</v>
      </c>
    </row>
    <row r="12326" spans="2:8" x14ac:dyDescent="0.4">
      <c r="B12326" t="s">
        <v>7</v>
      </c>
      <c r="C12326" t="s">
        <v>2024</v>
      </c>
      <c r="D12326" s="7">
        <f>DATE(2018,6,19)</f>
        <v>43270</v>
      </c>
      <c r="E12326" s="8">
        <f t="shared" si="204"/>
        <v>2018</v>
      </c>
      <c r="F12326" t="s">
        <v>2025</v>
      </c>
      <c r="G12326" s="9">
        <v>12531.8</v>
      </c>
      <c r="H12326" s="8">
        <v>27094</v>
      </c>
    </row>
    <row r="12327" spans="2:8" x14ac:dyDescent="0.4">
      <c r="B12327" t="s">
        <v>7</v>
      </c>
      <c r="C12327" t="s">
        <v>2024</v>
      </c>
      <c r="D12327" s="7">
        <f>DATE(2012,5,22)</f>
        <v>41051</v>
      </c>
      <c r="E12327" s="8">
        <f t="shared" si="204"/>
        <v>2012</v>
      </c>
      <c r="F12327" t="s">
        <v>2025</v>
      </c>
      <c r="G12327" s="9">
        <v>3066.54</v>
      </c>
      <c r="H12327" s="8">
        <v>11378</v>
      </c>
    </row>
    <row r="12328" spans="2:8" x14ac:dyDescent="0.4">
      <c r="B12328" t="s">
        <v>7</v>
      </c>
      <c r="C12328" t="s">
        <v>2024</v>
      </c>
      <c r="D12328" s="7">
        <f>DATE(2014,5,23)</f>
        <v>41782</v>
      </c>
      <c r="E12328" s="8">
        <f t="shared" si="204"/>
        <v>2014</v>
      </c>
      <c r="F12328" t="s">
        <v>2025</v>
      </c>
      <c r="G12328" s="9">
        <v>4356.26</v>
      </c>
      <c r="H12328" s="8">
        <v>12964</v>
      </c>
    </row>
    <row r="12329" spans="2:8" x14ac:dyDescent="0.4">
      <c r="B12329" s="3" t="s">
        <v>7</v>
      </c>
      <c r="C12329" s="3" t="s">
        <v>2024</v>
      </c>
      <c r="D12329" s="4">
        <f>DATE(2006,1,18)</f>
        <v>38735</v>
      </c>
      <c r="E12329" s="5">
        <f t="shared" si="204"/>
        <v>2006</v>
      </c>
      <c r="F12329" s="3" t="s">
        <v>2025</v>
      </c>
      <c r="G12329" s="6">
        <v>6710.27</v>
      </c>
      <c r="H12329" s="5">
        <v>5855</v>
      </c>
    </row>
    <row r="12330" spans="2:8" x14ac:dyDescent="0.4">
      <c r="B12330" s="3" t="s">
        <v>7</v>
      </c>
      <c r="C12330" s="3" t="s">
        <v>2024</v>
      </c>
      <c r="D12330" s="4">
        <f>DATE(2006,3,21)</f>
        <v>38797</v>
      </c>
      <c r="E12330" s="5">
        <f t="shared" si="204"/>
        <v>2006</v>
      </c>
      <c r="F12330" s="3" t="s">
        <v>2025</v>
      </c>
      <c r="G12330" s="6">
        <v>209.98</v>
      </c>
      <c r="H12330" s="5">
        <v>6349</v>
      </c>
    </row>
    <row r="12331" spans="2:8" x14ac:dyDescent="0.4">
      <c r="B12331" s="3" t="s">
        <v>7</v>
      </c>
      <c r="C12331" s="3" t="s">
        <v>2024</v>
      </c>
      <c r="D12331" s="4">
        <f>DATE(2008,2,11)</f>
        <v>39489</v>
      </c>
      <c r="E12331" s="5">
        <f t="shared" si="204"/>
        <v>2008</v>
      </c>
      <c r="F12331" s="3" t="s">
        <v>2025</v>
      </c>
      <c r="G12331" s="6">
        <v>295</v>
      </c>
      <c r="H12331" s="5">
        <v>9927</v>
      </c>
    </row>
    <row r="12332" spans="2:8" x14ac:dyDescent="0.4">
      <c r="B12332" s="3" t="s">
        <v>7</v>
      </c>
      <c r="C12332" s="3" t="s">
        <v>2024</v>
      </c>
      <c r="D12332" s="4">
        <f>DATE(2008,3,10)</f>
        <v>39517</v>
      </c>
      <c r="E12332" s="5">
        <f t="shared" si="204"/>
        <v>2008</v>
      </c>
      <c r="F12332" s="3" t="s">
        <v>2025</v>
      </c>
      <c r="G12332" s="6">
        <v>487</v>
      </c>
      <c r="H12332" s="5">
        <v>10157</v>
      </c>
    </row>
    <row r="12333" spans="2:8" x14ac:dyDescent="0.4">
      <c r="B12333" s="3" t="s">
        <v>7</v>
      </c>
      <c r="C12333" s="3" t="s">
        <v>2024</v>
      </c>
      <c r="D12333" s="4">
        <f>DATE(2009,1,20)</f>
        <v>39833</v>
      </c>
      <c r="E12333" s="5">
        <f t="shared" si="204"/>
        <v>2009</v>
      </c>
      <c r="F12333" s="3" t="s">
        <v>2025</v>
      </c>
      <c r="G12333" s="6">
        <v>5819</v>
      </c>
      <c r="H12333" s="5">
        <v>11848</v>
      </c>
    </row>
    <row r="12334" spans="2:8" x14ac:dyDescent="0.4">
      <c r="B12334" s="3" t="s">
        <v>7</v>
      </c>
      <c r="C12334" s="3" t="s">
        <v>2024</v>
      </c>
      <c r="D12334" s="4">
        <f>DATE(2010,2,17)</f>
        <v>40226</v>
      </c>
      <c r="E12334" s="5">
        <f t="shared" si="204"/>
        <v>2010</v>
      </c>
      <c r="F12334" s="3" t="s">
        <v>2025</v>
      </c>
      <c r="G12334" s="6">
        <v>390</v>
      </c>
      <c r="H12334" s="5">
        <v>13603</v>
      </c>
    </row>
    <row r="12335" spans="2:8" x14ac:dyDescent="0.4">
      <c r="B12335" s="3" t="s">
        <v>7</v>
      </c>
      <c r="C12335" s="3" t="s">
        <v>2024</v>
      </c>
      <c r="D12335" s="4">
        <f>DATE(2011,2,2)</f>
        <v>40576</v>
      </c>
      <c r="E12335" s="5">
        <f t="shared" si="204"/>
        <v>2011</v>
      </c>
      <c r="F12335" s="3" t="s">
        <v>2025</v>
      </c>
      <c r="G12335" s="6">
        <v>10583.62</v>
      </c>
      <c r="H12335" s="5">
        <v>14998</v>
      </c>
    </row>
    <row r="12336" spans="2:8" x14ac:dyDescent="0.4">
      <c r="B12336" s="3" t="s">
        <v>7</v>
      </c>
      <c r="C12336" s="3" t="s">
        <v>2024</v>
      </c>
      <c r="D12336" s="4">
        <f>DATE(2011,4,15)</f>
        <v>40648</v>
      </c>
      <c r="E12336" s="5">
        <f t="shared" si="204"/>
        <v>2011</v>
      </c>
      <c r="F12336" s="3" t="s">
        <v>2025</v>
      </c>
      <c r="G12336" s="6">
        <v>928.62</v>
      </c>
      <c r="H12336" s="5">
        <v>15446</v>
      </c>
    </row>
    <row r="12337" spans="2:8" x14ac:dyDescent="0.4">
      <c r="B12337" s="3" t="s">
        <v>7</v>
      </c>
      <c r="C12337" s="3" t="s">
        <v>2024</v>
      </c>
      <c r="D12337" s="4">
        <f>DATE(2011,9,1)</f>
        <v>40787</v>
      </c>
      <c r="E12337" s="5">
        <f t="shared" si="204"/>
        <v>2011</v>
      </c>
      <c r="F12337" s="3" t="s">
        <v>2025</v>
      </c>
      <c r="G12337" s="6">
        <v>201</v>
      </c>
      <c r="H12337" s="5">
        <v>15935</v>
      </c>
    </row>
    <row r="12338" spans="2:8" x14ac:dyDescent="0.4">
      <c r="B12338" s="3" t="s">
        <v>7</v>
      </c>
      <c r="C12338" s="3" t="s">
        <v>2024</v>
      </c>
      <c r="D12338" s="4">
        <f>DATE(2012,3,16)</f>
        <v>40984</v>
      </c>
      <c r="E12338" s="5">
        <f t="shared" si="204"/>
        <v>2012</v>
      </c>
      <c r="F12338" s="3" t="s">
        <v>2025</v>
      </c>
      <c r="G12338" s="6">
        <v>4889.59</v>
      </c>
      <c r="H12338" s="5">
        <v>16571</v>
      </c>
    </row>
    <row r="12339" spans="2:8" x14ac:dyDescent="0.4">
      <c r="B12339" s="3" t="s">
        <v>7</v>
      </c>
      <c r="C12339" s="3" t="s">
        <v>2024</v>
      </c>
      <c r="D12339" s="4">
        <f>DATE(2012,4,3)</f>
        <v>41002</v>
      </c>
      <c r="E12339" s="5">
        <f t="shared" si="204"/>
        <v>2012</v>
      </c>
      <c r="F12339" s="3" t="s">
        <v>2025</v>
      </c>
      <c r="G12339" s="6">
        <v>774</v>
      </c>
      <c r="H12339" s="5">
        <v>16891</v>
      </c>
    </row>
    <row r="12340" spans="2:8" x14ac:dyDescent="0.4">
      <c r="B12340" s="3" t="s">
        <v>7</v>
      </c>
      <c r="C12340" s="3" t="s">
        <v>2024</v>
      </c>
      <c r="D12340" s="4">
        <f>DATE(2012,4,9)</f>
        <v>41008</v>
      </c>
      <c r="E12340" s="5">
        <f t="shared" si="204"/>
        <v>2012</v>
      </c>
      <c r="F12340" s="3" t="s">
        <v>2025</v>
      </c>
      <c r="G12340" s="6">
        <v>392</v>
      </c>
      <c r="H12340" s="5">
        <v>16930</v>
      </c>
    </row>
    <row r="12341" spans="2:8" x14ac:dyDescent="0.4">
      <c r="B12341" s="3" t="s">
        <v>7</v>
      </c>
      <c r="C12341" s="3" t="s">
        <v>2024</v>
      </c>
      <c r="D12341" s="4">
        <f>DATE(2014,4,2)</f>
        <v>41731</v>
      </c>
      <c r="E12341" s="5">
        <f t="shared" si="204"/>
        <v>2014</v>
      </c>
      <c r="F12341" s="3" t="s">
        <v>2025</v>
      </c>
      <c r="G12341" s="6">
        <v>20101.86</v>
      </c>
      <c r="H12341" s="5">
        <v>19532</v>
      </c>
    </row>
    <row r="12342" spans="2:8" x14ac:dyDescent="0.4">
      <c r="B12342" t="s">
        <v>7</v>
      </c>
      <c r="C12342" t="s">
        <v>2026</v>
      </c>
      <c r="D12342" s="7">
        <f>DATE(2018,3,30)</f>
        <v>43189</v>
      </c>
      <c r="E12342" s="8">
        <f t="shared" si="204"/>
        <v>2018</v>
      </c>
      <c r="F12342" t="s">
        <v>2027</v>
      </c>
      <c r="G12342" s="9">
        <v>7705</v>
      </c>
      <c r="H12342" s="8">
        <v>26712</v>
      </c>
    </row>
    <row r="12343" spans="2:8" x14ac:dyDescent="0.4">
      <c r="B12343" t="s">
        <v>7</v>
      </c>
      <c r="C12343" t="s">
        <v>2026</v>
      </c>
      <c r="D12343" s="7">
        <f>DATE(2018,4,17)</f>
        <v>43207</v>
      </c>
      <c r="E12343" s="8">
        <f t="shared" si="204"/>
        <v>2018</v>
      </c>
      <c r="F12343" t="s">
        <v>2027</v>
      </c>
      <c r="G12343" s="9">
        <v>69326.67</v>
      </c>
      <c r="H12343" s="8">
        <v>26511</v>
      </c>
    </row>
    <row r="12344" spans="2:8" x14ac:dyDescent="0.4">
      <c r="B12344" t="s">
        <v>7</v>
      </c>
      <c r="C12344" t="s">
        <v>2026</v>
      </c>
      <c r="D12344" s="7">
        <f>DATE(2019,4,25)</f>
        <v>43580</v>
      </c>
      <c r="E12344" s="8">
        <f t="shared" si="204"/>
        <v>2019</v>
      </c>
      <c r="F12344" t="s">
        <v>2027</v>
      </c>
      <c r="G12344" s="9">
        <v>34501.480000000003</v>
      </c>
      <c r="H12344" s="8">
        <v>28782</v>
      </c>
    </row>
    <row r="12345" spans="2:8" x14ac:dyDescent="0.4">
      <c r="B12345" t="s">
        <v>7</v>
      </c>
      <c r="C12345" t="s">
        <v>2026</v>
      </c>
      <c r="D12345" s="7">
        <f>DATE(2018,7,26)</f>
        <v>43307</v>
      </c>
      <c r="E12345" s="8">
        <f t="shared" si="204"/>
        <v>2018</v>
      </c>
      <c r="F12345" t="s">
        <v>2027</v>
      </c>
      <c r="G12345" s="9">
        <v>14300</v>
      </c>
      <c r="H12345" s="8">
        <v>27381</v>
      </c>
    </row>
    <row r="12346" spans="2:8" x14ac:dyDescent="0.4">
      <c r="B12346" t="s">
        <v>7</v>
      </c>
      <c r="C12346" t="s">
        <v>2026</v>
      </c>
      <c r="D12346" s="7">
        <f>DATE(2016,3,23)</f>
        <v>42452</v>
      </c>
      <c r="E12346" s="8">
        <f t="shared" si="204"/>
        <v>2016</v>
      </c>
      <c r="F12346" t="s">
        <v>2027</v>
      </c>
      <c r="G12346" s="9">
        <v>1218.5</v>
      </c>
      <c r="H12346" s="8">
        <v>21560</v>
      </c>
    </row>
    <row r="12347" spans="2:8" x14ac:dyDescent="0.4">
      <c r="B12347" t="s">
        <v>7</v>
      </c>
      <c r="C12347" t="s">
        <v>2026</v>
      </c>
      <c r="D12347" s="7">
        <f>DATE(2016,6,7)</f>
        <v>42528</v>
      </c>
      <c r="E12347" s="8">
        <f t="shared" si="204"/>
        <v>2016</v>
      </c>
      <c r="F12347" t="s">
        <v>2027</v>
      </c>
      <c r="G12347" s="9">
        <v>5655.1</v>
      </c>
      <c r="H12347" s="8">
        <v>22940</v>
      </c>
    </row>
    <row r="12348" spans="2:8" x14ac:dyDescent="0.4">
      <c r="B12348" t="s">
        <v>7</v>
      </c>
      <c r="C12348" t="s">
        <v>2026</v>
      </c>
      <c r="D12348" s="7">
        <f>DATE(2016,6,15)</f>
        <v>42536</v>
      </c>
      <c r="E12348" s="8">
        <f t="shared" si="204"/>
        <v>2016</v>
      </c>
      <c r="F12348" t="s">
        <v>2027</v>
      </c>
      <c r="G12348" s="9">
        <v>10434.64</v>
      </c>
      <c r="H12348" s="8">
        <v>22978</v>
      </c>
    </row>
    <row r="12349" spans="2:8" x14ac:dyDescent="0.4">
      <c r="B12349" t="s">
        <v>7</v>
      </c>
      <c r="C12349" t="s">
        <v>2026</v>
      </c>
      <c r="D12349" s="7">
        <f>DATE(2019,5,14)</f>
        <v>43599</v>
      </c>
      <c r="E12349" s="8">
        <f t="shared" si="204"/>
        <v>2019</v>
      </c>
      <c r="F12349" t="s">
        <v>2027</v>
      </c>
      <c r="G12349" s="9">
        <v>8735.42</v>
      </c>
      <c r="H12349" s="8">
        <v>28595</v>
      </c>
    </row>
    <row r="12350" spans="2:8" x14ac:dyDescent="0.4">
      <c r="B12350" s="3" t="s">
        <v>7</v>
      </c>
      <c r="C12350" s="3" t="s">
        <v>2028</v>
      </c>
      <c r="D12350" s="4">
        <f>DATE(2006,4,28)</f>
        <v>38835</v>
      </c>
      <c r="E12350" s="5">
        <f t="shared" si="204"/>
        <v>2006</v>
      </c>
      <c r="F12350" s="3" t="s">
        <v>2029</v>
      </c>
      <c r="G12350" s="6">
        <v>603.71</v>
      </c>
      <c r="H12350" s="5">
        <v>6638</v>
      </c>
    </row>
    <row r="12351" spans="2:8" x14ac:dyDescent="0.4">
      <c r="B12351" t="s">
        <v>7</v>
      </c>
      <c r="C12351" t="s">
        <v>2030</v>
      </c>
      <c r="D12351" s="7">
        <f>DATE(2018,8,28)</f>
        <v>43340</v>
      </c>
      <c r="E12351" s="8">
        <f t="shared" si="204"/>
        <v>2018</v>
      </c>
      <c r="F12351" t="s">
        <v>2031</v>
      </c>
      <c r="G12351" s="9">
        <v>10794.48</v>
      </c>
      <c r="H12351" s="8">
        <v>27448</v>
      </c>
    </row>
    <row r="12352" spans="2:8" x14ac:dyDescent="0.4">
      <c r="B12352" t="s">
        <v>7</v>
      </c>
      <c r="C12352" t="s">
        <v>2030</v>
      </c>
      <c r="D12352" s="7">
        <f>DATE(2011,5,5)</f>
        <v>40668</v>
      </c>
      <c r="E12352" s="8">
        <f t="shared" si="204"/>
        <v>2011</v>
      </c>
      <c r="F12352" t="s">
        <v>2031</v>
      </c>
      <c r="G12352" s="9">
        <v>11567.86</v>
      </c>
      <c r="H12352" s="8">
        <v>10721</v>
      </c>
    </row>
    <row r="12353" spans="2:8" x14ac:dyDescent="0.4">
      <c r="B12353" t="s">
        <v>7</v>
      </c>
      <c r="C12353" t="s">
        <v>2030</v>
      </c>
      <c r="D12353" s="7">
        <f>DATE(2014,11,12)</f>
        <v>41955</v>
      </c>
      <c r="E12353" s="8">
        <f t="shared" si="204"/>
        <v>2014</v>
      </c>
      <c r="F12353" t="s">
        <v>2031</v>
      </c>
      <c r="G12353" s="9">
        <v>28826</v>
      </c>
      <c r="H12353" s="8">
        <v>13542</v>
      </c>
    </row>
    <row r="12354" spans="2:8" x14ac:dyDescent="0.4">
      <c r="B12354" t="s">
        <v>7</v>
      </c>
      <c r="C12354" t="s">
        <v>2030</v>
      </c>
      <c r="D12354" s="7">
        <f>DATE(2014,11,12)</f>
        <v>41955</v>
      </c>
      <c r="E12354" s="8">
        <f t="shared" si="204"/>
        <v>2014</v>
      </c>
      <c r="F12354" t="s">
        <v>2031</v>
      </c>
      <c r="G12354" s="9">
        <v>28826</v>
      </c>
      <c r="H12354" s="8">
        <v>13593</v>
      </c>
    </row>
    <row r="12355" spans="2:8" x14ac:dyDescent="0.4">
      <c r="B12355" t="s">
        <v>7</v>
      </c>
      <c r="C12355" t="s">
        <v>2030</v>
      </c>
      <c r="D12355" s="7">
        <f>DATE(2014,12,5)</f>
        <v>41978</v>
      </c>
      <c r="E12355" s="8">
        <f t="shared" ref="E12355:E12418" si="205">YEAR(D12355)</f>
        <v>2014</v>
      </c>
      <c r="F12355" t="s">
        <v>2031</v>
      </c>
      <c r="G12355" s="9">
        <v>7492.7</v>
      </c>
      <c r="H12355" s="8">
        <v>13574</v>
      </c>
    </row>
    <row r="12356" spans="2:8" x14ac:dyDescent="0.4">
      <c r="B12356" t="s">
        <v>7</v>
      </c>
      <c r="C12356" t="s">
        <v>2030</v>
      </c>
      <c r="D12356" s="7">
        <f>DATE(2014,12,5)</f>
        <v>41978</v>
      </c>
      <c r="E12356" s="8">
        <f t="shared" si="205"/>
        <v>2014</v>
      </c>
      <c r="F12356" t="s">
        <v>2031</v>
      </c>
      <c r="G12356" s="9">
        <v>7492.69</v>
      </c>
      <c r="H12356" s="8">
        <v>13575</v>
      </c>
    </row>
    <row r="12357" spans="2:8" x14ac:dyDescent="0.4">
      <c r="B12357" s="3" t="s">
        <v>7</v>
      </c>
      <c r="C12357" s="3" t="s">
        <v>2032</v>
      </c>
      <c r="D12357" s="4">
        <f>DATE(2010,8,23)</f>
        <v>40413</v>
      </c>
      <c r="E12357" s="5">
        <f t="shared" si="205"/>
        <v>2010</v>
      </c>
      <c r="F12357" s="3" t="s">
        <v>2033</v>
      </c>
      <c r="G12357" s="6">
        <v>4370</v>
      </c>
      <c r="H12357" s="5">
        <v>14367</v>
      </c>
    </row>
    <row r="12358" spans="2:8" x14ac:dyDescent="0.4">
      <c r="B12358" s="3" t="s">
        <v>7</v>
      </c>
      <c r="C12358" s="3" t="s">
        <v>2032</v>
      </c>
      <c r="D12358" s="4">
        <f>DATE(2012,5,25)</f>
        <v>41054</v>
      </c>
      <c r="E12358" s="5">
        <f t="shared" si="205"/>
        <v>2012</v>
      </c>
      <c r="F12358" s="3" t="s">
        <v>2033</v>
      </c>
      <c r="G12358" s="6">
        <v>4372.5200000000004</v>
      </c>
      <c r="H12358" s="5">
        <v>17183</v>
      </c>
    </row>
    <row r="12359" spans="2:8" x14ac:dyDescent="0.4">
      <c r="B12359" t="s">
        <v>7</v>
      </c>
      <c r="C12359" t="s">
        <v>2032</v>
      </c>
      <c r="D12359" s="7">
        <f>DATE(2015,11,2)</f>
        <v>42310</v>
      </c>
      <c r="E12359" s="8">
        <f t="shared" si="205"/>
        <v>2015</v>
      </c>
      <c r="F12359" t="s">
        <v>2034</v>
      </c>
      <c r="G12359" s="9">
        <v>10925</v>
      </c>
      <c r="H12359" s="8">
        <v>21486</v>
      </c>
    </row>
    <row r="12360" spans="2:8" x14ac:dyDescent="0.4">
      <c r="B12360" t="s">
        <v>7</v>
      </c>
      <c r="C12360" t="s">
        <v>2032</v>
      </c>
      <c r="D12360" s="7">
        <f>DATE(2017,11,30)</f>
        <v>43069</v>
      </c>
      <c r="E12360" s="8">
        <f t="shared" si="205"/>
        <v>2017</v>
      </c>
      <c r="F12360" t="s">
        <v>2034</v>
      </c>
      <c r="G12360" s="9">
        <v>90.2</v>
      </c>
      <c r="H12360" s="8">
        <v>25917</v>
      </c>
    </row>
    <row r="12361" spans="2:8" x14ac:dyDescent="0.4">
      <c r="B12361" s="3" t="s">
        <v>7</v>
      </c>
      <c r="C12361" s="3" t="s">
        <v>2032</v>
      </c>
      <c r="D12361" s="4">
        <f>DATE(2007,6,21)</f>
        <v>39254</v>
      </c>
      <c r="E12361" s="5">
        <f t="shared" si="205"/>
        <v>2007</v>
      </c>
      <c r="F12361" s="3" t="s">
        <v>2034</v>
      </c>
      <c r="G12361" s="6">
        <v>6037.3</v>
      </c>
      <c r="H12361" s="5">
        <v>8797</v>
      </c>
    </row>
    <row r="12362" spans="2:8" x14ac:dyDescent="0.4">
      <c r="B12362" s="3" t="s">
        <v>7</v>
      </c>
      <c r="C12362" s="3" t="s">
        <v>2032</v>
      </c>
      <c r="D12362" s="4">
        <f>DATE(2004,9,25)</f>
        <v>38255</v>
      </c>
      <c r="E12362" s="5">
        <f t="shared" si="205"/>
        <v>2004</v>
      </c>
      <c r="F12362" s="3" t="s">
        <v>2034</v>
      </c>
      <c r="G12362" s="6">
        <v>6915.27</v>
      </c>
      <c r="H12362" s="5">
        <v>9214</v>
      </c>
    </row>
    <row r="12363" spans="2:8" x14ac:dyDescent="0.4">
      <c r="B12363" s="3" t="s">
        <v>7</v>
      </c>
      <c r="C12363" s="3" t="s">
        <v>2032</v>
      </c>
      <c r="D12363" s="4">
        <f>DATE(2007,12,20)</f>
        <v>39436</v>
      </c>
      <c r="E12363" s="5">
        <f t="shared" si="205"/>
        <v>2007</v>
      </c>
      <c r="F12363" s="3" t="s">
        <v>2034</v>
      </c>
      <c r="G12363" s="6">
        <v>5900.14</v>
      </c>
      <c r="H12363" s="5">
        <v>9602</v>
      </c>
    </row>
    <row r="12364" spans="2:8" x14ac:dyDescent="0.4">
      <c r="B12364" s="3" t="s">
        <v>7</v>
      </c>
      <c r="C12364" s="3" t="s">
        <v>2032</v>
      </c>
      <c r="D12364" s="4">
        <f>DATE(2008,1,15)</f>
        <v>39462</v>
      </c>
      <c r="E12364" s="5">
        <f t="shared" si="205"/>
        <v>2008</v>
      </c>
      <c r="F12364" s="3" t="s">
        <v>2034</v>
      </c>
      <c r="G12364" s="6">
        <v>10123.01</v>
      </c>
      <c r="H12364" s="5">
        <v>9721</v>
      </c>
    </row>
    <row r="12365" spans="2:8" x14ac:dyDescent="0.4">
      <c r="B12365" s="3" t="s">
        <v>7</v>
      </c>
      <c r="C12365" s="3" t="s">
        <v>2032</v>
      </c>
      <c r="D12365" s="4">
        <f>DATE(2010,1,14)</f>
        <v>40192</v>
      </c>
      <c r="E12365" s="5">
        <f t="shared" si="205"/>
        <v>2010</v>
      </c>
      <c r="F12365" s="3" t="s">
        <v>2034</v>
      </c>
      <c r="G12365" s="6">
        <v>83.04</v>
      </c>
      <c r="H12365" s="5">
        <v>13392</v>
      </c>
    </row>
    <row r="12366" spans="2:8" x14ac:dyDescent="0.4">
      <c r="B12366" s="3" t="s">
        <v>7</v>
      </c>
      <c r="C12366" s="3" t="s">
        <v>2032</v>
      </c>
      <c r="D12366" s="4">
        <f>DATE(2010,6,24)</f>
        <v>40353</v>
      </c>
      <c r="E12366" s="5">
        <f t="shared" si="205"/>
        <v>2010</v>
      </c>
      <c r="F12366" s="3" t="s">
        <v>2034</v>
      </c>
      <c r="G12366" s="6">
        <v>56.6</v>
      </c>
      <c r="H12366" s="5">
        <v>14213</v>
      </c>
    </row>
    <row r="12367" spans="2:8" x14ac:dyDescent="0.4">
      <c r="B12367" s="3" t="s">
        <v>7</v>
      </c>
      <c r="C12367" s="3" t="s">
        <v>2032</v>
      </c>
      <c r="D12367" s="4">
        <f>DATE(2010,6,25)</f>
        <v>40354</v>
      </c>
      <c r="E12367" s="5">
        <f t="shared" si="205"/>
        <v>2010</v>
      </c>
      <c r="F12367" s="3" t="s">
        <v>2034</v>
      </c>
      <c r="G12367" s="6">
        <v>56.6</v>
      </c>
      <c r="H12367" s="5">
        <v>14217</v>
      </c>
    </row>
    <row r="12368" spans="2:8" x14ac:dyDescent="0.4">
      <c r="B12368" s="3" t="s">
        <v>7</v>
      </c>
      <c r="C12368" s="3" t="s">
        <v>2032</v>
      </c>
      <c r="D12368" s="4">
        <f>DATE(2010,7,7)</f>
        <v>40366</v>
      </c>
      <c r="E12368" s="5">
        <f t="shared" si="205"/>
        <v>2010</v>
      </c>
      <c r="F12368" s="3" t="s">
        <v>2034</v>
      </c>
      <c r="G12368" s="6">
        <v>6555</v>
      </c>
      <c r="H12368" s="5">
        <v>14223</v>
      </c>
    </row>
    <row r="12369" spans="2:8" x14ac:dyDescent="0.4">
      <c r="B12369" s="3" t="s">
        <v>7</v>
      </c>
      <c r="C12369" s="3" t="s">
        <v>2032</v>
      </c>
      <c r="D12369" s="4">
        <f>DATE(2013,7,18)</f>
        <v>41473</v>
      </c>
      <c r="E12369" s="5">
        <f t="shared" si="205"/>
        <v>2013</v>
      </c>
      <c r="F12369" s="3" t="s">
        <v>2034</v>
      </c>
      <c r="G12369" s="6">
        <v>2370.1</v>
      </c>
      <c r="H12369" s="5">
        <v>18730</v>
      </c>
    </row>
    <row r="12370" spans="2:8" x14ac:dyDescent="0.4">
      <c r="B12370" s="3" t="s">
        <v>7</v>
      </c>
      <c r="C12370" s="3" t="s">
        <v>2032</v>
      </c>
      <c r="D12370" s="4">
        <f>DATE(2013,11,7)</f>
        <v>41585</v>
      </c>
      <c r="E12370" s="5">
        <f t="shared" si="205"/>
        <v>2013</v>
      </c>
      <c r="F12370" s="3" t="s">
        <v>2034</v>
      </c>
      <c r="G12370" s="6">
        <v>2370.1</v>
      </c>
      <c r="H12370" s="5">
        <v>19192</v>
      </c>
    </row>
    <row r="12371" spans="2:8" x14ac:dyDescent="0.4">
      <c r="B12371" s="3" t="s">
        <v>7</v>
      </c>
      <c r="C12371" s="3" t="s">
        <v>2032</v>
      </c>
      <c r="D12371" s="4">
        <f>DATE(2014,4,11)</f>
        <v>41740</v>
      </c>
      <c r="E12371" s="5">
        <f t="shared" si="205"/>
        <v>2014</v>
      </c>
      <c r="F12371" s="3" t="s">
        <v>2034</v>
      </c>
      <c r="G12371" s="6">
        <v>3525.31</v>
      </c>
      <c r="H12371" s="5">
        <v>19795</v>
      </c>
    </row>
    <row r="12372" spans="2:8" x14ac:dyDescent="0.4">
      <c r="B12372" s="3" t="s">
        <v>7</v>
      </c>
      <c r="C12372" s="3" t="s">
        <v>2032</v>
      </c>
      <c r="D12372" s="4">
        <f>DATE(2014,4,15)</f>
        <v>41744</v>
      </c>
      <c r="E12372" s="5">
        <f t="shared" si="205"/>
        <v>2014</v>
      </c>
      <c r="F12372" s="3" t="s">
        <v>2034</v>
      </c>
      <c r="G12372" s="6">
        <v>3524.96</v>
      </c>
      <c r="H12372" s="5">
        <v>19844</v>
      </c>
    </row>
    <row r="12373" spans="2:8" x14ac:dyDescent="0.4">
      <c r="B12373" s="3" t="s">
        <v>7</v>
      </c>
      <c r="C12373" s="3" t="s">
        <v>2032</v>
      </c>
      <c r="D12373" s="4">
        <f>DATE(2014,6,5)</f>
        <v>41795</v>
      </c>
      <c r="E12373" s="5">
        <f t="shared" si="205"/>
        <v>2014</v>
      </c>
      <c r="F12373" s="3" t="s">
        <v>2034</v>
      </c>
      <c r="G12373" s="6">
        <v>2370.1</v>
      </c>
      <c r="H12373" s="5">
        <v>20005</v>
      </c>
    </row>
    <row r="12374" spans="2:8" x14ac:dyDescent="0.4">
      <c r="B12374" s="3" t="s">
        <v>7</v>
      </c>
      <c r="C12374" s="3" t="s">
        <v>2035</v>
      </c>
      <c r="D12374" s="4">
        <f>DATE(2010,11,15)</f>
        <v>40497</v>
      </c>
      <c r="E12374" s="5">
        <f t="shared" si="205"/>
        <v>2010</v>
      </c>
      <c r="F12374" s="3" t="s">
        <v>2036</v>
      </c>
      <c r="G12374" s="6">
        <v>3686</v>
      </c>
      <c r="H12374" s="5">
        <v>14682</v>
      </c>
    </row>
    <row r="12375" spans="2:8" x14ac:dyDescent="0.4">
      <c r="B12375" s="3" t="s">
        <v>7</v>
      </c>
      <c r="C12375" s="3" t="s">
        <v>2035</v>
      </c>
      <c r="D12375" s="4">
        <f>DATE(2010,11,17)</f>
        <v>40499</v>
      </c>
      <c r="E12375" s="5">
        <f t="shared" si="205"/>
        <v>2010</v>
      </c>
      <c r="F12375" s="3" t="s">
        <v>2036</v>
      </c>
      <c r="G12375" s="6">
        <v>1256.47</v>
      </c>
      <c r="H12375" s="5">
        <v>14748</v>
      </c>
    </row>
    <row r="12376" spans="2:8" x14ac:dyDescent="0.4">
      <c r="B12376" s="3" t="s">
        <v>7</v>
      </c>
      <c r="C12376" s="3" t="s">
        <v>2035</v>
      </c>
      <c r="D12376" s="4">
        <f>DATE(2010,12,16)</f>
        <v>40528</v>
      </c>
      <c r="E12376" s="5">
        <f t="shared" si="205"/>
        <v>2010</v>
      </c>
      <c r="F12376" s="3" t="s">
        <v>2036</v>
      </c>
      <c r="G12376" s="6">
        <v>441</v>
      </c>
      <c r="H12376" s="5">
        <v>14833</v>
      </c>
    </row>
    <row r="12377" spans="2:8" x14ac:dyDescent="0.4">
      <c r="B12377" s="3" t="s">
        <v>7</v>
      </c>
      <c r="C12377" s="3" t="s">
        <v>2035</v>
      </c>
      <c r="D12377" s="4">
        <f>DATE(2011,1,25)</f>
        <v>40568</v>
      </c>
      <c r="E12377" s="5">
        <f t="shared" si="205"/>
        <v>2011</v>
      </c>
      <c r="F12377" s="3" t="s">
        <v>2036</v>
      </c>
      <c r="G12377" s="6">
        <v>254</v>
      </c>
      <c r="H12377" s="5">
        <v>14951</v>
      </c>
    </row>
    <row r="12378" spans="2:8" x14ac:dyDescent="0.4">
      <c r="B12378" s="3" t="s">
        <v>7</v>
      </c>
      <c r="C12378" s="3" t="s">
        <v>2035</v>
      </c>
      <c r="D12378" s="4">
        <f>DATE(2012,10,2)</f>
        <v>41184</v>
      </c>
      <c r="E12378" s="5">
        <f t="shared" si="205"/>
        <v>2012</v>
      </c>
      <c r="F12378" s="3" t="s">
        <v>2036</v>
      </c>
      <c r="G12378" s="6">
        <v>234.5</v>
      </c>
      <c r="H12378" s="5">
        <v>17665</v>
      </c>
    </row>
    <row r="12379" spans="2:8" x14ac:dyDescent="0.4">
      <c r="B12379" s="3" t="s">
        <v>7</v>
      </c>
      <c r="C12379" s="3" t="s">
        <v>2035</v>
      </c>
      <c r="D12379" s="4">
        <f>DATE(2014,7,22)</f>
        <v>41842</v>
      </c>
      <c r="E12379" s="5">
        <f t="shared" si="205"/>
        <v>2014</v>
      </c>
      <c r="F12379" s="3" t="s">
        <v>2036</v>
      </c>
      <c r="G12379" s="6">
        <v>2070</v>
      </c>
      <c r="H12379" s="5">
        <v>20186</v>
      </c>
    </row>
    <row r="12380" spans="2:8" x14ac:dyDescent="0.4">
      <c r="B12380" s="3" t="s">
        <v>7</v>
      </c>
      <c r="C12380" s="3" t="s">
        <v>2037</v>
      </c>
      <c r="D12380" s="4">
        <f>DATE(2007,3,2)</f>
        <v>39143</v>
      </c>
      <c r="E12380" s="5">
        <f t="shared" si="205"/>
        <v>2007</v>
      </c>
      <c r="F12380" s="3" t="s">
        <v>2038</v>
      </c>
      <c r="G12380" s="6">
        <v>4053.57</v>
      </c>
      <c r="H12380" s="5">
        <v>7825</v>
      </c>
    </row>
    <row r="12381" spans="2:8" x14ac:dyDescent="0.4">
      <c r="B12381" s="3" t="s">
        <v>7</v>
      </c>
      <c r="C12381" s="3" t="s">
        <v>2037</v>
      </c>
      <c r="D12381" s="4">
        <f>DATE(2007,4,5)</f>
        <v>39177</v>
      </c>
      <c r="E12381" s="5">
        <f t="shared" si="205"/>
        <v>2007</v>
      </c>
      <c r="F12381" s="3" t="s">
        <v>2038</v>
      </c>
      <c r="G12381" s="6">
        <v>2400</v>
      </c>
      <c r="H12381" s="5">
        <v>8324</v>
      </c>
    </row>
    <row r="12382" spans="2:8" x14ac:dyDescent="0.4">
      <c r="B12382" s="3" t="s">
        <v>7</v>
      </c>
      <c r="C12382" s="3" t="s">
        <v>2037</v>
      </c>
      <c r="D12382" s="4">
        <f>DATE(2007,5,11)</f>
        <v>39213</v>
      </c>
      <c r="E12382" s="5">
        <f t="shared" si="205"/>
        <v>2007</v>
      </c>
      <c r="F12382" s="3" t="s">
        <v>2038</v>
      </c>
      <c r="G12382" s="6">
        <v>1750</v>
      </c>
      <c r="H12382" s="5">
        <v>8552</v>
      </c>
    </row>
    <row r="12383" spans="2:8" x14ac:dyDescent="0.4">
      <c r="B12383" s="3" t="s">
        <v>7</v>
      </c>
      <c r="C12383" s="3" t="s">
        <v>2037</v>
      </c>
      <c r="D12383" s="4">
        <f>DATE(2007,6,5)</f>
        <v>39238</v>
      </c>
      <c r="E12383" s="5">
        <f t="shared" si="205"/>
        <v>2007</v>
      </c>
      <c r="F12383" s="3" t="s">
        <v>2038</v>
      </c>
      <c r="G12383" s="6">
        <v>5309.29</v>
      </c>
      <c r="H12383" s="5">
        <v>8707</v>
      </c>
    </row>
    <row r="12384" spans="2:8" x14ac:dyDescent="0.4">
      <c r="B12384" s="3" t="s">
        <v>7</v>
      </c>
      <c r="C12384" s="3" t="s">
        <v>2037</v>
      </c>
      <c r="D12384" s="4">
        <f>DATE(2007,10,29)</f>
        <v>39384</v>
      </c>
      <c r="E12384" s="5">
        <f t="shared" si="205"/>
        <v>2007</v>
      </c>
      <c r="F12384" s="3" t="s">
        <v>2038</v>
      </c>
      <c r="G12384" s="6">
        <v>4500</v>
      </c>
      <c r="H12384" s="5">
        <v>9404</v>
      </c>
    </row>
    <row r="12385" spans="2:8" x14ac:dyDescent="0.4">
      <c r="B12385" s="3" t="s">
        <v>7</v>
      </c>
      <c r="C12385" s="3" t="s">
        <v>2037</v>
      </c>
      <c r="D12385" s="4">
        <f>DATE(2007,11,5)</f>
        <v>39391</v>
      </c>
      <c r="E12385" s="5">
        <f t="shared" si="205"/>
        <v>2007</v>
      </c>
      <c r="F12385" s="3" t="s">
        <v>2038</v>
      </c>
      <c r="G12385" s="6">
        <v>2592.9699999999998</v>
      </c>
      <c r="H12385" s="5">
        <v>9438</v>
      </c>
    </row>
    <row r="12386" spans="2:8" x14ac:dyDescent="0.4">
      <c r="B12386" s="3" t="s">
        <v>7</v>
      </c>
      <c r="C12386" s="3" t="s">
        <v>2037</v>
      </c>
      <c r="D12386" s="4">
        <f>DATE(2007,11,2)</f>
        <v>39388</v>
      </c>
      <c r="E12386" s="5">
        <f t="shared" si="205"/>
        <v>2007</v>
      </c>
      <c r="F12386" s="3" t="s">
        <v>2038</v>
      </c>
      <c r="G12386" s="6">
        <v>6294.76</v>
      </c>
      <c r="H12386" s="5">
        <v>9423</v>
      </c>
    </row>
    <row r="12387" spans="2:8" x14ac:dyDescent="0.4">
      <c r="B12387" s="3" t="s">
        <v>7</v>
      </c>
      <c r="C12387" s="3" t="s">
        <v>2037</v>
      </c>
      <c r="D12387" s="4">
        <f>DATE(2007,11,29)</f>
        <v>39415</v>
      </c>
      <c r="E12387" s="5">
        <f t="shared" si="205"/>
        <v>2007</v>
      </c>
      <c r="F12387" s="3" t="s">
        <v>2038</v>
      </c>
      <c r="G12387" s="6">
        <v>1500</v>
      </c>
      <c r="H12387" s="5">
        <v>9528</v>
      </c>
    </row>
    <row r="12388" spans="2:8" x14ac:dyDescent="0.4">
      <c r="B12388" s="3" t="s">
        <v>7</v>
      </c>
      <c r="C12388" s="3" t="s">
        <v>2037</v>
      </c>
      <c r="D12388" s="4">
        <f>DATE(2007,12,20)</f>
        <v>39436</v>
      </c>
      <c r="E12388" s="5">
        <f t="shared" si="205"/>
        <v>2007</v>
      </c>
      <c r="F12388" s="3" t="s">
        <v>2038</v>
      </c>
      <c r="G12388" s="6">
        <v>1900</v>
      </c>
      <c r="H12388" s="5">
        <v>9626</v>
      </c>
    </row>
    <row r="12389" spans="2:8" x14ac:dyDescent="0.4">
      <c r="B12389" s="3" t="s">
        <v>7</v>
      </c>
      <c r="C12389" s="3" t="s">
        <v>2037</v>
      </c>
      <c r="D12389" s="4">
        <f>DATE(2007,12,21)</f>
        <v>39437</v>
      </c>
      <c r="E12389" s="5">
        <f t="shared" si="205"/>
        <v>2007</v>
      </c>
      <c r="F12389" s="3" t="s">
        <v>2038</v>
      </c>
      <c r="G12389" s="6">
        <v>4775</v>
      </c>
      <c r="H12389" s="5">
        <v>9614</v>
      </c>
    </row>
    <row r="12390" spans="2:8" x14ac:dyDescent="0.4">
      <c r="B12390" s="3" t="s">
        <v>7</v>
      </c>
      <c r="C12390" s="3" t="s">
        <v>2037</v>
      </c>
      <c r="D12390" s="4">
        <f>DATE(2008,3,20)</f>
        <v>39527</v>
      </c>
      <c r="E12390" s="5">
        <f t="shared" si="205"/>
        <v>2008</v>
      </c>
      <c r="F12390" s="3" t="s">
        <v>2038</v>
      </c>
      <c r="G12390" s="6">
        <v>2500</v>
      </c>
      <c r="H12390" s="5">
        <v>10277</v>
      </c>
    </row>
    <row r="12391" spans="2:8" x14ac:dyDescent="0.4">
      <c r="B12391" s="3" t="s">
        <v>16</v>
      </c>
      <c r="C12391" s="3" t="s">
        <v>2037</v>
      </c>
      <c r="D12391" s="4">
        <f>DATE(2009,9,28)</f>
        <v>40084</v>
      </c>
      <c r="E12391" s="5">
        <f t="shared" si="205"/>
        <v>2009</v>
      </c>
      <c r="F12391" s="3" t="s">
        <v>2038</v>
      </c>
      <c r="G12391" s="6">
        <v>4500</v>
      </c>
      <c r="H12391" s="5">
        <v>13076</v>
      </c>
    </row>
    <row r="12392" spans="2:8" x14ac:dyDescent="0.4">
      <c r="B12392" t="s">
        <v>7</v>
      </c>
      <c r="C12392" t="s">
        <v>2039</v>
      </c>
      <c r="D12392" s="7">
        <f>DATE(2016,1,27)</f>
        <v>42396</v>
      </c>
      <c r="E12392" s="8">
        <f t="shared" si="205"/>
        <v>2016</v>
      </c>
      <c r="F12392" t="s">
        <v>2040</v>
      </c>
      <c r="G12392" s="9">
        <v>22924.67</v>
      </c>
      <c r="H12392" s="8">
        <v>21679</v>
      </c>
    </row>
    <row r="12393" spans="2:8" x14ac:dyDescent="0.4">
      <c r="B12393" t="s">
        <v>7</v>
      </c>
      <c r="C12393" t="s">
        <v>2039</v>
      </c>
      <c r="D12393" s="7">
        <f>DATE(2017,2,27)</f>
        <v>42793</v>
      </c>
      <c r="E12393" s="8">
        <f t="shared" si="205"/>
        <v>2017</v>
      </c>
      <c r="F12393" t="s">
        <v>2040</v>
      </c>
      <c r="G12393" s="9">
        <v>23325.040000000001</v>
      </c>
      <c r="H12393" s="8">
        <v>24132</v>
      </c>
    </row>
    <row r="12394" spans="2:8" x14ac:dyDescent="0.4">
      <c r="B12394" t="s">
        <v>7</v>
      </c>
      <c r="C12394" t="s">
        <v>2039</v>
      </c>
      <c r="D12394" s="7">
        <f>DATE(2016,11,1)</f>
        <v>42675</v>
      </c>
      <c r="E12394" s="8">
        <f t="shared" si="205"/>
        <v>2016</v>
      </c>
      <c r="F12394" t="s">
        <v>2040</v>
      </c>
      <c r="G12394" s="9">
        <v>14125.37</v>
      </c>
      <c r="H12394" s="8">
        <v>23689</v>
      </c>
    </row>
    <row r="12395" spans="2:8" x14ac:dyDescent="0.4">
      <c r="B12395" t="s">
        <v>7</v>
      </c>
      <c r="C12395" t="s">
        <v>2039</v>
      </c>
      <c r="D12395" s="7">
        <f>DATE(2010,2,17)</f>
        <v>40226</v>
      </c>
      <c r="E12395" s="8">
        <f t="shared" si="205"/>
        <v>2010</v>
      </c>
      <c r="F12395" t="s">
        <v>2040</v>
      </c>
      <c r="G12395" s="9">
        <v>5263</v>
      </c>
      <c r="H12395" s="8">
        <v>9424</v>
      </c>
    </row>
    <row r="12396" spans="2:8" x14ac:dyDescent="0.4">
      <c r="B12396" t="s">
        <v>7</v>
      </c>
      <c r="C12396" t="s">
        <v>2039</v>
      </c>
      <c r="D12396" s="7">
        <f>DATE(2010,2,17)</f>
        <v>40226</v>
      </c>
      <c r="E12396" s="8">
        <f t="shared" si="205"/>
        <v>2010</v>
      </c>
      <c r="F12396" t="s">
        <v>2040</v>
      </c>
      <c r="G12396" s="9">
        <v>9821.2000000000007</v>
      </c>
      <c r="H12396" s="8">
        <v>9389</v>
      </c>
    </row>
    <row r="12397" spans="2:8" x14ac:dyDescent="0.4">
      <c r="B12397" t="s">
        <v>7</v>
      </c>
      <c r="C12397" t="s">
        <v>2039</v>
      </c>
      <c r="D12397" s="7">
        <f>DATE(2014,1,7)</f>
        <v>41646</v>
      </c>
      <c r="E12397" s="8">
        <f t="shared" si="205"/>
        <v>2014</v>
      </c>
      <c r="F12397" t="s">
        <v>2040</v>
      </c>
      <c r="G12397" s="9">
        <v>31264.3</v>
      </c>
      <c r="H12397" s="8">
        <v>12850</v>
      </c>
    </row>
    <row r="12398" spans="2:8" x14ac:dyDescent="0.4">
      <c r="B12398" t="s">
        <v>7</v>
      </c>
      <c r="C12398" t="s">
        <v>2039</v>
      </c>
      <c r="D12398" s="7">
        <f>DATE(2014,4,3)</f>
        <v>41732</v>
      </c>
      <c r="E12398" s="8">
        <f t="shared" si="205"/>
        <v>2014</v>
      </c>
      <c r="F12398" t="s">
        <v>2040</v>
      </c>
      <c r="G12398" s="9">
        <v>23047.62</v>
      </c>
      <c r="H12398" s="8">
        <v>13057</v>
      </c>
    </row>
    <row r="12399" spans="2:8" x14ac:dyDescent="0.4">
      <c r="B12399" t="s">
        <v>7</v>
      </c>
      <c r="C12399" t="s">
        <v>2039</v>
      </c>
      <c r="D12399" s="7">
        <f>DATE(2014,12,3)</f>
        <v>41976</v>
      </c>
      <c r="E12399" s="8">
        <f t="shared" si="205"/>
        <v>2014</v>
      </c>
      <c r="F12399" t="s">
        <v>2040</v>
      </c>
      <c r="G12399" s="9">
        <v>6091.46</v>
      </c>
      <c r="H12399" s="8">
        <v>13621</v>
      </c>
    </row>
    <row r="12400" spans="2:8" x14ac:dyDescent="0.4">
      <c r="B12400" s="3" t="s">
        <v>7</v>
      </c>
      <c r="C12400" s="3" t="s">
        <v>2039</v>
      </c>
      <c r="D12400" s="4">
        <f>DATE(2004,4,21)</f>
        <v>38098</v>
      </c>
      <c r="E12400" s="5">
        <f t="shared" si="205"/>
        <v>2004</v>
      </c>
      <c r="F12400" s="3" t="s">
        <v>2040</v>
      </c>
      <c r="G12400" s="6">
        <v>290.88</v>
      </c>
      <c r="H12400" s="5">
        <v>2706</v>
      </c>
    </row>
    <row r="12401" spans="2:8" x14ac:dyDescent="0.4">
      <c r="B12401" s="3" t="s">
        <v>7</v>
      </c>
      <c r="C12401" s="3" t="s">
        <v>2039</v>
      </c>
      <c r="D12401" s="4">
        <f>DATE(2004,4,28)</f>
        <v>38105</v>
      </c>
      <c r="E12401" s="5">
        <f t="shared" si="205"/>
        <v>2004</v>
      </c>
      <c r="F12401" s="3" t="s">
        <v>2040</v>
      </c>
      <c r="G12401" s="6">
        <v>173.3</v>
      </c>
      <c r="H12401" s="5">
        <v>2774</v>
      </c>
    </row>
    <row r="12402" spans="2:8" x14ac:dyDescent="0.4">
      <c r="B12402" s="3" t="s">
        <v>7</v>
      </c>
      <c r="C12402" s="3" t="s">
        <v>2039</v>
      </c>
      <c r="D12402" s="4">
        <f>DATE(2005,3,8)</f>
        <v>38419</v>
      </c>
      <c r="E12402" s="5">
        <f t="shared" si="205"/>
        <v>2005</v>
      </c>
      <c r="F12402" s="3" t="s">
        <v>2040</v>
      </c>
      <c r="G12402" s="6">
        <v>12330.94</v>
      </c>
      <c r="H12402" s="5">
        <v>4264</v>
      </c>
    </row>
    <row r="12403" spans="2:8" x14ac:dyDescent="0.4">
      <c r="B12403" s="3" t="s">
        <v>7</v>
      </c>
      <c r="C12403" s="3" t="s">
        <v>2039</v>
      </c>
      <c r="D12403" s="4">
        <f>DATE(2005,4,5)</f>
        <v>38447</v>
      </c>
      <c r="E12403" s="5">
        <f t="shared" si="205"/>
        <v>2005</v>
      </c>
      <c r="F12403" s="3" t="s">
        <v>2040</v>
      </c>
      <c r="G12403" s="6">
        <v>12330.94</v>
      </c>
      <c r="H12403" s="5">
        <v>4455</v>
      </c>
    </row>
    <row r="12404" spans="2:8" x14ac:dyDescent="0.4">
      <c r="B12404" s="3" t="s">
        <v>7</v>
      </c>
      <c r="C12404" s="3" t="s">
        <v>2039</v>
      </c>
      <c r="D12404" s="4">
        <f>DATE(2005,4,26)</f>
        <v>38468</v>
      </c>
      <c r="E12404" s="5">
        <f t="shared" si="205"/>
        <v>2005</v>
      </c>
      <c r="F12404" s="3" t="s">
        <v>2040</v>
      </c>
      <c r="G12404" s="6">
        <v>360.38</v>
      </c>
      <c r="H12404" s="5">
        <v>4635</v>
      </c>
    </row>
    <row r="12405" spans="2:8" x14ac:dyDescent="0.4">
      <c r="B12405" s="3" t="s">
        <v>7</v>
      </c>
      <c r="C12405" s="3" t="s">
        <v>2039</v>
      </c>
      <c r="D12405" s="4">
        <f>DATE(2009,3,5)</f>
        <v>39877</v>
      </c>
      <c r="E12405" s="5">
        <f t="shared" si="205"/>
        <v>2009</v>
      </c>
      <c r="F12405" s="3" t="s">
        <v>2040</v>
      </c>
      <c r="G12405" s="6">
        <v>23811.14</v>
      </c>
      <c r="H12405" s="5">
        <v>12101</v>
      </c>
    </row>
    <row r="12406" spans="2:8" x14ac:dyDescent="0.4">
      <c r="B12406" s="3" t="s">
        <v>7</v>
      </c>
      <c r="C12406" s="3" t="s">
        <v>2039</v>
      </c>
      <c r="D12406" s="4">
        <f>DATE(2012,2,24)</f>
        <v>40963</v>
      </c>
      <c r="E12406" s="5">
        <f t="shared" si="205"/>
        <v>2012</v>
      </c>
      <c r="F12406" s="3" t="s">
        <v>2040</v>
      </c>
      <c r="G12406" s="6">
        <v>10361.379999999999</v>
      </c>
      <c r="H12406" s="5">
        <v>16560</v>
      </c>
    </row>
    <row r="12407" spans="2:8" x14ac:dyDescent="0.4">
      <c r="B12407" s="3" t="s">
        <v>7</v>
      </c>
      <c r="C12407" s="3" t="s">
        <v>2039</v>
      </c>
      <c r="D12407" s="4">
        <f>DATE(2012,10,24)</f>
        <v>41206</v>
      </c>
      <c r="E12407" s="5">
        <f t="shared" si="205"/>
        <v>2012</v>
      </c>
      <c r="F12407" s="3" t="s">
        <v>2040</v>
      </c>
      <c r="G12407" s="6">
        <v>159.47</v>
      </c>
      <c r="H12407" s="5">
        <v>17757</v>
      </c>
    </row>
    <row r="12408" spans="2:8" x14ac:dyDescent="0.4">
      <c r="B12408" s="3" t="s">
        <v>7</v>
      </c>
      <c r="C12408" s="3" t="s">
        <v>2039</v>
      </c>
      <c r="D12408" s="4">
        <f>DATE(2003,4,3)</f>
        <v>37714</v>
      </c>
      <c r="E12408" s="5">
        <f t="shared" si="205"/>
        <v>2003</v>
      </c>
      <c r="F12408" s="3" t="s">
        <v>2041</v>
      </c>
      <c r="G12408" s="6">
        <v>3961.97</v>
      </c>
      <c r="H12408" s="5">
        <v>672</v>
      </c>
    </row>
    <row r="12409" spans="2:8" x14ac:dyDescent="0.4">
      <c r="B12409" s="3" t="s">
        <v>7</v>
      </c>
      <c r="C12409" s="3" t="s">
        <v>2039</v>
      </c>
      <c r="D12409" s="4">
        <f>DATE(2004,3,31)</f>
        <v>38077</v>
      </c>
      <c r="E12409" s="5">
        <f t="shared" si="205"/>
        <v>2004</v>
      </c>
      <c r="F12409" s="3" t="s">
        <v>2041</v>
      </c>
      <c r="G12409" s="6">
        <v>7801.55</v>
      </c>
      <c r="H12409" s="5">
        <v>2472</v>
      </c>
    </row>
    <row r="12410" spans="2:8" x14ac:dyDescent="0.4">
      <c r="B12410" s="3" t="s">
        <v>7</v>
      </c>
      <c r="C12410" s="3" t="s">
        <v>2042</v>
      </c>
      <c r="D12410" s="4">
        <f>DATE(2007,10,2)</f>
        <v>39357</v>
      </c>
      <c r="E12410" s="5">
        <f t="shared" si="205"/>
        <v>2007</v>
      </c>
      <c r="F12410" s="3" t="s">
        <v>2043</v>
      </c>
      <c r="G12410" s="6">
        <v>7995</v>
      </c>
      <c r="H12410" s="5">
        <v>9012</v>
      </c>
    </row>
    <row r="12411" spans="2:8" x14ac:dyDescent="0.4">
      <c r="B12411" s="3" t="s">
        <v>7</v>
      </c>
      <c r="C12411" s="3" t="s">
        <v>2042</v>
      </c>
      <c r="D12411" s="4">
        <f>DATE(2008,4,21)</f>
        <v>39559</v>
      </c>
      <c r="E12411" s="5">
        <f t="shared" si="205"/>
        <v>2008</v>
      </c>
      <c r="F12411" s="3" t="s">
        <v>2043</v>
      </c>
      <c r="G12411" s="6">
        <v>16568.64</v>
      </c>
      <c r="H12411" s="5">
        <v>10417</v>
      </c>
    </row>
    <row r="12412" spans="2:8" x14ac:dyDescent="0.4">
      <c r="B12412" s="3" t="s">
        <v>7</v>
      </c>
      <c r="C12412" s="3" t="s">
        <v>2042</v>
      </c>
      <c r="D12412" s="4">
        <f>DATE(2010,2,17)</f>
        <v>40226</v>
      </c>
      <c r="E12412" s="5">
        <f t="shared" si="205"/>
        <v>2010</v>
      </c>
      <c r="F12412" s="3" t="s">
        <v>2043</v>
      </c>
      <c r="G12412" s="6">
        <v>6339.97</v>
      </c>
      <c r="H12412" s="5">
        <v>13589</v>
      </c>
    </row>
    <row r="12413" spans="2:8" x14ac:dyDescent="0.4">
      <c r="B12413" t="s">
        <v>7</v>
      </c>
      <c r="C12413" t="s">
        <v>2044</v>
      </c>
      <c r="D12413" s="7">
        <f>DATE(2015,4,28)</f>
        <v>42122</v>
      </c>
      <c r="E12413" s="8">
        <f t="shared" si="205"/>
        <v>2015</v>
      </c>
      <c r="F12413" t="s">
        <v>2045</v>
      </c>
      <c r="G12413" s="9">
        <v>9653.51</v>
      </c>
      <c r="H12413" s="8">
        <v>288</v>
      </c>
    </row>
    <row r="12414" spans="2:8" x14ac:dyDescent="0.4">
      <c r="B12414" t="s">
        <v>7</v>
      </c>
      <c r="C12414" t="s">
        <v>2044</v>
      </c>
      <c r="D12414" s="7">
        <f>DATE(2016,4,7)</f>
        <v>42467</v>
      </c>
      <c r="E12414" s="8">
        <f t="shared" si="205"/>
        <v>2016</v>
      </c>
      <c r="F12414" t="s">
        <v>2045</v>
      </c>
      <c r="G12414" s="9">
        <v>9873.51</v>
      </c>
      <c r="H12414" s="8">
        <v>22080</v>
      </c>
    </row>
    <row r="12415" spans="2:8" x14ac:dyDescent="0.4">
      <c r="B12415" t="s">
        <v>7</v>
      </c>
      <c r="C12415" t="s">
        <v>2044</v>
      </c>
      <c r="D12415" s="7">
        <f>DATE(2016,6,16)</f>
        <v>42537</v>
      </c>
      <c r="E12415" s="8">
        <f t="shared" si="205"/>
        <v>2016</v>
      </c>
      <c r="F12415" t="s">
        <v>2045</v>
      </c>
      <c r="G12415" s="9">
        <v>9879.67</v>
      </c>
      <c r="H12415" s="8">
        <v>22957</v>
      </c>
    </row>
    <row r="12416" spans="2:8" x14ac:dyDescent="0.4">
      <c r="B12416" t="s">
        <v>7</v>
      </c>
      <c r="C12416" t="s">
        <v>2044</v>
      </c>
      <c r="D12416" s="7">
        <f>DATE(2017,3,30)</f>
        <v>42824</v>
      </c>
      <c r="E12416" s="8">
        <f t="shared" si="205"/>
        <v>2017</v>
      </c>
      <c r="F12416" t="s">
        <v>2045</v>
      </c>
      <c r="G12416" s="9">
        <v>9907.7199999999993</v>
      </c>
      <c r="H12416" s="8">
        <v>24416</v>
      </c>
    </row>
    <row r="12417" spans="2:8" x14ac:dyDescent="0.4">
      <c r="B12417" t="s">
        <v>7</v>
      </c>
      <c r="C12417" t="s">
        <v>2044</v>
      </c>
      <c r="D12417" s="7">
        <f>DATE(2018,3,12)</f>
        <v>43171</v>
      </c>
      <c r="E12417" s="8">
        <f t="shared" si="205"/>
        <v>2018</v>
      </c>
      <c r="F12417" t="s">
        <v>2045</v>
      </c>
      <c r="G12417" s="9">
        <v>9653.51</v>
      </c>
      <c r="H12417" s="8">
        <v>26369</v>
      </c>
    </row>
    <row r="12418" spans="2:8" x14ac:dyDescent="0.4">
      <c r="B12418" t="s">
        <v>7</v>
      </c>
      <c r="C12418" t="s">
        <v>2044</v>
      </c>
      <c r="D12418" s="7">
        <f>DATE(2018,10,1)</f>
        <v>43374</v>
      </c>
      <c r="E12418" s="8">
        <f t="shared" si="205"/>
        <v>2018</v>
      </c>
      <c r="F12418" t="s">
        <v>2045</v>
      </c>
      <c r="G12418" s="9">
        <v>12897.5</v>
      </c>
      <c r="H12418" s="8">
        <v>27490</v>
      </c>
    </row>
    <row r="12419" spans="2:8" x14ac:dyDescent="0.4">
      <c r="B12419" t="s">
        <v>7</v>
      </c>
      <c r="C12419" t="s">
        <v>2044</v>
      </c>
      <c r="D12419" s="7">
        <f>DATE(2019,1,30)</f>
        <v>43495</v>
      </c>
      <c r="E12419" s="8">
        <f t="shared" ref="E12419:E12482" si="206">YEAR(D12419)</f>
        <v>2019</v>
      </c>
      <c r="F12419" t="s">
        <v>2045</v>
      </c>
      <c r="G12419" s="9">
        <v>17500</v>
      </c>
      <c r="H12419" s="8">
        <v>27659</v>
      </c>
    </row>
    <row r="12420" spans="2:8" x14ac:dyDescent="0.4">
      <c r="B12420" t="s">
        <v>7</v>
      </c>
      <c r="C12420" t="s">
        <v>2044</v>
      </c>
      <c r="D12420" s="7">
        <f>DATE(2019,3,28)</f>
        <v>43552</v>
      </c>
      <c r="E12420" s="8">
        <f t="shared" si="206"/>
        <v>2019</v>
      </c>
      <c r="F12420" t="s">
        <v>2045</v>
      </c>
      <c r="G12420" s="9">
        <v>10259</v>
      </c>
      <c r="H12420" s="8">
        <v>28627</v>
      </c>
    </row>
    <row r="12421" spans="2:8" x14ac:dyDescent="0.4">
      <c r="B12421" t="s">
        <v>7</v>
      </c>
      <c r="C12421" t="s">
        <v>2044</v>
      </c>
      <c r="D12421" s="7">
        <f>DATE(2017,5,24)</f>
        <v>42879</v>
      </c>
      <c r="E12421" s="8">
        <f t="shared" si="206"/>
        <v>2017</v>
      </c>
      <c r="F12421" t="s">
        <v>2045</v>
      </c>
      <c r="G12421" s="9">
        <v>6600</v>
      </c>
      <c r="H12421" s="8">
        <v>24883</v>
      </c>
    </row>
    <row r="12422" spans="2:8" x14ac:dyDescent="0.4">
      <c r="B12422" t="s">
        <v>7</v>
      </c>
      <c r="C12422" t="s">
        <v>2044</v>
      </c>
      <c r="D12422" s="7">
        <f>DATE(2018,10,1)</f>
        <v>43374</v>
      </c>
      <c r="E12422" s="8">
        <f t="shared" si="206"/>
        <v>2018</v>
      </c>
      <c r="F12422" t="s">
        <v>2045</v>
      </c>
      <c r="G12422" s="9">
        <v>11900</v>
      </c>
      <c r="H12422" s="8">
        <v>27491</v>
      </c>
    </row>
    <row r="12423" spans="2:8" x14ac:dyDescent="0.4">
      <c r="B12423" t="s">
        <v>7</v>
      </c>
      <c r="C12423" t="s">
        <v>2044</v>
      </c>
      <c r="D12423" s="7">
        <f>DATE(2019,2,19)</f>
        <v>43515</v>
      </c>
      <c r="E12423" s="8">
        <f t="shared" si="206"/>
        <v>2019</v>
      </c>
      <c r="F12423" t="s">
        <v>2045</v>
      </c>
      <c r="G12423" s="9">
        <v>16900</v>
      </c>
      <c r="H12423" s="8">
        <v>27661</v>
      </c>
    </row>
    <row r="12424" spans="2:8" x14ac:dyDescent="0.4">
      <c r="B12424" t="s">
        <v>7</v>
      </c>
      <c r="C12424" t="s">
        <v>2044</v>
      </c>
      <c r="D12424" s="7">
        <f>DATE(2012,3,16)</f>
        <v>40984</v>
      </c>
      <c r="E12424" s="8">
        <f t="shared" si="206"/>
        <v>2012</v>
      </c>
      <c r="F12424" t="s">
        <v>2045</v>
      </c>
      <c r="G12424" s="9">
        <v>10735</v>
      </c>
      <c r="H12424" s="8">
        <v>11325</v>
      </c>
    </row>
    <row r="12425" spans="2:8" x14ac:dyDescent="0.4">
      <c r="B12425" t="s">
        <v>7</v>
      </c>
      <c r="C12425" t="s">
        <v>2044</v>
      </c>
      <c r="D12425" s="7">
        <f>DATE(2003,8,28)</f>
        <v>37861</v>
      </c>
      <c r="E12425" s="8">
        <f t="shared" si="206"/>
        <v>2003</v>
      </c>
      <c r="F12425" t="s">
        <v>2045</v>
      </c>
      <c r="G12425" s="9">
        <v>9392.7000000000007</v>
      </c>
      <c r="H12425" s="8">
        <v>820</v>
      </c>
    </row>
    <row r="12426" spans="2:8" x14ac:dyDescent="0.4">
      <c r="B12426" t="s">
        <v>7</v>
      </c>
      <c r="C12426" t="s">
        <v>2044</v>
      </c>
      <c r="D12426" s="7">
        <f>DATE(2004,4,30)</f>
        <v>38107</v>
      </c>
      <c r="E12426" s="8">
        <f t="shared" si="206"/>
        <v>2004</v>
      </c>
      <c r="F12426" t="s">
        <v>2045</v>
      </c>
      <c r="G12426" s="9">
        <v>12709.48</v>
      </c>
      <c r="H12426" s="8">
        <v>1607</v>
      </c>
    </row>
    <row r="12427" spans="2:8" x14ac:dyDescent="0.4">
      <c r="B12427" t="s">
        <v>7</v>
      </c>
      <c r="C12427" t="s">
        <v>2044</v>
      </c>
      <c r="D12427" s="7">
        <f>DATE(2004,4,30)</f>
        <v>38107</v>
      </c>
      <c r="E12427" s="8">
        <f t="shared" si="206"/>
        <v>2004</v>
      </c>
      <c r="F12427" t="s">
        <v>2045</v>
      </c>
      <c r="G12427" s="9">
        <v>3791.25</v>
      </c>
      <c r="H12427" s="8">
        <v>1578</v>
      </c>
    </row>
    <row r="12428" spans="2:8" x14ac:dyDescent="0.4">
      <c r="B12428" t="s">
        <v>7</v>
      </c>
      <c r="C12428" t="s">
        <v>2044</v>
      </c>
      <c r="D12428" s="7">
        <f>DATE(2005,10,5)</f>
        <v>38630</v>
      </c>
      <c r="E12428" s="8">
        <f t="shared" si="206"/>
        <v>2005</v>
      </c>
      <c r="F12428" t="s">
        <v>2045</v>
      </c>
      <c r="G12428" s="9">
        <v>8986.83</v>
      </c>
      <c r="H12428" s="8">
        <v>3647</v>
      </c>
    </row>
    <row r="12429" spans="2:8" x14ac:dyDescent="0.4">
      <c r="B12429" t="s">
        <v>7</v>
      </c>
      <c r="C12429" t="s">
        <v>2044</v>
      </c>
      <c r="D12429" s="7">
        <f>DATE(2006,9,14)</f>
        <v>38974</v>
      </c>
      <c r="E12429" s="8">
        <f t="shared" si="206"/>
        <v>2006</v>
      </c>
      <c r="F12429" t="s">
        <v>2045</v>
      </c>
      <c r="G12429" s="9">
        <v>7661.83</v>
      </c>
      <c r="H12429" s="8">
        <v>4983</v>
      </c>
    </row>
    <row r="12430" spans="2:8" x14ac:dyDescent="0.4">
      <c r="B12430" t="s">
        <v>7</v>
      </c>
      <c r="C12430" t="s">
        <v>2044</v>
      </c>
      <c r="D12430" s="7">
        <f>DATE(2008,2,13)</f>
        <v>39491</v>
      </c>
      <c r="E12430" s="8">
        <f t="shared" si="206"/>
        <v>2008</v>
      </c>
      <c r="F12430" t="s">
        <v>2045</v>
      </c>
      <c r="G12430" s="9">
        <v>6596.7</v>
      </c>
      <c r="H12430" s="8">
        <v>6713</v>
      </c>
    </row>
    <row r="12431" spans="2:8" x14ac:dyDescent="0.4">
      <c r="B12431" t="s">
        <v>7</v>
      </c>
      <c r="C12431" t="s">
        <v>2044</v>
      </c>
      <c r="D12431" s="7">
        <f>DATE(2009,2,16)</f>
        <v>39860</v>
      </c>
      <c r="E12431" s="8">
        <f t="shared" si="206"/>
        <v>2009</v>
      </c>
      <c r="F12431" t="s">
        <v>2045</v>
      </c>
      <c r="G12431" s="9">
        <v>6839.7</v>
      </c>
      <c r="H12431" s="8">
        <v>8321</v>
      </c>
    </row>
    <row r="12432" spans="2:8" x14ac:dyDescent="0.4">
      <c r="B12432" t="s">
        <v>7</v>
      </c>
      <c r="C12432" t="s">
        <v>2044</v>
      </c>
      <c r="D12432" s="7">
        <f>DATE(2010,3,19)</f>
        <v>40256</v>
      </c>
      <c r="E12432" s="8">
        <f t="shared" si="206"/>
        <v>2010</v>
      </c>
      <c r="F12432" t="s">
        <v>2045</v>
      </c>
      <c r="G12432" s="9">
        <v>7311.7</v>
      </c>
      <c r="H12432" s="8">
        <v>9622</v>
      </c>
    </row>
    <row r="12433" spans="2:8" x14ac:dyDescent="0.4">
      <c r="B12433" t="s">
        <v>7</v>
      </c>
      <c r="C12433" t="s">
        <v>2044</v>
      </c>
      <c r="D12433" s="7">
        <f>DATE(2011,2,25)</f>
        <v>40599</v>
      </c>
      <c r="E12433" s="8">
        <f t="shared" si="206"/>
        <v>2011</v>
      </c>
      <c r="F12433" t="s">
        <v>2045</v>
      </c>
      <c r="G12433" s="9">
        <v>11262</v>
      </c>
      <c r="H12433" s="8">
        <v>10407</v>
      </c>
    </row>
    <row r="12434" spans="2:8" x14ac:dyDescent="0.4">
      <c r="B12434" t="s">
        <v>7</v>
      </c>
      <c r="C12434" t="s">
        <v>2044</v>
      </c>
      <c r="D12434" s="7">
        <f>DATE(2011,11,14)</f>
        <v>40861</v>
      </c>
      <c r="E12434" s="8">
        <f t="shared" si="206"/>
        <v>2011</v>
      </c>
      <c r="F12434" t="s">
        <v>2045</v>
      </c>
      <c r="G12434" s="9">
        <v>6701.83</v>
      </c>
      <c r="H12434" s="8">
        <v>11126</v>
      </c>
    </row>
    <row r="12435" spans="2:8" x14ac:dyDescent="0.4">
      <c r="B12435" t="s">
        <v>7</v>
      </c>
      <c r="C12435" t="s">
        <v>2044</v>
      </c>
      <c r="D12435" s="7">
        <f>DATE(2012,3,16)</f>
        <v>40984</v>
      </c>
      <c r="E12435" s="8">
        <f t="shared" si="206"/>
        <v>2012</v>
      </c>
      <c r="F12435" t="s">
        <v>2045</v>
      </c>
      <c r="G12435" s="9">
        <v>14498.62</v>
      </c>
      <c r="H12435" s="8">
        <v>11326</v>
      </c>
    </row>
    <row r="12436" spans="2:8" x14ac:dyDescent="0.4">
      <c r="B12436" t="s">
        <v>7</v>
      </c>
      <c r="C12436" t="s">
        <v>2044</v>
      </c>
      <c r="D12436" s="7">
        <f>DATE(2013,3,28)</f>
        <v>41361</v>
      </c>
      <c r="E12436" s="8">
        <f t="shared" si="206"/>
        <v>2013</v>
      </c>
      <c r="F12436" t="s">
        <v>2045</v>
      </c>
      <c r="G12436" s="9">
        <v>9687.75</v>
      </c>
      <c r="H12436" s="8">
        <v>12179</v>
      </c>
    </row>
    <row r="12437" spans="2:8" x14ac:dyDescent="0.4">
      <c r="B12437" t="s">
        <v>7</v>
      </c>
      <c r="C12437" t="s">
        <v>2044</v>
      </c>
      <c r="D12437" s="7">
        <f>DATE(2014,4,21)</f>
        <v>41750</v>
      </c>
      <c r="E12437" s="8">
        <f t="shared" si="206"/>
        <v>2014</v>
      </c>
      <c r="F12437" t="s">
        <v>2045</v>
      </c>
      <c r="G12437" s="9">
        <v>9687.91</v>
      </c>
      <c r="H12437" s="8">
        <v>13040</v>
      </c>
    </row>
    <row r="12438" spans="2:8" x14ac:dyDescent="0.4">
      <c r="B12438" t="s">
        <v>7</v>
      </c>
      <c r="C12438" t="s">
        <v>2044</v>
      </c>
      <c r="D12438" s="7">
        <f>DATE(2010,8,20)</f>
        <v>40410</v>
      </c>
      <c r="E12438" s="8">
        <f t="shared" si="206"/>
        <v>2010</v>
      </c>
      <c r="F12438" t="s">
        <v>2045</v>
      </c>
      <c r="G12438" s="9">
        <v>4406.3</v>
      </c>
      <c r="H12438" s="8">
        <v>10039</v>
      </c>
    </row>
    <row r="12439" spans="2:8" x14ac:dyDescent="0.4">
      <c r="B12439" t="s">
        <v>7</v>
      </c>
      <c r="C12439" t="s">
        <v>2044</v>
      </c>
      <c r="D12439" s="7">
        <f>DATE(2011,4,22)</f>
        <v>40655</v>
      </c>
      <c r="E12439" s="8">
        <f t="shared" si="206"/>
        <v>2011</v>
      </c>
      <c r="F12439" t="s">
        <v>2045</v>
      </c>
      <c r="G12439" s="9">
        <v>4393.75</v>
      </c>
      <c r="H12439" s="8">
        <v>10676</v>
      </c>
    </row>
    <row r="12440" spans="2:8" x14ac:dyDescent="0.4">
      <c r="B12440" t="s">
        <v>7</v>
      </c>
      <c r="C12440" t="s">
        <v>2044</v>
      </c>
      <c r="D12440" s="7">
        <f>DATE(2012,8,29)</f>
        <v>41150</v>
      </c>
      <c r="E12440" s="8">
        <f t="shared" si="206"/>
        <v>2012</v>
      </c>
      <c r="F12440" t="s">
        <v>2045</v>
      </c>
      <c r="G12440" s="9">
        <v>4564.92</v>
      </c>
      <c r="H12440" s="8">
        <v>11810</v>
      </c>
    </row>
    <row r="12441" spans="2:8" x14ac:dyDescent="0.4">
      <c r="B12441" t="s">
        <v>7</v>
      </c>
      <c r="C12441" t="s">
        <v>2044</v>
      </c>
      <c r="D12441" s="7">
        <f>DATE(2014,9,25)</f>
        <v>41907</v>
      </c>
      <c r="E12441" s="8">
        <f t="shared" si="206"/>
        <v>2014</v>
      </c>
      <c r="F12441" t="s">
        <v>2045</v>
      </c>
      <c r="G12441" s="9">
        <v>4883.74</v>
      </c>
      <c r="H12441" s="8">
        <v>13491</v>
      </c>
    </row>
    <row r="12442" spans="2:8" x14ac:dyDescent="0.4">
      <c r="B12442" s="3" t="s">
        <v>7</v>
      </c>
      <c r="C12442" s="3" t="s">
        <v>2044</v>
      </c>
      <c r="D12442" s="4">
        <f>DATE(2006,7,27)</f>
        <v>38925</v>
      </c>
      <c r="E12442" s="5">
        <f t="shared" si="206"/>
        <v>2006</v>
      </c>
      <c r="F12442" s="3" t="s">
        <v>2045</v>
      </c>
      <c r="G12442" s="6">
        <v>2770.2</v>
      </c>
      <c r="H12442" s="5">
        <v>6999</v>
      </c>
    </row>
    <row r="12443" spans="2:8" x14ac:dyDescent="0.4">
      <c r="B12443" s="3" t="s">
        <v>7</v>
      </c>
      <c r="C12443" s="3" t="s">
        <v>2044</v>
      </c>
      <c r="D12443" s="4">
        <f>DATE(2008,2,13)</f>
        <v>39491</v>
      </c>
      <c r="E12443" s="5">
        <f t="shared" si="206"/>
        <v>2008</v>
      </c>
      <c r="F12443" s="3" t="s">
        <v>2045</v>
      </c>
      <c r="G12443" s="6">
        <v>2755</v>
      </c>
      <c r="H12443" s="5">
        <v>9826</v>
      </c>
    </row>
    <row r="12444" spans="2:8" x14ac:dyDescent="0.4">
      <c r="B12444" s="3" t="s">
        <v>7</v>
      </c>
      <c r="C12444" s="3" t="s">
        <v>2044</v>
      </c>
      <c r="D12444" s="4">
        <f>DATE(2009,2,13)</f>
        <v>39857</v>
      </c>
      <c r="E12444" s="5">
        <f t="shared" si="206"/>
        <v>2009</v>
      </c>
      <c r="F12444" s="3" t="s">
        <v>2045</v>
      </c>
      <c r="G12444" s="6">
        <v>2755</v>
      </c>
      <c r="H12444" s="5">
        <v>11928</v>
      </c>
    </row>
    <row r="12445" spans="2:8" x14ac:dyDescent="0.4">
      <c r="B12445" s="3" t="s">
        <v>7</v>
      </c>
      <c r="C12445" s="3" t="s">
        <v>2044</v>
      </c>
      <c r="D12445" s="4">
        <f>DATE(2010,3,18)</f>
        <v>40255</v>
      </c>
      <c r="E12445" s="5">
        <f t="shared" si="206"/>
        <v>2010</v>
      </c>
      <c r="F12445" s="3" t="s">
        <v>2045</v>
      </c>
      <c r="G12445" s="6">
        <v>2204</v>
      </c>
      <c r="H12445" s="5">
        <v>13720</v>
      </c>
    </row>
    <row r="12446" spans="2:8" x14ac:dyDescent="0.4">
      <c r="B12446" s="3" t="s">
        <v>7</v>
      </c>
      <c r="C12446" s="3" t="s">
        <v>1929</v>
      </c>
      <c r="D12446" s="4">
        <f>DATE(2003,7,21)</f>
        <v>37823</v>
      </c>
      <c r="E12446" s="5">
        <f t="shared" si="206"/>
        <v>2003</v>
      </c>
      <c r="F12446" s="3" t="s">
        <v>2046</v>
      </c>
      <c r="G12446" s="6">
        <v>131</v>
      </c>
      <c r="H12446" s="5">
        <v>1240</v>
      </c>
    </row>
    <row r="12447" spans="2:8" x14ac:dyDescent="0.4">
      <c r="B12447" s="3" t="s">
        <v>7</v>
      </c>
      <c r="C12447" s="3" t="s">
        <v>1929</v>
      </c>
      <c r="D12447" s="4">
        <f>DATE(2004,5,26)</f>
        <v>38133</v>
      </c>
      <c r="E12447" s="5">
        <f t="shared" si="206"/>
        <v>2004</v>
      </c>
      <c r="F12447" s="3" t="s">
        <v>2046</v>
      </c>
      <c r="G12447" s="6">
        <v>256</v>
      </c>
      <c r="H12447" s="5">
        <v>2943</v>
      </c>
    </row>
    <row r="12448" spans="2:8" x14ac:dyDescent="0.4">
      <c r="B12448" s="3" t="s">
        <v>7</v>
      </c>
      <c r="C12448" s="3" t="s">
        <v>1929</v>
      </c>
      <c r="D12448" s="4">
        <f>DATE(2008,1,24)</f>
        <v>39471</v>
      </c>
      <c r="E12448" s="5">
        <f t="shared" si="206"/>
        <v>2008</v>
      </c>
      <c r="F12448" s="3" t="s">
        <v>2047</v>
      </c>
      <c r="G12448" s="6">
        <v>1985</v>
      </c>
      <c r="H12448" s="5">
        <v>9788</v>
      </c>
    </row>
    <row r="12449" spans="2:8" x14ac:dyDescent="0.4">
      <c r="B12449" s="3" t="s">
        <v>7</v>
      </c>
      <c r="C12449" s="3" t="s">
        <v>2048</v>
      </c>
      <c r="D12449" s="4">
        <f>DATE(2011,4,12)</f>
        <v>40645</v>
      </c>
      <c r="E12449" s="5">
        <f t="shared" si="206"/>
        <v>2011</v>
      </c>
      <c r="F12449" s="3" t="s">
        <v>2049</v>
      </c>
      <c r="G12449" s="6">
        <v>955</v>
      </c>
      <c r="H12449" s="5">
        <v>15405</v>
      </c>
    </row>
    <row r="12450" spans="2:8" x14ac:dyDescent="0.4">
      <c r="B12450" s="3" t="s">
        <v>7</v>
      </c>
      <c r="C12450" s="3" t="s">
        <v>2048</v>
      </c>
      <c r="D12450" s="4">
        <f>DATE(2011,6,10)</f>
        <v>40704</v>
      </c>
      <c r="E12450" s="5">
        <f t="shared" si="206"/>
        <v>2011</v>
      </c>
      <c r="F12450" s="3" t="s">
        <v>2049</v>
      </c>
      <c r="G12450" s="6">
        <v>955</v>
      </c>
      <c r="H12450" s="5">
        <v>15677</v>
      </c>
    </row>
    <row r="12451" spans="2:8" x14ac:dyDescent="0.4">
      <c r="B12451" t="s">
        <v>7</v>
      </c>
      <c r="C12451" t="s">
        <v>2050</v>
      </c>
      <c r="D12451" s="7">
        <f>DATE(2016,12,7)</f>
        <v>42711</v>
      </c>
      <c r="E12451" s="8">
        <f t="shared" si="206"/>
        <v>2016</v>
      </c>
      <c r="F12451" t="s">
        <v>2051</v>
      </c>
      <c r="G12451" s="9">
        <v>5337.43</v>
      </c>
      <c r="H12451" s="8">
        <v>23848</v>
      </c>
    </row>
    <row r="12452" spans="2:8" x14ac:dyDescent="0.4">
      <c r="B12452" t="s">
        <v>7</v>
      </c>
      <c r="C12452" t="s">
        <v>2050</v>
      </c>
      <c r="D12452" s="7">
        <f>DATE(2012,7,19)</f>
        <v>41109</v>
      </c>
      <c r="E12452" s="8">
        <f t="shared" si="206"/>
        <v>2012</v>
      </c>
      <c r="F12452" t="s">
        <v>2051</v>
      </c>
      <c r="G12452" s="9">
        <v>5268.18</v>
      </c>
      <c r="H12452" s="8">
        <v>11741</v>
      </c>
    </row>
    <row r="12453" spans="2:8" x14ac:dyDescent="0.4">
      <c r="B12453" t="s">
        <v>7</v>
      </c>
      <c r="C12453" t="s">
        <v>2050</v>
      </c>
      <c r="D12453" s="7">
        <f>DATE(2013,12,9)</f>
        <v>41617</v>
      </c>
      <c r="E12453" s="8">
        <f t="shared" si="206"/>
        <v>2013</v>
      </c>
      <c r="F12453" t="s">
        <v>2051</v>
      </c>
      <c r="G12453" s="9">
        <v>5941.91</v>
      </c>
      <c r="H12453" s="8">
        <v>12775</v>
      </c>
    </row>
    <row r="12454" spans="2:8" x14ac:dyDescent="0.4">
      <c r="B12454" s="3" t="s">
        <v>7</v>
      </c>
      <c r="C12454" s="3" t="s">
        <v>2052</v>
      </c>
      <c r="D12454" s="4">
        <f>DATE(2012,2,15)</f>
        <v>40954</v>
      </c>
      <c r="E12454" s="5">
        <f t="shared" si="206"/>
        <v>2012</v>
      </c>
      <c r="F12454" s="3" t="s">
        <v>2053</v>
      </c>
      <c r="G12454" s="6">
        <v>6105</v>
      </c>
      <c r="H12454" s="5">
        <v>16569</v>
      </c>
    </row>
    <row r="12455" spans="2:8" x14ac:dyDescent="0.4">
      <c r="B12455" s="3" t="s">
        <v>7</v>
      </c>
      <c r="C12455" s="3" t="s">
        <v>2052</v>
      </c>
      <c r="D12455" s="4">
        <f>DATE(2012,4,24)</f>
        <v>41023</v>
      </c>
      <c r="E12455" s="5">
        <f t="shared" si="206"/>
        <v>2012</v>
      </c>
      <c r="F12455" s="3" t="s">
        <v>2053</v>
      </c>
      <c r="G12455" s="6">
        <v>18195.84</v>
      </c>
      <c r="H12455" s="5">
        <v>17027</v>
      </c>
    </row>
    <row r="12456" spans="2:8" x14ac:dyDescent="0.4">
      <c r="B12456" s="3" t="s">
        <v>7</v>
      </c>
      <c r="C12456" s="3" t="s">
        <v>2052</v>
      </c>
      <c r="D12456" s="4">
        <f>DATE(2012,8,28)</f>
        <v>41149</v>
      </c>
      <c r="E12456" s="5">
        <f t="shared" si="206"/>
        <v>2012</v>
      </c>
      <c r="F12456" s="3" t="s">
        <v>2053</v>
      </c>
      <c r="G12456" s="6">
        <v>20700</v>
      </c>
      <c r="H12456" s="5">
        <v>17477</v>
      </c>
    </row>
    <row r="12457" spans="2:8" x14ac:dyDescent="0.4">
      <c r="B12457" s="3" t="s">
        <v>7</v>
      </c>
      <c r="C12457" s="3" t="s">
        <v>2052</v>
      </c>
      <c r="D12457" s="4">
        <f>DATE(2013,1,30)</f>
        <v>41304</v>
      </c>
      <c r="E12457" s="5">
        <f t="shared" si="206"/>
        <v>2013</v>
      </c>
      <c r="F12457" s="3" t="s">
        <v>2053</v>
      </c>
      <c r="G12457" s="6">
        <v>37349.480000000003</v>
      </c>
      <c r="H12457" s="5">
        <v>17938</v>
      </c>
    </row>
    <row r="12458" spans="2:8" x14ac:dyDescent="0.4">
      <c r="B12458" s="3" t="s">
        <v>7</v>
      </c>
      <c r="C12458" s="3" t="s">
        <v>2052</v>
      </c>
      <c r="D12458" s="4">
        <f>DATE(2013,3,1)</f>
        <v>41334</v>
      </c>
      <c r="E12458" s="5">
        <f t="shared" si="206"/>
        <v>2013</v>
      </c>
      <c r="F12458" s="3" t="s">
        <v>2053</v>
      </c>
      <c r="G12458" s="6">
        <v>3492</v>
      </c>
      <c r="H12458" s="5">
        <v>18087</v>
      </c>
    </row>
    <row r="12459" spans="2:8" x14ac:dyDescent="0.4">
      <c r="B12459" s="3" t="s">
        <v>7</v>
      </c>
      <c r="C12459" s="3" t="s">
        <v>2052</v>
      </c>
      <c r="D12459" s="4">
        <f>DATE(2014,3,20)</f>
        <v>41718</v>
      </c>
      <c r="E12459" s="5">
        <f t="shared" si="206"/>
        <v>2014</v>
      </c>
      <c r="F12459" s="3" t="s">
        <v>2053</v>
      </c>
      <c r="G12459" s="6">
        <v>21480.97</v>
      </c>
      <c r="H12459" s="5">
        <v>19717</v>
      </c>
    </row>
    <row r="12460" spans="2:8" x14ac:dyDescent="0.4">
      <c r="B12460" t="s">
        <v>7</v>
      </c>
      <c r="C12460" t="s">
        <v>2054</v>
      </c>
      <c r="D12460" s="7">
        <f>DATE(2017,4,13)</f>
        <v>42838</v>
      </c>
      <c r="E12460" s="8">
        <f t="shared" si="206"/>
        <v>2017</v>
      </c>
      <c r="F12460" t="s">
        <v>2055</v>
      </c>
      <c r="G12460" s="9">
        <v>147.72</v>
      </c>
      <c r="H12460" s="8">
        <v>24744</v>
      </c>
    </row>
    <row r="12461" spans="2:8" x14ac:dyDescent="0.4">
      <c r="B12461" t="s">
        <v>7</v>
      </c>
      <c r="C12461" t="s">
        <v>2054</v>
      </c>
      <c r="D12461" s="7">
        <f>DATE(2015,6,8)</f>
        <v>42163</v>
      </c>
      <c r="E12461" s="8">
        <f t="shared" si="206"/>
        <v>2015</v>
      </c>
      <c r="F12461" t="s">
        <v>2055</v>
      </c>
      <c r="G12461" s="9">
        <v>10533.14</v>
      </c>
      <c r="H12461" s="8">
        <v>20673</v>
      </c>
    </row>
    <row r="12462" spans="2:8" x14ac:dyDescent="0.4">
      <c r="B12462" t="s">
        <v>7</v>
      </c>
      <c r="C12462" t="s">
        <v>2054</v>
      </c>
      <c r="D12462" s="7">
        <f>DATE(2016,6,15)</f>
        <v>42536</v>
      </c>
      <c r="E12462" s="8">
        <f t="shared" si="206"/>
        <v>2016</v>
      </c>
      <c r="F12462" t="s">
        <v>2055</v>
      </c>
      <c r="G12462" s="9">
        <v>6686.95</v>
      </c>
      <c r="H12462" s="8">
        <v>22952</v>
      </c>
    </row>
    <row r="12463" spans="2:8" x14ac:dyDescent="0.4">
      <c r="B12463" t="s">
        <v>7</v>
      </c>
      <c r="C12463" t="s">
        <v>2054</v>
      </c>
      <c r="D12463" s="7">
        <f>DATE(2005,3,8)</f>
        <v>38419</v>
      </c>
      <c r="E12463" s="8">
        <f t="shared" si="206"/>
        <v>2005</v>
      </c>
      <c r="F12463" t="s">
        <v>2055</v>
      </c>
      <c r="G12463" s="9">
        <v>2850</v>
      </c>
      <c r="H12463" s="8">
        <v>2567</v>
      </c>
    </row>
    <row r="12464" spans="2:8" x14ac:dyDescent="0.4">
      <c r="B12464" t="s">
        <v>7</v>
      </c>
      <c r="C12464" t="s">
        <v>2054</v>
      </c>
      <c r="D12464" s="7">
        <f>DATE(2005,3,10)</f>
        <v>38421</v>
      </c>
      <c r="E12464" s="8">
        <f t="shared" si="206"/>
        <v>2005</v>
      </c>
      <c r="F12464" t="s">
        <v>2055</v>
      </c>
      <c r="G12464" s="9">
        <v>12037.4</v>
      </c>
      <c r="H12464" s="8">
        <v>2742</v>
      </c>
    </row>
    <row r="12465" spans="2:8" x14ac:dyDescent="0.4">
      <c r="B12465" s="3" t="s">
        <v>7</v>
      </c>
      <c r="C12465" s="3" t="s">
        <v>2056</v>
      </c>
      <c r="D12465" s="4">
        <f>DATE(2007,7,30)</f>
        <v>39293</v>
      </c>
      <c r="E12465" s="5">
        <f t="shared" si="206"/>
        <v>2007</v>
      </c>
      <c r="F12465" s="3" t="s">
        <v>2057</v>
      </c>
      <c r="G12465" s="6">
        <v>658.59</v>
      </c>
      <c r="H12465" s="5">
        <v>2346</v>
      </c>
    </row>
    <row r="12466" spans="2:8" x14ac:dyDescent="0.4">
      <c r="B12466" s="3" t="s">
        <v>7</v>
      </c>
      <c r="C12466" s="3" t="s">
        <v>2056</v>
      </c>
      <c r="D12466" s="4">
        <f>DATE(2007,8,14)</f>
        <v>39308</v>
      </c>
      <c r="E12466" s="5">
        <f t="shared" si="206"/>
        <v>2007</v>
      </c>
      <c r="F12466" s="3" t="s">
        <v>2057</v>
      </c>
      <c r="G12466" s="6">
        <v>261.38</v>
      </c>
      <c r="H12466" s="5">
        <v>2365</v>
      </c>
    </row>
    <row r="12467" spans="2:8" x14ac:dyDescent="0.4">
      <c r="B12467" s="3" t="s">
        <v>7</v>
      </c>
      <c r="C12467" s="3" t="s">
        <v>2056</v>
      </c>
      <c r="D12467" s="4">
        <f>DATE(2009,6,18)</f>
        <v>39982</v>
      </c>
      <c r="E12467" s="5">
        <f t="shared" si="206"/>
        <v>2009</v>
      </c>
      <c r="F12467" s="3" t="s">
        <v>2057</v>
      </c>
      <c r="G12467" s="6">
        <v>2425.3200000000002</v>
      </c>
      <c r="H12467" s="5">
        <v>3477</v>
      </c>
    </row>
    <row r="12468" spans="2:8" x14ac:dyDescent="0.4">
      <c r="B12468" s="3" t="s">
        <v>7</v>
      </c>
      <c r="C12468" s="3" t="s">
        <v>2056</v>
      </c>
      <c r="D12468" s="4">
        <f>DATE(2009,10,9)</f>
        <v>40095</v>
      </c>
      <c r="E12468" s="5">
        <f t="shared" si="206"/>
        <v>2009</v>
      </c>
      <c r="F12468" s="3" t="s">
        <v>2057</v>
      </c>
      <c r="G12468" s="6">
        <v>1197.24</v>
      </c>
      <c r="H12468" s="5">
        <v>3606</v>
      </c>
    </row>
    <row r="12469" spans="2:8" x14ac:dyDescent="0.4">
      <c r="B12469" s="3" t="s">
        <v>7</v>
      </c>
      <c r="C12469" s="3" t="s">
        <v>2056</v>
      </c>
      <c r="D12469" s="4">
        <f>DATE(2010,6,17)</f>
        <v>40346</v>
      </c>
      <c r="E12469" s="5">
        <f t="shared" si="206"/>
        <v>2010</v>
      </c>
      <c r="F12469" s="3" t="s">
        <v>2057</v>
      </c>
      <c r="G12469" s="6">
        <v>1985.29</v>
      </c>
      <c r="H12469" s="5">
        <v>3979</v>
      </c>
    </row>
    <row r="12470" spans="2:8" x14ac:dyDescent="0.4">
      <c r="B12470" t="s">
        <v>7</v>
      </c>
      <c r="C12470" t="s">
        <v>2058</v>
      </c>
      <c r="D12470" s="7">
        <f>DATE(2015,11,2)</f>
        <v>42310</v>
      </c>
      <c r="E12470" s="8">
        <f t="shared" si="206"/>
        <v>2015</v>
      </c>
      <c r="F12470" t="s">
        <v>2059</v>
      </c>
      <c r="G12470" s="9">
        <v>28829</v>
      </c>
      <c r="H12470" s="8">
        <v>21398</v>
      </c>
    </row>
    <row r="12471" spans="2:8" x14ac:dyDescent="0.4">
      <c r="B12471" t="s">
        <v>16</v>
      </c>
      <c r="C12471" t="s">
        <v>2058</v>
      </c>
      <c r="D12471" s="7">
        <f>DATE(2016,1,8)</f>
        <v>42377</v>
      </c>
      <c r="E12471" s="8">
        <f t="shared" si="206"/>
        <v>2016</v>
      </c>
      <c r="F12471" t="s">
        <v>2059</v>
      </c>
      <c r="G12471" s="9">
        <v>1980.1</v>
      </c>
      <c r="H12471" s="8">
        <v>21945</v>
      </c>
    </row>
    <row r="12472" spans="2:8" x14ac:dyDescent="0.4">
      <c r="B12472" t="s">
        <v>7</v>
      </c>
      <c r="C12472" t="s">
        <v>2058</v>
      </c>
      <c r="D12472" s="7">
        <f>DATE(2007,9,28)</f>
        <v>39353</v>
      </c>
      <c r="E12472" s="8">
        <f t="shared" si="206"/>
        <v>2007</v>
      </c>
      <c r="F12472" t="s">
        <v>2059</v>
      </c>
      <c r="G12472" s="9">
        <v>112480.24</v>
      </c>
      <c r="H12472" s="8">
        <v>6371</v>
      </c>
    </row>
    <row r="12473" spans="2:8" x14ac:dyDescent="0.4">
      <c r="B12473" t="s">
        <v>7</v>
      </c>
      <c r="C12473" t="s">
        <v>2058</v>
      </c>
      <c r="D12473" s="7">
        <f>DATE(2008,8,27)</f>
        <v>39687</v>
      </c>
      <c r="E12473" s="8">
        <f t="shared" si="206"/>
        <v>2008</v>
      </c>
      <c r="F12473" t="s">
        <v>2059</v>
      </c>
      <c r="G12473" s="9">
        <v>101084.87</v>
      </c>
      <c r="H12473" s="8">
        <v>7714</v>
      </c>
    </row>
    <row r="12474" spans="2:8" x14ac:dyDescent="0.4">
      <c r="B12474" t="s">
        <v>7</v>
      </c>
      <c r="C12474" t="s">
        <v>2058</v>
      </c>
      <c r="D12474" s="7">
        <f>DATE(2008,9,15)</f>
        <v>39706</v>
      </c>
      <c r="E12474" s="8">
        <f t="shared" si="206"/>
        <v>2008</v>
      </c>
      <c r="F12474" t="s">
        <v>2059</v>
      </c>
      <c r="G12474" s="9">
        <v>139805.38</v>
      </c>
      <c r="H12474" s="8">
        <v>7812</v>
      </c>
    </row>
    <row r="12475" spans="2:8" x14ac:dyDescent="0.4">
      <c r="B12475" s="3" t="s">
        <v>7</v>
      </c>
      <c r="C12475" s="3" t="s">
        <v>2060</v>
      </c>
      <c r="D12475" s="4">
        <f>DATE(2007,1,8)</f>
        <v>39090</v>
      </c>
      <c r="E12475" s="5">
        <f t="shared" si="206"/>
        <v>2007</v>
      </c>
      <c r="F12475" s="3" t="s">
        <v>2061</v>
      </c>
      <c r="G12475" s="6">
        <v>68.510000000000005</v>
      </c>
      <c r="H12475" s="5">
        <v>7726</v>
      </c>
    </row>
    <row r="12476" spans="2:8" x14ac:dyDescent="0.4">
      <c r="B12476" s="3" t="s">
        <v>7</v>
      </c>
      <c r="C12476" s="3" t="s">
        <v>2060</v>
      </c>
      <c r="D12476" s="4">
        <f>DATE(2007,1,10)</f>
        <v>39092</v>
      </c>
      <c r="E12476" s="5">
        <f t="shared" si="206"/>
        <v>2007</v>
      </c>
      <c r="F12476" s="3" t="s">
        <v>2061</v>
      </c>
      <c r="G12476" s="6">
        <v>82.96</v>
      </c>
      <c r="H12476" s="5">
        <v>7740</v>
      </c>
    </row>
    <row r="12477" spans="2:8" x14ac:dyDescent="0.4">
      <c r="B12477" s="3" t="s">
        <v>7</v>
      </c>
      <c r="C12477" s="3" t="s">
        <v>2060</v>
      </c>
      <c r="D12477" s="4">
        <f>DATE(2010,11,17)</f>
        <v>40499</v>
      </c>
      <c r="E12477" s="5">
        <f t="shared" si="206"/>
        <v>2010</v>
      </c>
      <c r="F12477" s="3" t="s">
        <v>2061</v>
      </c>
      <c r="G12477" s="6">
        <v>1135.27</v>
      </c>
      <c r="H12477" s="5">
        <v>14753</v>
      </c>
    </row>
    <row r="12478" spans="2:8" x14ac:dyDescent="0.4">
      <c r="B12478" s="3" t="s">
        <v>7</v>
      </c>
      <c r="C12478" s="3" t="s">
        <v>2060</v>
      </c>
      <c r="D12478" s="4">
        <f>DATE(2012,5,8)</f>
        <v>41037</v>
      </c>
      <c r="E12478" s="5">
        <f t="shared" si="206"/>
        <v>2012</v>
      </c>
      <c r="F12478" s="3" t="s">
        <v>2061</v>
      </c>
      <c r="G12478" s="6">
        <v>109</v>
      </c>
      <c r="H12478" s="5">
        <v>17087</v>
      </c>
    </row>
    <row r="12479" spans="2:8" x14ac:dyDescent="0.4">
      <c r="B12479" s="3" t="s">
        <v>16</v>
      </c>
      <c r="C12479" s="3" t="s">
        <v>2060</v>
      </c>
      <c r="D12479" s="4">
        <f>DATE(2003,1,8)</f>
        <v>37629</v>
      </c>
      <c r="E12479" s="5">
        <f t="shared" si="206"/>
        <v>2003</v>
      </c>
      <c r="F12479" s="3" t="s">
        <v>2061</v>
      </c>
      <c r="G12479" s="6">
        <v>3600</v>
      </c>
      <c r="H12479" s="5">
        <v>41</v>
      </c>
    </row>
    <row r="12480" spans="2:8" x14ac:dyDescent="0.4">
      <c r="B12480" t="s">
        <v>7</v>
      </c>
      <c r="C12480" t="s">
        <v>442</v>
      </c>
      <c r="D12480" s="7">
        <f>DATE(2015,5,20)</f>
        <v>42144</v>
      </c>
      <c r="E12480" s="8">
        <f t="shared" si="206"/>
        <v>2015</v>
      </c>
      <c r="F12480" t="s">
        <v>2062</v>
      </c>
      <c r="G12480" s="9">
        <v>13488.18</v>
      </c>
      <c r="H12480" s="8">
        <v>20577</v>
      </c>
    </row>
    <row r="12481" spans="2:8" x14ac:dyDescent="0.4">
      <c r="B12481" t="s">
        <v>7</v>
      </c>
      <c r="C12481" t="s">
        <v>442</v>
      </c>
      <c r="D12481" s="7">
        <f>DATE(2016,2,18)</f>
        <v>42418</v>
      </c>
      <c r="E12481" s="8">
        <f t="shared" si="206"/>
        <v>2016</v>
      </c>
      <c r="F12481" t="s">
        <v>2062</v>
      </c>
      <c r="G12481" s="9">
        <v>11069.68</v>
      </c>
      <c r="H12481" s="8">
        <v>22192</v>
      </c>
    </row>
    <row r="12482" spans="2:8" x14ac:dyDescent="0.4">
      <c r="B12482" s="3" t="s">
        <v>7</v>
      </c>
      <c r="C12482" s="3" t="s">
        <v>2063</v>
      </c>
      <c r="D12482" s="4">
        <f>DATE(2004,4,27)</f>
        <v>38104</v>
      </c>
      <c r="E12482" s="5">
        <f t="shared" si="206"/>
        <v>2004</v>
      </c>
      <c r="F12482" s="3" t="s">
        <v>2064</v>
      </c>
      <c r="G12482" s="6">
        <v>3766.5</v>
      </c>
      <c r="H12482" s="5">
        <v>2749</v>
      </c>
    </row>
    <row r="12483" spans="2:8" x14ac:dyDescent="0.4">
      <c r="B12483" s="3" t="s">
        <v>7</v>
      </c>
      <c r="C12483" s="3" t="s">
        <v>2063</v>
      </c>
      <c r="D12483" s="4">
        <f>DATE(2004,4,30)</f>
        <v>38107</v>
      </c>
      <c r="E12483" s="5">
        <f t="shared" ref="E12483:E12546" si="207">YEAR(D12483)</f>
        <v>2004</v>
      </c>
      <c r="F12483" s="3" t="s">
        <v>2064</v>
      </c>
      <c r="G12483" s="6">
        <v>5219.32</v>
      </c>
      <c r="H12483" s="5">
        <v>2793</v>
      </c>
    </row>
    <row r="12484" spans="2:8" x14ac:dyDescent="0.4">
      <c r="B12484" s="3" t="s">
        <v>7</v>
      </c>
      <c r="C12484" s="3" t="s">
        <v>2063</v>
      </c>
      <c r="D12484" s="4">
        <f>DATE(2004,5,6)</f>
        <v>38113</v>
      </c>
      <c r="E12484" s="5">
        <f t="shared" si="207"/>
        <v>2004</v>
      </c>
      <c r="F12484" s="3" t="s">
        <v>2064</v>
      </c>
      <c r="G12484" s="6">
        <v>11118.45</v>
      </c>
      <c r="H12484" s="5">
        <v>2834</v>
      </c>
    </row>
    <row r="12485" spans="2:8" x14ac:dyDescent="0.4">
      <c r="B12485" s="3" t="s">
        <v>7</v>
      </c>
      <c r="C12485" s="3" t="s">
        <v>2063</v>
      </c>
      <c r="D12485" s="4">
        <f>DATE(2004,5,14)</f>
        <v>38121</v>
      </c>
      <c r="E12485" s="5">
        <f t="shared" si="207"/>
        <v>2004</v>
      </c>
      <c r="F12485" s="3" t="s">
        <v>2064</v>
      </c>
      <c r="G12485" s="6">
        <v>9381.7999999999993</v>
      </c>
      <c r="H12485" s="5">
        <v>2859</v>
      </c>
    </row>
    <row r="12486" spans="2:8" x14ac:dyDescent="0.4">
      <c r="B12486" s="3" t="s">
        <v>7</v>
      </c>
      <c r="C12486" s="3" t="s">
        <v>2063</v>
      </c>
      <c r="D12486" s="4">
        <f>DATE(2004,8,11)</f>
        <v>38210</v>
      </c>
      <c r="E12486" s="5">
        <f t="shared" si="207"/>
        <v>2004</v>
      </c>
      <c r="F12486" s="3" t="s">
        <v>2064</v>
      </c>
      <c r="G12486" s="6">
        <v>7243.54</v>
      </c>
      <c r="H12486" s="5">
        <v>3255</v>
      </c>
    </row>
    <row r="12487" spans="2:8" x14ac:dyDescent="0.4">
      <c r="B12487" s="3" t="s">
        <v>7</v>
      </c>
      <c r="C12487" s="3" t="s">
        <v>2063</v>
      </c>
      <c r="D12487" s="4">
        <f>DATE(2005,2,28)</f>
        <v>38411</v>
      </c>
      <c r="E12487" s="5">
        <f t="shared" si="207"/>
        <v>2005</v>
      </c>
      <c r="F12487" s="3" t="s">
        <v>2064</v>
      </c>
      <c r="G12487" s="6">
        <v>7644.52</v>
      </c>
      <c r="H12487" s="5">
        <v>4214</v>
      </c>
    </row>
    <row r="12488" spans="2:8" x14ac:dyDescent="0.4">
      <c r="B12488" s="3" t="s">
        <v>7</v>
      </c>
      <c r="C12488" s="3" t="s">
        <v>2063</v>
      </c>
      <c r="D12488" s="4">
        <f>DATE(2006,4,5)</f>
        <v>38812</v>
      </c>
      <c r="E12488" s="5">
        <f t="shared" si="207"/>
        <v>2006</v>
      </c>
      <c r="F12488" s="3" t="s">
        <v>2064</v>
      </c>
      <c r="G12488" s="6">
        <v>8199.07</v>
      </c>
      <c r="H12488" s="5">
        <v>6458</v>
      </c>
    </row>
    <row r="12489" spans="2:8" x14ac:dyDescent="0.4">
      <c r="B12489" s="3" t="s">
        <v>7</v>
      </c>
      <c r="C12489" s="3" t="s">
        <v>2063</v>
      </c>
      <c r="D12489" s="4">
        <f>DATE(2007,3,23)</f>
        <v>39164</v>
      </c>
      <c r="E12489" s="5">
        <f t="shared" si="207"/>
        <v>2007</v>
      </c>
      <c r="F12489" s="3" t="s">
        <v>2064</v>
      </c>
      <c r="G12489" s="6">
        <v>539.6</v>
      </c>
      <c r="H12489" s="5">
        <v>8215</v>
      </c>
    </row>
    <row r="12490" spans="2:8" x14ac:dyDescent="0.4">
      <c r="B12490" s="3" t="s">
        <v>7</v>
      </c>
      <c r="C12490" s="3" t="s">
        <v>2063</v>
      </c>
      <c r="D12490" s="4">
        <f>DATE(2007,3,23)</f>
        <v>39164</v>
      </c>
      <c r="E12490" s="5">
        <f t="shared" si="207"/>
        <v>2007</v>
      </c>
      <c r="F12490" s="3" t="s">
        <v>2064</v>
      </c>
      <c r="G12490" s="6">
        <v>1.82</v>
      </c>
      <c r="H12490" s="5">
        <v>8293</v>
      </c>
    </row>
    <row r="12491" spans="2:8" x14ac:dyDescent="0.4">
      <c r="B12491" s="3" t="s">
        <v>7</v>
      </c>
      <c r="C12491" s="3" t="s">
        <v>2063</v>
      </c>
      <c r="D12491" s="4">
        <f>DATE(2007,6,7)</f>
        <v>39240</v>
      </c>
      <c r="E12491" s="5">
        <f t="shared" si="207"/>
        <v>2007</v>
      </c>
      <c r="F12491" s="3" t="s">
        <v>2064</v>
      </c>
      <c r="G12491" s="6">
        <v>59.92</v>
      </c>
      <c r="H12491" s="5">
        <v>8722</v>
      </c>
    </row>
    <row r="12492" spans="2:8" x14ac:dyDescent="0.4">
      <c r="B12492" s="3" t="s">
        <v>7</v>
      </c>
      <c r="C12492" s="3" t="s">
        <v>2063</v>
      </c>
      <c r="D12492" s="4">
        <f>DATE(2009,4,9)</f>
        <v>39912</v>
      </c>
      <c r="E12492" s="5">
        <f t="shared" si="207"/>
        <v>2009</v>
      </c>
      <c r="F12492" s="3" t="s">
        <v>2065</v>
      </c>
      <c r="G12492" s="6">
        <v>2872.98</v>
      </c>
      <c r="H12492" s="5">
        <v>12337</v>
      </c>
    </row>
    <row r="12493" spans="2:8" x14ac:dyDescent="0.4">
      <c r="B12493" s="3" t="s">
        <v>7</v>
      </c>
      <c r="C12493" s="3" t="s">
        <v>2063</v>
      </c>
      <c r="D12493" s="4">
        <f>DATE(2009,10,29)</f>
        <v>40115</v>
      </c>
      <c r="E12493" s="5">
        <f t="shared" si="207"/>
        <v>2009</v>
      </c>
      <c r="F12493" s="3" t="s">
        <v>2065</v>
      </c>
      <c r="G12493" s="6">
        <v>6768.6</v>
      </c>
      <c r="H12493" s="5">
        <v>13203</v>
      </c>
    </row>
    <row r="12494" spans="2:8" x14ac:dyDescent="0.4">
      <c r="B12494" s="3" t="s">
        <v>7</v>
      </c>
      <c r="C12494" s="3" t="s">
        <v>2063</v>
      </c>
      <c r="D12494" s="4">
        <f>DATE(2011,9,28)</f>
        <v>40814</v>
      </c>
      <c r="E12494" s="5">
        <f t="shared" si="207"/>
        <v>2011</v>
      </c>
      <c r="F12494" s="3" t="s">
        <v>2065</v>
      </c>
      <c r="G12494" s="6">
        <v>6882.67</v>
      </c>
      <c r="H12494" s="5">
        <v>15622</v>
      </c>
    </row>
    <row r="12495" spans="2:8" x14ac:dyDescent="0.4">
      <c r="B12495" s="3" t="s">
        <v>7</v>
      </c>
      <c r="C12495" s="3" t="s">
        <v>2063</v>
      </c>
      <c r="D12495" s="4">
        <f>DATE(2011,10,1)</f>
        <v>40817</v>
      </c>
      <c r="E12495" s="5">
        <f t="shared" si="207"/>
        <v>2011</v>
      </c>
      <c r="F12495" s="3" t="s">
        <v>2065</v>
      </c>
      <c r="G12495" s="6">
        <v>524.79999999999995</v>
      </c>
      <c r="H12495" s="5">
        <v>16117</v>
      </c>
    </row>
    <row r="12496" spans="2:8" x14ac:dyDescent="0.4">
      <c r="B12496" s="3" t="s">
        <v>7</v>
      </c>
      <c r="C12496" s="3" t="s">
        <v>2063</v>
      </c>
      <c r="D12496" s="4">
        <f>DATE(2013,7,31)</f>
        <v>41486</v>
      </c>
      <c r="E12496" s="5">
        <f t="shared" si="207"/>
        <v>2013</v>
      </c>
      <c r="F12496" s="3" t="s">
        <v>2065</v>
      </c>
      <c r="G12496" s="6">
        <v>7461.05</v>
      </c>
      <c r="H12496" s="5">
        <v>18803</v>
      </c>
    </row>
    <row r="12497" spans="2:8" x14ac:dyDescent="0.4">
      <c r="B12497" s="3" t="s">
        <v>7</v>
      </c>
      <c r="C12497" s="3" t="s">
        <v>2063</v>
      </c>
      <c r="D12497" s="4">
        <f>DATE(2014,1,13)</f>
        <v>41652</v>
      </c>
      <c r="E12497" s="5">
        <f t="shared" si="207"/>
        <v>2014</v>
      </c>
      <c r="F12497" s="3" t="s">
        <v>2065</v>
      </c>
      <c r="G12497" s="6">
        <v>647.4</v>
      </c>
      <c r="H12497" s="5">
        <v>19357</v>
      </c>
    </row>
    <row r="12498" spans="2:8" x14ac:dyDescent="0.4">
      <c r="B12498" s="3" t="s">
        <v>7</v>
      </c>
      <c r="C12498" s="3" t="s">
        <v>2063</v>
      </c>
      <c r="D12498" s="4">
        <f>DATE(2014,2,6)</f>
        <v>41676</v>
      </c>
      <c r="E12498" s="5">
        <f t="shared" si="207"/>
        <v>2014</v>
      </c>
      <c r="F12498" s="3" t="s">
        <v>2065</v>
      </c>
      <c r="G12498" s="6">
        <v>7143.47</v>
      </c>
      <c r="H12498" s="5">
        <v>19412</v>
      </c>
    </row>
    <row r="12499" spans="2:8" x14ac:dyDescent="0.4">
      <c r="B12499" s="3" t="s">
        <v>7</v>
      </c>
      <c r="C12499" s="3" t="s">
        <v>2063</v>
      </c>
      <c r="D12499" s="4">
        <f>DATE(2003,2,21)</f>
        <v>37673</v>
      </c>
      <c r="E12499" s="5">
        <f t="shared" si="207"/>
        <v>2003</v>
      </c>
      <c r="F12499" s="3" t="s">
        <v>2066</v>
      </c>
      <c r="G12499" s="6">
        <v>550.75</v>
      </c>
      <c r="H12499" s="5">
        <v>331</v>
      </c>
    </row>
    <row r="12500" spans="2:8" x14ac:dyDescent="0.4">
      <c r="B12500" t="s">
        <v>7</v>
      </c>
      <c r="C12500" t="s">
        <v>2067</v>
      </c>
      <c r="D12500" s="7">
        <f>DATE(2015,5,19)</f>
        <v>42143</v>
      </c>
      <c r="E12500" s="8">
        <f t="shared" si="207"/>
        <v>2015</v>
      </c>
      <c r="F12500" t="s">
        <v>2068</v>
      </c>
      <c r="G12500" s="9">
        <v>32167.94</v>
      </c>
      <c r="H12500" s="8">
        <v>20084</v>
      </c>
    </row>
    <row r="12501" spans="2:8" x14ac:dyDescent="0.4">
      <c r="B12501" t="s">
        <v>7</v>
      </c>
      <c r="C12501" t="s">
        <v>2067</v>
      </c>
      <c r="D12501" s="7">
        <f>DATE(2016,5,16)</f>
        <v>42506</v>
      </c>
      <c r="E12501" s="8">
        <f t="shared" si="207"/>
        <v>2016</v>
      </c>
      <c r="F12501" t="s">
        <v>2068</v>
      </c>
      <c r="G12501" s="9">
        <v>33174.21</v>
      </c>
      <c r="H12501" s="8">
        <v>22214</v>
      </c>
    </row>
    <row r="12502" spans="2:8" x14ac:dyDescent="0.4">
      <c r="B12502" t="s">
        <v>7</v>
      </c>
      <c r="C12502" t="s">
        <v>2067</v>
      </c>
      <c r="D12502" s="7">
        <f>DATE(2017,6,1)</f>
        <v>42887</v>
      </c>
      <c r="E12502" s="8">
        <f t="shared" si="207"/>
        <v>2017</v>
      </c>
      <c r="F12502" t="s">
        <v>2068</v>
      </c>
      <c r="G12502" s="9">
        <v>143953.29</v>
      </c>
      <c r="H12502" s="8">
        <v>24996</v>
      </c>
    </row>
    <row r="12503" spans="2:8" x14ac:dyDescent="0.4">
      <c r="B12503" t="s">
        <v>7</v>
      </c>
      <c r="C12503" t="s">
        <v>2067</v>
      </c>
      <c r="D12503" s="7">
        <f>DATE(2017,6,26)</f>
        <v>42912</v>
      </c>
      <c r="E12503" s="8">
        <f t="shared" si="207"/>
        <v>2017</v>
      </c>
      <c r="F12503" t="s">
        <v>2068</v>
      </c>
      <c r="G12503" s="9">
        <v>319.82</v>
      </c>
      <c r="H12503" s="8">
        <v>24987</v>
      </c>
    </row>
    <row r="12504" spans="2:8" x14ac:dyDescent="0.4">
      <c r="B12504" t="s">
        <v>7</v>
      </c>
      <c r="C12504" t="s">
        <v>2067</v>
      </c>
      <c r="D12504" s="7">
        <f>DATE(2016,2,11)</f>
        <v>42411</v>
      </c>
      <c r="E12504" s="8">
        <f t="shared" si="207"/>
        <v>2016</v>
      </c>
      <c r="F12504" t="s">
        <v>2068</v>
      </c>
      <c r="G12504" s="9">
        <v>10496.05</v>
      </c>
      <c r="H12504" s="8">
        <v>22128</v>
      </c>
    </row>
    <row r="12505" spans="2:8" x14ac:dyDescent="0.4">
      <c r="B12505" t="s">
        <v>7</v>
      </c>
      <c r="C12505" t="s">
        <v>2067</v>
      </c>
      <c r="D12505" s="7">
        <f>DATE(2017,6,1)</f>
        <v>42887</v>
      </c>
      <c r="E12505" s="8">
        <f t="shared" si="207"/>
        <v>2017</v>
      </c>
      <c r="F12505" t="s">
        <v>2068</v>
      </c>
      <c r="G12505" s="9">
        <v>7560.03</v>
      </c>
      <c r="H12505" s="8">
        <v>24986</v>
      </c>
    </row>
    <row r="12506" spans="2:8" x14ac:dyDescent="0.4">
      <c r="B12506" t="s">
        <v>7</v>
      </c>
      <c r="C12506" t="s">
        <v>2067</v>
      </c>
      <c r="D12506" s="7">
        <f>DATE(2017,9,7)</f>
        <v>42985</v>
      </c>
      <c r="E12506" s="8">
        <f t="shared" si="207"/>
        <v>2017</v>
      </c>
      <c r="F12506" t="s">
        <v>2068</v>
      </c>
      <c r="G12506" s="9">
        <v>8254.39</v>
      </c>
      <c r="H12506" s="8">
        <v>25485</v>
      </c>
    </row>
    <row r="12507" spans="2:8" x14ac:dyDescent="0.4">
      <c r="B12507" t="s">
        <v>7</v>
      </c>
      <c r="C12507" t="s">
        <v>2067</v>
      </c>
      <c r="D12507" s="7">
        <f>DATE(2012,7,20)</f>
        <v>41110</v>
      </c>
      <c r="E12507" s="8">
        <f t="shared" si="207"/>
        <v>2012</v>
      </c>
      <c r="F12507" t="s">
        <v>2068</v>
      </c>
      <c r="G12507" s="9">
        <v>8259.32</v>
      </c>
      <c r="H12507" s="8">
        <v>11724</v>
      </c>
    </row>
    <row r="12508" spans="2:8" x14ac:dyDescent="0.4">
      <c r="B12508" t="s">
        <v>7</v>
      </c>
      <c r="C12508" t="s">
        <v>2067</v>
      </c>
      <c r="D12508" s="7">
        <f>DATE(2013,7,9)</f>
        <v>41464</v>
      </c>
      <c r="E12508" s="8">
        <f t="shared" si="207"/>
        <v>2013</v>
      </c>
      <c r="F12508" t="s">
        <v>2068</v>
      </c>
      <c r="G12508" s="9">
        <v>10085.36</v>
      </c>
      <c r="H12508" s="8">
        <v>12549</v>
      </c>
    </row>
    <row r="12509" spans="2:8" x14ac:dyDescent="0.4">
      <c r="B12509" t="s">
        <v>7</v>
      </c>
      <c r="C12509" t="s">
        <v>2069</v>
      </c>
      <c r="D12509" s="7">
        <f>DATE(2003,7,28)</f>
        <v>37830</v>
      </c>
      <c r="E12509" s="8">
        <f t="shared" si="207"/>
        <v>2003</v>
      </c>
      <c r="F12509" t="s">
        <v>2070</v>
      </c>
      <c r="G12509" s="9">
        <v>7500.6</v>
      </c>
      <c r="H12509" s="8">
        <v>726</v>
      </c>
    </row>
    <row r="12510" spans="2:8" x14ac:dyDescent="0.4">
      <c r="B12510" t="s">
        <v>7</v>
      </c>
      <c r="C12510" t="s">
        <v>2069</v>
      </c>
      <c r="D12510" s="7">
        <f>DATE(2004,6,30)</f>
        <v>38168</v>
      </c>
      <c r="E12510" s="8">
        <f t="shared" si="207"/>
        <v>2004</v>
      </c>
      <c r="F12510" t="s">
        <v>2070</v>
      </c>
      <c r="G12510" s="9">
        <v>4969.93</v>
      </c>
      <c r="H12510" s="8">
        <v>1802</v>
      </c>
    </row>
    <row r="12511" spans="2:8" x14ac:dyDescent="0.4">
      <c r="B12511" t="s">
        <v>7</v>
      </c>
      <c r="C12511" t="s">
        <v>2069</v>
      </c>
      <c r="D12511" s="7">
        <f>DATE(2004,7,23)</f>
        <v>38191</v>
      </c>
      <c r="E12511" s="8">
        <f t="shared" si="207"/>
        <v>2004</v>
      </c>
      <c r="F12511" t="s">
        <v>2070</v>
      </c>
      <c r="G12511" s="9">
        <v>4904.22</v>
      </c>
      <c r="H12511" s="8">
        <v>1969</v>
      </c>
    </row>
    <row r="12512" spans="2:8" x14ac:dyDescent="0.4">
      <c r="B12512" t="s">
        <v>7</v>
      </c>
      <c r="C12512" t="s">
        <v>2069</v>
      </c>
      <c r="D12512" s="7">
        <f>DATE(2005,5,20)</f>
        <v>38492</v>
      </c>
      <c r="E12512" s="8">
        <f t="shared" si="207"/>
        <v>2005</v>
      </c>
      <c r="F12512" t="s">
        <v>2070</v>
      </c>
      <c r="G12512" s="9">
        <v>14591</v>
      </c>
      <c r="H12512" s="8">
        <v>3040</v>
      </c>
    </row>
    <row r="12513" spans="2:8" x14ac:dyDescent="0.4">
      <c r="B12513" t="s">
        <v>7</v>
      </c>
      <c r="C12513" t="s">
        <v>2069</v>
      </c>
      <c r="D12513" s="7">
        <f>DATE(2005,6,24)</f>
        <v>38527</v>
      </c>
      <c r="E12513" s="8">
        <f t="shared" si="207"/>
        <v>2005</v>
      </c>
      <c r="F12513" t="s">
        <v>2070</v>
      </c>
      <c r="G12513" s="9">
        <v>7531.85</v>
      </c>
      <c r="H12513" s="8">
        <v>3272</v>
      </c>
    </row>
    <row r="12514" spans="2:8" x14ac:dyDescent="0.4">
      <c r="B12514" t="s">
        <v>7</v>
      </c>
      <c r="C12514" t="s">
        <v>2069</v>
      </c>
      <c r="D12514" s="7">
        <f>DATE(2005,12,18)</f>
        <v>38704</v>
      </c>
      <c r="E12514" s="8">
        <f t="shared" si="207"/>
        <v>2005</v>
      </c>
      <c r="F12514" t="s">
        <v>2070</v>
      </c>
      <c r="G12514" s="9">
        <v>5612.85</v>
      </c>
      <c r="H12514" s="8">
        <v>3846</v>
      </c>
    </row>
    <row r="12515" spans="2:8" x14ac:dyDescent="0.4">
      <c r="B12515" t="s">
        <v>7</v>
      </c>
      <c r="C12515" t="s">
        <v>2069</v>
      </c>
      <c r="D12515" s="7">
        <f>DATE(2008,10,1)</f>
        <v>39722</v>
      </c>
      <c r="E12515" s="8">
        <f t="shared" si="207"/>
        <v>2008</v>
      </c>
      <c r="F12515" t="s">
        <v>2070</v>
      </c>
      <c r="G12515" s="9">
        <v>5850.71</v>
      </c>
      <c r="H12515" s="8">
        <v>7817</v>
      </c>
    </row>
    <row r="12516" spans="2:8" x14ac:dyDescent="0.4">
      <c r="B12516" t="s">
        <v>7</v>
      </c>
      <c r="C12516" t="s">
        <v>2069</v>
      </c>
      <c r="D12516" s="7">
        <f>DATE(2009,4,3)</f>
        <v>39906</v>
      </c>
      <c r="E12516" s="8">
        <f t="shared" si="207"/>
        <v>2009</v>
      </c>
      <c r="F12516" t="s">
        <v>2070</v>
      </c>
      <c r="G12516" s="9">
        <v>7347.74</v>
      </c>
      <c r="H12516" s="8">
        <v>8487</v>
      </c>
    </row>
    <row r="12517" spans="2:8" x14ac:dyDescent="0.4">
      <c r="B12517" t="s">
        <v>7</v>
      </c>
      <c r="C12517" t="s">
        <v>2069</v>
      </c>
      <c r="D12517" s="7">
        <f>DATE(2011,5,16)</f>
        <v>40679</v>
      </c>
      <c r="E12517" s="8">
        <f t="shared" si="207"/>
        <v>2011</v>
      </c>
      <c r="F12517" t="s">
        <v>2070</v>
      </c>
      <c r="G12517" s="9">
        <v>6032.08</v>
      </c>
      <c r="H12517" s="8">
        <v>10680</v>
      </c>
    </row>
    <row r="12518" spans="2:8" x14ac:dyDescent="0.4">
      <c r="B12518" t="s">
        <v>7</v>
      </c>
      <c r="C12518" t="s">
        <v>2069</v>
      </c>
      <c r="D12518" s="7">
        <f>DATE(2012,4,6)</f>
        <v>41005</v>
      </c>
      <c r="E12518" s="8">
        <f t="shared" si="207"/>
        <v>2012</v>
      </c>
      <c r="F12518" t="s">
        <v>2070</v>
      </c>
      <c r="G12518" s="9">
        <v>8522.5</v>
      </c>
      <c r="H12518" s="8">
        <v>11258</v>
      </c>
    </row>
    <row r="12519" spans="2:8" x14ac:dyDescent="0.4">
      <c r="B12519" t="s">
        <v>7</v>
      </c>
      <c r="C12519" t="s">
        <v>2069</v>
      </c>
      <c r="D12519" s="7">
        <f>DATE(2013,7,9)</f>
        <v>41464</v>
      </c>
      <c r="E12519" s="8">
        <f t="shared" si="207"/>
        <v>2013</v>
      </c>
      <c r="F12519" t="s">
        <v>2070</v>
      </c>
      <c r="G12519" s="9">
        <v>8703.7099999999991</v>
      </c>
      <c r="H12519" s="8">
        <v>12523</v>
      </c>
    </row>
    <row r="12520" spans="2:8" x14ac:dyDescent="0.4">
      <c r="B12520" s="3" t="s">
        <v>7</v>
      </c>
      <c r="C12520" s="3" t="s">
        <v>2069</v>
      </c>
      <c r="D12520" s="4">
        <f>DATE(2005,5,9)</f>
        <v>38481</v>
      </c>
      <c r="E12520" s="5">
        <f t="shared" si="207"/>
        <v>2005</v>
      </c>
      <c r="F12520" s="3" t="s">
        <v>2070</v>
      </c>
      <c r="G12520" s="6">
        <v>62.2</v>
      </c>
      <c r="H12520" s="5">
        <v>4701</v>
      </c>
    </row>
    <row r="12521" spans="2:8" x14ac:dyDescent="0.4">
      <c r="B12521" t="s">
        <v>7</v>
      </c>
      <c r="C12521" t="s">
        <v>2071</v>
      </c>
      <c r="D12521" s="7">
        <f>DATE(2015,7,7)</f>
        <v>42192</v>
      </c>
      <c r="E12521" s="8">
        <f t="shared" si="207"/>
        <v>2015</v>
      </c>
      <c r="F12521" t="s">
        <v>2072</v>
      </c>
      <c r="G12521" s="9">
        <v>8360.6200000000008</v>
      </c>
      <c r="H12521" s="8">
        <v>20844</v>
      </c>
    </row>
    <row r="12522" spans="2:8" x14ac:dyDescent="0.4">
      <c r="B12522" t="s">
        <v>7</v>
      </c>
      <c r="C12522" t="s">
        <v>2073</v>
      </c>
      <c r="D12522" s="7">
        <f>DATE(2011,6,22)</f>
        <v>40716</v>
      </c>
      <c r="E12522" s="8">
        <f t="shared" si="207"/>
        <v>2011</v>
      </c>
      <c r="F12522" t="s">
        <v>2074</v>
      </c>
      <c r="G12522" s="9">
        <v>5459.41</v>
      </c>
      <c r="H12522" s="8">
        <v>10822</v>
      </c>
    </row>
    <row r="12523" spans="2:8" x14ac:dyDescent="0.4">
      <c r="B12523" t="s">
        <v>7</v>
      </c>
      <c r="C12523" t="s">
        <v>2073</v>
      </c>
      <c r="D12523" s="7">
        <f>DATE(2011,6,23)</f>
        <v>40717</v>
      </c>
      <c r="E12523" s="8">
        <f t="shared" si="207"/>
        <v>2011</v>
      </c>
      <c r="F12523" t="s">
        <v>2074</v>
      </c>
      <c r="G12523" s="9">
        <v>5768.4</v>
      </c>
      <c r="H12523" s="8">
        <v>10834</v>
      </c>
    </row>
    <row r="12524" spans="2:8" x14ac:dyDescent="0.4">
      <c r="B12524" t="s">
        <v>7</v>
      </c>
      <c r="C12524" t="s">
        <v>2075</v>
      </c>
      <c r="D12524" s="7">
        <f>DATE(2019,5,15)</f>
        <v>43600</v>
      </c>
      <c r="E12524" s="8">
        <f t="shared" si="207"/>
        <v>2019</v>
      </c>
      <c r="F12524" t="s">
        <v>2076</v>
      </c>
      <c r="G12524" s="9">
        <v>21486</v>
      </c>
      <c r="H12524" s="8">
        <v>28944</v>
      </c>
    </row>
    <row r="12525" spans="2:8" x14ac:dyDescent="0.4">
      <c r="B12525" t="s">
        <v>7</v>
      </c>
      <c r="C12525" t="s">
        <v>2075</v>
      </c>
      <c r="D12525" s="7">
        <f>DATE(2015,11,5)</f>
        <v>42313</v>
      </c>
      <c r="E12525" s="8">
        <f t="shared" si="207"/>
        <v>2015</v>
      </c>
      <c r="F12525" t="s">
        <v>2076</v>
      </c>
      <c r="G12525" s="9">
        <v>5377.5</v>
      </c>
      <c r="H12525" s="8">
        <v>21511</v>
      </c>
    </row>
    <row r="12526" spans="2:8" x14ac:dyDescent="0.4">
      <c r="B12526" t="s">
        <v>7</v>
      </c>
      <c r="C12526" t="s">
        <v>2075</v>
      </c>
      <c r="D12526" s="7">
        <f>DATE(2015,11,5)</f>
        <v>42313</v>
      </c>
      <c r="E12526" s="8">
        <f t="shared" si="207"/>
        <v>2015</v>
      </c>
      <c r="F12526" t="s">
        <v>2076</v>
      </c>
      <c r="G12526" s="9">
        <v>866.8</v>
      </c>
      <c r="H12526" s="8">
        <v>21492</v>
      </c>
    </row>
    <row r="12527" spans="2:8" x14ac:dyDescent="0.4">
      <c r="B12527" t="s">
        <v>7</v>
      </c>
      <c r="C12527" t="s">
        <v>2075</v>
      </c>
      <c r="D12527" s="7">
        <f>DATE(2016,8,10)</f>
        <v>42592</v>
      </c>
      <c r="E12527" s="8">
        <f t="shared" si="207"/>
        <v>2016</v>
      </c>
      <c r="F12527" t="s">
        <v>2076</v>
      </c>
      <c r="G12527" s="9">
        <v>2436.5500000000002</v>
      </c>
      <c r="H12527" s="8">
        <v>23190</v>
      </c>
    </row>
    <row r="12528" spans="2:8" x14ac:dyDescent="0.4">
      <c r="B12528" t="s">
        <v>7</v>
      </c>
      <c r="C12528" t="s">
        <v>2075</v>
      </c>
      <c r="D12528" s="7">
        <f>DATE(2016,9,19)</f>
        <v>42632</v>
      </c>
      <c r="E12528" s="8">
        <f t="shared" si="207"/>
        <v>2016</v>
      </c>
      <c r="F12528" t="s">
        <v>2076</v>
      </c>
      <c r="G12528" s="9">
        <v>7785.43</v>
      </c>
      <c r="H12528" s="8">
        <v>23489</v>
      </c>
    </row>
    <row r="12529" spans="2:8" x14ac:dyDescent="0.4">
      <c r="B12529" t="s">
        <v>7</v>
      </c>
      <c r="C12529" t="s">
        <v>2075</v>
      </c>
      <c r="D12529" s="7">
        <f>DATE(2017,8,7)</f>
        <v>42954</v>
      </c>
      <c r="E12529" s="8">
        <f t="shared" si="207"/>
        <v>2017</v>
      </c>
      <c r="F12529" t="s">
        <v>2076</v>
      </c>
      <c r="G12529" s="9">
        <v>1640.3</v>
      </c>
      <c r="H12529" s="8">
        <v>25313</v>
      </c>
    </row>
    <row r="12530" spans="2:8" x14ac:dyDescent="0.4">
      <c r="B12530" t="s">
        <v>7</v>
      </c>
      <c r="C12530" t="s">
        <v>2075</v>
      </c>
      <c r="D12530" s="7">
        <f>DATE(2017,9,7)</f>
        <v>42985</v>
      </c>
      <c r="E12530" s="8">
        <f t="shared" si="207"/>
        <v>2017</v>
      </c>
      <c r="F12530" t="s">
        <v>2076</v>
      </c>
      <c r="G12530" s="9">
        <v>136.88</v>
      </c>
      <c r="H12530" s="8">
        <v>25544</v>
      </c>
    </row>
    <row r="12531" spans="2:8" x14ac:dyDescent="0.4">
      <c r="B12531" t="s">
        <v>7</v>
      </c>
      <c r="C12531" t="s">
        <v>2075</v>
      </c>
      <c r="D12531" s="7">
        <f>DATE(2017,10,3)</f>
        <v>43011</v>
      </c>
      <c r="E12531" s="8">
        <f t="shared" si="207"/>
        <v>2017</v>
      </c>
      <c r="F12531" t="s">
        <v>2076</v>
      </c>
      <c r="G12531" s="9">
        <v>656.6</v>
      </c>
      <c r="H12531" s="8">
        <v>25657</v>
      </c>
    </row>
    <row r="12532" spans="2:8" x14ac:dyDescent="0.4">
      <c r="B12532" t="s">
        <v>7</v>
      </c>
      <c r="C12532" t="s">
        <v>2075</v>
      </c>
      <c r="D12532" s="7">
        <f>DATE(2017,10,3)</f>
        <v>43011</v>
      </c>
      <c r="E12532" s="8">
        <f t="shared" si="207"/>
        <v>2017</v>
      </c>
      <c r="F12532" t="s">
        <v>2076</v>
      </c>
      <c r="G12532" s="9">
        <v>3173.28</v>
      </c>
      <c r="H12532" s="8">
        <v>25668</v>
      </c>
    </row>
    <row r="12533" spans="2:8" x14ac:dyDescent="0.4">
      <c r="B12533" t="s">
        <v>7</v>
      </c>
      <c r="C12533" t="s">
        <v>2075</v>
      </c>
      <c r="D12533" s="7">
        <f>DATE(2018,6,28)</f>
        <v>43279</v>
      </c>
      <c r="E12533" s="8">
        <f t="shared" si="207"/>
        <v>2018</v>
      </c>
      <c r="F12533" t="s">
        <v>2076</v>
      </c>
      <c r="G12533" s="9">
        <v>334</v>
      </c>
      <c r="H12533" s="8">
        <v>27284</v>
      </c>
    </row>
    <row r="12534" spans="2:8" x14ac:dyDescent="0.4">
      <c r="B12534" t="s">
        <v>7</v>
      </c>
      <c r="C12534" t="s">
        <v>2075</v>
      </c>
      <c r="D12534" s="7">
        <f>DATE(2019,4,25)</f>
        <v>43580</v>
      </c>
      <c r="E12534" s="8">
        <f t="shared" si="207"/>
        <v>2019</v>
      </c>
      <c r="F12534" t="s">
        <v>2076</v>
      </c>
      <c r="G12534" s="9">
        <v>554.97</v>
      </c>
      <c r="H12534" s="8">
        <v>28870</v>
      </c>
    </row>
    <row r="12535" spans="2:8" x14ac:dyDescent="0.4">
      <c r="B12535" t="s">
        <v>7</v>
      </c>
      <c r="C12535" t="s">
        <v>2075</v>
      </c>
      <c r="D12535" s="7">
        <f>DATE(2019,4,29)</f>
        <v>43584</v>
      </c>
      <c r="E12535" s="8">
        <f t="shared" si="207"/>
        <v>2019</v>
      </c>
      <c r="F12535" t="s">
        <v>2076</v>
      </c>
      <c r="G12535" s="9">
        <v>3947.01</v>
      </c>
      <c r="H12535" s="8">
        <v>28869</v>
      </c>
    </row>
    <row r="12536" spans="2:8" x14ac:dyDescent="0.4">
      <c r="B12536" t="s">
        <v>7</v>
      </c>
      <c r="C12536" t="s">
        <v>2075</v>
      </c>
      <c r="D12536" s="7">
        <f>DATE(2015,1,22)</f>
        <v>42026</v>
      </c>
      <c r="E12536" s="8">
        <f t="shared" si="207"/>
        <v>2015</v>
      </c>
      <c r="F12536" t="s">
        <v>2076</v>
      </c>
      <c r="G12536" s="9">
        <v>6451.3</v>
      </c>
      <c r="H12536" s="8">
        <v>31</v>
      </c>
    </row>
    <row r="12537" spans="2:8" x14ac:dyDescent="0.4">
      <c r="B12537" t="s">
        <v>7</v>
      </c>
      <c r="C12537" t="s">
        <v>2075</v>
      </c>
      <c r="D12537" s="7">
        <f>DATE(2015,2,11)</f>
        <v>42046</v>
      </c>
      <c r="E12537" s="8">
        <f t="shared" si="207"/>
        <v>2015</v>
      </c>
      <c r="F12537" t="s">
        <v>2076</v>
      </c>
      <c r="G12537" s="9">
        <v>7491.72</v>
      </c>
      <c r="H12537" s="8">
        <v>258</v>
      </c>
    </row>
    <row r="12538" spans="2:8" x14ac:dyDescent="0.4">
      <c r="B12538" t="s">
        <v>7</v>
      </c>
      <c r="C12538" t="s">
        <v>2075</v>
      </c>
      <c r="D12538" s="7">
        <f>DATE(2015,2,11)</f>
        <v>42046</v>
      </c>
      <c r="E12538" s="8">
        <f t="shared" si="207"/>
        <v>2015</v>
      </c>
      <c r="F12538" t="s">
        <v>2076</v>
      </c>
      <c r="G12538" s="9">
        <v>16851.43</v>
      </c>
      <c r="H12538" s="8">
        <v>259</v>
      </c>
    </row>
    <row r="12539" spans="2:8" x14ac:dyDescent="0.4">
      <c r="B12539" t="s">
        <v>7</v>
      </c>
      <c r="C12539" t="s">
        <v>2075</v>
      </c>
      <c r="D12539" s="7">
        <f>DATE(2015,2,26)</f>
        <v>42061</v>
      </c>
      <c r="E12539" s="8">
        <f t="shared" si="207"/>
        <v>2015</v>
      </c>
      <c r="F12539" t="s">
        <v>2076</v>
      </c>
      <c r="G12539" s="9">
        <v>7611.16</v>
      </c>
      <c r="H12539" s="8">
        <v>413</v>
      </c>
    </row>
    <row r="12540" spans="2:8" x14ac:dyDescent="0.4">
      <c r="B12540" t="s">
        <v>7</v>
      </c>
      <c r="C12540" t="s">
        <v>2075</v>
      </c>
      <c r="D12540" s="7">
        <f>DATE(2015,3,5)</f>
        <v>42068</v>
      </c>
      <c r="E12540" s="8">
        <f t="shared" si="207"/>
        <v>2015</v>
      </c>
      <c r="F12540" t="s">
        <v>2076</v>
      </c>
      <c r="G12540" s="9">
        <v>7865.56</v>
      </c>
      <c r="H12540" s="8">
        <v>387</v>
      </c>
    </row>
    <row r="12541" spans="2:8" x14ac:dyDescent="0.4">
      <c r="B12541" t="s">
        <v>7</v>
      </c>
      <c r="C12541" t="s">
        <v>2075</v>
      </c>
      <c r="D12541" s="7">
        <f>DATE(2015,3,10)</f>
        <v>42073</v>
      </c>
      <c r="E12541" s="8">
        <f t="shared" si="207"/>
        <v>2015</v>
      </c>
      <c r="F12541" t="s">
        <v>2076</v>
      </c>
      <c r="G12541" s="9">
        <v>15314.02</v>
      </c>
      <c r="H12541" s="8">
        <v>5000</v>
      </c>
    </row>
    <row r="12542" spans="2:8" x14ac:dyDescent="0.4">
      <c r="B12542" t="s">
        <v>7</v>
      </c>
      <c r="C12542" t="s">
        <v>2075</v>
      </c>
      <c r="D12542" s="7">
        <f>DATE(2015,3,17)</f>
        <v>42080</v>
      </c>
      <c r="E12542" s="8">
        <f t="shared" si="207"/>
        <v>2015</v>
      </c>
      <c r="F12542" t="s">
        <v>2076</v>
      </c>
      <c r="G12542" s="9">
        <v>3375</v>
      </c>
      <c r="H12542" s="8">
        <v>20072</v>
      </c>
    </row>
    <row r="12543" spans="2:8" x14ac:dyDescent="0.4">
      <c r="B12543" t="s">
        <v>7</v>
      </c>
      <c r="C12543" t="s">
        <v>2075</v>
      </c>
      <c r="D12543" s="7">
        <f>DATE(2015,3,17)</f>
        <v>42080</v>
      </c>
      <c r="E12543" s="8">
        <f t="shared" si="207"/>
        <v>2015</v>
      </c>
      <c r="F12543" t="s">
        <v>2076</v>
      </c>
      <c r="G12543" s="9">
        <v>10793.08</v>
      </c>
      <c r="H12543" s="8">
        <v>20085</v>
      </c>
    </row>
    <row r="12544" spans="2:8" x14ac:dyDescent="0.4">
      <c r="B12544" t="s">
        <v>7</v>
      </c>
      <c r="C12544" t="s">
        <v>2075</v>
      </c>
      <c r="D12544" s="7">
        <f>DATE(2015,3,26)</f>
        <v>42089</v>
      </c>
      <c r="E12544" s="8">
        <f t="shared" si="207"/>
        <v>2015</v>
      </c>
      <c r="F12544" t="s">
        <v>2076</v>
      </c>
      <c r="G12544" s="9">
        <v>12342.43</v>
      </c>
      <c r="H12544" s="8">
        <v>20154</v>
      </c>
    </row>
    <row r="12545" spans="2:8" x14ac:dyDescent="0.4">
      <c r="B12545" t="s">
        <v>7</v>
      </c>
      <c r="C12545" t="s">
        <v>2075</v>
      </c>
      <c r="D12545" s="7">
        <f>DATE(2015,3,26)</f>
        <v>42089</v>
      </c>
      <c r="E12545" s="8">
        <f t="shared" si="207"/>
        <v>2015</v>
      </c>
      <c r="F12545" t="s">
        <v>2076</v>
      </c>
      <c r="G12545" s="9">
        <v>3081</v>
      </c>
      <c r="H12545" s="8">
        <v>20155</v>
      </c>
    </row>
    <row r="12546" spans="2:8" x14ac:dyDescent="0.4">
      <c r="B12546" t="s">
        <v>7</v>
      </c>
      <c r="C12546" t="s">
        <v>2075</v>
      </c>
      <c r="D12546" s="7">
        <f>DATE(2015,4,6)</f>
        <v>42100</v>
      </c>
      <c r="E12546" s="8">
        <f t="shared" si="207"/>
        <v>2015</v>
      </c>
      <c r="F12546" t="s">
        <v>2076</v>
      </c>
      <c r="G12546" s="9">
        <v>8198.5</v>
      </c>
      <c r="H12546" s="8">
        <v>20108</v>
      </c>
    </row>
    <row r="12547" spans="2:8" x14ac:dyDescent="0.4">
      <c r="B12547" t="s">
        <v>7</v>
      </c>
      <c r="C12547" t="s">
        <v>2075</v>
      </c>
      <c r="D12547" s="7">
        <f>DATE(2015,4,16)</f>
        <v>42110</v>
      </c>
      <c r="E12547" s="8">
        <f t="shared" ref="E12547:E12610" si="208">YEAR(D12547)</f>
        <v>2015</v>
      </c>
      <c r="F12547" t="s">
        <v>2076</v>
      </c>
      <c r="G12547" s="9">
        <v>2692.29</v>
      </c>
      <c r="H12547" s="8">
        <v>20455</v>
      </c>
    </row>
    <row r="12548" spans="2:8" x14ac:dyDescent="0.4">
      <c r="B12548" t="s">
        <v>7</v>
      </c>
      <c r="C12548" t="s">
        <v>2075</v>
      </c>
      <c r="D12548" s="7">
        <f>DATE(2015,4,17)</f>
        <v>42111</v>
      </c>
      <c r="E12548" s="8">
        <f t="shared" si="208"/>
        <v>2015</v>
      </c>
      <c r="F12548" t="s">
        <v>2076</v>
      </c>
      <c r="G12548" s="9">
        <v>7427.95</v>
      </c>
      <c r="H12548" s="8">
        <v>20332</v>
      </c>
    </row>
    <row r="12549" spans="2:8" x14ac:dyDescent="0.4">
      <c r="B12549" t="s">
        <v>7</v>
      </c>
      <c r="C12549" t="s">
        <v>2075</v>
      </c>
      <c r="D12549" s="7">
        <f>DATE(2015,4,17)</f>
        <v>42111</v>
      </c>
      <c r="E12549" s="8">
        <f t="shared" si="208"/>
        <v>2015</v>
      </c>
      <c r="F12549" t="s">
        <v>2076</v>
      </c>
      <c r="G12549" s="9">
        <v>11897.4</v>
      </c>
      <c r="H12549" s="8">
        <v>20351</v>
      </c>
    </row>
    <row r="12550" spans="2:8" x14ac:dyDescent="0.4">
      <c r="B12550" t="s">
        <v>7</v>
      </c>
      <c r="C12550" t="s">
        <v>2075</v>
      </c>
      <c r="D12550" s="7">
        <f>DATE(2015,4,21)</f>
        <v>42115</v>
      </c>
      <c r="E12550" s="8">
        <f t="shared" si="208"/>
        <v>2015</v>
      </c>
      <c r="F12550" t="s">
        <v>2076</v>
      </c>
      <c r="G12550" s="9">
        <v>2362</v>
      </c>
      <c r="H12550" s="8">
        <v>20410</v>
      </c>
    </row>
    <row r="12551" spans="2:8" x14ac:dyDescent="0.4">
      <c r="B12551" t="s">
        <v>7</v>
      </c>
      <c r="C12551" t="s">
        <v>2075</v>
      </c>
      <c r="D12551" s="7">
        <f>DATE(2015,4,21)</f>
        <v>42115</v>
      </c>
      <c r="E12551" s="8">
        <f t="shared" si="208"/>
        <v>2015</v>
      </c>
      <c r="F12551" t="s">
        <v>2076</v>
      </c>
      <c r="G12551" s="9">
        <v>711</v>
      </c>
      <c r="H12551" s="8">
        <v>20422</v>
      </c>
    </row>
    <row r="12552" spans="2:8" x14ac:dyDescent="0.4">
      <c r="B12552" t="s">
        <v>7</v>
      </c>
      <c r="C12552" t="s">
        <v>2075</v>
      </c>
      <c r="D12552" s="7">
        <f>DATE(2015,4,23)</f>
        <v>42117</v>
      </c>
      <c r="E12552" s="8">
        <f t="shared" si="208"/>
        <v>2015</v>
      </c>
      <c r="F12552" t="s">
        <v>2076</v>
      </c>
      <c r="G12552" s="9">
        <v>20187.080000000002</v>
      </c>
      <c r="H12552" s="8">
        <v>20456</v>
      </c>
    </row>
    <row r="12553" spans="2:8" x14ac:dyDescent="0.4">
      <c r="B12553" t="s">
        <v>7</v>
      </c>
      <c r="C12553" t="s">
        <v>2075</v>
      </c>
      <c r="D12553" s="7">
        <f>DATE(2015,4,23)</f>
        <v>42117</v>
      </c>
      <c r="E12553" s="8">
        <f t="shared" si="208"/>
        <v>2015</v>
      </c>
      <c r="F12553" t="s">
        <v>2076</v>
      </c>
      <c r="G12553" s="9">
        <v>946.75</v>
      </c>
      <c r="H12553" s="8">
        <v>20477</v>
      </c>
    </row>
    <row r="12554" spans="2:8" x14ac:dyDescent="0.4">
      <c r="B12554" t="s">
        <v>7</v>
      </c>
      <c r="C12554" t="s">
        <v>2075</v>
      </c>
      <c r="D12554" s="7">
        <f>DATE(2015,4,27)</f>
        <v>42121</v>
      </c>
      <c r="E12554" s="8">
        <f t="shared" si="208"/>
        <v>2015</v>
      </c>
      <c r="F12554" t="s">
        <v>2076</v>
      </c>
      <c r="G12554" s="9">
        <v>11104.84</v>
      </c>
      <c r="H12554" s="8">
        <v>20481</v>
      </c>
    </row>
    <row r="12555" spans="2:8" x14ac:dyDescent="0.4">
      <c r="B12555" t="s">
        <v>7</v>
      </c>
      <c r="C12555" t="s">
        <v>2075</v>
      </c>
      <c r="D12555" s="7">
        <f>DATE(2015,4,30)</f>
        <v>42124</v>
      </c>
      <c r="E12555" s="8">
        <f t="shared" si="208"/>
        <v>2015</v>
      </c>
      <c r="F12555" t="s">
        <v>2076</v>
      </c>
      <c r="G12555" s="9">
        <v>9245.49</v>
      </c>
      <c r="H12555" s="8">
        <v>20514</v>
      </c>
    </row>
    <row r="12556" spans="2:8" x14ac:dyDescent="0.4">
      <c r="B12556" t="s">
        <v>7</v>
      </c>
      <c r="C12556" t="s">
        <v>2075</v>
      </c>
      <c r="D12556" s="7">
        <f>DATE(2015,5,6)</f>
        <v>42130</v>
      </c>
      <c r="E12556" s="8">
        <f t="shared" si="208"/>
        <v>2015</v>
      </c>
      <c r="F12556" t="s">
        <v>2076</v>
      </c>
      <c r="G12556" s="9">
        <v>7577.66</v>
      </c>
      <c r="H12556" s="8">
        <v>20508</v>
      </c>
    </row>
    <row r="12557" spans="2:8" x14ac:dyDescent="0.4">
      <c r="B12557" t="s">
        <v>7</v>
      </c>
      <c r="C12557" t="s">
        <v>2075</v>
      </c>
      <c r="D12557" s="7">
        <f>DATE(2015,5,18)</f>
        <v>42142</v>
      </c>
      <c r="E12557" s="8">
        <f t="shared" si="208"/>
        <v>2015</v>
      </c>
      <c r="F12557" t="s">
        <v>2076</v>
      </c>
      <c r="G12557" s="9">
        <v>23065.58</v>
      </c>
      <c r="H12557" s="8">
        <v>20333</v>
      </c>
    </row>
    <row r="12558" spans="2:8" x14ac:dyDescent="0.4">
      <c r="B12558" t="s">
        <v>7</v>
      </c>
      <c r="C12558" t="s">
        <v>2075</v>
      </c>
      <c r="D12558" s="7">
        <f>DATE(2015,5,18)</f>
        <v>42142</v>
      </c>
      <c r="E12558" s="8">
        <f t="shared" si="208"/>
        <v>2015</v>
      </c>
      <c r="F12558" t="s">
        <v>2076</v>
      </c>
      <c r="G12558" s="9">
        <v>4454.72</v>
      </c>
      <c r="H12558" s="8">
        <v>20624</v>
      </c>
    </row>
    <row r="12559" spans="2:8" x14ac:dyDescent="0.4">
      <c r="B12559" t="s">
        <v>7</v>
      </c>
      <c r="C12559" t="s">
        <v>2075</v>
      </c>
      <c r="D12559" s="7">
        <f>DATE(2015,6,26)</f>
        <v>42181</v>
      </c>
      <c r="E12559" s="8">
        <f t="shared" si="208"/>
        <v>2015</v>
      </c>
      <c r="F12559" t="s">
        <v>2076</v>
      </c>
      <c r="G12559" s="9">
        <v>33438.35</v>
      </c>
      <c r="H12559" s="8">
        <v>20780</v>
      </c>
    </row>
    <row r="12560" spans="2:8" x14ac:dyDescent="0.4">
      <c r="B12560" t="s">
        <v>7</v>
      </c>
      <c r="C12560" t="s">
        <v>2075</v>
      </c>
      <c r="D12560" s="7">
        <f>DATE(2015,7,7)</f>
        <v>42192</v>
      </c>
      <c r="E12560" s="8">
        <f t="shared" si="208"/>
        <v>2015</v>
      </c>
      <c r="F12560" t="s">
        <v>2076</v>
      </c>
      <c r="G12560" s="9">
        <v>19800.87</v>
      </c>
      <c r="H12560" s="8">
        <v>20819</v>
      </c>
    </row>
    <row r="12561" spans="2:8" x14ac:dyDescent="0.4">
      <c r="B12561" t="s">
        <v>7</v>
      </c>
      <c r="C12561" t="s">
        <v>2075</v>
      </c>
      <c r="D12561" s="7">
        <f>DATE(2015,7,9)</f>
        <v>42194</v>
      </c>
      <c r="E12561" s="8">
        <f t="shared" si="208"/>
        <v>2015</v>
      </c>
      <c r="F12561" t="s">
        <v>2076</v>
      </c>
      <c r="G12561" s="9">
        <v>2622.55</v>
      </c>
      <c r="H12561" s="8">
        <v>20902</v>
      </c>
    </row>
    <row r="12562" spans="2:8" x14ac:dyDescent="0.4">
      <c r="B12562" t="s">
        <v>7</v>
      </c>
      <c r="C12562" t="s">
        <v>2075</v>
      </c>
      <c r="D12562" s="7">
        <f>DATE(2015,7,21)</f>
        <v>42206</v>
      </c>
      <c r="E12562" s="8">
        <f t="shared" si="208"/>
        <v>2015</v>
      </c>
      <c r="F12562" t="s">
        <v>2076</v>
      </c>
      <c r="G12562" s="9">
        <v>13117.36</v>
      </c>
      <c r="H12562" s="8">
        <v>20921</v>
      </c>
    </row>
    <row r="12563" spans="2:8" x14ac:dyDescent="0.4">
      <c r="B12563" t="s">
        <v>7</v>
      </c>
      <c r="C12563" t="s">
        <v>2075</v>
      </c>
      <c r="D12563" s="7">
        <f>DATE(2015,7,23)</f>
        <v>42208</v>
      </c>
      <c r="E12563" s="8">
        <f t="shared" si="208"/>
        <v>2015</v>
      </c>
      <c r="F12563" t="s">
        <v>2076</v>
      </c>
      <c r="G12563" s="9">
        <v>7844.84</v>
      </c>
      <c r="H12563" s="8">
        <v>20894</v>
      </c>
    </row>
    <row r="12564" spans="2:8" x14ac:dyDescent="0.4">
      <c r="B12564" t="s">
        <v>7</v>
      </c>
      <c r="C12564" t="s">
        <v>2075</v>
      </c>
      <c r="D12564" s="7">
        <f>DATE(2015,8,4)</f>
        <v>42220</v>
      </c>
      <c r="E12564" s="8">
        <f t="shared" si="208"/>
        <v>2015</v>
      </c>
      <c r="F12564" t="s">
        <v>2076</v>
      </c>
      <c r="G12564" s="9">
        <v>12032</v>
      </c>
      <c r="H12564" s="8">
        <v>20918</v>
      </c>
    </row>
    <row r="12565" spans="2:8" x14ac:dyDescent="0.4">
      <c r="B12565" t="s">
        <v>7</v>
      </c>
      <c r="C12565" t="s">
        <v>2075</v>
      </c>
      <c r="D12565" s="7">
        <f>DATE(2015,8,5)</f>
        <v>42221</v>
      </c>
      <c r="E12565" s="8">
        <f t="shared" si="208"/>
        <v>2015</v>
      </c>
      <c r="F12565" t="s">
        <v>2076</v>
      </c>
      <c r="G12565" s="9">
        <v>3034.25</v>
      </c>
      <c r="H12565" s="8">
        <v>20972</v>
      </c>
    </row>
    <row r="12566" spans="2:8" x14ac:dyDescent="0.4">
      <c r="B12566" t="s">
        <v>7</v>
      </c>
      <c r="C12566" t="s">
        <v>2075</v>
      </c>
      <c r="D12566" s="7">
        <f>DATE(2015,8,11)</f>
        <v>42227</v>
      </c>
      <c r="E12566" s="8">
        <f t="shared" si="208"/>
        <v>2015</v>
      </c>
      <c r="F12566" t="s">
        <v>2076</v>
      </c>
      <c r="G12566" s="9">
        <v>51604.800000000003</v>
      </c>
      <c r="H12566" s="8">
        <v>20927</v>
      </c>
    </row>
    <row r="12567" spans="2:8" x14ac:dyDescent="0.4">
      <c r="B12567" t="s">
        <v>7</v>
      </c>
      <c r="C12567" t="s">
        <v>2075</v>
      </c>
      <c r="D12567" s="7">
        <f>DATE(2015,8,17)</f>
        <v>42233</v>
      </c>
      <c r="E12567" s="8">
        <f t="shared" si="208"/>
        <v>2015</v>
      </c>
      <c r="F12567" t="s">
        <v>2076</v>
      </c>
      <c r="G12567" s="9">
        <v>22259.7</v>
      </c>
      <c r="H12567" s="8">
        <v>21074</v>
      </c>
    </row>
    <row r="12568" spans="2:8" x14ac:dyDescent="0.4">
      <c r="B12568" t="s">
        <v>7</v>
      </c>
      <c r="C12568" t="s">
        <v>2075</v>
      </c>
      <c r="D12568" s="7">
        <f>DATE(2015,8,20)</f>
        <v>42236</v>
      </c>
      <c r="E12568" s="8">
        <f t="shared" si="208"/>
        <v>2015</v>
      </c>
      <c r="F12568" t="s">
        <v>2076</v>
      </c>
      <c r="G12568" s="9">
        <v>7543</v>
      </c>
      <c r="H12568" s="8">
        <v>21056</v>
      </c>
    </row>
    <row r="12569" spans="2:8" x14ac:dyDescent="0.4">
      <c r="B12569" t="s">
        <v>7</v>
      </c>
      <c r="C12569" t="s">
        <v>2075</v>
      </c>
      <c r="D12569" s="7">
        <f>DATE(2015,8,25)</f>
        <v>42241</v>
      </c>
      <c r="E12569" s="8">
        <f t="shared" si="208"/>
        <v>2015</v>
      </c>
      <c r="F12569" t="s">
        <v>2076</v>
      </c>
      <c r="G12569" s="9">
        <v>3204.98</v>
      </c>
      <c r="H12569" s="8">
        <v>21075</v>
      </c>
    </row>
    <row r="12570" spans="2:8" x14ac:dyDescent="0.4">
      <c r="B12570" t="s">
        <v>7</v>
      </c>
      <c r="C12570" t="s">
        <v>2075</v>
      </c>
      <c r="D12570" s="7">
        <f>DATE(2015,9,3)</f>
        <v>42250</v>
      </c>
      <c r="E12570" s="8">
        <f t="shared" si="208"/>
        <v>2015</v>
      </c>
      <c r="F12570" t="s">
        <v>2076</v>
      </c>
      <c r="G12570" s="9">
        <v>18668.02</v>
      </c>
      <c r="H12570" s="8">
        <v>20971</v>
      </c>
    </row>
    <row r="12571" spans="2:8" x14ac:dyDescent="0.4">
      <c r="B12571" t="s">
        <v>7</v>
      </c>
      <c r="C12571" t="s">
        <v>2075</v>
      </c>
      <c r="D12571" s="7">
        <f>DATE(2015,9,3)</f>
        <v>42250</v>
      </c>
      <c r="E12571" s="8">
        <f t="shared" si="208"/>
        <v>2015</v>
      </c>
      <c r="F12571" t="s">
        <v>2076</v>
      </c>
      <c r="G12571" s="9">
        <v>17100</v>
      </c>
      <c r="H12571" s="8">
        <v>20988</v>
      </c>
    </row>
    <row r="12572" spans="2:8" x14ac:dyDescent="0.4">
      <c r="B12572" t="s">
        <v>7</v>
      </c>
      <c r="C12572" t="s">
        <v>2075</v>
      </c>
      <c r="D12572" s="7">
        <f>DATE(2015,9,4)</f>
        <v>42251</v>
      </c>
      <c r="E12572" s="8">
        <f t="shared" si="208"/>
        <v>2015</v>
      </c>
      <c r="F12572" t="s">
        <v>2076</v>
      </c>
      <c r="G12572" s="9">
        <v>2624.3</v>
      </c>
      <c r="H12572" s="8">
        <v>20989</v>
      </c>
    </row>
    <row r="12573" spans="2:8" x14ac:dyDescent="0.4">
      <c r="B12573" t="s">
        <v>7</v>
      </c>
      <c r="C12573" t="s">
        <v>2075</v>
      </c>
      <c r="D12573" s="7">
        <f>DATE(2015,9,8)</f>
        <v>42255</v>
      </c>
      <c r="E12573" s="8">
        <f t="shared" si="208"/>
        <v>2015</v>
      </c>
      <c r="F12573" t="s">
        <v>2076</v>
      </c>
      <c r="G12573" s="9">
        <v>14250.46</v>
      </c>
      <c r="H12573" s="8">
        <v>21076</v>
      </c>
    </row>
    <row r="12574" spans="2:8" x14ac:dyDescent="0.4">
      <c r="B12574" t="s">
        <v>7</v>
      </c>
      <c r="C12574" t="s">
        <v>2075</v>
      </c>
      <c r="D12574" s="7">
        <f>DATE(2015,9,11)</f>
        <v>42258</v>
      </c>
      <c r="E12574" s="8">
        <f t="shared" si="208"/>
        <v>2015</v>
      </c>
      <c r="F12574" t="s">
        <v>2076</v>
      </c>
      <c r="G12574" s="9">
        <v>7600.98</v>
      </c>
      <c r="H12574" s="8">
        <v>21204</v>
      </c>
    </row>
    <row r="12575" spans="2:8" x14ac:dyDescent="0.4">
      <c r="B12575" t="s">
        <v>7</v>
      </c>
      <c r="C12575" t="s">
        <v>2075</v>
      </c>
      <c r="D12575" s="7">
        <f>DATE(2015,9,15)</f>
        <v>42262</v>
      </c>
      <c r="E12575" s="8">
        <f t="shared" si="208"/>
        <v>2015</v>
      </c>
      <c r="F12575" t="s">
        <v>2076</v>
      </c>
      <c r="G12575" s="9">
        <v>11543.42</v>
      </c>
      <c r="H12575" s="8">
        <v>21144</v>
      </c>
    </row>
    <row r="12576" spans="2:8" x14ac:dyDescent="0.4">
      <c r="B12576" t="s">
        <v>7</v>
      </c>
      <c r="C12576" t="s">
        <v>2075</v>
      </c>
      <c r="D12576" s="7">
        <f>DATE(2015,9,17)</f>
        <v>42264</v>
      </c>
      <c r="E12576" s="8">
        <f t="shared" si="208"/>
        <v>2015</v>
      </c>
      <c r="F12576" t="s">
        <v>2076</v>
      </c>
      <c r="G12576" s="9">
        <v>11863</v>
      </c>
      <c r="H12576" s="8">
        <v>21144</v>
      </c>
    </row>
    <row r="12577" spans="2:8" x14ac:dyDescent="0.4">
      <c r="B12577" t="s">
        <v>7</v>
      </c>
      <c r="C12577" t="s">
        <v>2075</v>
      </c>
      <c r="D12577" s="7">
        <f>DATE(2015,9,17)</f>
        <v>42264</v>
      </c>
      <c r="E12577" s="8">
        <f t="shared" si="208"/>
        <v>2015</v>
      </c>
      <c r="F12577" t="s">
        <v>2076</v>
      </c>
      <c r="G12577" s="9">
        <v>10123.5</v>
      </c>
      <c r="H12577" s="8">
        <v>21220</v>
      </c>
    </row>
    <row r="12578" spans="2:8" x14ac:dyDescent="0.4">
      <c r="B12578" t="s">
        <v>7</v>
      </c>
      <c r="C12578" t="s">
        <v>2075</v>
      </c>
      <c r="D12578" s="7">
        <f>DATE(2015,9,21)</f>
        <v>42268</v>
      </c>
      <c r="E12578" s="8">
        <f t="shared" si="208"/>
        <v>2015</v>
      </c>
      <c r="F12578" t="s">
        <v>2076</v>
      </c>
      <c r="G12578" s="9">
        <v>947.25</v>
      </c>
      <c r="H12578" s="8">
        <v>21260</v>
      </c>
    </row>
    <row r="12579" spans="2:8" x14ac:dyDescent="0.4">
      <c r="B12579" t="s">
        <v>7</v>
      </c>
      <c r="C12579" t="s">
        <v>2075</v>
      </c>
      <c r="D12579" s="7">
        <f>DATE(2015,10,6)</f>
        <v>42283</v>
      </c>
      <c r="E12579" s="8">
        <f t="shared" si="208"/>
        <v>2015</v>
      </c>
      <c r="F12579" t="s">
        <v>2076</v>
      </c>
      <c r="G12579" s="9">
        <v>551.75</v>
      </c>
      <c r="H12579" s="8">
        <v>21361</v>
      </c>
    </row>
    <row r="12580" spans="2:8" x14ac:dyDescent="0.4">
      <c r="B12580" t="s">
        <v>7</v>
      </c>
      <c r="C12580" t="s">
        <v>2075</v>
      </c>
      <c r="D12580" s="7">
        <f>DATE(2015,10,8)</f>
        <v>42285</v>
      </c>
      <c r="E12580" s="8">
        <f t="shared" si="208"/>
        <v>2015</v>
      </c>
      <c r="F12580" t="s">
        <v>2076</v>
      </c>
      <c r="G12580" s="9">
        <v>2625.35</v>
      </c>
      <c r="H12580" s="8">
        <v>21291</v>
      </c>
    </row>
    <row r="12581" spans="2:8" x14ac:dyDescent="0.4">
      <c r="B12581" t="s">
        <v>7</v>
      </c>
      <c r="C12581" t="s">
        <v>2075</v>
      </c>
      <c r="D12581" s="7">
        <f>DATE(2015,10,29)</f>
        <v>42306</v>
      </c>
      <c r="E12581" s="8">
        <f t="shared" si="208"/>
        <v>2015</v>
      </c>
      <c r="F12581" t="s">
        <v>2076</v>
      </c>
      <c r="G12581" s="9">
        <v>19362.57</v>
      </c>
      <c r="H12581" s="8">
        <v>21366</v>
      </c>
    </row>
    <row r="12582" spans="2:8" x14ac:dyDescent="0.4">
      <c r="B12582" t="s">
        <v>7</v>
      </c>
      <c r="C12582" t="s">
        <v>2075</v>
      </c>
      <c r="D12582" s="7">
        <f>DATE(2015,11,5)</f>
        <v>42313</v>
      </c>
      <c r="E12582" s="8">
        <f t="shared" si="208"/>
        <v>2015</v>
      </c>
      <c r="F12582" t="s">
        <v>2076</v>
      </c>
      <c r="G12582" s="9">
        <v>7639.85</v>
      </c>
      <c r="H12582" s="8">
        <v>21488</v>
      </c>
    </row>
    <row r="12583" spans="2:8" x14ac:dyDescent="0.4">
      <c r="B12583" t="s">
        <v>7</v>
      </c>
      <c r="C12583" t="s">
        <v>2075</v>
      </c>
      <c r="D12583" s="7">
        <f>DATE(2015,11,12)</f>
        <v>42320</v>
      </c>
      <c r="E12583" s="8">
        <f t="shared" si="208"/>
        <v>2015</v>
      </c>
      <c r="F12583" t="s">
        <v>2076</v>
      </c>
      <c r="G12583" s="9">
        <v>6241.35</v>
      </c>
      <c r="H12583" s="8">
        <v>21512</v>
      </c>
    </row>
    <row r="12584" spans="2:8" x14ac:dyDescent="0.4">
      <c r="B12584" t="s">
        <v>7</v>
      </c>
      <c r="C12584" t="s">
        <v>2075</v>
      </c>
      <c r="D12584" s="7">
        <f>DATE(2015,11,20)</f>
        <v>42328</v>
      </c>
      <c r="E12584" s="8">
        <f t="shared" si="208"/>
        <v>2015</v>
      </c>
      <c r="F12584" t="s">
        <v>2076</v>
      </c>
      <c r="G12584" s="9">
        <v>1325.95</v>
      </c>
      <c r="H12584" s="8">
        <v>21651</v>
      </c>
    </row>
    <row r="12585" spans="2:8" x14ac:dyDescent="0.4">
      <c r="B12585" t="s">
        <v>7</v>
      </c>
      <c r="C12585" t="s">
        <v>2075</v>
      </c>
      <c r="D12585" s="7">
        <f>DATE(2015,12,11)</f>
        <v>42349</v>
      </c>
      <c r="E12585" s="8">
        <f t="shared" si="208"/>
        <v>2015</v>
      </c>
      <c r="F12585" t="s">
        <v>2076</v>
      </c>
      <c r="G12585" s="9">
        <v>3158.8</v>
      </c>
      <c r="H12585" s="8">
        <v>21817</v>
      </c>
    </row>
    <row r="12586" spans="2:8" x14ac:dyDescent="0.4">
      <c r="B12586" t="s">
        <v>7</v>
      </c>
      <c r="C12586" t="s">
        <v>2075</v>
      </c>
      <c r="D12586" s="7">
        <f>DATE(2015,12,15)</f>
        <v>42353</v>
      </c>
      <c r="E12586" s="8">
        <f t="shared" si="208"/>
        <v>2015</v>
      </c>
      <c r="F12586" t="s">
        <v>2076</v>
      </c>
      <c r="G12586" s="9">
        <v>21368.54</v>
      </c>
      <c r="H12586" s="8">
        <v>21743</v>
      </c>
    </row>
    <row r="12587" spans="2:8" x14ac:dyDescent="0.4">
      <c r="B12587" t="s">
        <v>7</v>
      </c>
      <c r="C12587" t="s">
        <v>2075</v>
      </c>
      <c r="D12587" s="7">
        <f>DATE(2016,1,8)</f>
        <v>42377</v>
      </c>
      <c r="E12587" s="8">
        <f t="shared" si="208"/>
        <v>2016</v>
      </c>
      <c r="F12587" t="s">
        <v>2076</v>
      </c>
      <c r="G12587" s="9">
        <v>3835.21</v>
      </c>
      <c r="H12587" s="8">
        <v>21820</v>
      </c>
    </row>
    <row r="12588" spans="2:8" x14ac:dyDescent="0.4">
      <c r="B12588" t="s">
        <v>7</v>
      </c>
      <c r="C12588" t="s">
        <v>2075</v>
      </c>
      <c r="D12588" s="7">
        <f>DATE(2016,1,14)</f>
        <v>42383</v>
      </c>
      <c r="E12588" s="8">
        <f t="shared" si="208"/>
        <v>2016</v>
      </c>
      <c r="F12588" t="s">
        <v>2076</v>
      </c>
      <c r="G12588" s="9">
        <v>11495.23</v>
      </c>
      <c r="H12588" s="8">
        <v>21843</v>
      </c>
    </row>
    <row r="12589" spans="2:8" x14ac:dyDescent="0.4">
      <c r="B12589" t="s">
        <v>7</v>
      </c>
      <c r="C12589" t="s">
        <v>2075</v>
      </c>
      <c r="D12589" s="7">
        <f>DATE(2016,2,2)</f>
        <v>42402</v>
      </c>
      <c r="E12589" s="8">
        <f t="shared" si="208"/>
        <v>2016</v>
      </c>
      <c r="F12589" t="s">
        <v>2076</v>
      </c>
      <c r="G12589" s="9">
        <v>23340.799999999999</v>
      </c>
      <c r="H12589" s="8">
        <v>21948</v>
      </c>
    </row>
    <row r="12590" spans="2:8" x14ac:dyDescent="0.4">
      <c r="B12590" t="s">
        <v>7</v>
      </c>
      <c r="C12590" t="s">
        <v>2075</v>
      </c>
      <c r="D12590" s="7">
        <f>DATE(2016,2,9)</f>
        <v>42409</v>
      </c>
      <c r="E12590" s="8">
        <f t="shared" si="208"/>
        <v>2016</v>
      </c>
      <c r="F12590" t="s">
        <v>2076</v>
      </c>
      <c r="G12590" s="9">
        <v>8238.91</v>
      </c>
      <c r="H12590" s="8">
        <v>22051</v>
      </c>
    </row>
    <row r="12591" spans="2:8" x14ac:dyDescent="0.4">
      <c r="B12591" t="s">
        <v>7</v>
      </c>
      <c r="C12591" t="s">
        <v>2075</v>
      </c>
      <c r="D12591" s="7">
        <f>DATE(2016,2,23)</f>
        <v>42423</v>
      </c>
      <c r="E12591" s="8">
        <f t="shared" si="208"/>
        <v>2016</v>
      </c>
      <c r="F12591" t="s">
        <v>2076</v>
      </c>
      <c r="G12591" s="9">
        <v>22747.39</v>
      </c>
      <c r="H12591" s="8">
        <v>22050</v>
      </c>
    </row>
    <row r="12592" spans="2:8" x14ac:dyDescent="0.4">
      <c r="B12592" t="s">
        <v>7</v>
      </c>
      <c r="C12592" t="s">
        <v>2075</v>
      </c>
      <c r="D12592" s="7">
        <f>DATE(2016,2,25)</f>
        <v>42425</v>
      </c>
      <c r="E12592" s="8">
        <f t="shared" si="208"/>
        <v>2016</v>
      </c>
      <c r="F12592" t="s">
        <v>2076</v>
      </c>
      <c r="G12592" s="9">
        <v>2534.5300000000002</v>
      </c>
      <c r="H12592" s="8">
        <v>22245</v>
      </c>
    </row>
    <row r="12593" spans="2:8" x14ac:dyDescent="0.4">
      <c r="B12593" t="s">
        <v>7</v>
      </c>
      <c r="C12593" t="s">
        <v>2075</v>
      </c>
      <c r="D12593" s="7">
        <f>DATE(2016,3,9)</f>
        <v>42438</v>
      </c>
      <c r="E12593" s="8">
        <f t="shared" si="208"/>
        <v>2016</v>
      </c>
      <c r="F12593" t="s">
        <v>2076</v>
      </c>
      <c r="G12593" s="9">
        <v>1489.05</v>
      </c>
      <c r="H12593" s="8">
        <v>22306</v>
      </c>
    </row>
    <row r="12594" spans="2:8" x14ac:dyDescent="0.4">
      <c r="B12594" t="s">
        <v>7</v>
      </c>
      <c r="C12594" t="s">
        <v>2075</v>
      </c>
      <c r="D12594" s="7">
        <f>DATE(2016,3,22)</f>
        <v>42451</v>
      </c>
      <c r="E12594" s="8">
        <f t="shared" si="208"/>
        <v>2016</v>
      </c>
      <c r="F12594" t="s">
        <v>2076</v>
      </c>
      <c r="G12594" s="9">
        <v>796</v>
      </c>
      <c r="H12594" s="8">
        <v>22378</v>
      </c>
    </row>
    <row r="12595" spans="2:8" x14ac:dyDescent="0.4">
      <c r="B12595" t="s">
        <v>7</v>
      </c>
      <c r="C12595" t="s">
        <v>2075</v>
      </c>
      <c r="D12595" s="7">
        <f>DATE(2016,3,22)</f>
        <v>42451</v>
      </c>
      <c r="E12595" s="8">
        <f t="shared" si="208"/>
        <v>2016</v>
      </c>
      <c r="F12595" t="s">
        <v>2076</v>
      </c>
      <c r="G12595" s="9">
        <v>1083.9100000000001</v>
      </c>
      <c r="H12595" s="8">
        <v>22413</v>
      </c>
    </row>
    <row r="12596" spans="2:8" x14ac:dyDescent="0.4">
      <c r="B12596" t="s">
        <v>7</v>
      </c>
      <c r="C12596" t="s">
        <v>2075</v>
      </c>
      <c r="D12596" s="7">
        <f>DATE(2016,3,22)</f>
        <v>42451</v>
      </c>
      <c r="E12596" s="8">
        <f t="shared" si="208"/>
        <v>2016</v>
      </c>
      <c r="F12596" t="s">
        <v>2076</v>
      </c>
      <c r="G12596" s="9">
        <v>7649.34</v>
      </c>
      <c r="H12596" s="8">
        <v>22431</v>
      </c>
    </row>
    <row r="12597" spans="2:8" x14ac:dyDescent="0.4">
      <c r="B12597" t="s">
        <v>7</v>
      </c>
      <c r="C12597" t="s">
        <v>2075</v>
      </c>
      <c r="D12597" s="7">
        <f>DATE(2016,3,23)</f>
        <v>42452</v>
      </c>
      <c r="E12597" s="8">
        <f t="shared" si="208"/>
        <v>2016</v>
      </c>
      <c r="F12597" t="s">
        <v>2076</v>
      </c>
      <c r="G12597" s="9">
        <v>7604.76</v>
      </c>
      <c r="H12597" s="8">
        <v>22390</v>
      </c>
    </row>
    <row r="12598" spans="2:8" x14ac:dyDescent="0.4">
      <c r="B12598" t="s">
        <v>7</v>
      </c>
      <c r="C12598" t="s">
        <v>2075</v>
      </c>
      <c r="D12598" s="7">
        <f>DATE(2016,4,8)</f>
        <v>42468</v>
      </c>
      <c r="E12598" s="8">
        <f t="shared" si="208"/>
        <v>2016</v>
      </c>
      <c r="F12598" t="s">
        <v>2076</v>
      </c>
      <c r="G12598" s="9">
        <v>21170.49</v>
      </c>
      <c r="H12598" s="8">
        <v>22269</v>
      </c>
    </row>
    <row r="12599" spans="2:8" x14ac:dyDescent="0.4">
      <c r="B12599" t="s">
        <v>7</v>
      </c>
      <c r="C12599" t="s">
        <v>2075</v>
      </c>
      <c r="D12599" s="7">
        <f>DATE(2016,4,22)</f>
        <v>42482</v>
      </c>
      <c r="E12599" s="8">
        <f t="shared" si="208"/>
        <v>2016</v>
      </c>
      <c r="F12599" t="s">
        <v>2076</v>
      </c>
      <c r="G12599" s="9">
        <v>5936.47</v>
      </c>
      <c r="H12599" s="8">
        <v>22572</v>
      </c>
    </row>
    <row r="12600" spans="2:8" x14ac:dyDescent="0.4">
      <c r="B12600" t="s">
        <v>7</v>
      </c>
      <c r="C12600" t="s">
        <v>2075</v>
      </c>
      <c r="D12600" s="7">
        <f>DATE(2016,4,22)</f>
        <v>42482</v>
      </c>
      <c r="E12600" s="8">
        <f t="shared" si="208"/>
        <v>2016</v>
      </c>
      <c r="F12600" t="s">
        <v>2076</v>
      </c>
      <c r="G12600" s="9">
        <v>10272.719999999999</v>
      </c>
      <c r="H12600" s="8">
        <v>22599</v>
      </c>
    </row>
    <row r="12601" spans="2:8" x14ac:dyDescent="0.4">
      <c r="B12601" t="s">
        <v>7</v>
      </c>
      <c r="C12601" t="s">
        <v>2075</v>
      </c>
      <c r="D12601" s="7">
        <f>DATE(2016,6,16)</f>
        <v>42537</v>
      </c>
      <c r="E12601" s="8">
        <f t="shared" si="208"/>
        <v>2016</v>
      </c>
      <c r="F12601" t="s">
        <v>2076</v>
      </c>
      <c r="G12601" s="9">
        <v>2601.75</v>
      </c>
      <c r="H12601" s="8">
        <v>22994</v>
      </c>
    </row>
    <row r="12602" spans="2:8" x14ac:dyDescent="0.4">
      <c r="B12602" t="s">
        <v>7</v>
      </c>
      <c r="C12602" t="s">
        <v>2075</v>
      </c>
      <c r="D12602" s="7">
        <f>DATE(2016,6,22)</f>
        <v>42543</v>
      </c>
      <c r="E12602" s="8">
        <f t="shared" si="208"/>
        <v>2016</v>
      </c>
      <c r="F12602" t="s">
        <v>2076</v>
      </c>
      <c r="G12602" s="9">
        <v>7327.46</v>
      </c>
      <c r="H12602" s="8">
        <v>23015</v>
      </c>
    </row>
    <row r="12603" spans="2:8" x14ac:dyDescent="0.4">
      <c r="B12603" t="s">
        <v>7</v>
      </c>
      <c r="C12603" t="s">
        <v>2075</v>
      </c>
      <c r="D12603" s="7">
        <f>DATE(2016,6,22)</f>
        <v>42543</v>
      </c>
      <c r="E12603" s="8">
        <f t="shared" si="208"/>
        <v>2016</v>
      </c>
      <c r="F12603" t="s">
        <v>2076</v>
      </c>
      <c r="G12603" s="9">
        <v>7318.03</v>
      </c>
      <c r="H12603" s="8">
        <v>23034</v>
      </c>
    </row>
    <row r="12604" spans="2:8" x14ac:dyDescent="0.4">
      <c r="B12604" t="s">
        <v>7</v>
      </c>
      <c r="C12604" t="s">
        <v>2075</v>
      </c>
      <c r="D12604" s="7">
        <f>DATE(2016,6,29)</f>
        <v>42550</v>
      </c>
      <c r="E12604" s="8">
        <f t="shared" si="208"/>
        <v>2016</v>
      </c>
      <c r="F12604" t="s">
        <v>2076</v>
      </c>
      <c r="G12604" s="9">
        <v>1329.4</v>
      </c>
      <c r="H12604" s="8">
        <v>23069</v>
      </c>
    </row>
    <row r="12605" spans="2:8" x14ac:dyDescent="0.4">
      <c r="B12605" t="s">
        <v>7</v>
      </c>
      <c r="C12605" t="s">
        <v>2075</v>
      </c>
      <c r="D12605" s="7">
        <f>DATE(2016,6,29)</f>
        <v>42550</v>
      </c>
      <c r="E12605" s="8">
        <f t="shared" si="208"/>
        <v>2016</v>
      </c>
      <c r="F12605" t="s">
        <v>2076</v>
      </c>
      <c r="G12605" s="9">
        <v>2560</v>
      </c>
      <c r="H12605" s="8">
        <v>23020</v>
      </c>
    </row>
    <row r="12606" spans="2:8" x14ac:dyDescent="0.4">
      <c r="B12606" t="s">
        <v>7</v>
      </c>
      <c r="C12606" t="s">
        <v>2075</v>
      </c>
      <c r="D12606" s="7">
        <f>DATE(2016,6,29)</f>
        <v>42550</v>
      </c>
      <c r="E12606" s="8">
        <f t="shared" si="208"/>
        <v>2016</v>
      </c>
      <c r="F12606" t="s">
        <v>2076</v>
      </c>
      <c r="G12606" s="9">
        <v>10252.58</v>
      </c>
      <c r="H12606" s="8">
        <v>22999</v>
      </c>
    </row>
    <row r="12607" spans="2:8" x14ac:dyDescent="0.4">
      <c r="B12607" t="s">
        <v>7</v>
      </c>
      <c r="C12607" t="s">
        <v>2075</v>
      </c>
      <c r="D12607" s="7">
        <f>DATE(2016,7,5)</f>
        <v>42556</v>
      </c>
      <c r="E12607" s="8">
        <f t="shared" si="208"/>
        <v>2016</v>
      </c>
      <c r="F12607" t="s">
        <v>2076</v>
      </c>
      <c r="G12607" s="9">
        <v>3181</v>
      </c>
      <c r="H12607" s="8">
        <v>23100</v>
      </c>
    </row>
    <row r="12608" spans="2:8" x14ac:dyDescent="0.4">
      <c r="B12608" t="s">
        <v>7</v>
      </c>
      <c r="C12608" t="s">
        <v>2075</v>
      </c>
      <c r="D12608" s="7">
        <f>DATE(2016,7,6)</f>
        <v>42557</v>
      </c>
      <c r="E12608" s="8">
        <f t="shared" si="208"/>
        <v>2016</v>
      </c>
      <c r="F12608" t="s">
        <v>2076</v>
      </c>
      <c r="G12608" s="9">
        <v>2036</v>
      </c>
      <c r="H12608" s="8">
        <v>23038</v>
      </c>
    </row>
    <row r="12609" spans="2:8" x14ac:dyDescent="0.4">
      <c r="B12609" t="s">
        <v>7</v>
      </c>
      <c r="C12609" t="s">
        <v>2075</v>
      </c>
      <c r="D12609" s="7">
        <f>DATE(2016,7,13)</f>
        <v>42564</v>
      </c>
      <c r="E12609" s="8">
        <f t="shared" si="208"/>
        <v>2016</v>
      </c>
      <c r="F12609" t="s">
        <v>2076</v>
      </c>
      <c r="G12609" s="9">
        <v>1799</v>
      </c>
      <c r="H12609" s="8">
        <v>23128</v>
      </c>
    </row>
    <row r="12610" spans="2:8" x14ac:dyDescent="0.4">
      <c r="B12610" t="s">
        <v>7</v>
      </c>
      <c r="C12610" t="s">
        <v>2075</v>
      </c>
      <c r="D12610" s="7">
        <f>DATE(2016,7,13)</f>
        <v>42564</v>
      </c>
      <c r="E12610" s="8">
        <f t="shared" si="208"/>
        <v>2016</v>
      </c>
      <c r="F12610" t="s">
        <v>2076</v>
      </c>
      <c r="G12610" s="9">
        <v>12810.2</v>
      </c>
      <c r="H12610" s="8">
        <v>23067</v>
      </c>
    </row>
    <row r="12611" spans="2:8" x14ac:dyDescent="0.4">
      <c r="B12611" t="s">
        <v>7</v>
      </c>
      <c r="C12611" t="s">
        <v>2075</v>
      </c>
      <c r="D12611" s="7">
        <f>DATE(2016,7,15)</f>
        <v>42566</v>
      </c>
      <c r="E12611" s="8">
        <f t="shared" ref="E12611:E12674" si="209">YEAR(D12611)</f>
        <v>2016</v>
      </c>
      <c r="F12611" t="s">
        <v>2076</v>
      </c>
      <c r="G12611" s="9">
        <v>22743.58</v>
      </c>
      <c r="H12611" s="8">
        <v>22969</v>
      </c>
    </row>
    <row r="12612" spans="2:8" x14ac:dyDescent="0.4">
      <c r="B12612" t="s">
        <v>7</v>
      </c>
      <c r="C12612" t="s">
        <v>2075</v>
      </c>
      <c r="D12612" s="7">
        <f>DATE(2016,7,21)</f>
        <v>42572</v>
      </c>
      <c r="E12612" s="8">
        <f t="shared" si="209"/>
        <v>2016</v>
      </c>
      <c r="F12612" t="s">
        <v>2076</v>
      </c>
      <c r="G12612" s="9">
        <v>3207.5</v>
      </c>
      <c r="H12612" s="8">
        <v>23109</v>
      </c>
    </row>
    <row r="12613" spans="2:8" x14ac:dyDescent="0.4">
      <c r="B12613" t="s">
        <v>7</v>
      </c>
      <c r="C12613" t="s">
        <v>2075</v>
      </c>
      <c r="D12613" s="7">
        <f>DATE(2016,7,27)</f>
        <v>42578</v>
      </c>
      <c r="E12613" s="8">
        <f t="shared" si="209"/>
        <v>2016</v>
      </c>
      <c r="F12613" t="s">
        <v>2076</v>
      </c>
      <c r="G12613" s="9">
        <v>3487.65</v>
      </c>
      <c r="H12613" s="8">
        <v>23117</v>
      </c>
    </row>
    <row r="12614" spans="2:8" x14ac:dyDescent="0.4">
      <c r="B12614" t="s">
        <v>7</v>
      </c>
      <c r="C12614" t="s">
        <v>2075</v>
      </c>
      <c r="D12614" s="7">
        <f>DATE(2016,8,2)</f>
        <v>42584</v>
      </c>
      <c r="E12614" s="8">
        <f t="shared" si="209"/>
        <v>2016</v>
      </c>
      <c r="F12614" t="s">
        <v>2076</v>
      </c>
      <c r="G12614" s="9">
        <v>1185</v>
      </c>
      <c r="H12614" s="8">
        <v>23221</v>
      </c>
    </row>
    <row r="12615" spans="2:8" x14ac:dyDescent="0.4">
      <c r="B12615" t="s">
        <v>7</v>
      </c>
      <c r="C12615" t="s">
        <v>2075</v>
      </c>
      <c r="D12615" s="7">
        <f>DATE(2016,8,2)</f>
        <v>42584</v>
      </c>
      <c r="E12615" s="8">
        <f t="shared" si="209"/>
        <v>2016</v>
      </c>
      <c r="F12615" t="s">
        <v>2076</v>
      </c>
      <c r="G12615" s="9">
        <v>9789.6200000000008</v>
      </c>
      <c r="H12615" s="8">
        <v>23162</v>
      </c>
    </row>
    <row r="12616" spans="2:8" x14ac:dyDescent="0.4">
      <c r="B12616" t="s">
        <v>7</v>
      </c>
      <c r="C12616" t="s">
        <v>2075</v>
      </c>
      <c r="D12616" s="7">
        <f>DATE(2016,8,4)</f>
        <v>42586</v>
      </c>
      <c r="E12616" s="8">
        <f t="shared" si="209"/>
        <v>2016</v>
      </c>
      <c r="F12616" t="s">
        <v>2076</v>
      </c>
      <c r="G12616" s="9">
        <v>8440.42</v>
      </c>
      <c r="H12616" s="8">
        <v>23228</v>
      </c>
    </row>
    <row r="12617" spans="2:8" x14ac:dyDescent="0.4">
      <c r="B12617" t="s">
        <v>7</v>
      </c>
      <c r="C12617" t="s">
        <v>2075</v>
      </c>
      <c r="D12617" s="7">
        <f>DATE(2016,8,15)</f>
        <v>42597</v>
      </c>
      <c r="E12617" s="8">
        <f t="shared" si="209"/>
        <v>2016</v>
      </c>
      <c r="F12617" t="s">
        <v>2076</v>
      </c>
      <c r="G12617" s="9">
        <v>3951.1</v>
      </c>
      <c r="H12617" s="8">
        <v>23258</v>
      </c>
    </row>
    <row r="12618" spans="2:8" x14ac:dyDescent="0.4">
      <c r="B12618" t="s">
        <v>7</v>
      </c>
      <c r="C12618" t="s">
        <v>2075</v>
      </c>
      <c r="D12618" s="7">
        <f>DATE(2016,8,24)</f>
        <v>42606</v>
      </c>
      <c r="E12618" s="8">
        <f t="shared" si="209"/>
        <v>2016</v>
      </c>
      <c r="F12618" t="s">
        <v>2076</v>
      </c>
      <c r="G12618" s="9">
        <v>7607</v>
      </c>
      <c r="H12618" s="8">
        <v>23315</v>
      </c>
    </row>
    <row r="12619" spans="2:8" x14ac:dyDescent="0.4">
      <c r="B12619" t="s">
        <v>7</v>
      </c>
      <c r="C12619" t="s">
        <v>2075</v>
      </c>
      <c r="D12619" s="7">
        <f>DATE(2016,9,9)</f>
        <v>42622</v>
      </c>
      <c r="E12619" s="8">
        <f t="shared" si="209"/>
        <v>2016</v>
      </c>
      <c r="F12619" t="s">
        <v>2076</v>
      </c>
      <c r="G12619" s="9">
        <v>2746</v>
      </c>
      <c r="H12619" s="8">
        <v>23340</v>
      </c>
    </row>
    <row r="12620" spans="2:8" x14ac:dyDescent="0.4">
      <c r="B12620" t="s">
        <v>7</v>
      </c>
      <c r="C12620" t="s">
        <v>2075</v>
      </c>
      <c r="D12620" s="7">
        <f>DATE(2016,9,9)</f>
        <v>42622</v>
      </c>
      <c r="E12620" s="8">
        <f t="shared" si="209"/>
        <v>2016</v>
      </c>
      <c r="F12620" t="s">
        <v>2076</v>
      </c>
      <c r="G12620" s="9">
        <v>167.64</v>
      </c>
      <c r="H12620" s="8">
        <v>23339</v>
      </c>
    </row>
    <row r="12621" spans="2:8" x14ac:dyDescent="0.4">
      <c r="B12621" t="s">
        <v>7</v>
      </c>
      <c r="C12621" t="s">
        <v>2075</v>
      </c>
      <c r="D12621" s="7">
        <f>DATE(2016,9,15)</f>
        <v>42628</v>
      </c>
      <c r="E12621" s="8">
        <f t="shared" si="209"/>
        <v>2016</v>
      </c>
      <c r="F12621" t="s">
        <v>2076</v>
      </c>
      <c r="G12621" s="9">
        <v>1388.5</v>
      </c>
      <c r="H12621" s="8">
        <v>23418</v>
      </c>
    </row>
    <row r="12622" spans="2:8" x14ac:dyDescent="0.4">
      <c r="B12622" t="s">
        <v>7</v>
      </c>
      <c r="C12622" t="s">
        <v>2075</v>
      </c>
      <c r="D12622" s="7">
        <f>DATE(2016,9,21)</f>
        <v>42634</v>
      </c>
      <c r="E12622" s="8">
        <f t="shared" si="209"/>
        <v>2016</v>
      </c>
      <c r="F12622" t="s">
        <v>2076</v>
      </c>
      <c r="G12622" s="9">
        <v>2554.2600000000002</v>
      </c>
      <c r="H12622" s="8">
        <v>23493</v>
      </c>
    </row>
    <row r="12623" spans="2:8" x14ac:dyDescent="0.4">
      <c r="B12623" t="s">
        <v>7</v>
      </c>
      <c r="C12623" t="s">
        <v>2075</v>
      </c>
      <c r="D12623" s="7">
        <f>DATE(2016,9,29)</f>
        <v>42642</v>
      </c>
      <c r="E12623" s="8">
        <f t="shared" si="209"/>
        <v>2016</v>
      </c>
      <c r="F12623" t="s">
        <v>2076</v>
      </c>
      <c r="G12623" s="9">
        <v>1673.26</v>
      </c>
      <c r="H12623" s="8">
        <v>23545</v>
      </c>
    </row>
    <row r="12624" spans="2:8" x14ac:dyDescent="0.4">
      <c r="B12624" t="s">
        <v>7</v>
      </c>
      <c r="C12624" t="s">
        <v>2075</v>
      </c>
      <c r="D12624" s="7">
        <f>DATE(2016,10,12)</f>
        <v>42655</v>
      </c>
      <c r="E12624" s="8">
        <f t="shared" si="209"/>
        <v>2016</v>
      </c>
      <c r="F12624" t="s">
        <v>2076</v>
      </c>
      <c r="G12624" s="9">
        <v>3906.56</v>
      </c>
      <c r="H12624" s="8">
        <v>23579</v>
      </c>
    </row>
    <row r="12625" spans="2:8" x14ac:dyDescent="0.4">
      <c r="B12625" t="s">
        <v>7</v>
      </c>
      <c r="C12625" t="s">
        <v>2075</v>
      </c>
      <c r="D12625" s="7">
        <f>DATE(2016,10,26)</f>
        <v>42669</v>
      </c>
      <c r="E12625" s="8">
        <f t="shared" si="209"/>
        <v>2016</v>
      </c>
      <c r="F12625" t="s">
        <v>2076</v>
      </c>
      <c r="G12625" s="9">
        <v>519.05999999999995</v>
      </c>
      <c r="H12625" s="8">
        <v>23731</v>
      </c>
    </row>
    <row r="12626" spans="2:8" x14ac:dyDescent="0.4">
      <c r="B12626" t="s">
        <v>7</v>
      </c>
      <c r="C12626" t="s">
        <v>2075</v>
      </c>
      <c r="D12626" s="7">
        <f>DATE(2016,11,9)</f>
        <v>42683</v>
      </c>
      <c r="E12626" s="8">
        <f t="shared" si="209"/>
        <v>2016</v>
      </c>
      <c r="F12626" t="s">
        <v>2076</v>
      </c>
      <c r="G12626" s="9">
        <v>8209.9500000000007</v>
      </c>
      <c r="H12626" s="8">
        <v>23722</v>
      </c>
    </row>
    <row r="12627" spans="2:8" x14ac:dyDescent="0.4">
      <c r="B12627" t="s">
        <v>7</v>
      </c>
      <c r="C12627" t="s">
        <v>2075</v>
      </c>
      <c r="D12627" s="7">
        <f>DATE(2016,11,30)</f>
        <v>42704</v>
      </c>
      <c r="E12627" s="8">
        <f t="shared" si="209"/>
        <v>2016</v>
      </c>
      <c r="F12627" t="s">
        <v>2076</v>
      </c>
      <c r="G12627" s="9">
        <v>5812.98</v>
      </c>
      <c r="H12627" s="8">
        <v>23806</v>
      </c>
    </row>
    <row r="12628" spans="2:8" x14ac:dyDescent="0.4">
      <c r="B12628" t="s">
        <v>7</v>
      </c>
      <c r="C12628" t="s">
        <v>2075</v>
      </c>
      <c r="D12628" s="7">
        <f>DATE(2017,1,24)</f>
        <v>42759</v>
      </c>
      <c r="E12628" s="8">
        <f t="shared" si="209"/>
        <v>2017</v>
      </c>
      <c r="F12628" t="s">
        <v>2076</v>
      </c>
      <c r="G12628" s="9">
        <v>5796.58</v>
      </c>
      <c r="H12628" s="8">
        <v>24131</v>
      </c>
    </row>
    <row r="12629" spans="2:8" x14ac:dyDescent="0.4">
      <c r="B12629" t="s">
        <v>7</v>
      </c>
      <c r="C12629" t="s">
        <v>2075</v>
      </c>
      <c r="D12629" s="7">
        <f>DATE(2017,2,17)</f>
        <v>42783</v>
      </c>
      <c r="E12629" s="8">
        <f t="shared" si="209"/>
        <v>2017</v>
      </c>
      <c r="F12629" t="s">
        <v>2076</v>
      </c>
      <c r="G12629" s="9">
        <v>17825.099999999999</v>
      </c>
      <c r="H12629" s="8">
        <v>24207</v>
      </c>
    </row>
    <row r="12630" spans="2:8" x14ac:dyDescent="0.4">
      <c r="B12630" t="s">
        <v>7</v>
      </c>
      <c r="C12630" t="s">
        <v>2075</v>
      </c>
      <c r="D12630" s="7">
        <f>DATE(2017,2,21)</f>
        <v>42787</v>
      </c>
      <c r="E12630" s="8">
        <f t="shared" si="209"/>
        <v>2017</v>
      </c>
      <c r="F12630" t="s">
        <v>2076</v>
      </c>
      <c r="G12630" s="9">
        <v>6253.4</v>
      </c>
      <c r="H12630" s="8">
        <v>24261</v>
      </c>
    </row>
    <row r="12631" spans="2:8" x14ac:dyDescent="0.4">
      <c r="B12631" t="s">
        <v>7</v>
      </c>
      <c r="C12631" t="s">
        <v>2075</v>
      </c>
      <c r="D12631" s="7">
        <f>DATE(2017,3,1)</f>
        <v>42795</v>
      </c>
      <c r="E12631" s="8">
        <f t="shared" si="209"/>
        <v>2017</v>
      </c>
      <c r="F12631" t="s">
        <v>2076</v>
      </c>
      <c r="G12631" s="9">
        <v>7097.36</v>
      </c>
      <c r="H12631" s="8">
        <v>24349</v>
      </c>
    </row>
    <row r="12632" spans="2:8" x14ac:dyDescent="0.4">
      <c r="B12632" t="s">
        <v>7</v>
      </c>
      <c r="C12632" t="s">
        <v>2075</v>
      </c>
      <c r="D12632" s="7">
        <f>DATE(2017,3,2)</f>
        <v>42796</v>
      </c>
      <c r="E12632" s="8">
        <f t="shared" si="209"/>
        <v>2017</v>
      </c>
      <c r="F12632" t="s">
        <v>2076</v>
      </c>
      <c r="G12632" s="9">
        <v>4263.4799999999996</v>
      </c>
      <c r="H12632" s="8">
        <v>24351</v>
      </c>
    </row>
    <row r="12633" spans="2:8" x14ac:dyDescent="0.4">
      <c r="B12633" t="s">
        <v>7</v>
      </c>
      <c r="C12633" t="s">
        <v>2075</v>
      </c>
      <c r="D12633" s="7">
        <f>DATE(2017,3,7)</f>
        <v>42801</v>
      </c>
      <c r="E12633" s="8">
        <f t="shared" si="209"/>
        <v>2017</v>
      </c>
      <c r="F12633" t="s">
        <v>2076</v>
      </c>
      <c r="G12633" s="9">
        <v>8096.18</v>
      </c>
      <c r="H12633" s="8">
        <v>24286</v>
      </c>
    </row>
    <row r="12634" spans="2:8" x14ac:dyDescent="0.4">
      <c r="B12634" t="s">
        <v>7</v>
      </c>
      <c r="C12634" t="s">
        <v>2075</v>
      </c>
      <c r="D12634" s="7">
        <f>DATE(2017,3,7)</f>
        <v>42801</v>
      </c>
      <c r="E12634" s="8">
        <f t="shared" si="209"/>
        <v>2017</v>
      </c>
      <c r="F12634" t="s">
        <v>2076</v>
      </c>
      <c r="G12634" s="9">
        <v>675.45</v>
      </c>
      <c r="H12634" s="8">
        <v>24348</v>
      </c>
    </row>
    <row r="12635" spans="2:8" x14ac:dyDescent="0.4">
      <c r="B12635" t="s">
        <v>7</v>
      </c>
      <c r="C12635" t="s">
        <v>2075</v>
      </c>
      <c r="D12635" s="7">
        <f>DATE(2017,3,9)</f>
        <v>42803</v>
      </c>
      <c r="E12635" s="8">
        <f t="shared" si="209"/>
        <v>2017</v>
      </c>
      <c r="F12635" t="s">
        <v>2076</v>
      </c>
      <c r="G12635" s="9">
        <v>9555.36</v>
      </c>
      <c r="H12635" s="8">
        <v>24328</v>
      </c>
    </row>
    <row r="12636" spans="2:8" x14ac:dyDescent="0.4">
      <c r="B12636" t="s">
        <v>7</v>
      </c>
      <c r="C12636" t="s">
        <v>2075</v>
      </c>
      <c r="D12636" s="7">
        <f>DATE(2017,3,15)</f>
        <v>42809</v>
      </c>
      <c r="E12636" s="8">
        <f t="shared" si="209"/>
        <v>2017</v>
      </c>
      <c r="F12636" t="s">
        <v>2076</v>
      </c>
      <c r="G12636" s="9">
        <v>10608.74</v>
      </c>
      <c r="H12636" s="8">
        <v>24396</v>
      </c>
    </row>
    <row r="12637" spans="2:8" x14ac:dyDescent="0.4">
      <c r="B12637" t="s">
        <v>7</v>
      </c>
      <c r="C12637" t="s">
        <v>2075</v>
      </c>
      <c r="D12637" s="7">
        <f>DATE(2017,3,15)</f>
        <v>42809</v>
      </c>
      <c r="E12637" s="8">
        <f t="shared" si="209"/>
        <v>2017</v>
      </c>
      <c r="F12637" t="s">
        <v>2076</v>
      </c>
      <c r="G12637" s="9">
        <v>5047.4799999999996</v>
      </c>
      <c r="H12637" s="8">
        <v>24353</v>
      </c>
    </row>
    <row r="12638" spans="2:8" x14ac:dyDescent="0.4">
      <c r="B12638" t="s">
        <v>7</v>
      </c>
      <c r="C12638" t="s">
        <v>2075</v>
      </c>
      <c r="D12638" s="7">
        <f>DATE(2017,3,15)</f>
        <v>42809</v>
      </c>
      <c r="E12638" s="8">
        <f t="shared" si="209"/>
        <v>2017</v>
      </c>
      <c r="F12638" t="s">
        <v>2076</v>
      </c>
      <c r="G12638" s="9">
        <v>30</v>
      </c>
      <c r="H12638" s="8">
        <v>24382</v>
      </c>
    </row>
    <row r="12639" spans="2:8" x14ac:dyDescent="0.4">
      <c r="B12639" t="s">
        <v>7</v>
      </c>
      <c r="C12639" t="s">
        <v>2075</v>
      </c>
      <c r="D12639" s="7">
        <f>DATE(2017,3,27)</f>
        <v>42821</v>
      </c>
      <c r="E12639" s="8">
        <f t="shared" si="209"/>
        <v>2017</v>
      </c>
      <c r="F12639" t="s">
        <v>2076</v>
      </c>
      <c r="G12639" s="9">
        <v>4023.98</v>
      </c>
      <c r="H12639" s="8">
        <v>24513</v>
      </c>
    </row>
    <row r="12640" spans="2:8" x14ac:dyDescent="0.4">
      <c r="B12640" t="s">
        <v>7</v>
      </c>
      <c r="C12640" t="s">
        <v>2075</v>
      </c>
      <c r="D12640" s="7">
        <f>DATE(2017,4,3)</f>
        <v>42828</v>
      </c>
      <c r="E12640" s="8">
        <f t="shared" si="209"/>
        <v>2017</v>
      </c>
      <c r="F12640" t="s">
        <v>2076</v>
      </c>
      <c r="G12640" s="9">
        <v>11584.01</v>
      </c>
      <c r="H12640" s="8">
        <v>24395</v>
      </c>
    </row>
    <row r="12641" spans="2:8" x14ac:dyDescent="0.4">
      <c r="B12641" t="s">
        <v>7</v>
      </c>
      <c r="C12641" t="s">
        <v>2075</v>
      </c>
      <c r="D12641" s="7">
        <f>DATE(2017,4,4)</f>
        <v>42829</v>
      </c>
      <c r="E12641" s="8">
        <f t="shared" si="209"/>
        <v>2017</v>
      </c>
      <c r="F12641" t="s">
        <v>2076</v>
      </c>
      <c r="G12641" s="9">
        <v>6737.38</v>
      </c>
      <c r="H12641" s="8">
        <v>24619</v>
      </c>
    </row>
    <row r="12642" spans="2:8" x14ac:dyDescent="0.4">
      <c r="B12642" t="s">
        <v>7</v>
      </c>
      <c r="C12642" t="s">
        <v>2075</v>
      </c>
      <c r="D12642" s="7">
        <f>DATE(2017,4,5)</f>
        <v>42830</v>
      </c>
      <c r="E12642" s="8">
        <f t="shared" si="209"/>
        <v>2017</v>
      </c>
      <c r="F12642" t="s">
        <v>2076</v>
      </c>
      <c r="G12642" s="9">
        <v>4624.9799999999996</v>
      </c>
      <c r="H12642" s="8">
        <v>24650</v>
      </c>
    </row>
    <row r="12643" spans="2:8" x14ac:dyDescent="0.4">
      <c r="B12643" t="s">
        <v>7</v>
      </c>
      <c r="C12643" t="s">
        <v>2075</v>
      </c>
      <c r="D12643" s="7">
        <f>DATE(2017,4,18)</f>
        <v>42843</v>
      </c>
      <c r="E12643" s="8">
        <f t="shared" si="209"/>
        <v>2017</v>
      </c>
      <c r="F12643" t="s">
        <v>2076</v>
      </c>
      <c r="G12643" s="9">
        <v>1554.28</v>
      </c>
      <c r="H12643" s="8">
        <v>24534</v>
      </c>
    </row>
    <row r="12644" spans="2:8" x14ac:dyDescent="0.4">
      <c r="B12644" t="s">
        <v>7</v>
      </c>
      <c r="C12644" t="s">
        <v>2075</v>
      </c>
      <c r="D12644" s="7">
        <f>DATE(2017,4,18)</f>
        <v>42843</v>
      </c>
      <c r="E12644" s="8">
        <f t="shared" si="209"/>
        <v>2017</v>
      </c>
      <c r="F12644" t="s">
        <v>2076</v>
      </c>
      <c r="G12644" s="9">
        <v>857.5</v>
      </c>
      <c r="H12644" s="8">
        <v>24781</v>
      </c>
    </row>
    <row r="12645" spans="2:8" x14ac:dyDescent="0.4">
      <c r="B12645" t="s">
        <v>7</v>
      </c>
      <c r="C12645" t="s">
        <v>2075</v>
      </c>
      <c r="D12645" s="7">
        <f>DATE(2017,5,11)</f>
        <v>42866</v>
      </c>
      <c r="E12645" s="8">
        <f t="shared" si="209"/>
        <v>2017</v>
      </c>
      <c r="F12645" t="s">
        <v>2076</v>
      </c>
      <c r="G12645" s="9">
        <v>3675</v>
      </c>
      <c r="H12645" s="8">
        <v>24855</v>
      </c>
    </row>
    <row r="12646" spans="2:8" x14ac:dyDescent="0.4">
      <c r="B12646" t="s">
        <v>7</v>
      </c>
      <c r="C12646" t="s">
        <v>2075</v>
      </c>
      <c r="D12646" s="7">
        <f>DATE(2017,5,11)</f>
        <v>42866</v>
      </c>
      <c r="E12646" s="8">
        <f t="shared" si="209"/>
        <v>2017</v>
      </c>
      <c r="F12646" t="s">
        <v>2076</v>
      </c>
      <c r="G12646" s="9">
        <v>6638.6</v>
      </c>
      <c r="H12646" s="8">
        <v>24819</v>
      </c>
    </row>
    <row r="12647" spans="2:8" x14ac:dyDescent="0.4">
      <c r="B12647" t="s">
        <v>7</v>
      </c>
      <c r="C12647" t="s">
        <v>2075</v>
      </c>
      <c r="D12647" s="7">
        <f>DATE(2017,5,31)</f>
        <v>42886</v>
      </c>
      <c r="E12647" s="8">
        <f t="shared" si="209"/>
        <v>2017</v>
      </c>
      <c r="F12647" t="s">
        <v>2076</v>
      </c>
      <c r="G12647" s="9">
        <v>25367.54</v>
      </c>
      <c r="H12647" s="8">
        <v>24934</v>
      </c>
    </row>
    <row r="12648" spans="2:8" x14ac:dyDescent="0.4">
      <c r="B12648" t="s">
        <v>7</v>
      </c>
      <c r="C12648" t="s">
        <v>2075</v>
      </c>
      <c r="D12648" s="7">
        <f>DATE(2017,6,5)</f>
        <v>42891</v>
      </c>
      <c r="E12648" s="8">
        <f t="shared" si="209"/>
        <v>2017</v>
      </c>
      <c r="F12648" t="s">
        <v>2076</v>
      </c>
      <c r="G12648" s="9">
        <v>3286.73</v>
      </c>
      <c r="H12648" s="8">
        <v>24931</v>
      </c>
    </row>
    <row r="12649" spans="2:8" x14ac:dyDescent="0.4">
      <c r="B12649" t="s">
        <v>7</v>
      </c>
      <c r="C12649" t="s">
        <v>2075</v>
      </c>
      <c r="D12649" s="7">
        <f>DATE(2017,6,5)</f>
        <v>42891</v>
      </c>
      <c r="E12649" s="8">
        <f t="shared" si="209"/>
        <v>2017</v>
      </c>
      <c r="F12649" t="s">
        <v>2076</v>
      </c>
      <c r="G12649" s="9">
        <v>2715.98</v>
      </c>
      <c r="H12649" s="8">
        <v>24933</v>
      </c>
    </row>
    <row r="12650" spans="2:8" x14ac:dyDescent="0.4">
      <c r="B12650" t="s">
        <v>7</v>
      </c>
      <c r="C12650" t="s">
        <v>2075</v>
      </c>
      <c r="D12650" s="7">
        <f>DATE(2017,6,8)</f>
        <v>42894</v>
      </c>
      <c r="E12650" s="8">
        <f t="shared" si="209"/>
        <v>2017</v>
      </c>
      <c r="F12650" t="s">
        <v>2076</v>
      </c>
      <c r="G12650" s="9">
        <v>19729.45</v>
      </c>
      <c r="H12650" s="8">
        <v>24995</v>
      </c>
    </row>
    <row r="12651" spans="2:8" x14ac:dyDescent="0.4">
      <c r="B12651" t="s">
        <v>7</v>
      </c>
      <c r="C12651" t="s">
        <v>2075</v>
      </c>
      <c r="D12651" s="7">
        <f>DATE(2017,6,21)</f>
        <v>42907</v>
      </c>
      <c r="E12651" s="8">
        <f t="shared" si="209"/>
        <v>2017</v>
      </c>
      <c r="F12651" t="s">
        <v>2076</v>
      </c>
      <c r="G12651" s="9">
        <v>7854.87</v>
      </c>
      <c r="H12651" s="8">
        <v>25104</v>
      </c>
    </row>
    <row r="12652" spans="2:8" x14ac:dyDescent="0.4">
      <c r="B12652" t="s">
        <v>7</v>
      </c>
      <c r="C12652" t="s">
        <v>2075</v>
      </c>
      <c r="D12652" s="7">
        <f>DATE(2017,6,29)</f>
        <v>42915</v>
      </c>
      <c r="E12652" s="8">
        <f t="shared" si="209"/>
        <v>2017</v>
      </c>
      <c r="F12652" t="s">
        <v>2076</v>
      </c>
      <c r="G12652" s="9">
        <v>396.34</v>
      </c>
      <c r="H12652" s="8">
        <v>25200</v>
      </c>
    </row>
    <row r="12653" spans="2:8" x14ac:dyDescent="0.4">
      <c r="B12653" t="s">
        <v>7</v>
      </c>
      <c r="C12653" t="s">
        <v>2075</v>
      </c>
      <c r="D12653" s="7">
        <f>DATE(2017,7,19)</f>
        <v>42935</v>
      </c>
      <c r="E12653" s="8">
        <f t="shared" si="209"/>
        <v>2017</v>
      </c>
      <c r="F12653" t="s">
        <v>2076</v>
      </c>
      <c r="G12653" s="9">
        <v>1534.98</v>
      </c>
      <c r="H12653" s="8">
        <v>25266</v>
      </c>
    </row>
    <row r="12654" spans="2:8" x14ac:dyDescent="0.4">
      <c r="B12654" t="s">
        <v>7</v>
      </c>
      <c r="C12654" t="s">
        <v>2075</v>
      </c>
      <c r="D12654" s="7">
        <f>DATE(2017,7,25)</f>
        <v>42941</v>
      </c>
      <c r="E12654" s="8">
        <f t="shared" si="209"/>
        <v>2017</v>
      </c>
      <c r="F12654" t="s">
        <v>2076</v>
      </c>
      <c r="G12654" s="9">
        <v>34371.56</v>
      </c>
      <c r="H12654" s="8">
        <v>25042</v>
      </c>
    </row>
    <row r="12655" spans="2:8" x14ac:dyDescent="0.4">
      <c r="B12655" t="s">
        <v>7</v>
      </c>
      <c r="C12655" t="s">
        <v>2075</v>
      </c>
      <c r="D12655" s="7">
        <f>DATE(2017,7,25)</f>
        <v>42941</v>
      </c>
      <c r="E12655" s="8">
        <f t="shared" si="209"/>
        <v>2017</v>
      </c>
      <c r="F12655" t="s">
        <v>2076</v>
      </c>
      <c r="G12655" s="9">
        <v>141.75</v>
      </c>
      <c r="H12655" s="8">
        <v>25204</v>
      </c>
    </row>
    <row r="12656" spans="2:8" x14ac:dyDescent="0.4">
      <c r="B12656" t="s">
        <v>7</v>
      </c>
      <c r="C12656" t="s">
        <v>2075</v>
      </c>
      <c r="D12656" s="7">
        <f>DATE(2017,8,8)</f>
        <v>42955</v>
      </c>
      <c r="E12656" s="8">
        <f t="shared" si="209"/>
        <v>2017</v>
      </c>
      <c r="F12656" t="s">
        <v>2076</v>
      </c>
      <c r="G12656" s="9">
        <v>18674.400000000001</v>
      </c>
      <c r="H12656" s="8">
        <v>25244</v>
      </c>
    </row>
    <row r="12657" spans="2:8" x14ac:dyDescent="0.4">
      <c r="B12657" t="s">
        <v>7</v>
      </c>
      <c r="C12657" t="s">
        <v>2075</v>
      </c>
      <c r="D12657" s="7">
        <f>DATE(2017,8,8)</f>
        <v>42955</v>
      </c>
      <c r="E12657" s="8">
        <f t="shared" si="209"/>
        <v>2017</v>
      </c>
      <c r="F12657" t="s">
        <v>2076</v>
      </c>
      <c r="G12657" s="9">
        <v>2940</v>
      </c>
      <c r="H12657" s="8">
        <v>25355</v>
      </c>
    </row>
    <row r="12658" spans="2:8" x14ac:dyDescent="0.4">
      <c r="B12658" t="s">
        <v>7</v>
      </c>
      <c r="C12658" t="s">
        <v>2075</v>
      </c>
      <c r="D12658" s="7">
        <f>DATE(2017,8,30)</f>
        <v>42977</v>
      </c>
      <c r="E12658" s="8">
        <f t="shared" si="209"/>
        <v>2017</v>
      </c>
      <c r="F12658" t="s">
        <v>2076</v>
      </c>
      <c r="G12658" s="9">
        <v>12011.76</v>
      </c>
      <c r="H12658" s="8">
        <v>25422</v>
      </c>
    </row>
    <row r="12659" spans="2:8" x14ac:dyDescent="0.4">
      <c r="B12659" t="s">
        <v>7</v>
      </c>
      <c r="C12659" t="s">
        <v>2075</v>
      </c>
      <c r="D12659" s="7">
        <f>DATE(2017,9,13)</f>
        <v>42991</v>
      </c>
      <c r="E12659" s="8">
        <f t="shared" si="209"/>
        <v>2017</v>
      </c>
      <c r="F12659" t="s">
        <v>2076</v>
      </c>
      <c r="G12659" s="9">
        <v>11924.26</v>
      </c>
      <c r="H12659" s="8">
        <v>25387</v>
      </c>
    </row>
    <row r="12660" spans="2:8" x14ac:dyDescent="0.4">
      <c r="B12660" t="s">
        <v>7</v>
      </c>
      <c r="C12660" t="s">
        <v>2075</v>
      </c>
      <c r="D12660" s="7">
        <f>DATE(2017,9,25)</f>
        <v>43003</v>
      </c>
      <c r="E12660" s="8">
        <f t="shared" si="209"/>
        <v>2017</v>
      </c>
      <c r="F12660" t="s">
        <v>2076</v>
      </c>
      <c r="G12660" s="9">
        <v>1009.58</v>
      </c>
      <c r="H12660" s="8">
        <v>25622</v>
      </c>
    </row>
    <row r="12661" spans="2:8" x14ac:dyDescent="0.4">
      <c r="B12661" t="s">
        <v>7</v>
      </c>
      <c r="C12661" t="s">
        <v>2075</v>
      </c>
      <c r="D12661" s="7">
        <f>DATE(2017,10,3)</f>
        <v>43011</v>
      </c>
      <c r="E12661" s="8">
        <f t="shared" si="209"/>
        <v>2017</v>
      </c>
      <c r="F12661" t="s">
        <v>2076</v>
      </c>
      <c r="G12661" s="9">
        <v>13338.28</v>
      </c>
      <c r="H12661" s="8">
        <v>25497</v>
      </c>
    </row>
    <row r="12662" spans="2:8" x14ac:dyDescent="0.4">
      <c r="B12662" t="s">
        <v>7</v>
      </c>
      <c r="C12662" t="s">
        <v>2075</v>
      </c>
      <c r="D12662" s="7">
        <f>DATE(2017,10,16)</f>
        <v>43024</v>
      </c>
      <c r="E12662" s="8">
        <f t="shared" si="209"/>
        <v>2017</v>
      </c>
      <c r="F12662" t="s">
        <v>2076</v>
      </c>
      <c r="G12662" s="9">
        <v>3345.54</v>
      </c>
      <c r="H12662" s="8">
        <v>25733</v>
      </c>
    </row>
    <row r="12663" spans="2:8" x14ac:dyDescent="0.4">
      <c r="B12663" t="s">
        <v>7</v>
      </c>
      <c r="C12663" t="s">
        <v>2075</v>
      </c>
      <c r="D12663" s="7">
        <f>DATE(2017,10,27)</f>
        <v>43035</v>
      </c>
      <c r="E12663" s="8">
        <f t="shared" si="209"/>
        <v>2017</v>
      </c>
      <c r="F12663" t="s">
        <v>2076</v>
      </c>
      <c r="G12663" s="9">
        <v>1208.28</v>
      </c>
      <c r="H12663" s="8">
        <v>25768</v>
      </c>
    </row>
    <row r="12664" spans="2:8" x14ac:dyDescent="0.4">
      <c r="B12664" t="s">
        <v>7</v>
      </c>
      <c r="C12664" t="s">
        <v>2075</v>
      </c>
      <c r="D12664" s="7">
        <f>DATE(2017,11,9)</f>
        <v>43048</v>
      </c>
      <c r="E12664" s="8">
        <f t="shared" si="209"/>
        <v>2017</v>
      </c>
      <c r="F12664" t="s">
        <v>2076</v>
      </c>
      <c r="G12664" s="9">
        <v>403.38</v>
      </c>
      <c r="H12664" s="8">
        <v>25887</v>
      </c>
    </row>
    <row r="12665" spans="2:8" x14ac:dyDescent="0.4">
      <c r="B12665" t="s">
        <v>7</v>
      </c>
      <c r="C12665" t="s">
        <v>2075</v>
      </c>
      <c r="D12665" s="7">
        <f>DATE(2017,11,16)</f>
        <v>43055</v>
      </c>
      <c r="E12665" s="8">
        <f t="shared" si="209"/>
        <v>2017</v>
      </c>
      <c r="F12665" t="s">
        <v>2076</v>
      </c>
      <c r="G12665" s="9">
        <v>10212.42</v>
      </c>
      <c r="H12665" s="8">
        <v>25873</v>
      </c>
    </row>
    <row r="12666" spans="2:8" x14ac:dyDescent="0.4">
      <c r="B12666" t="s">
        <v>7</v>
      </c>
      <c r="C12666" t="s">
        <v>2075</v>
      </c>
      <c r="D12666" s="7">
        <f>DATE(2017,11,20)</f>
        <v>43059</v>
      </c>
      <c r="E12666" s="8">
        <f t="shared" si="209"/>
        <v>2017</v>
      </c>
      <c r="F12666" t="s">
        <v>2076</v>
      </c>
      <c r="G12666" s="9">
        <v>8281.81</v>
      </c>
      <c r="H12666" s="8">
        <v>25935</v>
      </c>
    </row>
    <row r="12667" spans="2:8" x14ac:dyDescent="0.4">
      <c r="B12667" t="s">
        <v>7</v>
      </c>
      <c r="C12667" t="s">
        <v>2075</v>
      </c>
      <c r="D12667" s="7">
        <f>DATE(2017,12,4)</f>
        <v>43073</v>
      </c>
      <c r="E12667" s="8">
        <f t="shared" si="209"/>
        <v>2017</v>
      </c>
      <c r="F12667" t="s">
        <v>2076</v>
      </c>
      <c r="G12667" s="9">
        <v>21425.68</v>
      </c>
      <c r="H12667" s="8">
        <v>25865</v>
      </c>
    </row>
    <row r="12668" spans="2:8" x14ac:dyDescent="0.4">
      <c r="B12668" t="s">
        <v>7</v>
      </c>
      <c r="C12668" t="s">
        <v>2075</v>
      </c>
      <c r="D12668" s="7">
        <f>DATE(2017,12,4)</f>
        <v>43073</v>
      </c>
      <c r="E12668" s="8">
        <f t="shared" si="209"/>
        <v>2017</v>
      </c>
      <c r="F12668" t="s">
        <v>2076</v>
      </c>
      <c r="G12668" s="9">
        <v>98.2</v>
      </c>
      <c r="H12668" s="8">
        <v>25975</v>
      </c>
    </row>
    <row r="12669" spans="2:8" x14ac:dyDescent="0.4">
      <c r="B12669" t="s">
        <v>7</v>
      </c>
      <c r="C12669" t="s">
        <v>2075</v>
      </c>
      <c r="D12669" s="7">
        <f>DATE(2017,12,5)</f>
        <v>43074</v>
      </c>
      <c r="E12669" s="8">
        <f t="shared" si="209"/>
        <v>2017</v>
      </c>
      <c r="F12669" t="s">
        <v>2076</v>
      </c>
      <c r="G12669" s="9">
        <v>23371.62</v>
      </c>
      <c r="H12669" s="8">
        <v>25874</v>
      </c>
    </row>
    <row r="12670" spans="2:8" x14ac:dyDescent="0.4">
      <c r="B12670" t="s">
        <v>7</v>
      </c>
      <c r="C12670" t="s">
        <v>2075</v>
      </c>
      <c r="D12670" s="7">
        <f>DATE(2017,12,5)</f>
        <v>43074</v>
      </c>
      <c r="E12670" s="8">
        <f t="shared" si="209"/>
        <v>2017</v>
      </c>
      <c r="F12670" t="s">
        <v>2076</v>
      </c>
      <c r="G12670" s="9">
        <v>2150</v>
      </c>
      <c r="H12670" s="8">
        <v>25943</v>
      </c>
    </row>
    <row r="12671" spans="2:8" x14ac:dyDescent="0.4">
      <c r="B12671" t="s">
        <v>7</v>
      </c>
      <c r="C12671" t="s">
        <v>2075</v>
      </c>
      <c r="D12671" s="7">
        <f>DATE(2018,2,1)</f>
        <v>43132</v>
      </c>
      <c r="E12671" s="8">
        <f t="shared" si="209"/>
        <v>2018</v>
      </c>
      <c r="F12671" t="s">
        <v>2076</v>
      </c>
      <c r="G12671" s="9">
        <v>9260.26</v>
      </c>
      <c r="H12671" s="8">
        <v>26201</v>
      </c>
    </row>
    <row r="12672" spans="2:8" x14ac:dyDescent="0.4">
      <c r="B12672" t="s">
        <v>7</v>
      </c>
      <c r="C12672" t="s">
        <v>2075</v>
      </c>
      <c r="D12672" s="7">
        <f>DATE(2018,2,1)</f>
        <v>43132</v>
      </c>
      <c r="E12672" s="8">
        <f t="shared" si="209"/>
        <v>2018</v>
      </c>
      <c r="F12672" t="s">
        <v>2076</v>
      </c>
      <c r="G12672" s="9">
        <v>1146.06</v>
      </c>
      <c r="H12672" s="8">
        <v>26267</v>
      </c>
    </row>
    <row r="12673" spans="2:8" x14ac:dyDescent="0.4">
      <c r="B12673" t="s">
        <v>7</v>
      </c>
      <c r="C12673" t="s">
        <v>2075</v>
      </c>
      <c r="D12673" s="7">
        <f>DATE(2018,2,2)</f>
        <v>43133</v>
      </c>
      <c r="E12673" s="8">
        <f t="shared" si="209"/>
        <v>2018</v>
      </c>
      <c r="F12673" t="s">
        <v>2076</v>
      </c>
      <c r="G12673" s="9">
        <v>467.18</v>
      </c>
      <c r="H12673" s="8">
        <v>26378</v>
      </c>
    </row>
    <row r="12674" spans="2:8" x14ac:dyDescent="0.4">
      <c r="B12674" t="s">
        <v>7</v>
      </c>
      <c r="C12674" t="s">
        <v>2075</v>
      </c>
      <c r="D12674" s="7">
        <f>DATE(2018,2,14)</f>
        <v>43145</v>
      </c>
      <c r="E12674" s="8">
        <f t="shared" si="209"/>
        <v>2018</v>
      </c>
      <c r="F12674" t="s">
        <v>2076</v>
      </c>
      <c r="G12674" s="9">
        <v>7287.52</v>
      </c>
      <c r="H12674" s="8">
        <v>26328</v>
      </c>
    </row>
    <row r="12675" spans="2:8" x14ac:dyDescent="0.4">
      <c r="B12675" t="s">
        <v>7</v>
      </c>
      <c r="C12675" t="s">
        <v>2075</v>
      </c>
      <c r="D12675" s="7">
        <f>DATE(2018,2,21)</f>
        <v>43152</v>
      </c>
      <c r="E12675" s="8">
        <f t="shared" ref="E12675:E12738" si="210">YEAR(D12675)</f>
        <v>2018</v>
      </c>
      <c r="F12675" t="s">
        <v>2076</v>
      </c>
      <c r="G12675" s="9">
        <v>439.48</v>
      </c>
      <c r="H12675" s="8">
        <v>26497</v>
      </c>
    </row>
    <row r="12676" spans="2:8" x14ac:dyDescent="0.4">
      <c r="B12676" t="s">
        <v>7</v>
      </c>
      <c r="C12676" t="s">
        <v>2075</v>
      </c>
      <c r="D12676" s="7">
        <f>DATE(2018,2,23)</f>
        <v>43154</v>
      </c>
      <c r="E12676" s="8">
        <f t="shared" si="210"/>
        <v>2018</v>
      </c>
      <c r="F12676" t="s">
        <v>2076</v>
      </c>
      <c r="G12676" s="9">
        <v>2647.05</v>
      </c>
      <c r="H12676" s="8">
        <v>26292</v>
      </c>
    </row>
    <row r="12677" spans="2:8" x14ac:dyDescent="0.4">
      <c r="B12677" t="s">
        <v>7</v>
      </c>
      <c r="C12677" t="s">
        <v>2075</v>
      </c>
      <c r="D12677" s="7">
        <f>DATE(2018,3,6)</f>
        <v>43165</v>
      </c>
      <c r="E12677" s="8">
        <f t="shared" si="210"/>
        <v>2018</v>
      </c>
      <c r="F12677" t="s">
        <v>2076</v>
      </c>
      <c r="G12677" s="9">
        <v>11300</v>
      </c>
      <c r="H12677" s="8">
        <v>26330</v>
      </c>
    </row>
    <row r="12678" spans="2:8" x14ac:dyDescent="0.4">
      <c r="B12678" t="s">
        <v>7</v>
      </c>
      <c r="C12678" t="s">
        <v>2075</v>
      </c>
      <c r="D12678" s="7">
        <f>DATE(2018,3,6)</f>
        <v>43165</v>
      </c>
      <c r="E12678" s="8">
        <f t="shared" si="210"/>
        <v>2018</v>
      </c>
      <c r="F12678" t="s">
        <v>2076</v>
      </c>
      <c r="G12678" s="9">
        <v>6664</v>
      </c>
      <c r="H12678" s="8">
        <v>26393</v>
      </c>
    </row>
    <row r="12679" spans="2:8" x14ac:dyDescent="0.4">
      <c r="B12679" t="s">
        <v>7</v>
      </c>
      <c r="C12679" t="s">
        <v>2075</v>
      </c>
      <c r="D12679" s="7">
        <f>DATE(2018,3,6)</f>
        <v>43165</v>
      </c>
      <c r="E12679" s="8">
        <f t="shared" si="210"/>
        <v>2018</v>
      </c>
      <c r="F12679" t="s">
        <v>2076</v>
      </c>
      <c r="G12679" s="9">
        <v>12786.97</v>
      </c>
      <c r="H12679" s="8">
        <v>26510</v>
      </c>
    </row>
    <row r="12680" spans="2:8" x14ac:dyDescent="0.4">
      <c r="B12680" t="s">
        <v>7</v>
      </c>
      <c r="C12680" t="s">
        <v>2075</v>
      </c>
      <c r="D12680" s="7">
        <f>DATE(2018,3,15)</f>
        <v>43174</v>
      </c>
      <c r="E12680" s="8">
        <f t="shared" si="210"/>
        <v>2018</v>
      </c>
      <c r="F12680" t="s">
        <v>2076</v>
      </c>
      <c r="G12680" s="9">
        <v>12407.28</v>
      </c>
      <c r="H12680" s="8">
        <v>26589</v>
      </c>
    </row>
    <row r="12681" spans="2:8" x14ac:dyDescent="0.4">
      <c r="B12681" t="s">
        <v>7</v>
      </c>
      <c r="C12681" t="s">
        <v>2075</v>
      </c>
      <c r="D12681" s="7">
        <f>DATE(2018,3,15)</f>
        <v>43174</v>
      </c>
      <c r="E12681" s="8">
        <f t="shared" si="210"/>
        <v>2018</v>
      </c>
      <c r="F12681" t="s">
        <v>2076</v>
      </c>
      <c r="G12681" s="9">
        <v>1739.88</v>
      </c>
      <c r="H12681" s="8">
        <v>26662</v>
      </c>
    </row>
    <row r="12682" spans="2:8" x14ac:dyDescent="0.4">
      <c r="B12682" t="s">
        <v>7</v>
      </c>
      <c r="C12682" t="s">
        <v>2075</v>
      </c>
      <c r="D12682" s="7">
        <f>DATE(2018,3,20)</f>
        <v>43179</v>
      </c>
      <c r="E12682" s="8">
        <f t="shared" si="210"/>
        <v>2018</v>
      </c>
      <c r="F12682" t="s">
        <v>2076</v>
      </c>
      <c r="G12682" s="9">
        <v>692.45</v>
      </c>
      <c r="H12682" s="8">
        <v>26707</v>
      </c>
    </row>
    <row r="12683" spans="2:8" x14ac:dyDescent="0.4">
      <c r="B12683" t="s">
        <v>7</v>
      </c>
      <c r="C12683" t="s">
        <v>2075</v>
      </c>
      <c r="D12683" s="7">
        <f>DATE(2018,3,22)</f>
        <v>43181</v>
      </c>
      <c r="E12683" s="8">
        <f t="shared" si="210"/>
        <v>2018</v>
      </c>
      <c r="F12683" t="s">
        <v>2076</v>
      </c>
      <c r="G12683" s="9">
        <v>7136.59</v>
      </c>
      <c r="H12683" s="8">
        <v>26614</v>
      </c>
    </row>
    <row r="12684" spans="2:8" x14ac:dyDescent="0.4">
      <c r="B12684" t="s">
        <v>7</v>
      </c>
      <c r="C12684" t="s">
        <v>2075</v>
      </c>
      <c r="D12684" s="7">
        <f>DATE(2018,4,5)</f>
        <v>43195</v>
      </c>
      <c r="E12684" s="8">
        <f t="shared" si="210"/>
        <v>2018</v>
      </c>
      <c r="F12684" t="s">
        <v>2076</v>
      </c>
      <c r="G12684" s="9">
        <v>275.7</v>
      </c>
      <c r="H12684" s="8">
        <v>26793</v>
      </c>
    </row>
    <row r="12685" spans="2:8" x14ac:dyDescent="0.4">
      <c r="B12685" t="s">
        <v>7</v>
      </c>
      <c r="C12685" t="s">
        <v>2075</v>
      </c>
      <c r="D12685" s="7">
        <f>DATE(2018,4,5)</f>
        <v>43195</v>
      </c>
      <c r="E12685" s="8">
        <f t="shared" si="210"/>
        <v>2018</v>
      </c>
      <c r="F12685" t="s">
        <v>2076</v>
      </c>
      <c r="G12685" s="9">
        <v>4241.68</v>
      </c>
      <c r="H12685" s="8">
        <v>26791</v>
      </c>
    </row>
    <row r="12686" spans="2:8" x14ac:dyDescent="0.4">
      <c r="B12686" t="s">
        <v>7</v>
      </c>
      <c r="C12686" t="s">
        <v>2075</v>
      </c>
      <c r="D12686" s="7">
        <f>DATE(2018,4,19)</f>
        <v>43209</v>
      </c>
      <c r="E12686" s="8">
        <f t="shared" si="210"/>
        <v>2018</v>
      </c>
      <c r="F12686" t="s">
        <v>2076</v>
      </c>
      <c r="G12686" s="9">
        <v>9526.59</v>
      </c>
      <c r="H12686" s="8">
        <v>26840</v>
      </c>
    </row>
    <row r="12687" spans="2:8" x14ac:dyDescent="0.4">
      <c r="B12687" t="s">
        <v>7</v>
      </c>
      <c r="C12687" t="s">
        <v>2075</v>
      </c>
      <c r="D12687" s="7">
        <f>DATE(2018,4,25)</f>
        <v>43215</v>
      </c>
      <c r="E12687" s="8">
        <f t="shared" si="210"/>
        <v>2018</v>
      </c>
      <c r="F12687" t="s">
        <v>2076</v>
      </c>
      <c r="G12687" s="9">
        <v>1710</v>
      </c>
      <c r="H12687" s="8">
        <v>26921</v>
      </c>
    </row>
    <row r="12688" spans="2:8" x14ac:dyDescent="0.4">
      <c r="B12688" t="s">
        <v>7</v>
      </c>
      <c r="C12688" t="s">
        <v>2075</v>
      </c>
      <c r="D12688" s="7">
        <f>DATE(2018,4,25)</f>
        <v>43215</v>
      </c>
      <c r="E12688" s="8">
        <f t="shared" si="210"/>
        <v>2018</v>
      </c>
      <c r="F12688" t="s">
        <v>2076</v>
      </c>
      <c r="G12688" s="9">
        <v>3194.85</v>
      </c>
      <c r="H12688" s="8">
        <v>26878</v>
      </c>
    </row>
    <row r="12689" spans="2:8" x14ac:dyDescent="0.4">
      <c r="B12689" t="s">
        <v>7</v>
      </c>
      <c r="C12689" t="s">
        <v>2075</v>
      </c>
      <c r="D12689" s="7">
        <f>DATE(2018,5,1)</f>
        <v>43221</v>
      </c>
      <c r="E12689" s="8">
        <f t="shared" si="210"/>
        <v>2018</v>
      </c>
      <c r="F12689" t="s">
        <v>2076</v>
      </c>
      <c r="G12689" s="9">
        <v>1674.79</v>
      </c>
      <c r="H12689" s="8">
        <v>26929</v>
      </c>
    </row>
    <row r="12690" spans="2:8" x14ac:dyDescent="0.4">
      <c r="B12690" t="s">
        <v>7</v>
      </c>
      <c r="C12690" t="s">
        <v>2075</v>
      </c>
      <c r="D12690" s="7">
        <f>DATE(2018,5,16)</f>
        <v>43236</v>
      </c>
      <c r="E12690" s="8">
        <f t="shared" si="210"/>
        <v>2018</v>
      </c>
      <c r="F12690" t="s">
        <v>2076</v>
      </c>
      <c r="G12690" s="9">
        <v>12702.87</v>
      </c>
      <c r="H12690" s="8">
        <v>26891</v>
      </c>
    </row>
    <row r="12691" spans="2:8" x14ac:dyDescent="0.4">
      <c r="B12691" t="s">
        <v>7</v>
      </c>
      <c r="C12691" t="s">
        <v>2075</v>
      </c>
      <c r="D12691" s="7">
        <f>DATE(2018,5,17)</f>
        <v>43237</v>
      </c>
      <c r="E12691" s="8">
        <f t="shared" si="210"/>
        <v>2018</v>
      </c>
      <c r="F12691" t="s">
        <v>2076</v>
      </c>
      <c r="G12691" s="9">
        <v>10806.81</v>
      </c>
      <c r="H12691" s="8">
        <v>27039</v>
      </c>
    </row>
    <row r="12692" spans="2:8" x14ac:dyDescent="0.4">
      <c r="B12692" t="s">
        <v>7</v>
      </c>
      <c r="C12692" t="s">
        <v>2075</v>
      </c>
      <c r="D12692" s="7">
        <f>DATE(2018,5,18)</f>
        <v>43238</v>
      </c>
      <c r="E12692" s="8">
        <f t="shared" si="210"/>
        <v>2018</v>
      </c>
      <c r="F12692" t="s">
        <v>2076</v>
      </c>
      <c r="G12692" s="9">
        <v>3360.54</v>
      </c>
      <c r="H12692" s="8">
        <v>26753</v>
      </c>
    </row>
    <row r="12693" spans="2:8" x14ac:dyDescent="0.4">
      <c r="B12693" t="s">
        <v>7</v>
      </c>
      <c r="C12693" t="s">
        <v>2075</v>
      </c>
      <c r="D12693" s="7">
        <f>DATE(2018,5,30)</f>
        <v>43250</v>
      </c>
      <c r="E12693" s="8">
        <f t="shared" si="210"/>
        <v>2018</v>
      </c>
      <c r="F12693" t="s">
        <v>2076</v>
      </c>
      <c r="G12693" s="9">
        <v>4260.54</v>
      </c>
      <c r="H12693" s="8">
        <v>27125</v>
      </c>
    </row>
    <row r="12694" spans="2:8" x14ac:dyDescent="0.4">
      <c r="B12694" t="s">
        <v>7</v>
      </c>
      <c r="C12694" t="s">
        <v>2075</v>
      </c>
      <c r="D12694" s="7">
        <f>DATE(2018,6,4)</f>
        <v>43255</v>
      </c>
      <c r="E12694" s="8">
        <f t="shared" si="210"/>
        <v>2018</v>
      </c>
      <c r="F12694" t="s">
        <v>2076</v>
      </c>
      <c r="G12694" s="9">
        <v>2588.14</v>
      </c>
      <c r="H12694" s="8">
        <v>27132</v>
      </c>
    </row>
    <row r="12695" spans="2:8" x14ac:dyDescent="0.4">
      <c r="B12695" t="s">
        <v>7</v>
      </c>
      <c r="C12695" t="s">
        <v>2075</v>
      </c>
      <c r="D12695" s="7">
        <f>DATE(2018,6,22)</f>
        <v>43273</v>
      </c>
      <c r="E12695" s="8">
        <f t="shared" si="210"/>
        <v>2018</v>
      </c>
      <c r="F12695" t="s">
        <v>2076</v>
      </c>
      <c r="G12695" s="9">
        <v>37957.980000000003</v>
      </c>
      <c r="H12695" s="8">
        <v>26792</v>
      </c>
    </row>
    <row r="12696" spans="2:8" x14ac:dyDescent="0.4">
      <c r="B12696" t="s">
        <v>7</v>
      </c>
      <c r="C12696" t="s">
        <v>2075</v>
      </c>
      <c r="D12696" s="7">
        <f>DATE(2018,6,28)</f>
        <v>43279</v>
      </c>
      <c r="E12696" s="8">
        <f t="shared" si="210"/>
        <v>2018</v>
      </c>
      <c r="F12696" t="s">
        <v>2076</v>
      </c>
      <c r="G12696" s="9">
        <v>3358.69</v>
      </c>
      <c r="H12696" s="8">
        <v>27207</v>
      </c>
    </row>
    <row r="12697" spans="2:8" x14ac:dyDescent="0.4">
      <c r="B12697" t="s">
        <v>7</v>
      </c>
      <c r="C12697" t="s">
        <v>2075</v>
      </c>
      <c r="D12697" s="7">
        <f>DATE(2018,7,5)</f>
        <v>43286</v>
      </c>
      <c r="E12697" s="8">
        <f t="shared" si="210"/>
        <v>2018</v>
      </c>
      <c r="F12697" t="s">
        <v>2076</v>
      </c>
      <c r="G12697" s="9">
        <v>10452.299999999999</v>
      </c>
      <c r="H12697" s="8">
        <v>27286</v>
      </c>
    </row>
    <row r="12698" spans="2:8" x14ac:dyDescent="0.4">
      <c r="B12698" t="s">
        <v>7</v>
      </c>
      <c r="C12698" t="s">
        <v>2075</v>
      </c>
      <c r="D12698" s="7">
        <f>DATE(2018,7,16)</f>
        <v>43297</v>
      </c>
      <c r="E12698" s="8">
        <f t="shared" si="210"/>
        <v>2018</v>
      </c>
      <c r="F12698" t="s">
        <v>2076</v>
      </c>
      <c r="G12698" s="9">
        <v>1832.76</v>
      </c>
      <c r="H12698" s="8">
        <v>27346</v>
      </c>
    </row>
    <row r="12699" spans="2:8" x14ac:dyDescent="0.4">
      <c r="B12699" t="s">
        <v>7</v>
      </c>
      <c r="C12699" t="s">
        <v>2075</v>
      </c>
      <c r="D12699" s="7">
        <f>DATE(2018,7,17)</f>
        <v>43298</v>
      </c>
      <c r="E12699" s="8">
        <f t="shared" si="210"/>
        <v>2018</v>
      </c>
      <c r="F12699" t="s">
        <v>2076</v>
      </c>
      <c r="G12699" s="9">
        <v>12208.1</v>
      </c>
      <c r="H12699" s="8">
        <v>27341</v>
      </c>
    </row>
    <row r="12700" spans="2:8" x14ac:dyDescent="0.4">
      <c r="B12700" t="s">
        <v>7</v>
      </c>
      <c r="C12700" t="s">
        <v>2075</v>
      </c>
      <c r="D12700" s="7">
        <f>DATE(2018,8,7)</f>
        <v>43319</v>
      </c>
      <c r="E12700" s="8">
        <f t="shared" si="210"/>
        <v>2018</v>
      </c>
      <c r="F12700" t="s">
        <v>2076</v>
      </c>
      <c r="G12700" s="9">
        <v>516.79999999999995</v>
      </c>
      <c r="H12700" s="8">
        <v>27389</v>
      </c>
    </row>
    <row r="12701" spans="2:8" x14ac:dyDescent="0.4">
      <c r="B12701" t="s">
        <v>7</v>
      </c>
      <c r="C12701" t="s">
        <v>2075</v>
      </c>
      <c r="D12701" s="7">
        <f>DATE(2018,8,14)</f>
        <v>43326</v>
      </c>
      <c r="E12701" s="8">
        <f t="shared" si="210"/>
        <v>2018</v>
      </c>
      <c r="F12701" t="s">
        <v>2076</v>
      </c>
      <c r="G12701" s="9">
        <v>5589.77</v>
      </c>
      <c r="H12701" s="8">
        <v>27425</v>
      </c>
    </row>
    <row r="12702" spans="2:8" x14ac:dyDescent="0.4">
      <c r="B12702" t="s">
        <v>7</v>
      </c>
      <c r="C12702" t="s">
        <v>2075</v>
      </c>
      <c r="D12702" s="7">
        <f>DATE(2018,8,24)</f>
        <v>43336</v>
      </c>
      <c r="E12702" s="8">
        <f t="shared" si="210"/>
        <v>2018</v>
      </c>
      <c r="F12702" t="s">
        <v>2076</v>
      </c>
      <c r="G12702" s="9">
        <v>4243.03</v>
      </c>
      <c r="H12702" s="8">
        <v>27489</v>
      </c>
    </row>
    <row r="12703" spans="2:8" x14ac:dyDescent="0.4">
      <c r="B12703" t="s">
        <v>7</v>
      </c>
      <c r="C12703" t="s">
        <v>2075</v>
      </c>
      <c r="D12703" s="7">
        <f>DATE(2018,8,24)</f>
        <v>43336</v>
      </c>
      <c r="E12703" s="8">
        <f t="shared" si="210"/>
        <v>2018</v>
      </c>
      <c r="F12703" t="s">
        <v>2076</v>
      </c>
      <c r="G12703" s="9">
        <v>1822.22</v>
      </c>
      <c r="H12703" s="8">
        <v>27561</v>
      </c>
    </row>
    <row r="12704" spans="2:8" x14ac:dyDescent="0.4">
      <c r="B12704" t="s">
        <v>7</v>
      </c>
      <c r="C12704" t="s">
        <v>2075</v>
      </c>
      <c r="D12704" s="7">
        <f>DATE(2018,8,27)</f>
        <v>43339</v>
      </c>
      <c r="E12704" s="8">
        <f t="shared" si="210"/>
        <v>2018</v>
      </c>
      <c r="F12704" t="s">
        <v>2076</v>
      </c>
      <c r="G12704" s="9">
        <v>12802.97</v>
      </c>
      <c r="H12704" s="8">
        <v>27453</v>
      </c>
    </row>
    <row r="12705" spans="2:8" x14ac:dyDescent="0.4">
      <c r="B12705" t="s">
        <v>7</v>
      </c>
      <c r="C12705" t="s">
        <v>2075</v>
      </c>
      <c r="D12705" s="7">
        <f>DATE(2018,9,4)</f>
        <v>43347</v>
      </c>
      <c r="E12705" s="8">
        <f t="shared" si="210"/>
        <v>2018</v>
      </c>
      <c r="F12705" t="s">
        <v>2076</v>
      </c>
      <c r="G12705" s="9">
        <v>473.24</v>
      </c>
      <c r="H12705" s="8">
        <v>27582</v>
      </c>
    </row>
    <row r="12706" spans="2:8" x14ac:dyDescent="0.4">
      <c r="B12706" t="s">
        <v>7</v>
      </c>
      <c r="C12706" t="s">
        <v>2075</v>
      </c>
      <c r="D12706" s="7">
        <f>DATE(2018,9,7)</f>
        <v>43350</v>
      </c>
      <c r="E12706" s="8">
        <f t="shared" si="210"/>
        <v>2018</v>
      </c>
      <c r="F12706" t="s">
        <v>2076</v>
      </c>
      <c r="G12706" s="9">
        <v>678.12</v>
      </c>
      <c r="H12706" s="8">
        <v>27600</v>
      </c>
    </row>
    <row r="12707" spans="2:8" x14ac:dyDescent="0.4">
      <c r="B12707" t="s">
        <v>7</v>
      </c>
      <c r="C12707" t="s">
        <v>2075</v>
      </c>
      <c r="D12707" s="7">
        <f>DATE(2018,9,17)</f>
        <v>43360</v>
      </c>
      <c r="E12707" s="8">
        <f t="shared" si="210"/>
        <v>2018</v>
      </c>
      <c r="F12707" t="s">
        <v>2076</v>
      </c>
      <c r="G12707" s="9">
        <v>1875.96</v>
      </c>
      <c r="H12707" s="8">
        <v>27624</v>
      </c>
    </row>
    <row r="12708" spans="2:8" x14ac:dyDescent="0.4">
      <c r="B12708" t="s">
        <v>7</v>
      </c>
      <c r="C12708" t="s">
        <v>2075</v>
      </c>
      <c r="D12708" s="7">
        <f>DATE(2018,9,18)</f>
        <v>43361</v>
      </c>
      <c r="E12708" s="8">
        <f t="shared" si="210"/>
        <v>2018</v>
      </c>
      <c r="F12708" t="s">
        <v>2076</v>
      </c>
      <c r="G12708" s="9">
        <v>9036.2999999999993</v>
      </c>
      <c r="H12708" s="8">
        <v>27621</v>
      </c>
    </row>
    <row r="12709" spans="2:8" x14ac:dyDescent="0.4">
      <c r="B12709" t="s">
        <v>7</v>
      </c>
      <c r="C12709" t="s">
        <v>2075</v>
      </c>
      <c r="D12709" s="7">
        <f>DATE(2018,9,19)</f>
        <v>43362</v>
      </c>
      <c r="E12709" s="8">
        <f t="shared" si="210"/>
        <v>2018</v>
      </c>
      <c r="F12709" t="s">
        <v>2076</v>
      </c>
      <c r="G12709" s="9">
        <v>152.06</v>
      </c>
      <c r="H12709" s="8">
        <v>27673</v>
      </c>
    </row>
    <row r="12710" spans="2:8" x14ac:dyDescent="0.4">
      <c r="B12710" t="s">
        <v>7</v>
      </c>
      <c r="C12710" t="s">
        <v>2075</v>
      </c>
      <c r="D12710" s="7">
        <f>DATE(2018,9,27)</f>
        <v>43370</v>
      </c>
      <c r="E12710" s="8">
        <f t="shared" si="210"/>
        <v>2018</v>
      </c>
      <c r="F12710" t="s">
        <v>2076</v>
      </c>
      <c r="G12710" s="9">
        <v>1793.17</v>
      </c>
      <c r="H12710" s="8">
        <v>27704</v>
      </c>
    </row>
    <row r="12711" spans="2:8" x14ac:dyDescent="0.4">
      <c r="B12711" t="s">
        <v>7</v>
      </c>
      <c r="C12711" t="s">
        <v>2075</v>
      </c>
      <c r="D12711" s="7">
        <f>DATE(2018,10,3)</f>
        <v>43376</v>
      </c>
      <c r="E12711" s="8">
        <f t="shared" si="210"/>
        <v>2018</v>
      </c>
      <c r="F12711" t="s">
        <v>2076</v>
      </c>
      <c r="G12711" s="9">
        <v>34888.54</v>
      </c>
      <c r="H12711" s="8">
        <v>27620</v>
      </c>
    </row>
    <row r="12712" spans="2:8" x14ac:dyDescent="0.4">
      <c r="B12712" t="s">
        <v>7</v>
      </c>
      <c r="C12712" t="s">
        <v>2075</v>
      </c>
      <c r="D12712" s="7">
        <f>DATE(2018,10,4)</f>
        <v>43377</v>
      </c>
      <c r="E12712" s="8">
        <f t="shared" si="210"/>
        <v>2018</v>
      </c>
      <c r="F12712" t="s">
        <v>2076</v>
      </c>
      <c r="G12712" s="9">
        <v>58.68</v>
      </c>
      <c r="H12712" s="8">
        <v>27771</v>
      </c>
    </row>
    <row r="12713" spans="2:8" x14ac:dyDescent="0.4">
      <c r="B12713" t="s">
        <v>7</v>
      </c>
      <c r="C12713" t="s">
        <v>2075</v>
      </c>
      <c r="D12713" s="7">
        <f>DATE(2018,10,4)</f>
        <v>43377</v>
      </c>
      <c r="E12713" s="8">
        <f t="shared" si="210"/>
        <v>2018</v>
      </c>
      <c r="F12713" t="s">
        <v>2076</v>
      </c>
      <c r="G12713" s="9">
        <v>41.27</v>
      </c>
      <c r="H12713" s="8">
        <v>27772</v>
      </c>
    </row>
    <row r="12714" spans="2:8" x14ac:dyDescent="0.4">
      <c r="B12714" t="s">
        <v>7</v>
      </c>
      <c r="C12714" t="s">
        <v>2075</v>
      </c>
      <c r="D12714" s="7">
        <f>DATE(2018,10,8)</f>
        <v>43381</v>
      </c>
      <c r="E12714" s="8">
        <f t="shared" si="210"/>
        <v>2018</v>
      </c>
      <c r="F12714" t="s">
        <v>2076</v>
      </c>
      <c r="G12714" s="9">
        <v>1295.8499999999999</v>
      </c>
      <c r="H12714" s="8">
        <v>27691</v>
      </c>
    </row>
    <row r="12715" spans="2:8" x14ac:dyDescent="0.4">
      <c r="B12715" t="s">
        <v>7</v>
      </c>
      <c r="C12715" t="s">
        <v>2075</v>
      </c>
      <c r="D12715" s="7">
        <f>DATE(2018,10,8)</f>
        <v>43381</v>
      </c>
      <c r="E12715" s="8">
        <f t="shared" si="210"/>
        <v>2018</v>
      </c>
      <c r="F12715" t="s">
        <v>2076</v>
      </c>
      <c r="G12715" s="9">
        <v>274.61</v>
      </c>
      <c r="H12715" s="8">
        <v>27777</v>
      </c>
    </row>
    <row r="12716" spans="2:8" x14ac:dyDescent="0.4">
      <c r="B12716" t="s">
        <v>7</v>
      </c>
      <c r="C12716" t="s">
        <v>2075</v>
      </c>
      <c r="D12716" s="7">
        <f>DATE(2018,10,9)</f>
        <v>43382</v>
      </c>
      <c r="E12716" s="8">
        <f t="shared" si="210"/>
        <v>2018</v>
      </c>
      <c r="F12716" t="s">
        <v>2076</v>
      </c>
      <c r="G12716" s="9">
        <v>7824.74</v>
      </c>
      <c r="H12716" s="8">
        <v>27743</v>
      </c>
    </row>
    <row r="12717" spans="2:8" x14ac:dyDescent="0.4">
      <c r="B12717" t="s">
        <v>7</v>
      </c>
      <c r="C12717" t="s">
        <v>2075</v>
      </c>
      <c r="D12717" s="7">
        <f>DATE(2018,10,16)</f>
        <v>43389</v>
      </c>
      <c r="E12717" s="8">
        <f t="shared" si="210"/>
        <v>2018</v>
      </c>
      <c r="F12717" t="s">
        <v>2076</v>
      </c>
      <c r="G12717" s="9">
        <v>3201</v>
      </c>
      <c r="H12717" s="8">
        <v>27809</v>
      </c>
    </row>
    <row r="12718" spans="2:8" x14ac:dyDescent="0.4">
      <c r="B12718" t="s">
        <v>7</v>
      </c>
      <c r="C12718" t="s">
        <v>2075</v>
      </c>
      <c r="D12718" s="7">
        <f>DATE(2018,10,23)</f>
        <v>43396</v>
      </c>
      <c r="E12718" s="8">
        <f t="shared" si="210"/>
        <v>2018</v>
      </c>
      <c r="F12718" t="s">
        <v>2076</v>
      </c>
      <c r="G12718" s="9">
        <v>2792.96</v>
      </c>
      <c r="H12718" s="8">
        <v>27857</v>
      </c>
    </row>
    <row r="12719" spans="2:8" x14ac:dyDescent="0.4">
      <c r="B12719" t="s">
        <v>7</v>
      </c>
      <c r="C12719" t="s">
        <v>2075</v>
      </c>
      <c r="D12719" s="7">
        <f>DATE(2018,11,28)</f>
        <v>43432</v>
      </c>
      <c r="E12719" s="8">
        <f t="shared" si="210"/>
        <v>2018</v>
      </c>
      <c r="F12719" t="s">
        <v>2076</v>
      </c>
      <c r="G12719" s="9">
        <v>2787.55</v>
      </c>
      <c r="H12719" s="8">
        <v>27976</v>
      </c>
    </row>
    <row r="12720" spans="2:8" x14ac:dyDescent="0.4">
      <c r="B12720" t="s">
        <v>7</v>
      </c>
      <c r="C12720" t="s">
        <v>2075</v>
      </c>
      <c r="D12720" s="7">
        <f>DATE(2018,11,28)</f>
        <v>43432</v>
      </c>
      <c r="E12720" s="8">
        <f t="shared" si="210"/>
        <v>2018</v>
      </c>
      <c r="F12720" t="s">
        <v>2076</v>
      </c>
      <c r="G12720" s="9">
        <v>210</v>
      </c>
      <c r="H12720" s="8">
        <v>28041</v>
      </c>
    </row>
    <row r="12721" spans="2:8" x14ac:dyDescent="0.4">
      <c r="B12721" t="s">
        <v>7</v>
      </c>
      <c r="C12721" t="s">
        <v>2075</v>
      </c>
      <c r="D12721" s="7">
        <f>DATE(2018,11,29)</f>
        <v>43433</v>
      </c>
      <c r="E12721" s="8">
        <f t="shared" si="210"/>
        <v>2018</v>
      </c>
      <c r="F12721" t="s">
        <v>2076</v>
      </c>
      <c r="G12721" s="9">
        <v>14637.04</v>
      </c>
      <c r="H12721" s="8">
        <v>27979</v>
      </c>
    </row>
    <row r="12722" spans="2:8" x14ac:dyDescent="0.4">
      <c r="B12722" t="s">
        <v>7</v>
      </c>
      <c r="C12722" t="s">
        <v>2075</v>
      </c>
      <c r="D12722" s="7">
        <f>DATE(2018,12,6)</f>
        <v>43440</v>
      </c>
      <c r="E12722" s="8">
        <f t="shared" si="210"/>
        <v>2018</v>
      </c>
      <c r="F12722" t="s">
        <v>2076</v>
      </c>
      <c r="G12722" s="9">
        <v>11300</v>
      </c>
      <c r="H12722" s="8">
        <v>27978</v>
      </c>
    </row>
    <row r="12723" spans="2:8" x14ac:dyDescent="0.4">
      <c r="B12723" t="s">
        <v>7</v>
      </c>
      <c r="C12723" t="s">
        <v>2075</v>
      </c>
      <c r="D12723" s="7">
        <f>DATE(2018,12,6)</f>
        <v>43440</v>
      </c>
      <c r="E12723" s="8">
        <f t="shared" si="210"/>
        <v>2018</v>
      </c>
      <c r="F12723" t="s">
        <v>2076</v>
      </c>
      <c r="G12723" s="9">
        <v>17369.91</v>
      </c>
      <c r="H12723" s="8">
        <v>27983</v>
      </c>
    </row>
    <row r="12724" spans="2:8" x14ac:dyDescent="0.4">
      <c r="B12724" t="s">
        <v>7</v>
      </c>
      <c r="C12724" t="s">
        <v>2075</v>
      </c>
      <c r="D12724" s="7">
        <f>DATE(2018,12,11)</f>
        <v>43445</v>
      </c>
      <c r="E12724" s="8">
        <f t="shared" si="210"/>
        <v>2018</v>
      </c>
      <c r="F12724" t="s">
        <v>2076</v>
      </c>
      <c r="G12724" s="9">
        <v>707.8</v>
      </c>
      <c r="H12724" s="8">
        <v>28098</v>
      </c>
    </row>
    <row r="12725" spans="2:8" x14ac:dyDescent="0.4">
      <c r="B12725" t="s">
        <v>7</v>
      </c>
      <c r="C12725" t="s">
        <v>2075</v>
      </c>
      <c r="D12725" s="7">
        <f>DATE(2019,1,24)</f>
        <v>43489</v>
      </c>
      <c r="E12725" s="8">
        <f t="shared" si="210"/>
        <v>2019</v>
      </c>
      <c r="F12725" t="s">
        <v>2076</v>
      </c>
      <c r="G12725" s="9">
        <v>750</v>
      </c>
      <c r="H12725" s="8">
        <v>28203</v>
      </c>
    </row>
    <row r="12726" spans="2:8" x14ac:dyDescent="0.4">
      <c r="B12726" t="s">
        <v>7</v>
      </c>
      <c r="C12726" t="s">
        <v>2075</v>
      </c>
      <c r="D12726" s="7">
        <f>DATE(2019,1,24)</f>
        <v>43489</v>
      </c>
      <c r="E12726" s="8">
        <f t="shared" si="210"/>
        <v>2019</v>
      </c>
      <c r="F12726" t="s">
        <v>2076</v>
      </c>
      <c r="G12726" s="9">
        <v>423</v>
      </c>
      <c r="H12726" s="8">
        <v>28246</v>
      </c>
    </row>
    <row r="12727" spans="2:8" x14ac:dyDescent="0.4">
      <c r="B12727" t="s">
        <v>7</v>
      </c>
      <c r="C12727" t="s">
        <v>2075</v>
      </c>
      <c r="D12727" s="7">
        <f>DATE(2019,1,24)</f>
        <v>43489</v>
      </c>
      <c r="E12727" s="8">
        <f t="shared" si="210"/>
        <v>2019</v>
      </c>
      <c r="F12727" t="s">
        <v>2076</v>
      </c>
      <c r="G12727" s="9">
        <v>8035.34</v>
      </c>
      <c r="H12727" s="8">
        <v>28197</v>
      </c>
    </row>
    <row r="12728" spans="2:8" x14ac:dyDescent="0.4">
      <c r="B12728" t="s">
        <v>7</v>
      </c>
      <c r="C12728" t="s">
        <v>2075</v>
      </c>
      <c r="D12728" s="7">
        <f>DATE(2019,2,7)</f>
        <v>43503</v>
      </c>
      <c r="E12728" s="8">
        <f t="shared" si="210"/>
        <v>2019</v>
      </c>
      <c r="F12728" t="s">
        <v>2076</v>
      </c>
      <c r="G12728" s="9">
        <v>19919.830000000002</v>
      </c>
      <c r="H12728" s="8">
        <v>28248</v>
      </c>
    </row>
    <row r="12729" spans="2:8" x14ac:dyDescent="0.4">
      <c r="B12729" t="s">
        <v>7</v>
      </c>
      <c r="C12729" t="s">
        <v>2075</v>
      </c>
      <c r="D12729" s="7">
        <f>DATE(2019,2,7)</f>
        <v>43503</v>
      </c>
      <c r="E12729" s="8">
        <f t="shared" si="210"/>
        <v>2019</v>
      </c>
      <c r="F12729" t="s">
        <v>2076</v>
      </c>
      <c r="G12729" s="9">
        <v>16400</v>
      </c>
      <c r="H12729" s="8">
        <v>28269</v>
      </c>
    </row>
    <row r="12730" spans="2:8" x14ac:dyDescent="0.4">
      <c r="B12730" t="s">
        <v>7</v>
      </c>
      <c r="C12730" t="s">
        <v>2075</v>
      </c>
      <c r="D12730" s="7">
        <f>DATE(2019,2,27)</f>
        <v>43523</v>
      </c>
      <c r="E12730" s="8">
        <f t="shared" si="210"/>
        <v>2019</v>
      </c>
      <c r="F12730" t="s">
        <v>2076</v>
      </c>
      <c r="G12730" s="9">
        <v>8625.76</v>
      </c>
      <c r="H12730" s="8">
        <v>28439</v>
      </c>
    </row>
    <row r="12731" spans="2:8" x14ac:dyDescent="0.4">
      <c r="B12731" t="s">
        <v>7</v>
      </c>
      <c r="C12731" t="s">
        <v>2075</v>
      </c>
      <c r="D12731" s="7">
        <f>DATE(2019,3,13)</f>
        <v>43537</v>
      </c>
      <c r="E12731" s="8">
        <f t="shared" si="210"/>
        <v>2019</v>
      </c>
      <c r="F12731" t="s">
        <v>2076</v>
      </c>
      <c r="G12731" s="9">
        <v>3980.8</v>
      </c>
      <c r="H12731" s="8">
        <v>28465</v>
      </c>
    </row>
    <row r="12732" spans="2:8" x14ac:dyDescent="0.4">
      <c r="B12732" t="s">
        <v>7</v>
      </c>
      <c r="C12732" t="s">
        <v>2075</v>
      </c>
      <c r="D12732" s="7">
        <f>DATE(2019,3,15)</f>
        <v>43539</v>
      </c>
      <c r="E12732" s="8">
        <f t="shared" si="210"/>
        <v>2019</v>
      </c>
      <c r="F12732" t="s">
        <v>2076</v>
      </c>
      <c r="G12732" s="9">
        <v>2211.8000000000002</v>
      </c>
      <c r="H12732" s="8">
        <v>28555</v>
      </c>
    </row>
    <row r="12733" spans="2:8" x14ac:dyDescent="0.4">
      <c r="B12733" t="s">
        <v>7</v>
      </c>
      <c r="C12733" t="s">
        <v>2075</v>
      </c>
      <c r="D12733" s="7">
        <f>DATE(2019,3,20)</f>
        <v>43544</v>
      </c>
      <c r="E12733" s="8">
        <f t="shared" si="210"/>
        <v>2019</v>
      </c>
      <c r="F12733" t="s">
        <v>2076</v>
      </c>
      <c r="G12733" s="9">
        <v>30682.400000000001</v>
      </c>
      <c r="H12733" s="8">
        <v>28420</v>
      </c>
    </row>
    <row r="12734" spans="2:8" x14ac:dyDescent="0.4">
      <c r="B12734" t="s">
        <v>7</v>
      </c>
      <c r="C12734" t="s">
        <v>2075</v>
      </c>
      <c r="D12734" s="7">
        <f>DATE(2019,3,25)</f>
        <v>43549</v>
      </c>
      <c r="E12734" s="8">
        <f t="shared" si="210"/>
        <v>2019</v>
      </c>
      <c r="F12734" t="s">
        <v>2076</v>
      </c>
      <c r="G12734" s="9">
        <v>23956.03</v>
      </c>
      <c r="H12734" s="8">
        <v>28530</v>
      </c>
    </row>
    <row r="12735" spans="2:8" x14ac:dyDescent="0.4">
      <c r="B12735" t="s">
        <v>7</v>
      </c>
      <c r="C12735" t="s">
        <v>2075</v>
      </c>
      <c r="D12735" s="7">
        <f>DATE(2019,4,10)</f>
        <v>43565</v>
      </c>
      <c r="E12735" s="8">
        <f t="shared" si="210"/>
        <v>2019</v>
      </c>
      <c r="F12735" t="s">
        <v>2076</v>
      </c>
      <c r="G12735" s="9">
        <v>4743.87</v>
      </c>
      <c r="H12735" s="8">
        <v>28731</v>
      </c>
    </row>
    <row r="12736" spans="2:8" x14ac:dyDescent="0.4">
      <c r="B12736" t="s">
        <v>7</v>
      </c>
      <c r="C12736" t="s">
        <v>2075</v>
      </c>
      <c r="D12736" s="7">
        <f>DATE(2019,4,15)</f>
        <v>43570</v>
      </c>
      <c r="E12736" s="8">
        <f t="shared" si="210"/>
        <v>2019</v>
      </c>
      <c r="F12736" t="s">
        <v>2076</v>
      </c>
      <c r="G12736" s="9">
        <v>12793.15</v>
      </c>
      <c r="H12736" s="8">
        <v>28718</v>
      </c>
    </row>
    <row r="12737" spans="2:8" x14ac:dyDescent="0.4">
      <c r="B12737" t="s">
        <v>7</v>
      </c>
      <c r="C12737" t="s">
        <v>2075</v>
      </c>
      <c r="D12737" s="7">
        <f>DATE(2019,4,16)</f>
        <v>43571</v>
      </c>
      <c r="E12737" s="8">
        <f t="shared" si="210"/>
        <v>2019</v>
      </c>
      <c r="F12737" t="s">
        <v>2076</v>
      </c>
      <c r="G12737" s="9">
        <v>10573.31</v>
      </c>
      <c r="H12737" s="8">
        <v>28786</v>
      </c>
    </row>
    <row r="12738" spans="2:8" x14ac:dyDescent="0.4">
      <c r="B12738" t="s">
        <v>7</v>
      </c>
      <c r="C12738" t="s">
        <v>2075</v>
      </c>
      <c r="D12738" s="7">
        <f>DATE(2019,5,1)</f>
        <v>43586</v>
      </c>
      <c r="E12738" s="8">
        <f t="shared" si="210"/>
        <v>2019</v>
      </c>
      <c r="F12738" t="s">
        <v>2076</v>
      </c>
      <c r="G12738" s="9">
        <v>13839.93</v>
      </c>
      <c r="H12738" s="8">
        <v>28816</v>
      </c>
    </row>
    <row r="12739" spans="2:8" x14ac:dyDescent="0.4">
      <c r="B12739" t="s">
        <v>7</v>
      </c>
      <c r="C12739" t="s">
        <v>2075</v>
      </c>
      <c r="D12739" s="7">
        <f>DATE(2019,5,3)</f>
        <v>43588</v>
      </c>
      <c r="E12739" s="8">
        <f t="shared" ref="E12739:E12802" si="211">YEAR(D12739)</f>
        <v>2019</v>
      </c>
      <c r="F12739" t="s">
        <v>2076</v>
      </c>
      <c r="G12739" s="9">
        <v>15120.35</v>
      </c>
      <c r="H12739" s="8">
        <v>28923</v>
      </c>
    </row>
    <row r="12740" spans="2:8" x14ac:dyDescent="0.4">
      <c r="B12740" t="s">
        <v>7</v>
      </c>
      <c r="C12740" t="s">
        <v>2075</v>
      </c>
      <c r="D12740" s="7">
        <f>DATE(2019,5,13)</f>
        <v>43598</v>
      </c>
      <c r="E12740" s="8">
        <f t="shared" si="211"/>
        <v>2019</v>
      </c>
      <c r="F12740" t="s">
        <v>2076</v>
      </c>
      <c r="G12740" s="9">
        <v>22886</v>
      </c>
      <c r="H12740" s="8">
        <v>28800</v>
      </c>
    </row>
    <row r="12741" spans="2:8" x14ac:dyDescent="0.4">
      <c r="B12741" t="s">
        <v>7</v>
      </c>
      <c r="C12741" t="s">
        <v>2075</v>
      </c>
      <c r="D12741" s="7">
        <f>DATE(2016,11,3)</f>
        <v>42677</v>
      </c>
      <c r="E12741" s="8">
        <f t="shared" si="211"/>
        <v>2016</v>
      </c>
      <c r="F12741" t="s">
        <v>2076</v>
      </c>
      <c r="G12741" s="9">
        <v>34755.22</v>
      </c>
      <c r="H12741" s="8">
        <v>23345</v>
      </c>
    </row>
    <row r="12742" spans="2:8" x14ac:dyDescent="0.4">
      <c r="B12742" t="s">
        <v>7</v>
      </c>
      <c r="C12742" t="s">
        <v>2075</v>
      </c>
      <c r="D12742" s="7">
        <f>DATE(2016,12,6)</f>
        <v>42710</v>
      </c>
      <c r="E12742" s="8">
        <f t="shared" si="211"/>
        <v>2016</v>
      </c>
      <c r="F12742" t="s">
        <v>2076</v>
      </c>
      <c r="G12742" s="9">
        <v>1746</v>
      </c>
      <c r="H12742" s="8">
        <v>23919</v>
      </c>
    </row>
    <row r="12743" spans="2:8" x14ac:dyDescent="0.4">
      <c r="B12743" t="s">
        <v>7</v>
      </c>
      <c r="C12743" t="s">
        <v>2075</v>
      </c>
      <c r="D12743" s="7">
        <f>DATE(2016,12,21)</f>
        <v>42725</v>
      </c>
      <c r="E12743" s="8">
        <f t="shared" si="211"/>
        <v>2016</v>
      </c>
      <c r="F12743" t="s">
        <v>2076</v>
      </c>
      <c r="G12743" s="9">
        <v>21762.66</v>
      </c>
      <c r="H12743" s="8">
        <v>23902</v>
      </c>
    </row>
    <row r="12744" spans="2:8" x14ac:dyDescent="0.4">
      <c r="B12744" t="s">
        <v>16</v>
      </c>
      <c r="C12744" t="s">
        <v>2075</v>
      </c>
      <c r="D12744" s="7">
        <f>DATE(2015,3,11)</f>
        <v>42074</v>
      </c>
      <c r="E12744" s="8">
        <f t="shared" si="211"/>
        <v>2015</v>
      </c>
      <c r="F12744" t="s">
        <v>2076</v>
      </c>
      <c r="G12744" s="9">
        <v>2581.6</v>
      </c>
      <c r="H12744" s="8">
        <v>20164</v>
      </c>
    </row>
    <row r="12745" spans="2:8" x14ac:dyDescent="0.4">
      <c r="B12745" t="s">
        <v>16</v>
      </c>
      <c r="C12745" t="s">
        <v>2075</v>
      </c>
      <c r="D12745" s="7">
        <f>DATE(2018,5,24)</f>
        <v>43244</v>
      </c>
      <c r="E12745" s="8">
        <f t="shared" si="211"/>
        <v>2018</v>
      </c>
      <c r="F12745" t="s">
        <v>2076</v>
      </c>
      <c r="G12745" s="9">
        <v>3360.54</v>
      </c>
      <c r="H12745" s="8">
        <v>27121</v>
      </c>
    </row>
    <row r="12746" spans="2:8" x14ac:dyDescent="0.4">
      <c r="B12746" t="s">
        <v>16</v>
      </c>
      <c r="C12746" t="s">
        <v>2075</v>
      </c>
      <c r="D12746" s="7">
        <f>DATE(2018,11,28)</f>
        <v>43432</v>
      </c>
      <c r="E12746" s="8">
        <f t="shared" si="211"/>
        <v>2018</v>
      </c>
      <c r="F12746" t="s">
        <v>2076</v>
      </c>
      <c r="G12746" s="9">
        <v>1670</v>
      </c>
      <c r="H12746" s="8">
        <v>28042</v>
      </c>
    </row>
    <row r="12747" spans="2:8" x14ac:dyDescent="0.4">
      <c r="B12747" s="3" t="s">
        <v>7</v>
      </c>
      <c r="C12747" s="3" t="s">
        <v>2075</v>
      </c>
      <c r="D12747" s="4">
        <f>DATE(2003,5,9)</f>
        <v>37750</v>
      </c>
      <c r="E12747" s="5">
        <f t="shared" si="211"/>
        <v>2003</v>
      </c>
      <c r="F12747" s="3" t="s">
        <v>2076</v>
      </c>
      <c r="G12747" s="6">
        <v>982.5</v>
      </c>
      <c r="H12747" s="5">
        <v>139</v>
      </c>
    </row>
    <row r="12748" spans="2:8" x14ac:dyDescent="0.4">
      <c r="B12748" s="3" t="s">
        <v>7</v>
      </c>
      <c r="C12748" s="3" t="s">
        <v>2075</v>
      </c>
      <c r="D12748" s="4">
        <f>DATE(2003,6,12)</f>
        <v>37784</v>
      </c>
      <c r="E12748" s="5">
        <f t="shared" si="211"/>
        <v>2003</v>
      </c>
      <c r="F12748" s="3" t="s">
        <v>2076</v>
      </c>
      <c r="G12748" s="6">
        <v>339.31</v>
      </c>
      <c r="H12748" s="5">
        <v>192</v>
      </c>
    </row>
    <row r="12749" spans="2:8" x14ac:dyDescent="0.4">
      <c r="B12749" s="3" t="s">
        <v>7</v>
      </c>
      <c r="C12749" s="3" t="s">
        <v>2075</v>
      </c>
      <c r="D12749" s="4">
        <f>DATE(2003,12,22)</f>
        <v>37977</v>
      </c>
      <c r="E12749" s="5">
        <f t="shared" si="211"/>
        <v>2003</v>
      </c>
      <c r="F12749" s="3" t="s">
        <v>2076</v>
      </c>
      <c r="G12749" s="6">
        <v>526.13</v>
      </c>
      <c r="H12749" s="5">
        <v>458</v>
      </c>
    </row>
    <row r="12750" spans="2:8" x14ac:dyDescent="0.4">
      <c r="B12750" s="3" t="s">
        <v>7</v>
      </c>
      <c r="C12750" s="3" t="s">
        <v>2075</v>
      </c>
      <c r="D12750" s="4">
        <f>DATE(2003,12,22)</f>
        <v>37977</v>
      </c>
      <c r="E12750" s="5">
        <f t="shared" si="211"/>
        <v>2003</v>
      </c>
      <c r="F12750" s="3" t="s">
        <v>2076</v>
      </c>
      <c r="G12750" s="6">
        <v>346.41</v>
      </c>
      <c r="H12750" s="5">
        <v>462</v>
      </c>
    </row>
    <row r="12751" spans="2:8" x14ac:dyDescent="0.4">
      <c r="B12751" s="3" t="s">
        <v>7</v>
      </c>
      <c r="C12751" s="3" t="s">
        <v>2075</v>
      </c>
      <c r="D12751" s="4">
        <f>DATE(2004,5,21)</f>
        <v>38128</v>
      </c>
      <c r="E12751" s="5">
        <f t="shared" si="211"/>
        <v>2004</v>
      </c>
      <c r="F12751" s="3" t="s">
        <v>2076</v>
      </c>
      <c r="G12751" s="6">
        <v>3394.62</v>
      </c>
      <c r="H12751" s="5">
        <v>665</v>
      </c>
    </row>
    <row r="12752" spans="2:8" x14ac:dyDescent="0.4">
      <c r="B12752" s="3" t="s">
        <v>7</v>
      </c>
      <c r="C12752" s="3" t="s">
        <v>2075</v>
      </c>
      <c r="D12752" s="4">
        <f>DATE(2005,1,25)</f>
        <v>38377</v>
      </c>
      <c r="E12752" s="5">
        <f t="shared" si="211"/>
        <v>2005</v>
      </c>
      <c r="F12752" s="3" t="s">
        <v>2076</v>
      </c>
      <c r="G12752" s="6">
        <v>2264.58</v>
      </c>
      <c r="H12752" s="5">
        <v>926</v>
      </c>
    </row>
    <row r="12753" spans="2:8" x14ac:dyDescent="0.4">
      <c r="B12753" s="3" t="s">
        <v>7</v>
      </c>
      <c r="C12753" s="3" t="s">
        <v>2075</v>
      </c>
      <c r="D12753" s="4">
        <f>DATE(2005,4,18)</f>
        <v>38460</v>
      </c>
      <c r="E12753" s="5">
        <f t="shared" si="211"/>
        <v>2005</v>
      </c>
      <c r="F12753" s="3" t="s">
        <v>2076</v>
      </c>
      <c r="G12753" s="6">
        <v>2007.52</v>
      </c>
      <c r="H12753" s="5">
        <v>1036</v>
      </c>
    </row>
    <row r="12754" spans="2:8" x14ac:dyDescent="0.4">
      <c r="B12754" s="3" t="s">
        <v>7</v>
      </c>
      <c r="C12754" s="3" t="s">
        <v>2075</v>
      </c>
      <c r="D12754" s="4">
        <f>DATE(2005,4,18)</f>
        <v>38460</v>
      </c>
      <c r="E12754" s="5">
        <f t="shared" si="211"/>
        <v>2005</v>
      </c>
      <c r="F12754" s="3" t="s">
        <v>2076</v>
      </c>
      <c r="G12754" s="6">
        <v>6185.26</v>
      </c>
      <c r="H12754" s="5">
        <v>1041</v>
      </c>
    </row>
    <row r="12755" spans="2:8" x14ac:dyDescent="0.4">
      <c r="B12755" s="3" t="s">
        <v>7</v>
      </c>
      <c r="C12755" s="3" t="s">
        <v>2075</v>
      </c>
      <c r="D12755" s="4">
        <f>DATE(2005,5,4)</f>
        <v>38476</v>
      </c>
      <c r="E12755" s="5">
        <f t="shared" si="211"/>
        <v>2005</v>
      </c>
      <c r="F12755" s="3" t="s">
        <v>2076</v>
      </c>
      <c r="G12755" s="6">
        <v>1351.56</v>
      </c>
      <c r="H12755" s="5">
        <v>1059</v>
      </c>
    </row>
    <row r="12756" spans="2:8" x14ac:dyDescent="0.4">
      <c r="B12756" s="3" t="s">
        <v>7</v>
      </c>
      <c r="C12756" s="3" t="s">
        <v>2075</v>
      </c>
      <c r="D12756" s="4">
        <f>DATE(2005,5,13)</f>
        <v>38485</v>
      </c>
      <c r="E12756" s="5">
        <f t="shared" si="211"/>
        <v>2005</v>
      </c>
      <c r="F12756" s="3" t="s">
        <v>2076</v>
      </c>
      <c r="G12756" s="6">
        <v>1069.8399999999999</v>
      </c>
      <c r="H12756" s="5">
        <v>1084</v>
      </c>
    </row>
    <row r="12757" spans="2:8" x14ac:dyDescent="0.4">
      <c r="B12757" s="3" t="s">
        <v>7</v>
      </c>
      <c r="C12757" s="3" t="s">
        <v>2075</v>
      </c>
      <c r="D12757" s="4">
        <f>DATE(2005,6,15)</f>
        <v>38518</v>
      </c>
      <c r="E12757" s="5">
        <f t="shared" si="211"/>
        <v>2005</v>
      </c>
      <c r="F12757" s="3" t="s">
        <v>2076</v>
      </c>
      <c r="G12757" s="6">
        <v>666.56</v>
      </c>
      <c r="H12757" s="5">
        <v>1113</v>
      </c>
    </row>
    <row r="12758" spans="2:8" x14ac:dyDescent="0.4">
      <c r="B12758" s="3" t="s">
        <v>7</v>
      </c>
      <c r="C12758" s="3" t="s">
        <v>2075</v>
      </c>
      <c r="D12758" s="4">
        <f>DATE(2005,9,1)</f>
        <v>38596</v>
      </c>
      <c r="E12758" s="5">
        <f t="shared" si="211"/>
        <v>2005</v>
      </c>
      <c r="F12758" s="3" t="s">
        <v>2076</v>
      </c>
      <c r="G12758" s="6">
        <v>2648.25</v>
      </c>
      <c r="H12758" s="5">
        <v>1203</v>
      </c>
    </row>
    <row r="12759" spans="2:8" x14ac:dyDescent="0.4">
      <c r="B12759" s="3" t="s">
        <v>7</v>
      </c>
      <c r="C12759" s="3" t="s">
        <v>2075</v>
      </c>
      <c r="D12759" s="4">
        <f>DATE(2005,10,27)</f>
        <v>38652</v>
      </c>
      <c r="E12759" s="5">
        <f t="shared" si="211"/>
        <v>2005</v>
      </c>
      <c r="F12759" s="3" t="s">
        <v>2076</v>
      </c>
      <c r="G12759" s="6">
        <v>3799.05</v>
      </c>
      <c r="H12759" s="5">
        <v>1249</v>
      </c>
    </row>
    <row r="12760" spans="2:8" x14ac:dyDescent="0.4">
      <c r="B12760" s="3" t="s">
        <v>7</v>
      </c>
      <c r="C12760" s="3" t="s">
        <v>2075</v>
      </c>
      <c r="D12760" s="4">
        <f>DATE(2007,4,23)</f>
        <v>39195</v>
      </c>
      <c r="E12760" s="5">
        <f t="shared" si="211"/>
        <v>2007</v>
      </c>
      <c r="F12760" s="3" t="s">
        <v>2076</v>
      </c>
      <c r="G12760" s="6">
        <v>7851.45</v>
      </c>
      <c r="H12760" s="5">
        <v>2153</v>
      </c>
    </row>
    <row r="12761" spans="2:8" x14ac:dyDescent="0.4">
      <c r="B12761" s="3" t="s">
        <v>7</v>
      </c>
      <c r="C12761" s="3" t="s">
        <v>2075</v>
      </c>
      <c r="D12761" s="4">
        <f>DATE(2007,4,26)</f>
        <v>39198</v>
      </c>
      <c r="E12761" s="5">
        <f t="shared" si="211"/>
        <v>2007</v>
      </c>
      <c r="F12761" s="3" t="s">
        <v>2076</v>
      </c>
      <c r="G12761" s="6">
        <v>3424.28</v>
      </c>
      <c r="H12761" s="5">
        <v>2204</v>
      </c>
    </row>
    <row r="12762" spans="2:8" x14ac:dyDescent="0.4">
      <c r="B12762" s="3" t="s">
        <v>7</v>
      </c>
      <c r="C12762" s="3" t="s">
        <v>2075</v>
      </c>
      <c r="D12762" s="4">
        <f>DATE(2007,5,2)</f>
        <v>39204</v>
      </c>
      <c r="E12762" s="5">
        <f t="shared" si="211"/>
        <v>2007</v>
      </c>
      <c r="F12762" s="3" t="s">
        <v>2076</v>
      </c>
      <c r="G12762" s="6">
        <v>3446</v>
      </c>
      <c r="H12762" s="5">
        <v>2186</v>
      </c>
    </row>
    <row r="12763" spans="2:8" x14ac:dyDescent="0.4">
      <c r="B12763" s="3" t="s">
        <v>7</v>
      </c>
      <c r="C12763" s="3" t="s">
        <v>2075</v>
      </c>
      <c r="D12763" s="4">
        <f>DATE(2008,9,1)</f>
        <v>39692</v>
      </c>
      <c r="E12763" s="5">
        <f t="shared" si="211"/>
        <v>2008</v>
      </c>
      <c r="F12763" s="3" t="s">
        <v>2076</v>
      </c>
      <c r="G12763" s="6">
        <v>8770.27</v>
      </c>
      <c r="H12763" s="5">
        <v>2959</v>
      </c>
    </row>
    <row r="12764" spans="2:8" x14ac:dyDescent="0.4">
      <c r="B12764" s="3" t="s">
        <v>7</v>
      </c>
      <c r="C12764" s="3" t="s">
        <v>2075</v>
      </c>
      <c r="D12764" s="4">
        <f>DATE(2008,10,23)</f>
        <v>39744</v>
      </c>
      <c r="E12764" s="5">
        <f t="shared" si="211"/>
        <v>2008</v>
      </c>
      <c r="F12764" s="3" t="s">
        <v>2076</v>
      </c>
      <c r="G12764" s="6">
        <v>16674.009999999998</v>
      </c>
      <c r="H12764" s="5">
        <v>2959</v>
      </c>
    </row>
    <row r="12765" spans="2:8" x14ac:dyDescent="0.4">
      <c r="B12765" s="3" t="s">
        <v>7</v>
      </c>
      <c r="C12765" s="3" t="s">
        <v>2075</v>
      </c>
      <c r="D12765" s="4">
        <f>DATE(2009,4,9)</f>
        <v>39912</v>
      </c>
      <c r="E12765" s="5">
        <f t="shared" si="211"/>
        <v>2009</v>
      </c>
      <c r="F12765" s="3" t="s">
        <v>2076</v>
      </c>
      <c r="G12765" s="6">
        <v>1349.38</v>
      </c>
      <c r="H12765" s="5">
        <v>3377</v>
      </c>
    </row>
    <row r="12766" spans="2:8" x14ac:dyDescent="0.4">
      <c r="B12766" s="3" t="s">
        <v>7</v>
      </c>
      <c r="C12766" s="3" t="s">
        <v>2075</v>
      </c>
      <c r="D12766" s="4">
        <f>DATE(2010,4,5)</f>
        <v>40273</v>
      </c>
      <c r="E12766" s="5">
        <f t="shared" si="211"/>
        <v>2010</v>
      </c>
      <c r="F12766" s="3" t="s">
        <v>2076</v>
      </c>
      <c r="G12766" s="6">
        <v>9240.2999999999993</v>
      </c>
      <c r="H12766" s="5">
        <v>3832</v>
      </c>
    </row>
    <row r="12767" spans="2:8" x14ac:dyDescent="0.4">
      <c r="B12767" s="3" t="s">
        <v>7</v>
      </c>
      <c r="C12767" s="3" t="s">
        <v>2075</v>
      </c>
      <c r="D12767" s="4">
        <f>DATE(2010,5,20)</f>
        <v>40318</v>
      </c>
      <c r="E12767" s="5">
        <f t="shared" si="211"/>
        <v>2010</v>
      </c>
      <c r="F12767" s="3" t="s">
        <v>2076</v>
      </c>
      <c r="G12767" s="6">
        <v>1473.02</v>
      </c>
      <c r="H12767" s="5">
        <v>3896</v>
      </c>
    </row>
    <row r="12768" spans="2:8" x14ac:dyDescent="0.4">
      <c r="B12768" s="3" t="s">
        <v>7</v>
      </c>
      <c r="C12768" s="3" t="s">
        <v>2075</v>
      </c>
      <c r="D12768" s="4">
        <f>DATE(2010,5,20)</f>
        <v>40318</v>
      </c>
      <c r="E12768" s="5">
        <f t="shared" si="211"/>
        <v>2010</v>
      </c>
      <c r="F12768" s="3" t="s">
        <v>2076</v>
      </c>
      <c r="G12768" s="6">
        <v>1473.02</v>
      </c>
      <c r="H12768" s="5">
        <v>3962</v>
      </c>
    </row>
    <row r="12769" spans="2:8" x14ac:dyDescent="0.4">
      <c r="B12769" s="3" t="s">
        <v>7</v>
      </c>
      <c r="C12769" s="3" t="s">
        <v>2075</v>
      </c>
      <c r="D12769" s="4">
        <f>DATE(2010,10,1)</f>
        <v>40452</v>
      </c>
      <c r="E12769" s="5">
        <f t="shared" si="211"/>
        <v>2010</v>
      </c>
      <c r="F12769" s="3" t="s">
        <v>2076</v>
      </c>
      <c r="G12769" s="6">
        <v>2481.96</v>
      </c>
      <c r="H12769" s="5">
        <v>4124</v>
      </c>
    </row>
    <row r="12770" spans="2:8" x14ac:dyDescent="0.4">
      <c r="B12770" s="3" t="s">
        <v>7</v>
      </c>
      <c r="C12770" s="3" t="s">
        <v>2075</v>
      </c>
      <c r="D12770" s="4">
        <f>DATE(2011,5,26)</f>
        <v>40689</v>
      </c>
      <c r="E12770" s="5">
        <f t="shared" si="211"/>
        <v>2011</v>
      </c>
      <c r="F12770" s="3" t="s">
        <v>2076</v>
      </c>
      <c r="G12770" s="6">
        <v>3576.06</v>
      </c>
      <c r="H12770" s="5">
        <v>4432</v>
      </c>
    </row>
    <row r="12771" spans="2:8" x14ac:dyDescent="0.4">
      <c r="B12771" s="3" t="s">
        <v>7</v>
      </c>
      <c r="C12771" s="3" t="s">
        <v>2075</v>
      </c>
      <c r="D12771" s="4">
        <f>DATE(2011,9,26)</f>
        <v>40812</v>
      </c>
      <c r="E12771" s="5">
        <f t="shared" si="211"/>
        <v>2011</v>
      </c>
      <c r="F12771" s="3" t="s">
        <v>2076</v>
      </c>
      <c r="G12771" s="6">
        <v>7549.79</v>
      </c>
      <c r="H12771" s="5">
        <v>4565</v>
      </c>
    </row>
    <row r="12772" spans="2:8" x14ac:dyDescent="0.4">
      <c r="B12772" s="3" t="s">
        <v>7</v>
      </c>
      <c r="C12772" s="3" t="s">
        <v>2075</v>
      </c>
      <c r="D12772" s="4">
        <f>DATE(2011,12,9)</f>
        <v>40886</v>
      </c>
      <c r="E12772" s="5">
        <f t="shared" si="211"/>
        <v>2011</v>
      </c>
      <c r="F12772" s="3" t="s">
        <v>2076</v>
      </c>
      <c r="G12772" s="6">
        <v>4544.3900000000003</v>
      </c>
      <c r="H12772" s="5">
        <v>4723</v>
      </c>
    </row>
    <row r="12773" spans="2:8" x14ac:dyDescent="0.4">
      <c r="B12773" s="3" t="s">
        <v>7</v>
      </c>
      <c r="C12773" s="3" t="s">
        <v>2075</v>
      </c>
      <c r="D12773" s="4">
        <f>DATE(2011,12,6)</f>
        <v>40883</v>
      </c>
      <c r="E12773" s="5">
        <f t="shared" si="211"/>
        <v>2011</v>
      </c>
      <c r="F12773" s="3" t="s">
        <v>2076</v>
      </c>
      <c r="G12773" s="6">
        <v>1644.98</v>
      </c>
      <c r="H12773" s="5">
        <v>4751</v>
      </c>
    </row>
    <row r="12774" spans="2:8" x14ac:dyDescent="0.4">
      <c r="B12774" s="3" t="s">
        <v>7</v>
      </c>
      <c r="C12774" s="3" t="s">
        <v>2075</v>
      </c>
      <c r="D12774" s="4">
        <f>DATE(2012,4,18)</f>
        <v>41017</v>
      </c>
      <c r="E12774" s="5">
        <f t="shared" si="211"/>
        <v>2012</v>
      </c>
      <c r="F12774" s="3" t="s">
        <v>2076</v>
      </c>
      <c r="G12774" s="6">
        <v>2008.9</v>
      </c>
      <c r="H12774" s="5">
        <v>5002</v>
      </c>
    </row>
    <row r="12775" spans="2:8" x14ac:dyDescent="0.4">
      <c r="B12775" s="3" t="s">
        <v>7</v>
      </c>
      <c r="C12775" s="3" t="s">
        <v>2075</v>
      </c>
      <c r="D12775" s="4">
        <f>DATE(2012,4,26)</f>
        <v>41025</v>
      </c>
      <c r="E12775" s="5">
        <f t="shared" si="211"/>
        <v>2012</v>
      </c>
      <c r="F12775" s="3" t="s">
        <v>2076</v>
      </c>
      <c r="G12775" s="6">
        <v>1875.98</v>
      </c>
      <c r="H12775" s="5">
        <v>4998</v>
      </c>
    </row>
    <row r="12776" spans="2:8" x14ac:dyDescent="0.4">
      <c r="B12776" s="3" t="s">
        <v>7</v>
      </c>
      <c r="C12776" s="3" t="s">
        <v>2075</v>
      </c>
      <c r="D12776" s="4">
        <f>DATE(2013,6,11)</f>
        <v>41436</v>
      </c>
      <c r="E12776" s="5">
        <f t="shared" si="211"/>
        <v>2013</v>
      </c>
      <c r="F12776" s="3" t="s">
        <v>2076</v>
      </c>
      <c r="G12776" s="6">
        <v>4524.17</v>
      </c>
      <c r="H12776" s="5">
        <v>5601</v>
      </c>
    </row>
    <row r="12777" spans="2:8" x14ac:dyDescent="0.4">
      <c r="B12777" s="3" t="s">
        <v>7</v>
      </c>
      <c r="C12777" s="3" t="s">
        <v>2075</v>
      </c>
      <c r="D12777" s="4">
        <f>DATE(2014,5,23)</f>
        <v>41782</v>
      </c>
      <c r="E12777" s="5">
        <f t="shared" si="211"/>
        <v>2014</v>
      </c>
      <c r="F12777" s="3" t="s">
        <v>2076</v>
      </c>
      <c r="G12777" s="6">
        <v>2740</v>
      </c>
      <c r="H12777" s="5">
        <v>6203</v>
      </c>
    </row>
    <row r="12778" spans="2:8" x14ac:dyDescent="0.4">
      <c r="B12778" s="3" t="s">
        <v>7</v>
      </c>
      <c r="C12778" s="3" t="s">
        <v>2075</v>
      </c>
      <c r="D12778" s="4">
        <f>DATE(2014,12,11)</f>
        <v>41984</v>
      </c>
      <c r="E12778" s="5">
        <f t="shared" si="211"/>
        <v>2014</v>
      </c>
      <c r="F12778" s="3" t="s">
        <v>2076</v>
      </c>
      <c r="G12778" s="6">
        <v>4054</v>
      </c>
      <c r="H12778" s="5">
        <v>6501</v>
      </c>
    </row>
    <row r="12779" spans="2:8" x14ac:dyDescent="0.4">
      <c r="B12779" s="3" t="s">
        <v>7</v>
      </c>
      <c r="C12779" s="3" t="s">
        <v>2075</v>
      </c>
      <c r="D12779" s="4">
        <f>DATE(2014,12,11)</f>
        <v>41984</v>
      </c>
      <c r="E12779" s="5">
        <f t="shared" si="211"/>
        <v>2014</v>
      </c>
      <c r="F12779" s="3" t="s">
        <v>2076</v>
      </c>
      <c r="G12779" s="6">
        <v>2048.8000000000002</v>
      </c>
      <c r="H12779" s="5">
        <v>6504</v>
      </c>
    </row>
    <row r="12780" spans="2:8" x14ac:dyDescent="0.4">
      <c r="B12780" s="3" t="s">
        <v>16</v>
      </c>
      <c r="C12780" s="3" t="s">
        <v>2075</v>
      </c>
      <c r="D12780" s="4">
        <f>DATE(2010,5,20)</f>
        <v>40318</v>
      </c>
      <c r="E12780" s="5">
        <f t="shared" si="211"/>
        <v>2010</v>
      </c>
      <c r="F12780" s="3" t="s">
        <v>2076</v>
      </c>
      <c r="G12780" s="6">
        <v>1473.02</v>
      </c>
      <c r="H12780" s="5">
        <v>3968</v>
      </c>
    </row>
    <row r="12781" spans="2:8" x14ac:dyDescent="0.4">
      <c r="B12781" s="3" t="s">
        <v>7</v>
      </c>
      <c r="C12781" s="3" t="s">
        <v>2075</v>
      </c>
      <c r="D12781" s="4">
        <f>DATE(2003,3,20)</f>
        <v>37700</v>
      </c>
      <c r="E12781" s="5">
        <f t="shared" si="211"/>
        <v>2003</v>
      </c>
      <c r="F12781" s="3" t="s">
        <v>2076</v>
      </c>
      <c r="G12781" s="6">
        <v>8995.18</v>
      </c>
      <c r="H12781" s="5">
        <v>504</v>
      </c>
    </row>
    <row r="12782" spans="2:8" x14ac:dyDescent="0.4">
      <c r="B12782" s="3" t="s">
        <v>7</v>
      </c>
      <c r="C12782" s="3" t="s">
        <v>2075</v>
      </c>
      <c r="D12782" s="4">
        <f>DATE(2003,3,21)</f>
        <v>37701</v>
      </c>
      <c r="E12782" s="5">
        <f t="shared" si="211"/>
        <v>2003</v>
      </c>
      <c r="F12782" s="3" t="s">
        <v>2076</v>
      </c>
      <c r="G12782" s="6">
        <v>42568.75</v>
      </c>
      <c r="H12782" s="5">
        <v>517</v>
      </c>
    </row>
    <row r="12783" spans="2:8" x14ac:dyDescent="0.4">
      <c r="B12783" s="3" t="s">
        <v>7</v>
      </c>
      <c r="C12783" s="3" t="s">
        <v>2075</v>
      </c>
      <c r="D12783" s="4">
        <f>DATE(2003,3,21)</f>
        <v>37701</v>
      </c>
      <c r="E12783" s="5">
        <f t="shared" si="211"/>
        <v>2003</v>
      </c>
      <c r="F12783" s="3" t="s">
        <v>2076</v>
      </c>
      <c r="G12783" s="6">
        <v>1617.5</v>
      </c>
      <c r="H12783" s="5">
        <v>583</v>
      </c>
    </row>
    <row r="12784" spans="2:8" x14ac:dyDescent="0.4">
      <c r="B12784" s="3" t="s">
        <v>7</v>
      </c>
      <c r="C12784" s="3" t="s">
        <v>2075</v>
      </c>
      <c r="D12784" s="4">
        <f>DATE(2003,3,25)</f>
        <v>37705</v>
      </c>
      <c r="E12784" s="5">
        <f t="shared" si="211"/>
        <v>2003</v>
      </c>
      <c r="F12784" s="3" t="s">
        <v>2076</v>
      </c>
      <c r="G12784" s="6">
        <v>7519.9</v>
      </c>
      <c r="H12784" s="5">
        <v>552</v>
      </c>
    </row>
    <row r="12785" spans="2:8" x14ac:dyDescent="0.4">
      <c r="B12785" s="3" t="s">
        <v>7</v>
      </c>
      <c r="C12785" s="3" t="s">
        <v>2075</v>
      </c>
      <c r="D12785" s="4">
        <f>DATE(2003,4,2)</f>
        <v>37713</v>
      </c>
      <c r="E12785" s="5">
        <f t="shared" si="211"/>
        <v>2003</v>
      </c>
      <c r="F12785" s="3" t="s">
        <v>2076</v>
      </c>
      <c r="G12785" s="6">
        <v>44773.74</v>
      </c>
      <c r="H12785" s="5">
        <v>517</v>
      </c>
    </row>
    <row r="12786" spans="2:8" x14ac:dyDescent="0.4">
      <c r="B12786" s="3" t="s">
        <v>7</v>
      </c>
      <c r="C12786" s="3" t="s">
        <v>2075</v>
      </c>
      <c r="D12786" s="4">
        <f>DATE(2003,4,16)</f>
        <v>37727</v>
      </c>
      <c r="E12786" s="5">
        <f t="shared" si="211"/>
        <v>2003</v>
      </c>
      <c r="F12786" s="3" t="s">
        <v>2076</v>
      </c>
      <c r="G12786" s="6">
        <v>4828.7</v>
      </c>
      <c r="H12786" s="5">
        <v>710</v>
      </c>
    </row>
    <row r="12787" spans="2:8" x14ac:dyDescent="0.4">
      <c r="B12787" s="3" t="s">
        <v>7</v>
      </c>
      <c r="C12787" s="3" t="s">
        <v>2075</v>
      </c>
      <c r="D12787" s="4">
        <f>DATE(2003,4,16)</f>
        <v>37727</v>
      </c>
      <c r="E12787" s="5">
        <f t="shared" si="211"/>
        <v>2003</v>
      </c>
      <c r="F12787" s="3" t="s">
        <v>2076</v>
      </c>
      <c r="G12787" s="6">
        <v>1317.5</v>
      </c>
      <c r="H12787" s="5">
        <v>755</v>
      </c>
    </row>
    <row r="12788" spans="2:8" x14ac:dyDescent="0.4">
      <c r="B12788" s="3" t="s">
        <v>7</v>
      </c>
      <c r="C12788" s="3" t="s">
        <v>2075</v>
      </c>
      <c r="D12788" s="4">
        <f>DATE(2003,4,24)</f>
        <v>37735</v>
      </c>
      <c r="E12788" s="5">
        <f t="shared" si="211"/>
        <v>2003</v>
      </c>
      <c r="F12788" s="3" t="s">
        <v>2076</v>
      </c>
      <c r="G12788" s="6">
        <v>1617.5</v>
      </c>
      <c r="H12788" s="5">
        <v>818</v>
      </c>
    </row>
    <row r="12789" spans="2:8" x14ac:dyDescent="0.4">
      <c r="B12789" s="3" t="s">
        <v>7</v>
      </c>
      <c r="C12789" s="3" t="s">
        <v>2075</v>
      </c>
      <c r="D12789" s="4">
        <f>DATE(2003,4,30)</f>
        <v>37741</v>
      </c>
      <c r="E12789" s="5">
        <f t="shared" si="211"/>
        <v>2003</v>
      </c>
      <c r="F12789" s="3" t="s">
        <v>2076</v>
      </c>
      <c r="G12789" s="6">
        <v>2067.5</v>
      </c>
      <c r="H12789" s="5">
        <v>849</v>
      </c>
    </row>
    <row r="12790" spans="2:8" x14ac:dyDescent="0.4">
      <c r="B12790" s="3" t="s">
        <v>7</v>
      </c>
      <c r="C12790" s="3" t="s">
        <v>2075</v>
      </c>
      <c r="D12790" s="4">
        <f>DATE(2003,4,30)</f>
        <v>37741</v>
      </c>
      <c r="E12790" s="5">
        <f t="shared" si="211"/>
        <v>2003</v>
      </c>
      <c r="F12790" s="3" t="s">
        <v>2076</v>
      </c>
      <c r="G12790" s="6">
        <v>1917.5</v>
      </c>
      <c r="H12790" s="5">
        <v>857</v>
      </c>
    </row>
    <row r="12791" spans="2:8" x14ac:dyDescent="0.4">
      <c r="B12791" s="3" t="s">
        <v>7</v>
      </c>
      <c r="C12791" s="3" t="s">
        <v>2075</v>
      </c>
      <c r="D12791" s="4">
        <f>DATE(2003,5,14)</f>
        <v>37755</v>
      </c>
      <c r="E12791" s="5">
        <f t="shared" si="211"/>
        <v>2003</v>
      </c>
      <c r="F12791" s="3" t="s">
        <v>2076</v>
      </c>
      <c r="G12791" s="6">
        <v>7609.12</v>
      </c>
      <c r="H12791" s="5">
        <v>934</v>
      </c>
    </row>
    <row r="12792" spans="2:8" x14ac:dyDescent="0.4">
      <c r="B12792" s="3" t="s">
        <v>7</v>
      </c>
      <c r="C12792" s="3" t="s">
        <v>2075</v>
      </c>
      <c r="D12792" s="4">
        <f>DATE(2003,5,20)</f>
        <v>37761</v>
      </c>
      <c r="E12792" s="5">
        <f t="shared" si="211"/>
        <v>2003</v>
      </c>
      <c r="F12792" s="3" t="s">
        <v>2076</v>
      </c>
      <c r="G12792" s="6">
        <v>7476.74</v>
      </c>
      <c r="H12792" s="5">
        <v>954</v>
      </c>
    </row>
    <row r="12793" spans="2:8" x14ac:dyDescent="0.4">
      <c r="B12793" s="3" t="s">
        <v>7</v>
      </c>
      <c r="C12793" s="3" t="s">
        <v>2075</v>
      </c>
      <c r="D12793" s="4">
        <f>DATE(2003,5,20)</f>
        <v>37761</v>
      </c>
      <c r="E12793" s="5">
        <f t="shared" si="211"/>
        <v>2003</v>
      </c>
      <c r="F12793" s="3" t="s">
        <v>2076</v>
      </c>
      <c r="G12793" s="6">
        <v>17126.38</v>
      </c>
      <c r="H12793" s="5">
        <v>915</v>
      </c>
    </row>
    <row r="12794" spans="2:8" x14ac:dyDescent="0.4">
      <c r="B12794" s="3" t="s">
        <v>7</v>
      </c>
      <c r="C12794" s="3" t="s">
        <v>2075</v>
      </c>
      <c r="D12794" s="4">
        <f>DATE(2003,5,21)</f>
        <v>37762</v>
      </c>
      <c r="E12794" s="5">
        <f t="shared" si="211"/>
        <v>2003</v>
      </c>
      <c r="F12794" s="3" t="s">
        <v>2076</v>
      </c>
      <c r="G12794" s="6">
        <v>9306.68</v>
      </c>
      <c r="H12794" s="5">
        <v>974</v>
      </c>
    </row>
    <row r="12795" spans="2:8" x14ac:dyDescent="0.4">
      <c r="B12795" s="3" t="s">
        <v>7</v>
      </c>
      <c r="C12795" s="3" t="s">
        <v>2075</v>
      </c>
      <c r="D12795" s="4">
        <f>DATE(2003,5,23)</f>
        <v>37764</v>
      </c>
      <c r="E12795" s="5">
        <f t="shared" si="211"/>
        <v>2003</v>
      </c>
      <c r="F12795" s="3" t="s">
        <v>2076</v>
      </c>
      <c r="G12795" s="6">
        <v>784.5</v>
      </c>
      <c r="H12795" s="5">
        <v>890</v>
      </c>
    </row>
    <row r="12796" spans="2:8" x14ac:dyDescent="0.4">
      <c r="B12796" s="3" t="s">
        <v>7</v>
      </c>
      <c r="C12796" s="3" t="s">
        <v>2075</v>
      </c>
      <c r="D12796" s="4">
        <f>DATE(2003,5,20)</f>
        <v>37761</v>
      </c>
      <c r="E12796" s="5">
        <f t="shared" si="211"/>
        <v>2003</v>
      </c>
      <c r="F12796" s="3" t="s">
        <v>2076</v>
      </c>
      <c r="G12796" s="6">
        <v>229.2</v>
      </c>
      <c r="H12796" s="5">
        <v>1029</v>
      </c>
    </row>
    <row r="12797" spans="2:8" x14ac:dyDescent="0.4">
      <c r="B12797" s="3" t="s">
        <v>7</v>
      </c>
      <c r="C12797" s="3" t="s">
        <v>2075</v>
      </c>
      <c r="D12797" s="4">
        <f>DATE(2003,6,9)</f>
        <v>37781</v>
      </c>
      <c r="E12797" s="5">
        <f t="shared" si="211"/>
        <v>2003</v>
      </c>
      <c r="F12797" s="3" t="s">
        <v>2076</v>
      </c>
      <c r="G12797" s="6">
        <v>16400</v>
      </c>
      <c r="H12797" s="5">
        <v>1083</v>
      </c>
    </row>
    <row r="12798" spans="2:8" x14ac:dyDescent="0.4">
      <c r="B12798" s="3" t="s">
        <v>7</v>
      </c>
      <c r="C12798" s="3" t="s">
        <v>2075</v>
      </c>
      <c r="D12798" s="4">
        <f>DATE(2003,6,11)</f>
        <v>37783</v>
      </c>
      <c r="E12798" s="5">
        <f t="shared" si="211"/>
        <v>2003</v>
      </c>
      <c r="F12798" s="3" t="s">
        <v>2076</v>
      </c>
      <c r="G12798" s="6">
        <v>4967.28</v>
      </c>
      <c r="H12798" s="5">
        <v>1052</v>
      </c>
    </row>
    <row r="12799" spans="2:8" x14ac:dyDescent="0.4">
      <c r="B12799" s="3" t="s">
        <v>7</v>
      </c>
      <c r="C12799" s="3" t="s">
        <v>2075</v>
      </c>
      <c r="D12799" s="4">
        <f>DATE(2003,6,13)</f>
        <v>37785</v>
      </c>
      <c r="E12799" s="5">
        <f t="shared" si="211"/>
        <v>2003</v>
      </c>
      <c r="F12799" s="3" t="s">
        <v>2076</v>
      </c>
      <c r="G12799" s="6">
        <v>1958.5</v>
      </c>
      <c r="H12799" s="5">
        <v>1112</v>
      </c>
    </row>
    <row r="12800" spans="2:8" x14ac:dyDescent="0.4">
      <c r="B12800" s="3" t="s">
        <v>7</v>
      </c>
      <c r="C12800" s="3" t="s">
        <v>2075</v>
      </c>
      <c r="D12800" s="4">
        <f>DATE(2003,6,13)</f>
        <v>37785</v>
      </c>
      <c r="E12800" s="5">
        <f t="shared" si="211"/>
        <v>2003</v>
      </c>
      <c r="F12800" s="3" t="s">
        <v>2076</v>
      </c>
      <c r="G12800" s="6">
        <v>7611.76</v>
      </c>
      <c r="H12800" s="5">
        <v>1115</v>
      </c>
    </row>
    <row r="12801" spans="2:8" x14ac:dyDescent="0.4">
      <c r="B12801" s="3" t="s">
        <v>7</v>
      </c>
      <c r="C12801" s="3" t="s">
        <v>2075</v>
      </c>
      <c r="D12801" s="4">
        <f>DATE(2003,6,19)</f>
        <v>37791</v>
      </c>
      <c r="E12801" s="5">
        <f t="shared" si="211"/>
        <v>2003</v>
      </c>
      <c r="F12801" s="3" t="s">
        <v>2076</v>
      </c>
      <c r="G12801" s="6">
        <v>6206.88</v>
      </c>
      <c r="H12801" s="5">
        <v>1055</v>
      </c>
    </row>
    <row r="12802" spans="2:8" x14ac:dyDescent="0.4">
      <c r="B12802" s="3" t="s">
        <v>7</v>
      </c>
      <c r="C12802" s="3" t="s">
        <v>2075</v>
      </c>
      <c r="D12802" s="4">
        <f>DATE(2003,6,24)</f>
        <v>37796</v>
      </c>
      <c r="E12802" s="5">
        <f t="shared" si="211"/>
        <v>2003</v>
      </c>
      <c r="F12802" s="3" t="s">
        <v>2076</v>
      </c>
      <c r="G12802" s="6">
        <v>4704.6499999999996</v>
      </c>
      <c r="H12802" s="5">
        <v>1148</v>
      </c>
    </row>
    <row r="12803" spans="2:8" x14ac:dyDescent="0.4">
      <c r="B12803" s="3" t="s">
        <v>7</v>
      </c>
      <c r="C12803" s="3" t="s">
        <v>2075</v>
      </c>
      <c r="D12803" s="4">
        <f>DATE(2003,7,2)</f>
        <v>37804</v>
      </c>
      <c r="E12803" s="5">
        <f t="shared" ref="E12803:E12866" si="212">YEAR(D12803)</f>
        <v>2003</v>
      </c>
      <c r="F12803" s="3" t="s">
        <v>2076</v>
      </c>
      <c r="G12803" s="6">
        <v>7428.19</v>
      </c>
      <c r="H12803" s="5">
        <v>1168</v>
      </c>
    </row>
    <row r="12804" spans="2:8" x14ac:dyDescent="0.4">
      <c r="B12804" s="3" t="s">
        <v>7</v>
      </c>
      <c r="C12804" s="3" t="s">
        <v>2075</v>
      </c>
      <c r="D12804" s="4">
        <f>DATE(2003,7,9)</f>
        <v>37811</v>
      </c>
      <c r="E12804" s="5">
        <f t="shared" si="212"/>
        <v>2003</v>
      </c>
      <c r="F12804" s="3" t="s">
        <v>2076</v>
      </c>
      <c r="G12804" s="6">
        <v>282</v>
      </c>
      <c r="H12804" s="5">
        <v>1196</v>
      </c>
    </row>
    <row r="12805" spans="2:8" x14ac:dyDescent="0.4">
      <c r="B12805" s="3" t="s">
        <v>7</v>
      </c>
      <c r="C12805" s="3" t="s">
        <v>2075</v>
      </c>
      <c r="D12805" s="4">
        <f>DATE(2003,7,16)</f>
        <v>37818</v>
      </c>
      <c r="E12805" s="5">
        <f t="shared" si="212"/>
        <v>2003</v>
      </c>
      <c r="F12805" s="3" t="s">
        <v>2076</v>
      </c>
      <c r="G12805" s="6">
        <v>1617.5</v>
      </c>
      <c r="H12805" s="5">
        <v>1206</v>
      </c>
    </row>
    <row r="12806" spans="2:8" x14ac:dyDescent="0.4">
      <c r="B12806" s="3" t="s">
        <v>7</v>
      </c>
      <c r="C12806" s="3" t="s">
        <v>2075</v>
      </c>
      <c r="D12806" s="4">
        <f>DATE(2003,8,18)</f>
        <v>37851</v>
      </c>
      <c r="E12806" s="5">
        <f t="shared" si="212"/>
        <v>2003</v>
      </c>
      <c r="F12806" s="3" t="s">
        <v>2076</v>
      </c>
      <c r="G12806" s="6">
        <v>12333.42</v>
      </c>
      <c r="H12806" s="5">
        <v>1355</v>
      </c>
    </row>
    <row r="12807" spans="2:8" x14ac:dyDescent="0.4">
      <c r="B12807" s="3" t="s">
        <v>7</v>
      </c>
      <c r="C12807" s="3" t="s">
        <v>2075</v>
      </c>
      <c r="D12807" s="4">
        <f>DATE(2003,8,19)</f>
        <v>37852</v>
      </c>
      <c r="E12807" s="5">
        <f t="shared" si="212"/>
        <v>2003</v>
      </c>
      <c r="F12807" s="3" t="s">
        <v>2076</v>
      </c>
      <c r="G12807" s="6">
        <v>25659.48</v>
      </c>
      <c r="H12807" s="5">
        <v>1342</v>
      </c>
    </row>
    <row r="12808" spans="2:8" x14ac:dyDescent="0.4">
      <c r="B12808" s="3" t="s">
        <v>7</v>
      </c>
      <c r="C12808" s="3" t="s">
        <v>2075</v>
      </c>
      <c r="D12808" s="4">
        <f>DATE(2003,8,19)</f>
        <v>37852</v>
      </c>
      <c r="E12808" s="5">
        <f t="shared" si="212"/>
        <v>2003</v>
      </c>
      <c r="F12808" s="3" t="s">
        <v>2076</v>
      </c>
      <c r="G12808" s="6">
        <v>4448.38</v>
      </c>
      <c r="H12808" s="5">
        <v>1354</v>
      </c>
    </row>
    <row r="12809" spans="2:8" x14ac:dyDescent="0.4">
      <c r="B12809" s="3" t="s">
        <v>7</v>
      </c>
      <c r="C12809" s="3" t="s">
        <v>2075</v>
      </c>
      <c r="D12809" s="4">
        <f>DATE(2003,8,20)</f>
        <v>37853</v>
      </c>
      <c r="E12809" s="5">
        <f t="shared" si="212"/>
        <v>2003</v>
      </c>
      <c r="F12809" s="3" t="s">
        <v>2076</v>
      </c>
      <c r="G12809" s="6">
        <v>1467.5</v>
      </c>
      <c r="H12809" s="5">
        <v>1356</v>
      </c>
    </row>
    <row r="12810" spans="2:8" x14ac:dyDescent="0.4">
      <c r="B12810" s="3" t="s">
        <v>7</v>
      </c>
      <c r="C12810" s="3" t="s">
        <v>2075</v>
      </c>
      <c r="D12810" s="4">
        <f>DATE(2003,8,22)</f>
        <v>37855</v>
      </c>
      <c r="E12810" s="5">
        <f t="shared" si="212"/>
        <v>2003</v>
      </c>
      <c r="F12810" s="3" t="s">
        <v>2076</v>
      </c>
      <c r="G12810" s="6">
        <v>4666.3100000000004</v>
      </c>
      <c r="H12810" s="5">
        <v>1388</v>
      </c>
    </row>
    <row r="12811" spans="2:8" x14ac:dyDescent="0.4">
      <c r="B12811" s="3" t="s">
        <v>7</v>
      </c>
      <c r="C12811" s="3" t="s">
        <v>2075</v>
      </c>
      <c r="D12811" s="4">
        <f>DATE(2003,8,29)</f>
        <v>37862</v>
      </c>
      <c r="E12811" s="5">
        <f t="shared" si="212"/>
        <v>2003</v>
      </c>
      <c r="F12811" s="3" t="s">
        <v>2076</v>
      </c>
      <c r="G12811" s="6">
        <v>5026.13</v>
      </c>
      <c r="H12811" s="5">
        <v>1421</v>
      </c>
    </row>
    <row r="12812" spans="2:8" x14ac:dyDescent="0.4">
      <c r="B12812" s="3" t="s">
        <v>7</v>
      </c>
      <c r="C12812" s="3" t="s">
        <v>2075</v>
      </c>
      <c r="D12812" s="4">
        <f>DATE(2003,9,3)</f>
        <v>37867</v>
      </c>
      <c r="E12812" s="5">
        <f t="shared" si="212"/>
        <v>2003</v>
      </c>
      <c r="F12812" s="3" t="s">
        <v>2076</v>
      </c>
      <c r="G12812" s="6">
        <v>1242.5</v>
      </c>
      <c r="H12812" s="5">
        <v>1443</v>
      </c>
    </row>
    <row r="12813" spans="2:8" x14ac:dyDescent="0.4">
      <c r="B12813" s="3" t="s">
        <v>7</v>
      </c>
      <c r="C12813" s="3" t="s">
        <v>2075</v>
      </c>
      <c r="D12813" s="4">
        <f>DATE(2003,9,9)</f>
        <v>37873</v>
      </c>
      <c r="E12813" s="5">
        <f t="shared" si="212"/>
        <v>2003</v>
      </c>
      <c r="F12813" s="3" t="s">
        <v>2076</v>
      </c>
      <c r="G12813" s="6">
        <v>882.5</v>
      </c>
      <c r="H12813" s="5">
        <v>1475</v>
      </c>
    </row>
    <row r="12814" spans="2:8" x14ac:dyDescent="0.4">
      <c r="B12814" s="3" t="s">
        <v>7</v>
      </c>
      <c r="C12814" s="3" t="s">
        <v>2075</v>
      </c>
      <c r="D12814" s="4">
        <f>DATE(2003,9,11)</f>
        <v>37875</v>
      </c>
      <c r="E12814" s="5">
        <f t="shared" si="212"/>
        <v>2003</v>
      </c>
      <c r="F12814" s="3" t="s">
        <v>2076</v>
      </c>
      <c r="G12814" s="6">
        <v>7979.33</v>
      </c>
      <c r="H12814" s="5">
        <v>1496</v>
      </c>
    </row>
    <row r="12815" spans="2:8" x14ac:dyDescent="0.4">
      <c r="B12815" s="3" t="s">
        <v>7</v>
      </c>
      <c r="C12815" s="3" t="s">
        <v>2075</v>
      </c>
      <c r="D12815" s="4">
        <f>DATE(2003,9,16)</f>
        <v>37880</v>
      </c>
      <c r="E12815" s="5">
        <f t="shared" si="212"/>
        <v>2003</v>
      </c>
      <c r="F12815" s="3" t="s">
        <v>2076</v>
      </c>
      <c r="G12815" s="6">
        <v>7986.74</v>
      </c>
      <c r="H12815" s="5">
        <v>1389</v>
      </c>
    </row>
    <row r="12816" spans="2:8" x14ac:dyDescent="0.4">
      <c r="B12816" s="3" t="s">
        <v>7</v>
      </c>
      <c r="C12816" s="3" t="s">
        <v>2075</v>
      </c>
      <c r="D12816" s="4">
        <f>DATE(2003,9,16)</f>
        <v>37880</v>
      </c>
      <c r="E12816" s="5">
        <f t="shared" si="212"/>
        <v>2003</v>
      </c>
      <c r="F12816" s="3" t="s">
        <v>2076</v>
      </c>
      <c r="G12816" s="6">
        <v>272.5</v>
      </c>
      <c r="H12816" s="5">
        <v>1522</v>
      </c>
    </row>
    <row r="12817" spans="2:8" x14ac:dyDescent="0.4">
      <c r="B12817" s="3" t="s">
        <v>7</v>
      </c>
      <c r="C12817" s="3" t="s">
        <v>2075</v>
      </c>
      <c r="D12817" s="4">
        <f>DATE(2003,9,19)</f>
        <v>37883</v>
      </c>
      <c r="E12817" s="5">
        <f t="shared" si="212"/>
        <v>2003</v>
      </c>
      <c r="F12817" s="3" t="s">
        <v>2076</v>
      </c>
      <c r="G12817" s="6">
        <v>15132.01</v>
      </c>
      <c r="H12817" s="5">
        <v>1442</v>
      </c>
    </row>
    <row r="12818" spans="2:8" x14ac:dyDescent="0.4">
      <c r="B12818" s="3" t="s">
        <v>7</v>
      </c>
      <c r="C12818" s="3" t="s">
        <v>2075</v>
      </c>
      <c r="D12818" s="4">
        <f>DATE(2003,10,17)</f>
        <v>37911</v>
      </c>
      <c r="E12818" s="5">
        <f t="shared" si="212"/>
        <v>2003</v>
      </c>
      <c r="F12818" s="3" t="s">
        <v>2076</v>
      </c>
      <c r="G12818" s="6">
        <v>674.11</v>
      </c>
      <c r="H12818" s="5">
        <v>1674</v>
      </c>
    </row>
    <row r="12819" spans="2:8" x14ac:dyDescent="0.4">
      <c r="B12819" s="3" t="s">
        <v>7</v>
      </c>
      <c r="C12819" s="3" t="s">
        <v>2075</v>
      </c>
      <c r="D12819" s="4">
        <f>DATE(2003,10,22)</f>
        <v>37916</v>
      </c>
      <c r="E12819" s="5">
        <f t="shared" si="212"/>
        <v>2003</v>
      </c>
      <c r="F12819" s="3" t="s">
        <v>2076</v>
      </c>
      <c r="G12819" s="6">
        <v>11775.14</v>
      </c>
      <c r="H12819" s="5">
        <v>1645</v>
      </c>
    </row>
    <row r="12820" spans="2:8" x14ac:dyDescent="0.4">
      <c r="B12820" s="3" t="s">
        <v>7</v>
      </c>
      <c r="C12820" s="3" t="s">
        <v>2075</v>
      </c>
      <c r="D12820" s="4">
        <f>DATE(2003,11,4)</f>
        <v>37929</v>
      </c>
      <c r="E12820" s="5">
        <f t="shared" si="212"/>
        <v>2003</v>
      </c>
      <c r="F12820" s="3" t="s">
        <v>2076</v>
      </c>
      <c r="G12820" s="6">
        <v>5771.5</v>
      </c>
      <c r="H12820" s="5">
        <v>1727</v>
      </c>
    </row>
    <row r="12821" spans="2:8" x14ac:dyDescent="0.4">
      <c r="B12821" s="3" t="s">
        <v>7</v>
      </c>
      <c r="C12821" s="3" t="s">
        <v>2075</v>
      </c>
      <c r="D12821" s="4">
        <f>DATE(2003,11,18)</f>
        <v>37943</v>
      </c>
      <c r="E12821" s="5">
        <f t="shared" si="212"/>
        <v>2003</v>
      </c>
      <c r="F12821" s="3" t="s">
        <v>2076</v>
      </c>
      <c r="G12821" s="6">
        <v>892.5</v>
      </c>
      <c r="H12821" s="5">
        <v>1780</v>
      </c>
    </row>
    <row r="12822" spans="2:8" x14ac:dyDescent="0.4">
      <c r="B12822" s="3" t="s">
        <v>7</v>
      </c>
      <c r="C12822" s="3" t="s">
        <v>2075</v>
      </c>
      <c r="D12822" s="4">
        <f>DATE(2003,12,16)</f>
        <v>37971</v>
      </c>
      <c r="E12822" s="5">
        <f t="shared" si="212"/>
        <v>2003</v>
      </c>
      <c r="F12822" s="3" t="s">
        <v>2076</v>
      </c>
      <c r="G12822" s="6">
        <v>4445.41</v>
      </c>
      <c r="H12822" s="5">
        <v>1875</v>
      </c>
    </row>
    <row r="12823" spans="2:8" x14ac:dyDescent="0.4">
      <c r="B12823" s="3" t="s">
        <v>7</v>
      </c>
      <c r="C12823" s="3" t="s">
        <v>2075</v>
      </c>
      <c r="D12823" s="4">
        <f>DATE(2003,12,17)</f>
        <v>37972</v>
      </c>
      <c r="E12823" s="5">
        <f t="shared" si="212"/>
        <v>2003</v>
      </c>
      <c r="F12823" s="3" t="s">
        <v>2076</v>
      </c>
      <c r="G12823" s="6">
        <v>481.5</v>
      </c>
      <c r="H12823" s="5">
        <v>1908</v>
      </c>
    </row>
    <row r="12824" spans="2:8" x14ac:dyDescent="0.4">
      <c r="B12824" s="3" t="s">
        <v>7</v>
      </c>
      <c r="C12824" s="3" t="s">
        <v>2075</v>
      </c>
      <c r="D12824" s="4">
        <f>DATE(2004,1,15)</f>
        <v>38001</v>
      </c>
      <c r="E12824" s="5">
        <f t="shared" si="212"/>
        <v>2004</v>
      </c>
      <c r="F12824" s="3" t="s">
        <v>2076</v>
      </c>
      <c r="G12824" s="6">
        <v>2541.96</v>
      </c>
      <c r="H12824" s="5">
        <v>1957</v>
      </c>
    </row>
    <row r="12825" spans="2:8" x14ac:dyDescent="0.4">
      <c r="B12825" s="3" t="s">
        <v>7</v>
      </c>
      <c r="C12825" s="3" t="s">
        <v>2075</v>
      </c>
      <c r="D12825" s="4">
        <f>DATE(2004,1,15)</f>
        <v>38001</v>
      </c>
      <c r="E12825" s="5">
        <f t="shared" si="212"/>
        <v>2004</v>
      </c>
      <c r="F12825" s="3" t="s">
        <v>2076</v>
      </c>
      <c r="G12825" s="6">
        <v>12492.58</v>
      </c>
      <c r="H12825" s="5">
        <v>1964</v>
      </c>
    </row>
    <row r="12826" spans="2:8" x14ac:dyDescent="0.4">
      <c r="B12826" s="3" t="s">
        <v>7</v>
      </c>
      <c r="C12826" s="3" t="s">
        <v>2075</v>
      </c>
      <c r="D12826" s="4">
        <f>DATE(2004,1,23)</f>
        <v>38009</v>
      </c>
      <c r="E12826" s="5">
        <f t="shared" si="212"/>
        <v>2004</v>
      </c>
      <c r="F12826" s="3" t="s">
        <v>2076</v>
      </c>
      <c r="G12826" s="6">
        <v>4706.22</v>
      </c>
      <c r="H12826" s="5">
        <v>1956</v>
      </c>
    </row>
    <row r="12827" spans="2:8" x14ac:dyDescent="0.4">
      <c r="B12827" s="3" t="s">
        <v>7</v>
      </c>
      <c r="C12827" s="3" t="s">
        <v>2075</v>
      </c>
      <c r="D12827" s="4">
        <f>DATE(2004,1,23)</f>
        <v>38009</v>
      </c>
      <c r="E12827" s="5">
        <f t="shared" si="212"/>
        <v>2004</v>
      </c>
      <c r="F12827" s="3" t="s">
        <v>2076</v>
      </c>
      <c r="G12827" s="6">
        <v>7190.58</v>
      </c>
      <c r="H12827" s="5">
        <v>2007</v>
      </c>
    </row>
    <row r="12828" spans="2:8" x14ac:dyDescent="0.4">
      <c r="B12828" s="3" t="s">
        <v>7</v>
      </c>
      <c r="C12828" s="3" t="s">
        <v>2075</v>
      </c>
      <c r="D12828" s="4">
        <f>DATE(2004,2,4)</f>
        <v>38021</v>
      </c>
      <c r="E12828" s="5">
        <f t="shared" si="212"/>
        <v>2004</v>
      </c>
      <c r="F12828" s="3" t="s">
        <v>2076</v>
      </c>
      <c r="G12828" s="6">
        <v>9959.58</v>
      </c>
      <c r="H12828" s="5">
        <v>1969</v>
      </c>
    </row>
    <row r="12829" spans="2:8" x14ac:dyDescent="0.4">
      <c r="B12829" s="3" t="s">
        <v>7</v>
      </c>
      <c r="C12829" s="3" t="s">
        <v>2075</v>
      </c>
      <c r="D12829" s="4">
        <f>DATE(2004,2,9)</f>
        <v>38026</v>
      </c>
      <c r="E12829" s="5">
        <f t="shared" si="212"/>
        <v>2004</v>
      </c>
      <c r="F12829" s="3" t="s">
        <v>2076</v>
      </c>
      <c r="G12829" s="6">
        <v>13397.78</v>
      </c>
      <c r="H12829" s="5">
        <v>2064</v>
      </c>
    </row>
    <row r="12830" spans="2:8" x14ac:dyDescent="0.4">
      <c r="B12830" s="3" t="s">
        <v>7</v>
      </c>
      <c r="C12830" s="3" t="s">
        <v>2075</v>
      </c>
      <c r="D12830" s="4">
        <f>DATE(2004,2,24)</f>
        <v>38041</v>
      </c>
      <c r="E12830" s="5">
        <f t="shared" si="212"/>
        <v>2004</v>
      </c>
      <c r="F12830" s="3" t="s">
        <v>2076</v>
      </c>
      <c r="G12830" s="6">
        <v>3614.76</v>
      </c>
      <c r="H12830" s="5">
        <v>2217</v>
      </c>
    </row>
    <row r="12831" spans="2:8" x14ac:dyDescent="0.4">
      <c r="B12831" s="3" t="s">
        <v>7</v>
      </c>
      <c r="C12831" s="3" t="s">
        <v>2075</v>
      </c>
      <c r="D12831" s="4">
        <f>DATE(2004,2,27)</f>
        <v>38044</v>
      </c>
      <c r="E12831" s="5">
        <f t="shared" si="212"/>
        <v>2004</v>
      </c>
      <c r="F12831" s="3" t="s">
        <v>2076</v>
      </c>
      <c r="G12831" s="6">
        <v>7457.65</v>
      </c>
      <c r="H12831" s="5">
        <v>2252</v>
      </c>
    </row>
    <row r="12832" spans="2:8" x14ac:dyDescent="0.4">
      <c r="B12832" s="3" t="s">
        <v>7</v>
      </c>
      <c r="C12832" s="3" t="s">
        <v>2075</v>
      </c>
      <c r="D12832" s="4">
        <f>DATE(2004,3,11)</f>
        <v>38057</v>
      </c>
      <c r="E12832" s="5">
        <f t="shared" si="212"/>
        <v>2004</v>
      </c>
      <c r="F12832" s="3" t="s">
        <v>2076</v>
      </c>
      <c r="G12832" s="6">
        <v>11906.33</v>
      </c>
      <c r="H12832" s="5">
        <v>2306</v>
      </c>
    </row>
    <row r="12833" spans="2:8" x14ac:dyDescent="0.4">
      <c r="B12833" s="3" t="s">
        <v>7</v>
      </c>
      <c r="C12833" s="3" t="s">
        <v>2075</v>
      </c>
      <c r="D12833" s="4">
        <f>DATE(2004,3,12)</f>
        <v>38058</v>
      </c>
      <c r="E12833" s="5">
        <f t="shared" si="212"/>
        <v>2004</v>
      </c>
      <c r="F12833" s="3" t="s">
        <v>2076</v>
      </c>
      <c r="G12833" s="6">
        <v>4340.8</v>
      </c>
      <c r="H12833" s="5">
        <v>2327</v>
      </c>
    </row>
    <row r="12834" spans="2:8" x14ac:dyDescent="0.4">
      <c r="B12834" s="3" t="s">
        <v>7</v>
      </c>
      <c r="C12834" s="3" t="s">
        <v>2075</v>
      </c>
      <c r="D12834" s="4">
        <f>DATE(2004,3,17)</f>
        <v>38063</v>
      </c>
      <c r="E12834" s="5">
        <f t="shared" si="212"/>
        <v>2004</v>
      </c>
      <c r="F12834" s="3" t="s">
        <v>2076</v>
      </c>
      <c r="G12834" s="6">
        <v>6145.38</v>
      </c>
      <c r="H12834" s="5">
        <v>2338</v>
      </c>
    </row>
    <row r="12835" spans="2:8" x14ac:dyDescent="0.4">
      <c r="B12835" s="3" t="s">
        <v>7</v>
      </c>
      <c r="C12835" s="3" t="s">
        <v>2075</v>
      </c>
      <c r="D12835" s="4">
        <f>DATE(2004,3,24)</f>
        <v>38070</v>
      </c>
      <c r="E12835" s="5">
        <f t="shared" si="212"/>
        <v>2004</v>
      </c>
      <c r="F12835" s="3" t="s">
        <v>2076</v>
      </c>
      <c r="G12835" s="6">
        <v>12906.33</v>
      </c>
      <c r="H12835" s="5">
        <v>2268</v>
      </c>
    </row>
    <row r="12836" spans="2:8" x14ac:dyDescent="0.4">
      <c r="B12836" s="3" t="s">
        <v>7</v>
      </c>
      <c r="C12836" s="3" t="s">
        <v>2075</v>
      </c>
      <c r="D12836" s="4">
        <f>DATE(2004,3,31)</f>
        <v>38077</v>
      </c>
      <c r="E12836" s="5">
        <f t="shared" si="212"/>
        <v>2004</v>
      </c>
      <c r="F12836" s="3" t="s">
        <v>2076</v>
      </c>
      <c r="G12836" s="6">
        <v>3191.89</v>
      </c>
      <c r="H12836" s="5">
        <v>2476</v>
      </c>
    </row>
    <row r="12837" spans="2:8" x14ac:dyDescent="0.4">
      <c r="B12837" s="3" t="s">
        <v>7</v>
      </c>
      <c r="C12837" s="3" t="s">
        <v>2075</v>
      </c>
      <c r="D12837" s="4">
        <f>DATE(2004,4,12)</f>
        <v>38089</v>
      </c>
      <c r="E12837" s="5">
        <f t="shared" si="212"/>
        <v>2004</v>
      </c>
      <c r="F12837" s="3" t="s">
        <v>2076</v>
      </c>
      <c r="G12837" s="6">
        <v>9866.58</v>
      </c>
      <c r="H12837" s="5">
        <v>2484</v>
      </c>
    </row>
    <row r="12838" spans="2:8" x14ac:dyDescent="0.4">
      <c r="B12838" s="3" t="s">
        <v>7</v>
      </c>
      <c r="C12838" s="3" t="s">
        <v>2075</v>
      </c>
      <c r="D12838" s="4">
        <f>DATE(2004,4,12)</f>
        <v>38089</v>
      </c>
      <c r="E12838" s="5">
        <f t="shared" si="212"/>
        <v>2004</v>
      </c>
      <c r="F12838" s="3" t="s">
        <v>2076</v>
      </c>
      <c r="G12838" s="6">
        <v>282.45</v>
      </c>
      <c r="H12838" s="5">
        <v>2521</v>
      </c>
    </row>
    <row r="12839" spans="2:8" x14ac:dyDescent="0.4">
      <c r="B12839" s="3" t="s">
        <v>7</v>
      </c>
      <c r="C12839" s="3" t="s">
        <v>2075</v>
      </c>
      <c r="D12839" s="4">
        <f>DATE(2004,4,13)</f>
        <v>38090</v>
      </c>
      <c r="E12839" s="5">
        <f t="shared" si="212"/>
        <v>2004</v>
      </c>
      <c r="F12839" s="3" t="s">
        <v>2076</v>
      </c>
      <c r="G12839" s="6">
        <v>2067.5</v>
      </c>
      <c r="H12839" s="5">
        <v>2627</v>
      </c>
    </row>
    <row r="12840" spans="2:8" x14ac:dyDescent="0.4">
      <c r="B12840" s="3" t="s">
        <v>7</v>
      </c>
      <c r="C12840" s="3" t="s">
        <v>2075</v>
      </c>
      <c r="D12840" s="4">
        <f>DATE(2004,4,15)</f>
        <v>38092</v>
      </c>
      <c r="E12840" s="5">
        <f t="shared" si="212"/>
        <v>2004</v>
      </c>
      <c r="F12840" s="3" t="s">
        <v>2076</v>
      </c>
      <c r="G12840" s="6">
        <v>4799.6000000000004</v>
      </c>
      <c r="H12840" s="5">
        <v>2573</v>
      </c>
    </row>
    <row r="12841" spans="2:8" x14ac:dyDescent="0.4">
      <c r="B12841" s="3" t="s">
        <v>7</v>
      </c>
      <c r="C12841" s="3" t="s">
        <v>2075</v>
      </c>
      <c r="D12841" s="4">
        <f>DATE(2004,4,27)</f>
        <v>38104</v>
      </c>
      <c r="E12841" s="5">
        <f t="shared" si="212"/>
        <v>2004</v>
      </c>
      <c r="F12841" s="3" t="s">
        <v>2076</v>
      </c>
      <c r="G12841" s="6">
        <v>3821.5</v>
      </c>
      <c r="H12841" s="5">
        <v>2697</v>
      </c>
    </row>
    <row r="12842" spans="2:8" x14ac:dyDescent="0.4">
      <c r="B12842" s="3" t="s">
        <v>7</v>
      </c>
      <c r="C12842" s="3" t="s">
        <v>2075</v>
      </c>
      <c r="D12842" s="4">
        <f>DATE(2004,5,4)</f>
        <v>38111</v>
      </c>
      <c r="E12842" s="5">
        <f t="shared" si="212"/>
        <v>2004</v>
      </c>
      <c r="F12842" s="3" t="s">
        <v>2076</v>
      </c>
      <c r="G12842" s="6">
        <v>2371.67</v>
      </c>
      <c r="H12842" s="5">
        <v>2752</v>
      </c>
    </row>
    <row r="12843" spans="2:8" x14ac:dyDescent="0.4">
      <c r="B12843" s="3" t="s">
        <v>7</v>
      </c>
      <c r="C12843" s="3" t="s">
        <v>2075</v>
      </c>
      <c r="D12843" s="4">
        <f>DATE(2004,5,7)</f>
        <v>38114</v>
      </c>
      <c r="E12843" s="5">
        <f t="shared" si="212"/>
        <v>2004</v>
      </c>
      <c r="F12843" s="3" t="s">
        <v>2076</v>
      </c>
      <c r="G12843" s="6">
        <v>9781.68</v>
      </c>
      <c r="H12843" s="5">
        <v>2768</v>
      </c>
    </row>
    <row r="12844" spans="2:8" x14ac:dyDescent="0.4">
      <c r="B12844" s="3" t="s">
        <v>7</v>
      </c>
      <c r="C12844" s="3" t="s">
        <v>2075</v>
      </c>
      <c r="D12844" s="4">
        <f>DATE(2004,5,12)</f>
        <v>38119</v>
      </c>
      <c r="E12844" s="5">
        <f t="shared" si="212"/>
        <v>2004</v>
      </c>
      <c r="F12844" s="3" t="s">
        <v>2076</v>
      </c>
      <c r="G12844" s="6">
        <v>7779.6</v>
      </c>
      <c r="H12844" s="5">
        <v>2769</v>
      </c>
    </row>
    <row r="12845" spans="2:8" x14ac:dyDescent="0.4">
      <c r="B12845" s="3" t="s">
        <v>7</v>
      </c>
      <c r="C12845" s="3" t="s">
        <v>2075</v>
      </c>
      <c r="D12845" s="4">
        <f>DATE(2004,5,18)</f>
        <v>38125</v>
      </c>
      <c r="E12845" s="5">
        <f t="shared" si="212"/>
        <v>2004</v>
      </c>
      <c r="F12845" s="3" t="s">
        <v>2076</v>
      </c>
      <c r="G12845" s="6">
        <v>2892.5</v>
      </c>
      <c r="H12845" s="5">
        <v>2889</v>
      </c>
    </row>
    <row r="12846" spans="2:8" x14ac:dyDescent="0.4">
      <c r="B12846" s="3" t="s">
        <v>7</v>
      </c>
      <c r="C12846" s="3" t="s">
        <v>2075</v>
      </c>
      <c r="D12846" s="4">
        <f>DATE(2004,5,19)</f>
        <v>38126</v>
      </c>
      <c r="E12846" s="5">
        <f t="shared" si="212"/>
        <v>2004</v>
      </c>
      <c r="F12846" s="3" t="s">
        <v>2076</v>
      </c>
      <c r="G12846" s="6">
        <v>8291.7000000000007</v>
      </c>
      <c r="H12846" s="5">
        <v>2770</v>
      </c>
    </row>
    <row r="12847" spans="2:8" x14ac:dyDescent="0.4">
      <c r="B12847" s="3" t="s">
        <v>7</v>
      </c>
      <c r="C12847" s="3" t="s">
        <v>2075</v>
      </c>
      <c r="D12847" s="4">
        <f>DATE(2004,5,27)</f>
        <v>38134</v>
      </c>
      <c r="E12847" s="5">
        <f t="shared" si="212"/>
        <v>2004</v>
      </c>
      <c r="F12847" s="3" t="s">
        <v>2076</v>
      </c>
      <c r="G12847" s="6">
        <v>14905.55</v>
      </c>
      <c r="H12847" s="5">
        <v>2900</v>
      </c>
    </row>
    <row r="12848" spans="2:8" x14ac:dyDescent="0.4">
      <c r="B12848" s="3" t="s">
        <v>7</v>
      </c>
      <c r="C12848" s="3" t="s">
        <v>2075</v>
      </c>
      <c r="D12848" s="4">
        <f>DATE(2004,6,23)</f>
        <v>38161</v>
      </c>
      <c r="E12848" s="5">
        <f t="shared" si="212"/>
        <v>2004</v>
      </c>
      <c r="F12848" s="3" t="s">
        <v>2076</v>
      </c>
      <c r="G12848" s="6">
        <v>25099.11</v>
      </c>
      <c r="H12848" s="5">
        <v>2958</v>
      </c>
    </row>
    <row r="12849" spans="2:8" x14ac:dyDescent="0.4">
      <c r="B12849" s="3" t="s">
        <v>7</v>
      </c>
      <c r="C12849" s="3" t="s">
        <v>2075</v>
      </c>
      <c r="D12849" s="4">
        <f>DATE(2004,7,8)</f>
        <v>38176</v>
      </c>
      <c r="E12849" s="5">
        <f t="shared" si="212"/>
        <v>2004</v>
      </c>
      <c r="F12849" s="3" t="s">
        <v>2076</v>
      </c>
      <c r="G12849" s="6">
        <v>9517.25</v>
      </c>
      <c r="H12849" s="5">
        <v>3117</v>
      </c>
    </row>
    <row r="12850" spans="2:8" x14ac:dyDescent="0.4">
      <c r="B12850" s="3" t="s">
        <v>7</v>
      </c>
      <c r="C12850" s="3" t="s">
        <v>2075</v>
      </c>
      <c r="D12850" s="4">
        <f>DATE(2004,8,11)</f>
        <v>38210</v>
      </c>
      <c r="E12850" s="5">
        <f t="shared" si="212"/>
        <v>2004</v>
      </c>
      <c r="F12850" s="3" t="s">
        <v>2076</v>
      </c>
      <c r="G12850" s="6">
        <v>6226.55</v>
      </c>
      <c r="H12850" s="5">
        <v>3201</v>
      </c>
    </row>
    <row r="12851" spans="2:8" x14ac:dyDescent="0.4">
      <c r="B12851" s="3" t="s">
        <v>7</v>
      </c>
      <c r="C12851" s="3" t="s">
        <v>2075</v>
      </c>
      <c r="D12851" s="4">
        <f>DATE(2004,8,19)</f>
        <v>38218</v>
      </c>
      <c r="E12851" s="5">
        <f t="shared" si="212"/>
        <v>2004</v>
      </c>
      <c r="F12851" s="3" t="s">
        <v>2076</v>
      </c>
      <c r="G12851" s="6">
        <v>13875.26</v>
      </c>
      <c r="H12851" s="5">
        <v>3202</v>
      </c>
    </row>
    <row r="12852" spans="2:8" x14ac:dyDescent="0.4">
      <c r="B12852" s="3" t="s">
        <v>7</v>
      </c>
      <c r="C12852" s="3" t="s">
        <v>2075</v>
      </c>
      <c r="D12852" s="4">
        <f>DATE(2004,9,3)</f>
        <v>38233</v>
      </c>
      <c r="E12852" s="5">
        <f t="shared" si="212"/>
        <v>2004</v>
      </c>
      <c r="F12852" s="3" t="s">
        <v>2076</v>
      </c>
      <c r="G12852" s="6">
        <v>3215.3</v>
      </c>
      <c r="H12852" s="5">
        <v>3316</v>
      </c>
    </row>
    <row r="12853" spans="2:8" x14ac:dyDescent="0.4">
      <c r="B12853" s="3" t="s">
        <v>7</v>
      </c>
      <c r="C12853" s="3" t="s">
        <v>2075</v>
      </c>
      <c r="D12853" s="4">
        <f>DATE(2004,9,8)</f>
        <v>38238</v>
      </c>
      <c r="E12853" s="5">
        <f t="shared" si="212"/>
        <v>2004</v>
      </c>
      <c r="F12853" s="3" t="s">
        <v>2076</v>
      </c>
      <c r="G12853" s="6">
        <v>3544.74</v>
      </c>
      <c r="H12853" s="5">
        <v>3310</v>
      </c>
    </row>
    <row r="12854" spans="2:8" x14ac:dyDescent="0.4">
      <c r="B12854" s="3" t="s">
        <v>7</v>
      </c>
      <c r="C12854" s="3" t="s">
        <v>2075</v>
      </c>
      <c r="D12854" s="4">
        <f>DATE(2004,9,9)</f>
        <v>38239</v>
      </c>
      <c r="E12854" s="5">
        <f t="shared" si="212"/>
        <v>2004</v>
      </c>
      <c r="F12854" s="3" t="s">
        <v>2076</v>
      </c>
      <c r="G12854" s="6">
        <v>12114.49</v>
      </c>
      <c r="H12854" s="5">
        <v>3311</v>
      </c>
    </row>
    <row r="12855" spans="2:8" x14ac:dyDescent="0.4">
      <c r="B12855" s="3" t="s">
        <v>7</v>
      </c>
      <c r="C12855" s="3" t="s">
        <v>2075</v>
      </c>
      <c r="D12855" s="4">
        <f>DATE(2004,9,9)</f>
        <v>38239</v>
      </c>
      <c r="E12855" s="5">
        <f t="shared" si="212"/>
        <v>2004</v>
      </c>
      <c r="F12855" s="3" t="s">
        <v>2076</v>
      </c>
      <c r="G12855" s="6">
        <v>1683.5</v>
      </c>
      <c r="H12855" s="5">
        <v>3351</v>
      </c>
    </row>
    <row r="12856" spans="2:8" x14ac:dyDescent="0.4">
      <c r="B12856" s="3" t="s">
        <v>7</v>
      </c>
      <c r="C12856" s="3" t="s">
        <v>2075</v>
      </c>
      <c r="D12856" s="4">
        <f>DATE(2004,9,9)</f>
        <v>38239</v>
      </c>
      <c r="E12856" s="5">
        <f t="shared" si="212"/>
        <v>2004</v>
      </c>
      <c r="F12856" s="3" t="s">
        <v>2076</v>
      </c>
      <c r="G12856" s="6">
        <v>1683.5</v>
      </c>
      <c r="H12856" s="5">
        <v>3352</v>
      </c>
    </row>
    <row r="12857" spans="2:8" x14ac:dyDescent="0.4">
      <c r="B12857" s="3" t="s">
        <v>7</v>
      </c>
      <c r="C12857" s="3" t="s">
        <v>2075</v>
      </c>
      <c r="D12857" s="4">
        <f>DATE(2004,10,27)</f>
        <v>38287</v>
      </c>
      <c r="E12857" s="5">
        <f t="shared" si="212"/>
        <v>2004</v>
      </c>
      <c r="F12857" s="3" t="s">
        <v>2076</v>
      </c>
      <c r="G12857" s="6">
        <v>1787.93</v>
      </c>
      <c r="H12857" s="5">
        <v>3604</v>
      </c>
    </row>
    <row r="12858" spans="2:8" x14ac:dyDescent="0.4">
      <c r="B12858" s="3" t="s">
        <v>7</v>
      </c>
      <c r="C12858" s="3" t="s">
        <v>2075</v>
      </c>
      <c r="D12858" s="4">
        <f>DATE(2004,11,11)</f>
        <v>38302</v>
      </c>
      <c r="E12858" s="5">
        <f t="shared" si="212"/>
        <v>2004</v>
      </c>
      <c r="F12858" s="3" t="s">
        <v>2076</v>
      </c>
      <c r="G12858" s="6">
        <v>222.9</v>
      </c>
      <c r="H12858" s="5">
        <v>3694</v>
      </c>
    </row>
    <row r="12859" spans="2:8" x14ac:dyDescent="0.4">
      <c r="B12859" s="3" t="s">
        <v>7</v>
      </c>
      <c r="C12859" s="3" t="s">
        <v>2075</v>
      </c>
      <c r="D12859" s="4">
        <f>DATE(2005,1,7)</f>
        <v>38359</v>
      </c>
      <c r="E12859" s="5">
        <f t="shared" si="212"/>
        <v>2005</v>
      </c>
      <c r="F12859" s="3" t="s">
        <v>2076</v>
      </c>
      <c r="G12859" s="6">
        <v>5863</v>
      </c>
      <c r="H12859" s="5">
        <v>3919</v>
      </c>
    </row>
    <row r="12860" spans="2:8" x14ac:dyDescent="0.4">
      <c r="B12860" s="3" t="s">
        <v>7</v>
      </c>
      <c r="C12860" s="3" t="s">
        <v>2075</v>
      </c>
      <c r="D12860" s="4">
        <f>DATE(2005,1,7)</f>
        <v>38359</v>
      </c>
      <c r="E12860" s="5">
        <f t="shared" si="212"/>
        <v>2005</v>
      </c>
      <c r="F12860" s="3" t="s">
        <v>2076</v>
      </c>
      <c r="G12860" s="6">
        <v>5417.78</v>
      </c>
      <c r="H12860" s="5">
        <v>3876</v>
      </c>
    </row>
    <row r="12861" spans="2:8" x14ac:dyDescent="0.4">
      <c r="B12861" s="3" t="s">
        <v>7</v>
      </c>
      <c r="C12861" s="3" t="s">
        <v>2075</v>
      </c>
      <c r="D12861" s="4">
        <f>DATE(2005,1,28)</f>
        <v>38380</v>
      </c>
      <c r="E12861" s="5">
        <f t="shared" si="212"/>
        <v>2005</v>
      </c>
      <c r="F12861" s="3" t="s">
        <v>2076</v>
      </c>
      <c r="G12861" s="6">
        <v>7571.06</v>
      </c>
      <c r="H12861" s="5">
        <v>3990</v>
      </c>
    </row>
    <row r="12862" spans="2:8" x14ac:dyDescent="0.4">
      <c r="B12862" s="3" t="s">
        <v>7</v>
      </c>
      <c r="C12862" s="3" t="s">
        <v>2075</v>
      </c>
      <c r="D12862" s="4">
        <f>DATE(2005,1,28)</f>
        <v>38380</v>
      </c>
      <c r="E12862" s="5">
        <f t="shared" si="212"/>
        <v>2005</v>
      </c>
      <c r="F12862" s="3" t="s">
        <v>2076</v>
      </c>
      <c r="G12862" s="6">
        <v>10788.11</v>
      </c>
      <c r="H12862" s="5">
        <v>3926</v>
      </c>
    </row>
    <row r="12863" spans="2:8" x14ac:dyDescent="0.4">
      <c r="B12863" s="3" t="s">
        <v>7</v>
      </c>
      <c r="C12863" s="3" t="s">
        <v>2075</v>
      </c>
      <c r="D12863" s="4">
        <f>DATE(2005,2,4)</f>
        <v>38387</v>
      </c>
      <c r="E12863" s="5">
        <f t="shared" si="212"/>
        <v>2005</v>
      </c>
      <c r="F12863" s="3" t="s">
        <v>2076</v>
      </c>
      <c r="G12863" s="6">
        <v>13243.5</v>
      </c>
      <c r="H12863" s="5">
        <v>3894</v>
      </c>
    </row>
    <row r="12864" spans="2:8" x14ac:dyDescent="0.4">
      <c r="B12864" s="3" t="s">
        <v>7</v>
      </c>
      <c r="C12864" s="3" t="s">
        <v>2075</v>
      </c>
      <c r="D12864" s="4">
        <f>DATE(2005,2,9)</f>
        <v>38392</v>
      </c>
      <c r="E12864" s="5">
        <f t="shared" si="212"/>
        <v>2005</v>
      </c>
      <c r="F12864" s="3" t="s">
        <v>2076</v>
      </c>
      <c r="G12864" s="6">
        <v>7196.46</v>
      </c>
      <c r="H12864" s="5">
        <v>4033</v>
      </c>
    </row>
    <row r="12865" spans="2:8" x14ac:dyDescent="0.4">
      <c r="B12865" s="3" t="s">
        <v>7</v>
      </c>
      <c r="C12865" s="3" t="s">
        <v>2075</v>
      </c>
      <c r="D12865" s="4">
        <f>DATE(2005,2,11)</f>
        <v>38394</v>
      </c>
      <c r="E12865" s="5">
        <f t="shared" si="212"/>
        <v>2005</v>
      </c>
      <c r="F12865" s="3" t="s">
        <v>2076</v>
      </c>
      <c r="G12865" s="6">
        <v>6036.74</v>
      </c>
      <c r="H12865" s="5">
        <v>4113</v>
      </c>
    </row>
    <row r="12866" spans="2:8" x14ac:dyDescent="0.4">
      <c r="B12866" s="3" t="s">
        <v>7</v>
      </c>
      <c r="C12866" s="3" t="s">
        <v>2075</v>
      </c>
      <c r="D12866" s="4">
        <f>DATE(2005,2,16)</f>
        <v>38399</v>
      </c>
      <c r="E12866" s="5">
        <f t="shared" si="212"/>
        <v>2005</v>
      </c>
      <c r="F12866" s="3" t="s">
        <v>2076</v>
      </c>
      <c r="G12866" s="6">
        <v>2376.85</v>
      </c>
      <c r="H12866" s="5">
        <v>4114</v>
      </c>
    </row>
    <row r="12867" spans="2:8" x14ac:dyDescent="0.4">
      <c r="B12867" s="3" t="s">
        <v>7</v>
      </c>
      <c r="C12867" s="3" t="s">
        <v>2075</v>
      </c>
      <c r="D12867" s="4">
        <f>DATE(2005,2,23)</f>
        <v>38406</v>
      </c>
      <c r="E12867" s="5">
        <f t="shared" ref="E12867:E12930" si="213">YEAR(D12867)</f>
        <v>2005</v>
      </c>
      <c r="F12867" s="3" t="s">
        <v>2076</v>
      </c>
      <c r="G12867" s="6">
        <v>741.5</v>
      </c>
      <c r="H12867" s="5">
        <v>4184</v>
      </c>
    </row>
    <row r="12868" spans="2:8" x14ac:dyDescent="0.4">
      <c r="B12868" s="3" t="s">
        <v>7</v>
      </c>
      <c r="C12868" s="3" t="s">
        <v>2075</v>
      </c>
      <c r="D12868" s="4">
        <f>DATE(2005,3,3)</f>
        <v>38414</v>
      </c>
      <c r="E12868" s="5">
        <f t="shared" si="213"/>
        <v>2005</v>
      </c>
      <c r="F12868" s="3" t="s">
        <v>2076</v>
      </c>
      <c r="G12868" s="6">
        <v>1644.55</v>
      </c>
      <c r="H12868" s="5">
        <v>4237</v>
      </c>
    </row>
    <row r="12869" spans="2:8" x14ac:dyDescent="0.4">
      <c r="B12869" s="3" t="s">
        <v>7</v>
      </c>
      <c r="C12869" s="3" t="s">
        <v>2075</v>
      </c>
      <c r="D12869" s="4">
        <f>DATE(2005,3,15)</f>
        <v>38426</v>
      </c>
      <c r="E12869" s="5">
        <f t="shared" si="213"/>
        <v>2005</v>
      </c>
      <c r="F12869" s="3" t="s">
        <v>2076</v>
      </c>
      <c r="G12869" s="6">
        <v>8723.26</v>
      </c>
      <c r="H12869" s="5">
        <v>4250</v>
      </c>
    </row>
    <row r="12870" spans="2:8" x14ac:dyDescent="0.4">
      <c r="B12870" s="3" t="s">
        <v>7</v>
      </c>
      <c r="C12870" s="3" t="s">
        <v>2075</v>
      </c>
      <c r="D12870" s="4">
        <f>DATE(2005,3,16)</f>
        <v>38427</v>
      </c>
      <c r="E12870" s="5">
        <f t="shared" si="213"/>
        <v>2005</v>
      </c>
      <c r="F12870" s="3" t="s">
        <v>2076</v>
      </c>
      <c r="G12870" s="6">
        <v>6857.3</v>
      </c>
      <c r="H12870" s="5">
        <v>4267</v>
      </c>
    </row>
    <row r="12871" spans="2:8" x14ac:dyDescent="0.4">
      <c r="B12871" s="3" t="s">
        <v>7</v>
      </c>
      <c r="C12871" s="3" t="s">
        <v>2075</v>
      </c>
      <c r="D12871" s="4">
        <f>DATE(2005,3,17)</f>
        <v>38428</v>
      </c>
      <c r="E12871" s="5">
        <f t="shared" si="213"/>
        <v>2005</v>
      </c>
      <c r="F12871" s="3" t="s">
        <v>2076</v>
      </c>
      <c r="G12871" s="6">
        <v>7566.2</v>
      </c>
      <c r="H12871" s="5">
        <v>4311</v>
      </c>
    </row>
    <row r="12872" spans="2:8" x14ac:dyDescent="0.4">
      <c r="B12872" s="3" t="s">
        <v>7</v>
      </c>
      <c r="C12872" s="3" t="s">
        <v>2075</v>
      </c>
      <c r="D12872" s="4">
        <f>DATE(2005,3,23)</f>
        <v>38434</v>
      </c>
      <c r="E12872" s="5">
        <f t="shared" si="213"/>
        <v>2005</v>
      </c>
      <c r="F12872" s="3" t="s">
        <v>2076</v>
      </c>
      <c r="G12872" s="6">
        <v>6993.44</v>
      </c>
      <c r="H12872" s="5">
        <v>4268</v>
      </c>
    </row>
    <row r="12873" spans="2:8" x14ac:dyDescent="0.4">
      <c r="B12873" s="3" t="s">
        <v>7</v>
      </c>
      <c r="C12873" s="3" t="s">
        <v>2075</v>
      </c>
      <c r="D12873" s="4">
        <f>DATE(2005,3,31)</f>
        <v>38442</v>
      </c>
      <c r="E12873" s="5">
        <f t="shared" si="213"/>
        <v>2005</v>
      </c>
      <c r="F12873" s="3" t="s">
        <v>2076</v>
      </c>
      <c r="G12873" s="6">
        <v>8318.85</v>
      </c>
      <c r="H12873" s="5">
        <v>4275</v>
      </c>
    </row>
    <row r="12874" spans="2:8" x14ac:dyDescent="0.4">
      <c r="B12874" s="3" t="s">
        <v>7</v>
      </c>
      <c r="C12874" s="3" t="s">
        <v>2075</v>
      </c>
      <c r="D12874" s="4">
        <f>DATE(2005,4,1)</f>
        <v>38443</v>
      </c>
      <c r="E12874" s="5">
        <f t="shared" si="213"/>
        <v>2005</v>
      </c>
      <c r="F12874" s="3" t="s">
        <v>2076</v>
      </c>
      <c r="G12874" s="6">
        <v>8314.17</v>
      </c>
      <c r="H12874" s="5">
        <v>4290</v>
      </c>
    </row>
    <row r="12875" spans="2:8" x14ac:dyDescent="0.4">
      <c r="B12875" s="3" t="s">
        <v>7</v>
      </c>
      <c r="C12875" s="3" t="s">
        <v>2075</v>
      </c>
      <c r="D12875" s="4">
        <f>DATE(2005,4,7)</f>
        <v>38449</v>
      </c>
      <c r="E12875" s="5">
        <f t="shared" si="213"/>
        <v>2005</v>
      </c>
      <c r="F12875" s="3" t="s">
        <v>2076</v>
      </c>
      <c r="G12875" s="6">
        <v>7834.04</v>
      </c>
      <c r="H12875" s="5">
        <v>4291</v>
      </c>
    </row>
    <row r="12876" spans="2:8" x14ac:dyDescent="0.4">
      <c r="B12876" s="3" t="s">
        <v>7</v>
      </c>
      <c r="C12876" s="3" t="s">
        <v>2075</v>
      </c>
      <c r="D12876" s="4">
        <f>DATE(2005,4,11)</f>
        <v>38453</v>
      </c>
      <c r="E12876" s="5">
        <f t="shared" si="213"/>
        <v>2005</v>
      </c>
      <c r="F12876" s="3" t="s">
        <v>2076</v>
      </c>
      <c r="G12876" s="6">
        <v>6723.37</v>
      </c>
      <c r="H12876" s="5">
        <v>4510</v>
      </c>
    </row>
    <row r="12877" spans="2:8" x14ac:dyDescent="0.4">
      <c r="B12877" s="3" t="s">
        <v>7</v>
      </c>
      <c r="C12877" s="3" t="s">
        <v>2075</v>
      </c>
      <c r="D12877" s="4">
        <f>DATE(2005,4,13)</f>
        <v>38455</v>
      </c>
      <c r="E12877" s="5">
        <f t="shared" si="213"/>
        <v>2005</v>
      </c>
      <c r="F12877" s="3" t="s">
        <v>2076</v>
      </c>
      <c r="G12877" s="6">
        <v>3323.97</v>
      </c>
      <c r="H12877" s="5">
        <v>4326</v>
      </c>
    </row>
    <row r="12878" spans="2:8" x14ac:dyDescent="0.4">
      <c r="B12878" s="3" t="s">
        <v>7</v>
      </c>
      <c r="C12878" s="3" t="s">
        <v>2075</v>
      </c>
      <c r="D12878" s="4">
        <f>DATE(2005,4,18)</f>
        <v>38460</v>
      </c>
      <c r="E12878" s="5">
        <f t="shared" si="213"/>
        <v>2005</v>
      </c>
      <c r="F12878" s="3" t="s">
        <v>2076</v>
      </c>
      <c r="G12878" s="6">
        <v>2630.15</v>
      </c>
      <c r="H12878" s="5">
        <v>4529</v>
      </c>
    </row>
    <row r="12879" spans="2:8" x14ac:dyDescent="0.4">
      <c r="B12879" s="3" t="s">
        <v>7</v>
      </c>
      <c r="C12879" s="3" t="s">
        <v>2075</v>
      </c>
      <c r="D12879" s="4">
        <f>DATE(2005,4,29)</f>
        <v>38471</v>
      </c>
      <c r="E12879" s="5">
        <f t="shared" si="213"/>
        <v>2005</v>
      </c>
      <c r="F12879" s="3" t="s">
        <v>2076</v>
      </c>
      <c r="G12879" s="6">
        <v>4519.42</v>
      </c>
      <c r="H12879" s="5">
        <v>4646</v>
      </c>
    </row>
    <row r="12880" spans="2:8" x14ac:dyDescent="0.4">
      <c r="B12880" s="3" t="s">
        <v>7</v>
      </c>
      <c r="C12880" s="3" t="s">
        <v>2075</v>
      </c>
      <c r="D12880" s="4">
        <f>DATE(2005,5,11)</f>
        <v>38483</v>
      </c>
      <c r="E12880" s="5">
        <f t="shared" si="213"/>
        <v>2005</v>
      </c>
      <c r="F12880" s="3" t="s">
        <v>2076</v>
      </c>
      <c r="G12880" s="6">
        <v>5790.01</v>
      </c>
      <c r="H12880" s="5">
        <v>4715</v>
      </c>
    </row>
    <row r="12881" spans="2:8" x14ac:dyDescent="0.4">
      <c r="B12881" s="3" t="s">
        <v>7</v>
      </c>
      <c r="C12881" s="3" t="s">
        <v>2075</v>
      </c>
      <c r="D12881" s="4">
        <f>DATE(2005,5,12)</f>
        <v>38484</v>
      </c>
      <c r="E12881" s="5">
        <f t="shared" si="213"/>
        <v>2005</v>
      </c>
      <c r="F12881" s="3" t="s">
        <v>2076</v>
      </c>
      <c r="G12881" s="6">
        <v>737.5</v>
      </c>
      <c r="H12881" s="5">
        <v>4699</v>
      </c>
    </row>
    <row r="12882" spans="2:8" x14ac:dyDescent="0.4">
      <c r="B12882" s="3" t="s">
        <v>7</v>
      </c>
      <c r="C12882" s="3" t="s">
        <v>2075</v>
      </c>
      <c r="D12882" s="4">
        <f>DATE(2005,5,17)</f>
        <v>38489</v>
      </c>
      <c r="E12882" s="5">
        <f t="shared" si="213"/>
        <v>2005</v>
      </c>
      <c r="F12882" s="3" t="s">
        <v>2076</v>
      </c>
      <c r="G12882" s="6">
        <v>7425.07</v>
      </c>
      <c r="H12882" s="5">
        <v>4708</v>
      </c>
    </row>
    <row r="12883" spans="2:8" x14ac:dyDescent="0.4">
      <c r="B12883" s="3" t="s">
        <v>7</v>
      </c>
      <c r="C12883" s="3" t="s">
        <v>2075</v>
      </c>
      <c r="D12883" s="4">
        <f>DATE(2005,5,27)</f>
        <v>38499</v>
      </c>
      <c r="E12883" s="5">
        <f t="shared" si="213"/>
        <v>2005</v>
      </c>
      <c r="F12883" s="3" t="s">
        <v>2076</v>
      </c>
      <c r="G12883" s="6">
        <v>6972.38</v>
      </c>
      <c r="H12883" s="5">
        <v>4761</v>
      </c>
    </row>
    <row r="12884" spans="2:8" x14ac:dyDescent="0.4">
      <c r="B12884" s="3" t="s">
        <v>7</v>
      </c>
      <c r="C12884" s="3" t="s">
        <v>2075</v>
      </c>
      <c r="D12884" s="4">
        <f>DATE(2005,6,15)</f>
        <v>38518</v>
      </c>
      <c r="E12884" s="5">
        <f t="shared" si="213"/>
        <v>2005</v>
      </c>
      <c r="F12884" s="3" t="s">
        <v>2076</v>
      </c>
      <c r="G12884" s="6">
        <v>2064.6</v>
      </c>
      <c r="H12884" s="5">
        <v>4826</v>
      </c>
    </row>
    <row r="12885" spans="2:8" x14ac:dyDescent="0.4">
      <c r="B12885" s="3" t="s">
        <v>7</v>
      </c>
      <c r="C12885" s="3" t="s">
        <v>2075</v>
      </c>
      <c r="D12885" s="4">
        <f>DATE(2005,8,18)</f>
        <v>38582</v>
      </c>
      <c r="E12885" s="5">
        <f t="shared" si="213"/>
        <v>2005</v>
      </c>
      <c r="F12885" s="3" t="s">
        <v>2076</v>
      </c>
      <c r="G12885" s="6">
        <v>15184.67</v>
      </c>
      <c r="H12885" s="5">
        <v>5097</v>
      </c>
    </row>
    <row r="12886" spans="2:8" x14ac:dyDescent="0.4">
      <c r="B12886" s="3" t="s">
        <v>7</v>
      </c>
      <c r="C12886" s="3" t="s">
        <v>2075</v>
      </c>
      <c r="D12886" s="4">
        <f>DATE(2005,8,30)</f>
        <v>38594</v>
      </c>
      <c r="E12886" s="5">
        <f t="shared" si="213"/>
        <v>2005</v>
      </c>
      <c r="F12886" s="3" t="s">
        <v>2076</v>
      </c>
      <c r="G12886" s="6">
        <v>12843.51</v>
      </c>
      <c r="H12886" s="5">
        <v>5098</v>
      </c>
    </row>
    <row r="12887" spans="2:8" x14ac:dyDescent="0.4">
      <c r="B12887" s="3" t="s">
        <v>7</v>
      </c>
      <c r="C12887" s="3" t="s">
        <v>2075</v>
      </c>
      <c r="D12887" s="4">
        <f>DATE(2005,9,7)</f>
        <v>38602</v>
      </c>
      <c r="E12887" s="5">
        <f t="shared" si="213"/>
        <v>2005</v>
      </c>
      <c r="F12887" s="3" t="s">
        <v>2076</v>
      </c>
      <c r="G12887" s="6">
        <v>7521.4</v>
      </c>
      <c r="H12887" s="5">
        <v>5156</v>
      </c>
    </row>
    <row r="12888" spans="2:8" x14ac:dyDescent="0.4">
      <c r="B12888" s="3" t="s">
        <v>7</v>
      </c>
      <c r="C12888" s="3" t="s">
        <v>2075</v>
      </c>
      <c r="D12888" s="4">
        <f>DATE(2005,9,9)</f>
        <v>38604</v>
      </c>
      <c r="E12888" s="5">
        <f t="shared" si="213"/>
        <v>2005</v>
      </c>
      <c r="F12888" s="3" t="s">
        <v>2076</v>
      </c>
      <c r="G12888" s="6">
        <v>36410.959999999999</v>
      </c>
      <c r="H12888" s="5">
        <v>5099</v>
      </c>
    </row>
    <row r="12889" spans="2:8" x14ac:dyDescent="0.4">
      <c r="B12889" s="3" t="s">
        <v>7</v>
      </c>
      <c r="C12889" s="3" t="s">
        <v>2075</v>
      </c>
      <c r="D12889" s="4">
        <f>DATE(2005,9,21)</f>
        <v>38616</v>
      </c>
      <c r="E12889" s="5">
        <f t="shared" si="213"/>
        <v>2005</v>
      </c>
      <c r="F12889" s="3" t="s">
        <v>2076</v>
      </c>
      <c r="G12889" s="6">
        <v>7450.85</v>
      </c>
      <c r="H12889" s="5">
        <v>5246</v>
      </c>
    </row>
    <row r="12890" spans="2:8" x14ac:dyDescent="0.4">
      <c r="B12890" s="3" t="s">
        <v>7</v>
      </c>
      <c r="C12890" s="3" t="s">
        <v>2075</v>
      </c>
      <c r="D12890" s="4">
        <f>DATE(2005,9,28)</f>
        <v>38623</v>
      </c>
      <c r="E12890" s="5">
        <f t="shared" si="213"/>
        <v>2005</v>
      </c>
      <c r="F12890" s="3" t="s">
        <v>2076</v>
      </c>
      <c r="G12890" s="6">
        <v>3836.91</v>
      </c>
      <c r="H12890" s="5">
        <v>5306</v>
      </c>
    </row>
    <row r="12891" spans="2:8" x14ac:dyDescent="0.4">
      <c r="B12891" s="3" t="s">
        <v>7</v>
      </c>
      <c r="C12891" s="3" t="s">
        <v>2075</v>
      </c>
      <c r="D12891" s="4">
        <f>DATE(2005,10,6)</f>
        <v>38631</v>
      </c>
      <c r="E12891" s="5">
        <f t="shared" si="213"/>
        <v>2005</v>
      </c>
      <c r="F12891" s="3" t="s">
        <v>2076</v>
      </c>
      <c r="G12891" s="6">
        <v>2331.67</v>
      </c>
      <c r="H12891" s="5">
        <v>5372</v>
      </c>
    </row>
    <row r="12892" spans="2:8" x14ac:dyDescent="0.4">
      <c r="B12892" s="3" t="s">
        <v>7</v>
      </c>
      <c r="C12892" s="3" t="s">
        <v>2075</v>
      </c>
      <c r="D12892" s="4">
        <f>DATE(2005,10,13)</f>
        <v>38638</v>
      </c>
      <c r="E12892" s="5">
        <f t="shared" si="213"/>
        <v>2005</v>
      </c>
      <c r="F12892" s="3" t="s">
        <v>2076</v>
      </c>
      <c r="G12892" s="6">
        <v>7199.91</v>
      </c>
      <c r="H12892" s="5">
        <v>5425</v>
      </c>
    </row>
    <row r="12893" spans="2:8" x14ac:dyDescent="0.4">
      <c r="B12893" s="3" t="s">
        <v>7</v>
      </c>
      <c r="C12893" s="3" t="s">
        <v>2075</v>
      </c>
      <c r="D12893" s="4">
        <f>DATE(2005,10,24)</f>
        <v>38649</v>
      </c>
      <c r="E12893" s="5">
        <f t="shared" si="213"/>
        <v>2005</v>
      </c>
      <c r="F12893" s="3" t="s">
        <v>2076</v>
      </c>
      <c r="G12893" s="6">
        <v>1695.12</v>
      </c>
      <c r="H12893" s="5">
        <v>5465</v>
      </c>
    </row>
    <row r="12894" spans="2:8" x14ac:dyDescent="0.4">
      <c r="B12894" s="3" t="s">
        <v>7</v>
      </c>
      <c r="C12894" s="3" t="s">
        <v>2075</v>
      </c>
      <c r="D12894" s="4">
        <f>DATE(2005,11,11)</f>
        <v>38667</v>
      </c>
      <c r="E12894" s="5">
        <f t="shared" si="213"/>
        <v>2005</v>
      </c>
      <c r="F12894" s="3" t="s">
        <v>2076</v>
      </c>
      <c r="G12894" s="6">
        <v>437.5</v>
      </c>
      <c r="H12894" s="5">
        <v>5552</v>
      </c>
    </row>
    <row r="12895" spans="2:8" x14ac:dyDescent="0.4">
      <c r="B12895" s="3" t="s">
        <v>7</v>
      </c>
      <c r="C12895" s="3" t="s">
        <v>2075</v>
      </c>
      <c r="D12895" s="4">
        <f>DATE(2005,11,15)</f>
        <v>38671</v>
      </c>
      <c r="E12895" s="5">
        <f t="shared" si="213"/>
        <v>2005</v>
      </c>
      <c r="F12895" s="3" t="s">
        <v>2076</v>
      </c>
      <c r="G12895" s="6">
        <v>7902.23</v>
      </c>
      <c r="H12895" s="5">
        <v>5516</v>
      </c>
    </row>
    <row r="12896" spans="2:8" x14ac:dyDescent="0.4">
      <c r="B12896" s="3" t="s">
        <v>7</v>
      </c>
      <c r="C12896" s="3" t="s">
        <v>2075</v>
      </c>
      <c r="D12896" s="4">
        <f>DATE(2005,11,17)</f>
        <v>38673</v>
      </c>
      <c r="E12896" s="5">
        <f t="shared" si="213"/>
        <v>2005</v>
      </c>
      <c r="F12896" s="3" t="s">
        <v>2076</v>
      </c>
      <c r="G12896" s="6">
        <v>437.5</v>
      </c>
      <c r="H12896" s="5">
        <v>5585</v>
      </c>
    </row>
    <row r="12897" spans="2:8" x14ac:dyDescent="0.4">
      <c r="B12897" s="3" t="s">
        <v>7</v>
      </c>
      <c r="C12897" s="3" t="s">
        <v>2075</v>
      </c>
      <c r="D12897" s="4">
        <f>DATE(2005,11,17)</f>
        <v>38673</v>
      </c>
      <c r="E12897" s="5">
        <f t="shared" si="213"/>
        <v>2005</v>
      </c>
      <c r="F12897" s="3" t="s">
        <v>2076</v>
      </c>
      <c r="G12897" s="6">
        <v>517.5</v>
      </c>
      <c r="H12897" s="5">
        <v>5611</v>
      </c>
    </row>
    <row r="12898" spans="2:8" x14ac:dyDescent="0.4">
      <c r="B12898" s="3" t="s">
        <v>7</v>
      </c>
      <c r="C12898" s="3" t="s">
        <v>2075</v>
      </c>
      <c r="D12898" s="4">
        <f>DATE(2005,12,5)</f>
        <v>38691</v>
      </c>
      <c r="E12898" s="5">
        <f t="shared" si="213"/>
        <v>2005</v>
      </c>
      <c r="F12898" s="3" t="s">
        <v>2076</v>
      </c>
      <c r="G12898" s="6">
        <v>276.39999999999998</v>
      </c>
      <c r="H12898" s="5">
        <v>5639</v>
      </c>
    </row>
    <row r="12899" spans="2:8" x14ac:dyDescent="0.4">
      <c r="B12899" s="3" t="s">
        <v>7</v>
      </c>
      <c r="C12899" s="3" t="s">
        <v>2075</v>
      </c>
      <c r="D12899" s="4">
        <f>DATE(2005,9,28)</f>
        <v>38623</v>
      </c>
      <c r="E12899" s="5">
        <f t="shared" si="213"/>
        <v>2005</v>
      </c>
      <c r="F12899" s="3" t="s">
        <v>2076</v>
      </c>
      <c r="G12899" s="6">
        <v>7600</v>
      </c>
      <c r="H12899" s="5">
        <v>5767</v>
      </c>
    </row>
    <row r="12900" spans="2:8" x14ac:dyDescent="0.4">
      <c r="B12900" s="3" t="s">
        <v>7</v>
      </c>
      <c r="C12900" s="3" t="s">
        <v>2075</v>
      </c>
      <c r="D12900" s="4">
        <f>DATE(2006,1,19)</f>
        <v>38736</v>
      </c>
      <c r="E12900" s="5">
        <f t="shared" si="213"/>
        <v>2006</v>
      </c>
      <c r="F12900" s="3" t="s">
        <v>2076</v>
      </c>
      <c r="G12900" s="6">
        <v>10631.3</v>
      </c>
      <c r="H12900" s="5">
        <v>5816</v>
      </c>
    </row>
    <row r="12901" spans="2:8" x14ac:dyDescent="0.4">
      <c r="B12901" s="3" t="s">
        <v>7</v>
      </c>
      <c r="C12901" s="3" t="s">
        <v>2075</v>
      </c>
      <c r="D12901" s="4">
        <f>DATE(2006,1,30)</f>
        <v>38747</v>
      </c>
      <c r="E12901" s="5">
        <f t="shared" si="213"/>
        <v>2006</v>
      </c>
      <c r="F12901" s="3" t="s">
        <v>2076</v>
      </c>
      <c r="G12901" s="6">
        <v>6940.29</v>
      </c>
      <c r="H12901" s="5">
        <v>5846</v>
      </c>
    </row>
    <row r="12902" spans="2:8" x14ac:dyDescent="0.4">
      <c r="B12902" s="3" t="s">
        <v>7</v>
      </c>
      <c r="C12902" s="3" t="s">
        <v>2075</v>
      </c>
      <c r="D12902" s="4">
        <f>DATE(2006,2,9)</f>
        <v>38757</v>
      </c>
      <c r="E12902" s="5">
        <f t="shared" si="213"/>
        <v>2006</v>
      </c>
      <c r="F12902" s="3" t="s">
        <v>2076</v>
      </c>
      <c r="G12902" s="6">
        <v>18342.150000000001</v>
      </c>
      <c r="H12902" s="5">
        <v>5938</v>
      </c>
    </row>
    <row r="12903" spans="2:8" x14ac:dyDescent="0.4">
      <c r="B12903" s="3" t="s">
        <v>7</v>
      </c>
      <c r="C12903" s="3" t="s">
        <v>2075</v>
      </c>
      <c r="D12903" s="4">
        <f>DATE(2006,2,14)</f>
        <v>38762</v>
      </c>
      <c r="E12903" s="5">
        <f t="shared" si="213"/>
        <v>2006</v>
      </c>
      <c r="F12903" s="3" t="s">
        <v>2076</v>
      </c>
      <c r="G12903" s="6">
        <v>9270.93</v>
      </c>
      <c r="H12903" s="5">
        <v>5988</v>
      </c>
    </row>
    <row r="12904" spans="2:8" x14ac:dyDescent="0.4">
      <c r="B12904" s="3" t="s">
        <v>7</v>
      </c>
      <c r="C12904" s="3" t="s">
        <v>2075</v>
      </c>
      <c r="D12904" s="4">
        <f>DATE(2006,2,23)</f>
        <v>38771</v>
      </c>
      <c r="E12904" s="5">
        <f t="shared" si="213"/>
        <v>2006</v>
      </c>
      <c r="F12904" s="3" t="s">
        <v>2076</v>
      </c>
      <c r="G12904" s="6">
        <v>7700.27</v>
      </c>
      <c r="H12904" s="5">
        <v>6086</v>
      </c>
    </row>
    <row r="12905" spans="2:8" x14ac:dyDescent="0.4">
      <c r="B12905" s="3" t="s">
        <v>7</v>
      </c>
      <c r="C12905" s="3" t="s">
        <v>2075</v>
      </c>
      <c r="D12905" s="4">
        <f>DATE(2006,3,22)</f>
        <v>38798</v>
      </c>
      <c r="E12905" s="5">
        <f t="shared" si="213"/>
        <v>2006</v>
      </c>
      <c r="F12905" s="3" t="s">
        <v>2076</v>
      </c>
      <c r="G12905" s="6">
        <v>6505.11</v>
      </c>
      <c r="H12905" s="5">
        <v>6226</v>
      </c>
    </row>
    <row r="12906" spans="2:8" x14ac:dyDescent="0.4">
      <c r="B12906" s="3" t="s">
        <v>7</v>
      </c>
      <c r="C12906" s="3" t="s">
        <v>2075</v>
      </c>
      <c r="D12906" s="4">
        <f>DATE(2006,3,23)</f>
        <v>38799</v>
      </c>
      <c r="E12906" s="5">
        <f t="shared" si="213"/>
        <v>2006</v>
      </c>
      <c r="F12906" s="3" t="s">
        <v>2076</v>
      </c>
      <c r="G12906" s="6">
        <v>11820.83</v>
      </c>
      <c r="H12906" s="5">
        <v>6262</v>
      </c>
    </row>
    <row r="12907" spans="2:8" x14ac:dyDescent="0.4">
      <c r="B12907" s="3" t="s">
        <v>7</v>
      </c>
      <c r="C12907" s="3" t="s">
        <v>2075</v>
      </c>
      <c r="D12907" s="4">
        <f>DATE(2006,4,6)</f>
        <v>38813</v>
      </c>
      <c r="E12907" s="5">
        <f t="shared" si="213"/>
        <v>2006</v>
      </c>
      <c r="F12907" s="3" t="s">
        <v>2076</v>
      </c>
      <c r="G12907" s="6">
        <v>7202.58</v>
      </c>
      <c r="H12907" s="5">
        <v>6333</v>
      </c>
    </row>
    <row r="12908" spans="2:8" x14ac:dyDescent="0.4">
      <c r="B12908" s="3" t="s">
        <v>7</v>
      </c>
      <c r="C12908" s="3" t="s">
        <v>2075</v>
      </c>
      <c r="D12908" s="4">
        <f>DATE(2006,4,13)</f>
        <v>38820</v>
      </c>
      <c r="E12908" s="5">
        <f t="shared" si="213"/>
        <v>2006</v>
      </c>
      <c r="F12908" s="3" t="s">
        <v>2076</v>
      </c>
      <c r="G12908" s="6">
        <v>9252.48</v>
      </c>
      <c r="H12908" s="5">
        <v>6453</v>
      </c>
    </row>
    <row r="12909" spans="2:8" x14ac:dyDescent="0.4">
      <c r="B12909" s="3" t="s">
        <v>7</v>
      </c>
      <c r="C12909" s="3" t="s">
        <v>2075</v>
      </c>
      <c r="D12909" s="4">
        <f>DATE(2006,4,21)</f>
        <v>38828</v>
      </c>
      <c r="E12909" s="5">
        <f t="shared" si="213"/>
        <v>2006</v>
      </c>
      <c r="F12909" s="3" t="s">
        <v>2076</v>
      </c>
      <c r="G12909" s="6">
        <v>8355.92</v>
      </c>
      <c r="H12909" s="5">
        <v>6539</v>
      </c>
    </row>
    <row r="12910" spans="2:8" x14ac:dyDescent="0.4">
      <c r="B12910" s="3" t="s">
        <v>7</v>
      </c>
      <c r="C12910" s="3" t="s">
        <v>2075</v>
      </c>
      <c r="D12910" s="4">
        <f>DATE(2006,4,24)</f>
        <v>38831</v>
      </c>
      <c r="E12910" s="5">
        <f t="shared" si="213"/>
        <v>2006</v>
      </c>
      <c r="F12910" s="3" t="s">
        <v>2076</v>
      </c>
      <c r="G12910" s="6">
        <v>6525.06</v>
      </c>
      <c r="H12910" s="5">
        <v>6538</v>
      </c>
    </row>
    <row r="12911" spans="2:8" x14ac:dyDescent="0.4">
      <c r="B12911" s="3" t="s">
        <v>7</v>
      </c>
      <c r="C12911" s="3" t="s">
        <v>2075</v>
      </c>
      <c r="D12911" s="4">
        <f>DATE(2006,4,26)</f>
        <v>38833</v>
      </c>
      <c r="E12911" s="5">
        <f t="shared" si="213"/>
        <v>2006</v>
      </c>
      <c r="F12911" s="3" t="s">
        <v>2076</v>
      </c>
      <c r="G12911" s="6">
        <v>509.24</v>
      </c>
      <c r="H12911" s="5">
        <v>6613</v>
      </c>
    </row>
    <row r="12912" spans="2:8" x14ac:dyDescent="0.4">
      <c r="B12912" s="3" t="s">
        <v>7</v>
      </c>
      <c r="C12912" s="3" t="s">
        <v>2075</v>
      </c>
      <c r="D12912" s="4">
        <f>DATE(2006,5,4)</f>
        <v>38841</v>
      </c>
      <c r="E12912" s="5">
        <f t="shared" si="213"/>
        <v>2006</v>
      </c>
      <c r="F12912" s="3" t="s">
        <v>2076</v>
      </c>
      <c r="G12912" s="6">
        <v>833.13</v>
      </c>
      <c r="H12912" s="5">
        <v>6599</v>
      </c>
    </row>
    <row r="12913" spans="2:8" x14ac:dyDescent="0.4">
      <c r="B12913" s="3" t="s">
        <v>7</v>
      </c>
      <c r="C12913" s="3" t="s">
        <v>2075</v>
      </c>
      <c r="D12913" s="4">
        <f>DATE(2006,5,10)</f>
        <v>38847</v>
      </c>
      <c r="E12913" s="5">
        <f t="shared" si="213"/>
        <v>2006</v>
      </c>
      <c r="F12913" s="3" t="s">
        <v>2076</v>
      </c>
      <c r="G12913" s="6">
        <v>19502.64</v>
      </c>
      <c r="H12913" s="5">
        <v>6629</v>
      </c>
    </row>
    <row r="12914" spans="2:8" x14ac:dyDescent="0.4">
      <c r="B12914" s="3" t="s">
        <v>7</v>
      </c>
      <c r="C12914" s="3" t="s">
        <v>2075</v>
      </c>
      <c r="D12914" s="4">
        <f>DATE(2006,5,19)</f>
        <v>38856</v>
      </c>
      <c r="E12914" s="5">
        <f t="shared" si="213"/>
        <v>2006</v>
      </c>
      <c r="F12914" s="3" t="s">
        <v>2076</v>
      </c>
      <c r="G12914" s="6">
        <v>6655.75</v>
      </c>
      <c r="H12914" s="5">
        <v>6695</v>
      </c>
    </row>
    <row r="12915" spans="2:8" x14ac:dyDescent="0.4">
      <c r="B12915" s="3" t="s">
        <v>7</v>
      </c>
      <c r="C12915" s="3" t="s">
        <v>2075</v>
      </c>
      <c r="D12915" s="4">
        <f>DATE(2006,5,23)</f>
        <v>38860</v>
      </c>
      <c r="E12915" s="5">
        <f t="shared" si="213"/>
        <v>2006</v>
      </c>
      <c r="F12915" s="3" t="s">
        <v>2076</v>
      </c>
      <c r="G12915" s="6">
        <v>12962.04</v>
      </c>
      <c r="H12915" s="5">
        <v>6674</v>
      </c>
    </row>
    <row r="12916" spans="2:8" x14ac:dyDescent="0.4">
      <c r="B12916" s="3" t="s">
        <v>7</v>
      </c>
      <c r="C12916" s="3" t="s">
        <v>2075</v>
      </c>
      <c r="D12916" s="4">
        <f>DATE(2006,8,11)</f>
        <v>38940</v>
      </c>
      <c r="E12916" s="5">
        <f t="shared" si="213"/>
        <v>2006</v>
      </c>
      <c r="F12916" s="3" t="s">
        <v>2076</v>
      </c>
      <c r="G12916" s="6">
        <v>4397.41</v>
      </c>
      <c r="H12916" s="5">
        <v>7037</v>
      </c>
    </row>
    <row r="12917" spans="2:8" x14ac:dyDescent="0.4">
      <c r="B12917" s="3" t="s">
        <v>7</v>
      </c>
      <c r="C12917" s="3" t="s">
        <v>2075</v>
      </c>
      <c r="D12917" s="4">
        <f>DATE(2006,8,16)</f>
        <v>38945</v>
      </c>
      <c r="E12917" s="5">
        <f t="shared" si="213"/>
        <v>2006</v>
      </c>
      <c r="F12917" s="3" t="s">
        <v>2076</v>
      </c>
      <c r="G12917" s="6">
        <v>14333</v>
      </c>
      <c r="H12917" s="5">
        <v>6989</v>
      </c>
    </row>
    <row r="12918" spans="2:8" x14ac:dyDescent="0.4">
      <c r="B12918" s="3" t="s">
        <v>7</v>
      </c>
      <c r="C12918" s="3" t="s">
        <v>2075</v>
      </c>
      <c r="D12918" s="4">
        <f>DATE(2006,8,16)</f>
        <v>38945</v>
      </c>
      <c r="E12918" s="5">
        <f t="shared" si="213"/>
        <v>2006</v>
      </c>
      <c r="F12918" s="3" t="s">
        <v>2076</v>
      </c>
      <c r="G12918" s="6">
        <v>11286.26</v>
      </c>
      <c r="H12918" s="5">
        <v>6987</v>
      </c>
    </row>
    <row r="12919" spans="2:8" x14ac:dyDescent="0.4">
      <c r="B12919" s="3" t="s">
        <v>7</v>
      </c>
      <c r="C12919" s="3" t="s">
        <v>2075</v>
      </c>
      <c r="D12919" s="4">
        <f>DATE(2006,9,15)</f>
        <v>38975</v>
      </c>
      <c r="E12919" s="5">
        <f t="shared" si="213"/>
        <v>2006</v>
      </c>
      <c r="F12919" s="3" t="s">
        <v>2076</v>
      </c>
      <c r="G12919" s="6">
        <v>7701.98</v>
      </c>
      <c r="H12919" s="5">
        <v>7188</v>
      </c>
    </row>
    <row r="12920" spans="2:8" x14ac:dyDescent="0.4">
      <c r="B12920" s="3" t="s">
        <v>7</v>
      </c>
      <c r="C12920" s="3" t="s">
        <v>2075</v>
      </c>
      <c r="D12920" s="4">
        <f>DATE(2006,9,22)</f>
        <v>38982</v>
      </c>
      <c r="E12920" s="5">
        <f t="shared" si="213"/>
        <v>2006</v>
      </c>
      <c r="F12920" s="3" t="s">
        <v>2076</v>
      </c>
      <c r="G12920" s="6">
        <v>1776.6</v>
      </c>
      <c r="H12920" s="5">
        <v>7283</v>
      </c>
    </row>
    <row r="12921" spans="2:8" x14ac:dyDescent="0.4">
      <c r="B12921" s="3" t="s">
        <v>7</v>
      </c>
      <c r="C12921" s="3" t="s">
        <v>2075</v>
      </c>
      <c r="D12921" s="4">
        <f>DATE(2006,10,11)</f>
        <v>39001</v>
      </c>
      <c r="E12921" s="5">
        <f t="shared" si="213"/>
        <v>2006</v>
      </c>
      <c r="F12921" s="3" t="s">
        <v>2076</v>
      </c>
      <c r="G12921" s="6">
        <v>3698.9</v>
      </c>
      <c r="H12921" s="5">
        <v>7330</v>
      </c>
    </row>
    <row r="12922" spans="2:8" x14ac:dyDescent="0.4">
      <c r="B12922" s="3" t="s">
        <v>7</v>
      </c>
      <c r="C12922" s="3" t="s">
        <v>2075</v>
      </c>
      <c r="D12922" s="4">
        <f>DATE(2006,11,28)</f>
        <v>39049</v>
      </c>
      <c r="E12922" s="5">
        <f t="shared" si="213"/>
        <v>2006</v>
      </c>
      <c r="F12922" s="3" t="s">
        <v>2076</v>
      </c>
      <c r="G12922" s="6">
        <v>14115</v>
      </c>
      <c r="H12922" s="5">
        <v>7525</v>
      </c>
    </row>
    <row r="12923" spans="2:8" x14ac:dyDescent="0.4">
      <c r="B12923" s="3" t="s">
        <v>7</v>
      </c>
      <c r="C12923" s="3" t="s">
        <v>2075</v>
      </c>
      <c r="D12923" s="4">
        <f>DATE(2006,11,30)</f>
        <v>39051</v>
      </c>
      <c r="E12923" s="5">
        <f t="shared" si="213"/>
        <v>2006</v>
      </c>
      <c r="F12923" s="3" t="s">
        <v>2076</v>
      </c>
      <c r="G12923" s="6">
        <v>2855.78</v>
      </c>
      <c r="H12923" s="5">
        <v>7546</v>
      </c>
    </row>
    <row r="12924" spans="2:8" x14ac:dyDescent="0.4">
      <c r="B12924" s="3" t="s">
        <v>7</v>
      </c>
      <c r="C12924" s="3" t="s">
        <v>2075</v>
      </c>
      <c r="D12924" s="4">
        <f>DATE(2006,12,8)</f>
        <v>39059</v>
      </c>
      <c r="E12924" s="5">
        <f t="shared" si="213"/>
        <v>2006</v>
      </c>
      <c r="F12924" s="3" t="s">
        <v>2076</v>
      </c>
      <c r="G12924" s="6">
        <v>7626.69</v>
      </c>
      <c r="H12924" s="5">
        <v>7635</v>
      </c>
    </row>
    <row r="12925" spans="2:8" x14ac:dyDescent="0.4">
      <c r="B12925" s="3" t="s">
        <v>7</v>
      </c>
      <c r="C12925" s="3" t="s">
        <v>2075</v>
      </c>
      <c r="D12925" s="4">
        <f>DATE(2007,1,25)</f>
        <v>39107</v>
      </c>
      <c r="E12925" s="5">
        <f t="shared" si="213"/>
        <v>2007</v>
      </c>
      <c r="F12925" s="3" t="s">
        <v>2076</v>
      </c>
      <c r="G12925" s="6">
        <v>26199.439999999999</v>
      </c>
      <c r="H12925" s="5">
        <v>7775</v>
      </c>
    </row>
    <row r="12926" spans="2:8" x14ac:dyDescent="0.4">
      <c r="B12926" s="3" t="s">
        <v>7</v>
      </c>
      <c r="C12926" s="3" t="s">
        <v>2075</v>
      </c>
      <c r="D12926" s="4">
        <f>DATE(2007,1,26)</f>
        <v>39108</v>
      </c>
      <c r="E12926" s="5">
        <f t="shared" si="213"/>
        <v>2007</v>
      </c>
      <c r="F12926" s="3" t="s">
        <v>2076</v>
      </c>
      <c r="G12926" s="6">
        <v>5278.18</v>
      </c>
      <c r="H12926" s="5">
        <v>7752</v>
      </c>
    </row>
    <row r="12927" spans="2:8" x14ac:dyDescent="0.4">
      <c r="B12927" s="3" t="s">
        <v>7</v>
      </c>
      <c r="C12927" s="3" t="s">
        <v>2075</v>
      </c>
      <c r="D12927" s="4">
        <f>DATE(2007,1,30)</f>
        <v>39112</v>
      </c>
      <c r="E12927" s="5">
        <f t="shared" si="213"/>
        <v>2007</v>
      </c>
      <c r="F12927" s="3" t="s">
        <v>2076</v>
      </c>
      <c r="G12927" s="6">
        <v>10954.57</v>
      </c>
      <c r="H12927" s="5">
        <v>7805</v>
      </c>
    </row>
    <row r="12928" spans="2:8" x14ac:dyDescent="0.4">
      <c r="B12928" s="3" t="s">
        <v>7</v>
      </c>
      <c r="C12928" s="3" t="s">
        <v>2075</v>
      </c>
      <c r="D12928" s="4">
        <f>DATE(2007,2,9)</f>
        <v>39122</v>
      </c>
      <c r="E12928" s="5">
        <f t="shared" si="213"/>
        <v>2007</v>
      </c>
      <c r="F12928" s="3" t="s">
        <v>2076</v>
      </c>
      <c r="G12928" s="6">
        <v>13303.43</v>
      </c>
      <c r="H12928" s="5">
        <v>7840</v>
      </c>
    </row>
    <row r="12929" spans="2:8" x14ac:dyDescent="0.4">
      <c r="B12929" s="3" t="s">
        <v>7</v>
      </c>
      <c r="C12929" s="3" t="s">
        <v>2075</v>
      </c>
      <c r="D12929" s="4">
        <f>DATE(2007,2,15)</f>
        <v>39128</v>
      </c>
      <c r="E12929" s="5">
        <f t="shared" si="213"/>
        <v>2007</v>
      </c>
      <c r="F12929" s="3" t="s">
        <v>2076</v>
      </c>
      <c r="G12929" s="6">
        <v>7569.91</v>
      </c>
      <c r="H12929" s="5">
        <v>7890</v>
      </c>
    </row>
    <row r="12930" spans="2:8" x14ac:dyDescent="0.4">
      <c r="B12930" s="3" t="s">
        <v>7</v>
      </c>
      <c r="C12930" s="3" t="s">
        <v>2075</v>
      </c>
      <c r="D12930" s="4">
        <f>DATE(2007,3,28)</f>
        <v>39169</v>
      </c>
      <c r="E12930" s="5">
        <f t="shared" si="213"/>
        <v>2007</v>
      </c>
      <c r="F12930" s="3" t="s">
        <v>2076</v>
      </c>
      <c r="G12930" s="6">
        <v>4338.88</v>
      </c>
      <c r="H12930" s="5">
        <v>8138</v>
      </c>
    </row>
    <row r="12931" spans="2:8" x14ac:dyDescent="0.4">
      <c r="B12931" s="3" t="s">
        <v>7</v>
      </c>
      <c r="C12931" s="3" t="s">
        <v>2075</v>
      </c>
      <c r="D12931" s="4">
        <f>DATE(2007,4,2)</f>
        <v>39174</v>
      </c>
      <c r="E12931" s="5">
        <f t="shared" ref="E12931:E12994" si="214">YEAR(D12931)</f>
        <v>2007</v>
      </c>
      <c r="F12931" s="3" t="s">
        <v>2076</v>
      </c>
      <c r="G12931" s="6">
        <v>12213.23</v>
      </c>
      <c r="H12931" s="5">
        <v>8244</v>
      </c>
    </row>
    <row r="12932" spans="2:8" x14ac:dyDescent="0.4">
      <c r="B12932" s="3" t="s">
        <v>7</v>
      </c>
      <c r="C12932" s="3" t="s">
        <v>2075</v>
      </c>
      <c r="D12932" s="4">
        <f>DATE(2007,4,17)</f>
        <v>39189</v>
      </c>
      <c r="E12932" s="5">
        <f t="shared" si="214"/>
        <v>2007</v>
      </c>
      <c r="F12932" s="3" t="s">
        <v>2076</v>
      </c>
      <c r="G12932" s="6">
        <v>6505.58</v>
      </c>
      <c r="H12932" s="5">
        <v>8295</v>
      </c>
    </row>
    <row r="12933" spans="2:8" x14ac:dyDescent="0.4">
      <c r="B12933" s="3" t="s">
        <v>7</v>
      </c>
      <c r="C12933" s="3" t="s">
        <v>2075</v>
      </c>
      <c r="D12933" s="4">
        <f>DATE(2007,4,18)</f>
        <v>39190</v>
      </c>
      <c r="E12933" s="5">
        <f t="shared" si="214"/>
        <v>2007</v>
      </c>
      <c r="F12933" s="3" t="s">
        <v>2076</v>
      </c>
      <c r="G12933" s="6">
        <v>1938.15</v>
      </c>
      <c r="H12933" s="5">
        <v>8337</v>
      </c>
    </row>
    <row r="12934" spans="2:8" x14ac:dyDescent="0.4">
      <c r="B12934" s="3" t="s">
        <v>7</v>
      </c>
      <c r="C12934" s="3" t="s">
        <v>2075</v>
      </c>
      <c r="D12934" s="4">
        <f>DATE(2007,4,23)</f>
        <v>39195</v>
      </c>
      <c r="E12934" s="5">
        <f t="shared" si="214"/>
        <v>2007</v>
      </c>
      <c r="F12934" s="3" t="s">
        <v>2076</v>
      </c>
      <c r="G12934" s="6">
        <v>5400.48</v>
      </c>
      <c r="H12934" s="5">
        <v>8246</v>
      </c>
    </row>
    <row r="12935" spans="2:8" x14ac:dyDescent="0.4">
      <c r="B12935" s="3" t="s">
        <v>7</v>
      </c>
      <c r="C12935" s="3" t="s">
        <v>2075</v>
      </c>
      <c r="D12935" s="4">
        <f>DATE(2007,4,27)</f>
        <v>39199</v>
      </c>
      <c r="E12935" s="5">
        <f t="shared" si="214"/>
        <v>2007</v>
      </c>
      <c r="F12935" s="3" t="s">
        <v>2076</v>
      </c>
      <c r="G12935" s="6">
        <v>5971.8</v>
      </c>
      <c r="H12935" s="5">
        <v>8343</v>
      </c>
    </row>
    <row r="12936" spans="2:8" x14ac:dyDescent="0.4">
      <c r="B12936" s="3" t="s">
        <v>7</v>
      </c>
      <c r="C12936" s="3" t="s">
        <v>2075</v>
      </c>
      <c r="D12936" s="4">
        <f>DATE(2007,5,24)</f>
        <v>39226</v>
      </c>
      <c r="E12936" s="5">
        <f t="shared" si="214"/>
        <v>2007</v>
      </c>
      <c r="F12936" s="3" t="s">
        <v>2076</v>
      </c>
      <c r="G12936" s="6">
        <v>1970.96</v>
      </c>
      <c r="H12936" s="5">
        <v>8558</v>
      </c>
    </row>
    <row r="12937" spans="2:8" x14ac:dyDescent="0.4">
      <c r="B12937" s="3" t="s">
        <v>7</v>
      </c>
      <c r="C12937" s="3" t="s">
        <v>2075</v>
      </c>
      <c r="D12937" s="4">
        <f>DATE(2007,5,25)</f>
        <v>39227</v>
      </c>
      <c r="E12937" s="5">
        <f t="shared" si="214"/>
        <v>2007</v>
      </c>
      <c r="F12937" s="3" t="s">
        <v>2076</v>
      </c>
      <c r="G12937" s="6">
        <v>2801.41</v>
      </c>
      <c r="H12937" s="5">
        <v>8640</v>
      </c>
    </row>
    <row r="12938" spans="2:8" x14ac:dyDescent="0.4">
      <c r="B12938" s="3" t="s">
        <v>7</v>
      </c>
      <c r="C12938" s="3" t="s">
        <v>2075</v>
      </c>
      <c r="D12938" s="4">
        <f>DATE(2007,5,29)</f>
        <v>39231</v>
      </c>
      <c r="E12938" s="5">
        <f t="shared" si="214"/>
        <v>2007</v>
      </c>
      <c r="F12938" s="3" t="s">
        <v>2076</v>
      </c>
      <c r="G12938" s="6">
        <v>8387.82</v>
      </c>
      <c r="H12938" s="5">
        <v>8588</v>
      </c>
    </row>
    <row r="12939" spans="2:8" x14ac:dyDescent="0.4">
      <c r="B12939" s="3" t="s">
        <v>7</v>
      </c>
      <c r="C12939" s="3" t="s">
        <v>2075</v>
      </c>
      <c r="D12939" s="4">
        <f>DATE(2007,6,1)</f>
        <v>39234</v>
      </c>
      <c r="E12939" s="5">
        <f t="shared" si="214"/>
        <v>2007</v>
      </c>
      <c r="F12939" s="3" t="s">
        <v>2076</v>
      </c>
      <c r="G12939" s="6">
        <v>6862.12</v>
      </c>
      <c r="H12939" s="5">
        <v>8547</v>
      </c>
    </row>
    <row r="12940" spans="2:8" x14ac:dyDescent="0.4">
      <c r="B12940" s="3" t="s">
        <v>7</v>
      </c>
      <c r="C12940" s="3" t="s">
        <v>2075</v>
      </c>
      <c r="D12940" s="4">
        <f>DATE(2007,6,11)</f>
        <v>39244</v>
      </c>
      <c r="E12940" s="5">
        <f t="shared" si="214"/>
        <v>2007</v>
      </c>
      <c r="F12940" s="3" t="s">
        <v>2076</v>
      </c>
      <c r="G12940" s="6">
        <v>4080.74</v>
      </c>
      <c r="H12940" s="5">
        <v>8662</v>
      </c>
    </row>
    <row r="12941" spans="2:8" x14ac:dyDescent="0.4">
      <c r="B12941" s="3" t="s">
        <v>7</v>
      </c>
      <c r="C12941" s="3" t="s">
        <v>2075</v>
      </c>
      <c r="D12941" s="4">
        <f>DATE(2007,6,12)</f>
        <v>39245</v>
      </c>
      <c r="E12941" s="5">
        <f t="shared" si="214"/>
        <v>2007</v>
      </c>
      <c r="F12941" s="3" t="s">
        <v>2076</v>
      </c>
      <c r="G12941" s="6">
        <v>484.24</v>
      </c>
      <c r="H12941" s="5">
        <v>8734</v>
      </c>
    </row>
    <row r="12942" spans="2:8" x14ac:dyDescent="0.4">
      <c r="B12942" s="3" t="s">
        <v>7</v>
      </c>
      <c r="C12942" s="3" t="s">
        <v>2075</v>
      </c>
      <c r="D12942" s="4">
        <f>DATE(2007,6,18)</f>
        <v>39251</v>
      </c>
      <c r="E12942" s="5">
        <f t="shared" si="214"/>
        <v>2007</v>
      </c>
      <c r="F12942" s="3" t="s">
        <v>2076</v>
      </c>
      <c r="G12942" s="6">
        <v>801.24</v>
      </c>
      <c r="H12942" s="5">
        <v>8781</v>
      </c>
    </row>
    <row r="12943" spans="2:8" x14ac:dyDescent="0.4">
      <c r="B12943" s="3" t="s">
        <v>7</v>
      </c>
      <c r="C12943" s="3" t="s">
        <v>2075</v>
      </c>
      <c r="D12943" s="4">
        <f>DATE(2007,6,27)</f>
        <v>39260</v>
      </c>
      <c r="E12943" s="5">
        <f t="shared" si="214"/>
        <v>2007</v>
      </c>
      <c r="F12943" s="3" t="s">
        <v>2076</v>
      </c>
      <c r="G12943" s="6">
        <v>3394.49</v>
      </c>
      <c r="H12943" s="5">
        <v>8824</v>
      </c>
    </row>
    <row r="12944" spans="2:8" x14ac:dyDescent="0.4">
      <c r="B12944" s="3" t="s">
        <v>7</v>
      </c>
      <c r="C12944" s="3" t="s">
        <v>2075</v>
      </c>
      <c r="D12944" s="4">
        <f>DATE(2007,6,29)</f>
        <v>39262</v>
      </c>
      <c r="E12944" s="5">
        <f t="shared" si="214"/>
        <v>2007</v>
      </c>
      <c r="F12944" s="3" t="s">
        <v>2076</v>
      </c>
      <c r="G12944" s="6">
        <v>10243.209999999999</v>
      </c>
      <c r="H12944" s="5">
        <v>8754</v>
      </c>
    </row>
    <row r="12945" spans="2:8" x14ac:dyDescent="0.4">
      <c r="B12945" s="3" t="s">
        <v>7</v>
      </c>
      <c r="C12945" s="3" t="s">
        <v>2075</v>
      </c>
      <c r="D12945" s="4">
        <f>DATE(2007,6,29)</f>
        <v>39262</v>
      </c>
      <c r="E12945" s="5">
        <f t="shared" si="214"/>
        <v>2007</v>
      </c>
      <c r="F12945" s="3" t="s">
        <v>2076</v>
      </c>
      <c r="G12945" s="6">
        <v>3522.89</v>
      </c>
      <c r="H12945" s="5">
        <v>8759</v>
      </c>
    </row>
    <row r="12946" spans="2:8" x14ac:dyDescent="0.4">
      <c r="B12946" s="3" t="s">
        <v>7</v>
      </c>
      <c r="C12946" s="3" t="s">
        <v>2075</v>
      </c>
      <c r="D12946" s="4">
        <f>DATE(2007,8,9)</f>
        <v>39303</v>
      </c>
      <c r="E12946" s="5">
        <f t="shared" si="214"/>
        <v>2007</v>
      </c>
      <c r="F12946" s="3" t="s">
        <v>2076</v>
      </c>
      <c r="G12946" s="6">
        <v>6290.99</v>
      </c>
      <c r="H12946" s="5">
        <v>8976</v>
      </c>
    </row>
    <row r="12947" spans="2:8" x14ac:dyDescent="0.4">
      <c r="B12947" s="3" t="s">
        <v>7</v>
      </c>
      <c r="C12947" s="3" t="s">
        <v>2075</v>
      </c>
      <c r="D12947" s="4">
        <f>DATE(2007,8,27)</f>
        <v>39321</v>
      </c>
      <c r="E12947" s="5">
        <f t="shared" si="214"/>
        <v>2007</v>
      </c>
      <c r="F12947" s="3" t="s">
        <v>2076</v>
      </c>
      <c r="G12947" s="6">
        <v>77586.570000000007</v>
      </c>
      <c r="H12947" s="5">
        <v>8825</v>
      </c>
    </row>
    <row r="12948" spans="2:8" x14ac:dyDescent="0.4">
      <c r="B12948" s="3" t="s">
        <v>7</v>
      </c>
      <c r="C12948" s="3" t="s">
        <v>2075</v>
      </c>
      <c r="D12948" s="4">
        <f>DATE(2007,8,28)</f>
        <v>39322</v>
      </c>
      <c r="E12948" s="5">
        <f t="shared" si="214"/>
        <v>2007</v>
      </c>
      <c r="F12948" s="3" t="s">
        <v>2076</v>
      </c>
      <c r="G12948" s="6">
        <v>23850.25</v>
      </c>
      <c r="H12948" s="5">
        <v>8983</v>
      </c>
    </row>
    <row r="12949" spans="2:8" x14ac:dyDescent="0.4">
      <c r="B12949" s="3" t="s">
        <v>7</v>
      </c>
      <c r="C12949" s="3" t="s">
        <v>2075</v>
      </c>
      <c r="D12949" s="4">
        <f>DATE(2007,9,5)</f>
        <v>39330</v>
      </c>
      <c r="E12949" s="5">
        <f t="shared" si="214"/>
        <v>2007</v>
      </c>
      <c r="F12949" s="3" t="s">
        <v>2076</v>
      </c>
      <c r="G12949" s="6">
        <v>4825.59</v>
      </c>
      <c r="H12949" s="5">
        <v>9078</v>
      </c>
    </row>
    <row r="12950" spans="2:8" x14ac:dyDescent="0.4">
      <c r="B12950" s="3" t="s">
        <v>7</v>
      </c>
      <c r="C12950" s="3" t="s">
        <v>2075</v>
      </c>
      <c r="D12950" s="4">
        <f>DATE(2007,9,28)</f>
        <v>39353</v>
      </c>
      <c r="E12950" s="5">
        <f t="shared" si="214"/>
        <v>2007</v>
      </c>
      <c r="F12950" s="3" t="s">
        <v>2076</v>
      </c>
      <c r="G12950" s="6">
        <v>16670.93</v>
      </c>
      <c r="H12950" s="5">
        <v>9194</v>
      </c>
    </row>
    <row r="12951" spans="2:8" x14ac:dyDescent="0.4">
      <c r="B12951" s="3" t="s">
        <v>7</v>
      </c>
      <c r="C12951" s="3" t="s">
        <v>2075</v>
      </c>
      <c r="D12951" s="4">
        <f>DATE(2007,12,14)</f>
        <v>39430</v>
      </c>
      <c r="E12951" s="5">
        <f t="shared" si="214"/>
        <v>2007</v>
      </c>
      <c r="F12951" s="3" t="s">
        <v>2076</v>
      </c>
      <c r="G12951" s="6">
        <v>5482.25</v>
      </c>
      <c r="H12951" s="5">
        <v>9575</v>
      </c>
    </row>
    <row r="12952" spans="2:8" x14ac:dyDescent="0.4">
      <c r="B12952" s="3" t="s">
        <v>7</v>
      </c>
      <c r="C12952" s="3" t="s">
        <v>2075</v>
      </c>
      <c r="D12952" s="4">
        <f>DATE(2007,12,21)</f>
        <v>39437</v>
      </c>
      <c r="E12952" s="5">
        <f t="shared" si="214"/>
        <v>2007</v>
      </c>
      <c r="F12952" s="3" t="s">
        <v>2076</v>
      </c>
      <c r="G12952" s="6">
        <v>249.84</v>
      </c>
      <c r="H12952" s="5">
        <v>9594</v>
      </c>
    </row>
    <row r="12953" spans="2:8" x14ac:dyDescent="0.4">
      <c r="B12953" s="3" t="s">
        <v>7</v>
      </c>
      <c r="C12953" s="3" t="s">
        <v>2075</v>
      </c>
      <c r="D12953" s="4">
        <f>DATE(2008,1,10)</f>
        <v>39457</v>
      </c>
      <c r="E12953" s="5">
        <f t="shared" si="214"/>
        <v>2008</v>
      </c>
      <c r="F12953" s="3" t="s">
        <v>2076</v>
      </c>
      <c r="G12953" s="6">
        <v>11707.25</v>
      </c>
      <c r="H12953" s="5">
        <v>9507</v>
      </c>
    </row>
    <row r="12954" spans="2:8" x14ac:dyDescent="0.4">
      <c r="B12954" s="3" t="s">
        <v>7</v>
      </c>
      <c r="C12954" s="3" t="s">
        <v>2075</v>
      </c>
      <c r="D12954" s="4">
        <f>DATE(2008,1,17)</f>
        <v>39464</v>
      </c>
      <c r="E12954" s="5">
        <f t="shared" si="214"/>
        <v>2008</v>
      </c>
      <c r="F12954" s="3" t="s">
        <v>2076</v>
      </c>
      <c r="G12954" s="6">
        <v>803.9</v>
      </c>
      <c r="H12954" s="5">
        <v>9685</v>
      </c>
    </row>
    <row r="12955" spans="2:8" x14ac:dyDescent="0.4">
      <c r="B12955" s="3" t="s">
        <v>7</v>
      </c>
      <c r="C12955" s="3" t="s">
        <v>2075</v>
      </c>
      <c r="D12955" s="4">
        <f>DATE(2008,1,21)</f>
        <v>39468</v>
      </c>
      <c r="E12955" s="5">
        <f t="shared" si="214"/>
        <v>2008</v>
      </c>
      <c r="F12955" s="3" t="s">
        <v>2076</v>
      </c>
      <c r="G12955" s="6">
        <v>15818.7</v>
      </c>
      <c r="H12955" s="5">
        <v>9673</v>
      </c>
    </row>
    <row r="12956" spans="2:8" x14ac:dyDescent="0.4">
      <c r="B12956" s="3" t="s">
        <v>7</v>
      </c>
      <c r="C12956" s="3" t="s">
        <v>2075</v>
      </c>
      <c r="D12956" s="4">
        <f>DATE(2008,1,29)</f>
        <v>39476</v>
      </c>
      <c r="E12956" s="5">
        <f t="shared" si="214"/>
        <v>2008</v>
      </c>
      <c r="F12956" s="3" t="s">
        <v>2076</v>
      </c>
      <c r="G12956" s="6">
        <v>6659.72</v>
      </c>
      <c r="H12956" s="5">
        <v>9801</v>
      </c>
    </row>
    <row r="12957" spans="2:8" x14ac:dyDescent="0.4">
      <c r="B12957" s="3" t="s">
        <v>7</v>
      </c>
      <c r="C12957" s="3" t="s">
        <v>2075</v>
      </c>
      <c r="D12957" s="4">
        <f>DATE(2008,2,12)</f>
        <v>39490</v>
      </c>
      <c r="E12957" s="5">
        <f t="shared" si="214"/>
        <v>2008</v>
      </c>
      <c r="F12957" s="3" t="s">
        <v>2076</v>
      </c>
      <c r="G12957" s="6">
        <v>33860.32</v>
      </c>
      <c r="H12957" s="5">
        <v>9759</v>
      </c>
    </row>
    <row r="12958" spans="2:8" x14ac:dyDescent="0.4">
      <c r="B12958" s="3" t="s">
        <v>7</v>
      </c>
      <c r="C12958" s="3" t="s">
        <v>2075</v>
      </c>
      <c r="D12958" s="4">
        <f>DATE(2008,2,15)</f>
        <v>39493</v>
      </c>
      <c r="E12958" s="5">
        <f t="shared" si="214"/>
        <v>2008</v>
      </c>
      <c r="F12958" s="3" t="s">
        <v>2076</v>
      </c>
      <c r="G12958" s="6">
        <v>30944.46</v>
      </c>
      <c r="H12958" s="5">
        <v>9674</v>
      </c>
    </row>
    <row r="12959" spans="2:8" x14ac:dyDescent="0.4">
      <c r="B12959" s="3" t="s">
        <v>7</v>
      </c>
      <c r="C12959" s="3" t="s">
        <v>2075</v>
      </c>
      <c r="D12959" s="4">
        <f>DATE(2008,2,29)</f>
        <v>39507</v>
      </c>
      <c r="E12959" s="5">
        <f t="shared" si="214"/>
        <v>2008</v>
      </c>
      <c r="F12959" s="3" t="s">
        <v>2076</v>
      </c>
      <c r="G12959" s="6">
        <v>4613.17</v>
      </c>
      <c r="H12959" s="5">
        <v>9886</v>
      </c>
    </row>
    <row r="12960" spans="2:8" x14ac:dyDescent="0.4">
      <c r="B12960" s="3" t="s">
        <v>7</v>
      </c>
      <c r="C12960" s="3" t="s">
        <v>2075</v>
      </c>
      <c r="D12960" s="4">
        <f>DATE(2008,3,3)</f>
        <v>39510</v>
      </c>
      <c r="E12960" s="5">
        <f t="shared" si="214"/>
        <v>2008</v>
      </c>
      <c r="F12960" s="3" t="s">
        <v>2076</v>
      </c>
      <c r="G12960" s="6">
        <v>1909.68</v>
      </c>
      <c r="H12960" s="5">
        <v>10043</v>
      </c>
    </row>
    <row r="12961" spans="2:8" x14ac:dyDescent="0.4">
      <c r="B12961" s="3" t="s">
        <v>7</v>
      </c>
      <c r="C12961" s="3" t="s">
        <v>2075</v>
      </c>
      <c r="D12961" s="4">
        <f>DATE(2008,3,3)</f>
        <v>39510</v>
      </c>
      <c r="E12961" s="5">
        <f t="shared" si="214"/>
        <v>2008</v>
      </c>
      <c r="F12961" s="3" t="s">
        <v>2076</v>
      </c>
      <c r="G12961" s="6">
        <v>383.68</v>
      </c>
      <c r="H12961" s="5">
        <v>10063</v>
      </c>
    </row>
    <row r="12962" spans="2:8" x14ac:dyDescent="0.4">
      <c r="B12962" s="3" t="s">
        <v>7</v>
      </c>
      <c r="C12962" s="3" t="s">
        <v>2075</v>
      </c>
      <c r="D12962" s="4">
        <f>DATE(2008,3,7)</f>
        <v>39514</v>
      </c>
      <c r="E12962" s="5">
        <f t="shared" si="214"/>
        <v>2008</v>
      </c>
      <c r="F12962" s="3" t="s">
        <v>2076</v>
      </c>
      <c r="G12962" s="6">
        <v>7515.82</v>
      </c>
      <c r="H12962" s="5">
        <v>10042</v>
      </c>
    </row>
    <row r="12963" spans="2:8" x14ac:dyDescent="0.4">
      <c r="B12963" s="3" t="s">
        <v>7</v>
      </c>
      <c r="C12963" s="3" t="s">
        <v>2075</v>
      </c>
      <c r="D12963" s="4">
        <f>DATE(2008,3,13)</f>
        <v>39520</v>
      </c>
      <c r="E12963" s="5">
        <f t="shared" si="214"/>
        <v>2008</v>
      </c>
      <c r="F12963" s="3" t="s">
        <v>2076</v>
      </c>
      <c r="G12963" s="6">
        <v>4651.5600000000004</v>
      </c>
      <c r="H12963" s="5">
        <v>10082</v>
      </c>
    </row>
    <row r="12964" spans="2:8" x14ac:dyDescent="0.4">
      <c r="B12964" s="3" t="s">
        <v>7</v>
      </c>
      <c r="C12964" s="3" t="s">
        <v>2075</v>
      </c>
      <c r="D12964" s="4">
        <f>DATE(2008,3,25)</f>
        <v>39532</v>
      </c>
      <c r="E12964" s="5">
        <f t="shared" si="214"/>
        <v>2008</v>
      </c>
      <c r="F12964" s="3" t="s">
        <v>2076</v>
      </c>
      <c r="G12964" s="6">
        <v>89529.46</v>
      </c>
      <c r="H12964" s="5">
        <v>9758</v>
      </c>
    </row>
    <row r="12965" spans="2:8" x14ac:dyDescent="0.4">
      <c r="B12965" s="3" t="s">
        <v>7</v>
      </c>
      <c r="C12965" s="3" t="s">
        <v>2075</v>
      </c>
      <c r="D12965" s="4">
        <f>DATE(2008,4,8)</f>
        <v>39546</v>
      </c>
      <c r="E12965" s="5">
        <f t="shared" si="214"/>
        <v>2008</v>
      </c>
      <c r="F12965" s="3" t="s">
        <v>2076</v>
      </c>
      <c r="G12965" s="6">
        <v>2223.83</v>
      </c>
      <c r="H12965" s="5">
        <v>10383</v>
      </c>
    </row>
    <row r="12966" spans="2:8" x14ac:dyDescent="0.4">
      <c r="B12966" s="3" t="s">
        <v>7</v>
      </c>
      <c r="C12966" s="3" t="s">
        <v>2075</v>
      </c>
      <c r="D12966" s="4">
        <f>DATE(2008,4,8)</f>
        <v>39546</v>
      </c>
      <c r="E12966" s="5">
        <f t="shared" si="214"/>
        <v>2008</v>
      </c>
      <c r="F12966" s="3" t="s">
        <v>2076</v>
      </c>
      <c r="G12966" s="6">
        <v>10973.46</v>
      </c>
      <c r="H12966" s="5">
        <v>10295</v>
      </c>
    </row>
    <row r="12967" spans="2:8" x14ac:dyDescent="0.4">
      <c r="B12967" s="3" t="s">
        <v>7</v>
      </c>
      <c r="C12967" s="3" t="s">
        <v>2075</v>
      </c>
      <c r="D12967" s="4">
        <f>DATE(2008,4,10)</f>
        <v>39548</v>
      </c>
      <c r="E12967" s="5">
        <f t="shared" si="214"/>
        <v>2008</v>
      </c>
      <c r="F12967" s="3" t="s">
        <v>2076</v>
      </c>
      <c r="G12967" s="6">
        <v>3592.65</v>
      </c>
      <c r="H12967" s="5">
        <v>10384</v>
      </c>
    </row>
    <row r="12968" spans="2:8" x14ac:dyDescent="0.4">
      <c r="B12968" s="3" t="s">
        <v>7</v>
      </c>
      <c r="C12968" s="3" t="s">
        <v>2075</v>
      </c>
      <c r="D12968" s="4">
        <f>DATE(2008,4,15)</f>
        <v>39553</v>
      </c>
      <c r="E12968" s="5">
        <f t="shared" si="214"/>
        <v>2008</v>
      </c>
      <c r="F12968" s="3" t="s">
        <v>2076</v>
      </c>
      <c r="G12968" s="6">
        <v>2788.73</v>
      </c>
      <c r="H12968" s="5">
        <v>10368</v>
      </c>
    </row>
    <row r="12969" spans="2:8" x14ac:dyDescent="0.4">
      <c r="B12969" s="3" t="s">
        <v>7</v>
      </c>
      <c r="C12969" s="3" t="s">
        <v>2075</v>
      </c>
      <c r="D12969" s="4">
        <f>DATE(2008,4,18)</f>
        <v>39556</v>
      </c>
      <c r="E12969" s="5">
        <f t="shared" si="214"/>
        <v>2008</v>
      </c>
      <c r="F12969" s="3" t="s">
        <v>2076</v>
      </c>
      <c r="G12969" s="6">
        <v>10924.55</v>
      </c>
      <c r="H12969" s="5">
        <v>10365</v>
      </c>
    </row>
    <row r="12970" spans="2:8" x14ac:dyDescent="0.4">
      <c r="B12970" s="3" t="s">
        <v>7</v>
      </c>
      <c r="C12970" s="3" t="s">
        <v>2075</v>
      </c>
      <c r="D12970" s="4">
        <f>DATE(2008,4,18)</f>
        <v>39556</v>
      </c>
      <c r="E12970" s="5">
        <f t="shared" si="214"/>
        <v>2008</v>
      </c>
      <c r="F12970" s="3" t="s">
        <v>2076</v>
      </c>
      <c r="G12970" s="6">
        <v>2218.27</v>
      </c>
      <c r="H12970" s="5">
        <v>10489</v>
      </c>
    </row>
    <row r="12971" spans="2:8" x14ac:dyDescent="0.4">
      <c r="B12971" s="3" t="s">
        <v>7</v>
      </c>
      <c r="C12971" s="3" t="s">
        <v>2075</v>
      </c>
      <c r="D12971" s="4">
        <f>DATE(2008,4,22)</f>
        <v>39560</v>
      </c>
      <c r="E12971" s="5">
        <f t="shared" si="214"/>
        <v>2008</v>
      </c>
      <c r="F12971" s="3" t="s">
        <v>2076</v>
      </c>
      <c r="G12971" s="6">
        <v>901.85</v>
      </c>
      <c r="H12971" s="5">
        <v>10493</v>
      </c>
    </row>
    <row r="12972" spans="2:8" x14ac:dyDescent="0.4">
      <c r="B12972" s="3" t="s">
        <v>7</v>
      </c>
      <c r="C12972" s="3" t="s">
        <v>2075</v>
      </c>
      <c r="D12972" s="4">
        <f>DATE(2008,4,24)</f>
        <v>39562</v>
      </c>
      <c r="E12972" s="5">
        <f t="shared" si="214"/>
        <v>2008</v>
      </c>
      <c r="F12972" s="3" t="s">
        <v>2076</v>
      </c>
      <c r="G12972" s="6">
        <v>8741.15</v>
      </c>
      <c r="H12972" s="5">
        <v>10366</v>
      </c>
    </row>
    <row r="12973" spans="2:8" x14ac:dyDescent="0.4">
      <c r="B12973" s="3" t="s">
        <v>7</v>
      </c>
      <c r="C12973" s="3" t="s">
        <v>2075</v>
      </c>
      <c r="D12973" s="4">
        <f>DATE(2008,4,29)</f>
        <v>39567</v>
      </c>
      <c r="E12973" s="5">
        <f t="shared" si="214"/>
        <v>2008</v>
      </c>
      <c r="F12973" s="3" t="s">
        <v>2076</v>
      </c>
      <c r="G12973" s="6">
        <v>3664.78</v>
      </c>
      <c r="H12973" s="5">
        <v>10367</v>
      </c>
    </row>
    <row r="12974" spans="2:8" x14ac:dyDescent="0.4">
      <c r="B12974" s="3" t="s">
        <v>7</v>
      </c>
      <c r="C12974" s="3" t="s">
        <v>2075</v>
      </c>
      <c r="D12974" s="4">
        <f>DATE(2008,4,29)</f>
        <v>39567</v>
      </c>
      <c r="E12974" s="5">
        <f t="shared" si="214"/>
        <v>2008</v>
      </c>
      <c r="F12974" s="3" t="s">
        <v>2076</v>
      </c>
      <c r="G12974" s="6">
        <v>2563.34</v>
      </c>
      <c r="H12974" s="5">
        <v>10449</v>
      </c>
    </row>
    <row r="12975" spans="2:8" x14ac:dyDescent="0.4">
      <c r="B12975" s="3" t="s">
        <v>7</v>
      </c>
      <c r="C12975" s="3" t="s">
        <v>2075</v>
      </c>
      <c r="D12975" s="4">
        <f>DATE(2008,5,2)</f>
        <v>39570</v>
      </c>
      <c r="E12975" s="5">
        <f t="shared" si="214"/>
        <v>2008</v>
      </c>
      <c r="F12975" s="3" t="s">
        <v>2076</v>
      </c>
      <c r="G12975" s="6">
        <v>9359.11</v>
      </c>
      <c r="H12975" s="5">
        <v>10440</v>
      </c>
    </row>
    <row r="12976" spans="2:8" x14ac:dyDescent="0.4">
      <c r="B12976" s="3" t="s">
        <v>7</v>
      </c>
      <c r="C12976" s="3" t="s">
        <v>2075</v>
      </c>
      <c r="D12976" s="4">
        <f>DATE(2008,5,8)</f>
        <v>39576</v>
      </c>
      <c r="E12976" s="5">
        <f t="shared" si="214"/>
        <v>2008</v>
      </c>
      <c r="F12976" s="3" t="s">
        <v>2076</v>
      </c>
      <c r="G12976" s="6">
        <v>16782.849999999999</v>
      </c>
      <c r="H12976" s="5">
        <v>10415</v>
      </c>
    </row>
    <row r="12977" spans="2:8" x14ac:dyDescent="0.4">
      <c r="B12977" s="3" t="s">
        <v>7</v>
      </c>
      <c r="C12977" s="3" t="s">
        <v>2075</v>
      </c>
      <c r="D12977" s="4">
        <f>DATE(2008,5,13)</f>
        <v>39581</v>
      </c>
      <c r="E12977" s="5">
        <f t="shared" si="214"/>
        <v>2008</v>
      </c>
      <c r="F12977" s="3" t="s">
        <v>2076</v>
      </c>
      <c r="G12977" s="6">
        <v>623.51</v>
      </c>
      <c r="H12977" s="5">
        <v>10643</v>
      </c>
    </row>
    <row r="12978" spans="2:8" x14ac:dyDescent="0.4">
      <c r="B12978" s="3" t="s">
        <v>7</v>
      </c>
      <c r="C12978" s="3" t="s">
        <v>2075</v>
      </c>
      <c r="D12978" s="4">
        <f>DATE(2008,5,21)</f>
        <v>39589</v>
      </c>
      <c r="E12978" s="5">
        <f t="shared" si="214"/>
        <v>2008</v>
      </c>
      <c r="F12978" s="3" t="s">
        <v>2076</v>
      </c>
      <c r="G12978" s="6">
        <v>1197.9000000000001</v>
      </c>
      <c r="H12978" s="5">
        <v>10696</v>
      </c>
    </row>
    <row r="12979" spans="2:8" x14ac:dyDescent="0.4">
      <c r="B12979" s="3" t="s">
        <v>7</v>
      </c>
      <c r="C12979" s="3" t="s">
        <v>2075</v>
      </c>
      <c r="D12979" s="4">
        <f>DATE(2008,5,29)</f>
        <v>39597</v>
      </c>
      <c r="E12979" s="5">
        <f t="shared" si="214"/>
        <v>2008</v>
      </c>
      <c r="F12979" s="3" t="s">
        <v>2076</v>
      </c>
      <c r="G12979" s="6">
        <v>9267.34</v>
      </c>
      <c r="H12979" s="5">
        <v>10692</v>
      </c>
    </row>
    <row r="12980" spans="2:8" x14ac:dyDescent="0.4">
      <c r="B12980" s="3" t="s">
        <v>7</v>
      </c>
      <c r="C12980" s="3" t="s">
        <v>2075</v>
      </c>
      <c r="D12980" s="4">
        <f>DATE(2008,7,17)</f>
        <v>39646</v>
      </c>
      <c r="E12980" s="5">
        <f t="shared" si="214"/>
        <v>2008</v>
      </c>
      <c r="F12980" s="3" t="s">
        <v>2076</v>
      </c>
      <c r="G12980" s="6">
        <v>339.68</v>
      </c>
      <c r="H12980" s="5">
        <v>10934</v>
      </c>
    </row>
    <row r="12981" spans="2:8" x14ac:dyDescent="0.4">
      <c r="B12981" s="3" t="s">
        <v>7</v>
      </c>
      <c r="C12981" s="3" t="s">
        <v>2075</v>
      </c>
      <c r="D12981" s="4">
        <f>DATE(2008,7,23)</f>
        <v>39652</v>
      </c>
      <c r="E12981" s="5">
        <f t="shared" si="214"/>
        <v>2008</v>
      </c>
      <c r="F12981" s="3" t="s">
        <v>2076</v>
      </c>
      <c r="G12981" s="6">
        <v>4653.76</v>
      </c>
      <c r="H12981" s="5">
        <v>10964</v>
      </c>
    </row>
    <row r="12982" spans="2:8" x14ac:dyDescent="0.4">
      <c r="B12982" s="3" t="s">
        <v>7</v>
      </c>
      <c r="C12982" s="3" t="s">
        <v>2075</v>
      </c>
      <c r="D12982" s="4">
        <f>DATE(2008,8,21)</f>
        <v>39681</v>
      </c>
      <c r="E12982" s="5">
        <f t="shared" si="214"/>
        <v>2008</v>
      </c>
      <c r="F12982" s="3" t="s">
        <v>2076</v>
      </c>
      <c r="G12982" s="6">
        <v>25136</v>
      </c>
      <c r="H12982" s="5">
        <v>11073</v>
      </c>
    </row>
    <row r="12983" spans="2:8" x14ac:dyDescent="0.4">
      <c r="B12983" s="3" t="s">
        <v>7</v>
      </c>
      <c r="C12983" s="3" t="s">
        <v>2075</v>
      </c>
      <c r="D12983" s="4">
        <f>DATE(2008,9,11)</f>
        <v>39702</v>
      </c>
      <c r="E12983" s="5">
        <f t="shared" si="214"/>
        <v>2008</v>
      </c>
      <c r="F12983" s="3" t="s">
        <v>2076</v>
      </c>
      <c r="G12983" s="6">
        <v>13531.01</v>
      </c>
      <c r="H12983" s="5">
        <v>11172</v>
      </c>
    </row>
    <row r="12984" spans="2:8" x14ac:dyDescent="0.4">
      <c r="B12984" s="3" t="s">
        <v>7</v>
      </c>
      <c r="C12984" s="3" t="s">
        <v>2075</v>
      </c>
      <c r="D12984" s="4">
        <f>DATE(2008,9,22)</f>
        <v>39713</v>
      </c>
      <c r="E12984" s="5">
        <f t="shared" si="214"/>
        <v>2008</v>
      </c>
      <c r="F12984" s="3" t="s">
        <v>2076</v>
      </c>
      <c r="G12984" s="6">
        <v>10991.32</v>
      </c>
      <c r="H12984" s="5">
        <v>11288</v>
      </c>
    </row>
    <row r="12985" spans="2:8" x14ac:dyDescent="0.4">
      <c r="B12985" s="3" t="s">
        <v>7</v>
      </c>
      <c r="C12985" s="3" t="s">
        <v>2075</v>
      </c>
      <c r="D12985" s="4">
        <f>DATE(2008,9,25)</f>
        <v>39716</v>
      </c>
      <c r="E12985" s="5">
        <f t="shared" si="214"/>
        <v>2008</v>
      </c>
      <c r="F12985" s="3" t="s">
        <v>2076</v>
      </c>
      <c r="G12985" s="6">
        <v>3387.5</v>
      </c>
      <c r="H12985" s="5">
        <v>11311</v>
      </c>
    </row>
    <row r="12986" spans="2:8" x14ac:dyDescent="0.4">
      <c r="B12986" s="3" t="s">
        <v>7</v>
      </c>
      <c r="C12986" s="3" t="s">
        <v>2075</v>
      </c>
      <c r="D12986" s="4">
        <f>DATE(2008,10,6)</f>
        <v>39727</v>
      </c>
      <c r="E12986" s="5">
        <f t="shared" si="214"/>
        <v>2008</v>
      </c>
      <c r="F12986" s="3" t="s">
        <v>2076</v>
      </c>
      <c r="G12986" s="6">
        <v>4678.82</v>
      </c>
      <c r="H12986" s="5">
        <v>11332</v>
      </c>
    </row>
    <row r="12987" spans="2:8" x14ac:dyDescent="0.4">
      <c r="B12987" s="3" t="s">
        <v>7</v>
      </c>
      <c r="C12987" s="3" t="s">
        <v>2075</v>
      </c>
      <c r="D12987" s="4">
        <f>DATE(2008,10,10)</f>
        <v>39731</v>
      </c>
      <c r="E12987" s="5">
        <f t="shared" si="214"/>
        <v>2008</v>
      </c>
      <c r="F12987" s="3" t="s">
        <v>2076</v>
      </c>
      <c r="G12987" s="6">
        <v>6949.18</v>
      </c>
      <c r="H12987" s="5">
        <v>11313</v>
      </c>
    </row>
    <row r="12988" spans="2:8" x14ac:dyDescent="0.4">
      <c r="B12988" s="3" t="s">
        <v>7</v>
      </c>
      <c r="C12988" s="3" t="s">
        <v>2075</v>
      </c>
      <c r="D12988" s="4">
        <f>DATE(2008,10,28)</f>
        <v>39749</v>
      </c>
      <c r="E12988" s="5">
        <f t="shared" si="214"/>
        <v>2008</v>
      </c>
      <c r="F12988" s="3" t="s">
        <v>2076</v>
      </c>
      <c r="G12988" s="6">
        <v>6698.5</v>
      </c>
      <c r="H12988" s="5">
        <v>11423</v>
      </c>
    </row>
    <row r="12989" spans="2:8" x14ac:dyDescent="0.4">
      <c r="B12989" s="3" t="s">
        <v>7</v>
      </c>
      <c r="C12989" s="3" t="s">
        <v>2075</v>
      </c>
      <c r="D12989" s="4">
        <f>DATE(2008,11,7)</f>
        <v>39759</v>
      </c>
      <c r="E12989" s="5">
        <f t="shared" si="214"/>
        <v>2008</v>
      </c>
      <c r="F12989" s="3" t="s">
        <v>2076</v>
      </c>
      <c r="G12989" s="6">
        <v>2020.04</v>
      </c>
      <c r="H12989" s="5">
        <v>11527</v>
      </c>
    </row>
    <row r="12990" spans="2:8" x14ac:dyDescent="0.4">
      <c r="B12990" s="3" t="s">
        <v>7</v>
      </c>
      <c r="C12990" s="3" t="s">
        <v>2075</v>
      </c>
      <c r="D12990" s="4">
        <f>DATE(2008,11,19)</f>
        <v>39771</v>
      </c>
      <c r="E12990" s="5">
        <f t="shared" si="214"/>
        <v>2008</v>
      </c>
      <c r="F12990" s="3" t="s">
        <v>2076</v>
      </c>
      <c r="G12990" s="6">
        <v>2888.33</v>
      </c>
      <c r="H12990" s="5">
        <v>11591</v>
      </c>
    </row>
    <row r="12991" spans="2:8" x14ac:dyDescent="0.4">
      <c r="B12991" s="3" t="s">
        <v>7</v>
      </c>
      <c r="C12991" s="3" t="s">
        <v>2075</v>
      </c>
      <c r="D12991" s="4">
        <f>DATE(2008,12,30)</f>
        <v>39812</v>
      </c>
      <c r="E12991" s="5">
        <f t="shared" si="214"/>
        <v>2008</v>
      </c>
      <c r="F12991" s="3" t="s">
        <v>2076</v>
      </c>
      <c r="G12991" s="6">
        <v>13798.29</v>
      </c>
      <c r="H12991" s="5">
        <v>11651</v>
      </c>
    </row>
    <row r="12992" spans="2:8" x14ac:dyDescent="0.4">
      <c r="B12992" s="3" t="s">
        <v>7</v>
      </c>
      <c r="C12992" s="3" t="s">
        <v>2075</v>
      </c>
      <c r="D12992" s="4">
        <f>DATE(2009,2,13)</f>
        <v>39857</v>
      </c>
      <c r="E12992" s="5">
        <f t="shared" si="214"/>
        <v>2009</v>
      </c>
      <c r="F12992" s="3" t="s">
        <v>2076</v>
      </c>
      <c r="G12992" s="6">
        <v>13763.7</v>
      </c>
      <c r="H12992" s="5">
        <v>11904</v>
      </c>
    </row>
    <row r="12993" spans="2:8" x14ac:dyDescent="0.4">
      <c r="B12993" s="3" t="s">
        <v>7</v>
      </c>
      <c r="C12993" s="3" t="s">
        <v>2075</v>
      </c>
      <c r="D12993" s="4">
        <f>DATE(2009,2,26)</f>
        <v>39870</v>
      </c>
      <c r="E12993" s="5">
        <f t="shared" si="214"/>
        <v>2009</v>
      </c>
      <c r="F12993" s="3" t="s">
        <v>2076</v>
      </c>
      <c r="G12993" s="6">
        <v>17734.009999999998</v>
      </c>
      <c r="H12993" s="5">
        <v>12063</v>
      </c>
    </row>
    <row r="12994" spans="2:8" x14ac:dyDescent="0.4">
      <c r="B12994" s="3" t="s">
        <v>7</v>
      </c>
      <c r="C12994" s="3" t="s">
        <v>2075</v>
      </c>
      <c r="D12994" s="4">
        <f>DATE(2009,3,13)</f>
        <v>39885</v>
      </c>
      <c r="E12994" s="5">
        <f t="shared" si="214"/>
        <v>2009</v>
      </c>
      <c r="F12994" s="3" t="s">
        <v>2076</v>
      </c>
      <c r="G12994" s="6">
        <v>3081.88</v>
      </c>
      <c r="H12994" s="5">
        <v>12179</v>
      </c>
    </row>
    <row r="12995" spans="2:8" x14ac:dyDescent="0.4">
      <c r="B12995" s="3" t="s">
        <v>7</v>
      </c>
      <c r="C12995" s="3" t="s">
        <v>2075</v>
      </c>
      <c r="D12995" s="4">
        <f>DATE(2009,3,13)</f>
        <v>39885</v>
      </c>
      <c r="E12995" s="5">
        <f t="shared" ref="E12995:E13058" si="215">YEAR(D12995)</f>
        <v>2009</v>
      </c>
      <c r="F12995" s="3" t="s">
        <v>2076</v>
      </c>
      <c r="G12995" s="6">
        <v>2362.2800000000002</v>
      </c>
      <c r="H12995" s="5">
        <v>12178</v>
      </c>
    </row>
    <row r="12996" spans="2:8" x14ac:dyDescent="0.4">
      <c r="B12996" s="3" t="s">
        <v>7</v>
      </c>
      <c r="C12996" s="3" t="s">
        <v>2075</v>
      </c>
      <c r="D12996" s="4">
        <f>DATE(2009,4,1)</f>
        <v>39904</v>
      </c>
      <c r="E12996" s="5">
        <f t="shared" si="215"/>
        <v>2009</v>
      </c>
      <c r="F12996" s="3" t="s">
        <v>2076</v>
      </c>
      <c r="G12996" s="6">
        <v>3852.75</v>
      </c>
      <c r="H12996" s="5">
        <v>12316</v>
      </c>
    </row>
    <row r="12997" spans="2:8" x14ac:dyDescent="0.4">
      <c r="B12997" s="3" t="s">
        <v>7</v>
      </c>
      <c r="C12997" s="3" t="s">
        <v>2075</v>
      </c>
      <c r="D12997" s="4">
        <f>DATE(2009,4,3)</f>
        <v>39906</v>
      </c>
      <c r="E12997" s="5">
        <f t="shared" si="215"/>
        <v>2009</v>
      </c>
      <c r="F12997" s="3" t="s">
        <v>2076</v>
      </c>
      <c r="G12997" s="6">
        <v>11706.96</v>
      </c>
      <c r="H12997" s="5">
        <v>12217</v>
      </c>
    </row>
    <row r="12998" spans="2:8" x14ac:dyDescent="0.4">
      <c r="B12998" s="3" t="s">
        <v>7</v>
      </c>
      <c r="C12998" s="3" t="s">
        <v>2075</v>
      </c>
      <c r="D12998" s="4">
        <f>DATE(2009,4,16)</f>
        <v>39919</v>
      </c>
      <c r="E12998" s="5">
        <f t="shared" si="215"/>
        <v>2009</v>
      </c>
      <c r="F12998" s="3" t="s">
        <v>2076</v>
      </c>
      <c r="G12998" s="6">
        <v>5994.67</v>
      </c>
      <c r="H12998" s="5">
        <v>12326</v>
      </c>
    </row>
    <row r="12999" spans="2:8" x14ac:dyDescent="0.4">
      <c r="B12999" s="3" t="s">
        <v>7</v>
      </c>
      <c r="C12999" s="3" t="s">
        <v>2075</v>
      </c>
      <c r="D12999" s="4">
        <f>DATE(2009,4,21)</f>
        <v>39924</v>
      </c>
      <c r="E12999" s="5">
        <f t="shared" si="215"/>
        <v>2009</v>
      </c>
      <c r="F12999" s="3" t="s">
        <v>2076</v>
      </c>
      <c r="G12999" s="6">
        <v>17697.73</v>
      </c>
      <c r="H12999" s="5">
        <v>12345</v>
      </c>
    </row>
    <row r="13000" spans="2:8" x14ac:dyDescent="0.4">
      <c r="B13000" s="3" t="s">
        <v>7</v>
      </c>
      <c r="C13000" s="3" t="s">
        <v>2075</v>
      </c>
      <c r="D13000" s="4">
        <f>DATE(2009,4,23)</f>
        <v>39926</v>
      </c>
      <c r="E13000" s="5">
        <f t="shared" si="215"/>
        <v>2009</v>
      </c>
      <c r="F13000" s="3" t="s">
        <v>2076</v>
      </c>
      <c r="G13000" s="6">
        <v>2012.75</v>
      </c>
      <c r="H13000" s="5">
        <v>12418</v>
      </c>
    </row>
    <row r="13001" spans="2:8" x14ac:dyDescent="0.4">
      <c r="B13001" s="3" t="s">
        <v>7</v>
      </c>
      <c r="C13001" s="3" t="s">
        <v>2075</v>
      </c>
      <c r="D13001" s="4">
        <f>DATE(2009,5,5)</f>
        <v>39938</v>
      </c>
      <c r="E13001" s="5">
        <f t="shared" si="215"/>
        <v>2009</v>
      </c>
      <c r="F13001" s="3" t="s">
        <v>2076</v>
      </c>
      <c r="G13001" s="6">
        <v>9104.26</v>
      </c>
      <c r="H13001" s="5">
        <v>12372</v>
      </c>
    </row>
    <row r="13002" spans="2:8" x14ac:dyDescent="0.4">
      <c r="B13002" s="3" t="s">
        <v>7</v>
      </c>
      <c r="C13002" s="3" t="s">
        <v>2075</v>
      </c>
      <c r="D13002" s="4">
        <f>DATE(2009,5,15)</f>
        <v>39948</v>
      </c>
      <c r="E13002" s="5">
        <f t="shared" si="215"/>
        <v>2009</v>
      </c>
      <c r="F13002" s="3" t="s">
        <v>2076</v>
      </c>
      <c r="G13002" s="6">
        <v>16325.6</v>
      </c>
      <c r="H13002" s="5">
        <v>12448</v>
      </c>
    </row>
    <row r="13003" spans="2:8" x14ac:dyDescent="0.4">
      <c r="B13003" s="3" t="s">
        <v>7</v>
      </c>
      <c r="C13003" s="3" t="s">
        <v>2075</v>
      </c>
      <c r="D13003" s="4">
        <f>DATE(2009,5,22)</f>
        <v>39955</v>
      </c>
      <c r="E13003" s="5">
        <f t="shared" si="215"/>
        <v>2009</v>
      </c>
      <c r="F13003" s="3" t="s">
        <v>2076</v>
      </c>
      <c r="G13003" s="6">
        <v>12243.49</v>
      </c>
      <c r="H13003" s="5">
        <v>12558</v>
      </c>
    </row>
    <row r="13004" spans="2:8" x14ac:dyDescent="0.4">
      <c r="B13004" s="3" t="s">
        <v>7</v>
      </c>
      <c r="C13004" s="3" t="s">
        <v>2075</v>
      </c>
      <c r="D13004" s="4">
        <f>DATE(2009,5,29)</f>
        <v>39962</v>
      </c>
      <c r="E13004" s="5">
        <f t="shared" si="215"/>
        <v>2009</v>
      </c>
      <c r="F13004" s="3" t="s">
        <v>2076</v>
      </c>
      <c r="G13004" s="6">
        <v>7750.59</v>
      </c>
      <c r="H13004" s="5">
        <v>12589</v>
      </c>
    </row>
    <row r="13005" spans="2:8" x14ac:dyDescent="0.4">
      <c r="B13005" s="3" t="s">
        <v>7</v>
      </c>
      <c r="C13005" s="3" t="s">
        <v>2075</v>
      </c>
      <c r="D13005" s="4">
        <f>DATE(2009,6,26)</f>
        <v>39990</v>
      </c>
      <c r="E13005" s="5">
        <f t="shared" si="215"/>
        <v>2009</v>
      </c>
      <c r="F13005" s="3" t="s">
        <v>2076</v>
      </c>
      <c r="G13005" s="6">
        <v>3409.27</v>
      </c>
      <c r="H13005" s="5">
        <v>12734</v>
      </c>
    </row>
    <row r="13006" spans="2:8" x14ac:dyDescent="0.4">
      <c r="B13006" s="3" t="s">
        <v>7</v>
      </c>
      <c r="C13006" s="3" t="s">
        <v>2075</v>
      </c>
      <c r="D13006" s="4">
        <f>DATE(2009,7,22)</f>
        <v>40016</v>
      </c>
      <c r="E13006" s="5">
        <f t="shared" si="215"/>
        <v>2009</v>
      </c>
      <c r="F13006" s="3" t="s">
        <v>2076</v>
      </c>
      <c r="G13006" s="6">
        <v>14943.23</v>
      </c>
      <c r="H13006" s="5">
        <v>12808</v>
      </c>
    </row>
    <row r="13007" spans="2:8" x14ac:dyDescent="0.4">
      <c r="B13007" s="3" t="s">
        <v>7</v>
      </c>
      <c r="C13007" s="3" t="s">
        <v>2075</v>
      </c>
      <c r="D13007" s="4">
        <f>DATE(2009,7,24)</f>
        <v>40018</v>
      </c>
      <c r="E13007" s="5">
        <f t="shared" si="215"/>
        <v>2009</v>
      </c>
      <c r="F13007" s="3" t="s">
        <v>2076</v>
      </c>
      <c r="G13007" s="6">
        <v>6432.85</v>
      </c>
      <c r="H13007" s="5">
        <v>12809</v>
      </c>
    </row>
    <row r="13008" spans="2:8" x14ac:dyDescent="0.4">
      <c r="B13008" s="3" t="s">
        <v>7</v>
      </c>
      <c r="C13008" s="3" t="s">
        <v>2075</v>
      </c>
      <c r="D13008" s="4">
        <f>DATE(2009,8,3)</f>
        <v>40028</v>
      </c>
      <c r="E13008" s="5">
        <f t="shared" si="215"/>
        <v>2009</v>
      </c>
      <c r="F13008" s="3" t="s">
        <v>2076</v>
      </c>
      <c r="G13008" s="6">
        <v>18112.43</v>
      </c>
      <c r="H13008" s="5">
        <v>12805</v>
      </c>
    </row>
    <row r="13009" spans="2:8" x14ac:dyDescent="0.4">
      <c r="B13009" s="3" t="s">
        <v>7</v>
      </c>
      <c r="C13009" s="3" t="s">
        <v>2075</v>
      </c>
      <c r="D13009" s="4">
        <f>DATE(2009,8,7)</f>
        <v>40032</v>
      </c>
      <c r="E13009" s="5">
        <f t="shared" si="215"/>
        <v>2009</v>
      </c>
      <c r="F13009" s="3" t="s">
        <v>2076</v>
      </c>
      <c r="G13009" s="6">
        <v>43014.42</v>
      </c>
      <c r="H13009" s="5">
        <v>12865</v>
      </c>
    </row>
    <row r="13010" spans="2:8" x14ac:dyDescent="0.4">
      <c r="B13010" s="3" t="s">
        <v>7</v>
      </c>
      <c r="C13010" s="3" t="s">
        <v>2075</v>
      </c>
      <c r="D13010" s="4">
        <f>DATE(2009,8,14)</f>
        <v>40039</v>
      </c>
      <c r="E13010" s="5">
        <f t="shared" si="215"/>
        <v>2009</v>
      </c>
      <c r="F13010" s="3" t="s">
        <v>2076</v>
      </c>
      <c r="G13010" s="6">
        <v>20049.310000000001</v>
      </c>
      <c r="H13010" s="5">
        <v>12867</v>
      </c>
    </row>
    <row r="13011" spans="2:8" x14ac:dyDescent="0.4">
      <c r="B13011" s="3" t="s">
        <v>7</v>
      </c>
      <c r="C13011" s="3" t="s">
        <v>2075</v>
      </c>
      <c r="D13011" s="4">
        <f>DATE(2009,8,14)</f>
        <v>40039</v>
      </c>
      <c r="E13011" s="5">
        <f t="shared" si="215"/>
        <v>2009</v>
      </c>
      <c r="F13011" s="3" t="s">
        <v>2076</v>
      </c>
      <c r="G13011" s="6">
        <v>19681.25</v>
      </c>
      <c r="H13011" s="5">
        <v>12922</v>
      </c>
    </row>
    <row r="13012" spans="2:8" x14ac:dyDescent="0.4">
      <c r="B13012" s="3" t="s">
        <v>7</v>
      </c>
      <c r="C13012" s="3" t="s">
        <v>2075</v>
      </c>
      <c r="D13012" s="4">
        <f>DATE(2009,8,27)</f>
        <v>40052</v>
      </c>
      <c r="E13012" s="5">
        <f t="shared" si="215"/>
        <v>2009</v>
      </c>
      <c r="F13012" s="3" t="s">
        <v>2076</v>
      </c>
      <c r="G13012" s="6">
        <v>19778.12</v>
      </c>
      <c r="H13012" s="5">
        <v>12892</v>
      </c>
    </row>
    <row r="13013" spans="2:8" x14ac:dyDescent="0.4">
      <c r="B13013" s="3" t="s">
        <v>7</v>
      </c>
      <c r="C13013" s="3" t="s">
        <v>2075</v>
      </c>
      <c r="D13013" s="4">
        <f>DATE(2009,9,14)</f>
        <v>40070</v>
      </c>
      <c r="E13013" s="5">
        <f t="shared" si="215"/>
        <v>2009</v>
      </c>
      <c r="F13013" s="3" t="s">
        <v>2076</v>
      </c>
      <c r="G13013" s="6">
        <v>33410.519999999997</v>
      </c>
      <c r="H13013" s="5">
        <v>12921</v>
      </c>
    </row>
    <row r="13014" spans="2:8" x14ac:dyDescent="0.4">
      <c r="B13014" s="3" t="s">
        <v>7</v>
      </c>
      <c r="C13014" s="3" t="s">
        <v>2075</v>
      </c>
      <c r="D13014" s="4">
        <f>DATE(2009,10,19)</f>
        <v>40105</v>
      </c>
      <c r="E13014" s="5">
        <f t="shared" si="215"/>
        <v>2009</v>
      </c>
      <c r="F13014" s="3" t="s">
        <v>2076</v>
      </c>
      <c r="G13014" s="6">
        <v>10242.24</v>
      </c>
      <c r="H13014" s="5">
        <v>13101</v>
      </c>
    </row>
    <row r="13015" spans="2:8" x14ac:dyDescent="0.4">
      <c r="B13015" s="3" t="s">
        <v>7</v>
      </c>
      <c r="C13015" s="3" t="s">
        <v>2075</v>
      </c>
      <c r="D13015" s="4">
        <f>DATE(2009,11,3)</f>
        <v>40120</v>
      </c>
      <c r="E13015" s="5">
        <f t="shared" si="215"/>
        <v>2009</v>
      </c>
      <c r="F13015" s="3" t="s">
        <v>2076</v>
      </c>
      <c r="G13015" s="6">
        <v>3848.57</v>
      </c>
      <c r="H13015" s="5">
        <v>13217</v>
      </c>
    </row>
    <row r="13016" spans="2:8" x14ac:dyDescent="0.4">
      <c r="B13016" s="3" t="s">
        <v>7</v>
      </c>
      <c r="C13016" s="3" t="s">
        <v>2075</v>
      </c>
      <c r="D13016" s="4">
        <f>DATE(2009,11,12)</f>
        <v>40129</v>
      </c>
      <c r="E13016" s="5">
        <f t="shared" si="215"/>
        <v>2009</v>
      </c>
      <c r="F13016" s="3" t="s">
        <v>2076</v>
      </c>
      <c r="G13016" s="6">
        <v>341.41</v>
      </c>
      <c r="H13016" s="5">
        <v>13265</v>
      </c>
    </row>
    <row r="13017" spans="2:8" x14ac:dyDescent="0.4">
      <c r="B13017" s="3" t="s">
        <v>7</v>
      </c>
      <c r="C13017" s="3" t="s">
        <v>2075</v>
      </c>
      <c r="D13017" s="4">
        <f>DATE(2009,12,22)</f>
        <v>40169</v>
      </c>
      <c r="E13017" s="5">
        <f t="shared" si="215"/>
        <v>2009</v>
      </c>
      <c r="F13017" s="3" t="s">
        <v>2076</v>
      </c>
      <c r="G13017" s="6">
        <v>2564.52</v>
      </c>
      <c r="H13017" s="5">
        <v>13369</v>
      </c>
    </row>
    <row r="13018" spans="2:8" x14ac:dyDescent="0.4">
      <c r="B13018" s="3" t="s">
        <v>7</v>
      </c>
      <c r="C13018" s="3" t="s">
        <v>2075</v>
      </c>
      <c r="D13018" s="4">
        <f>DATE(2009,12,23)</f>
        <v>40170</v>
      </c>
      <c r="E13018" s="5">
        <f t="shared" si="215"/>
        <v>2009</v>
      </c>
      <c r="F13018" s="3" t="s">
        <v>2076</v>
      </c>
      <c r="G13018" s="6">
        <v>39446.949999999997</v>
      </c>
      <c r="H13018" s="5">
        <v>13356</v>
      </c>
    </row>
    <row r="13019" spans="2:8" x14ac:dyDescent="0.4">
      <c r="B13019" s="3" t="s">
        <v>7</v>
      </c>
      <c r="C13019" s="3" t="s">
        <v>2075</v>
      </c>
      <c r="D13019" s="4">
        <f>DATE(2010,1,8)</f>
        <v>40186</v>
      </c>
      <c r="E13019" s="5">
        <f t="shared" si="215"/>
        <v>2010</v>
      </c>
      <c r="F13019" s="3" t="s">
        <v>2076</v>
      </c>
      <c r="G13019" s="6">
        <v>1109.1099999999999</v>
      </c>
      <c r="H13019" s="5">
        <v>13389</v>
      </c>
    </row>
    <row r="13020" spans="2:8" x14ac:dyDescent="0.4">
      <c r="B13020" s="3" t="s">
        <v>7</v>
      </c>
      <c r="C13020" s="3" t="s">
        <v>2075</v>
      </c>
      <c r="D13020" s="4">
        <f>DATE(2010,2,3)</f>
        <v>40212</v>
      </c>
      <c r="E13020" s="5">
        <f t="shared" si="215"/>
        <v>2010</v>
      </c>
      <c r="F13020" s="3" t="s">
        <v>2076</v>
      </c>
      <c r="G13020" s="6">
        <v>7493.48</v>
      </c>
      <c r="H13020" s="5">
        <v>13456</v>
      </c>
    </row>
    <row r="13021" spans="2:8" x14ac:dyDescent="0.4">
      <c r="B13021" s="3" t="s">
        <v>7</v>
      </c>
      <c r="C13021" s="3" t="s">
        <v>2075</v>
      </c>
      <c r="D13021" s="4">
        <f>DATE(2010,2,5)</f>
        <v>40214</v>
      </c>
      <c r="E13021" s="5">
        <f t="shared" si="215"/>
        <v>2010</v>
      </c>
      <c r="F13021" s="3" t="s">
        <v>2076</v>
      </c>
      <c r="G13021" s="6">
        <v>9948.74</v>
      </c>
      <c r="H13021" s="5">
        <v>13445</v>
      </c>
    </row>
    <row r="13022" spans="2:8" x14ac:dyDescent="0.4">
      <c r="B13022" s="3" t="s">
        <v>7</v>
      </c>
      <c r="C13022" s="3" t="s">
        <v>2075</v>
      </c>
      <c r="D13022" s="4">
        <f>DATE(2010,2,11)</f>
        <v>40220</v>
      </c>
      <c r="E13022" s="5">
        <f t="shared" si="215"/>
        <v>2010</v>
      </c>
      <c r="F13022" s="3" t="s">
        <v>2076</v>
      </c>
      <c r="G13022" s="6">
        <v>7120.05</v>
      </c>
      <c r="H13022" s="5">
        <v>13481</v>
      </c>
    </row>
    <row r="13023" spans="2:8" x14ac:dyDescent="0.4">
      <c r="B13023" s="3" t="s">
        <v>7</v>
      </c>
      <c r="C13023" s="3" t="s">
        <v>2075</v>
      </c>
      <c r="D13023" s="4">
        <f>DATE(2010,3,17)</f>
        <v>40254</v>
      </c>
      <c r="E13023" s="5">
        <f t="shared" si="215"/>
        <v>2010</v>
      </c>
      <c r="F13023" s="3" t="s">
        <v>2076</v>
      </c>
      <c r="G13023" s="6">
        <v>2207.3000000000002</v>
      </c>
      <c r="H13023" s="5">
        <v>13745</v>
      </c>
    </row>
    <row r="13024" spans="2:8" x14ac:dyDescent="0.4">
      <c r="B13024" s="3" t="s">
        <v>7</v>
      </c>
      <c r="C13024" s="3" t="s">
        <v>2075</v>
      </c>
      <c r="D13024" s="4">
        <f>DATE(2010,3,22)</f>
        <v>40259</v>
      </c>
      <c r="E13024" s="5">
        <f t="shared" si="215"/>
        <v>2010</v>
      </c>
      <c r="F13024" s="3" t="s">
        <v>2076</v>
      </c>
      <c r="G13024" s="6">
        <v>33963.72</v>
      </c>
      <c r="H13024" s="5">
        <v>13685</v>
      </c>
    </row>
    <row r="13025" spans="2:8" x14ac:dyDescent="0.4">
      <c r="B13025" s="3" t="s">
        <v>7</v>
      </c>
      <c r="C13025" s="3" t="s">
        <v>2075</v>
      </c>
      <c r="D13025" s="4">
        <f>DATE(2010,3,22)</f>
        <v>40259</v>
      </c>
      <c r="E13025" s="5">
        <f t="shared" si="215"/>
        <v>2010</v>
      </c>
      <c r="F13025" s="3" t="s">
        <v>2076</v>
      </c>
      <c r="G13025" s="6">
        <v>7769.49</v>
      </c>
      <c r="H13025" s="5">
        <v>13740</v>
      </c>
    </row>
    <row r="13026" spans="2:8" x14ac:dyDescent="0.4">
      <c r="B13026" s="3" t="s">
        <v>7</v>
      </c>
      <c r="C13026" s="3" t="s">
        <v>2075</v>
      </c>
      <c r="D13026" s="4">
        <f>DATE(2010,4,5)</f>
        <v>40273</v>
      </c>
      <c r="E13026" s="5">
        <f t="shared" si="215"/>
        <v>2010</v>
      </c>
      <c r="F13026" s="3" t="s">
        <v>2076</v>
      </c>
      <c r="G13026" s="6">
        <v>2021.05</v>
      </c>
      <c r="H13026" s="5">
        <v>13845</v>
      </c>
    </row>
    <row r="13027" spans="2:8" x14ac:dyDescent="0.4">
      <c r="B13027" s="3" t="s">
        <v>7</v>
      </c>
      <c r="C13027" s="3" t="s">
        <v>2075</v>
      </c>
      <c r="D13027" s="4">
        <f>DATE(2010,4,7)</f>
        <v>40275</v>
      </c>
      <c r="E13027" s="5">
        <f t="shared" si="215"/>
        <v>2010</v>
      </c>
      <c r="F13027" s="3" t="s">
        <v>2076</v>
      </c>
      <c r="G13027" s="6">
        <v>3858.05</v>
      </c>
      <c r="H13027" s="5">
        <v>13857</v>
      </c>
    </row>
    <row r="13028" spans="2:8" x14ac:dyDescent="0.4">
      <c r="B13028" s="3" t="s">
        <v>7</v>
      </c>
      <c r="C13028" s="3" t="s">
        <v>2075</v>
      </c>
      <c r="D13028" s="4">
        <f>DATE(2010,4,9)</f>
        <v>40277</v>
      </c>
      <c r="E13028" s="5">
        <f t="shared" si="215"/>
        <v>2010</v>
      </c>
      <c r="F13028" s="3" t="s">
        <v>2076</v>
      </c>
      <c r="G13028" s="6">
        <v>8511.2999999999993</v>
      </c>
      <c r="H13028" s="5">
        <v>13844</v>
      </c>
    </row>
    <row r="13029" spans="2:8" x14ac:dyDescent="0.4">
      <c r="B13029" s="3" t="s">
        <v>7</v>
      </c>
      <c r="C13029" s="3" t="s">
        <v>2075</v>
      </c>
      <c r="D13029" s="4">
        <f>DATE(2010,4,28)</f>
        <v>40296</v>
      </c>
      <c r="E13029" s="5">
        <f t="shared" si="215"/>
        <v>2010</v>
      </c>
      <c r="F13029" s="3" t="s">
        <v>2076</v>
      </c>
      <c r="G13029" s="6">
        <v>5359.49</v>
      </c>
      <c r="H13029" s="5">
        <v>13912</v>
      </c>
    </row>
    <row r="13030" spans="2:8" x14ac:dyDescent="0.4">
      <c r="B13030" s="3" t="s">
        <v>7</v>
      </c>
      <c r="C13030" s="3" t="s">
        <v>2075</v>
      </c>
      <c r="D13030" s="4">
        <f>DATE(2010,4,30)</f>
        <v>40298</v>
      </c>
      <c r="E13030" s="5">
        <f t="shared" si="215"/>
        <v>2010</v>
      </c>
      <c r="F13030" s="3" t="s">
        <v>2076</v>
      </c>
      <c r="G13030" s="6">
        <v>4195.49</v>
      </c>
      <c r="H13030" s="5">
        <v>13974</v>
      </c>
    </row>
    <row r="13031" spans="2:8" x14ac:dyDescent="0.4">
      <c r="B13031" s="3" t="s">
        <v>7</v>
      </c>
      <c r="C13031" s="3" t="s">
        <v>2075</v>
      </c>
      <c r="D13031" s="4">
        <f>DATE(2010,5,10)</f>
        <v>40308</v>
      </c>
      <c r="E13031" s="5">
        <f t="shared" si="215"/>
        <v>2010</v>
      </c>
      <c r="F13031" s="3" t="s">
        <v>2076</v>
      </c>
      <c r="G13031" s="6">
        <v>22661.43</v>
      </c>
      <c r="H13031" s="5">
        <v>13775</v>
      </c>
    </row>
    <row r="13032" spans="2:8" x14ac:dyDescent="0.4">
      <c r="B13032" s="3" t="s">
        <v>7</v>
      </c>
      <c r="C13032" s="3" t="s">
        <v>2075</v>
      </c>
      <c r="D13032" s="4">
        <f>DATE(2010,5,25)</f>
        <v>40323</v>
      </c>
      <c r="E13032" s="5">
        <f t="shared" si="215"/>
        <v>2010</v>
      </c>
      <c r="F13032" s="3" t="s">
        <v>2076</v>
      </c>
      <c r="G13032" s="6">
        <v>585.99</v>
      </c>
      <c r="H13032" s="5">
        <v>14100</v>
      </c>
    </row>
    <row r="13033" spans="2:8" x14ac:dyDescent="0.4">
      <c r="B13033" s="3" t="s">
        <v>7</v>
      </c>
      <c r="C13033" s="3" t="s">
        <v>2075</v>
      </c>
      <c r="D13033" s="4">
        <f>DATE(2010,5,28)</f>
        <v>40326</v>
      </c>
      <c r="E13033" s="5">
        <f t="shared" si="215"/>
        <v>2010</v>
      </c>
      <c r="F13033" s="3" t="s">
        <v>2076</v>
      </c>
      <c r="G13033" s="6">
        <v>9917.7099999999991</v>
      </c>
      <c r="H13033" s="5">
        <v>14070</v>
      </c>
    </row>
    <row r="13034" spans="2:8" x14ac:dyDescent="0.4">
      <c r="B13034" s="3" t="s">
        <v>7</v>
      </c>
      <c r="C13034" s="3" t="s">
        <v>2075</v>
      </c>
      <c r="D13034" s="4">
        <f>DATE(2010,5,28)</f>
        <v>40326</v>
      </c>
      <c r="E13034" s="5">
        <f t="shared" si="215"/>
        <v>2010</v>
      </c>
      <c r="F13034" s="3" t="s">
        <v>2076</v>
      </c>
      <c r="G13034" s="6">
        <v>22574.19</v>
      </c>
      <c r="H13034" s="5">
        <v>14048</v>
      </c>
    </row>
    <row r="13035" spans="2:8" x14ac:dyDescent="0.4">
      <c r="B13035" s="3" t="s">
        <v>7</v>
      </c>
      <c r="C13035" s="3" t="s">
        <v>2075</v>
      </c>
      <c r="D13035" s="4">
        <f>DATE(2010,6,2)</f>
        <v>40331</v>
      </c>
      <c r="E13035" s="5">
        <f t="shared" si="215"/>
        <v>2010</v>
      </c>
      <c r="F13035" s="3" t="s">
        <v>2076</v>
      </c>
      <c r="G13035" s="6">
        <v>246</v>
      </c>
      <c r="H13035" s="5">
        <v>14134</v>
      </c>
    </row>
    <row r="13036" spans="2:8" x14ac:dyDescent="0.4">
      <c r="B13036" s="3" t="s">
        <v>7</v>
      </c>
      <c r="C13036" s="3" t="s">
        <v>2075</v>
      </c>
      <c r="D13036" s="4">
        <f>DATE(2010,6,4)</f>
        <v>40333</v>
      </c>
      <c r="E13036" s="5">
        <f t="shared" si="215"/>
        <v>2010</v>
      </c>
      <c r="F13036" s="3" t="s">
        <v>2076</v>
      </c>
      <c r="G13036" s="6">
        <v>19845.48</v>
      </c>
      <c r="H13036" s="5">
        <v>14066</v>
      </c>
    </row>
    <row r="13037" spans="2:8" x14ac:dyDescent="0.4">
      <c r="B13037" s="3" t="s">
        <v>7</v>
      </c>
      <c r="C13037" s="3" t="s">
        <v>2075</v>
      </c>
      <c r="D13037" s="4">
        <f>DATE(2010,6,15)</f>
        <v>40344</v>
      </c>
      <c r="E13037" s="5">
        <f t="shared" si="215"/>
        <v>2010</v>
      </c>
      <c r="F13037" s="3" t="s">
        <v>2076</v>
      </c>
      <c r="G13037" s="6">
        <v>468.57</v>
      </c>
      <c r="H13037" s="5">
        <v>14176</v>
      </c>
    </row>
    <row r="13038" spans="2:8" x14ac:dyDescent="0.4">
      <c r="B13038" s="3" t="s">
        <v>7</v>
      </c>
      <c r="C13038" s="3" t="s">
        <v>2075</v>
      </c>
      <c r="D13038" s="4">
        <f>DATE(2010,7,2)</f>
        <v>40361</v>
      </c>
      <c r="E13038" s="5">
        <f t="shared" si="215"/>
        <v>2010</v>
      </c>
      <c r="F13038" s="3" t="s">
        <v>2076</v>
      </c>
      <c r="G13038" s="6">
        <v>1944.31</v>
      </c>
      <c r="H13038" s="5">
        <v>14250</v>
      </c>
    </row>
    <row r="13039" spans="2:8" x14ac:dyDescent="0.4">
      <c r="B13039" s="3" t="s">
        <v>7</v>
      </c>
      <c r="C13039" s="3" t="s">
        <v>2075</v>
      </c>
      <c r="D13039" s="4">
        <f>DATE(2010,7,16)</f>
        <v>40375</v>
      </c>
      <c r="E13039" s="5">
        <f t="shared" si="215"/>
        <v>2010</v>
      </c>
      <c r="F13039" s="3" t="s">
        <v>2076</v>
      </c>
      <c r="G13039" s="6">
        <v>14991.53</v>
      </c>
      <c r="H13039" s="5">
        <v>14215</v>
      </c>
    </row>
    <row r="13040" spans="2:8" x14ac:dyDescent="0.4">
      <c r="B13040" s="3" t="s">
        <v>7</v>
      </c>
      <c r="C13040" s="3" t="s">
        <v>2075</v>
      </c>
      <c r="D13040" s="4">
        <f>DATE(2010,7,29)</f>
        <v>40388</v>
      </c>
      <c r="E13040" s="5">
        <f t="shared" si="215"/>
        <v>2010</v>
      </c>
      <c r="F13040" s="3" t="s">
        <v>2076</v>
      </c>
      <c r="G13040" s="6">
        <v>13260.35</v>
      </c>
      <c r="H13040" s="5">
        <v>14277</v>
      </c>
    </row>
    <row r="13041" spans="2:8" x14ac:dyDescent="0.4">
      <c r="B13041" s="3" t="s">
        <v>7</v>
      </c>
      <c r="C13041" s="3" t="s">
        <v>2075</v>
      </c>
      <c r="D13041" s="4">
        <f>DATE(2010,8,12)</f>
        <v>40402</v>
      </c>
      <c r="E13041" s="5">
        <f t="shared" si="215"/>
        <v>2010</v>
      </c>
      <c r="F13041" s="3" t="s">
        <v>2076</v>
      </c>
      <c r="G13041" s="6">
        <v>19529.23</v>
      </c>
      <c r="H13041" s="5">
        <v>14339</v>
      </c>
    </row>
    <row r="13042" spans="2:8" x14ac:dyDescent="0.4">
      <c r="B13042" s="3" t="s">
        <v>7</v>
      </c>
      <c r="C13042" s="3" t="s">
        <v>2075</v>
      </c>
      <c r="D13042" s="4">
        <f>DATE(2010,8,17)</f>
        <v>40407</v>
      </c>
      <c r="E13042" s="5">
        <f t="shared" si="215"/>
        <v>2010</v>
      </c>
      <c r="F13042" s="3" t="s">
        <v>2076</v>
      </c>
      <c r="G13042" s="6">
        <v>3883.05</v>
      </c>
      <c r="H13042" s="5">
        <v>14364</v>
      </c>
    </row>
    <row r="13043" spans="2:8" x14ac:dyDescent="0.4">
      <c r="B13043" s="3" t="s">
        <v>7</v>
      </c>
      <c r="C13043" s="3" t="s">
        <v>2075</v>
      </c>
      <c r="D13043" s="4">
        <f>DATE(2010,8,18)</f>
        <v>40408</v>
      </c>
      <c r="E13043" s="5">
        <f t="shared" si="215"/>
        <v>2010</v>
      </c>
      <c r="F13043" s="3" t="s">
        <v>2076</v>
      </c>
      <c r="G13043" s="6">
        <v>854.46</v>
      </c>
      <c r="H13043" s="5">
        <v>14373</v>
      </c>
    </row>
    <row r="13044" spans="2:8" x14ac:dyDescent="0.4">
      <c r="B13044" s="3" t="s">
        <v>7</v>
      </c>
      <c r="C13044" s="3" t="s">
        <v>2075</v>
      </c>
      <c r="D13044" s="4">
        <f>DATE(2010,9,3)</f>
        <v>40424</v>
      </c>
      <c r="E13044" s="5">
        <f t="shared" si="215"/>
        <v>2010</v>
      </c>
      <c r="F13044" s="3" t="s">
        <v>2076</v>
      </c>
      <c r="G13044" s="6">
        <v>2380.75</v>
      </c>
      <c r="H13044" s="5">
        <v>14415</v>
      </c>
    </row>
    <row r="13045" spans="2:8" x14ac:dyDescent="0.4">
      <c r="B13045" s="3" t="s">
        <v>7</v>
      </c>
      <c r="C13045" s="3" t="s">
        <v>2075</v>
      </c>
      <c r="D13045" s="4">
        <f>DATE(2010,9,16)</f>
        <v>40437</v>
      </c>
      <c r="E13045" s="5">
        <f t="shared" si="215"/>
        <v>2010</v>
      </c>
      <c r="F13045" s="3" t="s">
        <v>2076</v>
      </c>
      <c r="G13045" s="6">
        <v>11954.33</v>
      </c>
      <c r="H13045" s="5">
        <v>14445</v>
      </c>
    </row>
    <row r="13046" spans="2:8" x14ac:dyDescent="0.4">
      <c r="B13046" s="3" t="s">
        <v>7</v>
      </c>
      <c r="C13046" s="3" t="s">
        <v>2075</v>
      </c>
      <c r="D13046" s="4">
        <f>DATE(2010,9,24)</f>
        <v>40445</v>
      </c>
      <c r="E13046" s="5">
        <f t="shared" si="215"/>
        <v>2010</v>
      </c>
      <c r="F13046" s="3" t="s">
        <v>2076</v>
      </c>
      <c r="G13046" s="6">
        <v>1389.01</v>
      </c>
      <c r="H13046" s="5">
        <v>14491</v>
      </c>
    </row>
    <row r="13047" spans="2:8" x14ac:dyDescent="0.4">
      <c r="B13047" s="3" t="s">
        <v>7</v>
      </c>
      <c r="C13047" s="3" t="s">
        <v>2075</v>
      </c>
      <c r="D13047" s="4">
        <f>DATE(2010,9,24)</f>
        <v>40445</v>
      </c>
      <c r="E13047" s="5">
        <f t="shared" si="215"/>
        <v>2010</v>
      </c>
      <c r="F13047" s="3" t="s">
        <v>2076</v>
      </c>
      <c r="G13047" s="6">
        <v>1310.0999999999999</v>
      </c>
      <c r="H13047" s="5">
        <v>14492</v>
      </c>
    </row>
    <row r="13048" spans="2:8" x14ac:dyDescent="0.4">
      <c r="B13048" s="3" t="s">
        <v>7</v>
      </c>
      <c r="C13048" s="3" t="s">
        <v>2075</v>
      </c>
      <c r="D13048" s="4">
        <f>DATE(2010,10,22)</f>
        <v>40473</v>
      </c>
      <c r="E13048" s="5">
        <f t="shared" si="215"/>
        <v>2010</v>
      </c>
      <c r="F13048" s="3" t="s">
        <v>2076</v>
      </c>
      <c r="G13048" s="6">
        <v>44938.400000000001</v>
      </c>
      <c r="H13048" s="5">
        <v>14444</v>
      </c>
    </row>
    <row r="13049" spans="2:8" x14ac:dyDescent="0.4">
      <c r="B13049" s="3" t="s">
        <v>7</v>
      </c>
      <c r="C13049" s="3" t="s">
        <v>2075</v>
      </c>
      <c r="D13049" s="4">
        <f>DATE(2010,11,2)</f>
        <v>40484</v>
      </c>
      <c r="E13049" s="5">
        <f t="shared" si="215"/>
        <v>2010</v>
      </c>
      <c r="F13049" s="3" t="s">
        <v>2076</v>
      </c>
      <c r="G13049" s="6">
        <v>15377.4</v>
      </c>
      <c r="H13049" s="5">
        <v>14726</v>
      </c>
    </row>
    <row r="13050" spans="2:8" x14ac:dyDescent="0.4">
      <c r="B13050" s="3" t="s">
        <v>7</v>
      </c>
      <c r="C13050" s="3" t="s">
        <v>2075</v>
      </c>
      <c r="D13050" s="4">
        <f>DATE(2010,12,10)</f>
        <v>40522</v>
      </c>
      <c r="E13050" s="5">
        <f t="shared" si="215"/>
        <v>2010</v>
      </c>
      <c r="F13050" s="3" t="s">
        <v>2076</v>
      </c>
      <c r="G13050" s="6">
        <v>20259.12</v>
      </c>
      <c r="H13050" s="5">
        <v>14797</v>
      </c>
    </row>
    <row r="13051" spans="2:8" x14ac:dyDescent="0.4">
      <c r="B13051" s="3" t="s">
        <v>7</v>
      </c>
      <c r="C13051" s="3" t="s">
        <v>2075</v>
      </c>
      <c r="D13051" s="4">
        <f>DATE(2011,1,26)</f>
        <v>40569</v>
      </c>
      <c r="E13051" s="5">
        <f t="shared" si="215"/>
        <v>2011</v>
      </c>
      <c r="F13051" s="3" t="s">
        <v>2076</v>
      </c>
      <c r="G13051" s="6">
        <v>32432.83</v>
      </c>
      <c r="H13051" s="5">
        <v>14875</v>
      </c>
    </row>
    <row r="13052" spans="2:8" x14ac:dyDescent="0.4">
      <c r="B13052" s="3" t="s">
        <v>7</v>
      </c>
      <c r="C13052" s="3" t="s">
        <v>2075</v>
      </c>
      <c r="D13052" s="4">
        <f>DATE(2011,1,28)</f>
        <v>40571</v>
      </c>
      <c r="E13052" s="5">
        <f t="shared" si="215"/>
        <v>2011</v>
      </c>
      <c r="F13052" s="3" t="s">
        <v>2076</v>
      </c>
      <c r="G13052" s="6">
        <v>18727.759999999998</v>
      </c>
      <c r="H13052" s="5">
        <v>14893</v>
      </c>
    </row>
    <row r="13053" spans="2:8" x14ac:dyDescent="0.4">
      <c r="B13053" s="3" t="s">
        <v>7</v>
      </c>
      <c r="C13053" s="3" t="s">
        <v>2075</v>
      </c>
      <c r="D13053" s="4">
        <f>DATE(2011,1,31)</f>
        <v>40574</v>
      </c>
      <c r="E13053" s="5">
        <f t="shared" si="215"/>
        <v>2011</v>
      </c>
      <c r="F13053" s="3" t="s">
        <v>2076</v>
      </c>
      <c r="G13053" s="6">
        <v>2774.65</v>
      </c>
      <c r="H13053" s="5">
        <v>14901</v>
      </c>
    </row>
    <row r="13054" spans="2:8" x14ac:dyDescent="0.4">
      <c r="B13054" s="3" t="s">
        <v>7</v>
      </c>
      <c r="C13054" s="3" t="s">
        <v>2075</v>
      </c>
      <c r="D13054" s="4">
        <f>DATE(2011,2,4)</f>
        <v>40578</v>
      </c>
      <c r="E13054" s="5">
        <f t="shared" si="215"/>
        <v>2011</v>
      </c>
      <c r="F13054" s="3" t="s">
        <v>2076</v>
      </c>
      <c r="G13054" s="6">
        <v>18756.95</v>
      </c>
      <c r="H13054" s="5">
        <v>14874</v>
      </c>
    </row>
    <row r="13055" spans="2:8" x14ac:dyDescent="0.4">
      <c r="B13055" s="3" t="s">
        <v>7</v>
      </c>
      <c r="C13055" s="3" t="s">
        <v>2075</v>
      </c>
      <c r="D13055" s="4">
        <f>DATE(2011,2,11)</f>
        <v>40585</v>
      </c>
      <c r="E13055" s="5">
        <f t="shared" si="215"/>
        <v>2011</v>
      </c>
      <c r="F13055" s="3" t="s">
        <v>2076</v>
      </c>
      <c r="G13055" s="6">
        <v>11939.78</v>
      </c>
      <c r="H13055" s="5">
        <v>15024</v>
      </c>
    </row>
    <row r="13056" spans="2:8" x14ac:dyDescent="0.4">
      <c r="B13056" s="3" t="s">
        <v>7</v>
      </c>
      <c r="C13056" s="3" t="s">
        <v>2075</v>
      </c>
      <c r="D13056" s="4">
        <f>DATE(2011,2,16)</f>
        <v>40590</v>
      </c>
      <c r="E13056" s="5">
        <f t="shared" si="215"/>
        <v>2011</v>
      </c>
      <c r="F13056" s="3" t="s">
        <v>2076</v>
      </c>
      <c r="G13056" s="6">
        <v>14188.15</v>
      </c>
      <c r="H13056" s="5">
        <v>15014</v>
      </c>
    </row>
    <row r="13057" spans="2:8" x14ac:dyDescent="0.4">
      <c r="B13057" s="3" t="s">
        <v>7</v>
      </c>
      <c r="C13057" s="3" t="s">
        <v>2075</v>
      </c>
      <c r="D13057" s="4">
        <f>DATE(2011,2,18)</f>
        <v>40592</v>
      </c>
      <c r="E13057" s="5">
        <f t="shared" si="215"/>
        <v>2011</v>
      </c>
      <c r="F13057" s="3" t="s">
        <v>2076</v>
      </c>
      <c r="G13057" s="6">
        <v>2234.6</v>
      </c>
      <c r="H13057" s="5">
        <v>15089</v>
      </c>
    </row>
    <row r="13058" spans="2:8" x14ac:dyDescent="0.4">
      <c r="B13058" s="3" t="s">
        <v>7</v>
      </c>
      <c r="C13058" s="3" t="s">
        <v>2075</v>
      </c>
      <c r="D13058" s="4">
        <f>DATE(2011,3,3)</f>
        <v>40605</v>
      </c>
      <c r="E13058" s="5">
        <f t="shared" si="215"/>
        <v>2011</v>
      </c>
      <c r="F13058" s="3" t="s">
        <v>2076</v>
      </c>
      <c r="G13058" s="6">
        <v>7289.7</v>
      </c>
      <c r="H13058" s="5">
        <v>14931</v>
      </c>
    </row>
    <row r="13059" spans="2:8" x14ac:dyDescent="0.4">
      <c r="B13059" s="3" t="s">
        <v>7</v>
      </c>
      <c r="C13059" s="3" t="s">
        <v>2075</v>
      </c>
      <c r="D13059" s="4">
        <f>DATE(2011,4,6)</f>
        <v>40639</v>
      </c>
      <c r="E13059" s="5">
        <f t="shared" ref="E13059:E13122" si="216">YEAR(D13059)</f>
        <v>2011</v>
      </c>
      <c r="F13059" s="3" t="s">
        <v>2076</v>
      </c>
      <c r="G13059" s="6">
        <v>17733.54</v>
      </c>
      <c r="H13059" s="5">
        <v>15314</v>
      </c>
    </row>
    <row r="13060" spans="2:8" x14ac:dyDescent="0.4">
      <c r="B13060" s="3" t="s">
        <v>7</v>
      </c>
      <c r="C13060" s="3" t="s">
        <v>2075</v>
      </c>
      <c r="D13060" s="4">
        <f>DATE(2011,4,6)</f>
        <v>40639</v>
      </c>
      <c r="E13060" s="5">
        <f t="shared" si="216"/>
        <v>2011</v>
      </c>
      <c r="F13060" s="3" t="s">
        <v>2076</v>
      </c>
      <c r="G13060" s="6">
        <v>184</v>
      </c>
      <c r="H13060" s="5">
        <v>15352</v>
      </c>
    </row>
    <row r="13061" spans="2:8" x14ac:dyDescent="0.4">
      <c r="B13061" s="3" t="s">
        <v>7</v>
      </c>
      <c r="C13061" s="3" t="s">
        <v>2075</v>
      </c>
      <c r="D13061" s="4">
        <f>DATE(2011,4,6)</f>
        <v>40639</v>
      </c>
      <c r="E13061" s="5">
        <f t="shared" si="216"/>
        <v>2011</v>
      </c>
      <c r="F13061" s="3" t="s">
        <v>2076</v>
      </c>
      <c r="G13061" s="6">
        <v>2900</v>
      </c>
      <c r="H13061" s="5">
        <v>15328</v>
      </c>
    </row>
    <row r="13062" spans="2:8" x14ac:dyDescent="0.4">
      <c r="B13062" s="3" t="s">
        <v>7</v>
      </c>
      <c r="C13062" s="3" t="s">
        <v>2075</v>
      </c>
      <c r="D13062" s="4">
        <f>DATE(2011,4,19)</f>
        <v>40652</v>
      </c>
      <c r="E13062" s="5">
        <f t="shared" si="216"/>
        <v>2011</v>
      </c>
      <c r="F13062" s="3" t="s">
        <v>2076</v>
      </c>
      <c r="G13062" s="6">
        <v>16443.900000000001</v>
      </c>
      <c r="H13062" s="5">
        <v>15376</v>
      </c>
    </row>
    <row r="13063" spans="2:8" x14ac:dyDescent="0.4">
      <c r="B13063" s="3" t="s">
        <v>7</v>
      </c>
      <c r="C13063" s="3" t="s">
        <v>2075</v>
      </c>
      <c r="D13063" s="4">
        <f>DATE(2011,4,20)</f>
        <v>40653</v>
      </c>
      <c r="E13063" s="5">
        <f t="shared" si="216"/>
        <v>2011</v>
      </c>
      <c r="F13063" s="3" t="s">
        <v>2076</v>
      </c>
      <c r="G13063" s="6">
        <v>2205.6999999999998</v>
      </c>
      <c r="H13063" s="5">
        <v>15437</v>
      </c>
    </row>
    <row r="13064" spans="2:8" x14ac:dyDescent="0.4">
      <c r="B13064" s="3" t="s">
        <v>7</v>
      </c>
      <c r="C13064" s="3" t="s">
        <v>2075</v>
      </c>
      <c r="D13064" s="4">
        <f>DATE(2011,5,12)</f>
        <v>40675</v>
      </c>
      <c r="E13064" s="5">
        <f t="shared" si="216"/>
        <v>2011</v>
      </c>
      <c r="F13064" s="3" t="s">
        <v>2076</v>
      </c>
      <c r="G13064" s="6">
        <v>2186</v>
      </c>
      <c r="H13064" s="5">
        <v>15519</v>
      </c>
    </row>
    <row r="13065" spans="2:8" x14ac:dyDescent="0.4">
      <c r="B13065" s="3" t="s">
        <v>7</v>
      </c>
      <c r="C13065" s="3" t="s">
        <v>2075</v>
      </c>
      <c r="D13065" s="4">
        <f>DATE(2011,5,16)</f>
        <v>40679</v>
      </c>
      <c r="E13065" s="5">
        <f t="shared" si="216"/>
        <v>2011</v>
      </c>
      <c r="F13065" s="3" t="s">
        <v>2076</v>
      </c>
      <c r="G13065" s="6">
        <v>15040.78</v>
      </c>
      <c r="H13065" s="5">
        <v>15492</v>
      </c>
    </row>
    <row r="13066" spans="2:8" x14ac:dyDescent="0.4">
      <c r="B13066" s="3" t="s">
        <v>7</v>
      </c>
      <c r="C13066" s="3" t="s">
        <v>2075</v>
      </c>
      <c r="D13066" s="4">
        <f>DATE(2011,6,3)</f>
        <v>40697</v>
      </c>
      <c r="E13066" s="5">
        <f t="shared" si="216"/>
        <v>2011</v>
      </c>
      <c r="F13066" s="3" t="s">
        <v>2076</v>
      </c>
      <c r="G13066" s="6">
        <v>15415.89</v>
      </c>
      <c r="H13066" s="5">
        <v>15572</v>
      </c>
    </row>
    <row r="13067" spans="2:8" x14ac:dyDescent="0.4">
      <c r="B13067" s="3" t="s">
        <v>7</v>
      </c>
      <c r="C13067" s="3" t="s">
        <v>2075</v>
      </c>
      <c r="D13067" s="4">
        <f>DATE(2011,7,1)</f>
        <v>40725</v>
      </c>
      <c r="E13067" s="5">
        <f t="shared" si="216"/>
        <v>2011</v>
      </c>
      <c r="F13067" s="3" t="s">
        <v>2076</v>
      </c>
      <c r="G13067" s="6">
        <v>10959.51</v>
      </c>
      <c r="H13067" s="5">
        <v>15703</v>
      </c>
    </row>
    <row r="13068" spans="2:8" x14ac:dyDescent="0.4">
      <c r="B13068" s="3" t="s">
        <v>7</v>
      </c>
      <c r="C13068" s="3" t="s">
        <v>2075</v>
      </c>
      <c r="D13068" s="4">
        <f>DATE(2011,7,6)</f>
        <v>40730</v>
      </c>
      <c r="E13068" s="5">
        <f t="shared" si="216"/>
        <v>2011</v>
      </c>
      <c r="F13068" s="3" t="s">
        <v>2076</v>
      </c>
      <c r="G13068" s="6">
        <v>8149.64</v>
      </c>
      <c r="H13068" s="5">
        <v>15709</v>
      </c>
    </row>
    <row r="13069" spans="2:8" x14ac:dyDescent="0.4">
      <c r="B13069" s="3" t="s">
        <v>7</v>
      </c>
      <c r="C13069" s="3" t="s">
        <v>2075</v>
      </c>
      <c r="D13069" s="4">
        <f>DATE(2011,7,8)</f>
        <v>40732</v>
      </c>
      <c r="E13069" s="5">
        <f t="shared" si="216"/>
        <v>2011</v>
      </c>
      <c r="F13069" s="3" t="s">
        <v>2076</v>
      </c>
      <c r="G13069" s="6">
        <v>3865.25</v>
      </c>
      <c r="H13069" s="5">
        <v>15757</v>
      </c>
    </row>
    <row r="13070" spans="2:8" x14ac:dyDescent="0.4">
      <c r="B13070" s="3" t="s">
        <v>7</v>
      </c>
      <c r="C13070" s="3" t="s">
        <v>2075</v>
      </c>
      <c r="D13070" s="4">
        <f>DATE(2011,7,21)</f>
        <v>40745</v>
      </c>
      <c r="E13070" s="5">
        <f t="shared" si="216"/>
        <v>2011</v>
      </c>
      <c r="F13070" s="3" t="s">
        <v>2076</v>
      </c>
      <c r="G13070" s="6">
        <v>19929.12</v>
      </c>
      <c r="H13070" s="5">
        <v>15734</v>
      </c>
    </row>
    <row r="13071" spans="2:8" x14ac:dyDescent="0.4">
      <c r="B13071" s="3" t="s">
        <v>7</v>
      </c>
      <c r="C13071" s="3" t="s">
        <v>2075</v>
      </c>
      <c r="D13071" s="4">
        <f>DATE(2011,7,22)</f>
        <v>40746</v>
      </c>
      <c r="E13071" s="5">
        <f t="shared" si="216"/>
        <v>2011</v>
      </c>
      <c r="F13071" s="3" t="s">
        <v>2076</v>
      </c>
      <c r="G13071" s="6">
        <v>8705.33</v>
      </c>
      <c r="H13071" s="5">
        <v>15710</v>
      </c>
    </row>
    <row r="13072" spans="2:8" x14ac:dyDescent="0.4">
      <c r="B13072" s="3" t="s">
        <v>7</v>
      </c>
      <c r="C13072" s="3" t="s">
        <v>2075</v>
      </c>
      <c r="D13072" s="4">
        <f>DATE(2011,8,16)</f>
        <v>40771</v>
      </c>
      <c r="E13072" s="5">
        <f t="shared" si="216"/>
        <v>2011</v>
      </c>
      <c r="F13072" s="3" t="s">
        <v>2076</v>
      </c>
      <c r="G13072" s="6">
        <v>18296.48</v>
      </c>
      <c r="H13072" s="5">
        <v>15840</v>
      </c>
    </row>
    <row r="13073" spans="2:8" x14ac:dyDescent="0.4">
      <c r="B13073" s="3" t="s">
        <v>7</v>
      </c>
      <c r="C13073" s="3" t="s">
        <v>2075</v>
      </c>
      <c r="D13073" s="4">
        <f>DATE(2011,8,22)</f>
        <v>40777</v>
      </c>
      <c r="E13073" s="5">
        <f t="shared" si="216"/>
        <v>2011</v>
      </c>
      <c r="F13073" s="3" t="s">
        <v>2076</v>
      </c>
      <c r="G13073" s="6">
        <v>4356.3</v>
      </c>
      <c r="H13073" s="5">
        <v>15898</v>
      </c>
    </row>
    <row r="13074" spans="2:8" x14ac:dyDescent="0.4">
      <c r="B13074" s="3" t="s">
        <v>7</v>
      </c>
      <c r="C13074" s="3" t="s">
        <v>2075</v>
      </c>
      <c r="D13074" s="4">
        <f>DATE(2011,8,30)</f>
        <v>40785</v>
      </c>
      <c r="E13074" s="5">
        <f t="shared" si="216"/>
        <v>2011</v>
      </c>
      <c r="F13074" s="3" t="s">
        <v>2076</v>
      </c>
      <c r="G13074" s="6">
        <v>17073.62</v>
      </c>
      <c r="H13074" s="5">
        <v>15873</v>
      </c>
    </row>
    <row r="13075" spans="2:8" x14ac:dyDescent="0.4">
      <c r="B13075" s="3" t="s">
        <v>7</v>
      </c>
      <c r="C13075" s="3" t="s">
        <v>2075</v>
      </c>
      <c r="D13075" s="4">
        <f>DATE(2011,9,2)</f>
        <v>40788</v>
      </c>
      <c r="E13075" s="5">
        <f t="shared" si="216"/>
        <v>2011</v>
      </c>
      <c r="F13075" s="3" t="s">
        <v>2076</v>
      </c>
      <c r="G13075" s="6">
        <v>18688.509999999998</v>
      </c>
      <c r="H13075" s="5">
        <v>15875</v>
      </c>
    </row>
    <row r="13076" spans="2:8" x14ac:dyDescent="0.4">
      <c r="B13076" s="3" t="s">
        <v>7</v>
      </c>
      <c r="C13076" s="3" t="s">
        <v>2075</v>
      </c>
      <c r="D13076" s="4">
        <f>DATE(2011,9,6)</f>
        <v>40792</v>
      </c>
      <c r="E13076" s="5">
        <f t="shared" si="216"/>
        <v>2011</v>
      </c>
      <c r="F13076" s="3" t="s">
        <v>2076</v>
      </c>
      <c r="G13076" s="6">
        <v>16002.86</v>
      </c>
      <c r="H13076" s="5">
        <v>15875</v>
      </c>
    </row>
    <row r="13077" spans="2:8" x14ac:dyDescent="0.4">
      <c r="B13077" s="3" t="s">
        <v>7</v>
      </c>
      <c r="C13077" s="3" t="s">
        <v>2075</v>
      </c>
      <c r="D13077" s="4">
        <f>DATE(2011,9,23)</f>
        <v>40809</v>
      </c>
      <c r="E13077" s="5">
        <f t="shared" si="216"/>
        <v>2011</v>
      </c>
      <c r="F13077" s="3" t="s">
        <v>2076</v>
      </c>
      <c r="G13077" s="6">
        <v>14180.05</v>
      </c>
      <c r="H13077" s="5">
        <v>15953</v>
      </c>
    </row>
    <row r="13078" spans="2:8" x14ac:dyDescent="0.4">
      <c r="B13078" s="3" t="s">
        <v>7</v>
      </c>
      <c r="C13078" s="3" t="s">
        <v>2075</v>
      </c>
      <c r="D13078" s="4">
        <f>DATE(2011,11,28)</f>
        <v>40875</v>
      </c>
      <c r="E13078" s="5">
        <f t="shared" si="216"/>
        <v>2011</v>
      </c>
      <c r="F13078" s="3" t="s">
        <v>2076</v>
      </c>
      <c r="G13078" s="6">
        <v>24912.59</v>
      </c>
      <c r="H13078" s="5">
        <v>16205</v>
      </c>
    </row>
    <row r="13079" spans="2:8" x14ac:dyDescent="0.4">
      <c r="B13079" s="3" t="s">
        <v>7</v>
      </c>
      <c r="C13079" s="3" t="s">
        <v>2075</v>
      </c>
      <c r="D13079" s="4">
        <f>DATE(2011,12,16)</f>
        <v>40893</v>
      </c>
      <c r="E13079" s="5">
        <f t="shared" si="216"/>
        <v>2011</v>
      </c>
      <c r="F13079" s="3" t="s">
        <v>2076</v>
      </c>
      <c r="G13079" s="6">
        <v>4103.16</v>
      </c>
      <c r="H13079" s="5">
        <v>16289</v>
      </c>
    </row>
    <row r="13080" spans="2:8" x14ac:dyDescent="0.4">
      <c r="B13080" s="3" t="s">
        <v>7</v>
      </c>
      <c r="C13080" s="3" t="s">
        <v>2075</v>
      </c>
      <c r="D13080" s="4">
        <f>DATE(2011,12,16)</f>
        <v>40893</v>
      </c>
      <c r="E13080" s="5">
        <f t="shared" si="216"/>
        <v>2011</v>
      </c>
      <c r="F13080" s="3" t="s">
        <v>2076</v>
      </c>
      <c r="G13080" s="6">
        <v>4645.17</v>
      </c>
      <c r="H13080" s="5">
        <v>16288</v>
      </c>
    </row>
    <row r="13081" spans="2:8" x14ac:dyDescent="0.4">
      <c r="B13081" s="3" t="s">
        <v>7</v>
      </c>
      <c r="C13081" s="3" t="s">
        <v>2075</v>
      </c>
      <c r="D13081" s="4">
        <f>DATE(2012,1,4)</f>
        <v>40912</v>
      </c>
      <c r="E13081" s="5">
        <f t="shared" si="216"/>
        <v>2012</v>
      </c>
      <c r="F13081" s="3" t="s">
        <v>2076</v>
      </c>
      <c r="G13081" s="6">
        <v>505.61</v>
      </c>
      <c r="H13081" s="5">
        <v>16359</v>
      </c>
    </row>
    <row r="13082" spans="2:8" x14ac:dyDescent="0.4">
      <c r="B13082" s="3" t="s">
        <v>7</v>
      </c>
      <c r="C13082" s="3" t="s">
        <v>2075</v>
      </c>
      <c r="D13082" s="4">
        <f>DATE(2012,1,4)</f>
        <v>40912</v>
      </c>
      <c r="E13082" s="5">
        <f t="shared" si="216"/>
        <v>2012</v>
      </c>
      <c r="F13082" s="3" t="s">
        <v>2076</v>
      </c>
      <c r="G13082" s="6">
        <v>505.61</v>
      </c>
      <c r="H13082" s="5">
        <v>16363</v>
      </c>
    </row>
    <row r="13083" spans="2:8" x14ac:dyDescent="0.4">
      <c r="B13083" s="3" t="s">
        <v>7</v>
      </c>
      <c r="C13083" s="3" t="s">
        <v>2075</v>
      </c>
      <c r="D13083" s="4">
        <f>DATE(2012,1,11)</f>
        <v>40919</v>
      </c>
      <c r="E13083" s="5">
        <f t="shared" si="216"/>
        <v>2012</v>
      </c>
      <c r="F13083" s="3" t="s">
        <v>2076</v>
      </c>
      <c r="G13083" s="6">
        <v>1382.6</v>
      </c>
      <c r="H13083" s="5">
        <v>16357</v>
      </c>
    </row>
    <row r="13084" spans="2:8" x14ac:dyDescent="0.4">
      <c r="B13084" s="3" t="s">
        <v>7</v>
      </c>
      <c r="C13084" s="3" t="s">
        <v>2075</v>
      </c>
      <c r="D13084" s="4">
        <f>DATE(2012,1,25)</f>
        <v>40933</v>
      </c>
      <c r="E13084" s="5">
        <f t="shared" si="216"/>
        <v>2012</v>
      </c>
      <c r="F13084" s="3" t="s">
        <v>2076</v>
      </c>
      <c r="G13084" s="6">
        <v>9709.39</v>
      </c>
      <c r="H13084" s="5">
        <v>16407</v>
      </c>
    </row>
    <row r="13085" spans="2:8" x14ac:dyDescent="0.4">
      <c r="B13085" s="3" t="s">
        <v>7</v>
      </c>
      <c r="C13085" s="3" t="s">
        <v>2075</v>
      </c>
      <c r="D13085" s="4">
        <f>DATE(2012,3,2)</f>
        <v>40970</v>
      </c>
      <c r="E13085" s="5">
        <f t="shared" si="216"/>
        <v>2012</v>
      </c>
      <c r="F13085" s="3" t="s">
        <v>2076</v>
      </c>
      <c r="G13085" s="6">
        <v>20906.88</v>
      </c>
      <c r="H13085" s="5">
        <v>16528</v>
      </c>
    </row>
    <row r="13086" spans="2:8" x14ac:dyDescent="0.4">
      <c r="B13086" s="3" t="s">
        <v>7</v>
      </c>
      <c r="C13086" s="3" t="s">
        <v>2075</v>
      </c>
      <c r="D13086" s="4">
        <f>DATE(2012,3,12)</f>
        <v>40980</v>
      </c>
      <c r="E13086" s="5">
        <f t="shared" si="216"/>
        <v>2012</v>
      </c>
      <c r="F13086" s="3" t="s">
        <v>2076</v>
      </c>
      <c r="G13086" s="6">
        <v>1690</v>
      </c>
      <c r="H13086" s="5">
        <v>16652</v>
      </c>
    </row>
    <row r="13087" spans="2:8" x14ac:dyDescent="0.4">
      <c r="B13087" s="3" t="s">
        <v>7</v>
      </c>
      <c r="C13087" s="3" t="s">
        <v>2075</v>
      </c>
      <c r="D13087" s="4">
        <f>DATE(2012,3,14)</f>
        <v>40982</v>
      </c>
      <c r="E13087" s="5">
        <f t="shared" si="216"/>
        <v>2012</v>
      </c>
      <c r="F13087" s="3" t="s">
        <v>2076</v>
      </c>
      <c r="G13087" s="6">
        <v>1670.2</v>
      </c>
      <c r="H13087" s="5">
        <v>16695</v>
      </c>
    </row>
    <row r="13088" spans="2:8" x14ac:dyDescent="0.4">
      <c r="B13088" s="3" t="s">
        <v>7</v>
      </c>
      <c r="C13088" s="3" t="s">
        <v>2075</v>
      </c>
      <c r="D13088" s="4">
        <f>DATE(2012,3,15)</f>
        <v>40983</v>
      </c>
      <c r="E13088" s="5">
        <f t="shared" si="216"/>
        <v>2012</v>
      </c>
      <c r="F13088" s="3" t="s">
        <v>2076</v>
      </c>
      <c r="G13088" s="6">
        <v>12286.37</v>
      </c>
      <c r="H13088" s="5">
        <v>16700</v>
      </c>
    </row>
    <row r="13089" spans="2:8" x14ac:dyDescent="0.4">
      <c r="B13089" s="3" t="s">
        <v>7</v>
      </c>
      <c r="C13089" s="3" t="s">
        <v>2075</v>
      </c>
      <c r="D13089" s="4">
        <f>DATE(2012,3,21)</f>
        <v>40989</v>
      </c>
      <c r="E13089" s="5">
        <f t="shared" si="216"/>
        <v>2012</v>
      </c>
      <c r="F13089" s="3" t="s">
        <v>2076</v>
      </c>
      <c r="G13089" s="6">
        <v>1026.3</v>
      </c>
      <c r="H13089" s="5">
        <v>16793</v>
      </c>
    </row>
    <row r="13090" spans="2:8" x14ac:dyDescent="0.4">
      <c r="B13090" s="3" t="s">
        <v>7</v>
      </c>
      <c r="C13090" s="3" t="s">
        <v>2075</v>
      </c>
      <c r="D13090" s="4">
        <f>DATE(2012,4,9)</f>
        <v>41008</v>
      </c>
      <c r="E13090" s="5">
        <f t="shared" si="216"/>
        <v>2012</v>
      </c>
      <c r="F13090" s="3" t="s">
        <v>2076</v>
      </c>
      <c r="G13090" s="6">
        <v>38146.71</v>
      </c>
      <c r="H13090" s="5">
        <v>16742</v>
      </c>
    </row>
    <row r="13091" spans="2:8" x14ac:dyDescent="0.4">
      <c r="B13091" s="3" t="s">
        <v>7</v>
      </c>
      <c r="C13091" s="3" t="s">
        <v>2075</v>
      </c>
      <c r="D13091" s="4">
        <f>DATE(2012,4,11)</f>
        <v>41010</v>
      </c>
      <c r="E13091" s="5">
        <f t="shared" si="216"/>
        <v>2012</v>
      </c>
      <c r="F13091" s="3" t="s">
        <v>2076</v>
      </c>
      <c r="G13091" s="6">
        <v>2611.98</v>
      </c>
      <c r="H13091" s="5">
        <v>16916</v>
      </c>
    </row>
    <row r="13092" spans="2:8" x14ac:dyDescent="0.4">
      <c r="B13092" s="3" t="s">
        <v>7</v>
      </c>
      <c r="C13092" s="3" t="s">
        <v>2075</v>
      </c>
      <c r="D13092" s="4">
        <f>DATE(2012,4,13)</f>
        <v>41012</v>
      </c>
      <c r="E13092" s="5">
        <f t="shared" si="216"/>
        <v>2012</v>
      </c>
      <c r="F13092" s="3" t="s">
        <v>2076</v>
      </c>
      <c r="G13092" s="6">
        <v>11952.8</v>
      </c>
      <c r="H13092" s="5">
        <v>16857</v>
      </c>
    </row>
    <row r="13093" spans="2:8" x14ac:dyDescent="0.4">
      <c r="B13093" s="3" t="s">
        <v>7</v>
      </c>
      <c r="C13093" s="3" t="s">
        <v>2075</v>
      </c>
      <c r="D13093" s="4">
        <f>DATE(2012,4,16)</f>
        <v>41015</v>
      </c>
      <c r="E13093" s="5">
        <f t="shared" si="216"/>
        <v>2012</v>
      </c>
      <c r="F13093" s="3" t="s">
        <v>2076</v>
      </c>
      <c r="G13093" s="6">
        <v>4204.8500000000004</v>
      </c>
      <c r="H13093" s="5">
        <v>16903</v>
      </c>
    </row>
    <row r="13094" spans="2:8" x14ac:dyDescent="0.4">
      <c r="B13094" s="3" t="s">
        <v>7</v>
      </c>
      <c r="C13094" s="3" t="s">
        <v>2075</v>
      </c>
      <c r="D13094" s="4">
        <f>DATE(2012,4,23)</f>
        <v>41022</v>
      </c>
      <c r="E13094" s="5">
        <f t="shared" si="216"/>
        <v>2012</v>
      </c>
      <c r="F13094" s="3" t="s">
        <v>2076</v>
      </c>
      <c r="G13094" s="6">
        <v>2191.4499999999998</v>
      </c>
      <c r="H13094" s="5">
        <v>16997</v>
      </c>
    </row>
    <row r="13095" spans="2:8" x14ac:dyDescent="0.4">
      <c r="B13095" s="3" t="s">
        <v>7</v>
      </c>
      <c r="C13095" s="3" t="s">
        <v>2075</v>
      </c>
      <c r="D13095" s="4">
        <f>DATE(2012,4,23)</f>
        <v>41022</v>
      </c>
      <c r="E13095" s="5">
        <f t="shared" si="216"/>
        <v>2012</v>
      </c>
      <c r="F13095" s="3" t="s">
        <v>2076</v>
      </c>
      <c r="G13095" s="6">
        <v>286.64</v>
      </c>
      <c r="H13095" s="5">
        <v>17009</v>
      </c>
    </row>
    <row r="13096" spans="2:8" x14ac:dyDescent="0.4">
      <c r="B13096" s="3" t="s">
        <v>7</v>
      </c>
      <c r="C13096" s="3" t="s">
        <v>2075</v>
      </c>
      <c r="D13096" s="4">
        <f>DATE(2012,4,27)</f>
        <v>41026</v>
      </c>
      <c r="E13096" s="5">
        <f t="shared" si="216"/>
        <v>2012</v>
      </c>
      <c r="F13096" s="3" t="s">
        <v>2076</v>
      </c>
      <c r="G13096" s="6">
        <v>10300.879999999999</v>
      </c>
      <c r="H13096" s="5">
        <v>16939</v>
      </c>
    </row>
    <row r="13097" spans="2:8" x14ac:dyDescent="0.4">
      <c r="B13097" s="3" t="s">
        <v>7</v>
      </c>
      <c r="C13097" s="3" t="s">
        <v>2075</v>
      </c>
      <c r="D13097" s="4">
        <f>DATE(2012,5,3)</f>
        <v>41032</v>
      </c>
      <c r="E13097" s="5">
        <f t="shared" si="216"/>
        <v>2012</v>
      </c>
      <c r="F13097" s="3" t="s">
        <v>2076</v>
      </c>
      <c r="G13097" s="6">
        <v>11940.95</v>
      </c>
      <c r="H13097" s="5">
        <v>16983</v>
      </c>
    </row>
    <row r="13098" spans="2:8" x14ac:dyDescent="0.4">
      <c r="B13098" s="3" t="s">
        <v>7</v>
      </c>
      <c r="C13098" s="3" t="s">
        <v>2075</v>
      </c>
      <c r="D13098" s="4">
        <f>DATE(2012,5,25)</f>
        <v>41054</v>
      </c>
      <c r="E13098" s="5">
        <f t="shared" si="216"/>
        <v>2012</v>
      </c>
      <c r="F13098" s="3" t="s">
        <v>2076</v>
      </c>
      <c r="G13098" s="6">
        <v>9598.34</v>
      </c>
      <c r="H13098" s="5">
        <v>17132</v>
      </c>
    </row>
    <row r="13099" spans="2:8" x14ac:dyDescent="0.4">
      <c r="B13099" s="3" t="s">
        <v>7</v>
      </c>
      <c r="C13099" s="3" t="s">
        <v>2075</v>
      </c>
      <c r="D13099" s="4">
        <f>DATE(2012,5,29)</f>
        <v>41058</v>
      </c>
      <c r="E13099" s="5">
        <f t="shared" si="216"/>
        <v>2012</v>
      </c>
      <c r="F13099" s="3" t="s">
        <v>2076</v>
      </c>
      <c r="G13099" s="6">
        <v>2797.4</v>
      </c>
      <c r="H13099" s="5">
        <v>17178</v>
      </c>
    </row>
    <row r="13100" spans="2:8" x14ac:dyDescent="0.4">
      <c r="B13100" s="3" t="s">
        <v>7</v>
      </c>
      <c r="C13100" s="3" t="s">
        <v>2075</v>
      </c>
      <c r="D13100" s="4">
        <f>DATE(2012,6,5)</f>
        <v>41065</v>
      </c>
      <c r="E13100" s="5">
        <f t="shared" si="216"/>
        <v>2012</v>
      </c>
      <c r="F13100" s="3" t="s">
        <v>2076</v>
      </c>
      <c r="G13100" s="6">
        <v>3687.95</v>
      </c>
      <c r="H13100" s="5">
        <v>17156</v>
      </c>
    </row>
    <row r="13101" spans="2:8" x14ac:dyDescent="0.4">
      <c r="B13101" s="3" t="s">
        <v>7</v>
      </c>
      <c r="C13101" s="3" t="s">
        <v>2075</v>
      </c>
      <c r="D13101" s="4">
        <f>DATE(2012,6,8)</f>
        <v>41068</v>
      </c>
      <c r="E13101" s="5">
        <f t="shared" si="216"/>
        <v>2012</v>
      </c>
      <c r="F13101" s="3" t="s">
        <v>2076</v>
      </c>
      <c r="G13101" s="6">
        <v>14008.72</v>
      </c>
      <c r="H13101" s="5">
        <v>17157</v>
      </c>
    </row>
    <row r="13102" spans="2:8" x14ac:dyDescent="0.4">
      <c r="B13102" s="3" t="s">
        <v>7</v>
      </c>
      <c r="C13102" s="3" t="s">
        <v>2075</v>
      </c>
      <c r="D13102" s="4">
        <f>DATE(2012,6,11)</f>
        <v>41071</v>
      </c>
      <c r="E13102" s="5">
        <f t="shared" si="216"/>
        <v>2012</v>
      </c>
      <c r="F13102" s="3" t="s">
        <v>2076</v>
      </c>
      <c r="G13102" s="6">
        <v>8310.89</v>
      </c>
      <c r="H13102" s="5">
        <v>17201</v>
      </c>
    </row>
    <row r="13103" spans="2:8" x14ac:dyDescent="0.4">
      <c r="B13103" s="3" t="s">
        <v>7</v>
      </c>
      <c r="C13103" s="3" t="s">
        <v>2075</v>
      </c>
      <c r="D13103" s="4">
        <f>DATE(2012,6,22)</f>
        <v>41082</v>
      </c>
      <c r="E13103" s="5">
        <f t="shared" si="216"/>
        <v>2012</v>
      </c>
      <c r="F13103" s="3" t="s">
        <v>2076</v>
      </c>
      <c r="G13103" s="6">
        <v>4774.6899999999996</v>
      </c>
      <c r="H13103" s="5">
        <v>17271</v>
      </c>
    </row>
    <row r="13104" spans="2:8" x14ac:dyDescent="0.4">
      <c r="B13104" s="3" t="s">
        <v>7</v>
      </c>
      <c r="C13104" s="3" t="s">
        <v>2075</v>
      </c>
      <c r="D13104" s="4">
        <f>DATE(2012,7,6)</f>
        <v>41096</v>
      </c>
      <c r="E13104" s="5">
        <f t="shared" si="216"/>
        <v>2012</v>
      </c>
      <c r="F13104" s="3" t="s">
        <v>2076</v>
      </c>
      <c r="G13104" s="6">
        <v>2900</v>
      </c>
      <c r="H13104" s="5">
        <v>17316</v>
      </c>
    </row>
    <row r="13105" spans="2:8" x14ac:dyDescent="0.4">
      <c r="B13105" s="3" t="s">
        <v>7</v>
      </c>
      <c r="C13105" s="3" t="s">
        <v>2075</v>
      </c>
      <c r="D13105" s="4">
        <f>DATE(2012,7,11)</f>
        <v>41101</v>
      </c>
      <c r="E13105" s="5">
        <f t="shared" si="216"/>
        <v>2012</v>
      </c>
      <c r="F13105" s="3" t="s">
        <v>2076</v>
      </c>
      <c r="G13105" s="6">
        <v>177.7</v>
      </c>
      <c r="H13105" s="5">
        <v>17361</v>
      </c>
    </row>
    <row r="13106" spans="2:8" x14ac:dyDescent="0.4">
      <c r="B13106" s="3" t="s">
        <v>7</v>
      </c>
      <c r="C13106" s="3" t="s">
        <v>2075</v>
      </c>
      <c r="D13106" s="4">
        <f>DATE(2012,7,16)</f>
        <v>41106</v>
      </c>
      <c r="E13106" s="5">
        <f t="shared" si="216"/>
        <v>2012</v>
      </c>
      <c r="F13106" s="3" t="s">
        <v>2076</v>
      </c>
      <c r="G13106" s="6">
        <v>22844.65</v>
      </c>
      <c r="H13106" s="5">
        <v>17282</v>
      </c>
    </row>
    <row r="13107" spans="2:8" x14ac:dyDescent="0.4">
      <c r="B13107" s="3" t="s">
        <v>7</v>
      </c>
      <c r="C13107" s="3" t="s">
        <v>2075</v>
      </c>
      <c r="D13107" s="4">
        <f>DATE(2012,8,8)</f>
        <v>41129</v>
      </c>
      <c r="E13107" s="5">
        <f t="shared" si="216"/>
        <v>2012</v>
      </c>
      <c r="F13107" s="3" t="s">
        <v>2076</v>
      </c>
      <c r="G13107" s="6">
        <v>4111.3100000000004</v>
      </c>
      <c r="H13107" s="5">
        <v>17409</v>
      </c>
    </row>
    <row r="13108" spans="2:8" x14ac:dyDescent="0.4">
      <c r="B13108" s="3" t="s">
        <v>7</v>
      </c>
      <c r="C13108" s="3" t="s">
        <v>2075</v>
      </c>
      <c r="D13108" s="4">
        <f>DATE(2012,8,10)</f>
        <v>41131</v>
      </c>
      <c r="E13108" s="5">
        <f t="shared" si="216"/>
        <v>2012</v>
      </c>
      <c r="F13108" s="3" t="s">
        <v>2076</v>
      </c>
      <c r="G13108" s="6">
        <v>21637.24</v>
      </c>
      <c r="H13108" s="5">
        <v>17429</v>
      </c>
    </row>
    <row r="13109" spans="2:8" x14ac:dyDescent="0.4">
      <c r="B13109" s="3" t="s">
        <v>7</v>
      </c>
      <c r="C13109" s="3" t="s">
        <v>2075</v>
      </c>
      <c r="D13109" s="4">
        <f>DATE(2012,8,17)</f>
        <v>41138</v>
      </c>
      <c r="E13109" s="5">
        <f t="shared" si="216"/>
        <v>2012</v>
      </c>
      <c r="F13109" s="3" t="s">
        <v>2076</v>
      </c>
      <c r="G13109" s="6">
        <v>1396.1</v>
      </c>
      <c r="H13109" s="5">
        <v>17459</v>
      </c>
    </row>
    <row r="13110" spans="2:8" x14ac:dyDescent="0.4">
      <c r="B13110" s="3" t="s">
        <v>7</v>
      </c>
      <c r="C13110" s="3" t="s">
        <v>2075</v>
      </c>
      <c r="D13110" s="4">
        <f>DATE(2012,8,22)</f>
        <v>41143</v>
      </c>
      <c r="E13110" s="5">
        <f t="shared" si="216"/>
        <v>2012</v>
      </c>
      <c r="F13110" s="3" t="s">
        <v>2076</v>
      </c>
      <c r="G13110" s="6">
        <v>13977.81</v>
      </c>
      <c r="H13110" s="5">
        <v>17410</v>
      </c>
    </row>
    <row r="13111" spans="2:8" x14ac:dyDescent="0.4">
      <c r="B13111" s="3" t="s">
        <v>7</v>
      </c>
      <c r="C13111" s="3" t="s">
        <v>2075</v>
      </c>
      <c r="D13111" s="4">
        <f>DATE(2012,8,23)</f>
        <v>41144</v>
      </c>
      <c r="E13111" s="5">
        <f t="shared" si="216"/>
        <v>2012</v>
      </c>
      <c r="F13111" s="3" t="s">
        <v>2076</v>
      </c>
      <c r="G13111" s="6">
        <v>870.1</v>
      </c>
      <c r="H13111" s="5">
        <v>17470</v>
      </c>
    </row>
    <row r="13112" spans="2:8" x14ac:dyDescent="0.4">
      <c r="B13112" s="3" t="s">
        <v>7</v>
      </c>
      <c r="C13112" s="3" t="s">
        <v>2075</v>
      </c>
      <c r="D13112" s="4">
        <f>DATE(2012,9,14)</f>
        <v>41166</v>
      </c>
      <c r="E13112" s="5">
        <f t="shared" si="216"/>
        <v>2012</v>
      </c>
      <c r="F13112" s="3" t="s">
        <v>2076</v>
      </c>
      <c r="G13112" s="6">
        <v>14208.1</v>
      </c>
      <c r="H13112" s="5">
        <v>17538</v>
      </c>
    </row>
    <row r="13113" spans="2:8" x14ac:dyDescent="0.4">
      <c r="B13113" s="3" t="s">
        <v>7</v>
      </c>
      <c r="C13113" s="3" t="s">
        <v>2075</v>
      </c>
      <c r="D13113" s="4">
        <f>DATE(2012,9,20)</f>
        <v>41172</v>
      </c>
      <c r="E13113" s="5">
        <f t="shared" si="216"/>
        <v>2012</v>
      </c>
      <c r="F13113" s="3" t="s">
        <v>2076</v>
      </c>
      <c r="G13113" s="6">
        <v>8464</v>
      </c>
      <c r="H13113" s="5">
        <v>17512</v>
      </c>
    </row>
    <row r="13114" spans="2:8" x14ac:dyDescent="0.4">
      <c r="B13114" s="3" t="s">
        <v>7</v>
      </c>
      <c r="C13114" s="3" t="s">
        <v>2075</v>
      </c>
      <c r="D13114" s="4">
        <f>DATE(2012,9,20)</f>
        <v>41172</v>
      </c>
      <c r="E13114" s="5">
        <f t="shared" si="216"/>
        <v>2012</v>
      </c>
      <c r="F13114" s="3" t="s">
        <v>2076</v>
      </c>
      <c r="G13114" s="6">
        <v>2198.58</v>
      </c>
      <c r="H13114" s="5">
        <v>17574</v>
      </c>
    </row>
    <row r="13115" spans="2:8" x14ac:dyDescent="0.4">
      <c r="B13115" s="3" t="s">
        <v>7</v>
      </c>
      <c r="C13115" s="3" t="s">
        <v>2075</v>
      </c>
      <c r="D13115" s="4">
        <f>DATE(2012,10,9)</f>
        <v>41191</v>
      </c>
      <c r="E13115" s="5">
        <f t="shared" si="216"/>
        <v>2012</v>
      </c>
      <c r="F13115" s="3" t="s">
        <v>2076</v>
      </c>
      <c r="G13115" s="6">
        <v>8335.93</v>
      </c>
      <c r="H13115" s="5">
        <v>17647</v>
      </c>
    </row>
    <row r="13116" spans="2:8" x14ac:dyDescent="0.4">
      <c r="B13116" s="3" t="s">
        <v>7</v>
      </c>
      <c r="C13116" s="3" t="s">
        <v>2075</v>
      </c>
      <c r="D13116" s="4">
        <f>DATE(2012,10,15)</f>
        <v>41197</v>
      </c>
      <c r="E13116" s="5">
        <f t="shared" si="216"/>
        <v>2012</v>
      </c>
      <c r="F13116" s="3" t="s">
        <v>2076</v>
      </c>
      <c r="G13116" s="6">
        <v>2394.7600000000002</v>
      </c>
      <c r="H13116" s="5">
        <v>17684</v>
      </c>
    </row>
    <row r="13117" spans="2:8" x14ac:dyDescent="0.4">
      <c r="B13117" s="3" t="s">
        <v>7</v>
      </c>
      <c r="C13117" s="3" t="s">
        <v>2075</v>
      </c>
      <c r="D13117" s="4">
        <f>DATE(2012,11,19)</f>
        <v>41232</v>
      </c>
      <c r="E13117" s="5">
        <f t="shared" si="216"/>
        <v>2012</v>
      </c>
      <c r="F13117" s="3" t="s">
        <v>2076</v>
      </c>
      <c r="G13117" s="6">
        <v>7691.52</v>
      </c>
      <c r="H13117" s="5">
        <v>17825</v>
      </c>
    </row>
    <row r="13118" spans="2:8" x14ac:dyDescent="0.4">
      <c r="B13118" s="3" t="s">
        <v>7</v>
      </c>
      <c r="C13118" s="3" t="s">
        <v>2075</v>
      </c>
      <c r="D13118" s="4">
        <f>DATE(2013,1,9)</f>
        <v>41283</v>
      </c>
      <c r="E13118" s="5">
        <f t="shared" si="216"/>
        <v>2013</v>
      </c>
      <c r="F13118" s="3" t="s">
        <v>2076</v>
      </c>
      <c r="G13118" s="6">
        <v>2080.66</v>
      </c>
      <c r="H13118" s="5">
        <v>17920</v>
      </c>
    </row>
    <row r="13119" spans="2:8" x14ac:dyDescent="0.4">
      <c r="B13119" s="3" t="s">
        <v>7</v>
      </c>
      <c r="C13119" s="3" t="s">
        <v>2075</v>
      </c>
      <c r="D13119" s="4">
        <f>DATE(2013,1,15)</f>
        <v>41289</v>
      </c>
      <c r="E13119" s="5">
        <f t="shared" si="216"/>
        <v>2013</v>
      </c>
      <c r="F13119" s="3" t="s">
        <v>2076</v>
      </c>
      <c r="G13119" s="6">
        <v>3022.27</v>
      </c>
      <c r="H13119" s="5">
        <v>17995</v>
      </c>
    </row>
    <row r="13120" spans="2:8" x14ac:dyDescent="0.4">
      <c r="B13120" s="3" t="s">
        <v>7</v>
      </c>
      <c r="C13120" s="3" t="s">
        <v>2075</v>
      </c>
      <c r="D13120" s="4">
        <f>DATE(2013,1,23)</f>
        <v>41297</v>
      </c>
      <c r="E13120" s="5">
        <f t="shared" si="216"/>
        <v>2013</v>
      </c>
      <c r="F13120" s="3" t="s">
        <v>2076</v>
      </c>
      <c r="G13120" s="6">
        <v>2041.2</v>
      </c>
      <c r="H13120" s="5">
        <v>18002</v>
      </c>
    </row>
    <row r="13121" spans="2:8" x14ac:dyDescent="0.4">
      <c r="B13121" s="3" t="s">
        <v>7</v>
      </c>
      <c r="C13121" s="3" t="s">
        <v>2075</v>
      </c>
      <c r="D13121" s="4">
        <f>DATE(2013,2,1)</f>
        <v>41306</v>
      </c>
      <c r="E13121" s="5">
        <f t="shared" si="216"/>
        <v>2013</v>
      </c>
      <c r="F13121" s="3" t="s">
        <v>2076</v>
      </c>
      <c r="G13121" s="6">
        <v>7869.15</v>
      </c>
      <c r="H13121" s="5">
        <v>18023</v>
      </c>
    </row>
    <row r="13122" spans="2:8" x14ac:dyDescent="0.4">
      <c r="B13122" s="3" t="s">
        <v>7</v>
      </c>
      <c r="C13122" s="3" t="s">
        <v>2075</v>
      </c>
      <c r="D13122" s="4">
        <f>DATE(2013,2,7)</f>
        <v>41312</v>
      </c>
      <c r="E13122" s="5">
        <f t="shared" si="216"/>
        <v>2013</v>
      </c>
      <c r="F13122" s="3" t="s">
        <v>2076</v>
      </c>
      <c r="G13122" s="6">
        <v>8842.85</v>
      </c>
      <c r="H13122" s="5">
        <v>18102</v>
      </c>
    </row>
    <row r="13123" spans="2:8" x14ac:dyDescent="0.4">
      <c r="B13123" s="3" t="s">
        <v>7</v>
      </c>
      <c r="C13123" s="3" t="s">
        <v>2075</v>
      </c>
      <c r="D13123" s="4">
        <f>DATE(2013,2,11)</f>
        <v>41316</v>
      </c>
      <c r="E13123" s="5">
        <f t="shared" ref="E13123:E13186" si="217">YEAR(D13123)</f>
        <v>2013</v>
      </c>
      <c r="F13123" s="3" t="s">
        <v>2076</v>
      </c>
      <c r="G13123" s="6">
        <v>7698.04</v>
      </c>
      <c r="H13123" s="5">
        <v>18017</v>
      </c>
    </row>
    <row r="13124" spans="2:8" x14ac:dyDescent="0.4">
      <c r="B13124" s="3" t="s">
        <v>7</v>
      </c>
      <c r="C13124" s="3" t="s">
        <v>2075</v>
      </c>
      <c r="D13124" s="4">
        <f>DATE(2013,2,21)</f>
        <v>41326</v>
      </c>
      <c r="E13124" s="5">
        <f t="shared" si="217"/>
        <v>2013</v>
      </c>
      <c r="F13124" s="3" t="s">
        <v>2076</v>
      </c>
      <c r="G13124" s="6">
        <v>5420.56</v>
      </c>
      <c r="H13124" s="5">
        <v>18122</v>
      </c>
    </row>
    <row r="13125" spans="2:8" x14ac:dyDescent="0.4">
      <c r="B13125" s="3" t="s">
        <v>7</v>
      </c>
      <c r="C13125" s="3" t="s">
        <v>2075</v>
      </c>
      <c r="D13125" s="4">
        <f>DATE(2013,2,22)</f>
        <v>41327</v>
      </c>
      <c r="E13125" s="5">
        <f t="shared" si="217"/>
        <v>2013</v>
      </c>
      <c r="F13125" s="3" t="s">
        <v>2076</v>
      </c>
      <c r="G13125" s="6">
        <v>15320.12</v>
      </c>
      <c r="H13125" s="5">
        <v>18123</v>
      </c>
    </row>
    <row r="13126" spans="2:8" x14ac:dyDescent="0.4">
      <c r="B13126" s="3" t="s">
        <v>7</v>
      </c>
      <c r="C13126" s="3" t="s">
        <v>2075</v>
      </c>
      <c r="D13126" s="4">
        <f>DATE(2013,2,28)</f>
        <v>41333</v>
      </c>
      <c r="E13126" s="5">
        <f t="shared" si="217"/>
        <v>2013</v>
      </c>
      <c r="F13126" s="3" t="s">
        <v>2076</v>
      </c>
      <c r="G13126" s="6">
        <v>12458.07</v>
      </c>
      <c r="H13126" s="5">
        <v>18147</v>
      </c>
    </row>
    <row r="13127" spans="2:8" x14ac:dyDescent="0.4">
      <c r="B13127" s="3" t="s">
        <v>7</v>
      </c>
      <c r="C13127" s="3" t="s">
        <v>2075</v>
      </c>
      <c r="D13127" s="4">
        <f>DATE(2013,3,1)</f>
        <v>41334</v>
      </c>
      <c r="E13127" s="5">
        <f t="shared" si="217"/>
        <v>2013</v>
      </c>
      <c r="F13127" s="3" t="s">
        <v>2076</v>
      </c>
      <c r="G13127" s="6">
        <v>597</v>
      </c>
      <c r="H13127" s="5">
        <v>18233</v>
      </c>
    </row>
    <row r="13128" spans="2:8" x14ac:dyDescent="0.4">
      <c r="B13128" s="3" t="s">
        <v>7</v>
      </c>
      <c r="C13128" s="3" t="s">
        <v>2075</v>
      </c>
      <c r="D13128" s="4">
        <f>DATE(2013,3,1)</f>
        <v>41334</v>
      </c>
      <c r="E13128" s="5">
        <f t="shared" si="217"/>
        <v>2013</v>
      </c>
      <c r="F13128" s="3" t="s">
        <v>2076</v>
      </c>
      <c r="G13128" s="6">
        <v>9165.43</v>
      </c>
      <c r="H13128" s="5">
        <v>18164</v>
      </c>
    </row>
    <row r="13129" spans="2:8" x14ac:dyDescent="0.4">
      <c r="B13129" s="3" t="s">
        <v>7</v>
      </c>
      <c r="C13129" s="3" t="s">
        <v>2075</v>
      </c>
      <c r="D13129" s="4">
        <f>DATE(2013,2,28)</f>
        <v>41333</v>
      </c>
      <c r="E13129" s="5">
        <f t="shared" si="217"/>
        <v>2013</v>
      </c>
      <c r="F13129" s="3" t="s">
        <v>2076</v>
      </c>
      <c r="G13129" s="6">
        <v>13718.07</v>
      </c>
      <c r="H13129" s="5">
        <v>18262</v>
      </c>
    </row>
    <row r="13130" spans="2:8" x14ac:dyDescent="0.4">
      <c r="B13130" s="3" t="s">
        <v>7</v>
      </c>
      <c r="C13130" s="3" t="s">
        <v>2075</v>
      </c>
      <c r="D13130" s="4">
        <f>DATE(2013,3,20)</f>
        <v>41353</v>
      </c>
      <c r="E13130" s="5">
        <f t="shared" si="217"/>
        <v>2013</v>
      </c>
      <c r="F13130" s="3" t="s">
        <v>2076</v>
      </c>
      <c r="G13130" s="6">
        <v>7591.36</v>
      </c>
      <c r="H13130" s="5">
        <v>18278</v>
      </c>
    </row>
    <row r="13131" spans="2:8" x14ac:dyDescent="0.4">
      <c r="B13131" s="3" t="s">
        <v>7</v>
      </c>
      <c r="C13131" s="3" t="s">
        <v>2075</v>
      </c>
      <c r="D13131" s="4">
        <f>DATE(2013,3,28)</f>
        <v>41361</v>
      </c>
      <c r="E13131" s="5">
        <f t="shared" si="217"/>
        <v>2013</v>
      </c>
      <c r="F13131" s="3" t="s">
        <v>2076</v>
      </c>
      <c r="G13131" s="6">
        <v>4766.25</v>
      </c>
      <c r="H13131" s="5">
        <v>18334</v>
      </c>
    </row>
    <row r="13132" spans="2:8" x14ac:dyDescent="0.4">
      <c r="B13132" s="3" t="s">
        <v>7</v>
      </c>
      <c r="C13132" s="3" t="s">
        <v>2075</v>
      </c>
      <c r="D13132" s="4">
        <f>DATE(2013,3,28)</f>
        <v>41361</v>
      </c>
      <c r="E13132" s="5">
        <f t="shared" si="217"/>
        <v>2013</v>
      </c>
      <c r="F13132" s="3" t="s">
        <v>2076</v>
      </c>
      <c r="G13132" s="6">
        <v>18910.52</v>
      </c>
      <c r="H13132" s="5">
        <v>18289</v>
      </c>
    </row>
    <row r="13133" spans="2:8" x14ac:dyDescent="0.4">
      <c r="B13133" s="3" t="s">
        <v>7</v>
      </c>
      <c r="C13133" s="3" t="s">
        <v>2075</v>
      </c>
      <c r="D13133" s="4">
        <f>DATE(2013,4,2)</f>
        <v>41366</v>
      </c>
      <c r="E13133" s="5">
        <f t="shared" si="217"/>
        <v>2013</v>
      </c>
      <c r="F13133" s="3" t="s">
        <v>2076</v>
      </c>
      <c r="G13133" s="6">
        <v>4773.79</v>
      </c>
      <c r="H13133" s="5">
        <v>18383</v>
      </c>
    </row>
    <row r="13134" spans="2:8" x14ac:dyDescent="0.4">
      <c r="B13134" s="3" t="s">
        <v>7</v>
      </c>
      <c r="C13134" s="3" t="s">
        <v>2075</v>
      </c>
      <c r="D13134" s="4">
        <f>DATE(2013,4,5)</f>
        <v>41369</v>
      </c>
      <c r="E13134" s="5">
        <f t="shared" si="217"/>
        <v>2013</v>
      </c>
      <c r="F13134" s="3" t="s">
        <v>2076</v>
      </c>
      <c r="G13134" s="6">
        <v>2472.9</v>
      </c>
      <c r="H13134" s="5">
        <v>18383</v>
      </c>
    </row>
    <row r="13135" spans="2:8" x14ac:dyDescent="0.4">
      <c r="B13135" s="3" t="s">
        <v>7</v>
      </c>
      <c r="C13135" s="3" t="s">
        <v>2075</v>
      </c>
      <c r="D13135" s="4">
        <f>DATE(2013,4,8)</f>
        <v>41372</v>
      </c>
      <c r="E13135" s="5">
        <f t="shared" si="217"/>
        <v>2013</v>
      </c>
      <c r="F13135" s="3" t="s">
        <v>2076</v>
      </c>
      <c r="G13135" s="6">
        <v>9552.68</v>
      </c>
      <c r="H13135" s="5">
        <v>18305</v>
      </c>
    </row>
    <row r="13136" spans="2:8" x14ac:dyDescent="0.4">
      <c r="B13136" s="3" t="s">
        <v>7</v>
      </c>
      <c r="C13136" s="3" t="s">
        <v>2075</v>
      </c>
      <c r="D13136" s="4">
        <f>DATE(2013,4,10)</f>
        <v>41374</v>
      </c>
      <c r="E13136" s="5">
        <f t="shared" si="217"/>
        <v>2013</v>
      </c>
      <c r="F13136" s="3" t="s">
        <v>2076</v>
      </c>
      <c r="G13136" s="6">
        <v>15012</v>
      </c>
      <c r="H13136" s="5">
        <v>18345</v>
      </c>
    </row>
    <row r="13137" spans="2:8" x14ac:dyDescent="0.4">
      <c r="B13137" s="3" t="s">
        <v>7</v>
      </c>
      <c r="C13137" s="3" t="s">
        <v>2075</v>
      </c>
      <c r="D13137" s="4">
        <f>DATE(2013,4,10)</f>
        <v>41374</v>
      </c>
      <c r="E13137" s="5">
        <f t="shared" si="217"/>
        <v>2013</v>
      </c>
      <c r="F13137" s="3" t="s">
        <v>2076</v>
      </c>
      <c r="G13137" s="6">
        <v>1300</v>
      </c>
      <c r="H13137" s="5">
        <v>18379</v>
      </c>
    </row>
    <row r="13138" spans="2:8" x14ac:dyDescent="0.4">
      <c r="B13138" s="3" t="s">
        <v>7</v>
      </c>
      <c r="C13138" s="3" t="s">
        <v>2075</v>
      </c>
      <c r="D13138" s="4">
        <f>DATE(2013,4,16)</f>
        <v>41380</v>
      </c>
      <c r="E13138" s="5">
        <f t="shared" si="217"/>
        <v>2013</v>
      </c>
      <c r="F13138" s="3" t="s">
        <v>2076</v>
      </c>
      <c r="G13138" s="6">
        <v>2577.3000000000002</v>
      </c>
      <c r="H13138" s="5">
        <v>18428</v>
      </c>
    </row>
    <row r="13139" spans="2:8" x14ac:dyDescent="0.4">
      <c r="B13139" s="3" t="s">
        <v>7</v>
      </c>
      <c r="C13139" s="3" t="s">
        <v>2075</v>
      </c>
      <c r="D13139" s="4">
        <f>DATE(2013,4,24)</f>
        <v>41388</v>
      </c>
      <c r="E13139" s="5">
        <f t="shared" si="217"/>
        <v>2013</v>
      </c>
      <c r="F13139" s="3" t="s">
        <v>2076</v>
      </c>
      <c r="G13139" s="6">
        <v>11756.06</v>
      </c>
      <c r="H13139" s="5">
        <v>18426</v>
      </c>
    </row>
    <row r="13140" spans="2:8" x14ac:dyDescent="0.4">
      <c r="B13140" s="3" t="s">
        <v>7</v>
      </c>
      <c r="C13140" s="3" t="s">
        <v>2075</v>
      </c>
      <c r="D13140" s="4">
        <f>DATE(2013,5,10)</f>
        <v>41404</v>
      </c>
      <c r="E13140" s="5">
        <f t="shared" si="217"/>
        <v>2013</v>
      </c>
      <c r="F13140" s="3" t="s">
        <v>2076</v>
      </c>
      <c r="G13140" s="6">
        <v>9487.2000000000007</v>
      </c>
      <c r="H13140" s="5">
        <v>18494</v>
      </c>
    </row>
    <row r="13141" spans="2:8" x14ac:dyDescent="0.4">
      <c r="B13141" s="3" t="s">
        <v>7</v>
      </c>
      <c r="C13141" s="3" t="s">
        <v>2075</v>
      </c>
      <c r="D13141" s="4">
        <f>DATE(2013,5,17)</f>
        <v>41411</v>
      </c>
      <c r="E13141" s="5">
        <f t="shared" si="217"/>
        <v>2013</v>
      </c>
      <c r="F13141" s="3" t="s">
        <v>2076</v>
      </c>
      <c r="G13141" s="6">
        <v>327.5</v>
      </c>
      <c r="H13141" s="5">
        <v>18600</v>
      </c>
    </row>
    <row r="13142" spans="2:8" x14ac:dyDescent="0.4">
      <c r="B13142" s="3" t="s">
        <v>7</v>
      </c>
      <c r="C13142" s="3" t="s">
        <v>2075</v>
      </c>
      <c r="D13142" s="4">
        <f>DATE(2013,5,22)</f>
        <v>41416</v>
      </c>
      <c r="E13142" s="5">
        <f t="shared" si="217"/>
        <v>2013</v>
      </c>
      <c r="F13142" s="3" t="s">
        <v>2076</v>
      </c>
      <c r="G13142" s="6">
        <v>1063.5999999999999</v>
      </c>
      <c r="H13142" s="5">
        <v>18616</v>
      </c>
    </row>
    <row r="13143" spans="2:8" x14ac:dyDescent="0.4">
      <c r="B13143" s="3" t="s">
        <v>7</v>
      </c>
      <c r="C13143" s="3" t="s">
        <v>2075</v>
      </c>
      <c r="D13143" s="4">
        <f>DATE(2013,5,28)</f>
        <v>41422</v>
      </c>
      <c r="E13143" s="5">
        <f t="shared" si="217"/>
        <v>2013</v>
      </c>
      <c r="F13143" s="3" t="s">
        <v>2076</v>
      </c>
      <c r="G13143" s="6">
        <v>1291</v>
      </c>
      <c r="H13143" s="5">
        <v>18631</v>
      </c>
    </row>
    <row r="13144" spans="2:8" x14ac:dyDescent="0.4">
      <c r="B13144" s="3" t="s">
        <v>7</v>
      </c>
      <c r="C13144" s="3" t="s">
        <v>2075</v>
      </c>
      <c r="D13144" s="4">
        <f>DATE(2013,6,10)</f>
        <v>41435</v>
      </c>
      <c r="E13144" s="5">
        <f t="shared" si="217"/>
        <v>2013</v>
      </c>
      <c r="F13144" s="3" t="s">
        <v>2076</v>
      </c>
      <c r="G13144" s="6">
        <v>11911.08</v>
      </c>
      <c r="H13144" s="5">
        <v>18601</v>
      </c>
    </row>
    <row r="13145" spans="2:8" x14ac:dyDescent="0.4">
      <c r="B13145" s="3" t="s">
        <v>7</v>
      </c>
      <c r="C13145" s="3" t="s">
        <v>2075</v>
      </c>
      <c r="D13145" s="4">
        <f>DATE(2013,6,10)</f>
        <v>41435</v>
      </c>
      <c r="E13145" s="5">
        <f t="shared" si="217"/>
        <v>2013</v>
      </c>
      <c r="F13145" s="3" t="s">
        <v>2076</v>
      </c>
      <c r="G13145" s="6">
        <v>1447.8</v>
      </c>
      <c r="H13145" s="5">
        <v>18617</v>
      </c>
    </row>
    <row r="13146" spans="2:8" x14ac:dyDescent="0.4">
      <c r="B13146" s="3" t="s">
        <v>7</v>
      </c>
      <c r="C13146" s="3" t="s">
        <v>2075</v>
      </c>
      <c r="D13146" s="4">
        <f>DATE(2013,6,20)</f>
        <v>41445</v>
      </c>
      <c r="E13146" s="5">
        <f t="shared" si="217"/>
        <v>2013</v>
      </c>
      <c r="F13146" s="3" t="s">
        <v>2076</v>
      </c>
      <c r="G13146" s="6">
        <v>6055</v>
      </c>
      <c r="H13146" s="5">
        <v>18674</v>
      </c>
    </row>
    <row r="13147" spans="2:8" x14ac:dyDescent="0.4">
      <c r="B13147" s="3" t="s">
        <v>7</v>
      </c>
      <c r="C13147" s="3" t="s">
        <v>2075</v>
      </c>
      <c r="D13147" s="4">
        <f>DATE(2013,6,21)</f>
        <v>41446</v>
      </c>
      <c r="E13147" s="5">
        <f t="shared" si="217"/>
        <v>2013</v>
      </c>
      <c r="F13147" s="3" t="s">
        <v>2076</v>
      </c>
      <c r="G13147" s="6">
        <v>2900</v>
      </c>
      <c r="H13147" s="5">
        <v>18685</v>
      </c>
    </row>
    <row r="13148" spans="2:8" x14ac:dyDescent="0.4">
      <c r="B13148" s="3" t="s">
        <v>7</v>
      </c>
      <c r="C13148" s="3" t="s">
        <v>2075</v>
      </c>
      <c r="D13148" s="4">
        <f>DATE(2013,6,21)</f>
        <v>41446</v>
      </c>
      <c r="E13148" s="5">
        <f t="shared" si="217"/>
        <v>2013</v>
      </c>
      <c r="F13148" s="3" t="s">
        <v>2076</v>
      </c>
      <c r="G13148" s="6">
        <v>4429.8</v>
      </c>
      <c r="H13148" s="5">
        <v>18703</v>
      </c>
    </row>
    <row r="13149" spans="2:8" x14ac:dyDescent="0.4">
      <c r="B13149" s="3" t="s">
        <v>7</v>
      </c>
      <c r="C13149" s="3" t="s">
        <v>2075</v>
      </c>
      <c r="D13149" s="4">
        <f>DATE(2013,7,8)</f>
        <v>41463</v>
      </c>
      <c r="E13149" s="5">
        <f t="shared" si="217"/>
        <v>2013</v>
      </c>
      <c r="F13149" s="3" t="s">
        <v>2076</v>
      </c>
      <c r="G13149" s="6">
        <v>22731.59</v>
      </c>
      <c r="H13149" s="5">
        <v>18699</v>
      </c>
    </row>
    <row r="13150" spans="2:8" x14ac:dyDescent="0.4">
      <c r="B13150" s="3" t="s">
        <v>7</v>
      </c>
      <c r="C13150" s="3" t="s">
        <v>2075</v>
      </c>
      <c r="D13150" s="4">
        <f>DATE(2013,7,11)</f>
        <v>41466</v>
      </c>
      <c r="E13150" s="5">
        <f t="shared" si="217"/>
        <v>2013</v>
      </c>
      <c r="F13150" s="3" t="s">
        <v>2076</v>
      </c>
      <c r="G13150" s="6">
        <v>18055.84</v>
      </c>
      <c r="H13150" s="5">
        <v>18713</v>
      </c>
    </row>
    <row r="13151" spans="2:8" x14ac:dyDescent="0.4">
      <c r="B13151" s="3" t="s">
        <v>7</v>
      </c>
      <c r="C13151" s="3" t="s">
        <v>2075</v>
      </c>
      <c r="D13151" s="4">
        <f>DATE(2013,7,15)</f>
        <v>41470</v>
      </c>
      <c r="E13151" s="5">
        <f t="shared" si="217"/>
        <v>2013</v>
      </c>
      <c r="F13151" s="3" t="s">
        <v>2076</v>
      </c>
      <c r="G13151" s="6">
        <v>6498.55</v>
      </c>
      <c r="H13151" s="5">
        <v>18766</v>
      </c>
    </row>
    <row r="13152" spans="2:8" x14ac:dyDescent="0.4">
      <c r="B13152" s="3" t="s">
        <v>7</v>
      </c>
      <c r="C13152" s="3" t="s">
        <v>2075</v>
      </c>
      <c r="D13152" s="4">
        <f>DATE(2013,7,18)</f>
        <v>41473</v>
      </c>
      <c r="E13152" s="5">
        <f t="shared" si="217"/>
        <v>2013</v>
      </c>
      <c r="F13152" s="3" t="s">
        <v>2076</v>
      </c>
      <c r="G13152" s="6">
        <v>3189.6</v>
      </c>
      <c r="H13152" s="5">
        <v>18781</v>
      </c>
    </row>
    <row r="13153" spans="2:8" x14ac:dyDescent="0.4">
      <c r="B13153" s="3" t="s">
        <v>7</v>
      </c>
      <c r="C13153" s="3" t="s">
        <v>2075</v>
      </c>
      <c r="D13153" s="4">
        <f>DATE(2013,7,23)</f>
        <v>41478</v>
      </c>
      <c r="E13153" s="5">
        <f t="shared" si="217"/>
        <v>2013</v>
      </c>
      <c r="F13153" s="3" t="s">
        <v>2076</v>
      </c>
      <c r="G13153" s="6">
        <v>5410</v>
      </c>
      <c r="H13153" s="5">
        <v>18755</v>
      </c>
    </row>
    <row r="13154" spans="2:8" x14ac:dyDescent="0.4">
      <c r="B13154" s="3" t="s">
        <v>7</v>
      </c>
      <c r="C13154" s="3" t="s">
        <v>2075</v>
      </c>
      <c r="D13154" s="4">
        <f>DATE(2013,7,23)</f>
        <v>41478</v>
      </c>
      <c r="E13154" s="5">
        <f t="shared" si="217"/>
        <v>2013</v>
      </c>
      <c r="F13154" s="3" t="s">
        <v>2076</v>
      </c>
      <c r="G13154" s="6">
        <v>18896.349999999999</v>
      </c>
      <c r="H13154" s="5">
        <v>18626</v>
      </c>
    </row>
    <row r="13155" spans="2:8" x14ac:dyDescent="0.4">
      <c r="B13155" s="3" t="s">
        <v>7</v>
      </c>
      <c r="C13155" s="3" t="s">
        <v>2075</v>
      </c>
      <c r="D13155" s="4">
        <f>DATE(2013,7,24)</f>
        <v>41479</v>
      </c>
      <c r="E13155" s="5">
        <f t="shared" si="217"/>
        <v>2013</v>
      </c>
      <c r="F13155" s="3" t="s">
        <v>2076</v>
      </c>
      <c r="G13155" s="6">
        <v>6191.1</v>
      </c>
      <c r="H13155" s="5">
        <v>18767</v>
      </c>
    </row>
    <row r="13156" spans="2:8" x14ac:dyDescent="0.4">
      <c r="B13156" s="3" t="s">
        <v>7</v>
      </c>
      <c r="C13156" s="3" t="s">
        <v>2075</v>
      </c>
      <c r="D13156" s="4">
        <f>DATE(2013,7,26)</f>
        <v>41481</v>
      </c>
      <c r="E13156" s="5">
        <f t="shared" si="217"/>
        <v>2013</v>
      </c>
      <c r="F13156" s="3" t="s">
        <v>2076</v>
      </c>
      <c r="G13156" s="6">
        <v>1384.05</v>
      </c>
      <c r="H13156" s="5">
        <v>18798</v>
      </c>
    </row>
    <row r="13157" spans="2:8" x14ac:dyDescent="0.4">
      <c r="B13157" s="3" t="s">
        <v>7</v>
      </c>
      <c r="C13157" s="3" t="s">
        <v>2075</v>
      </c>
      <c r="D13157" s="4">
        <f>DATE(2013,7,30)</f>
        <v>41485</v>
      </c>
      <c r="E13157" s="5">
        <f t="shared" si="217"/>
        <v>2013</v>
      </c>
      <c r="F13157" s="3" t="s">
        <v>2076</v>
      </c>
      <c r="G13157" s="6">
        <v>1663.6</v>
      </c>
      <c r="H13157" s="5">
        <v>18811</v>
      </c>
    </row>
    <row r="13158" spans="2:8" x14ac:dyDescent="0.4">
      <c r="B13158" s="3" t="s">
        <v>7</v>
      </c>
      <c r="C13158" s="3" t="s">
        <v>2075</v>
      </c>
      <c r="D13158" s="4">
        <f>DATE(2013,8,15)</f>
        <v>41501</v>
      </c>
      <c r="E13158" s="5">
        <f t="shared" si="217"/>
        <v>2013</v>
      </c>
      <c r="F13158" s="3" t="s">
        <v>2076</v>
      </c>
      <c r="G13158" s="6">
        <v>6122.55</v>
      </c>
      <c r="H13158" s="5">
        <v>18855</v>
      </c>
    </row>
    <row r="13159" spans="2:8" x14ac:dyDescent="0.4">
      <c r="B13159" s="3" t="s">
        <v>7</v>
      </c>
      <c r="C13159" s="3" t="s">
        <v>2075</v>
      </c>
      <c r="D13159" s="4">
        <f>DATE(2013,8,20)</f>
        <v>41506</v>
      </c>
      <c r="E13159" s="5">
        <f t="shared" si="217"/>
        <v>2013</v>
      </c>
      <c r="F13159" s="3" t="s">
        <v>2076</v>
      </c>
      <c r="G13159" s="6">
        <v>2772.7</v>
      </c>
      <c r="H13159" s="5">
        <v>18848</v>
      </c>
    </row>
    <row r="13160" spans="2:8" x14ac:dyDescent="0.4">
      <c r="B13160" s="3" t="s">
        <v>7</v>
      </c>
      <c r="C13160" s="3" t="s">
        <v>2075</v>
      </c>
      <c r="D13160" s="4">
        <f>DATE(2013,8,28)</f>
        <v>41514</v>
      </c>
      <c r="E13160" s="5">
        <f t="shared" si="217"/>
        <v>2013</v>
      </c>
      <c r="F13160" s="3" t="s">
        <v>2076</v>
      </c>
      <c r="G13160" s="6">
        <v>17978.05</v>
      </c>
      <c r="H13160" s="5">
        <v>18866</v>
      </c>
    </row>
    <row r="13161" spans="2:8" x14ac:dyDescent="0.4">
      <c r="B13161" s="3" t="s">
        <v>7</v>
      </c>
      <c r="C13161" s="3" t="s">
        <v>2075</v>
      </c>
      <c r="D13161" s="4">
        <f>DATE(2013,8,28)</f>
        <v>41514</v>
      </c>
      <c r="E13161" s="5">
        <f t="shared" si="217"/>
        <v>2013</v>
      </c>
      <c r="F13161" s="3" t="s">
        <v>2076</v>
      </c>
      <c r="G13161" s="6">
        <v>5163.05</v>
      </c>
      <c r="H13161" s="5">
        <v>18839</v>
      </c>
    </row>
    <row r="13162" spans="2:8" x14ac:dyDescent="0.4">
      <c r="B13162" s="3" t="s">
        <v>7</v>
      </c>
      <c r="C13162" s="3" t="s">
        <v>2075</v>
      </c>
      <c r="D13162" s="4">
        <f>DATE(2013,9,11)</f>
        <v>41528</v>
      </c>
      <c r="E13162" s="5">
        <f t="shared" si="217"/>
        <v>2013</v>
      </c>
      <c r="F13162" s="3" t="s">
        <v>2076</v>
      </c>
      <c r="G13162" s="6">
        <v>15266.13</v>
      </c>
      <c r="H13162" s="5">
        <v>18913</v>
      </c>
    </row>
    <row r="13163" spans="2:8" x14ac:dyDescent="0.4">
      <c r="B13163" s="3" t="s">
        <v>7</v>
      </c>
      <c r="C13163" s="3" t="s">
        <v>2075</v>
      </c>
      <c r="D13163" s="4">
        <f>DATE(2013,9,13)</f>
        <v>41530</v>
      </c>
      <c r="E13163" s="5">
        <f t="shared" si="217"/>
        <v>2013</v>
      </c>
      <c r="F13163" s="3" t="s">
        <v>2076</v>
      </c>
      <c r="G13163" s="6">
        <v>7214.7</v>
      </c>
      <c r="H13163" s="5">
        <v>18912</v>
      </c>
    </row>
    <row r="13164" spans="2:8" x14ac:dyDescent="0.4">
      <c r="B13164" s="3" t="s">
        <v>7</v>
      </c>
      <c r="C13164" s="3" t="s">
        <v>2075</v>
      </c>
      <c r="D13164" s="4">
        <f>DATE(2013,10,10)</f>
        <v>41557</v>
      </c>
      <c r="E13164" s="5">
        <f t="shared" si="217"/>
        <v>2013</v>
      </c>
      <c r="F13164" s="3" t="s">
        <v>2076</v>
      </c>
      <c r="G13164" s="6">
        <v>3123.4</v>
      </c>
      <c r="H13164" s="5">
        <v>19051</v>
      </c>
    </row>
    <row r="13165" spans="2:8" x14ac:dyDescent="0.4">
      <c r="B13165" s="3" t="s">
        <v>7</v>
      </c>
      <c r="C13165" s="3" t="s">
        <v>2075</v>
      </c>
      <c r="D13165" s="4">
        <f>DATE(2013,11,8)</f>
        <v>41586</v>
      </c>
      <c r="E13165" s="5">
        <f t="shared" si="217"/>
        <v>2013</v>
      </c>
      <c r="F13165" s="3" t="s">
        <v>2076</v>
      </c>
      <c r="G13165" s="6">
        <v>2603.3000000000002</v>
      </c>
      <c r="H13165" s="5">
        <v>19160</v>
      </c>
    </row>
    <row r="13166" spans="2:8" x14ac:dyDescent="0.4">
      <c r="B13166" s="3" t="s">
        <v>7</v>
      </c>
      <c r="C13166" s="3" t="s">
        <v>2075</v>
      </c>
      <c r="D13166" s="4">
        <f>DATE(2013,11,18)</f>
        <v>41596</v>
      </c>
      <c r="E13166" s="5">
        <f t="shared" si="217"/>
        <v>2013</v>
      </c>
      <c r="F13166" s="3" t="s">
        <v>2076</v>
      </c>
      <c r="G13166" s="6">
        <v>2823.58</v>
      </c>
      <c r="H13166" s="5">
        <v>19191</v>
      </c>
    </row>
    <row r="13167" spans="2:8" x14ac:dyDescent="0.4">
      <c r="B13167" s="3" t="s">
        <v>7</v>
      </c>
      <c r="C13167" s="3" t="s">
        <v>2075</v>
      </c>
      <c r="D13167" s="4">
        <f>DATE(2013,12,2)</f>
        <v>41610</v>
      </c>
      <c r="E13167" s="5">
        <f t="shared" si="217"/>
        <v>2013</v>
      </c>
      <c r="F13167" s="3" t="s">
        <v>2076</v>
      </c>
      <c r="G13167" s="6">
        <v>1810.1</v>
      </c>
      <c r="H13167" s="5">
        <v>19211</v>
      </c>
    </row>
    <row r="13168" spans="2:8" x14ac:dyDescent="0.4">
      <c r="B13168" s="3" t="s">
        <v>7</v>
      </c>
      <c r="C13168" s="3" t="s">
        <v>2075</v>
      </c>
      <c r="D13168" s="4">
        <f>DATE(2013,12,4)</f>
        <v>41612</v>
      </c>
      <c r="E13168" s="5">
        <f t="shared" si="217"/>
        <v>2013</v>
      </c>
      <c r="F13168" s="3" t="s">
        <v>2076</v>
      </c>
      <c r="G13168" s="6">
        <v>12244.02</v>
      </c>
      <c r="H13168" s="5">
        <v>19263</v>
      </c>
    </row>
    <row r="13169" spans="2:8" x14ac:dyDescent="0.4">
      <c r="B13169" s="3" t="s">
        <v>7</v>
      </c>
      <c r="C13169" s="3" t="s">
        <v>2075</v>
      </c>
      <c r="D13169" s="4">
        <f>DATE(2013,12,9)</f>
        <v>41617</v>
      </c>
      <c r="E13169" s="5">
        <f t="shared" si="217"/>
        <v>2013</v>
      </c>
      <c r="F13169" s="3" t="s">
        <v>2076</v>
      </c>
      <c r="G13169" s="6">
        <v>13988.25</v>
      </c>
      <c r="H13169" s="5">
        <v>19262</v>
      </c>
    </row>
    <row r="13170" spans="2:8" x14ac:dyDescent="0.4">
      <c r="B13170" s="3" t="s">
        <v>7</v>
      </c>
      <c r="C13170" s="3" t="s">
        <v>2075</v>
      </c>
      <c r="D13170" s="4">
        <f>DATE(2013,12,10)</f>
        <v>41618</v>
      </c>
      <c r="E13170" s="5">
        <f t="shared" si="217"/>
        <v>2013</v>
      </c>
      <c r="F13170" s="3" t="s">
        <v>2076</v>
      </c>
      <c r="G13170" s="6">
        <v>2973.2</v>
      </c>
      <c r="H13170" s="5">
        <v>19288</v>
      </c>
    </row>
    <row r="13171" spans="2:8" x14ac:dyDescent="0.4">
      <c r="B13171" s="3" t="s">
        <v>7</v>
      </c>
      <c r="C13171" s="3" t="s">
        <v>2075</v>
      </c>
      <c r="D13171" s="4">
        <f>DATE(2014,1,29)</f>
        <v>41668</v>
      </c>
      <c r="E13171" s="5">
        <f t="shared" si="217"/>
        <v>2014</v>
      </c>
      <c r="F13171" s="3" t="s">
        <v>2076</v>
      </c>
      <c r="G13171" s="6">
        <v>16976.23</v>
      </c>
      <c r="H13171" s="5">
        <v>19395</v>
      </c>
    </row>
    <row r="13172" spans="2:8" x14ac:dyDescent="0.4">
      <c r="B13172" s="3" t="s">
        <v>7</v>
      </c>
      <c r="C13172" s="3" t="s">
        <v>2075</v>
      </c>
      <c r="D13172" s="4">
        <f>DATE(2014,1,30)</f>
        <v>41669</v>
      </c>
      <c r="E13172" s="5">
        <f t="shared" si="217"/>
        <v>2014</v>
      </c>
      <c r="F13172" s="3" t="s">
        <v>2076</v>
      </c>
      <c r="G13172" s="6">
        <v>16516.810000000001</v>
      </c>
      <c r="H13172" s="5">
        <v>19380</v>
      </c>
    </row>
    <row r="13173" spans="2:8" x14ac:dyDescent="0.4">
      <c r="B13173" s="3" t="s">
        <v>7</v>
      </c>
      <c r="C13173" s="3" t="s">
        <v>2075</v>
      </c>
      <c r="D13173" s="4">
        <f>DATE(2014,1,31)</f>
        <v>41670</v>
      </c>
      <c r="E13173" s="5">
        <f t="shared" si="217"/>
        <v>2014</v>
      </c>
      <c r="F13173" s="3" t="s">
        <v>2076</v>
      </c>
      <c r="G13173" s="6">
        <v>9919.1</v>
      </c>
      <c r="H13173" s="5">
        <v>19289</v>
      </c>
    </row>
    <row r="13174" spans="2:8" x14ac:dyDescent="0.4">
      <c r="B13174" s="3" t="s">
        <v>7</v>
      </c>
      <c r="C13174" s="3" t="s">
        <v>2075</v>
      </c>
      <c r="D13174" s="4">
        <f>DATE(2014,2,6)</f>
        <v>41676</v>
      </c>
      <c r="E13174" s="5">
        <f t="shared" si="217"/>
        <v>2014</v>
      </c>
      <c r="F13174" s="3" t="s">
        <v>2076</v>
      </c>
      <c r="G13174" s="6">
        <v>4229.6499999999996</v>
      </c>
      <c r="H13174" s="5">
        <v>19419</v>
      </c>
    </row>
    <row r="13175" spans="2:8" x14ac:dyDescent="0.4">
      <c r="B13175" s="3" t="s">
        <v>7</v>
      </c>
      <c r="C13175" s="3" t="s">
        <v>2075</v>
      </c>
      <c r="D13175" s="4">
        <f>DATE(2014,2,12)</f>
        <v>41682</v>
      </c>
      <c r="E13175" s="5">
        <f t="shared" si="217"/>
        <v>2014</v>
      </c>
      <c r="F13175" s="3" t="s">
        <v>2076</v>
      </c>
      <c r="G13175" s="6">
        <v>43773.32</v>
      </c>
      <c r="H13175" s="5">
        <v>19394</v>
      </c>
    </row>
    <row r="13176" spans="2:8" x14ac:dyDescent="0.4">
      <c r="B13176" s="3" t="s">
        <v>7</v>
      </c>
      <c r="C13176" s="3" t="s">
        <v>2075</v>
      </c>
      <c r="D13176" s="4">
        <f>DATE(2014,2,18)</f>
        <v>41688</v>
      </c>
      <c r="E13176" s="5">
        <f t="shared" si="217"/>
        <v>2014</v>
      </c>
      <c r="F13176" s="3" t="s">
        <v>2076</v>
      </c>
      <c r="G13176" s="6">
        <v>8318.2999999999993</v>
      </c>
      <c r="H13176" s="5">
        <v>19482</v>
      </c>
    </row>
    <row r="13177" spans="2:8" x14ac:dyDescent="0.4">
      <c r="B13177" s="3" t="s">
        <v>7</v>
      </c>
      <c r="C13177" s="3" t="s">
        <v>2075</v>
      </c>
      <c r="D13177" s="4">
        <f>DATE(2014,2,18)</f>
        <v>41688</v>
      </c>
      <c r="E13177" s="5">
        <f t="shared" si="217"/>
        <v>2014</v>
      </c>
      <c r="F13177" s="3" t="s">
        <v>2076</v>
      </c>
      <c r="G13177" s="6">
        <v>2208</v>
      </c>
      <c r="H13177" s="5">
        <v>19495</v>
      </c>
    </row>
    <row r="13178" spans="2:8" x14ac:dyDescent="0.4">
      <c r="B13178" s="3" t="s">
        <v>7</v>
      </c>
      <c r="C13178" s="3" t="s">
        <v>2075</v>
      </c>
      <c r="D13178" s="4">
        <f>DATE(2014,2,18)</f>
        <v>41688</v>
      </c>
      <c r="E13178" s="5">
        <f t="shared" si="217"/>
        <v>2014</v>
      </c>
      <c r="F13178" s="3" t="s">
        <v>2076</v>
      </c>
      <c r="G13178" s="6">
        <v>6153.5</v>
      </c>
      <c r="H13178" s="5">
        <v>19464</v>
      </c>
    </row>
    <row r="13179" spans="2:8" x14ac:dyDescent="0.4">
      <c r="B13179" s="3" t="s">
        <v>7</v>
      </c>
      <c r="C13179" s="3" t="s">
        <v>2075</v>
      </c>
      <c r="D13179" s="4">
        <f>DATE(2014,2,21)</f>
        <v>41691</v>
      </c>
      <c r="E13179" s="5">
        <f t="shared" si="217"/>
        <v>2014</v>
      </c>
      <c r="F13179" s="3" t="s">
        <v>2076</v>
      </c>
      <c r="G13179" s="6">
        <v>22740.74</v>
      </c>
      <c r="H13179" s="5">
        <v>19459</v>
      </c>
    </row>
    <row r="13180" spans="2:8" x14ac:dyDescent="0.4">
      <c r="B13180" s="3" t="s">
        <v>7</v>
      </c>
      <c r="C13180" s="3" t="s">
        <v>2075</v>
      </c>
      <c r="D13180" s="4">
        <f>DATE(2014,3,4)</f>
        <v>41702</v>
      </c>
      <c r="E13180" s="5">
        <f t="shared" si="217"/>
        <v>2014</v>
      </c>
      <c r="F13180" s="3" t="s">
        <v>2076</v>
      </c>
      <c r="G13180" s="6">
        <v>2950</v>
      </c>
      <c r="H13180" s="5">
        <v>19496</v>
      </c>
    </row>
    <row r="13181" spans="2:8" x14ac:dyDescent="0.4">
      <c r="B13181" s="3" t="s">
        <v>7</v>
      </c>
      <c r="C13181" s="3" t="s">
        <v>2075</v>
      </c>
      <c r="D13181" s="4">
        <f>DATE(2014,3,4)</f>
        <v>41702</v>
      </c>
      <c r="E13181" s="5">
        <f t="shared" si="217"/>
        <v>2014</v>
      </c>
      <c r="F13181" s="3" t="s">
        <v>2076</v>
      </c>
      <c r="G13181" s="6">
        <v>2950</v>
      </c>
      <c r="H13181" s="5">
        <v>19347</v>
      </c>
    </row>
    <row r="13182" spans="2:8" x14ac:dyDescent="0.4">
      <c r="B13182" s="3" t="s">
        <v>7</v>
      </c>
      <c r="C13182" s="3" t="s">
        <v>2075</v>
      </c>
      <c r="D13182" s="4">
        <f>DATE(2014,3,4)</f>
        <v>41702</v>
      </c>
      <c r="E13182" s="5">
        <f t="shared" si="217"/>
        <v>2014</v>
      </c>
      <c r="F13182" s="3" t="s">
        <v>2076</v>
      </c>
      <c r="G13182" s="6">
        <v>304.8</v>
      </c>
      <c r="H13182" s="5">
        <v>19533</v>
      </c>
    </row>
    <row r="13183" spans="2:8" x14ac:dyDescent="0.4">
      <c r="B13183" s="3" t="s">
        <v>7</v>
      </c>
      <c r="C13183" s="3" t="s">
        <v>2075</v>
      </c>
      <c r="D13183" s="4">
        <f>DATE(2014,3,4)</f>
        <v>41702</v>
      </c>
      <c r="E13183" s="5">
        <f t="shared" si="217"/>
        <v>2014</v>
      </c>
      <c r="F13183" s="3" t="s">
        <v>2076</v>
      </c>
      <c r="G13183" s="6">
        <v>257.05</v>
      </c>
      <c r="H13183" s="5">
        <v>19648</v>
      </c>
    </row>
    <row r="13184" spans="2:8" x14ac:dyDescent="0.4">
      <c r="B13184" s="3" t="s">
        <v>7</v>
      </c>
      <c r="C13184" s="3" t="s">
        <v>2075</v>
      </c>
      <c r="D13184" s="4">
        <f>DATE(2014,3,6)</f>
        <v>41704</v>
      </c>
      <c r="E13184" s="5">
        <f t="shared" si="217"/>
        <v>2014</v>
      </c>
      <c r="F13184" s="3" t="s">
        <v>2076</v>
      </c>
      <c r="G13184" s="6">
        <v>2048.15</v>
      </c>
      <c r="H13184" s="5">
        <v>19569</v>
      </c>
    </row>
    <row r="13185" spans="2:8" x14ac:dyDescent="0.4">
      <c r="B13185" s="3" t="s">
        <v>7</v>
      </c>
      <c r="C13185" s="3" t="s">
        <v>2075</v>
      </c>
      <c r="D13185" s="4">
        <f>DATE(2014,3,7)</f>
        <v>41705</v>
      </c>
      <c r="E13185" s="5">
        <f t="shared" si="217"/>
        <v>2014</v>
      </c>
      <c r="F13185" s="3" t="s">
        <v>2076</v>
      </c>
      <c r="G13185" s="6">
        <v>2989.1</v>
      </c>
      <c r="H13185" s="5">
        <v>19546</v>
      </c>
    </row>
    <row r="13186" spans="2:8" x14ac:dyDescent="0.4">
      <c r="B13186" s="3" t="s">
        <v>7</v>
      </c>
      <c r="C13186" s="3" t="s">
        <v>2075</v>
      </c>
      <c r="D13186" s="4">
        <f>DATE(2014,3,12)</f>
        <v>41710</v>
      </c>
      <c r="E13186" s="5">
        <f t="shared" si="217"/>
        <v>2014</v>
      </c>
      <c r="F13186" s="3" t="s">
        <v>2076</v>
      </c>
      <c r="G13186" s="6">
        <v>16945.72</v>
      </c>
      <c r="H13186" s="5">
        <v>19418</v>
      </c>
    </row>
    <row r="13187" spans="2:8" x14ac:dyDescent="0.4">
      <c r="B13187" s="3" t="s">
        <v>7</v>
      </c>
      <c r="C13187" s="3" t="s">
        <v>2075</v>
      </c>
      <c r="D13187" s="4">
        <f>DATE(2014,3,12)</f>
        <v>41710</v>
      </c>
      <c r="E13187" s="5">
        <f t="shared" ref="E13187:E13250" si="218">YEAR(D13187)</f>
        <v>2014</v>
      </c>
      <c r="F13187" s="3" t="s">
        <v>2076</v>
      </c>
      <c r="G13187" s="6">
        <v>6891.16</v>
      </c>
      <c r="H13187" s="5">
        <v>19589</v>
      </c>
    </row>
    <row r="13188" spans="2:8" x14ac:dyDescent="0.4">
      <c r="B13188" s="3" t="s">
        <v>7</v>
      </c>
      <c r="C13188" s="3" t="s">
        <v>2075</v>
      </c>
      <c r="D13188" s="4">
        <f>DATE(2014,3,12)</f>
        <v>41710</v>
      </c>
      <c r="E13188" s="5">
        <f t="shared" si="218"/>
        <v>2014</v>
      </c>
      <c r="F13188" s="3" t="s">
        <v>2076</v>
      </c>
      <c r="G13188" s="6">
        <v>1840</v>
      </c>
      <c r="H13188" s="5">
        <v>19657</v>
      </c>
    </row>
    <row r="13189" spans="2:8" x14ac:dyDescent="0.4">
      <c r="B13189" s="3" t="s">
        <v>7</v>
      </c>
      <c r="C13189" s="3" t="s">
        <v>2075</v>
      </c>
      <c r="D13189" s="4">
        <f>DATE(2014,3,14)</f>
        <v>41712</v>
      </c>
      <c r="E13189" s="5">
        <f t="shared" si="218"/>
        <v>2014</v>
      </c>
      <c r="F13189" s="3" t="s">
        <v>2076</v>
      </c>
      <c r="G13189" s="6">
        <v>3399.65</v>
      </c>
      <c r="H13189" s="5">
        <v>19626</v>
      </c>
    </row>
    <row r="13190" spans="2:8" x14ac:dyDescent="0.4">
      <c r="B13190" s="3" t="s">
        <v>7</v>
      </c>
      <c r="C13190" s="3" t="s">
        <v>2075</v>
      </c>
      <c r="D13190" s="4">
        <f>DATE(2014,3,20)</f>
        <v>41718</v>
      </c>
      <c r="E13190" s="5">
        <f t="shared" si="218"/>
        <v>2014</v>
      </c>
      <c r="F13190" s="3" t="s">
        <v>2076</v>
      </c>
      <c r="G13190" s="6">
        <v>5009.25</v>
      </c>
      <c r="H13190" s="5">
        <v>19687</v>
      </c>
    </row>
    <row r="13191" spans="2:8" x14ac:dyDescent="0.4">
      <c r="B13191" s="3" t="s">
        <v>7</v>
      </c>
      <c r="C13191" s="3" t="s">
        <v>2075</v>
      </c>
      <c r="D13191" s="4">
        <f>DATE(2014,3,20)</f>
        <v>41718</v>
      </c>
      <c r="E13191" s="5">
        <f t="shared" si="218"/>
        <v>2014</v>
      </c>
      <c r="F13191" s="3" t="s">
        <v>2076</v>
      </c>
      <c r="G13191" s="6">
        <v>4590</v>
      </c>
      <c r="H13191" s="5">
        <v>19637</v>
      </c>
    </row>
    <row r="13192" spans="2:8" x14ac:dyDescent="0.4">
      <c r="B13192" s="3" t="s">
        <v>7</v>
      </c>
      <c r="C13192" s="3" t="s">
        <v>2075</v>
      </c>
      <c r="D13192" s="4">
        <f>DATE(2014,3,27)</f>
        <v>41725</v>
      </c>
      <c r="E13192" s="5">
        <f t="shared" si="218"/>
        <v>2014</v>
      </c>
      <c r="F13192" s="3" t="s">
        <v>2076</v>
      </c>
      <c r="G13192" s="6">
        <v>3840.04</v>
      </c>
      <c r="H13192" s="5">
        <v>19733</v>
      </c>
    </row>
    <row r="13193" spans="2:8" x14ac:dyDescent="0.4">
      <c r="B13193" s="3" t="s">
        <v>7</v>
      </c>
      <c r="C13193" s="3" t="s">
        <v>2075</v>
      </c>
      <c r="D13193" s="4">
        <f>DATE(2014,3,28)</f>
        <v>41726</v>
      </c>
      <c r="E13193" s="5">
        <f t="shared" si="218"/>
        <v>2014</v>
      </c>
      <c r="F13193" s="3" t="s">
        <v>2076</v>
      </c>
      <c r="G13193" s="6">
        <v>1140.2</v>
      </c>
      <c r="H13193" s="5">
        <v>19776</v>
      </c>
    </row>
    <row r="13194" spans="2:8" x14ac:dyDescent="0.4">
      <c r="B13194" s="3" t="s">
        <v>7</v>
      </c>
      <c r="C13194" s="3" t="s">
        <v>2075</v>
      </c>
      <c r="D13194" s="4">
        <f>DATE(2014,4,15)</f>
        <v>41744</v>
      </c>
      <c r="E13194" s="5">
        <f t="shared" si="218"/>
        <v>2014</v>
      </c>
      <c r="F13194" s="3" t="s">
        <v>2076</v>
      </c>
      <c r="G13194" s="6">
        <v>3167.4</v>
      </c>
      <c r="H13194" s="5">
        <v>19852</v>
      </c>
    </row>
    <row r="13195" spans="2:8" x14ac:dyDescent="0.4">
      <c r="B13195" s="3" t="s">
        <v>7</v>
      </c>
      <c r="C13195" s="3" t="s">
        <v>2075</v>
      </c>
      <c r="D13195" s="4">
        <f>DATE(2014,4,15)</f>
        <v>41744</v>
      </c>
      <c r="E13195" s="5">
        <f t="shared" si="218"/>
        <v>2014</v>
      </c>
      <c r="F13195" s="3" t="s">
        <v>2076</v>
      </c>
      <c r="G13195" s="6">
        <v>942.5</v>
      </c>
      <c r="H13195" s="5">
        <v>19851</v>
      </c>
    </row>
    <row r="13196" spans="2:8" x14ac:dyDescent="0.4">
      <c r="B13196" s="3" t="s">
        <v>7</v>
      </c>
      <c r="C13196" s="3" t="s">
        <v>2075</v>
      </c>
      <c r="D13196" s="4">
        <f>DATE(2014,4,22)</f>
        <v>41751</v>
      </c>
      <c r="E13196" s="5">
        <f t="shared" si="218"/>
        <v>2014</v>
      </c>
      <c r="F13196" s="3" t="s">
        <v>2076</v>
      </c>
      <c r="G13196" s="6">
        <v>37597.089999999997</v>
      </c>
      <c r="H13196" s="5">
        <v>19810</v>
      </c>
    </row>
    <row r="13197" spans="2:8" x14ac:dyDescent="0.4">
      <c r="B13197" s="3" t="s">
        <v>7</v>
      </c>
      <c r="C13197" s="3" t="s">
        <v>2075</v>
      </c>
      <c r="D13197" s="4">
        <f>DATE(2014,4,24)</f>
        <v>41753</v>
      </c>
      <c r="E13197" s="5">
        <f t="shared" si="218"/>
        <v>2014</v>
      </c>
      <c r="F13197" s="3" t="s">
        <v>2076</v>
      </c>
      <c r="G13197" s="6">
        <v>4803.1000000000004</v>
      </c>
      <c r="H13197" s="5">
        <v>19889</v>
      </c>
    </row>
    <row r="13198" spans="2:8" x14ac:dyDescent="0.4">
      <c r="B13198" s="3" t="s">
        <v>7</v>
      </c>
      <c r="C13198" s="3" t="s">
        <v>2075</v>
      </c>
      <c r="D13198" s="4">
        <f>DATE(2014,4,29)</f>
        <v>41758</v>
      </c>
      <c r="E13198" s="5">
        <f t="shared" si="218"/>
        <v>2014</v>
      </c>
      <c r="F13198" s="3" t="s">
        <v>2076</v>
      </c>
      <c r="G13198" s="6">
        <v>3898.4</v>
      </c>
      <c r="H13198" s="5">
        <v>19871</v>
      </c>
    </row>
    <row r="13199" spans="2:8" x14ac:dyDescent="0.4">
      <c r="B13199" s="3" t="s">
        <v>7</v>
      </c>
      <c r="C13199" s="3" t="s">
        <v>2075</v>
      </c>
      <c r="D13199" s="4">
        <f>DATE(2014,5,6)</f>
        <v>41765</v>
      </c>
      <c r="E13199" s="5">
        <f t="shared" si="218"/>
        <v>2014</v>
      </c>
      <c r="F13199" s="3" t="s">
        <v>2076</v>
      </c>
      <c r="G13199" s="6">
        <v>6269.35</v>
      </c>
      <c r="H13199" s="5">
        <v>19894</v>
      </c>
    </row>
    <row r="13200" spans="2:8" x14ac:dyDescent="0.4">
      <c r="B13200" s="3" t="s">
        <v>7</v>
      </c>
      <c r="C13200" s="3" t="s">
        <v>2075</v>
      </c>
      <c r="D13200" s="4">
        <f>DATE(2014,5,23)</f>
        <v>41782</v>
      </c>
      <c r="E13200" s="5">
        <f t="shared" si="218"/>
        <v>2014</v>
      </c>
      <c r="F13200" s="3" t="s">
        <v>2076</v>
      </c>
      <c r="G13200" s="6">
        <v>12398.76</v>
      </c>
      <c r="H13200" s="5">
        <v>19986</v>
      </c>
    </row>
    <row r="13201" spans="2:8" x14ac:dyDescent="0.4">
      <c r="B13201" s="3" t="s">
        <v>7</v>
      </c>
      <c r="C13201" s="3" t="s">
        <v>2075</v>
      </c>
      <c r="D13201" s="4">
        <f>DATE(2014,5,30)</f>
        <v>41789</v>
      </c>
      <c r="E13201" s="5">
        <f t="shared" si="218"/>
        <v>2014</v>
      </c>
      <c r="F13201" s="3" t="s">
        <v>2076</v>
      </c>
      <c r="G13201" s="6">
        <v>12381.51</v>
      </c>
      <c r="H13201" s="5">
        <v>20021</v>
      </c>
    </row>
    <row r="13202" spans="2:8" x14ac:dyDescent="0.4">
      <c r="B13202" s="3" t="s">
        <v>7</v>
      </c>
      <c r="C13202" s="3" t="s">
        <v>2075</v>
      </c>
      <c r="D13202" s="4">
        <f>DATE(2014,6,9)</f>
        <v>41799</v>
      </c>
      <c r="E13202" s="5">
        <f t="shared" si="218"/>
        <v>2014</v>
      </c>
      <c r="F13202" s="3" t="s">
        <v>2076</v>
      </c>
      <c r="G13202" s="6">
        <v>1052.95</v>
      </c>
      <c r="H13202" s="5">
        <v>20022</v>
      </c>
    </row>
    <row r="13203" spans="2:8" x14ac:dyDescent="0.4">
      <c r="B13203" s="3" t="s">
        <v>7</v>
      </c>
      <c r="C13203" s="3" t="s">
        <v>2075</v>
      </c>
      <c r="D13203" s="4">
        <f>DATE(2014,6,10)</f>
        <v>41800</v>
      </c>
      <c r="E13203" s="5">
        <f t="shared" si="218"/>
        <v>2014</v>
      </c>
      <c r="F13203" s="3" t="s">
        <v>2076</v>
      </c>
      <c r="G13203" s="6">
        <v>7891.17</v>
      </c>
      <c r="H13203" s="5">
        <v>20008</v>
      </c>
    </row>
    <row r="13204" spans="2:8" x14ac:dyDescent="0.4">
      <c r="B13204" s="3" t="s">
        <v>7</v>
      </c>
      <c r="C13204" s="3" t="s">
        <v>2075</v>
      </c>
      <c r="D13204" s="4">
        <f>DATE(2014,6,13)</f>
        <v>41803</v>
      </c>
      <c r="E13204" s="5">
        <f t="shared" si="218"/>
        <v>2014</v>
      </c>
      <c r="F13204" s="3" t="s">
        <v>2076</v>
      </c>
      <c r="G13204" s="6">
        <v>3295.6</v>
      </c>
      <c r="H13204" s="5">
        <v>20029</v>
      </c>
    </row>
    <row r="13205" spans="2:8" x14ac:dyDescent="0.4">
      <c r="B13205" s="3" t="s">
        <v>7</v>
      </c>
      <c r="C13205" s="3" t="s">
        <v>2075</v>
      </c>
      <c r="D13205" s="4">
        <f>DATE(2014,6,13)</f>
        <v>41803</v>
      </c>
      <c r="E13205" s="5">
        <f t="shared" si="218"/>
        <v>2014</v>
      </c>
      <c r="F13205" s="3" t="s">
        <v>2076</v>
      </c>
      <c r="G13205" s="6">
        <v>1555.78</v>
      </c>
      <c r="H13205" s="5">
        <v>20063</v>
      </c>
    </row>
    <row r="13206" spans="2:8" x14ac:dyDescent="0.4">
      <c r="B13206" s="3" t="s">
        <v>7</v>
      </c>
      <c r="C13206" s="3" t="s">
        <v>2075</v>
      </c>
      <c r="D13206" s="4">
        <f>DATE(2014,6,13)</f>
        <v>41803</v>
      </c>
      <c r="E13206" s="5">
        <f t="shared" si="218"/>
        <v>2014</v>
      </c>
      <c r="F13206" s="3" t="s">
        <v>2076</v>
      </c>
      <c r="G13206" s="6">
        <v>304.8</v>
      </c>
      <c r="H13206" s="5">
        <v>20082</v>
      </c>
    </row>
    <row r="13207" spans="2:8" x14ac:dyDescent="0.4">
      <c r="B13207" s="3" t="s">
        <v>7</v>
      </c>
      <c r="C13207" s="3" t="s">
        <v>2075</v>
      </c>
      <c r="D13207" s="4">
        <f>DATE(2014,6,18)</f>
        <v>41808</v>
      </c>
      <c r="E13207" s="5">
        <f t="shared" si="218"/>
        <v>2014</v>
      </c>
      <c r="F13207" s="3" t="s">
        <v>2076</v>
      </c>
      <c r="G13207" s="6">
        <v>4209.8500000000004</v>
      </c>
      <c r="H13207" s="5">
        <v>20091</v>
      </c>
    </row>
    <row r="13208" spans="2:8" x14ac:dyDescent="0.4">
      <c r="B13208" s="3" t="s">
        <v>7</v>
      </c>
      <c r="C13208" s="3" t="s">
        <v>2075</v>
      </c>
      <c r="D13208" s="4">
        <f>DATE(2014,6,24)</f>
        <v>41814</v>
      </c>
      <c r="E13208" s="5">
        <f t="shared" si="218"/>
        <v>2014</v>
      </c>
      <c r="F13208" s="3" t="s">
        <v>2076</v>
      </c>
      <c r="G13208" s="6">
        <v>4822.6000000000004</v>
      </c>
      <c r="H13208" s="5">
        <v>20115</v>
      </c>
    </row>
    <row r="13209" spans="2:8" x14ac:dyDescent="0.4">
      <c r="B13209" s="3" t="s">
        <v>7</v>
      </c>
      <c r="C13209" s="3" t="s">
        <v>2075</v>
      </c>
      <c r="D13209" s="4">
        <f>DATE(2014,7,18)</f>
        <v>41838</v>
      </c>
      <c r="E13209" s="5">
        <f t="shared" si="218"/>
        <v>2014</v>
      </c>
      <c r="F13209" s="3" t="s">
        <v>2076</v>
      </c>
      <c r="G13209" s="6">
        <v>2225.35</v>
      </c>
      <c r="H13209" s="5">
        <v>20166</v>
      </c>
    </row>
    <row r="13210" spans="2:8" x14ac:dyDescent="0.4">
      <c r="B13210" s="3" t="s">
        <v>7</v>
      </c>
      <c r="C13210" s="3" t="s">
        <v>2075</v>
      </c>
      <c r="D13210" s="4">
        <f>DATE(2014,7,21)</f>
        <v>41841</v>
      </c>
      <c r="E13210" s="5">
        <f t="shared" si="218"/>
        <v>2014</v>
      </c>
      <c r="F13210" s="3" t="s">
        <v>2076</v>
      </c>
      <c r="G13210" s="6">
        <v>9711.7900000000009</v>
      </c>
      <c r="H13210" s="5">
        <v>20164</v>
      </c>
    </row>
    <row r="13211" spans="2:8" x14ac:dyDescent="0.4">
      <c r="B13211" s="3" t="s">
        <v>7</v>
      </c>
      <c r="C13211" s="3" t="s">
        <v>2075</v>
      </c>
      <c r="D13211" s="4">
        <f>DATE(2014,7,30)</f>
        <v>41850</v>
      </c>
      <c r="E13211" s="5">
        <f t="shared" si="218"/>
        <v>2014</v>
      </c>
      <c r="F13211" s="3" t="s">
        <v>2076</v>
      </c>
      <c r="G13211" s="6">
        <v>13305.14</v>
      </c>
      <c r="H13211" s="5">
        <v>20179</v>
      </c>
    </row>
    <row r="13212" spans="2:8" x14ac:dyDescent="0.4">
      <c r="B13212" s="3" t="s">
        <v>7</v>
      </c>
      <c r="C13212" s="3" t="s">
        <v>2075</v>
      </c>
      <c r="D13212" s="4">
        <f>DATE(2014,7,31)</f>
        <v>41851</v>
      </c>
      <c r="E13212" s="5">
        <f t="shared" si="218"/>
        <v>2014</v>
      </c>
      <c r="F13212" s="3" t="s">
        <v>2076</v>
      </c>
      <c r="G13212" s="6">
        <v>4904.5</v>
      </c>
      <c r="H13212" s="5">
        <v>20167</v>
      </c>
    </row>
    <row r="13213" spans="2:8" x14ac:dyDescent="0.4">
      <c r="B13213" s="3" t="s">
        <v>7</v>
      </c>
      <c r="C13213" s="3" t="s">
        <v>2075</v>
      </c>
      <c r="D13213" s="4">
        <f>DATE(2014,7,31)</f>
        <v>41851</v>
      </c>
      <c r="E13213" s="5">
        <f t="shared" si="218"/>
        <v>2014</v>
      </c>
      <c r="F13213" s="3" t="s">
        <v>2076</v>
      </c>
      <c r="G13213" s="6">
        <v>11404.61</v>
      </c>
      <c r="H13213" s="5">
        <v>20201</v>
      </c>
    </row>
    <row r="13214" spans="2:8" x14ac:dyDescent="0.4">
      <c r="B13214" s="3" t="s">
        <v>7</v>
      </c>
      <c r="C13214" s="3" t="s">
        <v>2075</v>
      </c>
      <c r="D13214" s="4">
        <f>DATE(2014,8,12)</f>
        <v>41863</v>
      </c>
      <c r="E13214" s="5">
        <f t="shared" si="218"/>
        <v>2014</v>
      </c>
      <c r="F13214" s="3" t="s">
        <v>2076</v>
      </c>
      <c r="G13214" s="6">
        <v>16461.04</v>
      </c>
      <c r="H13214" s="5">
        <v>20272</v>
      </c>
    </row>
    <row r="13215" spans="2:8" x14ac:dyDescent="0.4">
      <c r="B13215" s="3" t="s">
        <v>7</v>
      </c>
      <c r="C13215" s="3" t="s">
        <v>2075</v>
      </c>
      <c r="D13215" s="4">
        <f>DATE(2014,8,12)</f>
        <v>41863</v>
      </c>
      <c r="E13215" s="5">
        <f t="shared" si="218"/>
        <v>2014</v>
      </c>
      <c r="F13215" s="3" t="s">
        <v>2076</v>
      </c>
      <c r="G13215" s="6">
        <v>7360</v>
      </c>
      <c r="H13215" s="5">
        <v>20253</v>
      </c>
    </row>
    <row r="13216" spans="2:8" x14ac:dyDescent="0.4">
      <c r="B13216" s="3" t="s">
        <v>7</v>
      </c>
      <c r="C13216" s="3" t="s">
        <v>2075</v>
      </c>
      <c r="D13216" s="4">
        <f>DATE(2014,8,18)</f>
        <v>41869</v>
      </c>
      <c r="E13216" s="5">
        <f t="shared" si="218"/>
        <v>2014</v>
      </c>
      <c r="F13216" s="3" t="s">
        <v>2076</v>
      </c>
      <c r="G13216" s="6">
        <v>14108.99</v>
      </c>
      <c r="H13216" s="5">
        <v>20204</v>
      </c>
    </row>
    <row r="13217" spans="2:8" x14ac:dyDescent="0.4">
      <c r="B13217" s="3" t="s">
        <v>7</v>
      </c>
      <c r="C13217" s="3" t="s">
        <v>2075</v>
      </c>
      <c r="D13217" s="4">
        <f>DATE(2014,8,20)</f>
        <v>41871</v>
      </c>
      <c r="E13217" s="5">
        <f t="shared" si="218"/>
        <v>2014</v>
      </c>
      <c r="F13217" s="3" t="s">
        <v>2076</v>
      </c>
      <c r="G13217" s="6">
        <v>14735.32</v>
      </c>
      <c r="H13217" s="5">
        <v>20266</v>
      </c>
    </row>
    <row r="13218" spans="2:8" x14ac:dyDescent="0.4">
      <c r="B13218" s="3" t="s">
        <v>7</v>
      </c>
      <c r="C13218" s="3" t="s">
        <v>2075</v>
      </c>
      <c r="D13218" s="4">
        <f>DATE(2014,8,25)</f>
        <v>41876</v>
      </c>
      <c r="E13218" s="5">
        <f t="shared" si="218"/>
        <v>2014</v>
      </c>
      <c r="F13218" s="3" t="s">
        <v>2076</v>
      </c>
      <c r="G13218" s="6">
        <v>3912.55</v>
      </c>
      <c r="H13218" s="5">
        <v>20322</v>
      </c>
    </row>
    <row r="13219" spans="2:8" x14ac:dyDescent="0.4">
      <c r="B13219" s="3" t="s">
        <v>7</v>
      </c>
      <c r="C13219" s="3" t="s">
        <v>2075</v>
      </c>
      <c r="D13219" s="4">
        <f>DATE(2014,9,3)</f>
        <v>41885</v>
      </c>
      <c r="E13219" s="5">
        <f t="shared" si="218"/>
        <v>2014</v>
      </c>
      <c r="F13219" s="3" t="s">
        <v>2076</v>
      </c>
      <c r="G13219" s="6">
        <v>14170.84</v>
      </c>
      <c r="H13219" s="5">
        <v>20345</v>
      </c>
    </row>
    <row r="13220" spans="2:8" x14ac:dyDescent="0.4">
      <c r="B13220" s="3" t="s">
        <v>7</v>
      </c>
      <c r="C13220" s="3" t="s">
        <v>2075</v>
      </c>
      <c r="D13220" s="4">
        <f>DATE(2014,9,15)</f>
        <v>41897</v>
      </c>
      <c r="E13220" s="5">
        <f t="shared" si="218"/>
        <v>2014</v>
      </c>
      <c r="F13220" s="3" t="s">
        <v>2076</v>
      </c>
      <c r="G13220" s="6">
        <v>1414.5</v>
      </c>
      <c r="H13220" s="5">
        <v>20401</v>
      </c>
    </row>
    <row r="13221" spans="2:8" x14ac:dyDescent="0.4">
      <c r="B13221" s="3" t="s">
        <v>7</v>
      </c>
      <c r="C13221" s="3" t="s">
        <v>2075</v>
      </c>
      <c r="D13221" s="4">
        <f>DATE(2014,9,16)</f>
        <v>41898</v>
      </c>
      <c r="E13221" s="5">
        <f t="shared" si="218"/>
        <v>2014</v>
      </c>
      <c r="F13221" s="3" t="s">
        <v>2076</v>
      </c>
      <c r="G13221" s="6">
        <v>12275.43</v>
      </c>
      <c r="H13221" s="5">
        <v>20361</v>
      </c>
    </row>
    <row r="13222" spans="2:8" x14ac:dyDescent="0.4">
      <c r="B13222" s="3" t="s">
        <v>7</v>
      </c>
      <c r="C13222" s="3" t="s">
        <v>2075</v>
      </c>
      <c r="D13222" s="4">
        <f>DATE(2014,10,3)</f>
        <v>41915</v>
      </c>
      <c r="E13222" s="5">
        <f t="shared" si="218"/>
        <v>2014</v>
      </c>
      <c r="F13222" s="3" t="s">
        <v>2076</v>
      </c>
      <c r="G13222" s="6">
        <v>21654.52</v>
      </c>
      <c r="H13222" s="5">
        <v>20403</v>
      </c>
    </row>
    <row r="13223" spans="2:8" x14ac:dyDescent="0.4">
      <c r="B13223" s="3" t="s">
        <v>7</v>
      </c>
      <c r="C13223" s="3" t="s">
        <v>2075</v>
      </c>
      <c r="D13223" s="4">
        <f>DATE(2014,11,6)</f>
        <v>41949</v>
      </c>
      <c r="E13223" s="5">
        <f t="shared" si="218"/>
        <v>2014</v>
      </c>
      <c r="F13223" s="3" t="s">
        <v>2076</v>
      </c>
      <c r="G13223" s="6">
        <v>12776.44</v>
      </c>
      <c r="H13223" s="5">
        <v>20507</v>
      </c>
    </row>
    <row r="13224" spans="2:8" x14ac:dyDescent="0.4">
      <c r="B13224" s="3" t="s">
        <v>7</v>
      </c>
      <c r="C13224" s="3" t="s">
        <v>2075</v>
      </c>
      <c r="D13224" s="4">
        <f>DATE(2014,11,6)</f>
        <v>41949</v>
      </c>
      <c r="E13224" s="5">
        <f t="shared" si="218"/>
        <v>2014</v>
      </c>
      <c r="F13224" s="3" t="s">
        <v>2076</v>
      </c>
      <c r="G13224" s="6">
        <v>2950</v>
      </c>
      <c r="H13224" s="5">
        <v>20523</v>
      </c>
    </row>
    <row r="13225" spans="2:8" x14ac:dyDescent="0.4">
      <c r="B13225" s="3" t="s">
        <v>7</v>
      </c>
      <c r="C13225" s="3" t="s">
        <v>2075</v>
      </c>
      <c r="D13225" s="4">
        <f>DATE(2014,11,6)</f>
        <v>41949</v>
      </c>
      <c r="E13225" s="5">
        <f t="shared" si="218"/>
        <v>2014</v>
      </c>
      <c r="F13225" s="3" t="s">
        <v>2076</v>
      </c>
      <c r="G13225" s="6">
        <v>2950</v>
      </c>
      <c r="H13225" s="5">
        <v>20510</v>
      </c>
    </row>
    <row r="13226" spans="2:8" x14ac:dyDescent="0.4">
      <c r="B13226" s="3" t="s">
        <v>7</v>
      </c>
      <c r="C13226" s="3" t="s">
        <v>2075</v>
      </c>
      <c r="D13226" s="4">
        <f>DATE(2014,11,19)</f>
        <v>41962</v>
      </c>
      <c r="E13226" s="5">
        <f t="shared" si="218"/>
        <v>2014</v>
      </c>
      <c r="F13226" s="3" t="s">
        <v>2076</v>
      </c>
      <c r="G13226" s="6">
        <v>3899.15</v>
      </c>
      <c r="H13226" s="5">
        <v>20660</v>
      </c>
    </row>
    <row r="13227" spans="2:8" x14ac:dyDescent="0.4">
      <c r="B13227" s="3" t="s">
        <v>7</v>
      </c>
      <c r="C13227" s="3" t="s">
        <v>2075</v>
      </c>
      <c r="D13227" s="4">
        <f>DATE(2014,11,24)</f>
        <v>41967</v>
      </c>
      <c r="E13227" s="5">
        <f t="shared" si="218"/>
        <v>2014</v>
      </c>
      <c r="F13227" s="3" t="s">
        <v>2076</v>
      </c>
      <c r="G13227" s="6">
        <v>376.15</v>
      </c>
      <c r="H13227" s="5">
        <v>20670</v>
      </c>
    </row>
    <row r="13228" spans="2:8" x14ac:dyDescent="0.4">
      <c r="B13228" s="3" t="s">
        <v>7</v>
      </c>
      <c r="C13228" s="3" t="s">
        <v>2075</v>
      </c>
      <c r="D13228" s="4">
        <f>DATE(2014,12,8)</f>
        <v>41981</v>
      </c>
      <c r="E13228" s="5">
        <f t="shared" si="218"/>
        <v>2014</v>
      </c>
      <c r="F13228" s="3" t="s">
        <v>2076</v>
      </c>
      <c r="G13228" s="6">
        <v>2785.66</v>
      </c>
      <c r="H13228" s="5">
        <v>20661</v>
      </c>
    </row>
    <row r="13229" spans="2:8" x14ac:dyDescent="0.4">
      <c r="B13229" s="3" t="s">
        <v>7</v>
      </c>
      <c r="C13229" s="3" t="s">
        <v>2075</v>
      </c>
      <c r="D13229" s="4">
        <f>DATE(2014,12,12)</f>
        <v>41985</v>
      </c>
      <c r="E13229" s="5">
        <f t="shared" si="218"/>
        <v>2014</v>
      </c>
      <c r="F13229" s="3" t="s">
        <v>2076</v>
      </c>
      <c r="G13229" s="6">
        <v>32499.040000000001</v>
      </c>
      <c r="H13229" s="5">
        <v>20648</v>
      </c>
    </row>
    <row r="13230" spans="2:8" x14ac:dyDescent="0.4">
      <c r="B13230" s="3" t="s">
        <v>16</v>
      </c>
      <c r="C13230" s="3" t="s">
        <v>2075</v>
      </c>
      <c r="D13230" s="4">
        <f>DATE(2003,6,11)</f>
        <v>37783</v>
      </c>
      <c r="E13230" s="5">
        <f t="shared" si="218"/>
        <v>2003</v>
      </c>
      <c r="F13230" s="3" t="s">
        <v>2076</v>
      </c>
      <c r="G13230" s="6">
        <v>16400</v>
      </c>
      <c r="H13230" s="5">
        <v>1079</v>
      </c>
    </row>
    <row r="13231" spans="2:8" x14ac:dyDescent="0.4">
      <c r="B13231" s="3" t="s">
        <v>16</v>
      </c>
      <c r="C13231" s="3" t="s">
        <v>2075</v>
      </c>
      <c r="D13231" s="4">
        <f>DATE(2005,11,17)</f>
        <v>38673</v>
      </c>
      <c r="E13231" s="5">
        <f t="shared" si="218"/>
        <v>2005</v>
      </c>
      <c r="F13231" s="3" t="s">
        <v>2076</v>
      </c>
      <c r="G13231" s="6">
        <v>437.5</v>
      </c>
      <c r="H13231" s="5">
        <v>5610</v>
      </c>
    </row>
    <row r="13232" spans="2:8" x14ac:dyDescent="0.4">
      <c r="B13232" s="3" t="s">
        <v>16</v>
      </c>
      <c r="C13232" s="3" t="s">
        <v>2075</v>
      </c>
      <c r="D13232" s="4">
        <f>DATE(2005,9,28)</f>
        <v>38623</v>
      </c>
      <c r="E13232" s="5">
        <f t="shared" si="218"/>
        <v>2005</v>
      </c>
      <c r="F13232" s="3" t="s">
        <v>2076</v>
      </c>
      <c r="G13232" s="6">
        <v>3600</v>
      </c>
      <c r="H13232" s="5">
        <v>5766</v>
      </c>
    </row>
    <row r="13233" spans="2:8" x14ac:dyDescent="0.4">
      <c r="B13233" s="3" t="s">
        <v>16</v>
      </c>
      <c r="C13233" s="3" t="s">
        <v>2075</v>
      </c>
      <c r="D13233" s="4">
        <f>DATE(2006,4,6)</f>
        <v>38813</v>
      </c>
      <c r="E13233" s="5">
        <f t="shared" si="218"/>
        <v>2006</v>
      </c>
      <c r="F13233" s="3" t="s">
        <v>2076</v>
      </c>
      <c r="G13233" s="6">
        <v>321.08</v>
      </c>
      <c r="H13233" s="5">
        <v>6553</v>
      </c>
    </row>
    <row r="13234" spans="2:8" x14ac:dyDescent="0.4">
      <c r="B13234" s="3" t="s">
        <v>16</v>
      </c>
      <c r="C13234" s="3" t="s">
        <v>2075</v>
      </c>
      <c r="D13234" s="4">
        <f>DATE(2009,8,14)</f>
        <v>40039</v>
      </c>
      <c r="E13234" s="5">
        <f t="shared" si="218"/>
        <v>2009</v>
      </c>
      <c r="F13234" s="3" t="s">
        <v>2076</v>
      </c>
      <c r="G13234" s="6">
        <v>20049.310000000001</v>
      </c>
      <c r="H13234" s="5">
        <v>12923</v>
      </c>
    </row>
    <row r="13235" spans="2:8" x14ac:dyDescent="0.4">
      <c r="B13235" s="3" t="s">
        <v>16</v>
      </c>
      <c r="C13235" s="3" t="s">
        <v>2075</v>
      </c>
      <c r="D13235" s="4">
        <f>DATE(2009,10,29)</f>
        <v>40115</v>
      </c>
      <c r="E13235" s="5">
        <f t="shared" si="218"/>
        <v>2009</v>
      </c>
      <c r="F13235" s="3" t="s">
        <v>2076</v>
      </c>
      <c r="G13235" s="6">
        <v>1911.15</v>
      </c>
      <c r="H13235" s="5">
        <v>13212</v>
      </c>
    </row>
    <row r="13236" spans="2:8" x14ac:dyDescent="0.4">
      <c r="B13236" s="3" t="s">
        <v>16</v>
      </c>
      <c r="C13236" s="3" t="s">
        <v>2075</v>
      </c>
      <c r="D13236" s="4">
        <f>DATE(2012,1,4)</f>
        <v>40912</v>
      </c>
      <c r="E13236" s="5">
        <f t="shared" si="218"/>
        <v>2012</v>
      </c>
      <c r="F13236" s="3" t="s">
        <v>2076</v>
      </c>
      <c r="G13236" s="6">
        <v>505.61</v>
      </c>
      <c r="H13236" s="5">
        <v>16362</v>
      </c>
    </row>
    <row r="13237" spans="2:8" x14ac:dyDescent="0.4">
      <c r="B13237" s="3" t="s">
        <v>16</v>
      </c>
      <c r="C13237" s="3" t="s">
        <v>2075</v>
      </c>
      <c r="D13237" s="4">
        <f>DATE(2013,2,28)</f>
        <v>41333</v>
      </c>
      <c r="E13237" s="5">
        <f t="shared" si="218"/>
        <v>2013</v>
      </c>
      <c r="F13237" s="3" t="s">
        <v>2076</v>
      </c>
      <c r="G13237" s="6">
        <v>12458.07</v>
      </c>
      <c r="H13237" s="5">
        <v>18261</v>
      </c>
    </row>
    <row r="13238" spans="2:8" x14ac:dyDescent="0.4">
      <c r="B13238" s="3" t="s">
        <v>7</v>
      </c>
      <c r="C13238" s="3" t="s">
        <v>2075</v>
      </c>
      <c r="D13238" s="4">
        <f>DATE(2012,12,13)</f>
        <v>41256</v>
      </c>
      <c r="E13238" s="5">
        <f t="shared" si="218"/>
        <v>2012</v>
      </c>
      <c r="F13238" s="3" t="s">
        <v>2077</v>
      </c>
      <c r="G13238" s="6">
        <v>26534.87</v>
      </c>
      <c r="H13238" s="5">
        <v>17859</v>
      </c>
    </row>
    <row r="13239" spans="2:8" x14ac:dyDescent="0.4">
      <c r="B13239" t="s">
        <v>7</v>
      </c>
      <c r="C13239" t="s">
        <v>2075</v>
      </c>
      <c r="D13239" s="7">
        <f>DATE(2016,9,9)</f>
        <v>42622</v>
      </c>
      <c r="E13239" s="8">
        <f t="shared" si="218"/>
        <v>2016</v>
      </c>
      <c r="F13239" t="s">
        <v>2078</v>
      </c>
      <c r="G13239" s="9">
        <v>9727.02</v>
      </c>
      <c r="H13239" s="8">
        <v>23319</v>
      </c>
    </row>
    <row r="13240" spans="2:8" x14ac:dyDescent="0.4">
      <c r="B13240" s="3" t="s">
        <v>7</v>
      </c>
      <c r="C13240" s="3" t="s">
        <v>2075</v>
      </c>
      <c r="D13240" s="4">
        <f>DATE(2003,1,10)</f>
        <v>37631</v>
      </c>
      <c r="E13240" s="5">
        <f t="shared" si="218"/>
        <v>2003</v>
      </c>
      <c r="F13240" s="3" t="s">
        <v>2079</v>
      </c>
      <c r="G13240" s="6">
        <v>28802.26</v>
      </c>
      <c r="H13240" s="5">
        <v>5</v>
      </c>
    </row>
    <row r="13241" spans="2:8" x14ac:dyDescent="0.4">
      <c r="B13241" s="3" t="s">
        <v>7</v>
      </c>
      <c r="C13241" s="3" t="s">
        <v>2075</v>
      </c>
      <c r="D13241" s="4">
        <f>DATE(2003,1,17)</f>
        <v>37638</v>
      </c>
      <c r="E13241" s="5">
        <f t="shared" si="218"/>
        <v>2003</v>
      </c>
      <c r="F13241" s="3" t="s">
        <v>2079</v>
      </c>
      <c r="G13241" s="6">
        <v>13909.64</v>
      </c>
      <c r="H13241" s="5">
        <v>32</v>
      </c>
    </row>
    <row r="13242" spans="2:8" x14ac:dyDescent="0.4">
      <c r="B13242" s="3" t="s">
        <v>7</v>
      </c>
      <c r="C13242" s="3" t="s">
        <v>2075</v>
      </c>
      <c r="D13242" s="4">
        <f>DATE(2003,1,24)</f>
        <v>37645</v>
      </c>
      <c r="E13242" s="5">
        <f t="shared" si="218"/>
        <v>2003</v>
      </c>
      <c r="F13242" s="3" t="s">
        <v>2079</v>
      </c>
      <c r="G13242" s="6">
        <v>12442.72</v>
      </c>
      <c r="H13242" s="5">
        <v>110</v>
      </c>
    </row>
    <row r="13243" spans="2:8" x14ac:dyDescent="0.4">
      <c r="B13243" s="3" t="s">
        <v>7</v>
      </c>
      <c r="C13243" s="3" t="s">
        <v>2075</v>
      </c>
      <c r="D13243" s="4">
        <f>DATE(2003,2,11)</f>
        <v>37663</v>
      </c>
      <c r="E13243" s="5">
        <f t="shared" si="218"/>
        <v>2003</v>
      </c>
      <c r="F13243" s="3" t="s">
        <v>2079</v>
      </c>
      <c r="G13243" s="6">
        <v>11741.47</v>
      </c>
      <c r="H13243" s="5">
        <v>180</v>
      </c>
    </row>
    <row r="13244" spans="2:8" x14ac:dyDescent="0.4">
      <c r="B13244" s="3" t="s">
        <v>7</v>
      </c>
      <c r="C13244" s="3" t="s">
        <v>2075</v>
      </c>
      <c r="D13244" s="4">
        <f>DATE(2003,3,5)</f>
        <v>37685</v>
      </c>
      <c r="E13244" s="5">
        <f t="shared" si="218"/>
        <v>2003</v>
      </c>
      <c r="F13244" s="3" t="s">
        <v>2080</v>
      </c>
      <c r="G13244" s="6">
        <v>690</v>
      </c>
      <c r="H13244" s="5">
        <v>417</v>
      </c>
    </row>
    <row r="13245" spans="2:8" x14ac:dyDescent="0.4">
      <c r="B13245" t="s">
        <v>7</v>
      </c>
      <c r="C13245" t="s">
        <v>2081</v>
      </c>
      <c r="D13245" s="7">
        <f>DATE(2011,4,19)</f>
        <v>40652</v>
      </c>
      <c r="E13245" s="8">
        <f t="shared" si="218"/>
        <v>2011</v>
      </c>
      <c r="F13245" t="s">
        <v>2082</v>
      </c>
      <c r="G13245" s="9">
        <v>25709.14</v>
      </c>
      <c r="H13245" s="8">
        <v>10613</v>
      </c>
    </row>
    <row r="13246" spans="2:8" x14ac:dyDescent="0.4">
      <c r="B13246" t="s">
        <v>7</v>
      </c>
      <c r="C13246" t="s">
        <v>2083</v>
      </c>
      <c r="D13246" s="7">
        <f>DATE(2016,3,9)</f>
        <v>42438</v>
      </c>
      <c r="E13246" s="8">
        <f t="shared" si="218"/>
        <v>2016</v>
      </c>
      <c r="F13246" t="s">
        <v>2084</v>
      </c>
      <c r="G13246" s="9">
        <v>8393.6200000000008</v>
      </c>
      <c r="H13246" s="8">
        <v>22260</v>
      </c>
    </row>
    <row r="13247" spans="2:8" x14ac:dyDescent="0.4">
      <c r="B13247" t="s">
        <v>7</v>
      </c>
      <c r="C13247" t="s">
        <v>2083</v>
      </c>
      <c r="D13247" s="7">
        <f>DATE(2006,6,8)</f>
        <v>38876</v>
      </c>
      <c r="E13247" s="8">
        <f t="shared" si="218"/>
        <v>2006</v>
      </c>
      <c r="F13247" t="s">
        <v>2084</v>
      </c>
      <c r="G13247" s="9">
        <v>9531.82</v>
      </c>
      <c r="H13247" s="8">
        <v>4673</v>
      </c>
    </row>
    <row r="13248" spans="2:8" x14ac:dyDescent="0.4">
      <c r="B13248" t="s">
        <v>7</v>
      </c>
      <c r="C13248" t="s">
        <v>2083</v>
      </c>
      <c r="D13248" s="7">
        <f>DATE(2008,5,1)</f>
        <v>39569</v>
      </c>
      <c r="E13248" s="8">
        <f t="shared" si="218"/>
        <v>2008</v>
      </c>
      <c r="F13248" t="s">
        <v>2084</v>
      </c>
      <c r="G13248" s="9">
        <v>7402.29</v>
      </c>
      <c r="H13248" s="8">
        <v>7381</v>
      </c>
    </row>
    <row r="13249" spans="2:8" x14ac:dyDescent="0.4">
      <c r="B13249" t="s">
        <v>7</v>
      </c>
      <c r="C13249" t="s">
        <v>2083</v>
      </c>
      <c r="D13249" s="7">
        <f>DATE(2009,6,23)</f>
        <v>39987</v>
      </c>
      <c r="E13249" s="8">
        <f t="shared" si="218"/>
        <v>2009</v>
      </c>
      <c r="F13249" t="s">
        <v>2084</v>
      </c>
      <c r="G13249" s="9">
        <v>6513.35</v>
      </c>
      <c r="H13249" s="8">
        <v>8775</v>
      </c>
    </row>
    <row r="13250" spans="2:8" x14ac:dyDescent="0.4">
      <c r="B13250" t="s">
        <v>7</v>
      </c>
      <c r="C13250" t="s">
        <v>2083</v>
      </c>
      <c r="D13250" s="7">
        <f>DATE(2010,3,11)</f>
        <v>40248</v>
      </c>
      <c r="E13250" s="8">
        <f t="shared" si="218"/>
        <v>2010</v>
      </c>
      <c r="F13250" t="s">
        <v>2084</v>
      </c>
      <c r="G13250" s="9">
        <v>7331.29</v>
      </c>
      <c r="H13250" s="8">
        <v>9604</v>
      </c>
    </row>
    <row r="13251" spans="2:8" x14ac:dyDescent="0.4">
      <c r="B13251" t="s">
        <v>7</v>
      </c>
      <c r="C13251" t="s">
        <v>2083</v>
      </c>
      <c r="D13251" s="7">
        <f>DATE(2011,12,6)</f>
        <v>40883</v>
      </c>
      <c r="E13251" s="8">
        <f t="shared" ref="E13251:E13314" si="219">YEAR(D13251)</f>
        <v>2011</v>
      </c>
      <c r="F13251" t="s">
        <v>2084</v>
      </c>
      <c r="G13251" s="9">
        <v>33771.81</v>
      </c>
      <c r="H13251" s="8">
        <v>11143</v>
      </c>
    </row>
    <row r="13252" spans="2:8" x14ac:dyDescent="0.4">
      <c r="B13252" t="s">
        <v>7</v>
      </c>
      <c r="C13252" t="s">
        <v>2083</v>
      </c>
      <c r="D13252" s="7">
        <f>DATE(2012,4,4)</f>
        <v>41003</v>
      </c>
      <c r="E13252" s="8">
        <f t="shared" si="219"/>
        <v>2012</v>
      </c>
      <c r="F13252" t="s">
        <v>2084</v>
      </c>
      <c r="G13252" s="9">
        <v>119650</v>
      </c>
      <c r="H13252" s="8">
        <v>11412</v>
      </c>
    </row>
    <row r="13253" spans="2:8" x14ac:dyDescent="0.4">
      <c r="B13253" t="s">
        <v>7</v>
      </c>
      <c r="C13253" t="s">
        <v>2083</v>
      </c>
      <c r="D13253" s="7">
        <f>DATE(2010,9,1)</f>
        <v>40422</v>
      </c>
      <c r="E13253" s="8">
        <f t="shared" si="219"/>
        <v>2010</v>
      </c>
      <c r="F13253" t="s">
        <v>2084</v>
      </c>
      <c r="G13253" s="9">
        <v>12170.19</v>
      </c>
      <c r="H13253" s="8">
        <v>10046</v>
      </c>
    </row>
    <row r="13254" spans="2:8" x14ac:dyDescent="0.4">
      <c r="B13254" t="s">
        <v>7</v>
      </c>
      <c r="C13254" t="s">
        <v>2083</v>
      </c>
      <c r="D13254" s="7">
        <f>DATE(2010,12,1)</f>
        <v>40513</v>
      </c>
      <c r="E13254" s="8">
        <f t="shared" si="219"/>
        <v>2010</v>
      </c>
      <c r="F13254" t="s">
        <v>2084</v>
      </c>
      <c r="G13254" s="9">
        <v>7783.88</v>
      </c>
      <c r="H13254" s="8">
        <v>10285</v>
      </c>
    </row>
    <row r="13255" spans="2:8" x14ac:dyDescent="0.4">
      <c r="B13255" t="s">
        <v>7</v>
      </c>
      <c r="C13255" t="s">
        <v>2083</v>
      </c>
      <c r="D13255" s="7">
        <f>DATE(2010,12,17)</f>
        <v>40529</v>
      </c>
      <c r="E13255" s="8">
        <f t="shared" si="219"/>
        <v>2010</v>
      </c>
      <c r="F13255" t="s">
        <v>2084</v>
      </c>
      <c r="G13255" s="9">
        <v>6935.8</v>
      </c>
      <c r="H13255" s="8">
        <v>10315</v>
      </c>
    </row>
    <row r="13256" spans="2:8" x14ac:dyDescent="0.4">
      <c r="B13256" t="s">
        <v>7</v>
      </c>
      <c r="C13256" t="s">
        <v>2083</v>
      </c>
      <c r="D13256" s="7">
        <f>DATE(2011,5,11)</f>
        <v>40674</v>
      </c>
      <c r="E13256" s="8">
        <f t="shared" si="219"/>
        <v>2011</v>
      </c>
      <c r="F13256" t="s">
        <v>2084</v>
      </c>
      <c r="G13256" s="9">
        <v>10115.719999999999</v>
      </c>
      <c r="H13256" s="8">
        <v>10716</v>
      </c>
    </row>
    <row r="13257" spans="2:8" x14ac:dyDescent="0.4">
      <c r="B13257" s="3" t="s">
        <v>7</v>
      </c>
      <c r="C13257" s="3" t="s">
        <v>2083</v>
      </c>
      <c r="D13257" s="4">
        <f>DATE(2005,11,11)</f>
        <v>38667</v>
      </c>
      <c r="E13257" s="5">
        <f t="shared" si="219"/>
        <v>2005</v>
      </c>
      <c r="F13257" s="3" t="s">
        <v>2084</v>
      </c>
      <c r="G13257" s="6">
        <v>3941</v>
      </c>
      <c r="H13257" s="5">
        <v>5566</v>
      </c>
    </row>
    <row r="13258" spans="2:8" x14ac:dyDescent="0.4">
      <c r="B13258" s="3" t="s">
        <v>7</v>
      </c>
      <c r="C13258" s="3" t="s">
        <v>2083</v>
      </c>
      <c r="D13258" s="4">
        <f>DATE(2005,11,14)</f>
        <v>38670</v>
      </c>
      <c r="E13258" s="5">
        <f t="shared" si="219"/>
        <v>2005</v>
      </c>
      <c r="F13258" s="3" t="s">
        <v>2084</v>
      </c>
      <c r="G13258" s="6">
        <v>493.25</v>
      </c>
      <c r="H13258" s="5">
        <v>5573</v>
      </c>
    </row>
    <row r="13259" spans="2:8" x14ac:dyDescent="0.4">
      <c r="B13259" s="3" t="s">
        <v>7</v>
      </c>
      <c r="C13259" s="3" t="s">
        <v>2083</v>
      </c>
      <c r="D13259" s="4">
        <f>DATE(2005,12,13)</f>
        <v>38699</v>
      </c>
      <c r="E13259" s="5">
        <f t="shared" si="219"/>
        <v>2005</v>
      </c>
      <c r="F13259" s="3" t="s">
        <v>2084</v>
      </c>
      <c r="G13259" s="6">
        <v>17471.25</v>
      </c>
      <c r="H13259" s="5">
        <v>5728</v>
      </c>
    </row>
    <row r="13260" spans="2:8" x14ac:dyDescent="0.4">
      <c r="B13260" s="3" t="s">
        <v>7</v>
      </c>
      <c r="C13260" s="3" t="s">
        <v>2083</v>
      </c>
      <c r="D13260" s="4">
        <f>DATE(2006,7,20)</f>
        <v>38918</v>
      </c>
      <c r="E13260" s="5">
        <f t="shared" si="219"/>
        <v>2006</v>
      </c>
      <c r="F13260" s="3" t="s">
        <v>2084</v>
      </c>
      <c r="G13260" s="6">
        <v>19968.45</v>
      </c>
      <c r="H13260" s="5">
        <v>6795</v>
      </c>
    </row>
    <row r="13261" spans="2:8" x14ac:dyDescent="0.4">
      <c r="B13261" s="3" t="s">
        <v>7</v>
      </c>
      <c r="C13261" s="3" t="s">
        <v>2083</v>
      </c>
      <c r="D13261" s="4">
        <f>DATE(2006,8,28)</f>
        <v>38957</v>
      </c>
      <c r="E13261" s="5">
        <f t="shared" si="219"/>
        <v>2006</v>
      </c>
      <c r="F13261" s="3" t="s">
        <v>2084</v>
      </c>
      <c r="G13261" s="6">
        <v>13580</v>
      </c>
      <c r="H13261" s="5">
        <v>7119</v>
      </c>
    </row>
    <row r="13262" spans="2:8" x14ac:dyDescent="0.4">
      <c r="B13262" s="3" t="s">
        <v>7</v>
      </c>
      <c r="C13262" s="3" t="s">
        <v>2083</v>
      </c>
      <c r="D13262" s="4">
        <f>DATE(2006,12,8)</f>
        <v>39059</v>
      </c>
      <c r="E13262" s="5">
        <f t="shared" si="219"/>
        <v>2006</v>
      </c>
      <c r="F13262" s="3" t="s">
        <v>2084</v>
      </c>
      <c r="G13262" s="6">
        <v>263</v>
      </c>
      <c r="H13262" s="5">
        <v>7548</v>
      </c>
    </row>
    <row r="13263" spans="2:8" x14ac:dyDescent="0.4">
      <c r="B13263" s="3" t="s">
        <v>7</v>
      </c>
      <c r="C13263" s="3" t="s">
        <v>2083</v>
      </c>
      <c r="D13263" s="4">
        <f>DATE(2006,12,20)</f>
        <v>39071</v>
      </c>
      <c r="E13263" s="5">
        <f t="shared" si="219"/>
        <v>2006</v>
      </c>
      <c r="F13263" s="3" t="s">
        <v>2084</v>
      </c>
      <c r="G13263" s="6">
        <v>9576.25</v>
      </c>
      <c r="H13263" s="5">
        <v>7568</v>
      </c>
    </row>
    <row r="13264" spans="2:8" x14ac:dyDescent="0.4">
      <c r="B13264" s="3" t="s">
        <v>7</v>
      </c>
      <c r="C13264" s="3" t="s">
        <v>2083</v>
      </c>
      <c r="D13264" s="4">
        <f>DATE(2007,3,8)</f>
        <v>39149</v>
      </c>
      <c r="E13264" s="5">
        <f t="shared" si="219"/>
        <v>2007</v>
      </c>
      <c r="F13264" s="3" t="s">
        <v>2084</v>
      </c>
      <c r="G13264" s="6">
        <v>8924</v>
      </c>
      <c r="H13264" s="5">
        <v>8107</v>
      </c>
    </row>
    <row r="13265" spans="2:8" x14ac:dyDescent="0.4">
      <c r="B13265" s="3" t="s">
        <v>7</v>
      </c>
      <c r="C13265" s="3" t="s">
        <v>2083</v>
      </c>
      <c r="D13265" s="4">
        <f>DATE(2007,3,19)</f>
        <v>39160</v>
      </c>
      <c r="E13265" s="5">
        <f t="shared" si="219"/>
        <v>2007</v>
      </c>
      <c r="F13265" s="3" t="s">
        <v>2084</v>
      </c>
      <c r="G13265" s="6">
        <v>931</v>
      </c>
      <c r="H13265" s="5">
        <v>8101</v>
      </c>
    </row>
    <row r="13266" spans="2:8" x14ac:dyDescent="0.4">
      <c r="B13266" s="3" t="s">
        <v>7</v>
      </c>
      <c r="C13266" s="3" t="s">
        <v>2083</v>
      </c>
      <c r="D13266" s="4">
        <f>DATE(2007,5,4)</f>
        <v>39206</v>
      </c>
      <c r="E13266" s="5">
        <f t="shared" si="219"/>
        <v>2007</v>
      </c>
      <c r="F13266" s="3" t="s">
        <v>2084</v>
      </c>
      <c r="G13266" s="6">
        <v>200</v>
      </c>
      <c r="H13266" s="5">
        <v>8522</v>
      </c>
    </row>
    <row r="13267" spans="2:8" x14ac:dyDescent="0.4">
      <c r="B13267" s="3" t="s">
        <v>7</v>
      </c>
      <c r="C13267" s="3" t="s">
        <v>2083</v>
      </c>
      <c r="D13267" s="4">
        <f>DATE(2007,5,9)</f>
        <v>39211</v>
      </c>
      <c r="E13267" s="5">
        <f t="shared" si="219"/>
        <v>2007</v>
      </c>
      <c r="F13267" s="3" t="s">
        <v>2084</v>
      </c>
      <c r="G13267" s="6">
        <v>16400</v>
      </c>
      <c r="H13267" s="5">
        <v>8479</v>
      </c>
    </row>
    <row r="13268" spans="2:8" x14ac:dyDescent="0.4">
      <c r="B13268" s="3" t="s">
        <v>7</v>
      </c>
      <c r="C13268" s="3" t="s">
        <v>2083</v>
      </c>
      <c r="D13268" s="4">
        <f>DATE(2007,11,30)</f>
        <v>39416</v>
      </c>
      <c r="E13268" s="5">
        <f t="shared" si="219"/>
        <v>2007</v>
      </c>
      <c r="F13268" s="3" t="s">
        <v>2084</v>
      </c>
      <c r="G13268" s="6">
        <v>4100</v>
      </c>
      <c r="H13268" s="5">
        <v>9550</v>
      </c>
    </row>
    <row r="13269" spans="2:8" x14ac:dyDescent="0.4">
      <c r="B13269" s="3" t="s">
        <v>7</v>
      </c>
      <c r="C13269" s="3" t="s">
        <v>2083</v>
      </c>
      <c r="D13269" s="4">
        <f>DATE(2008,1,25)</f>
        <v>39472</v>
      </c>
      <c r="E13269" s="5">
        <f t="shared" si="219"/>
        <v>2008</v>
      </c>
      <c r="F13269" s="3" t="s">
        <v>2084</v>
      </c>
      <c r="G13269" s="6">
        <v>23280</v>
      </c>
      <c r="H13269" s="5">
        <v>9800</v>
      </c>
    </row>
    <row r="13270" spans="2:8" x14ac:dyDescent="0.4">
      <c r="B13270" s="3" t="s">
        <v>7</v>
      </c>
      <c r="C13270" s="3" t="s">
        <v>2083</v>
      </c>
      <c r="D13270" s="4">
        <f>DATE(2009,2,23)</f>
        <v>39867</v>
      </c>
      <c r="E13270" s="5">
        <f t="shared" si="219"/>
        <v>2009</v>
      </c>
      <c r="F13270" s="3" t="s">
        <v>2084</v>
      </c>
      <c r="G13270" s="6">
        <v>8200</v>
      </c>
      <c r="H13270" s="5">
        <v>11938</v>
      </c>
    </row>
    <row r="13271" spans="2:8" x14ac:dyDescent="0.4">
      <c r="B13271" s="3" t="s">
        <v>7</v>
      </c>
      <c r="C13271" s="3" t="s">
        <v>2083</v>
      </c>
      <c r="D13271" s="4">
        <f>DATE(2009,3,5)</f>
        <v>39877</v>
      </c>
      <c r="E13271" s="5">
        <f t="shared" si="219"/>
        <v>2009</v>
      </c>
      <c r="F13271" s="3" t="s">
        <v>2084</v>
      </c>
      <c r="G13271" s="6">
        <v>8200</v>
      </c>
      <c r="H13271" s="5">
        <v>12117</v>
      </c>
    </row>
    <row r="13272" spans="2:8" x14ac:dyDescent="0.4">
      <c r="B13272" s="3" t="s">
        <v>7</v>
      </c>
      <c r="C13272" s="3" t="s">
        <v>2083</v>
      </c>
      <c r="D13272" s="4">
        <f>DATE(2009,3,11)</f>
        <v>39883</v>
      </c>
      <c r="E13272" s="5">
        <f t="shared" si="219"/>
        <v>2009</v>
      </c>
      <c r="F13272" s="3" t="s">
        <v>2084</v>
      </c>
      <c r="G13272" s="6">
        <v>943</v>
      </c>
      <c r="H13272" s="5">
        <v>12104</v>
      </c>
    </row>
    <row r="13273" spans="2:8" x14ac:dyDescent="0.4">
      <c r="B13273" s="3" t="s">
        <v>7</v>
      </c>
      <c r="C13273" s="3" t="s">
        <v>2083</v>
      </c>
      <c r="D13273" s="4">
        <f>DATE(2009,4,2)</f>
        <v>39905</v>
      </c>
      <c r="E13273" s="5">
        <f t="shared" si="219"/>
        <v>2009</v>
      </c>
      <c r="F13273" s="3" t="s">
        <v>2084</v>
      </c>
      <c r="G13273" s="6">
        <v>8278.75</v>
      </c>
      <c r="H13273" s="5">
        <v>12287</v>
      </c>
    </row>
    <row r="13274" spans="2:8" x14ac:dyDescent="0.4">
      <c r="B13274" s="3" t="s">
        <v>7</v>
      </c>
      <c r="C13274" s="3" t="s">
        <v>2083</v>
      </c>
      <c r="D13274" s="4">
        <f>DATE(2009,8,25)</f>
        <v>40050</v>
      </c>
      <c r="E13274" s="5">
        <f t="shared" si="219"/>
        <v>2009</v>
      </c>
      <c r="F13274" s="3" t="s">
        <v>2084</v>
      </c>
      <c r="G13274" s="6">
        <v>8200</v>
      </c>
      <c r="H13274" s="5">
        <v>12942</v>
      </c>
    </row>
    <row r="13275" spans="2:8" x14ac:dyDescent="0.4">
      <c r="B13275" s="3" t="s">
        <v>7</v>
      </c>
      <c r="C13275" s="3" t="s">
        <v>2083</v>
      </c>
      <c r="D13275" s="4">
        <f>DATE(2009,10,15)</f>
        <v>40101</v>
      </c>
      <c r="E13275" s="5">
        <f t="shared" si="219"/>
        <v>2009</v>
      </c>
      <c r="F13275" s="3" t="s">
        <v>2084</v>
      </c>
      <c r="G13275" s="6">
        <v>8200</v>
      </c>
      <c r="H13275" s="5">
        <v>13153</v>
      </c>
    </row>
    <row r="13276" spans="2:8" x14ac:dyDescent="0.4">
      <c r="B13276" s="3" t="s">
        <v>7</v>
      </c>
      <c r="C13276" s="3" t="s">
        <v>2083</v>
      </c>
      <c r="D13276" s="4">
        <f>DATE(2010,2,11)</f>
        <v>40220</v>
      </c>
      <c r="E13276" s="5">
        <f t="shared" si="219"/>
        <v>2010</v>
      </c>
      <c r="F13276" s="3" t="s">
        <v>2084</v>
      </c>
      <c r="G13276" s="6">
        <v>8200</v>
      </c>
      <c r="H13276" s="5">
        <v>13580</v>
      </c>
    </row>
    <row r="13277" spans="2:8" x14ac:dyDescent="0.4">
      <c r="B13277" s="3" t="s">
        <v>7</v>
      </c>
      <c r="C13277" s="3" t="s">
        <v>2083</v>
      </c>
      <c r="D13277" s="4">
        <f>DATE(2010,2,25)</f>
        <v>40234</v>
      </c>
      <c r="E13277" s="5">
        <f t="shared" si="219"/>
        <v>2010</v>
      </c>
      <c r="F13277" s="3" t="s">
        <v>2084</v>
      </c>
      <c r="G13277" s="6">
        <v>8200</v>
      </c>
      <c r="H13277" s="5">
        <v>13642</v>
      </c>
    </row>
    <row r="13278" spans="2:8" x14ac:dyDescent="0.4">
      <c r="B13278" s="3" t="s">
        <v>7</v>
      </c>
      <c r="C13278" s="3" t="s">
        <v>2083</v>
      </c>
      <c r="D13278" s="4">
        <f>DATE(2010,3,9)</f>
        <v>40246</v>
      </c>
      <c r="E13278" s="5">
        <f t="shared" si="219"/>
        <v>2010</v>
      </c>
      <c r="F13278" s="3" t="s">
        <v>2084</v>
      </c>
      <c r="G13278" s="6">
        <v>126</v>
      </c>
      <c r="H13278" s="5">
        <v>13693</v>
      </c>
    </row>
    <row r="13279" spans="2:8" x14ac:dyDescent="0.4">
      <c r="B13279" s="3" t="s">
        <v>7</v>
      </c>
      <c r="C13279" s="3" t="s">
        <v>2083</v>
      </c>
      <c r="D13279" s="4">
        <f>DATE(2010,3,9)</f>
        <v>40246</v>
      </c>
      <c r="E13279" s="5">
        <f t="shared" si="219"/>
        <v>2010</v>
      </c>
      <c r="F13279" s="3" t="s">
        <v>2084</v>
      </c>
      <c r="G13279" s="6">
        <v>460</v>
      </c>
      <c r="H13279" s="5">
        <v>13696</v>
      </c>
    </row>
    <row r="13280" spans="2:8" x14ac:dyDescent="0.4">
      <c r="B13280" s="3" t="s">
        <v>7</v>
      </c>
      <c r="C13280" s="3" t="s">
        <v>2083</v>
      </c>
      <c r="D13280" s="4">
        <f>DATE(2010,6,11)</f>
        <v>40340</v>
      </c>
      <c r="E13280" s="5">
        <f t="shared" si="219"/>
        <v>2010</v>
      </c>
      <c r="F13280" s="3" t="s">
        <v>2084</v>
      </c>
      <c r="G13280" s="6">
        <v>8200</v>
      </c>
      <c r="H13280" s="5">
        <v>14142</v>
      </c>
    </row>
    <row r="13281" spans="2:8" x14ac:dyDescent="0.4">
      <c r="B13281" s="3" t="s">
        <v>7</v>
      </c>
      <c r="C13281" s="3" t="s">
        <v>2083</v>
      </c>
      <c r="D13281" s="4">
        <f>DATE(2011,4,4)</f>
        <v>40637</v>
      </c>
      <c r="E13281" s="5">
        <f t="shared" si="219"/>
        <v>2011</v>
      </c>
      <c r="F13281" s="3" t="s">
        <v>2084</v>
      </c>
      <c r="G13281" s="6">
        <v>8200</v>
      </c>
      <c r="H13281" s="5">
        <v>15370</v>
      </c>
    </row>
    <row r="13282" spans="2:8" x14ac:dyDescent="0.4">
      <c r="B13282" s="3" t="s">
        <v>7</v>
      </c>
      <c r="C13282" s="3" t="s">
        <v>2083</v>
      </c>
      <c r="D13282" s="4">
        <f>DATE(2011,5,25)</f>
        <v>40688</v>
      </c>
      <c r="E13282" s="5">
        <f t="shared" si="219"/>
        <v>2011</v>
      </c>
      <c r="F13282" s="3" t="s">
        <v>2084</v>
      </c>
      <c r="G13282" s="6">
        <v>16400</v>
      </c>
      <c r="H13282" s="5">
        <v>15550</v>
      </c>
    </row>
    <row r="13283" spans="2:8" x14ac:dyDescent="0.4">
      <c r="B13283" s="3" t="s">
        <v>7</v>
      </c>
      <c r="C13283" s="3" t="s">
        <v>2083</v>
      </c>
      <c r="D13283" s="4">
        <f>DATE(2012,1,12)</f>
        <v>40920</v>
      </c>
      <c r="E13283" s="5">
        <f t="shared" si="219"/>
        <v>2012</v>
      </c>
      <c r="F13283" s="3" t="s">
        <v>2084</v>
      </c>
      <c r="G13283" s="6">
        <v>8200</v>
      </c>
      <c r="H13283" s="5">
        <v>16384</v>
      </c>
    </row>
    <row r="13284" spans="2:8" x14ac:dyDescent="0.4">
      <c r="B13284" s="3" t="s">
        <v>16</v>
      </c>
      <c r="C13284" s="3" t="s">
        <v>2083</v>
      </c>
      <c r="D13284" s="4">
        <f>DATE(2005,11,21)</f>
        <v>38677</v>
      </c>
      <c r="E13284" s="5">
        <f t="shared" si="219"/>
        <v>2005</v>
      </c>
      <c r="F13284" s="3" t="s">
        <v>2084</v>
      </c>
      <c r="G13284" s="6">
        <v>210</v>
      </c>
      <c r="H13284" s="5">
        <v>5574</v>
      </c>
    </row>
    <row r="13285" spans="2:8" x14ac:dyDescent="0.4">
      <c r="B13285" s="3" t="s">
        <v>7</v>
      </c>
      <c r="C13285" s="3" t="s">
        <v>2083</v>
      </c>
      <c r="D13285" s="4">
        <f>DATE(2005,5,19)</f>
        <v>38491</v>
      </c>
      <c r="E13285" s="5">
        <f t="shared" si="219"/>
        <v>2005</v>
      </c>
      <c r="F13285" s="3" t="s">
        <v>2085</v>
      </c>
      <c r="G13285" s="6">
        <v>12650</v>
      </c>
      <c r="H13285" s="5">
        <v>4358</v>
      </c>
    </row>
    <row r="13286" spans="2:8" x14ac:dyDescent="0.4">
      <c r="B13286" s="3" t="s">
        <v>7</v>
      </c>
      <c r="C13286" s="3" t="s">
        <v>2086</v>
      </c>
      <c r="D13286" s="4">
        <f>DATE(2011,11,16)</f>
        <v>40863</v>
      </c>
      <c r="E13286" s="5">
        <f t="shared" si="219"/>
        <v>2011</v>
      </c>
      <c r="F13286" s="3" t="s">
        <v>2087</v>
      </c>
      <c r="G13286" s="6">
        <v>955</v>
      </c>
      <c r="H13286" s="5">
        <v>16215</v>
      </c>
    </row>
    <row r="13287" spans="2:8" x14ac:dyDescent="0.4">
      <c r="B13287" s="3" t="s">
        <v>7</v>
      </c>
      <c r="C13287" s="3" t="s">
        <v>2088</v>
      </c>
      <c r="D13287" s="4">
        <f>DATE(2004,10,19)</f>
        <v>38279</v>
      </c>
      <c r="E13287" s="5">
        <f t="shared" si="219"/>
        <v>2004</v>
      </c>
      <c r="F13287" s="3" t="s">
        <v>2089</v>
      </c>
      <c r="G13287" s="6">
        <v>2024</v>
      </c>
      <c r="H13287" s="5">
        <v>3596</v>
      </c>
    </row>
    <row r="13288" spans="2:8" x14ac:dyDescent="0.4">
      <c r="B13288" s="3" t="s">
        <v>7</v>
      </c>
      <c r="C13288" s="3" t="s">
        <v>2088</v>
      </c>
      <c r="D13288" s="4">
        <f>DATE(2006,7,27)</f>
        <v>38925</v>
      </c>
      <c r="E13288" s="5">
        <f t="shared" si="219"/>
        <v>2006</v>
      </c>
      <c r="F13288" s="3" t="s">
        <v>2089</v>
      </c>
      <c r="G13288" s="6">
        <v>2304</v>
      </c>
      <c r="H13288" s="5">
        <v>6879</v>
      </c>
    </row>
    <row r="13289" spans="2:8" x14ac:dyDescent="0.4">
      <c r="B13289" t="s">
        <v>7</v>
      </c>
      <c r="C13289" t="s">
        <v>2090</v>
      </c>
      <c r="D13289" s="7">
        <f>DATE(2008,8,16)</f>
        <v>39676</v>
      </c>
      <c r="E13289" s="8">
        <f t="shared" si="219"/>
        <v>2008</v>
      </c>
      <c r="F13289" t="s">
        <v>2091</v>
      </c>
      <c r="G13289" s="9">
        <v>10906.93</v>
      </c>
      <c r="H13289" s="8">
        <v>7723</v>
      </c>
    </row>
    <row r="13290" spans="2:8" x14ac:dyDescent="0.4">
      <c r="B13290" t="s">
        <v>7</v>
      </c>
      <c r="C13290" t="s">
        <v>2090</v>
      </c>
      <c r="D13290" s="7">
        <f>DATE(2008,8,31)</f>
        <v>39691</v>
      </c>
      <c r="E13290" s="8">
        <f t="shared" si="219"/>
        <v>2008</v>
      </c>
      <c r="F13290" t="s">
        <v>2091</v>
      </c>
      <c r="G13290" s="9">
        <v>12857.3</v>
      </c>
      <c r="H13290" s="8">
        <v>7778</v>
      </c>
    </row>
    <row r="13291" spans="2:8" x14ac:dyDescent="0.4">
      <c r="B13291" t="s">
        <v>7</v>
      </c>
      <c r="C13291" t="s">
        <v>2092</v>
      </c>
      <c r="D13291" s="7">
        <f>DATE(2016,4,20)</f>
        <v>42480</v>
      </c>
      <c r="E13291" s="8">
        <f t="shared" si="219"/>
        <v>2016</v>
      </c>
      <c r="F13291" t="s">
        <v>2093</v>
      </c>
      <c r="G13291" s="9">
        <v>12460.81</v>
      </c>
      <c r="H13291" s="8">
        <v>22646</v>
      </c>
    </row>
    <row r="13292" spans="2:8" x14ac:dyDescent="0.4">
      <c r="B13292" t="s">
        <v>7</v>
      </c>
      <c r="C13292" t="s">
        <v>2092</v>
      </c>
      <c r="D13292" s="7">
        <f>DATE(2016,5,20)</f>
        <v>42510</v>
      </c>
      <c r="E13292" s="8">
        <f t="shared" si="219"/>
        <v>2016</v>
      </c>
      <c r="F13292" t="s">
        <v>2093</v>
      </c>
      <c r="G13292" s="9">
        <v>34253.800000000003</v>
      </c>
      <c r="H13292" s="8">
        <v>22215</v>
      </c>
    </row>
    <row r="13293" spans="2:8" x14ac:dyDescent="0.4">
      <c r="B13293" t="s">
        <v>7</v>
      </c>
      <c r="C13293" t="s">
        <v>2092</v>
      </c>
      <c r="D13293" s="7">
        <f>DATE(2017,5,1)</f>
        <v>42856</v>
      </c>
      <c r="E13293" s="8">
        <f t="shared" si="219"/>
        <v>2017</v>
      </c>
      <c r="F13293" t="s">
        <v>2093</v>
      </c>
      <c r="G13293" s="9">
        <v>31726</v>
      </c>
      <c r="H13293" s="8">
        <v>24256</v>
      </c>
    </row>
    <row r="13294" spans="2:8" x14ac:dyDescent="0.4">
      <c r="B13294" t="s">
        <v>7</v>
      </c>
      <c r="C13294" t="s">
        <v>2092</v>
      </c>
      <c r="D13294" s="7">
        <f>DATE(2018,5,18)</f>
        <v>43238</v>
      </c>
      <c r="E13294" s="8">
        <f t="shared" si="219"/>
        <v>2018</v>
      </c>
      <c r="F13294" t="s">
        <v>2093</v>
      </c>
      <c r="G13294" s="9">
        <v>31524</v>
      </c>
      <c r="H13294" s="8">
        <v>26387</v>
      </c>
    </row>
    <row r="13295" spans="2:8" x14ac:dyDescent="0.4">
      <c r="B13295" t="s">
        <v>7</v>
      </c>
      <c r="C13295" t="s">
        <v>2092</v>
      </c>
      <c r="D13295" s="7">
        <f>DATE(2019,3,15)</f>
        <v>43539</v>
      </c>
      <c r="E13295" s="8">
        <f t="shared" si="219"/>
        <v>2019</v>
      </c>
      <c r="F13295" t="s">
        <v>2093</v>
      </c>
      <c r="G13295" s="9">
        <v>30715.19</v>
      </c>
      <c r="H13295" s="8">
        <v>28326</v>
      </c>
    </row>
    <row r="13296" spans="2:8" x14ac:dyDescent="0.4">
      <c r="B13296" t="s">
        <v>7</v>
      </c>
      <c r="C13296" t="s">
        <v>2092</v>
      </c>
      <c r="D13296" s="7">
        <f>DATE(2016,5,20)</f>
        <v>42510</v>
      </c>
      <c r="E13296" s="8">
        <f t="shared" si="219"/>
        <v>2016</v>
      </c>
      <c r="F13296" t="s">
        <v>2093</v>
      </c>
      <c r="G13296" s="9">
        <v>16060.67</v>
      </c>
      <c r="H13296" s="8">
        <v>22217</v>
      </c>
    </row>
    <row r="13297" spans="2:8" x14ac:dyDescent="0.4">
      <c r="B13297" t="s">
        <v>7</v>
      </c>
      <c r="C13297" t="s">
        <v>2092</v>
      </c>
      <c r="D13297" s="7">
        <f>DATE(2017,5,1)</f>
        <v>42856</v>
      </c>
      <c r="E13297" s="8">
        <f t="shared" si="219"/>
        <v>2017</v>
      </c>
      <c r="F13297" t="s">
        <v>2093</v>
      </c>
      <c r="G13297" s="9">
        <v>12120</v>
      </c>
      <c r="H13297" s="8">
        <v>24257</v>
      </c>
    </row>
    <row r="13298" spans="2:8" x14ac:dyDescent="0.4">
      <c r="B13298" t="s">
        <v>7</v>
      </c>
      <c r="C13298" t="s">
        <v>2092</v>
      </c>
      <c r="D13298" s="7">
        <f>DATE(2018,5,18)</f>
        <v>43238</v>
      </c>
      <c r="E13298" s="8">
        <f t="shared" si="219"/>
        <v>2018</v>
      </c>
      <c r="F13298" t="s">
        <v>2093</v>
      </c>
      <c r="G13298" s="9">
        <v>7500</v>
      </c>
      <c r="H13298" s="8">
        <v>26389</v>
      </c>
    </row>
    <row r="13299" spans="2:8" x14ac:dyDescent="0.4">
      <c r="B13299" t="s">
        <v>7</v>
      </c>
      <c r="C13299" t="s">
        <v>2092</v>
      </c>
      <c r="D13299" s="7">
        <f>DATE(2019,3,15)</f>
        <v>43539</v>
      </c>
      <c r="E13299" s="8">
        <f t="shared" si="219"/>
        <v>2019</v>
      </c>
      <c r="F13299" t="s">
        <v>2093</v>
      </c>
      <c r="G13299" s="9">
        <v>15540.49</v>
      </c>
      <c r="H13299" s="8">
        <v>28327</v>
      </c>
    </row>
    <row r="13300" spans="2:8" x14ac:dyDescent="0.4">
      <c r="B13300" t="s">
        <v>7</v>
      </c>
      <c r="C13300" t="s">
        <v>2092</v>
      </c>
      <c r="D13300" s="7">
        <f>DATE(2015,3,18)</f>
        <v>42081</v>
      </c>
      <c r="E13300" s="8">
        <f t="shared" si="219"/>
        <v>2015</v>
      </c>
      <c r="F13300" t="s">
        <v>2093</v>
      </c>
      <c r="G13300" s="9">
        <v>22872.89</v>
      </c>
      <c r="H13300" s="8">
        <v>20079</v>
      </c>
    </row>
    <row r="13301" spans="2:8" x14ac:dyDescent="0.4">
      <c r="B13301" t="s">
        <v>7</v>
      </c>
      <c r="C13301" t="s">
        <v>2092</v>
      </c>
      <c r="D13301" s="7">
        <f>DATE(2012,4,16)</f>
        <v>41015</v>
      </c>
      <c r="E13301" s="8">
        <f t="shared" si="219"/>
        <v>2012</v>
      </c>
      <c r="F13301" t="s">
        <v>2093</v>
      </c>
      <c r="G13301" s="9">
        <v>16582</v>
      </c>
      <c r="H13301" s="8">
        <v>11430</v>
      </c>
    </row>
    <row r="13302" spans="2:8" x14ac:dyDescent="0.4">
      <c r="B13302" t="s">
        <v>7</v>
      </c>
      <c r="C13302" t="s">
        <v>2092</v>
      </c>
      <c r="D13302" s="7">
        <f>DATE(2014,4,22)</f>
        <v>41751</v>
      </c>
      <c r="E13302" s="8">
        <f t="shared" si="219"/>
        <v>2014</v>
      </c>
      <c r="F13302" t="s">
        <v>2093</v>
      </c>
      <c r="G13302" s="9">
        <v>15900</v>
      </c>
      <c r="H13302" s="8">
        <v>13007</v>
      </c>
    </row>
    <row r="13303" spans="2:8" x14ac:dyDescent="0.4">
      <c r="B13303" t="s">
        <v>7</v>
      </c>
      <c r="C13303" t="s">
        <v>2094</v>
      </c>
      <c r="D13303" s="7">
        <f>DATE(2015,2,19)</f>
        <v>42054</v>
      </c>
      <c r="E13303" s="8">
        <f t="shared" si="219"/>
        <v>2015</v>
      </c>
      <c r="F13303" t="s">
        <v>2095</v>
      </c>
      <c r="G13303" s="9">
        <v>11400</v>
      </c>
      <c r="H13303" s="8">
        <v>110</v>
      </c>
    </row>
    <row r="13304" spans="2:8" x14ac:dyDescent="0.4">
      <c r="B13304" t="s">
        <v>7</v>
      </c>
      <c r="C13304" t="s">
        <v>2094</v>
      </c>
      <c r="D13304" s="7">
        <f>DATE(2016,10,14)</f>
        <v>42657</v>
      </c>
      <c r="E13304" s="8">
        <f t="shared" si="219"/>
        <v>2016</v>
      </c>
      <c r="F13304" t="s">
        <v>2095</v>
      </c>
      <c r="G13304" s="9">
        <v>11400</v>
      </c>
      <c r="H13304" s="8">
        <v>23645</v>
      </c>
    </row>
    <row r="13305" spans="2:8" x14ac:dyDescent="0.4">
      <c r="B13305" t="s">
        <v>7</v>
      </c>
      <c r="C13305" t="s">
        <v>2094</v>
      </c>
      <c r="D13305" s="7">
        <f>DATE(2017,2,17)</f>
        <v>42783</v>
      </c>
      <c r="E13305" s="8">
        <f t="shared" si="219"/>
        <v>2017</v>
      </c>
      <c r="F13305" t="s">
        <v>2095</v>
      </c>
      <c r="G13305" s="9">
        <v>2280</v>
      </c>
      <c r="H13305" s="8">
        <v>24285</v>
      </c>
    </row>
    <row r="13306" spans="2:8" x14ac:dyDescent="0.4">
      <c r="B13306" t="s">
        <v>7</v>
      </c>
      <c r="C13306" t="s">
        <v>2094</v>
      </c>
      <c r="D13306" s="7">
        <f>DATE(2018,7,17)</f>
        <v>43298</v>
      </c>
      <c r="E13306" s="8">
        <f t="shared" si="219"/>
        <v>2018</v>
      </c>
      <c r="F13306" t="s">
        <v>2095</v>
      </c>
      <c r="G13306" s="9">
        <v>11400</v>
      </c>
      <c r="H13306" s="8">
        <v>27152</v>
      </c>
    </row>
    <row r="13307" spans="2:8" x14ac:dyDescent="0.4">
      <c r="B13307" s="3" t="s">
        <v>7</v>
      </c>
      <c r="C13307" s="3" t="s">
        <v>2094</v>
      </c>
      <c r="D13307" s="4">
        <f>DATE(2004,3,9)</f>
        <v>38055</v>
      </c>
      <c r="E13307" s="5">
        <f t="shared" si="219"/>
        <v>2004</v>
      </c>
      <c r="F13307" s="3" t="s">
        <v>2095</v>
      </c>
      <c r="G13307" s="6">
        <v>9970.85</v>
      </c>
      <c r="H13307" s="5">
        <v>2350</v>
      </c>
    </row>
    <row r="13308" spans="2:8" x14ac:dyDescent="0.4">
      <c r="B13308" s="3" t="s">
        <v>7</v>
      </c>
      <c r="C13308" s="3" t="s">
        <v>2094</v>
      </c>
      <c r="D13308" s="4">
        <f>DATE(2004,3,23)</f>
        <v>38069</v>
      </c>
      <c r="E13308" s="5">
        <f t="shared" si="219"/>
        <v>2004</v>
      </c>
      <c r="F13308" s="3" t="s">
        <v>2095</v>
      </c>
      <c r="G13308" s="6">
        <v>1330</v>
      </c>
      <c r="H13308" s="5">
        <v>2421</v>
      </c>
    </row>
    <row r="13309" spans="2:8" x14ac:dyDescent="0.4">
      <c r="B13309" s="3" t="s">
        <v>7</v>
      </c>
      <c r="C13309" s="3" t="s">
        <v>2094</v>
      </c>
      <c r="D13309" s="4">
        <f>DATE(2004,4,28)</f>
        <v>38105</v>
      </c>
      <c r="E13309" s="5">
        <f t="shared" si="219"/>
        <v>2004</v>
      </c>
      <c r="F13309" s="3" t="s">
        <v>2095</v>
      </c>
      <c r="G13309" s="6">
        <v>6590.5</v>
      </c>
      <c r="H13309" s="5">
        <v>2766</v>
      </c>
    </row>
    <row r="13310" spans="2:8" x14ac:dyDescent="0.4">
      <c r="B13310" s="3" t="s">
        <v>7</v>
      </c>
      <c r="C13310" s="3" t="s">
        <v>2094</v>
      </c>
      <c r="D13310" s="4">
        <f>DATE(2006,1,23)</f>
        <v>38740</v>
      </c>
      <c r="E13310" s="5">
        <f t="shared" si="219"/>
        <v>2006</v>
      </c>
      <c r="F13310" s="3" t="s">
        <v>2095</v>
      </c>
      <c r="G13310" s="6">
        <v>8175</v>
      </c>
      <c r="H13310" s="5">
        <v>5874</v>
      </c>
    </row>
    <row r="13311" spans="2:8" x14ac:dyDescent="0.4">
      <c r="B13311" s="3" t="s">
        <v>7</v>
      </c>
      <c r="C13311" s="3" t="s">
        <v>2094</v>
      </c>
      <c r="D13311" s="4">
        <f>DATE(2008,1,28)</f>
        <v>39475</v>
      </c>
      <c r="E13311" s="5">
        <f t="shared" si="219"/>
        <v>2008</v>
      </c>
      <c r="F13311" s="3" t="s">
        <v>2095</v>
      </c>
      <c r="G13311" s="6">
        <v>9500</v>
      </c>
      <c r="H13311" s="5">
        <v>9806</v>
      </c>
    </row>
    <row r="13312" spans="2:8" x14ac:dyDescent="0.4">
      <c r="B13312" s="3" t="s">
        <v>7</v>
      </c>
      <c r="C13312" s="3" t="s">
        <v>2094</v>
      </c>
      <c r="D13312" s="4">
        <f>DATE(2009,2,27)</f>
        <v>39871</v>
      </c>
      <c r="E13312" s="5">
        <f t="shared" si="219"/>
        <v>2009</v>
      </c>
      <c r="F13312" s="3" t="s">
        <v>2095</v>
      </c>
      <c r="G13312" s="6">
        <v>10944.08</v>
      </c>
      <c r="H13312" s="5">
        <v>12062</v>
      </c>
    </row>
    <row r="13313" spans="2:8" x14ac:dyDescent="0.4">
      <c r="B13313" s="3" t="s">
        <v>7</v>
      </c>
      <c r="C13313" s="3" t="s">
        <v>2094</v>
      </c>
      <c r="D13313" s="4">
        <f>DATE(2010,1,21)</f>
        <v>40199</v>
      </c>
      <c r="E13313" s="5">
        <f t="shared" si="219"/>
        <v>2010</v>
      </c>
      <c r="F13313" s="3" t="s">
        <v>2095</v>
      </c>
      <c r="G13313" s="6">
        <v>11400</v>
      </c>
      <c r="H13313" s="5">
        <v>13426</v>
      </c>
    </row>
    <row r="13314" spans="2:8" x14ac:dyDescent="0.4">
      <c r="B13314" s="3" t="s">
        <v>7</v>
      </c>
      <c r="C13314" s="3" t="s">
        <v>2094</v>
      </c>
      <c r="D13314" s="4">
        <f>DATE(2010,3,24)</f>
        <v>40261</v>
      </c>
      <c r="E13314" s="5">
        <f t="shared" si="219"/>
        <v>2010</v>
      </c>
      <c r="F13314" s="3" t="s">
        <v>2095</v>
      </c>
      <c r="G13314" s="6">
        <v>84</v>
      </c>
      <c r="H13314" s="5">
        <v>13776</v>
      </c>
    </row>
    <row r="13315" spans="2:8" x14ac:dyDescent="0.4">
      <c r="B13315" s="3" t="s">
        <v>7</v>
      </c>
      <c r="C13315" s="3" t="s">
        <v>2094</v>
      </c>
      <c r="D13315" s="4">
        <f>DATE(2011,4,21)</f>
        <v>40654</v>
      </c>
      <c r="E13315" s="5">
        <f t="shared" ref="E13315:E13378" si="220">YEAR(D13315)</f>
        <v>2011</v>
      </c>
      <c r="F13315" s="3" t="s">
        <v>2095</v>
      </c>
      <c r="G13315" s="6">
        <v>11400</v>
      </c>
      <c r="H13315" s="5">
        <v>15427</v>
      </c>
    </row>
    <row r="13316" spans="2:8" x14ac:dyDescent="0.4">
      <c r="B13316" s="3" t="s">
        <v>7</v>
      </c>
      <c r="C13316" s="3" t="s">
        <v>2094</v>
      </c>
      <c r="D13316" s="4">
        <f>DATE(2012,10,3)</f>
        <v>41185</v>
      </c>
      <c r="E13316" s="5">
        <f t="shared" si="220"/>
        <v>2012</v>
      </c>
      <c r="F13316" s="3" t="s">
        <v>2095</v>
      </c>
      <c r="G13316" s="6">
        <v>6650</v>
      </c>
      <c r="H13316" s="5">
        <v>17667</v>
      </c>
    </row>
    <row r="13317" spans="2:8" x14ac:dyDescent="0.4">
      <c r="B13317" s="3" t="s">
        <v>7</v>
      </c>
      <c r="C13317" s="3" t="s">
        <v>2094</v>
      </c>
      <c r="D13317" s="4">
        <f>DATE(2012,12,14)</f>
        <v>41257</v>
      </c>
      <c r="E13317" s="5">
        <f t="shared" si="220"/>
        <v>2012</v>
      </c>
      <c r="F13317" s="3" t="s">
        <v>2095</v>
      </c>
      <c r="G13317" s="6">
        <v>562.79999999999995</v>
      </c>
      <c r="H13317" s="5">
        <v>17898</v>
      </c>
    </row>
    <row r="13318" spans="2:8" x14ac:dyDescent="0.4">
      <c r="B13318" s="3" t="s">
        <v>7</v>
      </c>
      <c r="C13318" s="3" t="s">
        <v>2094</v>
      </c>
      <c r="D13318" s="4">
        <f>DATE(2013,1,11)</f>
        <v>41285</v>
      </c>
      <c r="E13318" s="5">
        <f t="shared" si="220"/>
        <v>2013</v>
      </c>
      <c r="F13318" s="3" t="s">
        <v>2095</v>
      </c>
      <c r="G13318" s="6">
        <v>11400</v>
      </c>
      <c r="H13318" s="5">
        <v>17932</v>
      </c>
    </row>
    <row r="13319" spans="2:8" x14ac:dyDescent="0.4">
      <c r="B13319" s="3" t="s">
        <v>7</v>
      </c>
      <c r="C13319" s="3" t="s">
        <v>2094</v>
      </c>
      <c r="D13319" s="4">
        <f>DATE(2013,1,11)</f>
        <v>41285</v>
      </c>
      <c r="E13319" s="5">
        <f t="shared" si="220"/>
        <v>2013</v>
      </c>
      <c r="F13319" s="3" t="s">
        <v>2095</v>
      </c>
      <c r="G13319" s="6">
        <v>93.8</v>
      </c>
      <c r="H13319" s="5">
        <v>17974</v>
      </c>
    </row>
    <row r="13320" spans="2:8" x14ac:dyDescent="0.4">
      <c r="B13320" s="3" t="s">
        <v>7</v>
      </c>
      <c r="C13320" s="3" t="s">
        <v>2094</v>
      </c>
      <c r="D13320" s="4">
        <f>DATE(2013,3,13)</f>
        <v>41346</v>
      </c>
      <c r="E13320" s="5">
        <f t="shared" si="220"/>
        <v>2013</v>
      </c>
      <c r="F13320" s="3" t="s">
        <v>2095</v>
      </c>
      <c r="G13320" s="6">
        <v>1900</v>
      </c>
      <c r="H13320" s="5">
        <v>18293</v>
      </c>
    </row>
    <row r="13321" spans="2:8" x14ac:dyDescent="0.4">
      <c r="B13321" s="3" t="s">
        <v>7</v>
      </c>
      <c r="C13321" s="3" t="s">
        <v>2094</v>
      </c>
      <c r="D13321" s="4">
        <f>DATE(2014,2,19)</f>
        <v>41689</v>
      </c>
      <c r="E13321" s="5">
        <f t="shared" si="220"/>
        <v>2014</v>
      </c>
      <c r="F13321" s="3" t="s">
        <v>2095</v>
      </c>
      <c r="G13321" s="6">
        <v>13680</v>
      </c>
      <c r="H13321" s="5">
        <v>19554</v>
      </c>
    </row>
    <row r="13322" spans="2:8" x14ac:dyDescent="0.4">
      <c r="B13322" s="3" t="s">
        <v>7</v>
      </c>
      <c r="C13322" s="3" t="s">
        <v>2096</v>
      </c>
      <c r="D13322" s="4">
        <f>DATE(2014,7,10)</f>
        <v>41830</v>
      </c>
      <c r="E13322" s="5">
        <f t="shared" si="220"/>
        <v>2014</v>
      </c>
      <c r="F13322" s="3" t="s">
        <v>2097</v>
      </c>
      <c r="G13322" s="6">
        <v>703.5</v>
      </c>
      <c r="H13322" s="5">
        <v>20155</v>
      </c>
    </row>
    <row r="13323" spans="2:8" x14ac:dyDescent="0.4">
      <c r="B13323" s="3" t="s">
        <v>7</v>
      </c>
      <c r="C13323" s="3" t="s">
        <v>2096</v>
      </c>
      <c r="D13323" s="4">
        <f>DATE(2014,7,10)</f>
        <v>41830</v>
      </c>
      <c r="E13323" s="5">
        <f t="shared" si="220"/>
        <v>2014</v>
      </c>
      <c r="F13323" s="3" t="s">
        <v>2097</v>
      </c>
      <c r="G13323" s="6">
        <v>1102.5</v>
      </c>
      <c r="H13323" s="5">
        <v>20163</v>
      </c>
    </row>
    <row r="13324" spans="2:8" x14ac:dyDescent="0.4">
      <c r="B13324" s="3" t="s">
        <v>7</v>
      </c>
      <c r="C13324" s="3" t="s">
        <v>2096</v>
      </c>
      <c r="D13324" s="4">
        <f>DATE(2014,8,8)</f>
        <v>41859</v>
      </c>
      <c r="E13324" s="5">
        <f t="shared" si="220"/>
        <v>2014</v>
      </c>
      <c r="F13324" s="3" t="s">
        <v>2097</v>
      </c>
      <c r="G13324" s="6">
        <v>441</v>
      </c>
      <c r="H13324" s="5">
        <v>20185</v>
      </c>
    </row>
    <row r="13325" spans="2:8" x14ac:dyDescent="0.4">
      <c r="B13325" s="3" t="s">
        <v>16</v>
      </c>
      <c r="C13325" s="3" t="s">
        <v>2096</v>
      </c>
      <c r="D13325" s="4">
        <f>DATE(2014,7,14)</f>
        <v>41834</v>
      </c>
      <c r="E13325" s="5">
        <f t="shared" si="220"/>
        <v>2014</v>
      </c>
      <c r="F13325" s="3" t="s">
        <v>2097</v>
      </c>
      <c r="G13325" s="6">
        <v>703.5</v>
      </c>
      <c r="H13325" s="5">
        <v>20183</v>
      </c>
    </row>
    <row r="13326" spans="2:8" x14ac:dyDescent="0.4">
      <c r="B13326" t="s">
        <v>7</v>
      </c>
      <c r="C13326" t="s">
        <v>1740</v>
      </c>
      <c r="D13326" s="7">
        <f>DATE(2018,11,6)</f>
        <v>43410</v>
      </c>
      <c r="E13326" s="8">
        <f t="shared" si="220"/>
        <v>2018</v>
      </c>
      <c r="F13326" t="s">
        <v>2098</v>
      </c>
      <c r="G13326" s="9">
        <v>123357.64</v>
      </c>
      <c r="H13326" s="8">
        <v>26231</v>
      </c>
    </row>
    <row r="13327" spans="2:8" x14ac:dyDescent="0.4">
      <c r="B13327" t="s">
        <v>7</v>
      </c>
      <c r="C13327" t="s">
        <v>1740</v>
      </c>
      <c r="D13327" s="7">
        <f>DATE(2018,12,4)</f>
        <v>43438</v>
      </c>
      <c r="E13327" s="8">
        <f t="shared" si="220"/>
        <v>2018</v>
      </c>
      <c r="F13327" t="s">
        <v>2098</v>
      </c>
      <c r="G13327" s="9">
        <v>2000</v>
      </c>
      <c r="H13327" s="8">
        <v>27934</v>
      </c>
    </row>
    <row r="13328" spans="2:8" x14ac:dyDescent="0.4">
      <c r="B13328" t="s">
        <v>7</v>
      </c>
      <c r="C13328" t="s">
        <v>2099</v>
      </c>
      <c r="D13328" s="7">
        <f>DATE(2009,4,9)</f>
        <v>39912</v>
      </c>
      <c r="E13328" s="8">
        <f t="shared" si="220"/>
        <v>2009</v>
      </c>
      <c r="F13328" t="s">
        <v>2100</v>
      </c>
      <c r="G13328" s="9">
        <v>9681</v>
      </c>
      <c r="H13328" s="8">
        <v>8547</v>
      </c>
    </row>
    <row r="13329" spans="2:8" x14ac:dyDescent="0.4">
      <c r="B13329" t="s">
        <v>7</v>
      </c>
      <c r="C13329" t="s">
        <v>2099</v>
      </c>
      <c r="D13329" s="7">
        <f>DATE(2009,6,22)</f>
        <v>39986</v>
      </c>
      <c r="E13329" s="8">
        <f t="shared" si="220"/>
        <v>2009</v>
      </c>
      <c r="F13329" t="s">
        <v>2100</v>
      </c>
      <c r="G13329" s="9">
        <v>5748</v>
      </c>
      <c r="H13329" s="8">
        <v>8500</v>
      </c>
    </row>
    <row r="13330" spans="2:8" x14ac:dyDescent="0.4">
      <c r="B13330" t="s">
        <v>7</v>
      </c>
      <c r="C13330" t="s">
        <v>2099</v>
      </c>
      <c r="D13330" s="7">
        <f>DATE(2009,7,8)</f>
        <v>40002</v>
      </c>
      <c r="E13330" s="8">
        <f t="shared" si="220"/>
        <v>2009</v>
      </c>
      <c r="F13330" t="s">
        <v>2100</v>
      </c>
      <c r="G13330" s="9">
        <v>2689.7</v>
      </c>
      <c r="H13330" s="8">
        <v>8833</v>
      </c>
    </row>
    <row r="13331" spans="2:8" x14ac:dyDescent="0.4">
      <c r="B13331" t="s">
        <v>7</v>
      </c>
      <c r="C13331" t="s">
        <v>2099</v>
      </c>
      <c r="D13331" s="7">
        <f>DATE(2009,7,8)</f>
        <v>40002</v>
      </c>
      <c r="E13331" s="8">
        <f t="shared" si="220"/>
        <v>2009</v>
      </c>
      <c r="F13331" t="s">
        <v>2100</v>
      </c>
      <c r="G13331" s="9">
        <v>1019.25</v>
      </c>
      <c r="H13331" s="8">
        <v>8836</v>
      </c>
    </row>
    <row r="13332" spans="2:8" x14ac:dyDescent="0.4">
      <c r="B13332" t="s">
        <v>7</v>
      </c>
      <c r="C13332" t="s">
        <v>2099</v>
      </c>
      <c r="D13332" s="7">
        <f>DATE(2009,7,8)</f>
        <v>40002</v>
      </c>
      <c r="E13332" s="8">
        <f t="shared" si="220"/>
        <v>2009</v>
      </c>
      <c r="F13332" t="s">
        <v>2100</v>
      </c>
      <c r="G13332" s="9">
        <v>642.33000000000004</v>
      </c>
      <c r="H13332" s="8">
        <v>8849</v>
      </c>
    </row>
    <row r="13333" spans="2:8" x14ac:dyDescent="0.4">
      <c r="B13333" t="s">
        <v>7</v>
      </c>
      <c r="C13333" t="s">
        <v>2099</v>
      </c>
      <c r="D13333" s="7">
        <f>DATE(2009,7,8)</f>
        <v>40002</v>
      </c>
      <c r="E13333" s="8">
        <f t="shared" si="220"/>
        <v>2009</v>
      </c>
      <c r="F13333" t="s">
        <v>2100</v>
      </c>
      <c r="G13333" s="9">
        <v>620</v>
      </c>
      <c r="H13333" s="8">
        <v>8850</v>
      </c>
    </row>
    <row r="13334" spans="2:8" x14ac:dyDescent="0.4">
      <c r="B13334" t="s">
        <v>7</v>
      </c>
      <c r="C13334" t="s">
        <v>2099</v>
      </c>
      <c r="D13334" s="7">
        <f>DATE(2009,7,23)</f>
        <v>40017</v>
      </c>
      <c r="E13334" s="8">
        <f t="shared" si="220"/>
        <v>2009</v>
      </c>
      <c r="F13334" t="s">
        <v>2100</v>
      </c>
      <c r="G13334" s="9">
        <v>2901.75</v>
      </c>
      <c r="H13334" s="8">
        <v>8868</v>
      </c>
    </row>
    <row r="13335" spans="2:8" x14ac:dyDescent="0.4">
      <c r="B13335" t="s">
        <v>7</v>
      </c>
      <c r="C13335" t="s">
        <v>2099</v>
      </c>
      <c r="D13335" s="7">
        <f>DATE(2010,2,16)</f>
        <v>40225</v>
      </c>
      <c r="E13335" s="8">
        <f t="shared" si="220"/>
        <v>2010</v>
      </c>
      <c r="F13335" t="s">
        <v>2100</v>
      </c>
      <c r="G13335" s="9">
        <v>18000.3</v>
      </c>
      <c r="H13335" s="8">
        <v>8792</v>
      </c>
    </row>
    <row r="13336" spans="2:8" x14ac:dyDescent="0.4">
      <c r="B13336" t="s">
        <v>7</v>
      </c>
      <c r="C13336" t="s">
        <v>2099</v>
      </c>
      <c r="D13336" s="7">
        <f>DATE(2010,2,15)</f>
        <v>40224</v>
      </c>
      <c r="E13336" s="8">
        <f t="shared" si="220"/>
        <v>2010</v>
      </c>
      <c r="F13336" t="s">
        <v>2100</v>
      </c>
      <c r="G13336" s="9">
        <v>147.5</v>
      </c>
      <c r="H13336" s="8">
        <v>9527</v>
      </c>
    </row>
    <row r="13337" spans="2:8" x14ac:dyDescent="0.4">
      <c r="B13337" s="3" t="s">
        <v>7</v>
      </c>
      <c r="C13337" s="3" t="s">
        <v>2099</v>
      </c>
      <c r="D13337" s="4">
        <f>DATE(2009,2,27)</f>
        <v>39871</v>
      </c>
      <c r="E13337" s="5">
        <f t="shared" si="220"/>
        <v>2009</v>
      </c>
      <c r="F13337" s="3" t="s">
        <v>2100</v>
      </c>
      <c r="G13337" s="6">
        <v>5987</v>
      </c>
      <c r="H13337" s="5">
        <v>11967</v>
      </c>
    </row>
    <row r="13338" spans="2:8" x14ac:dyDescent="0.4">
      <c r="B13338" s="3" t="s">
        <v>7</v>
      </c>
      <c r="C13338" s="3" t="s">
        <v>2099</v>
      </c>
      <c r="D13338" s="4">
        <f>DATE(2009,7,29)</f>
        <v>40023</v>
      </c>
      <c r="E13338" s="5">
        <f t="shared" si="220"/>
        <v>2009</v>
      </c>
      <c r="F13338" s="3" t="s">
        <v>2100</v>
      </c>
      <c r="G13338" s="6">
        <v>237.54</v>
      </c>
      <c r="H13338" s="5">
        <v>12261</v>
      </c>
    </row>
    <row r="13339" spans="2:8" x14ac:dyDescent="0.4">
      <c r="B13339" s="3" t="s">
        <v>7</v>
      </c>
      <c r="C13339" s="3" t="s">
        <v>2099</v>
      </c>
      <c r="D13339" s="4">
        <f>DATE(2010,8,24)</f>
        <v>40414</v>
      </c>
      <c r="E13339" s="5">
        <f t="shared" si="220"/>
        <v>2010</v>
      </c>
      <c r="F13339" s="3" t="s">
        <v>2100</v>
      </c>
      <c r="G13339" s="6">
        <v>2075.8000000000002</v>
      </c>
      <c r="H13339" s="5">
        <v>13386</v>
      </c>
    </row>
    <row r="13340" spans="2:8" x14ac:dyDescent="0.4">
      <c r="B13340" t="s">
        <v>7</v>
      </c>
      <c r="C13340" t="s">
        <v>2101</v>
      </c>
      <c r="D13340" s="7">
        <f>DATE(2015,5,11)</f>
        <v>42135</v>
      </c>
      <c r="E13340" s="8">
        <f t="shared" si="220"/>
        <v>2015</v>
      </c>
      <c r="F13340" t="s">
        <v>2102</v>
      </c>
      <c r="G13340" s="9">
        <v>12742.22</v>
      </c>
      <c r="H13340" s="8">
        <v>20170</v>
      </c>
    </row>
    <row r="13341" spans="2:8" x14ac:dyDescent="0.4">
      <c r="B13341" t="s">
        <v>7</v>
      </c>
      <c r="C13341" t="s">
        <v>2101</v>
      </c>
      <c r="D13341" s="7">
        <f>DATE(2016,12,21)</f>
        <v>42725</v>
      </c>
      <c r="E13341" s="8">
        <f t="shared" si="220"/>
        <v>2016</v>
      </c>
      <c r="F13341" t="s">
        <v>2102</v>
      </c>
      <c r="G13341" s="9">
        <v>14480.77</v>
      </c>
      <c r="H13341" s="8">
        <v>23748</v>
      </c>
    </row>
    <row r="13342" spans="2:8" x14ac:dyDescent="0.4">
      <c r="B13342" t="s">
        <v>7</v>
      </c>
      <c r="C13342" t="s">
        <v>2101</v>
      </c>
      <c r="D13342" s="7">
        <f>DATE(2009,2,5)</f>
        <v>39849</v>
      </c>
      <c r="E13342" s="8">
        <f t="shared" si="220"/>
        <v>2009</v>
      </c>
      <c r="F13342" t="s">
        <v>2102</v>
      </c>
      <c r="G13342" s="9">
        <v>9980.75</v>
      </c>
      <c r="H13342" s="8">
        <v>8097</v>
      </c>
    </row>
    <row r="13343" spans="2:8" x14ac:dyDescent="0.4">
      <c r="B13343" t="s">
        <v>7</v>
      </c>
      <c r="C13343" t="s">
        <v>2101</v>
      </c>
      <c r="D13343" s="7">
        <f>DATE(2013,2,5)</f>
        <v>41310</v>
      </c>
      <c r="E13343" s="8">
        <f t="shared" si="220"/>
        <v>2013</v>
      </c>
      <c r="F13343" t="s">
        <v>2102</v>
      </c>
      <c r="G13343" s="9">
        <v>11720.14</v>
      </c>
      <c r="H13343" s="8">
        <v>12124</v>
      </c>
    </row>
    <row r="13344" spans="2:8" x14ac:dyDescent="0.4">
      <c r="B13344" t="s">
        <v>7</v>
      </c>
      <c r="C13344" t="s">
        <v>2101</v>
      </c>
      <c r="D13344" s="7">
        <f>DATE(2014,3,18)</f>
        <v>41716</v>
      </c>
      <c r="E13344" s="8">
        <f t="shared" si="220"/>
        <v>2014</v>
      </c>
      <c r="F13344" t="s">
        <v>2102</v>
      </c>
      <c r="G13344" s="9">
        <v>12882.28</v>
      </c>
      <c r="H13344" s="8">
        <v>12906</v>
      </c>
    </row>
    <row r="13345" spans="2:8" x14ac:dyDescent="0.4">
      <c r="B13345" t="s">
        <v>7</v>
      </c>
      <c r="C13345" t="s">
        <v>2103</v>
      </c>
      <c r="D13345" s="7">
        <f>DATE(2018,10,1)</f>
        <v>43374</v>
      </c>
      <c r="E13345" s="8">
        <f t="shared" si="220"/>
        <v>2018</v>
      </c>
      <c r="F13345" t="s">
        <v>2104</v>
      </c>
      <c r="G13345" s="9">
        <v>20280.099999999999</v>
      </c>
      <c r="H13345" s="8">
        <v>27645</v>
      </c>
    </row>
    <row r="13346" spans="2:8" x14ac:dyDescent="0.4">
      <c r="B13346" t="s">
        <v>7</v>
      </c>
      <c r="C13346" t="s">
        <v>2103</v>
      </c>
      <c r="D13346" s="7">
        <f>DATE(2015,3,18)</f>
        <v>42081</v>
      </c>
      <c r="E13346" s="8">
        <f t="shared" si="220"/>
        <v>2015</v>
      </c>
      <c r="F13346" t="s">
        <v>2104</v>
      </c>
      <c r="G13346" s="9">
        <v>36834</v>
      </c>
      <c r="H13346" s="8">
        <v>20123</v>
      </c>
    </row>
    <row r="13347" spans="2:8" x14ac:dyDescent="0.4">
      <c r="B13347" t="s">
        <v>7</v>
      </c>
      <c r="C13347" t="s">
        <v>2103</v>
      </c>
      <c r="D13347" s="7">
        <f>DATE(2015,4,29)</f>
        <v>42123</v>
      </c>
      <c r="E13347" s="8">
        <f t="shared" si="220"/>
        <v>2015</v>
      </c>
      <c r="F13347" t="s">
        <v>2104</v>
      </c>
      <c r="G13347" s="9">
        <v>37607</v>
      </c>
      <c r="H13347" s="8">
        <v>20496</v>
      </c>
    </row>
    <row r="13348" spans="2:8" x14ac:dyDescent="0.4">
      <c r="B13348" t="s">
        <v>7</v>
      </c>
      <c r="C13348" t="s">
        <v>2103</v>
      </c>
      <c r="D13348" s="7">
        <f>DATE(2015,4,22)</f>
        <v>42116</v>
      </c>
      <c r="E13348" s="8">
        <f t="shared" si="220"/>
        <v>2015</v>
      </c>
      <c r="F13348" t="s">
        <v>2104</v>
      </c>
      <c r="G13348" s="9">
        <v>8255</v>
      </c>
      <c r="H13348" s="8">
        <v>20483</v>
      </c>
    </row>
    <row r="13349" spans="2:8" x14ac:dyDescent="0.4">
      <c r="B13349" t="s">
        <v>7</v>
      </c>
      <c r="C13349" t="s">
        <v>2103</v>
      </c>
      <c r="D13349" s="7">
        <f>DATE(2015,6,3)</f>
        <v>42158</v>
      </c>
      <c r="E13349" s="8">
        <f t="shared" si="220"/>
        <v>2015</v>
      </c>
      <c r="F13349" t="s">
        <v>2104</v>
      </c>
      <c r="G13349" s="9">
        <v>18280</v>
      </c>
      <c r="H13349" s="8">
        <v>20509</v>
      </c>
    </row>
    <row r="13350" spans="2:8" x14ac:dyDescent="0.4">
      <c r="B13350" t="s">
        <v>7</v>
      </c>
      <c r="C13350" t="s">
        <v>2103</v>
      </c>
      <c r="D13350" s="7">
        <f>DATE(2015,7,10)</f>
        <v>42195</v>
      </c>
      <c r="E13350" s="8">
        <f t="shared" si="220"/>
        <v>2015</v>
      </c>
      <c r="F13350" t="s">
        <v>2104</v>
      </c>
      <c r="G13350" s="9">
        <v>62827</v>
      </c>
      <c r="H13350" s="8">
        <v>5014</v>
      </c>
    </row>
    <row r="13351" spans="2:8" x14ac:dyDescent="0.4">
      <c r="B13351" t="s">
        <v>7</v>
      </c>
      <c r="C13351" t="s">
        <v>2103</v>
      </c>
      <c r="D13351" s="7">
        <f>DATE(2015,8,13)</f>
        <v>42229</v>
      </c>
      <c r="E13351" s="8">
        <f t="shared" si="220"/>
        <v>2015</v>
      </c>
      <c r="F13351" t="s">
        <v>2104</v>
      </c>
      <c r="G13351" s="9">
        <v>29889</v>
      </c>
      <c r="H13351" s="8">
        <v>21055</v>
      </c>
    </row>
    <row r="13352" spans="2:8" x14ac:dyDescent="0.4">
      <c r="B13352" t="s">
        <v>7</v>
      </c>
      <c r="C13352" t="s">
        <v>2103</v>
      </c>
      <c r="D13352" s="7">
        <f>DATE(2015,10,26)</f>
        <v>42303</v>
      </c>
      <c r="E13352" s="8">
        <f t="shared" si="220"/>
        <v>2015</v>
      </c>
      <c r="F13352" t="s">
        <v>2104</v>
      </c>
      <c r="G13352" s="9">
        <v>34605</v>
      </c>
      <c r="H13352" s="8">
        <v>21135</v>
      </c>
    </row>
    <row r="13353" spans="2:8" x14ac:dyDescent="0.4">
      <c r="B13353" t="s">
        <v>7</v>
      </c>
      <c r="C13353" t="s">
        <v>2103</v>
      </c>
      <c r="D13353" s="7">
        <f>DATE(2015,10,26)</f>
        <v>42303</v>
      </c>
      <c r="E13353" s="8">
        <f t="shared" si="220"/>
        <v>2015</v>
      </c>
      <c r="F13353" t="s">
        <v>2104</v>
      </c>
      <c r="G13353" s="9">
        <v>9618.93</v>
      </c>
      <c r="H13353" s="8">
        <v>21137</v>
      </c>
    </row>
    <row r="13354" spans="2:8" x14ac:dyDescent="0.4">
      <c r="B13354" t="s">
        <v>7</v>
      </c>
      <c r="C13354" t="s">
        <v>2103</v>
      </c>
      <c r="D13354" s="7">
        <f>DATE(2016,3,17)</f>
        <v>42446</v>
      </c>
      <c r="E13354" s="8">
        <f t="shared" si="220"/>
        <v>2016</v>
      </c>
      <c r="F13354" t="s">
        <v>2104</v>
      </c>
      <c r="G13354" s="9">
        <v>10609.25</v>
      </c>
      <c r="H13354" s="8">
        <v>22188</v>
      </c>
    </row>
    <row r="13355" spans="2:8" x14ac:dyDescent="0.4">
      <c r="B13355" t="s">
        <v>7</v>
      </c>
      <c r="C13355" t="s">
        <v>2103</v>
      </c>
      <c r="D13355" s="7">
        <f>DATE(2016,4,19)</f>
        <v>42479</v>
      </c>
      <c r="E13355" s="8">
        <f t="shared" si="220"/>
        <v>2016</v>
      </c>
      <c r="F13355" t="s">
        <v>2104</v>
      </c>
      <c r="G13355" s="9">
        <v>35622</v>
      </c>
      <c r="H13355" s="8">
        <v>22182</v>
      </c>
    </row>
    <row r="13356" spans="2:8" x14ac:dyDescent="0.4">
      <c r="B13356" t="s">
        <v>7</v>
      </c>
      <c r="C13356" t="s">
        <v>2103</v>
      </c>
      <c r="D13356" s="7">
        <f>DATE(2016,4,20)</f>
        <v>42480</v>
      </c>
      <c r="E13356" s="8">
        <f t="shared" si="220"/>
        <v>2016</v>
      </c>
      <c r="F13356" t="s">
        <v>2104</v>
      </c>
      <c r="G13356" s="9">
        <v>11000</v>
      </c>
      <c r="H13356" s="8">
        <v>22185</v>
      </c>
    </row>
    <row r="13357" spans="2:8" x14ac:dyDescent="0.4">
      <c r="B13357" t="s">
        <v>7</v>
      </c>
      <c r="C13357" t="s">
        <v>2103</v>
      </c>
      <c r="D13357" s="7">
        <f>DATE(2016,7,29)</f>
        <v>42580</v>
      </c>
      <c r="E13357" s="8">
        <f t="shared" si="220"/>
        <v>2016</v>
      </c>
      <c r="F13357" t="s">
        <v>2104</v>
      </c>
      <c r="G13357" s="9">
        <v>48155</v>
      </c>
      <c r="H13357" s="8">
        <v>23197</v>
      </c>
    </row>
    <row r="13358" spans="2:8" x14ac:dyDescent="0.4">
      <c r="B13358" t="s">
        <v>7</v>
      </c>
      <c r="C13358" t="s">
        <v>2103</v>
      </c>
      <c r="D13358" s="7">
        <f>DATE(2016,9,21)</f>
        <v>42634</v>
      </c>
      <c r="E13358" s="8">
        <f t="shared" si="220"/>
        <v>2016</v>
      </c>
      <c r="F13358" t="s">
        <v>2104</v>
      </c>
      <c r="G13358" s="9">
        <v>26863</v>
      </c>
      <c r="H13358" s="8">
        <v>23427</v>
      </c>
    </row>
    <row r="13359" spans="2:8" x14ac:dyDescent="0.4">
      <c r="B13359" t="s">
        <v>7</v>
      </c>
      <c r="C13359" t="s">
        <v>2103</v>
      </c>
      <c r="D13359" s="7">
        <f>DATE(2017,3,3)</f>
        <v>42797</v>
      </c>
      <c r="E13359" s="8">
        <f t="shared" si="220"/>
        <v>2017</v>
      </c>
      <c r="F13359" t="s">
        <v>2104</v>
      </c>
      <c r="G13359" s="9">
        <v>9648.5</v>
      </c>
      <c r="H13359" s="8">
        <v>24385</v>
      </c>
    </row>
    <row r="13360" spans="2:8" x14ac:dyDescent="0.4">
      <c r="B13360" t="s">
        <v>7</v>
      </c>
      <c r="C13360" t="s">
        <v>2103</v>
      </c>
      <c r="D13360" s="7">
        <f>DATE(2017,3,3)</f>
        <v>42797</v>
      </c>
      <c r="E13360" s="8">
        <f t="shared" si="220"/>
        <v>2017</v>
      </c>
      <c r="F13360" t="s">
        <v>2104</v>
      </c>
      <c r="G13360" s="9">
        <v>36129</v>
      </c>
      <c r="H13360" s="8">
        <v>24384</v>
      </c>
    </row>
    <row r="13361" spans="2:8" x14ac:dyDescent="0.4">
      <c r="B13361" t="s">
        <v>7</v>
      </c>
      <c r="C13361" t="s">
        <v>2103</v>
      </c>
      <c r="D13361" s="7">
        <f>DATE(2016,2,5)</f>
        <v>42405</v>
      </c>
      <c r="E13361" s="8">
        <f t="shared" si="220"/>
        <v>2016</v>
      </c>
      <c r="F13361" t="s">
        <v>2104</v>
      </c>
      <c r="G13361" s="9">
        <v>240</v>
      </c>
      <c r="H13361" s="8">
        <v>21927</v>
      </c>
    </row>
    <row r="13362" spans="2:8" x14ac:dyDescent="0.4">
      <c r="B13362" t="s">
        <v>7</v>
      </c>
      <c r="C13362" t="s">
        <v>2103</v>
      </c>
      <c r="D13362" s="7">
        <f>DATE(2016,6,29)</f>
        <v>42550</v>
      </c>
      <c r="E13362" s="8">
        <f t="shared" si="220"/>
        <v>2016</v>
      </c>
      <c r="F13362" t="s">
        <v>2104</v>
      </c>
      <c r="G13362" s="9">
        <v>160</v>
      </c>
      <c r="H13362" s="8">
        <v>23074</v>
      </c>
    </row>
    <row r="13363" spans="2:8" x14ac:dyDescent="0.4">
      <c r="B13363" t="s">
        <v>7</v>
      </c>
      <c r="C13363" t="s">
        <v>2103</v>
      </c>
      <c r="D13363" s="7">
        <f>DATE(2016,8,19)</f>
        <v>42601</v>
      </c>
      <c r="E13363" s="8">
        <f t="shared" si="220"/>
        <v>2016</v>
      </c>
      <c r="F13363" t="s">
        <v>2104</v>
      </c>
      <c r="G13363" s="9">
        <v>320</v>
      </c>
      <c r="H13363" s="8">
        <v>23181</v>
      </c>
    </row>
    <row r="13364" spans="2:8" x14ac:dyDescent="0.4">
      <c r="B13364" t="s">
        <v>7</v>
      </c>
      <c r="C13364" t="s">
        <v>2103</v>
      </c>
      <c r="D13364" s="7">
        <f>DATE(2017,2,8)</f>
        <v>42774</v>
      </c>
      <c r="E13364" s="8">
        <f t="shared" si="220"/>
        <v>2017</v>
      </c>
      <c r="F13364" t="s">
        <v>2104</v>
      </c>
      <c r="G13364" s="9">
        <v>240</v>
      </c>
      <c r="H13364" s="8">
        <v>24204</v>
      </c>
    </row>
    <row r="13365" spans="2:8" x14ac:dyDescent="0.4">
      <c r="B13365" t="s">
        <v>7</v>
      </c>
      <c r="C13365" t="s">
        <v>2103</v>
      </c>
      <c r="D13365" s="7">
        <f>DATE(2017,6,21)</f>
        <v>42907</v>
      </c>
      <c r="E13365" s="8">
        <f t="shared" si="220"/>
        <v>2017</v>
      </c>
      <c r="F13365" t="s">
        <v>2104</v>
      </c>
      <c r="G13365" s="9">
        <v>160</v>
      </c>
      <c r="H13365" s="8">
        <v>25109</v>
      </c>
    </row>
    <row r="13366" spans="2:8" x14ac:dyDescent="0.4">
      <c r="B13366" t="s">
        <v>7</v>
      </c>
      <c r="C13366" t="s">
        <v>2103</v>
      </c>
      <c r="D13366" s="7">
        <f>DATE(2017,10,20)</f>
        <v>43028</v>
      </c>
      <c r="E13366" s="8">
        <f t="shared" si="220"/>
        <v>2017</v>
      </c>
      <c r="F13366" t="s">
        <v>2104</v>
      </c>
      <c r="G13366" s="9">
        <v>240</v>
      </c>
      <c r="H13366" s="8">
        <v>25667</v>
      </c>
    </row>
    <row r="13367" spans="2:8" x14ac:dyDescent="0.4">
      <c r="B13367" t="s">
        <v>7</v>
      </c>
      <c r="C13367" t="s">
        <v>2103</v>
      </c>
      <c r="D13367" s="7">
        <f>DATE(2018,1,22)</f>
        <v>43122</v>
      </c>
      <c r="E13367" s="8">
        <f t="shared" si="220"/>
        <v>2018</v>
      </c>
      <c r="F13367" t="s">
        <v>2104</v>
      </c>
      <c r="G13367" s="9">
        <v>938</v>
      </c>
      <c r="H13367" s="8">
        <v>26264</v>
      </c>
    </row>
    <row r="13368" spans="2:8" x14ac:dyDescent="0.4">
      <c r="B13368" t="s">
        <v>7</v>
      </c>
      <c r="C13368" t="s">
        <v>2103</v>
      </c>
      <c r="D13368" s="7">
        <f>DATE(2018,2,19)</f>
        <v>43150</v>
      </c>
      <c r="E13368" s="8">
        <f t="shared" si="220"/>
        <v>2018</v>
      </c>
      <c r="F13368" t="s">
        <v>2104</v>
      </c>
      <c r="G13368" s="9">
        <v>240</v>
      </c>
      <c r="H13368" s="8">
        <v>26491</v>
      </c>
    </row>
    <row r="13369" spans="2:8" x14ac:dyDescent="0.4">
      <c r="B13369" t="s">
        <v>7</v>
      </c>
      <c r="C13369" t="s">
        <v>2103</v>
      </c>
      <c r="D13369" s="7">
        <f>DATE(2018,3,5)</f>
        <v>43164</v>
      </c>
      <c r="E13369" s="8">
        <f t="shared" si="220"/>
        <v>2018</v>
      </c>
      <c r="F13369" t="s">
        <v>2104</v>
      </c>
      <c r="G13369" s="9">
        <v>480</v>
      </c>
      <c r="H13369" s="8">
        <v>26592</v>
      </c>
    </row>
    <row r="13370" spans="2:8" x14ac:dyDescent="0.4">
      <c r="B13370" t="s">
        <v>7</v>
      </c>
      <c r="C13370" t="s">
        <v>2103</v>
      </c>
      <c r="D13370" s="7">
        <f>DATE(2018,4,27)</f>
        <v>43217</v>
      </c>
      <c r="E13370" s="8">
        <f t="shared" si="220"/>
        <v>2018</v>
      </c>
      <c r="F13370" t="s">
        <v>2104</v>
      </c>
      <c r="G13370" s="9">
        <v>656.6</v>
      </c>
      <c r="H13370" s="8">
        <v>26961</v>
      </c>
    </row>
    <row r="13371" spans="2:8" x14ac:dyDescent="0.4">
      <c r="B13371" t="s">
        <v>7</v>
      </c>
      <c r="C13371" t="s">
        <v>2103</v>
      </c>
      <c r="D13371" s="7">
        <f>DATE(2018,10,31)</f>
        <v>43404</v>
      </c>
      <c r="E13371" s="8">
        <f t="shared" si="220"/>
        <v>2018</v>
      </c>
      <c r="F13371" t="s">
        <v>2104</v>
      </c>
      <c r="G13371" s="9">
        <v>240</v>
      </c>
      <c r="H13371" s="8">
        <v>27833</v>
      </c>
    </row>
    <row r="13372" spans="2:8" x14ac:dyDescent="0.4">
      <c r="B13372" t="s">
        <v>7</v>
      </c>
      <c r="C13372" t="s">
        <v>2103</v>
      </c>
      <c r="D13372" s="7">
        <f>DATE(2018,11,29)</f>
        <v>43433</v>
      </c>
      <c r="E13372" s="8">
        <f t="shared" si="220"/>
        <v>2018</v>
      </c>
      <c r="F13372" t="s">
        <v>2104</v>
      </c>
      <c r="G13372" s="9">
        <v>469</v>
      </c>
      <c r="H13372" s="8">
        <v>28024</v>
      </c>
    </row>
    <row r="13373" spans="2:8" x14ac:dyDescent="0.4">
      <c r="B13373" t="s">
        <v>7</v>
      </c>
      <c r="C13373" t="s">
        <v>2103</v>
      </c>
      <c r="D13373" s="7">
        <f>DATE(2019,1,23)</f>
        <v>43488</v>
      </c>
      <c r="E13373" s="8">
        <f t="shared" si="220"/>
        <v>2019</v>
      </c>
      <c r="F13373" t="s">
        <v>2104</v>
      </c>
      <c r="G13373" s="9">
        <v>240</v>
      </c>
      <c r="H13373" s="8">
        <v>28264</v>
      </c>
    </row>
    <row r="13374" spans="2:8" x14ac:dyDescent="0.4">
      <c r="B13374" t="s">
        <v>7</v>
      </c>
      <c r="C13374" t="s">
        <v>2103</v>
      </c>
      <c r="D13374" s="7">
        <f>DATE(2015,11,19)</f>
        <v>42327</v>
      </c>
      <c r="E13374" s="8">
        <f t="shared" si="220"/>
        <v>2015</v>
      </c>
      <c r="F13374" t="s">
        <v>2104</v>
      </c>
      <c r="G13374" s="9">
        <v>4067.27</v>
      </c>
      <c r="H13374" s="8">
        <v>21630</v>
      </c>
    </row>
    <row r="13375" spans="2:8" x14ac:dyDescent="0.4">
      <c r="B13375" t="s">
        <v>7</v>
      </c>
      <c r="C13375" t="s">
        <v>2103</v>
      </c>
      <c r="D13375" s="7">
        <f>DATE(2016,7,28)</f>
        <v>42579</v>
      </c>
      <c r="E13375" s="8">
        <f t="shared" si="220"/>
        <v>2016</v>
      </c>
      <c r="F13375" t="s">
        <v>2104</v>
      </c>
      <c r="G13375" s="9">
        <v>7391.63</v>
      </c>
      <c r="H13375" s="8">
        <v>23171</v>
      </c>
    </row>
    <row r="13376" spans="2:8" x14ac:dyDescent="0.4">
      <c r="B13376" t="s">
        <v>7</v>
      </c>
      <c r="C13376" t="s">
        <v>2103</v>
      </c>
      <c r="D13376" s="7">
        <f>DATE(2017,1,6)</f>
        <v>42741</v>
      </c>
      <c r="E13376" s="8">
        <f t="shared" si="220"/>
        <v>2017</v>
      </c>
      <c r="F13376" t="s">
        <v>2104</v>
      </c>
      <c r="G13376" s="9">
        <v>2500.13</v>
      </c>
      <c r="H13376" s="8">
        <v>24057</v>
      </c>
    </row>
    <row r="13377" spans="2:8" x14ac:dyDescent="0.4">
      <c r="B13377" t="s">
        <v>7</v>
      </c>
      <c r="C13377" t="s">
        <v>2103</v>
      </c>
      <c r="D13377" s="7">
        <f>DATE(2017,2,28)</f>
        <v>42794</v>
      </c>
      <c r="E13377" s="8">
        <f t="shared" si="220"/>
        <v>2017</v>
      </c>
      <c r="F13377" t="s">
        <v>2104</v>
      </c>
      <c r="G13377" s="9">
        <v>4005.61</v>
      </c>
      <c r="H13377" s="8">
        <v>24352</v>
      </c>
    </row>
    <row r="13378" spans="2:8" x14ac:dyDescent="0.4">
      <c r="B13378" t="s">
        <v>7</v>
      </c>
      <c r="C13378" t="s">
        <v>2103</v>
      </c>
      <c r="D13378" s="7">
        <f>DATE(2017,3,22)</f>
        <v>42816</v>
      </c>
      <c r="E13378" s="8">
        <f t="shared" si="220"/>
        <v>2017</v>
      </c>
      <c r="F13378" t="s">
        <v>2104</v>
      </c>
      <c r="G13378" s="9">
        <v>2714.82</v>
      </c>
      <c r="H13378" s="8">
        <v>24550</v>
      </c>
    </row>
    <row r="13379" spans="2:8" x14ac:dyDescent="0.4">
      <c r="B13379" t="s">
        <v>7</v>
      </c>
      <c r="C13379" t="s">
        <v>2103</v>
      </c>
      <c r="D13379" s="7">
        <f>DATE(2017,8,10)</f>
        <v>42957</v>
      </c>
      <c r="E13379" s="8">
        <f t="shared" ref="E13379:E13442" si="221">YEAR(D13379)</f>
        <v>2017</v>
      </c>
      <c r="F13379" t="s">
        <v>2104</v>
      </c>
      <c r="G13379" s="9">
        <v>8422.23</v>
      </c>
      <c r="H13379" s="8">
        <v>25320</v>
      </c>
    </row>
    <row r="13380" spans="2:8" x14ac:dyDescent="0.4">
      <c r="B13380" t="s">
        <v>7</v>
      </c>
      <c r="C13380" t="s">
        <v>2103</v>
      </c>
      <c r="D13380" s="7">
        <f>DATE(2017,8,31)</f>
        <v>42978</v>
      </c>
      <c r="E13380" s="8">
        <f t="shared" si="221"/>
        <v>2017</v>
      </c>
      <c r="F13380" t="s">
        <v>2104</v>
      </c>
      <c r="G13380" s="9">
        <v>4071.8</v>
      </c>
      <c r="H13380" s="8">
        <v>25412</v>
      </c>
    </row>
    <row r="13381" spans="2:8" x14ac:dyDescent="0.4">
      <c r="B13381" t="s">
        <v>7</v>
      </c>
      <c r="C13381" t="s">
        <v>2103</v>
      </c>
      <c r="D13381" s="7">
        <f>DATE(2017,12,14)</f>
        <v>43083</v>
      </c>
      <c r="E13381" s="8">
        <f t="shared" si="221"/>
        <v>2017</v>
      </c>
      <c r="F13381" t="s">
        <v>2104</v>
      </c>
      <c r="G13381" s="9">
        <v>5197.38</v>
      </c>
      <c r="H13381" s="8">
        <v>26011</v>
      </c>
    </row>
    <row r="13382" spans="2:8" x14ac:dyDescent="0.4">
      <c r="B13382" t="s">
        <v>7</v>
      </c>
      <c r="C13382" t="s">
        <v>2103</v>
      </c>
      <c r="D13382" s="7">
        <f>DATE(2018,1,24)</f>
        <v>43124</v>
      </c>
      <c r="E13382" s="8">
        <f t="shared" si="221"/>
        <v>2018</v>
      </c>
      <c r="F13382" t="s">
        <v>2104</v>
      </c>
      <c r="G13382" s="9">
        <v>13945.52</v>
      </c>
      <c r="H13382" s="8">
        <v>26252</v>
      </c>
    </row>
    <row r="13383" spans="2:8" x14ac:dyDescent="0.4">
      <c r="B13383" t="s">
        <v>7</v>
      </c>
      <c r="C13383" t="s">
        <v>2103</v>
      </c>
      <c r="D13383" s="7">
        <f>DATE(2019,3,19)</f>
        <v>43543</v>
      </c>
      <c r="E13383" s="8">
        <f t="shared" si="221"/>
        <v>2019</v>
      </c>
      <c r="F13383" t="s">
        <v>2104</v>
      </c>
      <c r="G13383" s="9">
        <v>8402.06</v>
      </c>
      <c r="H13383" s="8">
        <v>28571</v>
      </c>
    </row>
    <row r="13384" spans="2:8" x14ac:dyDescent="0.4">
      <c r="B13384" t="s">
        <v>7</v>
      </c>
      <c r="C13384" t="s">
        <v>2103</v>
      </c>
      <c r="D13384" s="7">
        <f>DATE(2016,7,19)</f>
        <v>42570</v>
      </c>
      <c r="E13384" s="8">
        <f t="shared" si="221"/>
        <v>2016</v>
      </c>
      <c r="F13384" t="s">
        <v>2104</v>
      </c>
      <c r="G13384" s="9">
        <v>7689.85</v>
      </c>
      <c r="H13384" s="8">
        <v>23130</v>
      </c>
    </row>
    <row r="13385" spans="2:8" x14ac:dyDescent="0.4">
      <c r="B13385" t="s">
        <v>16</v>
      </c>
      <c r="C13385" t="s">
        <v>2103</v>
      </c>
      <c r="D13385" s="7">
        <f>DATE(2015,6,30)</f>
        <v>42185</v>
      </c>
      <c r="E13385" s="8">
        <f t="shared" si="221"/>
        <v>2015</v>
      </c>
      <c r="F13385" t="s">
        <v>2104</v>
      </c>
      <c r="G13385" s="9">
        <v>380</v>
      </c>
      <c r="H13385" s="8">
        <v>20924</v>
      </c>
    </row>
    <row r="13386" spans="2:8" x14ac:dyDescent="0.4">
      <c r="B13386" t="s">
        <v>7</v>
      </c>
      <c r="C13386" t="s">
        <v>2103</v>
      </c>
      <c r="D13386" s="7">
        <f>DATE(2012,5,1)</f>
        <v>41030</v>
      </c>
      <c r="E13386" s="8">
        <f t="shared" si="221"/>
        <v>2012</v>
      </c>
      <c r="F13386" t="s">
        <v>2104</v>
      </c>
      <c r="G13386" s="9">
        <v>6187.05</v>
      </c>
      <c r="H13386" s="8">
        <v>11588</v>
      </c>
    </row>
    <row r="13387" spans="2:8" x14ac:dyDescent="0.4">
      <c r="B13387" t="s">
        <v>7</v>
      </c>
      <c r="C13387" t="s">
        <v>2103</v>
      </c>
      <c r="D13387" s="7">
        <f>DATE(2012,8,8)</f>
        <v>41129</v>
      </c>
      <c r="E13387" s="8">
        <f t="shared" si="221"/>
        <v>2012</v>
      </c>
      <c r="F13387" t="s">
        <v>2104</v>
      </c>
      <c r="G13387" s="9">
        <v>3286.7</v>
      </c>
      <c r="H13387" s="8">
        <v>11757</v>
      </c>
    </row>
    <row r="13388" spans="2:8" x14ac:dyDescent="0.4">
      <c r="B13388" t="s">
        <v>7</v>
      </c>
      <c r="C13388" t="s">
        <v>2103</v>
      </c>
      <c r="D13388" s="7">
        <f>DATE(2003,4,30)</f>
        <v>37741</v>
      </c>
      <c r="E13388" s="8">
        <f t="shared" si="221"/>
        <v>2003</v>
      </c>
      <c r="F13388" t="s">
        <v>2104</v>
      </c>
      <c r="G13388" s="9">
        <v>33630.160000000003</v>
      </c>
      <c r="H13388" s="8">
        <v>277</v>
      </c>
    </row>
    <row r="13389" spans="2:8" x14ac:dyDescent="0.4">
      <c r="B13389" t="s">
        <v>7</v>
      </c>
      <c r="C13389" t="s">
        <v>2103</v>
      </c>
      <c r="D13389" s="7">
        <f>DATE(2003,5,2)</f>
        <v>37743</v>
      </c>
      <c r="E13389" s="8">
        <f t="shared" si="221"/>
        <v>2003</v>
      </c>
      <c r="F13389" t="s">
        <v>2104</v>
      </c>
      <c r="G13389" s="9">
        <v>3617.23</v>
      </c>
      <c r="H13389" s="8">
        <v>566</v>
      </c>
    </row>
    <row r="13390" spans="2:8" x14ac:dyDescent="0.4">
      <c r="B13390" t="s">
        <v>7</v>
      </c>
      <c r="C13390" t="s">
        <v>2103</v>
      </c>
      <c r="D13390" s="7">
        <f>DATE(2003,5,8)</f>
        <v>37749</v>
      </c>
      <c r="E13390" s="8">
        <f t="shared" si="221"/>
        <v>2003</v>
      </c>
      <c r="F13390" t="s">
        <v>2104</v>
      </c>
      <c r="G13390" s="9">
        <v>3186.99</v>
      </c>
      <c r="H13390" s="8">
        <v>578</v>
      </c>
    </row>
    <row r="13391" spans="2:8" x14ac:dyDescent="0.4">
      <c r="B13391" t="s">
        <v>7</v>
      </c>
      <c r="C13391" t="s">
        <v>2103</v>
      </c>
      <c r="D13391" s="7">
        <f>DATE(2003,5,23)</f>
        <v>37764</v>
      </c>
      <c r="E13391" s="8">
        <f t="shared" si="221"/>
        <v>2003</v>
      </c>
      <c r="F13391" t="s">
        <v>2104</v>
      </c>
      <c r="G13391" s="9">
        <v>30905.78</v>
      </c>
      <c r="H13391" s="8">
        <v>278</v>
      </c>
    </row>
    <row r="13392" spans="2:8" x14ac:dyDescent="0.4">
      <c r="B13392" t="s">
        <v>7</v>
      </c>
      <c r="C13392" t="s">
        <v>2103</v>
      </c>
      <c r="D13392" s="7">
        <f>DATE(2003,5,22)</f>
        <v>37763</v>
      </c>
      <c r="E13392" s="8">
        <f t="shared" si="221"/>
        <v>2003</v>
      </c>
      <c r="F13392" t="s">
        <v>2104</v>
      </c>
      <c r="G13392" s="9">
        <v>31488.78</v>
      </c>
      <c r="H13392" s="8">
        <v>276</v>
      </c>
    </row>
    <row r="13393" spans="2:8" x14ac:dyDescent="0.4">
      <c r="B13393" t="s">
        <v>7</v>
      </c>
      <c r="C13393" t="s">
        <v>2103</v>
      </c>
      <c r="D13393" s="7">
        <f>DATE(2003,6,18)</f>
        <v>37790</v>
      </c>
      <c r="E13393" s="8">
        <f t="shared" si="221"/>
        <v>2003</v>
      </c>
      <c r="F13393" t="s">
        <v>2104</v>
      </c>
      <c r="G13393" s="9">
        <v>1643.47</v>
      </c>
      <c r="H13393" s="8">
        <v>685</v>
      </c>
    </row>
    <row r="13394" spans="2:8" x14ac:dyDescent="0.4">
      <c r="B13394" t="s">
        <v>7</v>
      </c>
      <c r="C13394" t="s">
        <v>2103</v>
      </c>
      <c r="D13394" s="7">
        <f>DATE(2003,6,22)</f>
        <v>37794</v>
      </c>
      <c r="E13394" s="8">
        <f t="shared" si="221"/>
        <v>2003</v>
      </c>
      <c r="F13394" t="s">
        <v>2104</v>
      </c>
      <c r="G13394" s="9">
        <v>4557.2</v>
      </c>
      <c r="H13394" s="8">
        <v>688</v>
      </c>
    </row>
    <row r="13395" spans="2:8" x14ac:dyDescent="0.4">
      <c r="B13395" t="s">
        <v>7</v>
      </c>
      <c r="C13395" t="s">
        <v>2103</v>
      </c>
      <c r="D13395" s="7">
        <f>DATE(2003,7,31)</f>
        <v>37833</v>
      </c>
      <c r="E13395" s="8">
        <f t="shared" si="221"/>
        <v>2003</v>
      </c>
      <c r="F13395" t="s">
        <v>2104</v>
      </c>
      <c r="G13395" s="9">
        <v>4826.45</v>
      </c>
      <c r="H13395" s="8">
        <v>768</v>
      </c>
    </row>
    <row r="13396" spans="2:8" x14ac:dyDescent="0.4">
      <c r="B13396" t="s">
        <v>7</v>
      </c>
      <c r="C13396" t="s">
        <v>2103</v>
      </c>
      <c r="D13396" s="7">
        <f>DATE(2003,8,6)</f>
        <v>37839</v>
      </c>
      <c r="E13396" s="8">
        <f t="shared" si="221"/>
        <v>2003</v>
      </c>
      <c r="F13396" t="s">
        <v>2104</v>
      </c>
      <c r="G13396" s="9">
        <v>2356.4</v>
      </c>
      <c r="H13396" s="8">
        <v>796</v>
      </c>
    </row>
    <row r="13397" spans="2:8" x14ac:dyDescent="0.4">
      <c r="B13397" t="s">
        <v>7</v>
      </c>
      <c r="C13397" t="s">
        <v>2103</v>
      </c>
      <c r="D13397" s="7">
        <f>DATE(2003,10,14)</f>
        <v>37908</v>
      </c>
      <c r="E13397" s="8">
        <f t="shared" si="221"/>
        <v>2003</v>
      </c>
      <c r="F13397" t="s">
        <v>2104</v>
      </c>
      <c r="G13397" s="9">
        <v>1941.31</v>
      </c>
      <c r="H13397" s="8">
        <v>942</v>
      </c>
    </row>
    <row r="13398" spans="2:8" x14ac:dyDescent="0.4">
      <c r="B13398" t="s">
        <v>7</v>
      </c>
      <c r="C13398" t="s">
        <v>2103</v>
      </c>
      <c r="D13398" s="7">
        <f>DATE(2003,10,20)</f>
        <v>37914</v>
      </c>
      <c r="E13398" s="8">
        <f t="shared" si="221"/>
        <v>2003</v>
      </c>
      <c r="F13398" t="s">
        <v>2104</v>
      </c>
      <c r="G13398" s="9">
        <v>1966.75</v>
      </c>
      <c r="H13398" s="8">
        <v>955</v>
      </c>
    </row>
    <row r="13399" spans="2:8" x14ac:dyDescent="0.4">
      <c r="B13399" t="s">
        <v>7</v>
      </c>
      <c r="C13399" t="s">
        <v>2103</v>
      </c>
      <c r="D13399" s="7">
        <f>DATE(2003,10,11)</f>
        <v>37905</v>
      </c>
      <c r="E13399" s="8">
        <f t="shared" si="221"/>
        <v>2003</v>
      </c>
      <c r="F13399" t="s">
        <v>2104</v>
      </c>
      <c r="G13399" s="9">
        <v>4855</v>
      </c>
      <c r="H13399" s="8">
        <v>937</v>
      </c>
    </row>
    <row r="13400" spans="2:8" x14ac:dyDescent="0.4">
      <c r="B13400" t="s">
        <v>7</v>
      </c>
      <c r="C13400" t="s">
        <v>2103</v>
      </c>
      <c r="D13400" s="7">
        <f>DATE(2003,11,5)</f>
        <v>37930</v>
      </c>
      <c r="E13400" s="8">
        <f t="shared" si="221"/>
        <v>2003</v>
      </c>
      <c r="F13400" t="s">
        <v>2104</v>
      </c>
      <c r="G13400" s="9">
        <v>2400.9499999999998</v>
      </c>
      <c r="H13400" s="8">
        <v>996</v>
      </c>
    </row>
    <row r="13401" spans="2:8" x14ac:dyDescent="0.4">
      <c r="B13401" t="s">
        <v>7</v>
      </c>
      <c r="C13401" t="s">
        <v>2103</v>
      </c>
      <c r="D13401" s="7">
        <f>DATE(2004,1,31)</f>
        <v>38017</v>
      </c>
      <c r="E13401" s="8">
        <f t="shared" si="221"/>
        <v>2004</v>
      </c>
      <c r="F13401" t="s">
        <v>2104</v>
      </c>
      <c r="G13401" s="9">
        <v>10800.5</v>
      </c>
      <c r="H13401" s="8">
        <v>1232</v>
      </c>
    </row>
    <row r="13402" spans="2:8" x14ac:dyDescent="0.4">
      <c r="B13402" t="s">
        <v>7</v>
      </c>
      <c r="C13402" t="s">
        <v>2103</v>
      </c>
      <c r="D13402" s="7">
        <f>DATE(2004,2,15)</f>
        <v>38032</v>
      </c>
      <c r="E13402" s="8">
        <f t="shared" si="221"/>
        <v>2004</v>
      </c>
      <c r="F13402" t="s">
        <v>2104</v>
      </c>
      <c r="G13402" s="9">
        <v>23770.97</v>
      </c>
      <c r="H13402" s="8">
        <v>1275</v>
      </c>
    </row>
    <row r="13403" spans="2:8" x14ac:dyDescent="0.4">
      <c r="B13403" t="s">
        <v>7</v>
      </c>
      <c r="C13403" t="s">
        <v>2103</v>
      </c>
      <c r="D13403" s="7">
        <f>DATE(2004,3,27)</f>
        <v>38073</v>
      </c>
      <c r="E13403" s="8">
        <f t="shared" si="221"/>
        <v>2004</v>
      </c>
      <c r="F13403" t="s">
        <v>2104</v>
      </c>
      <c r="G13403" s="9">
        <v>1506</v>
      </c>
      <c r="H13403" s="8">
        <v>1596</v>
      </c>
    </row>
    <row r="13404" spans="2:8" x14ac:dyDescent="0.4">
      <c r="B13404" t="s">
        <v>7</v>
      </c>
      <c r="C13404" t="s">
        <v>2103</v>
      </c>
      <c r="D13404" s="7">
        <f>DATE(2004,3,21)</f>
        <v>38067</v>
      </c>
      <c r="E13404" s="8">
        <f t="shared" si="221"/>
        <v>2004</v>
      </c>
      <c r="F13404" t="s">
        <v>2104</v>
      </c>
      <c r="G13404" s="9">
        <v>34163.65</v>
      </c>
      <c r="H13404" s="8">
        <v>1509</v>
      </c>
    </row>
    <row r="13405" spans="2:8" x14ac:dyDescent="0.4">
      <c r="B13405" t="s">
        <v>7</v>
      </c>
      <c r="C13405" t="s">
        <v>2103</v>
      </c>
      <c r="D13405" s="7">
        <f>DATE(2004,4,19)</f>
        <v>38096</v>
      </c>
      <c r="E13405" s="8">
        <f t="shared" si="221"/>
        <v>2004</v>
      </c>
      <c r="F13405" t="s">
        <v>2104</v>
      </c>
      <c r="G13405" s="9">
        <v>3309.57</v>
      </c>
      <c r="H13405" s="8">
        <v>1683</v>
      </c>
    </row>
    <row r="13406" spans="2:8" x14ac:dyDescent="0.4">
      <c r="B13406" t="s">
        <v>7</v>
      </c>
      <c r="C13406" t="s">
        <v>2103</v>
      </c>
      <c r="D13406" s="7">
        <f>DATE(2004,4,26)</f>
        <v>38103</v>
      </c>
      <c r="E13406" s="8">
        <f t="shared" si="221"/>
        <v>2004</v>
      </c>
      <c r="F13406" t="s">
        <v>2104</v>
      </c>
      <c r="G13406" s="9">
        <v>5392.19</v>
      </c>
      <c r="H13406" s="8">
        <v>1708</v>
      </c>
    </row>
    <row r="13407" spans="2:8" x14ac:dyDescent="0.4">
      <c r="B13407" t="s">
        <v>7</v>
      </c>
      <c r="C13407" t="s">
        <v>2103</v>
      </c>
      <c r="D13407" s="7">
        <f>DATE(2004,5,18)</f>
        <v>38125</v>
      </c>
      <c r="E13407" s="8">
        <f t="shared" si="221"/>
        <v>2004</v>
      </c>
      <c r="F13407" t="s">
        <v>2104</v>
      </c>
      <c r="G13407" s="9">
        <v>3841.41</v>
      </c>
      <c r="H13407" s="8">
        <v>1790</v>
      </c>
    </row>
    <row r="13408" spans="2:8" x14ac:dyDescent="0.4">
      <c r="B13408" t="s">
        <v>7</v>
      </c>
      <c r="C13408" t="s">
        <v>2103</v>
      </c>
      <c r="D13408" s="7">
        <f>DATE(2004,5,24)</f>
        <v>38131</v>
      </c>
      <c r="E13408" s="8">
        <f t="shared" si="221"/>
        <v>2004</v>
      </c>
      <c r="F13408" t="s">
        <v>2104</v>
      </c>
      <c r="G13408" s="9">
        <v>1735</v>
      </c>
      <c r="H13408" s="8">
        <v>1810</v>
      </c>
    </row>
    <row r="13409" spans="2:8" x14ac:dyDescent="0.4">
      <c r="B13409" t="s">
        <v>7</v>
      </c>
      <c r="C13409" t="s">
        <v>2103</v>
      </c>
      <c r="D13409" s="7">
        <f>DATE(2004,5,4)</f>
        <v>38111</v>
      </c>
      <c r="E13409" s="8">
        <f t="shared" si="221"/>
        <v>2004</v>
      </c>
      <c r="F13409" t="s">
        <v>2104</v>
      </c>
      <c r="G13409" s="9">
        <v>35272.76</v>
      </c>
      <c r="H13409" s="8">
        <v>1637</v>
      </c>
    </row>
    <row r="13410" spans="2:8" x14ac:dyDescent="0.4">
      <c r="B13410" t="s">
        <v>7</v>
      </c>
      <c r="C13410" t="s">
        <v>2103</v>
      </c>
      <c r="D13410" s="7">
        <f>DATE(2004,7,16)</f>
        <v>38184</v>
      </c>
      <c r="E13410" s="8">
        <f t="shared" si="221"/>
        <v>2004</v>
      </c>
      <c r="F13410" t="s">
        <v>2104</v>
      </c>
      <c r="G13410" s="9">
        <v>2535</v>
      </c>
      <c r="H13410" s="8">
        <v>1973</v>
      </c>
    </row>
    <row r="13411" spans="2:8" x14ac:dyDescent="0.4">
      <c r="B13411" t="s">
        <v>7</v>
      </c>
      <c r="C13411" t="s">
        <v>2103</v>
      </c>
      <c r="D13411" s="7">
        <f>DATE(2004,7,29)</f>
        <v>38197</v>
      </c>
      <c r="E13411" s="8">
        <f t="shared" si="221"/>
        <v>2004</v>
      </c>
      <c r="F13411" t="s">
        <v>2104</v>
      </c>
      <c r="G13411" s="9">
        <v>1492.7</v>
      </c>
      <c r="H13411" s="8">
        <v>2016</v>
      </c>
    </row>
    <row r="13412" spans="2:8" x14ac:dyDescent="0.4">
      <c r="B13412" t="s">
        <v>7</v>
      </c>
      <c r="C13412" t="s">
        <v>2103</v>
      </c>
      <c r="D13412" s="7">
        <f>DATE(2004,9,5)</f>
        <v>38235</v>
      </c>
      <c r="E13412" s="8">
        <f t="shared" si="221"/>
        <v>2004</v>
      </c>
      <c r="F13412" t="s">
        <v>2104</v>
      </c>
      <c r="G13412" s="9">
        <v>1962</v>
      </c>
      <c r="H13412" s="8">
        <v>2142</v>
      </c>
    </row>
    <row r="13413" spans="2:8" x14ac:dyDescent="0.4">
      <c r="B13413" t="s">
        <v>7</v>
      </c>
      <c r="C13413" t="s">
        <v>2103</v>
      </c>
      <c r="D13413" s="7">
        <f>DATE(2004,10,12)</f>
        <v>38272</v>
      </c>
      <c r="E13413" s="8">
        <f t="shared" si="221"/>
        <v>2004</v>
      </c>
      <c r="F13413" t="s">
        <v>2104</v>
      </c>
      <c r="G13413" s="9">
        <v>2245.25</v>
      </c>
      <c r="H13413" s="8">
        <v>2286</v>
      </c>
    </row>
    <row r="13414" spans="2:8" x14ac:dyDescent="0.4">
      <c r="B13414" t="s">
        <v>7</v>
      </c>
      <c r="C13414" t="s">
        <v>2103</v>
      </c>
      <c r="D13414" s="7">
        <f>DATE(2004,12,16)</f>
        <v>38337</v>
      </c>
      <c r="E13414" s="8">
        <f t="shared" si="221"/>
        <v>2004</v>
      </c>
      <c r="F13414" t="s">
        <v>2104</v>
      </c>
      <c r="G13414" s="9">
        <v>2032.51</v>
      </c>
      <c r="H13414" s="8">
        <v>2456</v>
      </c>
    </row>
    <row r="13415" spans="2:8" x14ac:dyDescent="0.4">
      <c r="B13415" t="s">
        <v>7</v>
      </c>
      <c r="C13415" t="s">
        <v>2103</v>
      </c>
      <c r="D13415" s="7">
        <f>DATE(2005,3,18)</f>
        <v>38429</v>
      </c>
      <c r="E13415" s="8">
        <f t="shared" si="221"/>
        <v>2005</v>
      </c>
      <c r="F13415" t="s">
        <v>2104</v>
      </c>
      <c r="G13415" s="9">
        <v>2082.27</v>
      </c>
      <c r="H13415" s="8">
        <v>2959</v>
      </c>
    </row>
    <row r="13416" spans="2:8" x14ac:dyDescent="0.4">
      <c r="B13416" t="s">
        <v>7</v>
      </c>
      <c r="C13416" t="s">
        <v>2103</v>
      </c>
      <c r="D13416" s="7">
        <f>DATE(2005,4,18)</f>
        <v>38460</v>
      </c>
      <c r="E13416" s="8">
        <f t="shared" si="221"/>
        <v>2005</v>
      </c>
      <c r="F13416" t="s">
        <v>2104</v>
      </c>
      <c r="G13416" s="9">
        <v>38678.97</v>
      </c>
      <c r="H13416" s="8">
        <v>2596</v>
      </c>
    </row>
    <row r="13417" spans="2:8" x14ac:dyDescent="0.4">
      <c r="B13417" t="s">
        <v>7</v>
      </c>
      <c r="C13417" t="s">
        <v>2103</v>
      </c>
      <c r="D13417" s="7">
        <f>DATE(2005,4,18)</f>
        <v>38460</v>
      </c>
      <c r="E13417" s="8">
        <f t="shared" si="221"/>
        <v>2005</v>
      </c>
      <c r="F13417" t="s">
        <v>2104</v>
      </c>
      <c r="G13417" s="9">
        <v>2812.87</v>
      </c>
      <c r="H13417" s="8">
        <v>3088</v>
      </c>
    </row>
    <row r="13418" spans="2:8" x14ac:dyDescent="0.4">
      <c r="B13418" t="s">
        <v>7</v>
      </c>
      <c r="C13418" t="s">
        <v>2103</v>
      </c>
      <c r="D13418" s="7">
        <f>DATE(2005,4,23)</f>
        <v>38465</v>
      </c>
      <c r="E13418" s="8">
        <f t="shared" si="221"/>
        <v>2005</v>
      </c>
      <c r="F13418" t="s">
        <v>2104</v>
      </c>
      <c r="G13418" s="9">
        <v>46933.69</v>
      </c>
      <c r="H13418" s="8">
        <v>2597</v>
      </c>
    </row>
    <row r="13419" spans="2:8" x14ac:dyDescent="0.4">
      <c r="B13419" t="s">
        <v>7</v>
      </c>
      <c r="C13419" t="s">
        <v>2103</v>
      </c>
      <c r="D13419" s="7">
        <f>DATE(2005,5,18)</f>
        <v>38490</v>
      </c>
      <c r="E13419" s="8">
        <f t="shared" si="221"/>
        <v>2005</v>
      </c>
      <c r="F13419" t="s">
        <v>2104</v>
      </c>
      <c r="G13419" s="9">
        <v>34168.81</v>
      </c>
      <c r="H13419" s="8">
        <v>2598</v>
      </c>
    </row>
    <row r="13420" spans="2:8" x14ac:dyDescent="0.4">
      <c r="B13420" t="s">
        <v>7</v>
      </c>
      <c r="C13420" t="s">
        <v>2103</v>
      </c>
      <c r="D13420" s="7">
        <f>DATE(2005,8,24)</f>
        <v>38588</v>
      </c>
      <c r="E13420" s="8">
        <f t="shared" si="221"/>
        <v>2005</v>
      </c>
      <c r="F13420" t="s">
        <v>2104</v>
      </c>
      <c r="G13420" s="9">
        <v>2081.11</v>
      </c>
      <c r="H13420" s="8">
        <v>3514</v>
      </c>
    </row>
    <row r="13421" spans="2:8" x14ac:dyDescent="0.4">
      <c r="B13421" t="s">
        <v>7</v>
      </c>
      <c r="C13421" t="s">
        <v>2103</v>
      </c>
      <c r="D13421" s="7">
        <f>DATE(2005,10,1)</f>
        <v>38626</v>
      </c>
      <c r="E13421" s="8">
        <f t="shared" si="221"/>
        <v>2005</v>
      </c>
      <c r="F13421" t="s">
        <v>2104</v>
      </c>
      <c r="G13421" s="9">
        <v>1601.5</v>
      </c>
      <c r="H13421" s="8">
        <v>3643</v>
      </c>
    </row>
    <row r="13422" spans="2:8" x14ac:dyDescent="0.4">
      <c r="B13422" t="s">
        <v>7</v>
      </c>
      <c r="C13422" t="s">
        <v>2103</v>
      </c>
      <c r="D13422" s="7">
        <f>DATE(2005,10,24)</f>
        <v>38649</v>
      </c>
      <c r="E13422" s="8">
        <f t="shared" si="221"/>
        <v>2005</v>
      </c>
      <c r="F13422" t="s">
        <v>2104</v>
      </c>
      <c r="G13422" s="9">
        <v>1478</v>
      </c>
      <c r="H13422" s="8">
        <v>3701</v>
      </c>
    </row>
    <row r="13423" spans="2:8" x14ac:dyDescent="0.4">
      <c r="B13423" t="s">
        <v>7</v>
      </c>
      <c r="C13423" t="s">
        <v>2103</v>
      </c>
      <c r="D13423" s="7">
        <f>DATE(2005,11,27)</f>
        <v>38683</v>
      </c>
      <c r="E13423" s="8">
        <f t="shared" si="221"/>
        <v>2005</v>
      </c>
      <c r="F13423" t="s">
        <v>2104</v>
      </c>
      <c r="G13423" s="9">
        <v>1520.25</v>
      </c>
      <c r="H13423" s="8">
        <v>3794</v>
      </c>
    </row>
    <row r="13424" spans="2:8" x14ac:dyDescent="0.4">
      <c r="B13424" t="s">
        <v>7</v>
      </c>
      <c r="C13424" t="s">
        <v>2103</v>
      </c>
      <c r="D13424" s="7">
        <f>DATE(2005,12,16)</f>
        <v>38702</v>
      </c>
      <c r="E13424" s="8">
        <f t="shared" si="221"/>
        <v>2005</v>
      </c>
      <c r="F13424" t="s">
        <v>2104</v>
      </c>
      <c r="G13424" s="9">
        <v>1781.89</v>
      </c>
      <c r="H13424" s="8">
        <v>3857</v>
      </c>
    </row>
    <row r="13425" spans="2:8" x14ac:dyDescent="0.4">
      <c r="B13425" t="s">
        <v>7</v>
      </c>
      <c r="C13425" t="s">
        <v>2103</v>
      </c>
      <c r="D13425" s="7">
        <f>DATE(2006,3,16)</f>
        <v>38792</v>
      </c>
      <c r="E13425" s="8">
        <f t="shared" si="221"/>
        <v>2006</v>
      </c>
      <c r="F13425" t="s">
        <v>2104</v>
      </c>
      <c r="G13425" s="9">
        <v>3180.88</v>
      </c>
      <c r="H13425" s="8">
        <v>4336</v>
      </c>
    </row>
    <row r="13426" spans="2:8" x14ac:dyDescent="0.4">
      <c r="B13426" t="s">
        <v>7</v>
      </c>
      <c r="C13426" t="s">
        <v>2103</v>
      </c>
      <c r="D13426" s="7">
        <f>DATE(2006,12,5)</f>
        <v>39056</v>
      </c>
      <c r="E13426" s="8">
        <f t="shared" si="221"/>
        <v>2006</v>
      </c>
      <c r="F13426" t="s">
        <v>2104</v>
      </c>
      <c r="G13426" s="9">
        <v>2163</v>
      </c>
      <c r="H13426" s="8">
        <v>5244</v>
      </c>
    </row>
    <row r="13427" spans="2:8" x14ac:dyDescent="0.4">
      <c r="B13427" t="s">
        <v>7</v>
      </c>
      <c r="C13427" t="s">
        <v>2103</v>
      </c>
      <c r="D13427" s="7">
        <f>DATE(2007,1,18)</f>
        <v>39100</v>
      </c>
      <c r="E13427" s="8">
        <f t="shared" si="221"/>
        <v>2007</v>
      </c>
      <c r="F13427" t="s">
        <v>2104</v>
      </c>
      <c r="G13427" s="9">
        <v>1484.08</v>
      </c>
      <c r="H13427" s="8">
        <v>5385</v>
      </c>
    </row>
    <row r="13428" spans="2:8" x14ac:dyDescent="0.4">
      <c r="B13428" t="s">
        <v>7</v>
      </c>
      <c r="C13428" t="s">
        <v>2103</v>
      </c>
      <c r="D13428" s="7">
        <f>DATE(2007,1,28)</f>
        <v>39110</v>
      </c>
      <c r="E13428" s="8">
        <f t="shared" si="221"/>
        <v>2007</v>
      </c>
      <c r="F13428" t="s">
        <v>2104</v>
      </c>
      <c r="G13428" s="9">
        <v>2295.48</v>
      </c>
      <c r="H13428" s="8">
        <v>5468</v>
      </c>
    </row>
    <row r="13429" spans="2:8" x14ac:dyDescent="0.4">
      <c r="B13429" t="s">
        <v>7</v>
      </c>
      <c r="C13429" t="s">
        <v>2103</v>
      </c>
      <c r="D13429" s="7">
        <f>DATE(2007,3,8)</f>
        <v>39149</v>
      </c>
      <c r="E13429" s="8">
        <f t="shared" si="221"/>
        <v>2007</v>
      </c>
      <c r="F13429" t="s">
        <v>2104</v>
      </c>
      <c r="G13429" s="9">
        <v>2707.42</v>
      </c>
      <c r="H13429" s="8">
        <v>5684</v>
      </c>
    </row>
    <row r="13430" spans="2:8" x14ac:dyDescent="0.4">
      <c r="B13430" t="s">
        <v>7</v>
      </c>
      <c r="C13430" t="s">
        <v>2103</v>
      </c>
      <c r="D13430" s="7">
        <f>DATE(2007,10,6)</f>
        <v>39361</v>
      </c>
      <c r="E13430" s="8">
        <f t="shared" si="221"/>
        <v>2007</v>
      </c>
      <c r="F13430" t="s">
        <v>2104</v>
      </c>
      <c r="G13430" s="9">
        <v>3730.66</v>
      </c>
      <c r="H13430" s="8">
        <v>6467</v>
      </c>
    </row>
    <row r="13431" spans="2:8" x14ac:dyDescent="0.4">
      <c r="B13431" t="s">
        <v>7</v>
      </c>
      <c r="C13431" t="s">
        <v>2103</v>
      </c>
      <c r="D13431" s="7">
        <f>DATE(2007,11,1)</f>
        <v>39387</v>
      </c>
      <c r="E13431" s="8">
        <f t="shared" si="221"/>
        <v>2007</v>
      </c>
      <c r="F13431" t="s">
        <v>2104</v>
      </c>
      <c r="G13431" s="9">
        <v>2260.4299999999998</v>
      </c>
      <c r="H13431" s="8">
        <v>6557</v>
      </c>
    </row>
    <row r="13432" spans="2:8" x14ac:dyDescent="0.4">
      <c r="B13432" t="s">
        <v>7</v>
      </c>
      <c r="C13432" t="s">
        <v>2103</v>
      </c>
      <c r="D13432" s="7">
        <f>DATE(2008,1,7)</f>
        <v>39454</v>
      </c>
      <c r="E13432" s="8">
        <f t="shared" si="221"/>
        <v>2008</v>
      </c>
      <c r="F13432" t="s">
        <v>2104</v>
      </c>
      <c r="G13432" s="9">
        <v>1605.61</v>
      </c>
      <c r="H13432" s="8">
        <v>6756</v>
      </c>
    </row>
    <row r="13433" spans="2:8" x14ac:dyDescent="0.4">
      <c r="B13433" t="s">
        <v>7</v>
      </c>
      <c r="C13433" t="s">
        <v>2103</v>
      </c>
      <c r="D13433" s="7">
        <f>DATE(2008,2,13)</f>
        <v>39491</v>
      </c>
      <c r="E13433" s="8">
        <f t="shared" si="221"/>
        <v>2008</v>
      </c>
      <c r="F13433" t="s">
        <v>2104</v>
      </c>
      <c r="G13433" s="9">
        <v>1878.12</v>
      </c>
      <c r="H13433" s="8">
        <v>7021</v>
      </c>
    </row>
    <row r="13434" spans="2:8" x14ac:dyDescent="0.4">
      <c r="B13434" t="s">
        <v>7</v>
      </c>
      <c r="C13434" t="s">
        <v>2103</v>
      </c>
      <c r="D13434" s="7">
        <f>DATE(2008,3,4)</f>
        <v>39511</v>
      </c>
      <c r="E13434" s="8">
        <f t="shared" si="221"/>
        <v>2008</v>
      </c>
      <c r="F13434" t="s">
        <v>2104</v>
      </c>
      <c r="G13434" s="9">
        <v>38940.25</v>
      </c>
      <c r="H13434" s="8">
        <v>7042</v>
      </c>
    </row>
    <row r="13435" spans="2:8" x14ac:dyDescent="0.4">
      <c r="B13435" t="s">
        <v>7</v>
      </c>
      <c r="C13435" t="s">
        <v>2103</v>
      </c>
      <c r="D13435" s="7">
        <f>DATE(2008,3,6)</f>
        <v>39513</v>
      </c>
      <c r="E13435" s="8">
        <f t="shared" si="221"/>
        <v>2008</v>
      </c>
      <c r="F13435" t="s">
        <v>2104</v>
      </c>
      <c r="G13435" s="9">
        <v>2159.4899999999998</v>
      </c>
      <c r="H13435" s="8">
        <v>7157</v>
      </c>
    </row>
    <row r="13436" spans="2:8" x14ac:dyDescent="0.4">
      <c r="B13436" t="s">
        <v>7</v>
      </c>
      <c r="C13436" t="s">
        <v>2103</v>
      </c>
      <c r="D13436" s="7">
        <f>DATE(2008,3,13)</f>
        <v>39520</v>
      </c>
      <c r="E13436" s="8">
        <f t="shared" si="221"/>
        <v>2008</v>
      </c>
      <c r="F13436" t="s">
        <v>2104</v>
      </c>
      <c r="G13436" s="9">
        <v>5666.29</v>
      </c>
      <c r="H13436" s="8">
        <v>7128</v>
      </c>
    </row>
    <row r="13437" spans="2:8" x14ac:dyDescent="0.4">
      <c r="B13437" t="s">
        <v>7</v>
      </c>
      <c r="C13437" t="s">
        <v>2103</v>
      </c>
      <c r="D13437" s="7">
        <f>DATE(2008,4,4)</f>
        <v>39542</v>
      </c>
      <c r="E13437" s="8">
        <f t="shared" si="221"/>
        <v>2008</v>
      </c>
      <c r="F13437" t="s">
        <v>2104</v>
      </c>
      <c r="G13437" s="9">
        <v>40002.959999999999</v>
      </c>
      <c r="H13437" s="8">
        <v>7044</v>
      </c>
    </row>
    <row r="13438" spans="2:8" x14ac:dyDescent="0.4">
      <c r="B13438" t="s">
        <v>7</v>
      </c>
      <c r="C13438" t="s">
        <v>2103</v>
      </c>
      <c r="D13438" s="7">
        <f>DATE(2008,5,1)</f>
        <v>39569</v>
      </c>
      <c r="E13438" s="8">
        <f t="shared" si="221"/>
        <v>2008</v>
      </c>
      <c r="F13438" t="s">
        <v>2104</v>
      </c>
      <c r="G13438" s="9">
        <v>30709.71</v>
      </c>
      <c r="H13438" s="8">
        <v>7045</v>
      </c>
    </row>
    <row r="13439" spans="2:8" x14ac:dyDescent="0.4">
      <c r="B13439" t="s">
        <v>7</v>
      </c>
      <c r="C13439" t="s">
        <v>2103</v>
      </c>
      <c r="D13439" s="7">
        <f>DATE(2008,5,31)</f>
        <v>39599</v>
      </c>
      <c r="E13439" s="8">
        <f t="shared" si="221"/>
        <v>2008</v>
      </c>
      <c r="F13439" t="s">
        <v>2104</v>
      </c>
      <c r="G13439" s="9">
        <v>3115.15</v>
      </c>
      <c r="H13439" s="8">
        <v>7472</v>
      </c>
    </row>
    <row r="13440" spans="2:8" x14ac:dyDescent="0.4">
      <c r="B13440" t="s">
        <v>7</v>
      </c>
      <c r="C13440" t="s">
        <v>2103</v>
      </c>
      <c r="D13440" s="7">
        <f>DATE(2008,7,5)</f>
        <v>39634</v>
      </c>
      <c r="E13440" s="8">
        <f t="shared" si="221"/>
        <v>2008</v>
      </c>
      <c r="F13440" t="s">
        <v>2104</v>
      </c>
      <c r="G13440" s="9">
        <v>40215.56</v>
      </c>
      <c r="H13440" s="8">
        <v>7569</v>
      </c>
    </row>
    <row r="13441" spans="2:8" x14ac:dyDescent="0.4">
      <c r="B13441" t="s">
        <v>7</v>
      </c>
      <c r="C13441" t="s">
        <v>2103</v>
      </c>
      <c r="D13441" s="7">
        <f>DATE(2008,9,30)</f>
        <v>39721</v>
      </c>
      <c r="E13441" s="8">
        <f t="shared" si="221"/>
        <v>2008</v>
      </c>
      <c r="F13441" t="s">
        <v>2104</v>
      </c>
      <c r="G13441" s="9">
        <v>3671.2</v>
      </c>
      <c r="H13441" s="8">
        <v>7876</v>
      </c>
    </row>
    <row r="13442" spans="2:8" x14ac:dyDescent="0.4">
      <c r="B13442" t="s">
        <v>7</v>
      </c>
      <c r="C13442" t="s">
        <v>2103</v>
      </c>
      <c r="D13442" s="7">
        <f>DATE(2008,9,30)</f>
        <v>39721</v>
      </c>
      <c r="E13442" s="8">
        <f t="shared" si="221"/>
        <v>2008</v>
      </c>
      <c r="F13442" t="s">
        <v>2104</v>
      </c>
      <c r="G13442" s="9">
        <v>3469.6</v>
      </c>
      <c r="H13442" s="8">
        <v>7933</v>
      </c>
    </row>
    <row r="13443" spans="2:8" x14ac:dyDescent="0.4">
      <c r="B13443" t="s">
        <v>7</v>
      </c>
      <c r="C13443" t="s">
        <v>2103</v>
      </c>
      <c r="D13443" s="7">
        <f>DATE(2008,10,10)</f>
        <v>39731</v>
      </c>
      <c r="E13443" s="8">
        <f t="shared" ref="E13443:E13506" si="222">YEAR(D13443)</f>
        <v>2008</v>
      </c>
      <c r="F13443" t="s">
        <v>2104</v>
      </c>
      <c r="G13443" s="9">
        <v>4861.24</v>
      </c>
      <c r="H13443" s="8">
        <v>7928</v>
      </c>
    </row>
    <row r="13444" spans="2:8" x14ac:dyDescent="0.4">
      <c r="B13444" t="s">
        <v>7</v>
      </c>
      <c r="C13444" t="s">
        <v>2103</v>
      </c>
      <c r="D13444" s="7">
        <f>DATE(2008,12,23)</f>
        <v>39805</v>
      </c>
      <c r="E13444" s="8">
        <f t="shared" si="222"/>
        <v>2008</v>
      </c>
      <c r="F13444" t="s">
        <v>2104</v>
      </c>
      <c r="G13444" s="9">
        <v>2127.16</v>
      </c>
      <c r="H13444" s="8">
        <v>8136</v>
      </c>
    </row>
    <row r="13445" spans="2:8" x14ac:dyDescent="0.4">
      <c r="B13445" t="s">
        <v>7</v>
      </c>
      <c r="C13445" t="s">
        <v>2103</v>
      </c>
      <c r="D13445" s="7">
        <f>DATE(2009,2,20)</f>
        <v>39864</v>
      </c>
      <c r="E13445" s="8">
        <f t="shared" si="222"/>
        <v>2009</v>
      </c>
      <c r="F13445" t="s">
        <v>2104</v>
      </c>
      <c r="G13445" s="9">
        <v>2520.1799999999998</v>
      </c>
      <c r="H13445" s="8">
        <v>8336</v>
      </c>
    </row>
    <row r="13446" spans="2:8" x14ac:dyDescent="0.4">
      <c r="B13446" t="s">
        <v>7</v>
      </c>
      <c r="C13446" t="s">
        <v>2103</v>
      </c>
      <c r="D13446" s="7">
        <f>DATE(2009,2,26)</f>
        <v>39870</v>
      </c>
      <c r="E13446" s="8">
        <f t="shared" si="222"/>
        <v>2009</v>
      </c>
      <c r="F13446" t="s">
        <v>2104</v>
      </c>
      <c r="G13446" s="9">
        <v>2139.9699999999998</v>
      </c>
      <c r="H13446" s="8">
        <v>8396</v>
      </c>
    </row>
    <row r="13447" spans="2:8" x14ac:dyDescent="0.4">
      <c r="B13447" t="s">
        <v>7</v>
      </c>
      <c r="C13447" t="s">
        <v>2103</v>
      </c>
      <c r="D13447" s="7">
        <f>DATE(2009,3,3)</f>
        <v>39875</v>
      </c>
      <c r="E13447" s="8">
        <f t="shared" si="222"/>
        <v>2009</v>
      </c>
      <c r="F13447" t="s">
        <v>2104</v>
      </c>
      <c r="G13447" s="9">
        <v>39859.019999999997</v>
      </c>
      <c r="H13447" s="8">
        <v>8364</v>
      </c>
    </row>
    <row r="13448" spans="2:8" x14ac:dyDescent="0.4">
      <c r="B13448" t="s">
        <v>7</v>
      </c>
      <c r="C13448" t="s">
        <v>2103</v>
      </c>
      <c r="D13448" s="7">
        <f>DATE(2009,3,6)</f>
        <v>39878</v>
      </c>
      <c r="E13448" s="8">
        <f t="shared" si="222"/>
        <v>2009</v>
      </c>
      <c r="F13448" t="s">
        <v>2104</v>
      </c>
      <c r="G13448" s="9">
        <v>2560.52</v>
      </c>
      <c r="H13448" s="8">
        <v>8434</v>
      </c>
    </row>
    <row r="13449" spans="2:8" x14ac:dyDescent="0.4">
      <c r="B13449" t="s">
        <v>7</v>
      </c>
      <c r="C13449" t="s">
        <v>2103</v>
      </c>
      <c r="D13449" s="7">
        <f>DATE(2009,3,18)</f>
        <v>39890</v>
      </c>
      <c r="E13449" s="8">
        <f t="shared" si="222"/>
        <v>2009</v>
      </c>
      <c r="F13449" t="s">
        <v>2104</v>
      </c>
      <c r="G13449" s="9">
        <v>39065.49</v>
      </c>
      <c r="H13449" s="8">
        <v>8411</v>
      </c>
    </row>
    <row r="13450" spans="2:8" x14ac:dyDescent="0.4">
      <c r="B13450" t="s">
        <v>7</v>
      </c>
      <c r="C13450" t="s">
        <v>2103</v>
      </c>
      <c r="D13450" s="7">
        <f>DATE(2009,3,19)</f>
        <v>39891</v>
      </c>
      <c r="E13450" s="8">
        <f t="shared" si="222"/>
        <v>2009</v>
      </c>
      <c r="F13450" t="s">
        <v>2104</v>
      </c>
      <c r="G13450" s="9">
        <v>2256.06</v>
      </c>
      <c r="H13450" s="8">
        <v>8476</v>
      </c>
    </row>
    <row r="13451" spans="2:8" x14ac:dyDescent="0.4">
      <c r="B13451" t="s">
        <v>7</v>
      </c>
      <c r="C13451" t="s">
        <v>2103</v>
      </c>
      <c r="D13451" s="7">
        <f>DATE(2009,3,31)</f>
        <v>39903</v>
      </c>
      <c r="E13451" s="8">
        <f t="shared" si="222"/>
        <v>2009</v>
      </c>
      <c r="F13451" t="s">
        <v>2104</v>
      </c>
      <c r="G13451" s="9">
        <v>7849.36</v>
      </c>
      <c r="H13451" s="8">
        <v>8542</v>
      </c>
    </row>
    <row r="13452" spans="2:8" x14ac:dyDescent="0.4">
      <c r="B13452" t="s">
        <v>7</v>
      </c>
      <c r="C13452" t="s">
        <v>2103</v>
      </c>
      <c r="D13452" s="7">
        <f>DATE(2009,4,2)</f>
        <v>39905</v>
      </c>
      <c r="E13452" s="8">
        <f t="shared" si="222"/>
        <v>2009</v>
      </c>
      <c r="F13452" t="s">
        <v>2104</v>
      </c>
      <c r="G13452" s="9">
        <v>10257</v>
      </c>
      <c r="H13452" s="8">
        <v>8551</v>
      </c>
    </row>
    <row r="13453" spans="2:8" x14ac:dyDescent="0.4">
      <c r="B13453" t="s">
        <v>7</v>
      </c>
      <c r="C13453" t="s">
        <v>2103</v>
      </c>
      <c r="D13453" s="7">
        <f>DATE(2009,4,2)</f>
        <v>39905</v>
      </c>
      <c r="E13453" s="8">
        <f t="shared" si="222"/>
        <v>2009</v>
      </c>
      <c r="F13453" t="s">
        <v>2104</v>
      </c>
      <c r="G13453" s="9">
        <v>1314.12</v>
      </c>
      <c r="H13453" s="8">
        <v>8544</v>
      </c>
    </row>
    <row r="13454" spans="2:8" x14ac:dyDescent="0.4">
      <c r="B13454" t="s">
        <v>7</v>
      </c>
      <c r="C13454" t="s">
        <v>2103</v>
      </c>
      <c r="D13454" s="7">
        <f>DATE(2009,6,3)</f>
        <v>39967</v>
      </c>
      <c r="E13454" s="8">
        <f t="shared" si="222"/>
        <v>2009</v>
      </c>
      <c r="F13454" t="s">
        <v>2104</v>
      </c>
      <c r="G13454" s="9">
        <v>18188</v>
      </c>
      <c r="H13454" s="8">
        <v>8763</v>
      </c>
    </row>
    <row r="13455" spans="2:8" x14ac:dyDescent="0.4">
      <c r="B13455" t="s">
        <v>7</v>
      </c>
      <c r="C13455" t="s">
        <v>2103</v>
      </c>
      <c r="D13455" s="7">
        <f>DATE(2009,10,2)</f>
        <v>40088</v>
      </c>
      <c r="E13455" s="8">
        <f t="shared" si="222"/>
        <v>2009</v>
      </c>
      <c r="F13455" t="s">
        <v>2104</v>
      </c>
      <c r="G13455" s="9">
        <v>3300.41</v>
      </c>
      <c r="H13455" s="8">
        <v>9099</v>
      </c>
    </row>
    <row r="13456" spans="2:8" x14ac:dyDescent="0.4">
      <c r="B13456" t="s">
        <v>7</v>
      </c>
      <c r="C13456" t="s">
        <v>2103</v>
      </c>
      <c r="D13456" s="7">
        <f>DATE(2009,12,10)</f>
        <v>40157</v>
      </c>
      <c r="E13456" s="8">
        <f t="shared" si="222"/>
        <v>2009</v>
      </c>
      <c r="F13456" t="s">
        <v>2104</v>
      </c>
      <c r="G13456" s="9">
        <v>6851.85</v>
      </c>
      <c r="H13456" s="8">
        <v>9285</v>
      </c>
    </row>
    <row r="13457" spans="2:8" x14ac:dyDescent="0.4">
      <c r="B13457" t="s">
        <v>7</v>
      </c>
      <c r="C13457" t="s">
        <v>2103</v>
      </c>
      <c r="D13457" s="7">
        <f>DATE(2010,3,30)</f>
        <v>40267</v>
      </c>
      <c r="E13457" s="8">
        <f t="shared" si="222"/>
        <v>2010</v>
      </c>
      <c r="F13457" t="s">
        <v>2104</v>
      </c>
      <c r="G13457" s="9">
        <v>46909.47</v>
      </c>
      <c r="H13457" s="8">
        <v>9463</v>
      </c>
    </row>
    <row r="13458" spans="2:8" x14ac:dyDescent="0.4">
      <c r="B13458" t="s">
        <v>7</v>
      </c>
      <c r="C13458" t="s">
        <v>2103</v>
      </c>
      <c r="D13458" s="7">
        <f>DATE(2010,5,26)</f>
        <v>40324</v>
      </c>
      <c r="E13458" s="8">
        <f t="shared" si="222"/>
        <v>2010</v>
      </c>
      <c r="F13458" t="s">
        <v>2104</v>
      </c>
      <c r="G13458" s="9">
        <v>40685.360000000001</v>
      </c>
      <c r="H13458" s="8">
        <v>9465</v>
      </c>
    </row>
    <row r="13459" spans="2:8" x14ac:dyDescent="0.4">
      <c r="B13459" t="s">
        <v>7</v>
      </c>
      <c r="C13459" t="s">
        <v>2103</v>
      </c>
      <c r="D13459" s="7">
        <f>DATE(2010,6,15)</f>
        <v>40344</v>
      </c>
      <c r="E13459" s="8">
        <f t="shared" si="222"/>
        <v>2010</v>
      </c>
      <c r="F13459" t="s">
        <v>2104</v>
      </c>
      <c r="G13459" s="9">
        <v>39748.300000000003</v>
      </c>
      <c r="H13459" s="8">
        <v>9464</v>
      </c>
    </row>
    <row r="13460" spans="2:8" x14ac:dyDescent="0.4">
      <c r="B13460" t="s">
        <v>7</v>
      </c>
      <c r="C13460" t="s">
        <v>2103</v>
      </c>
      <c r="D13460" s="7">
        <f>DATE(2011,3,2)</f>
        <v>40604</v>
      </c>
      <c r="E13460" s="8">
        <f t="shared" si="222"/>
        <v>2011</v>
      </c>
      <c r="F13460" t="s">
        <v>2104</v>
      </c>
      <c r="G13460" s="9">
        <v>9471.86</v>
      </c>
      <c r="H13460" s="8">
        <v>10557</v>
      </c>
    </row>
    <row r="13461" spans="2:8" x14ac:dyDescent="0.4">
      <c r="B13461" t="s">
        <v>7</v>
      </c>
      <c r="C13461" t="s">
        <v>2103</v>
      </c>
      <c r="D13461" s="7">
        <f>DATE(2011,3,2)</f>
        <v>40604</v>
      </c>
      <c r="E13461" s="8">
        <f t="shared" si="222"/>
        <v>2011</v>
      </c>
      <c r="F13461" t="s">
        <v>2104</v>
      </c>
      <c r="G13461" s="9">
        <v>39495.83</v>
      </c>
      <c r="H13461" s="8">
        <v>10387</v>
      </c>
    </row>
    <row r="13462" spans="2:8" x14ac:dyDescent="0.4">
      <c r="B13462" t="s">
        <v>7</v>
      </c>
      <c r="C13462" t="s">
        <v>2103</v>
      </c>
      <c r="D13462" s="7">
        <f>DATE(2011,3,6)</f>
        <v>40608</v>
      </c>
      <c r="E13462" s="8">
        <f t="shared" si="222"/>
        <v>2011</v>
      </c>
      <c r="F13462" t="s">
        <v>2104</v>
      </c>
      <c r="G13462" s="9">
        <v>30420</v>
      </c>
      <c r="H13462" s="8">
        <v>10388</v>
      </c>
    </row>
    <row r="13463" spans="2:8" x14ac:dyDescent="0.4">
      <c r="B13463" t="s">
        <v>7</v>
      </c>
      <c r="C13463" t="s">
        <v>2103</v>
      </c>
      <c r="D13463" s="7">
        <f>DATE(2011,4,21)</f>
        <v>40654</v>
      </c>
      <c r="E13463" s="8">
        <f t="shared" si="222"/>
        <v>2011</v>
      </c>
      <c r="F13463" t="s">
        <v>2104</v>
      </c>
      <c r="G13463" s="9">
        <v>3205.75</v>
      </c>
      <c r="H13463" s="8">
        <v>10689</v>
      </c>
    </row>
    <row r="13464" spans="2:8" x14ac:dyDescent="0.4">
      <c r="B13464" t="s">
        <v>7</v>
      </c>
      <c r="C13464" t="s">
        <v>2103</v>
      </c>
      <c r="D13464" s="7">
        <f>DATE(2011,11,14)</f>
        <v>40861</v>
      </c>
      <c r="E13464" s="8">
        <f t="shared" si="222"/>
        <v>2011</v>
      </c>
      <c r="F13464" t="s">
        <v>2104</v>
      </c>
      <c r="G13464" s="9">
        <v>27036</v>
      </c>
      <c r="H13464" s="8">
        <v>11129</v>
      </c>
    </row>
    <row r="13465" spans="2:8" x14ac:dyDescent="0.4">
      <c r="B13465" t="s">
        <v>7</v>
      </c>
      <c r="C13465" t="s">
        <v>2103</v>
      </c>
      <c r="D13465" s="7">
        <f>DATE(2012,4,10)</f>
        <v>41009</v>
      </c>
      <c r="E13465" s="8">
        <f t="shared" si="222"/>
        <v>2012</v>
      </c>
      <c r="F13465" t="s">
        <v>2104</v>
      </c>
      <c r="G13465" s="9">
        <v>12475</v>
      </c>
      <c r="H13465" s="8">
        <v>11535</v>
      </c>
    </row>
    <row r="13466" spans="2:8" x14ac:dyDescent="0.4">
      <c r="B13466" t="s">
        <v>7</v>
      </c>
      <c r="C13466" t="s">
        <v>2103</v>
      </c>
      <c r="D13466" s="7">
        <f>DATE(2012,4,17)</f>
        <v>41016</v>
      </c>
      <c r="E13466" s="8">
        <f t="shared" si="222"/>
        <v>2012</v>
      </c>
      <c r="F13466" t="s">
        <v>2104</v>
      </c>
      <c r="G13466" s="9">
        <v>2125.8200000000002</v>
      </c>
      <c r="H13466" s="8">
        <v>11539</v>
      </c>
    </row>
    <row r="13467" spans="2:8" x14ac:dyDescent="0.4">
      <c r="B13467" t="s">
        <v>7</v>
      </c>
      <c r="C13467" t="s">
        <v>2103</v>
      </c>
      <c r="D13467" s="7">
        <f>DATE(2012,5,3)</f>
        <v>41032</v>
      </c>
      <c r="E13467" s="8">
        <f t="shared" si="222"/>
        <v>2012</v>
      </c>
      <c r="F13467" t="s">
        <v>2104</v>
      </c>
      <c r="G13467" s="9">
        <v>40031.72</v>
      </c>
      <c r="H13467" s="8">
        <v>11493</v>
      </c>
    </row>
    <row r="13468" spans="2:8" x14ac:dyDescent="0.4">
      <c r="B13468" t="s">
        <v>7</v>
      </c>
      <c r="C13468" t="s">
        <v>2103</v>
      </c>
      <c r="D13468" s="7">
        <f>DATE(2012,5,17)</f>
        <v>41046</v>
      </c>
      <c r="E13468" s="8">
        <f t="shared" si="222"/>
        <v>2012</v>
      </c>
      <c r="F13468" t="s">
        <v>2104</v>
      </c>
      <c r="G13468" s="9">
        <v>39310</v>
      </c>
      <c r="H13468" s="8">
        <v>11262</v>
      </c>
    </row>
    <row r="13469" spans="2:8" x14ac:dyDescent="0.4">
      <c r="B13469" t="s">
        <v>7</v>
      </c>
      <c r="C13469" t="s">
        <v>2103</v>
      </c>
      <c r="D13469" s="7">
        <f>DATE(2012,5,31)</f>
        <v>41060</v>
      </c>
      <c r="E13469" s="8">
        <f t="shared" si="222"/>
        <v>2012</v>
      </c>
      <c r="F13469" t="s">
        <v>2104</v>
      </c>
      <c r="G13469" s="9">
        <v>33001.57</v>
      </c>
      <c r="H13469" s="8">
        <v>11613</v>
      </c>
    </row>
    <row r="13470" spans="2:8" x14ac:dyDescent="0.4">
      <c r="B13470" t="s">
        <v>7</v>
      </c>
      <c r="C13470" t="s">
        <v>2103</v>
      </c>
      <c r="D13470" s="7">
        <f>DATE(2013,1,9)</f>
        <v>41283</v>
      </c>
      <c r="E13470" s="8">
        <f t="shared" si="222"/>
        <v>2013</v>
      </c>
      <c r="F13470" t="s">
        <v>2104</v>
      </c>
      <c r="G13470" s="9">
        <v>15409.17</v>
      </c>
      <c r="H13470" s="8">
        <v>12090</v>
      </c>
    </row>
    <row r="13471" spans="2:8" x14ac:dyDescent="0.4">
      <c r="B13471" t="s">
        <v>7</v>
      </c>
      <c r="C13471" t="s">
        <v>2103</v>
      </c>
      <c r="D13471" s="7">
        <f>DATE(2013,2,4)</f>
        <v>41309</v>
      </c>
      <c r="E13471" s="8">
        <f t="shared" si="222"/>
        <v>2013</v>
      </c>
      <c r="F13471" t="s">
        <v>2104</v>
      </c>
      <c r="G13471" s="9">
        <v>5536.07</v>
      </c>
      <c r="H13471" s="8">
        <v>12148</v>
      </c>
    </row>
    <row r="13472" spans="2:8" x14ac:dyDescent="0.4">
      <c r="B13472" t="s">
        <v>7</v>
      </c>
      <c r="C13472" t="s">
        <v>2103</v>
      </c>
      <c r="D13472" s="7">
        <f>DATE(2013,4,25)</f>
        <v>41389</v>
      </c>
      <c r="E13472" s="8">
        <f t="shared" si="222"/>
        <v>2013</v>
      </c>
      <c r="F13472" t="s">
        <v>2104</v>
      </c>
      <c r="G13472" s="9">
        <v>38920</v>
      </c>
      <c r="H13472" s="8">
        <v>12322</v>
      </c>
    </row>
    <row r="13473" spans="2:8" x14ac:dyDescent="0.4">
      <c r="B13473" t="s">
        <v>7</v>
      </c>
      <c r="C13473" t="s">
        <v>2103</v>
      </c>
      <c r="D13473" s="7">
        <f>DATE(2013,4,25)</f>
        <v>41389</v>
      </c>
      <c r="E13473" s="8">
        <f t="shared" si="222"/>
        <v>2013</v>
      </c>
      <c r="F13473" t="s">
        <v>2104</v>
      </c>
      <c r="G13473" s="9">
        <v>6551</v>
      </c>
      <c r="H13473" s="8">
        <v>12434</v>
      </c>
    </row>
    <row r="13474" spans="2:8" x14ac:dyDescent="0.4">
      <c r="B13474" t="s">
        <v>7</v>
      </c>
      <c r="C13474" t="s">
        <v>2103</v>
      </c>
      <c r="D13474" s="7">
        <f>DATE(2013,5,9)</f>
        <v>41403</v>
      </c>
      <c r="E13474" s="8">
        <f t="shared" si="222"/>
        <v>2013</v>
      </c>
      <c r="F13474" t="s">
        <v>2104</v>
      </c>
      <c r="G13474" s="9">
        <v>41256</v>
      </c>
      <c r="H13474" s="8">
        <v>12416</v>
      </c>
    </row>
    <row r="13475" spans="2:8" x14ac:dyDescent="0.4">
      <c r="B13475" t="s">
        <v>7</v>
      </c>
      <c r="C13475" t="s">
        <v>2103</v>
      </c>
      <c r="D13475" s="7">
        <f>DATE(2013,5,23)</f>
        <v>41417</v>
      </c>
      <c r="E13475" s="8">
        <f t="shared" si="222"/>
        <v>2013</v>
      </c>
      <c r="F13475" t="s">
        <v>2104</v>
      </c>
      <c r="G13475" s="9">
        <v>8925</v>
      </c>
      <c r="H13475" s="8">
        <v>12485</v>
      </c>
    </row>
    <row r="13476" spans="2:8" x14ac:dyDescent="0.4">
      <c r="B13476" t="s">
        <v>7</v>
      </c>
      <c r="C13476" t="s">
        <v>2103</v>
      </c>
      <c r="D13476" s="7">
        <f>DATE(2013,5,11)</f>
        <v>41405</v>
      </c>
      <c r="E13476" s="8">
        <f t="shared" si="222"/>
        <v>2013</v>
      </c>
      <c r="F13476" t="s">
        <v>2104</v>
      </c>
      <c r="G13476" s="9">
        <v>37227</v>
      </c>
      <c r="H13476" s="8">
        <v>12323</v>
      </c>
    </row>
    <row r="13477" spans="2:8" x14ac:dyDescent="0.4">
      <c r="B13477" t="s">
        <v>7</v>
      </c>
      <c r="C13477" t="s">
        <v>2103</v>
      </c>
      <c r="D13477" s="7">
        <f>DATE(2013,7,31)</f>
        <v>41486</v>
      </c>
      <c r="E13477" s="8">
        <f t="shared" si="222"/>
        <v>2013</v>
      </c>
      <c r="F13477" t="s">
        <v>2104</v>
      </c>
      <c r="G13477" s="9">
        <v>13693</v>
      </c>
      <c r="H13477" s="8">
        <v>12593</v>
      </c>
    </row>
    <row r="13478" spans="2:8" x14ac:dyDescent="0.4">
      <c r="B13478" t="s">
        <v>7</v>
      </c>
      <c r="C13478" t="s">
        <v>2103</v>
      </c>
      <c r="D13478" s="7">
        <f>DATE(2013,11,6)</f>
        <v>41584</v>
      </c>
      <c r="E13478" s="8">
        <f t="shared" si="222"/>
        <v>2013</v>
      </c>
      <c r="F13478" t="s">
        <v>2104</v>
      </c>
      <c r="G13478" s="9">
        <v>7441</v>
      </c>
      <c r="H13478" s="8">
        <v>12772</v>
      </c>
    </row>
    <row r="13479" spans="2:8" x14ac:dyDescent="0.4">
      <c r="B13479" t="s">
        <v>7</v>
      </c>
      <c r="C13479" t="s">
        <v>2103</v>
      </c>
      <c r="D13479" s="7">
        <f>DATE(2013,11,6)</f>
        <v>41584</v>
      </c>
      <c r="E13479" s="8">
        <f t="shared" si="222"/>
        <v>2013</v>
      </c>
      <c r="F13479" t="s">
        <v>2104</v>
      </c>
      <c r="G13479" s="9">
        <v>40385</v>
      </c>
      <c r="H13479" s="8">
        <v>12765</v>
      </c>
    </row>
    <row r="13480" spans="2:8" x14ac:dyDescent="0.4">
      <c r="B13480" t="s">
        <v>7</v>
      </c>
      <c r="C13480" t="s">
        <v>2103</v>
      </c>
      <c r="D13480" s="7">
        <f>DATE(2014,2,12)</f>
        <v>41682</v>
      </c>
      <c r="E13480" s="8">
        <f t="shared" si="222"/>
        <v>2014</v>
      </c>
      <c r="F13480" t="s">
        <v>2104</v>
      </c>
      <c r="G13480" s="9">
        <v>16311.5</v>
      </c>
      <c r="H13480" s="8">
        <v>12923</v>
      </c>
    </row>
    <row r="13481" spans="2:8" x14ac:dyDescent="0.4">
      <c r="B13481" t="s">
        <v>7</v>
      </c>
      <c r="C13481" t="s">
        <v>2103</v>
      </c>
      <c r="D13481" s="7">
        <f>DATE(2014,4,16)</f>
        <v>41745</v>
      </c>
      <c r="E13481" s="8">
        <f t="shared" si="222"/>
        <v>2014</v>
      </c>
      <c r="F13481" t="s">
        <v>2104</v>
      </c>
      <c r="G13481" s="9">
        <v>51959</v>
      </c>
      <c r="H13481" s="8">
        <v>12988</v>
      </c>
    </row>
    <row r="13482" spans="2:8" x14ac:dyDescent="0.4">
      <c r="B13482" t="s">
        <v>7</v>
      </c>
      <c r="C13482" t="s">
        <v>2103</v>
      </c>
      <c r="D13482" s="7">
        <f>DATE(2014,5,8)</f>
        <v>41767</v>
      </c>
      <c r="E13482" s="8">
        <f t="shared" si="222"/>
        <v>2014</v>
      </c>
      <c r="F13482" t="s">
        <v>2104</v>
      </c>
      <c r="G13482" s="9">
        <v>46152</v>
      </c>
      <c r="H13482" s="8">
        <v>12986</v>
      </c>
    </row>
    <row r="13483" spans="2:8" x14ac:dyDescent="0.4">
      <c r="B13483" t="s">
        <v>7</v>
      </c>
      <c r="C13483" t="s">
        <v>2103</v>
      </c>
      <c r="D13483" s="7">
        <f>DATE(2014,5,27)</f>
        <v>41786</v>
      </c>
      <c r="E13483" s="8">
        <f t="shared" si="222"/>
        <v>2014</v>
      </c>
      <c r="F13483" t="s">
        <v>2104</v>
      </c>
      <c r="G13483" s="9">
        <v>43530</v>
      </c>
      <c r="H13483" s="8">
        <v>12987</v>
      </c>
    </row>
    <row r="13484" spans="2:8" x14ac:dyDescent="0.4">
      <c r="B13484" t="s">
        <v>7</v>
      </c>
      <c r="C13484" t="s">
        <v>2103</v>
      </c>
      <c r="D13484" s="7">
        <f>DATE(2014,7,9)</f>
        <v>41829</v>
      </c>
      <c r="E13484" s="8">
        <f t="shared" si="222"/>
        <v>2014</v>
      </c>
      <c r="F13484" t="s">
        <v>2104</v>
      </c>
      <c r="G13484" s="9">
        <v>59353</v>
      </c>
      <c r="H13484" s="8">
        <v>13320</v>
      </c>
    </row>
    <row r="13485" spans="2:8" x14ac:dyDescent="0.4">
      <c r="B13485" t="s">
        <v>7</v>
      </c>
      <c r="C13485" t="s">
        <v>2103</v>
      </c>
      <c r="D13485" s="7">
        <f>DATE(2010,6,2)</f>
        <v>40331</v>
      </c>
      <c r="E13485" s="8">
        <f t="shared" si="222"/>
        <v>2010</v>
      </c>
      <c r="F13485" t="s">
        <v>2104</v>
      </c>
      <c r="G13485" s="9">
        <v>3950</v>
      </c>
      <c r="H13485" s="8">
        <v>9867</v>
      </c>
    </row>
    <row r="13486" spans="2:8" x14ac:dyDescent="0.4">
      <c r="B13486" t="s">
        <v>7</v>
      </c>
      <c r="C13486" t="s">
        <v>2103</v>
      </c>
      <c r="D13486" s="7">
        <f>DATE(2010,6,23)</f>
        <v>40352</v>
      </c>
      <c r="E13486" s="8">
        <f t="shared" si="222"/>
        <v>2010</v>
      </c>
      <c r="F13486" t="s">
        <v>2104</v>
      </c>
      <c r="G13486" s="9">
        <v>3499.3</v>
      </c>
      <c r="H13486" s="8">
        <v>9934</v>
      </c>
    </row>
    <row r="13487" spans="2:8" x14ac:dyDescent="0.4">
      <c r="B13487" t="s">
        <v>7</v>
      </c>
      <c r="C13487" t="s">
        <v>2103</v>
      </c>
      <c r="D13487" s="7">
        <f>DATE(2010,9,1)</f>
        <v>40422</v>
      </c>
      <c r="E13487" s="8">
        <f t="shared" si="222"/>
        <v>2010</v>
      </c>
      <c r="F13487" t="s">
        <v>2104</v>
      </c>
      <c r="G13487" s="9">
        <v>1994.77</v>
      </c>
      <c r="H13487" s="8">
        <v>10077</v>
      </c>
    </row>
    <row r="13488" spans="2:8" x14ac:dyDescent="0.4">
      <c r="B13488" t="s">
        <v>7</v>
      </c>
      <c r="C13488" t="s">
        <v>2103</v>
      </c>
      <c r="D13488" s="7">
        <f>DATE(2010,11,29)</f>
        <v>40511</v>
      </c>
      <c r="E13488" s="8">
        <f t="shared" si="222"/>
        <v>2010</v>
      </c>
      <c r="F13488" t="s">
        <v>2104</v>
      </c>
      <c r="G13488" s="9">
        <v>5765.78</v>
      </c>
      <c r="H13488" s="8">
        <v>10282</v>
      </c>
    </row>
    <row r="13489" spans="2:8" x14ac:dyDescent="0.4">
      <c r="B13489" t="s">
        <v>7</v>
      </c>
      <c r="C13489" t="s">
        <v>2103</v>
      </c>
      <c r="D13489" s="7">
        <f>DATE(2011,5,4)</f>
        <v>40667</v>
      </c>
      <c r="E13489" s="8">
        <f t="shared" si="222"/>
        <v>2011</v>
      </c>
      <c r="F13489" t="s">
        <v>2104</v>
      </c>
      <c r="G13489" s="9">
        <v>3783.3</v>
      </c>
      <c r="H13489" s="8">
        <v>10707</v>
      </c>
    </row>
    <row r="13490" spans="2:8" x14ac:dyDescent="0.4">
      <c r="B13490" t="s">
        <v>7</v>
      </c>
      <c r="C13490" t="s">
        <v>2103</v>
      </c>
      <c r="D13490" s="7">
        <f>DATE(2011,5,4)</f>
        <v>40667</v>
      </c>
      <c r="E13490" s="8">
        <f t="shared" si="222"/>
        <v>2011</v>
      </c>
      <c r="F13490" t="s">
        <v>2104</v>
      </c>
      <c r="G13490" s="9">
        <v>4578.1099999999997</v>
      </c>
      <c r="H13490" s="8">
        <v>10722</v>
      </c>
    </row>
    <row r="13491" spans="2:8" x14ac:dyDescent="0.4">
      <c r="B13491" t="s">
        <v>7</v>
      </c>
      <c r="C13491" t="s">
        <v>2103</v>
      </c>
      <c r="D13491" s="7">
        <f>DATE(2011,11,14)</f>
        <v>40861</v>
      </c>
      <c r="E13491" s="8">
        <f t="shared" si="222"/>
        <v>2011</v>
      </c>
      <c r="F13491" t="s">
        <v>2104</v>
      </c>
      <c r="G13491" s="9">
        <v>5335.4</v>
      </c>
      <c r="H13491" s="8">
        <v>11110</v>
      </c>
    </row>
    <row r="13492" spans="2:8" x14ac:dyDescent="0.4">
      <c r="B13492" t="s">
        <v>7</v>
      </c>
      <c r="C13492" t="s">
        <v>2103</v>
      </c>
      <c r="D13492" s="7">
        <f>DATE(2011,11,29)</f>
        <v>40876</v>
      </c>
      <c r="E13492" s="8">
        <f t="shared" si="222"/>
        <v>2011</v>
      </c>
      <c r="F13492" t="s">
        <v>2104</v>
      </c>
      <c r="G13492" s="9">
        <v>2146.35</v>
      </c>
      <c r="H13492" s="8">
        <v>11159</v>
      </c>
    </row>
    <row r="13493" spans="2:8" x14ac:dyDescent="0.4">
      <c r="B13493" t="s">
        <v>7</v>
      </c>
      <c r="C13493" t="s">
        <v>2103</v>
      </c>
      <c r="D13493" s="7">
        <f>DATE(2011,12,2)</f>
        <v>40879</v>
      </c>
      <c r="E13493" s="8">
        <f t="shared" si="222"/>
        <v>2011</v>
      </c>
      <c r="F13493" t="s">
        <v>2104</v>
      </c>
      <c r="G13493" s="9">
        <v>5239.6499999999996</v>
      </c>
      <c r="H13493" s="8">
        <v>11176</v>
      </c>
    </row>
    <row r="13494" spans="2:8" x14ac:dyDescent="0.4">
      <c r="B13494" t="s">
        <v>7</v>
      </c>
      <c r="C13494" t="s">
        <v>2103</v>
      </c>
      <c r="D13494" s="7">
        <f>DATE(2012,3,19)</f>
        <v>40987</v>
      </c>
      <c r="E13494" s="8">
        <f t="shared" si="222"/>
        <v>2012</v>
      </c>
      <c r="F13494" t="s">
        <v>2104</v>
      </c>
      <c r="G13494" s="9">
        <v>2653.16</v>
      </c>
      <c r="H13494" s="8">
        <v>11477</v>
      </c>
    </row>
    <row r="13495" spans="2:8" x14ac:dyDescent="0.4">
      <c r="B13495" t="s">
        <v>7</v>
      </c>
      <c r="C13495" t="s">
        <v>2103</v>
      </c>
      <c r="D13495" s="7">
        <f>DATE(2012,6,6)</f>
        <v>41066</v>
      </c>
      <c r="E13495" s="8">
        <f t="shared" si="222"/>
        <v>2012</v>
      </c>
      <c r="F13495" t="s">
        <v>2104</v>
      </c>
      <c r="G13495" s="9">
        <v>1563.9</v>
      </c>
      <c r="H13495" s="8">
        <v>11676</v>
      </c>
    </row>
    <row r="13496" spans="2:8" x14ac:dyDescent="0.4">
      <c r="B13496" t="s">
        <v>7</v>
      </c>
      <c r="C13496" t="s">
        <v>2103</v>
      </c>
      <c r="D13496" s="7">
        <f>DATE(2012,7,19)</f>
        <v>41109</v>
      </c>
      <c r="E13496" s="8">
        <f t="shared" si="222"/>
        <v>2012</v>
      </c>
      <c r="F13496" t="s">
        <v>2104</v>
      </c>
      <c r="G13496" s="9">
        <v>2410.86</v>
      </c>
      <c r="H13496" s="8">
        <v>11737</v>
      </c>
    </row>
    <row r="13497" spans="2:8" x14ac:dyDescent="0.4">
      <c r="B13497" t="s">
        <v>7</v>
      </c>
      <c r="C13497" t="s">
        <v>2103</v>
      </c>
      <c r="D13497" s="7">
        <f>DATE(2013,6,5)</f>
        <v>41430</v>
      </c>
      <c r="E13497" s="8">
        <f t="shared" si="222"/>
        <v>2013</v>
      </c>
      <c r="F13497" t="s">
        <v>2104</v>
      </c>
      <c r="G13497" s="9">
        <v>2789.38</v>
      </c>
      <c r="H13497" s="8">
        <v>12500</v>
      </c>
    </row>
    <row r="13498" spans="2:8" x14ac:dyDescent="0.4">
      <c r="B13498" t="s">
        <v>7</v>
      </c>
      <c r="C13498" t="s">
        <v>2103</v>
      </c>
      <c r="D13498" s="7">
        <f>DATE(2013,6,11)</f>
        <v>41436</v>
      </c>
      <c r="E13498" s="8">
        <f t="shared" si="222"/>
        <v>2013</v>
      </c>
      <c r="F13498" t="s">
        <v>2104</v>
      </c>
      <c r="G13498" s="9">
        <v>2716.33</v>
      </c>
      <c r="H13498" s="8">
        <v>12510</v>
      </c>
    </row>
    <row r="13499" spans="2:8" x14ac:dyDescent="0.4">
      <c r="B13499" t="s">
        <v>7</v>
      </c>
      <c r="C13499" t="s">
        <v>2103</v>
      </c>
      <c r="D13499" s="7">
        <f>DATE(2014,3,12)</f>
        <v>41710</v>
      </c>
      <c r="E13499" s="8">
        <f t="shared" si="222"/>
        <v>2014</v>
      </c>
      <c r="F13499" t="s">
        <v>2104</v>
      </c>
      <c r="G13499" s="9">
        <v>2308.52</v>
      </c>
      <c r="H13499" s="8">
        <v>12908</v>
      </c>
    </row>
    <row r="13500" spans="2:8" x14ac:dyDescent="0.4">
      <c r="B13500" t="s">
        <v>7</v>
      </c>
      <c r="C13500" t="s">
        <v>2103</v>
      </c>
      <c r="D13500" s="7">
        <f>DATE(2014,4,22)</f>
        <v>41751</v>
      </c>
      <c r="E13500" s="8">
        <f t="shared" si="222"/>
        <v>2014</v>
      </c>
      <c r="F13500" t="s">
        <v>2104</v>
      </c>
      <c r="G13500" s="9">
        <v>2633.21</v>
      </c>
      <c r="H13500" s="8">
        <v>13138</v>
      </c>
    </row>
    <row r="13501" spans="2:8" x14ac:dyDescent="0.4">
      <c r="B13501" t="s">
        <v>7</v>
      </c>
      <c r="C13501" t="s">
        <v>2103</v>
      </c>
      <c r="D13501" s="7">
        <f>DATE(2014,7,24)</f>
        <v>41844</v>
      </c>
      <c r="E13501" s="8">
        <f t="shared" si="222"/>
        <v>2014</v>
      </c>
      <c r="F13501" t="s">
        <v>2104</v>
      </c>
      <c r="G13501" s="9">
        <v>4600.29</v>
      </c>
      <c r="H13501" s="8">
        <v>13329</v>
      </c>
    </row>
    <row r="13502" spans="2:8" x14ac:dyDescent="0.4">
      <c r="B13502" t="s">
        <v>7</v>
      </c>
      <c r="C13502" t="s">
        <v>2103</v>
      </c>
      <c r="D13502" s="7">
        <f>DATE(2014,11,7)</f>
        <v>41950</v>
      </c>
      <c r="E13502" s="8">
        <f t="shared" si="222"/>
        <v>2014</v>
      </c>
      <c r="F13502" t="s">
        <v>2104</v>
      </c>
      <c r="G13502" s="9">
        <v>2503.46</v>
      </c>
      <c r="H13502" s="8">
        <v>13562</v>
      </c>
    </row>
    <row r="13503" spans="2:8" x14ac:dyDescent="0.4">
      <c r="B13503" t="s">
        <v>16</v>
      </c>
      <c r="C13503" t="s">
        <v>2103</v>
      </c>
      <c r="D13503" s="7">
        <f>DATE(2011,12,1)</f>
        <v>40878</v>
      </c>
      <c r="E13503" s="8">
        <f t="shared" si="222"/>
        <v>2011</v>
      </c>
      <c r="F13503" t="s">
        <v>2104</v>
      </c>
      <c r="G13503" s="9">
        <v>5335.4</v>
      </c>
      <c r="H13503" s="8">
        <v>11175</v>
      </c>
    </row>
    <row r="13504" spans="2:8" x14ac:dyDescent="0.4">
      <c r="B13504" t="s">
        <v>16</v>
      </c>
      <c r="C13504" t="s">
        <v>2103</v>
      </c>
      <c r="D13504" s="7">
        <f>DATE(2008,9,30)</f>
        <v>39721</v>
      </c>
      <c r="E13504" s="8">
        <f t="shared" si="222"/>
        <v>2008</v>
      </c>
      <c r="F13504" t="s">
        <v>2104</v>
      </c>
      <c r="G13504" s="9">
        <v>3671.2</v>
      </c>
      <c r="H13504" s="8">
        <v>7932</v>
      </c>
    </row>
    <row r="13505" spans="2:8" x14ac:dyDescent="0.4">
      <c r="B13505" s="3" t="s">
        <v>7</v>
      </c>
      <c r="C13505" s="3" t="s">
        <v>2103</v>
      </c>
      <c r="D13505" s="4">
        <f>DATE(2003,6,19)</f>
        <v>37791</v>
      </c>
      <c r="E13505" s="5">
        <f t="shared" si="222"/>
        <v>2003</v>
      </c>
      <c r="F13505" s="3" t="s">
        <v>2104</v>
      </c>
      <c r="G13505" s="6">
        <v>164.3</v>
      </c>
      <c r="H13505" s="5">
        <v>1127</v>
      </c>
    </row>
    <row r="13506" spans="2:8" x14ac:dyDescent="0.4">
      <c r="B13506" s="3" t="s">
        <v>7</v>
      </c>
      <c r="C13506" s="3" t="s">
        <v>2103</v>
      </c>
      <c r="D13506" s="4">
        <f>DATE(2003,12,3)</f>
        <v>37958</v>
      </c>
      <c r="E13506" s="5">
        <f t="shared" si="222"/>
        <v>2003</v>
      </c>
      <c r="F13506" s="3" t="s">
        <v>2104</v>
      </c>
      <c r="G13506" s="6">
        <v>155</v>
      </c>
      <c r="H13506" s="5">
        <v>1856</v>
      </c>
    </row>
    <row r="13507" spans="2:8" x14ac:dyDescent="0.4">
      <c r="B13507" s="3" t="s">
        <v>7</v>
      </c>
      <c r="C13507" s="3" t="s">
        <v>2103</v>
      </c>
      <c r="D13507" s="4">
        <f>DATE(2003,12,3)</f>
        <v>37958</v>
      </c>
      <c r="E13507" s="5">
        <f t="shared" ref="E13507:E13570" si="223">YEAR(D13507)</f>
        <v>2003</v>
      </c>
      <c r="F13507" s="3" t="s">
        <v>2104</v>
      </c>
      <c r="G13507" s="6">
        <v>9.3000000000000007</v>
      </c>
      <c r="H13507" s="5">
        <v>2005</v>
      </c>
    </row>
    <row r="13508" spans="2:8" x14ac:dyDescent="0.4">
      <c r="B13508" s="3" t="s">
        <v>7</v>
      </c>
      <c r="C13508" s="3" t="s">
        <v>2103</v>
      </c>
      <c r="D13508" s="4">
        <f>DATE(2004,1,22)</f>
        <v>38008</v>
      </c>
      <c r="E13508" s="5">
        <f t="shared" si="223"/>
        <v>2004</v>
      </c>
      <c r="F13508" s="3" t="s">
        <v>2104</v>
      </c>
      <c r="G13508" s="6">
        <v>164.3</v>
      </c>
      <c r="H13508" s="5">
        <v>2027</v>
      </c>
    </row>
    <row r="13509" spans="2:8" x14ac:dyDescent="0.4">
      <c r="B13509" s="3" t="s">
        <v>7</v>
      </c>
      <c r="C13509" s="3" t="s">
        <v>2103</v>
      </c>
      <c r="D13509" s="4">
        <f>DATE(2004,6,21)</f>
        <v>38159</v>
      </c>
      <c r="E13509" s="5">
        <f t="shared" si="223"/>
        <v>2004</v>
      </c>
      <c r="F13509" s="3" t="s">
        <v>2104</v>
      </c>
      <c r="G13509" s="6">
        <v>244.86</v>
      </c>
      <c r="H13509" s="5">
        <v>3030</v>
      </c>
    </row>
    <row r="13510" spans="2:8" x14ac:dyDescent="0.4">
      <c r="B13510" s="3" t="s">
        <v>7</v>
      </c>
      <c r="C13510" s="3" t="s">
        <v>2103</v>
      </c>
      <c r="D13510" s="4">
        <f>DATE(2004,9,30)</f>
        <v>38260</v>
      </c>
      <c r="E13510" s="5">
        <f t="shared" si="223"/>
        <v>2004</v>
      </c>
      <c r="F13510" s="3" t="s">
        <v>2104</v>
      </c>
      <c r="G13510" s="6">
        <v>165.36</v>
      </c>
      <c r="H13510" s="5">
        <v>3496</v>
      </c>
    </row>
    <row r="13511" spans="2:8" x14ac:dyDescent="0.4">
      <c r="B13511" s="3" t="s">
        <v>7</v>
      </c>
      <c r="C13511" s="3" t="s">
        <v>2103</v>
      </c>
      <c r="D13511" s="4">
        <f>DATE(2004,10,19)</f>
        <v>38279</v>
      </c>
      <c r="E13511" s="5">
        <f t="shared" si="223"/>
        <v>2004</v>
      </c>
      <c r="F13511" s="3" t="s">
        <v>2104</v>
      </c>
      <c r="G13511" s="6">
        <v>165.36</v>
      </c>
      <c r="H13511" s="5">
        <v>3569</v>
      </c>
    </row>
    <row r="13512" spans="2:8" x14ac:dyDescent="0.4">
      <c r="B13512" s="3" t="s">
        <v>7</v>
      </c>
      <c r="C13512" s="3" t="s">
        <v>2103</v>
      </c>
      <c r="D13512" s="4">
        <f>DATE(2005,1,20)</f>
        <v>38372</v>
      </c>
      <c r="E13512" s="5">
        <f t="shared" si="223"/>
        <v>2005</v>
      </c>
      <c r="F13512" s="3" t="s">
        <v>2104</v>
      </c>
      <c r="G13512" s="6">
        <v>165.36</v>
      </c>
      <c r="H13512" s="5">
        <v>3956</v>
      </c>
    </row>
    <row r="13513" spans="2:8" x14ac:dyDescent="0.4">
      <c r="B13513" s="3" t="s">
        <v>7</v>
      </c>
      <c r="C13513" s="3" t="s">
        <v>2103</v>
      </c>
      <c r="D13513" s="4">
        <f>DATE(2005,8,30)</f>
        <v>38594</v>
      </c>
      <c r="E13513" s="5">
        <f t="shared" si="223"/>
        <v>2005</v>
      </c>
      <c r="F13513" s="3" t="s">
        <v>2104</v>
      </c>
      <c r="G13513" s="6">
        <v>175.96</v>
      </c>
      <c r="H13513" s="5">
        <v>5175</v>
      </c>
    </row>
    <row r="13514" spans="2:8" x14ac:dyDescent="0.4">
      <c r="B13514" s="3" t="s">
        <v>7</v>
      </c>
      <c r="C13514" s="3" t="s">
        <v>2103</v>
      </c>
      <c r="D13514" s="4">
        <f>DATE(2005,9,19)</f>
        <v>38614</v>
      </c>
      <c r="E13514" s="5">
        <f t="shared" si="223"/>
        <v>2005</v>
      </c>
      <c r="F13514" s="3" t="s">
        <v>2104</v>
      </c>
      <c r="G13514" s="6">
        <v>175.96</v>
      </c>
      <c r="H13514" s="5">
        <v>5270</v>
      </c>
    </row>
    <row r="13515" spans="2:8" x14ac:dyDescent="0.4">
      <c r="B13515" s="3" t="s">
        <v>7</v>
      </c>
      <c r="C13515" s="3" t="s">
        <v>2103</v>
      </c>
      <c r="D13515" s="4">
        <f>DATE(2006,2,22)</f>
        <v>38770</v>
      </c>
      <c r="E13515" s="5">
        <f t="shared" si="223"/>
        <v>2006</v>
      </c>
      <c r="F13515" s="3" t="s">
        <v>2104</v>
      </c>
      <c r="G13515" s="6">
        <v>177.02</v>
      </c>
      <c r="H13515" s="5">
        <v>6050</v>
      </c>
    </row>
    <row r="13516" spans="2:8" x14ac:dyDescent="0.4">
      <c r="B13516" s="3" t="s">
        <v>7</v>
      </c>
      <c r="C13516" s="3" t="s">
        <v>2103</v>
      </c>
      <c r="D13516" s="4">
        <f>DATE(2006,5,31)</f>
        <v>38868</v>
      </c>
      <c r="E13516" s="5">
        <f t="shared" si="223"/>
        <v>2006</v>
      </c>
      <c r="F13516" s="3" t="s">
        <v>2104</v>
      </c>
      <c r="G13516" s="6">
        <v>177.02</v>
      </c>
      <c r="H13516" s="5">
        <v>6774</v>
      </c>
    </row>
    <row r="13517" spans="2:8" x14ac:dyDescent="0.4">
      <c r="B13517" s="3" t="s">
        <v>7</v>
      </c>
      <c r="C13517" s="3" t="s">
        <v>2103</v>
      </c>
      <c r="D13517" s="4">
        <f>DATE(2006,9,27)</f>
        <v>38987</v>
      </c>
      <c r="E13517" s="5">
        <f t="shared" si="223"/>
        <v>2006</v>
      </c>
      <c r="F13517" s="3" t="s">
        <v>2104</v>
      </c>
      <c r="G13517" s="6">
        <v>813.02</v>
      </c>
      <c r="H13517" s="5">
        <v>7305</v>
      </c>
    </row>
    <row r="13518" spans="2:8" x14ac:dyDescent="0.4">
      <c r="B13518" s="3" t="s">
        <v>7</v>
      </c>
      <c r="C13518" s="3" t="s">
        <v>2103</v>
      </c>
      <c r="D13518" s="4">
        <f>DATE(2006,10,17)</f>
        <v>39007</v>
      </c>
      <c r="E13518" s="5">
        <f t="shared" si="223"/>
        <v>2006</v>
      </c>
      <c r="F13518" s="3" t="s">
        <v>2104</v>
      </c>
      <c r="G13518" s="6">
        <v>177.02</v>
      </c>
      <c r="H13518" s="5">
        <v>7386</v>
      </c>
    </row>
    <row r="13519" spans="2:8" x14ac:dyDescent="0.4">
      <c r="B13519" s="3" t="s">
        <v>7</v>
      </c>
      <c r="C13519" s="3" t="s">
        <v>2103</v>
      </c>
      <c r="D13519" s="4">
        <f>DATE(2007,6,27)</f>
        <v>39260</v>
      </c>
      <c r="E13519" s="5">
        <f t="shared" si="223"/>
        <v>2007</v>
      </c>
      <c r="F13519" s="3" t="s">
        <v>2104</v>
      </c>
      <c r="G13519" s="6">
        <v>177.02</v>
      </c>
      <c r="H13519" s="5">
        <v>8821</v>
      </c>
    </row>
    <row r="13520" spans="2:8" x14ac:dyDescent="0.4">
      <c r="B13520" s="3" t="s">
        <v>7</v>
      </c>
      <c r="C13520" s="3" t="s">
        <v>2103</v>
      </c>
      <c r="D13520" s="4">
        <f>DATE(2007,7,12)</f>
        <v>39275</v>
      </c>
      <c r="E13520" s="5">
        <f t="shared" si="223"/>
        <v>2007</v>
      </c>
      <c r="F13520" s="3" t="s">
        <v>2104</v>
      </c>
      <c r="G13520" s="6">
        <v>177.02</v>
      </c>
      <c r="H13520" s="5">
        <v>8874</v>
      </c>
    </row>
    <row r="13521" spans="2:8" x14ac:dyDescent="0.4">
      <c r="B13521" s="3" t="s">
        <v>7</v>
      </c>
      <c r="C13521" s="3" t="s">
        <v>2103</v>
      </c>
      <c r="D13521" s="4">
        <f>DATE(2007,9,14)</f>
        <v>39339</v>
      </c>
      <c r="E13521" s="5">
        <f t="shared" si="223"/>
        <v>2007</v>
      </c>
      <c r="F13521" s="3" t="s">
        <v>2104</v>
      </c>
      <c r="G13521" s="6">
        <v>177.02</v>
      </c>
      <c r="H13521" s="5">
        <v>9086</v>
      </c>
    </row>
    <row r="13522" spans="2:8" x14ac:dyDescent="0.4">
      <c r="B13522" s="3" t="s">
        <v>7</v>
      </c>
      <c r="C13522" s="3" t="s">
        <v>2103</v>
      </c>
      <c r="D13522" s="4">
        <f>DATE(2007,9,26)</f>
        <v>39351</v>
      </c>
      <c r="E13522" s="5">
        <f t="shared" si="223"/>
        <v>2007</v>
      </c>
      <c r="F13522" s="3" t="s">
        <v>2104</v>
      </c>
      <c r="G13522" s="6">
        <v>1096.04</v>
      </c>
      <c r="H13522" s="5">
        <v>9219</v>
      </c>
    </row>
    <row r="13523" spans="2:8" x14ac:dyDescent="0.4">
      <c r="B13523" s="3" t="s">
        <v>7</v>
      </c>
      <c r="C13523" s="3" t="s">
        <v>2103</v>
      </c>
      <c r="D13523" s="4">
        <f>DATE(2007,11,8)</f>
        <v>39394</v>
      </c>
      <c r="E13523" s="5">
        <f t="shared" si="223"/>
        <v>2007</v>
      </c>
      <c r="F13523" s="3" t="s">
        <v>2104</v>
      </c>
      <c r="G13523" s="6">
        <v>177.02</v>
      </c>
      <c r="H13523" s="5">
        <v>9447</v>
      </c>
    </row>
    <row r="13524" spans="2:8" x14ac:dyDescent="0.4">
      <c r="B13524" s="3" t="s">
        <v>7</v>
      </c>
      <c r="C13524" s="3" t="s">
        <v>2103</v>
      </c>
      <c r="D13524" s="4">
        <f>DATE(2007,12,27)</f>
        <v>39443</v>
      </c>
      <c r="E13524" s="5">
        <f t="shared" si="223"/>
        <v>2007</v>
      </c>
      <c r="F13524" s="3" t="s">
        <v>2104</v>
      </c>
      <c r="G13524" s="6">
        <v>177.02</v>
      </c>
      <c r="H13524" s="5">
        <v>9625</v>
      </c>
    </row>
    <row r="13525" spans="2:8" x14ac:dyDescent="0.4">
      <c r="B13525" s="3" t="s">
        <v>7</v>
      </c>
      <c r="C13525" s="3" t="s">
        <v>2103</v>
      </c>
      <c r="D13525" s="4">
        <f>DATE(2008,12,15)</f>
        <v>39797</v>
      </c>
      <c r="E13525" s="5">
        <f t="shared" si="223"/>
        <v>2008</v>
      </c>
      <c r="F13525" s="3" t="s">
        <v>2104</v>
      </c>
      <c r="G13525" s="6">
        <v>262.88</v>
      </c>
      <c r="H13525" s="5">
        <v>11679</v>
      </c>
    </row>
    <row r="13526" spans="2:8" x14ac:dyDescent="0.4">
      <c r="B13526" s="3" t="s">
        <v>7</v>
      </c>
      <c r="C13526" s="3" t="s">
        <v>2103</v>
      </c>
      <c r="D13526" s="4">
        <f>DATE(2009,4,23)</f>
        <v>39926</v>
      </c>
      <c r="E13526" s="5">
        <f t="shared" si="223"/>
        <v>2009</v>
      </c>
      <c r="F13526" s="3" t="s">
        <v>2104</v>
      </c>
      <c r="G13526" s="6">
        <v>169.6</v>
      </c>
      <c r="H13526" s="5">
        <v>12421</v>
      </c>
    </row>
    <row r="13527" spans="2:8" x14ac:dyDescent="0.4">
      <c r="B13527" s="3" t="s">
        <v>7</v>
      </c>
      <c r="C13527" s="3" t="s">
        <v>2103</v>
      </c>
      <c r="D13527" s="4">
        <f>DATE(2009,6,24)</f>
        <v>39988</v>
      </c>
      <c r="E13527" s="5">
        <f t="shared" si="223"/>
        <v>2009</v>
      </c>
      <c r="F13527" s="3" t="s">
        <v>2104</v>
      </c>
      <c r="G13527" s="6">
        <v>169.6</v>
      </c>
      <c r="H13527" s="5">
        <v>12405</v>
      </c>
    </row>
    <row r="13528" spans="2:8" x14ac:dyDescent="0.4">
      <c r="B13528" s="3" t="s">
        <v>7</v>
      </c>
      <c r="C13528" s="3" t="s">
        <v>2103</v>
      </c>
      <c r="D13528" s="4">
        <f>DATE(2009,11,20)</f>
        <v>40137</v>
      </c>
      <c r="E13528" s="5">
        <f t="shared" si="223"/>
        <v>2009</v>
      </c>
      <c r="F13528" s="3" t="s">
        <v>2104</v>
      </c>
      <c r="G13528" s="6">
        <v>169.6</v>
      </c>
      <c r="H13528" s="5">
        <v>13274</v>
      </c>
    </row>
    <row r="13529" spans="2:8" x14ac:dyDescent="0.4">
      <c r="B13529" s="3" t="s">
        <v>7</v>
      </c>
      <c r="C13529" s="3" t="s">
        <v>2103</v>
      </c>
      <c r="D13529" s="4">
        <f>DATE(2009,12,10)</f>
        <v>40157</v>
      </c>
      <c r="E13529" s="5">
        <f t="shared" si="223"/>
        <v>2009</v>
      </c>
      <c r="F13529" s="3" t="s">
        <v>2104</v>
      </c>
      <c r="G13529" s="6">
        <v>169.6</v>
      </c>
      <c r="H13529" s="5">
        <v>13348</v>
      </c>
    </row>
    <row r="13530" spans="2:8" x14ac:dyDescent="0.4">
      <c r="B13530" s="3" t="s">
        <v>7</v>
      </c>
      <c r="C13530" s="3" t="s">
        <v>2103</v>
      </c>
      <c r="D13530" s="4">
        <f>DATE(2010,6,4)</f>
        <v>40333</v>
      </c>
      <c r="E13530" s="5">
        <f t="shared" si="223"/>
        <v>2010</v>
      </c>
      <c r="F13530" s="3" t="s">
        <v>2104</v>
      </c>
      <c r="G13530" s="6">
        <v>169.6</v>
      </c>
      <c r="H13530" s="5">
        <v>14123</v>
      </c>
    </row>
    <row r="13531" spans="2:8" x14ac:dyDescent="0.4">
      <c r="B13531" s="3" t="s">
        <v>7</v>
      </c>
      <c r="C13531" s="3" t="s">
        <v>2103</v>
      </c>
      <c r="D13531" s="4">
        <f>DATE(2011,1,14)</f>
        <v>40557</v>
      </c>
      <c r="E13531" s="5">
        <f t="shared" si="223"/>
        <v>2011</v>
      </c>
      <c r="F13531" s="3" t="s">
        <v>2104</v>
      </c>
      <c r="G13531" s="6">
        <v>254.4</v>
      </c>
      <c r="H13531" s="5">
        <v>14886</v>
      </c>
    </row>
    <row r="13532" spans="2:8" x14ac:dyDescent="0.4">
      <c r="B13532" s="3" t="s">
        <v>7</v>
      </c>
      <c r="C13532" s="3" t="s">
        <v>2103</v>
      </c>
      <c r="D13532" s="4">
        <f>DATE(2011,2,28)</f>
        <v>40602</v>
      </c>
      <c r="E13532" s="5">
        <f t="shared" si="223"/>
        <v>2011</v>
      </c>
      <c r="F13532" s="3" t="s">
        <v>2104</v>
      </c>
      <c r="G13532" s="6">
        <v>169.6</v>
      </c>
      <c r="H13532" s="5">
        <v>15127</v>
      </c>
    </row>
    <row r="13533" spans="2:8" x14ac:dyDescent="0.4">
      <c r="B13533" s="3" t="s">
        <v>7</v>
      </c>
      <c r="C13533" s="3" t="s">
        <v>2103</v>
      </c>
      <c r="D13533" s="4">
        <f>DATE(2011,9,27)</f>
        <v>40813</v>
      </c>
      <c r="E13533" s="5">
        <f t="shared" si="223"/>
        <v>2011</v>
      </c>
      <c r="F13533" s="3" t="s">
        <v>2104</v>
      </c>
      <c r="G13533" s="6">
        <v>254.4</v>
      </c>
      <c r="H13533" s="5">
        <v>16043</v>
      </c>
    </row>
    <row r="13534" spans="2:8" x14ac:dyDescent="0.4">
      <c r="B13534" s="3" t="s">
        <v>7</v>
      </c>
      <c r="C13534" s="3" t="s">
        <v>2103</v>
      </c>
      <c r="D13534" s="4">
        <f>DATE(2011,11,14)</f>
        <v>40861</v>
      </c>
      <c r="E13534" s="5">
        <f t="shared" si="223"/>
        <v>2011</v>
      </c>
      <c r="F13534" s="3" t="s">
        <v>2104</v>
      </c>
      <c r="G13534" s="6">
        <v>593.6</v>
      </c>
      <c r="H13534" s="5">
        <v>16186</v>
      </c>
    </row>
    <row r="13535" spans="2:8" x14ac:dyDescent="0.4">
      <c r="B13535" s="3" t="s">
        <v>7</v>
      </c>
      <c r="C13535" s="3" t="s">
        <v>2103</v>
      </c>
      <c r="D13535" s="4">
        <f>DATE(2012,8,2)</f>
        <v>41123</v>
      </c>
      <c r="E13535" s="5">
        <f t="shared" si="223"/>
        <v>2012</v>
      </c>
      <c r="F13535" s="3" t="s">
        <v>2104</v>
      </c>
      <c r="G13535" s="6">
        <v>180.2</v>
      </c>
      <c r="H13535" s="5">
        <v>17424</v>
      </c>
    </row>
    <row r="13536" spans="2:8" x14ac:dyDescent="0.4">
      <c r="B13536" s="3" t="s">
        <v>7</v>
      </c>
      <c r="C13536" s="3" t="s">
        <v>2103</v>
      </c>
      <c r="D13536" s="4">
        <f>DATE(2013,2,13)</f>
        <v>41318</v>
      </c>
      <c r="E13536" s="5">
        <f t="shared" si="223"/>
        <v>2013</v>
      </c>
      <c r="F13536" s="3" t="s">
        <v>2104</v>
      </c>
      <c r="G13536" s="6">
        <v>254.4</v>
      </c>
      <c r="H13536" s="5">
        <v>18139</v>
      </c>
    </row>
    <row r="13537" spans="2:8" x14ac:dyDescent="0.4">
      <c r="B13537" s="3" t="s">
        <v>7</v>
      </c>
      <c r="C13537" s="3" t="s">
        <v>2103</v>
      </c>
      <c r="D13537" s="4">
        <f>DATE(2013,5,29)</f>
        <v>41423</v>
      </c>
      <c r="E13537" s="5">
        <f t="shared" si="223"/>
        <v>2013</v>
      </c>
      <c r="F13537" s="3" t="s">
        <v>2104</v>
      </c>
      <c r="G13537" s="6">
        <v>169.6</v>
      </c>
      <c r="H13537" s="5">
        <v>18623</v>
      </c>
    </row>
    <row r="13538" spans="2:8" x14ac:dyDescent="0.4">
      <c r="B13538" s="3" t="s">
        <v>7</v>
      </c>
      <c r="C13538" s="3" t="s">
        <v>2103</v>
      </c>
      <c r="D13538" s="4">
        <f>DATE(2013,6,7)</f>
        <v>41432</v>
      </c>
      <c r="E13538" s="5">
        <f t="shared" si="223"/>
        <v>2013</v>
      </c>
      <c r="F13538" s="3" t="s">
        <v>2104</v>
      </c>
      <c r="G13538" s="6">
        <v>169.6</v>
      </c>
      <c r="H13538" s="5">
        <v>18654</v>
      </c>
    </row>
    <row r="13539" spans="2:8" x14ac:dyDescent="0.4">
      <c r="B13539" s="3" t="s">
        <v>7</v>
      </c>
      <c r="C13539" s="3" t="s">
        <v>2103</v>
      </c>
      <c r="D13539" s="4">
        <f>DATE(2014,1,17)</f>
        <v>41656</v>
      </c>
      <c r="E13539" s="5">
        <f t="shared" si="223"/>
        <v>2014</v>
      </c>
      <c r="F13539" s="3" t="s">
        <v>2104</v>
      </c>
      <c r="G13539" s="6">
        <v>254.4</v>
      </c>
      <c r="H13539" s="5">
        <v>19376</v>
      </c>
    </row>
    <row r="13540" spans="2:8" x14ac:dyDescent="0.4">
      <c r="B13540" s="3" t="s">
        <v>7</v>
      </c>
      <c r="C13540" s="3" t="s">
        <v>2103</v>
      </c>
      <c r="D13540" s="4">
        <f>DATE(2014,8,11)</f>
        <v>41862</v>
      </c>
      <c r="E13540" s="5">
        <f t="shared" si="223"/>
        <v>2014</v>
      </c>
      <c r="F13540" s="3" t="s">
        <v>2104</v>
      </c>
      <c r="G13540" s="6">
        <v>169.6</v>
      </c>
      <c r="H13540" s="5">
        <v>20264</v>
      </c>
    </row>
    <row r="13541" spans="2:8" x14ac:dyDescent="0.4">
      <c r="B13541" s="3" t="s">
        <v>7</v>
      </c>
      <c r="C13541" s="3" t="s">
        <v>2103</v>
      </c>
      <c r="D13541" s="4">
        <f>DATE(2014,10,30)</f>
        <v>41942</v>
      </c>
      <c r="E13541" s="5">
        <f t="shared" si="223"/>
        <v>2014</v>
      </c>
      <c r="F13541" s="3" t="s">
        <v>2104</v>
      </c>
      <c r="G13541" s="6">
        <v>240</v>
      </c>
      <c r="H13541" s="5">
        <v>20557</v>
      </c>
    </row>
    <row r="13542" spans="2:8" x14ac:dyDescent="0.4">
      <c r="B13542" s="3" t="s">
        <v>7</v>
      </c>
      <c r="C13542" s="3" t="s">
        <v>2103</v>
      </c>
      <c r="D13542" s="4">
        <f>DATE(2014,12,11)</f>
        <v>41984</v>
      </c>
      <c r="E13542" s="5">
        <f t="shared" si="223"/>
        <v>2014</v>
      </c>
      <c r="F13542" s="3" t="s">
        <v>2104</v>
      </c>
      <c r="G13542" s="6">
        <v>160</v>
      </c>
      <c r="H13542" s="5">
        <v>20717</v>
      </c>
    </row>
    <row r="13543" spans="2:8" x14ac:dyDescent="0.4">
      <c r="B13543" s="3" t="s">
        <v>16</v>
      </c>
      <c r="C13543" s="3" t="s">
        <v>2103</v>
      </c>
      <c r="D13543" s="4">
        <f>DATE(2014,2,6)</f>
        <v>41676</v>
      </c>
      <c r="E13543" s="5">
        <f t="shared" si="223"/>
        <v>2014</v>
      </c>
      <c r="F13543" s="3" t="s">
        <v>2104</v>
      </c>
      <c r="G13543" s="6">
        <v>14.4</v>
      </c>
      <c r="H13543" s="5">
        <v>19499</v>
      </c>
    </row>
    <row r="13544" spans="2:8" x14ac:dyDescent="0.4">
      <c r="B13544" s="3" t="s">
        <v>16</v>
      </c>
      <c r="C13544" s="3" t="s">
        <v>2103</v>
      </c>
      <c r="D13544" s="4">
        <f>DATE(2014,8,26)</f>
        <v>41877</v>
      </c>
      <c r="E13544" s="5">
        <f t="shared" si="223"/>
        <v>2014</v>
      </c>
      <c r="F13544" s="3" t="s">
        <v>2104</v>
      </c>
      <c r="G13544" s="6">
        <v>9.6</v>
      </c>
      <c r="H13544" s="5">
        <v>20340</v>
      </c>
    </row>
    <row r="13545" spans="2:8" x14ac:dyDescent="0.4">
      <c r="B13545" t="s">
        <v>7</v>
      </c>
      <c r="C13545" t="s">
        <v>2105</v>
      </c>
      <c r="D13545" s="7">
        <f>DATE(2012,6,12)</f>
        <v>41072</v>
      </c>
      <c r="E13545" s="8">
        <f t="shared" si="223"/>
        <v>2012</v>
      </c>
      <c r="F13545" t="s">
        <v>2106</v>
      </c>
      <c r="G13545" s="9">
        <v>11937.14</v>
      </c>
      <c r="H13545" s="8">
        <v>11686</v>
      </c>
    </row>
    <row r="13546" spans="2:8" x14ac:dyDescent="0.4">
      <c r="B13546" s="3" t="s">
        <v>7</v>
      </c>
      <c r="C13546" s="3" t="s">
        <v>2105</v>
      </c>
      <c r="D13546" s="4">
        <f>DATE(2003,3,19)</f>
        <v>37699</v>
      </c>
      <c r="E13546" s="5">
        <f t="shared" si="223"/>
        <v>2003</v>
      </c>
      <c r="F13546" s="3" t="s">
        <v>2106</v>
      </c>
      <c r="G13546" s="6">
        <v>8158.8</v>
      </c>
      <c r="H13546" s="5">
        <v>580</v>
      </c>
    </row>
    <row r="13547" spans="2:8" x14ac:dyDescent="0.4">
      <c r="B13547" s="3" t="s">
        <v>7</v>
      </c>
      <c r="C13547" s="3" t="s">
        <v>2105</v>
      </c>
      <c r="D13547" s="4">
        <f>DATE(2004,6,30)</f>
        <v>38168</v>
      </c>
      <c r="E13547" s="5">
        <f t="shared" si="223"/>
        <v>2004</v>
      </c>
      <c r="F13547" s="3" t="s">
        <v>2106</v>
      </c>
      <c r="G13547" s="6">
        <v>5493.7</v>
      </c>
      <c r="H13547" s="5">
        <v>3041</v>
      </c>
    </row>
    <row r="13548" spans="2:8" x14ac:dyDescent="0.4">
      <c r="B13548" s="3" t="s">
        <v>7</v>
      </c>
      <c r="C13548" s="3" t="s">
        <v>2105</v>
      </c>
      <c r="D13548" s="4">
        <f>DATE(2008,3,4)</f>
        <v>39511</v>
      </c>
      <c r="E13548" s="5">
        <f t="shared" si="223"/>
        <v>2008</v>
      </c>
      <c r="F13548" s="3" t="s">
        <v>2106</v>
      </c>
      <c r="G13548" s="6">
        <v>8479.93</v>
      </c>
      <c r="H13548" s="5">
        <v>10030</v>
      </c>
    </row>
    <row r="13549" spans="2:8" x14ac:dyDescent="0.4">
      <c r="B13549" s="3" t="s">
        <v>7</v>
      </c>
      <c r="C13549" s="3" t="s">
        <v>2107</v>
      </c>
      <c r="D13549" s="4">
        <f>DATE(2009,2,16)</f>
        <v>39860</v>
      </c>
      <c r="E13549" s="5">
        <f t="shared" si="223"/>
        <v>2009</v>
      </c>
      <c r="F13549" s="3" t="s">
        <v>2108</v>
      </c>
      <c r="G13549" s="6">
        <v>198.29</v>
      </c>
      <c r="H13549" s="5">
        <v>12002</v>
      </c>
    </row>
    <row r="13550" spans="2:8" x14ac:dyDescent="0.4">
      <c r="B13550" t="s">
        <v>7</v>
      </c>
      <c r="C13550" t="s">
        <v>2109</v>
      </c>
      <c r="D13550" s="7">
        <f>DATE(2015,4,16)</f>
        <v>42110</v>
      </c>
      <c r="E13550" s="8">
        <f t="shared" si="223"/>
        <v>2015</v>
      </c>
      <c r="F13550" t="s">
        <v>2110</v>
      </c>
      <c r="G13550" s="9">
        <v>2185.44</v>
      </c>
      <c r="H13550" s="8">
        <v>20239</v>
      </c>
    </row>
    <row r="13551" spans="2:8" x14ac:dyDescent="0.4">
      <c r="B13551" t="s">
        <v>7</v>
      </c>
      <c r="C13551" t="s">
        <v>2109</v>
      </c>
      <c r="D13551" s="7">
        <f>DATE(2015,4,16)</f>
        <v>42110</v>
      </c>
      <c r="E13551" s="8">
        <f t="shared" si="223"/>
        <v>2015</v>
      </c>
      <c r="F13551" t="s">
        <v>2110</v>
      </c>
      <c r="G13551" s="9">
        <v>6646.36</v>
      </c>
      <c r="H13551" s="8">
        <v>20289</v>
      </c>
    </row>
    <row r="13552" spans="2:8" x14ac:dyDescent="0.4">
      <c r="B13552" t="s">
        <v>7</v>
      </c>
      <c r="C13552" t="s">
        <v>2109</v>
      </c>
      <c r="D13552" s="7">
        <f>DATE(2015,6,3)</f>
        <v>42158</v>
      </c>
      <c r="E13552" s="8">
        <f t="shared" si="223"/>
        <v>2015</v>
      </c>
      <c r="F13552" t="s">
        <v>2110</v>
      </c>
      <c r="G13552" s="9">
        <v>20228.39</v>
      </c>
      <c r="H13552" s="8">
        <v>20290</v>
      </c>
    </row>
    <row r="13553" spans="2:8" x14ac:dyDescent="0.4">
      <c r="B13553" t="s">
        <v>7</v>
      </c>
      <c r="C13553" t="s">
        <v>2109</v>
      </c>
      <c r="D13553" s="7">
        <f>DATE(2015,6,12)</f>
        <v>42167</v>
      </c>
      <c r="E13553" s="8">
        <f t="shared" si="223"/>
        <v>2015</v>
      </c>
      <c r="F13553" t="s">
        <v>2110</v>
      </c>
      <c r="G13553" s="9">
        <v>8764.82</v>
      </c>
      <c r="H13553" s="8">
        <v>20749</v>
      </c>
    </row>
    <row r="13554" spans="2:8" x14ac:dyDescent="0.4">
      <c r="B13554" t="s">
        <v>7</v>
      </c>
      <c r="C13554" t="s">
        <v>2109</v>
      </c>
      <c r="D13554" s="7">
        <f>DATE(2016,7,8)</f>
        <v>42559</v>
      </c>
      <c r="E13554" s="8">
        <f t="shared" si="223"/>
        <v>2016</v>
      </c>
      <c r="F13554" t="s">
        <v>2110</v>
      </c>
      <c r="G13554" s="9">
        <v>12881.43</v>
      </c>
      <c r="H13554" s="8">
        <v>22846</v>
      </c>
    </row>
    <row r="13555" spans="2:8" x14ac:dyDescent="0.4">
      <c r="B13555" t="s">
        <v>7</v>
      </c>
      <c r="C13555" t="s">
        <v>2109</v>
      </c>
      <c r="D13555" s="7">
        <f>DATE(2016,10,20)</f>
        <v>42663</v>
      </c>
      <c r="E13555" s="8">
        <f t="shared" si="223"/>
        <v>2016</v>
      </c>
      <c r="F13555" t="s">
        <v>2110</v>
      </c>
      <c r="G13555" s="9">
        <v>11489.36</v>
      </c>
      <c r="H13555" s="8">
        <v>23653</v>
      </c>
    </row>
    <row r="13556" spans="2:8" x14ac:dyDescent="0.4">
      <c r="B13556" t="s">
        <v>7</v>
      </c>
      <c r="C13556" t="s">
        <v>2109</v>
      </c>
      <c r="D13556" s="7">
        <f>DATE(2016,11,23)</f>
        <v>42697</v>
      </c>
      <c r="E13556" s="8">
        <f t="shared" si="223"/>
        <v>2016</v>
      </c>
      <c r="F13556" t="s">
        <v>2110</v>
      </c>
      <c r="G13556" s="9">
        <v>13500.23</v>
      </c>
      <c r="H13556" s="8">
        <v>23814</v>
      </c>
    </row>
    <row r="13557" spans="2:8" x14ac:dyDescent="0.4">
      <c r="B13557" t="s">
        <v>7</v>
      </c>
      <c r="C13557" t="s">
        <v>2109</v>
      </c>
      <c r="D13557" s="7">
        <f>DATE(2018,4,6)</f>
        <v>43196</v>
      </c>
      <c r="E13557" s="8">
        <f t="shared" si="223"/>
        <v>2018</v>
      </c>
      <c r="F13557" t="s">
        <v>2110</v>
      </c>
      <c r="G13557" s="9">
        <v>6180</v>
      </c>
      <c r="H13557" s="8">
        <v>26794</v>
      </c>
    </row>
    <row r="13558" spans="2:8" x14ac:dyDescent="0.4">
      <c r="B13558" t="s">
        <v>7</v>
      </c>
      <c r="C13558" t="s">
        <v>2109</v>
      </c>
      <c r="D13558" s="7">
        <f>DATE(2018,5,21)</f>
        <v>43241</v>
      </c>
      <c r="E13558" s="8">
        <f t="shared" si="223"/>
        <v>2018</v>
      </c>
      <c r="F13558" t="s">
        <v>2110</v>
      </c>
      <c r="G13558" s="9">
        <v>9302.67</v>
      </c>
      <c r="H13558" s="8">
        <v>27068</v>
      </c>
    </row>
    <row r="13559" spans="2:8" x14ac:dyDescent="0.4">
      <c r="B13559" t="s">
        <v>7</v>
      </c>
      <c r="C13559" t="s">
        <v>2109</v>
      </c>
      <c r="D13559" s="7">
        <f>DATE(2008,3,3)</f>
        <v>39510</v>
      </c>
      <c r="E13559" s="8">
        <f t="shared" si="223"/>
        <v>2008</v>
      </c>
      <c r="F13559" t="s">
        <v>2110</v>
      </c>
      <c r="G13559" s="9">
        <v>1986</v>
      </c>
      <c r="H13559" s="8">
        <v>7086</v>
      </c>
    </row>
    <row r="13560" spans="2:8" x14ac:dyDescent="0.4">
      <c r="B13560" t="s">
        <v>7</v>
      </c>
      <c r="C13560" t="s">
        <v>2109</v>
      </c>
      <c r="D13560" s="7">
        <f>DATE(2003,4,5)</f>
        <v>37716</v>
      </c>
      <c r="E13560" s="8">
        <f t="shared" si="223"/>
        <v>2003</v>
      </c>
      <c r="F13560" t="s">
        <v>2110</v>
      </c>
      <c r="G13560" s="9">
        <v>16683.88</v>
      </c>
      <c r="H13560" s="8">
        <v>447</v>
      </c>
    </row>
    <row r="13561" spans="2:8" x14ac:dyDescent="0.4">
      <c r="B13561" t="s">
        <v>7</v>
      </c>
      <c r="C13561" t="s">
        <v>2109</v>
      </c>
      <c r="D13561" s="7">
        <f>DATE(2003,4,22)</f>
        <v>37733</v>
      </c>
      <c r="E13561" s="8">
        <f t="shared" si="223"/>
        <v>2003</v>
      </c>
      <c r="F13561" t="s">
        <v>2110</v>
      </c>
      <c r="G13561" s="9">
        <v>11693.57</v>
      </c>
      <c r="H13561" s="8">
        <v>473</v>
      </c>
    </row>
    <row r="13562" spans="2:8" x14ac:dyDescent="0.4">
      <c r="B13562" t="s">
        <v>7</v>
      </c>
      <c r="C13562" t="s">
        <v>2109</v>
      </c>
      <c r="D13562" s="7">
        <f>DATE(2003,4,23)</f>
        <v>37734</v>
      </c>
      <c r="E13562" s="8">
        <f t="shared" si="223"/>
        <v>2003</v>
      </c>
      <c r="F13562" t="s">
        <v>2110</v>
      </c>
      <c r="G13562" s="9">
        <v>28436.25</v>
      </c>
      <c r="H13562" s="8">
        <v>440</v>
      </c>
    </row>
    <row r="13563" spans="2:8" x14ac:dyDescent="0.4">
      <c r="B13563" t="s">
        <v>7</v>
      </c>
      <c r="C13563" t="s">
        <v>2109</v>
      </c>
      <c r="D13563" s="7">
        <f>DATE(2003,5,17)</f>
        <v>37758</v>
      </c>
      <c r="E13563" s="8">
        <f t="shared" si="223"/>
        <v>2003</v>
      </c>
      <c r="F13563" t="s">
        <v>2110</v>
      </c>
      <c r="G13563" s="9">
        <v>8736.2900000000009</v>
      </c>
      <c r="H13563" s="8">
        <v>607</v>
      </c>
    </row>
    <row r="13564" spans="2:8" x14ac:dyDescent="0.4">
      <c r="B13564" t="s">
        <v>7</v>
      </c>
      <c r="C13564" t="s">
        <v>2109</v>
      </c>
      <c r="D13564" s="7">
        <f>DATE(2003,4,28)</f>
        <v>37739</v>
      </c>
      <c r="E13564" s="8">
        <f t="shared" si="223"/>
        <v>2003</v>
      </c>
      <c r="F13564" t="s">
        <v>2110</v>
      </c>
      <c r="G13564" s="9">
        <v>15239.49</v>
      </c>
      <c r="H13564" s="8">
        <v>359</v>
      </c>
    </row>
    <row r="13565" spans="2:8" x14ac:dyDescent="0.4">
      <c r="B13565" t="s">
        <v>7</v>
      </c>
      <c r="C13565" t="s">
        <v>2109</v>
      </c>
      <c r="D13565" s="7">
        <f>DATE(2003,6,23)</f>
        <v>37795</v>
      </c>
      <c r="E13565" s="8">
        <f t="shared" si="223"/>
        <v>2003</v>
      </c>
      <c r="F13565" t="s">
        <v>2110</v>
      </c>
      <c r="G13565" s="9">
        <v>32512.78</v>
      </c>
      <c r="H13565" s="8">
        <v>426</v>
      </c>
    </row>
    <row r="13566" spans="2:8" x14ac:dyDescent="0.4">
      <c r="B13566" t="s">
        <v>7</v>
      </c>
      <c r="C13566" t="s">
        <v>2109</v>
      </c>
      <c r="D13566" s="7">
        <f>DATE(2003,10,9)</f>
        <v>37903</v>
      </c>
      <c r="E13566" s="8">
        <f t="shared" si="223"/>
        <v>2003</v>
      </c>
      <c r="F13566" t="s">
        <v>2110</v>
      </c>
      <c r="G13566" s="9">
        <v>4868.59</v>
      </c>
      <c r="H13566" s="8">
        <v>936</v>
      </c>
    </row>
    <row r="13567" spans="2:8" x14ac:dyDescent="0.4">
      <c r="B13567" t="s">
        <v>7</v>
      </c>
      <c r="C13567" t="s">
        <v>2109</v>
      </c>
      <c r="D13567" s="7">
        <f>DATE(2004,9,18)</f>
        <v>38248</v>
      </c>
      <c r="E13567" s="8">
        <f t="shared" si="223"/>
        <v>2004</v>
      </c>
      <c r="F13567" t="s">
        <v>2110</v>
      </c>
      <c r="G13567" s="9">
        <v>5649.23</v>
      </c>
      <c r="H13567" s="8">
        <v>2211</v>
      </c>
    </row>
    <row r="13568" spans="2:8" x14ac:dyDescent="0.4">
      <c r="B13568" t="s">
        <v>7</v>
      </c>
      <c r="C13568" t="s">
        <v>2109</v>
      </c>
      <c r="D13568" s="7">
        <f>DATE(2004,11,19)</f>
        <v>38310</v>
      </c>
      <c r="E13568" s="8">
        <f t="shared" si="223"/>
        <v>2004</v>
      </c>
      <c r="F13568" t="s">
        <v>2110</v>
      </c>
      <c r="G13568" s="9">
        <v>27603.42</v>
      </c>
      <c r="H13568" s="8">
        <v>2034</v>
      </c>
    </row>
    <row r="13569" spans="2:8" x14ac:dyDescent="0.4">
      <c r="B13569" t="s">
        <v>7</v>
      </c>
      <c r="C13569" t="s">
        <v>2109</v>
      </c>
      <c r="D13569" s="7">
        <f>DATE(2004,11,12)</f>
        <v>38303</v>
      </c>
      <c r="E13569" s="8">
        <f t="shared" si="223"/>
        <v>2004</v>
      </c>
      <c r="F13569" t="s">
        <v>2110</v>
      </c>
      <c r="G13569" s="9">
        <v>27416.26</v>
      </c>
      <c r="H13569" s="8">
        <v>2385</v>
      </c>
    </row>
    <row r="13570" spans="2:8" x14ac:dyDescent="0.4">
      <c r="B13570" t="s">
        <v>7</v>
      </c>
      <c r="C13570" t="s">
        <v>2109</v>
      </c>
      <c r="D13570" s="7">
        <f>DATE(2005,7,23)</f>
        <v>38556</v>
      </c>
      <c r="E13570" s="8">
        <f t="shared" si="223"/>
        <v>2005</v>
      </c>
      <c r="F13570" t="s">
        <v>2110</v>
      </c>
      <c r="G13570" s="9">
        <v>7881.64</v>
      </c>
      <c r="H13570" s="8">
        <v>3389</v>
      </c>
    </row>
    <row r="13571" spans="2:8" x14ac:dyDescent="0.4">
      <c r="B13571" t="s">
        <v>7</v>
      </c>
      <c r="C13571" t="s">
        <v>2109</v>
      </c>
      <c r="D13571" s="7">
        <f>DATE(2005,9,2)</f>
        <v>38597</v>
      </c>
      <c r="E13571" s="8">
        <f t="shared" ref="E13571:E13634" si="224">YEAR(D13571)</f>
        <v>2005</v>
      </c>
      <c r="F13571" t="s">
        <v>2110</v>
      </c>
      <c r="G13571" s="9">
        <v>5537.46</v>
      </c>
      <c r="H13571" s="8">
        <v>3581</v>
      </c>
    </row>
    <row r="13572" spans="2:8" x14ac:dyDescent="0.4">
      <c r="B13572" t="s">
        <v>7</v>
      </c>
      <c r="C13572" t="s">
        <v>2109</v>
      </c>
      <c r="D13572" s="7">
        <f>DATE(2005,9,19)</f>
        <v>38614</v>
      </c>
      <c r="E13572" s="8">
        <f t="shared" si="224"/>
        <v>2005</v>
      </c>
      <c r="F13572" t="s">
        <v>2110</v>
      </c>
      <c r="G13572" s="9">
        <v>4145.95</v>
      </c>
      <c r="H13572" s="8">
        <v>3596</v>
      </c>
    </row>
    <row r="13573" spans="2:8" x14ac:dyDescent="0.4">
      <c r="B13573" t="s">
        <v>7</v>
      </c>
      <c r="C13573" t="s">
        <v>2109</v>
      </c>
      <c r="D13573" s="7">
        <f>DATE(2006,4,7)</f>
        <v>38814</v>
      </c>
      <c r="E13573" s="8">
        <f t="shared" si="224"/>
        <v>2006</v>
      </c>
      <c r="F13573" t="s">
        <v>2110</v>
      </c>
      <c r="G13573" s="9">
        <v>5253.25</v>
      </c>
      <c r="H13573" s="8">
        <v>4430</v>
      </c>
    </row>
    <row r="13574" spans="2:8" x14ac:dyDescent="0.4">
      <c r="B13574" t="s">
        <v>7</v>
      </c>
      <c r="C13574" t="s">
        <v>2109</v>
      </c>
      <c r="D13574" s="7">
        <f>DATE(2006,4,18)</f>
        <v>38825</v>
      </c>
      <c r="E13574" s="8">
        <f t="shared" si="224"/>
        <v>2006</v>
      </c>
      <c r="F13574" t="s">
        <v>2110</v>
      </c>
      <c r="G13574" s="9">
        <v>76456.87</v>
      </c>
      <c r="H13574" s="8">
        <v>4156</v>
      </c>
    </row>
    <row r="13575" spans="2:8" x14ac:dyDescent="0.4">
      <c r="B13575" t="s">
        <v>7</v>
      </c>
      <c r="C13575" t="s">
        <v>2109</v>
      </c>
      <c r="D13575" s="7">
        <f>DATE(2007,1,26)</f>
        <v>39108</v>
      </c>
      <c r="E13575" s="8">
        <f t="shared" si="224"/>
        <v>2007</v>
      </c>
      <c r="F13575" t="s">
        <v>2110</v>
      </c>
      <c r="G13575" s="9">
        <v>3100.2</v>
      </c>
      <c r="H13575" s="8">
        <v>5416</v>
      </c>
    </row>
    <row r="13576" spans="2:8" x14ac:dyDescent="0.4">
      <c r="B13576" t="s">
        <v>7</v>
      </c>
      <c r="C13576" t="s">
        <v>2109</v>
      </c>
      <c r="D13576" s="7">
        <f>DATE(2007,2,1)</f>
        <v>39114</v>
      </c>
      <c r="E13576" s="8">
        <f t="shared" si="224"/>
        <v>2007</v>
      </c>
      <c r="F13576" t="s">
        <v>2110</v>
      </c>
      <c r="G13576" s="9">
        <v>10965.46</v>
      </c>
      <c r="H13576" s="8">
        <v>5418</v>
      </c>
    </row>
    <row r="13577" spans="2:8" x14ac:dyDescent="0.4">
      <c r="B13577" t="s">
        <v>7</v>
      </c>
      <c r="C13577" t="s">
        <v>2109</v>
      </c>
      <c r="D13577" s="7">
        <f>DATE(2007,6,2)</f>
        <v>39235</v>
      </c>
      <c r="E13577" s="8">
        <f t="shared" si="224"/>
        <v>2007</v>
      </c>
      <c r="F13577" t="s">
        <v>2110</v>
      </c>
      <c r="G13577" s="9">
        <v>2632.5</v>
      </c>
      <c r="H13577" s="8">
        <v>5911</v>
      </c>
    </row>
    <row r="13578" spans="2:8" x14ac:dyDescent="0.4">
      <c r="B13578" t="s">
        <v>7</v>
      </c>
      <c r="C13578" t="s">
        <v>2109</v>
      </c>
      <c r="D13578" s="7">
        <f>DATE(2007,12,1)</f>
        <v>39417</v>
      </c>
      <c r="E13578" s="8">
        <f t="shared" si="224"/>
        <v>2007</v>
      </c>
      <c r="F13578" t="s">
        <v>2110</v>
      </c>
      <c r="G13578" s="9">
        <v>107158.31</v>
      </c>
      <c r="H13578" s="8">
        <v>6219</v>
      </c>
    </row>
    <row r="13579" spans="2:8" x14ac:dyDescent="0.4">
      <c r="B13579" t="s">
        <v>7</v>
      </c>
      <c r="C13579" t="s">
        <v>2109</v>
      </c>
      <c r="D13579" s="7">
        <f>DATE(2007,12,1)</f>
        <v>39417</v>
      </c>
      <c r="E13579" s="8">
        <f t="shared" si="224"/>
        <v>2007</v>
      </c>
      <c r="F13579" t="s">
        <v>2110</v>
      </c>
      <c r="G13579" s="9">
        <v>7142.46</v>
      </c>
      <c r="H13579" s="8">
        <v>6533</v>
      </c>
    </row>
    <row r="13580" spans="2:8" x14ac:dyDescent="0.4">
      <c r="B13580" t="s">
        <v>7</v>
      </c>
      <c r="C13580" t="s">
        <v>2109</v>
      </c>
      <c r="D13580" s="7">
        <f>DATE(2008,1,7)</f>
        <v>39454</v>
      </c>
      <c r="E13580" s="8">
        <f t="shared" si="224"/>
        <v>2008</v>
      </c>
      <c r="F13580" t="s">
        <v>2110</v>
      </c>
      <c r="G13580" s="9">
        <v>6738.29</v>
      </c>
      <c r="H13580" s="8">
        <v>6749</v>
      </c>
    </row>
    <row r="13581" spans="2:8" x14ac:dyDescent="0.4">
      <c r="B13581" t="s">
        <v>7</v>
      </c>
      <c r="C13581" t="s">
        <v>2109</v>
      </c>
      <c r="D13581" s="7">
        <f>DATE(2008,1,31)</f>
        <v>39478</v>
      </c>
      <c r="E13581" s="8">
        <f t="shared" si="224"/>
        <v>2008</v>
      </c>
      <c r="F13581" t="s">
        <v>2110</v>
      </c>
      <c r="G13581" s="9">
        <v>2846.66</v>
      </c>
      <c r="H13581" s="8">
        <v>6871</v>
      </c>
    </row>
    <row r="13582" spans="2:8" x14ac:dyDescent="0.4">
      <c r="B13582" t="s">
        <v>7</v>
      </c>
      <c r="C13582" t="s">
        <v>2109</v>
      </c>
      <c r="D13582" s="7">
        <f>DATE(2009,4,30)</f>
        <v>39933</v>
      </c>
      <c r="E13582" s="8">
        <f t="shared" si="224"/>
        <v>2009</v>
      </c>
      <c r="F13582" t="s">
        <v>2110</v>
      </c>
      <c r="G13582" s="9">
        <v>117820.69</v>
      </c>
      <c r="H13582" s="8">
        <v>8087</v>
      </c>
    </row>
    <row r="13583" spans="2:8" x14ac:dyDescent="0.4">
      <c r="B13583" t="s">
        <v>7</v>
      </c>
      <c r="C13583" t="s">
        <v>2109</v>
      </c>
      <c r="D13583" s="7">
        <f>DATE(2010,12,21)</f>
        <v>40533</v>
      </c>
      <c r="E13583" s="8">
        <f t="shared" si="224"/>
        <v>2010</v>
      </c>
      <c r="F13583" t="s">
        <v>2110</v>
      </c>
      <c r="G13583" s="9">
        <v>136180.76</v>
      </c>
      <c r="H13583" s="8">
        <v>10069</v>
      </c>
    </row>
    <row r="13584" spans="2:8" x14ac:dyDescent="0.4">
      <c r="B13584" t="s">
        <v>7</v>
      </c>
      <c r="C13584" t="s">
        <v>2109</v>
      </c>
      <c r="D13584" s="7">
        <f>DATE(2012,6,8)</f>
        <v>41068</v>
      </c>
      <c r="E13584" s="8">
        <f t="shared" si="224"/>
        <v>2012</v>
      </c>
      <c r="F13584" t="s">
        <v>2110</v>
      </c>
      <c r="G13584" s="9">
        <v>159061.97</v>
      </c>
      <c r="H13584" s="8">
        <v>11269</v>
      </c>
    </row>
    <row r="13585" spans="2:8" x14ac:dyDescent="0.4">
      <c r="B13585" t="s">
        <v>7</v>
      </c>
      <c r="C13585" t="s">
        <v>2109</v>
      </c>
      <c r="D13585" s="7">
        <f>DATE(2012,9,13)</f>
        <v>41165</v>
      </c>
      <c r="E13585" s="8">
        <f t="shared" si="224"/>
        <v>2012</v>
      </c>
      <c r="F13585" t="s">
        <v>2110</v>
      </c>
      <c r="G13585" s="9">
        <v>9663.65</v>
      </c>
      <c r="H13585" s="8">
        <v>11847</v>
      </c>
    </row>
    <row r="13586" spans="2:8" x14ac:dyDescent="0.4">
      <c r="B13586" t="s">
        <v>7</v>
      </c>
      <c r="C13586" t="s">
        <v>2109</v>
      </c>
      <c r="D13586" s="7">
        <f>DATE(2013,12,9)</f>
        <v>41617</v>
      </c>
      <c r="E13586" s="8">
        <f t="shared" si="224"/>
        <v>2013</v>
      </c>
      <c r="F13586" t="s">
        <v>2110</v>
      </c>
      <c r="G13586" s="9">
        <v>14716.46</v>
      </c>
      <c r="H13586" s="8">
        <v>12815</v>
      </c>
    </row>
    <row r="13587" spans="2:8" x14ac:dyDescent="0.4">
      <c r="B13587" t="s">
        <v>7</v>
      </c>
      <c r="C13587" t="s">
        <v>2109</v>
      </c>
      <c r="D13587" s="7">
        <f>DATE(2014,1,3)</f>
        <v>41642</v>
      </c>
      <c r="E13587" s="8">
        <f t="shared" si="224"/>
        <v>2014</v>
      </c>
      <c r="F13587" t="s">
        <v>2110</v>
      </c>
      <c r="G13587" s="9">
        <v>29455.25</v>
      </c>
      <c r="H13587" s="8">
        <v>12833</v>
      </c>
    </row>
    <row r="13588" spans="2:8" x14ac:dyDescent="0.4">
      <c r="B13588" t="s">
        <v>7</v>
      </c>
      <c r="C13588" t="s">
        <v>2109</v>
      </c>
      <c r="D13588" s="7">
        <f>DATE(2014,6,4)</f>
        <v>41794</v>
      </c>
      <c r="E13588" s="8">
        <f t="shared" si="224"/>
        <v>2014</v>
      </c>
      <c r="F13588" t="s">
        <v>2110</v>
      </c>
      <c r="G13588" s="9">
        <v>6258.09</v>
      </c>
      <c r="H13588" s="8">
        <v>13210</v>
      </c>
    </row>
    <row r="13589" spans="2:8" x14ac:dyDescent="0.4">
      <c r="B13589" t="s">
        <v>7</v>
      </c>
      <c r="C13589" t="s">
        <v>2109</v>
      </c>
      <c r="D13589" s="7">
        <f>DATE(2014,10,2)</f>
        <v>41914</v>
      </c>
      <c r="E13589" s="8">
        <f t="shared" si="224"/>
        <v>2014</v>
      </c>
      <c r="F13589" t="s">
        <v>2110</v>
      </c>
      <c r="G13589" s="9">
        <v>8372.06</v>
      </c>
      <c r="H13589" s="8">
        <v>13499</v>
      </c>
    </row>
    <row r="13590" spans="2:8" x14ac:dyDescent="0.4">
      <c r="B13590" t="s">
        <v>7</v>
      </c>
      <c r="C13590" t="s">
        <v>2109</v>
      </c>
      <c r="D13590" s="7">
        <f>DATE(2014,10,3)</f>
        <v>41915</v>
      </c>
      <c r="E13590" s="8">
        <f t="shared" si="224"/>
        <v>2014</v>
      </c>
      <c r="F13590" t="s">
        <v>2110</v>
      </c>
      <c r="G13590" s="9">
        <v>30869.63</v>
      </c>
      <c r="H13590" s="8">
        <v>13444</v>
      </c>
    </row>
    <row r="13591" spans="2:8" x14ac:dyDescent="0.4">
      <c r="B13591" t="s">
        <v>7</v>
      </c>
      <c r="C13591" t="s">
        <v>2109</v>
      </c>
      <c r="D13591" s="7">
        <f>DATE(2014,10,15)</f>
        <v>41927</v>
      </c>
      <c r="E13591" s="8">
        <f t="shared" si="224"/>
        <v>2014</v>
      </c>
      <c r="F13591" t="s">
        <v>2110</v>
      </c>
      <c r="G13591" s="9">
        <v>3960.18</v>
      </c>
      <c r="H13591" s="8">
        <v>13529</v>
      </c>
    </row>
    <row r="13592" spans="2:8" x14ac:dyDescent="0.4">
      <c r="B13592" t="s">
        <v>7</v>
      </c>
      <c r="C13592" t="s">
        <v>2109</v>
      </c>
      <c r="D13592" s="7">
        <f>DATE(2014,10,30)</f>
        <v>41942</v>
      </c>
      <c r="E13592" s="8">
        <f t="shared" si="224"/>
        <v>2014</v>
      </c>
      <c r="F13592" t="s">
        <v>2110</v>
      </c>
      <c r="G13592" s="9">
        <v>8881.64</v>
      </c>
      <c r="H13592" s="8">
        <v>13552</v>
      </c>
    </row>
    <row r="13593" spans="2:8" x14ac:dyDescent="0.4">
      <c r="B13593" t="s">
        <v>7</v>
      </c>
      <c r="C13593" t="s">
        <v>2109</v>
      </c>
      <c r="D13593" s="7">
        <f>DATE(2014,11,13)</f>
        <v>41956</v>
      </c>
      <c r="E13593" s="8">
        <f t="shared" si="224"/>
        <v>2014</v>
      </c>
      <c r="F13593" t="s">
        <v>2110</v>
      </c>
      <c r="G13593" s="9">
        <v>757.57</v>
      </c>
      <c r="H13593" s="8">
        <v>13591</v>
      </c>
    </row>
    <row r="13594" spans="2:8" x14ac:dyDescent="0.4">
      <c r="B13594" t="s">
        <v>7</v>
      </c>
      <c r="C13594" t="s">
        <v>2109</v>
      </c>
      <c r="D13594" s="7">
        <f>DATE(2014,12,2)</f>
        <v>41975</v>
      </c>
      <c r="E13594" s="8">
        <f t="shared" si="224"/>
        <v>2014</v>
      </c>
      <c r="F13594" t="s">
        <v>2110</v>
      </c>
      <c r="G13594" s="9">
        <v>1944.36</v>
      </c>
      <c r="H13594" s="8">
        <v>13619</v>
      </c>
    </row>
    <row r="13595" spans="2:8" x14ac:dyDescent="0.4">
      <c r="B13595" t="s">
        <v>7</v>
      </c>
      <c r="C13595" t="s">
        <v>2109</v>
      </c>
      <c r="D13595" s="7">
        <f>DATE(2015,1,8)</f>
        <v>42012</v>
      </c>
      <c r="E13595" s="8">
        <f t="shared" si="224"/>
        <v>2015</v>
      </c>
      <c r="F13595" t="s">
        <v>2110</v>
      </c>
      <c r="G13595" s="9">
        <v>5617.35</v>
      </c>
      <c r="H13595" s="8">
        <v>13673</v>
      </c>
    </row>
    <row r="13596" spans="2:8" x14ac:dyDescent="0.4">
      <c r="B13596" s="3" t="s">
        <v>7</v>
      </c>
      <c r="C13596" s="3" t="s">
        <v>2109</v>
      </c>
      <c r="D13596" s="4">
        <f>DATE(2013,10,28)</f>
        <v>41575</v>
      </c>
      <c r="E13596" s="5">
        <f t="shared" si="224"/>
        <v>2013</v>
      </c>
      <c r="F13596" s="3" t="s">
        <v>2110</v>
      </c>
      <c r="G13596" s="6">
        <v>1326</v>
      </c>
      <c r="H13596" s="5">
        <v>19124</v>
      </c>
    </row>
    <row r="13597" spans="2:8" x14ac:dyDescent="0.4">
      <c r="B13597" t="s">
        <v>7</v>
      </c>
      <c r="C13597" t="s">
        <v>2111</v>
      </c>
      <c r="D13597" s="7">
        <f>DATE(2013,3,27)</f>
        <v>41360</v>
      </c>
      <c r="E13597" s="8">
        <f t="shared" si="224"/>
        <v>2013</v>
      </c>
      <c r="F13597" t="s">
        <v>2112</v>
      </c>
      <c r="G13597" s="9">
        <v>998.48</v>
      </c>
      <c r="H13597" s="8">
        <v>12086</v>
      </c>
    </row>
    <row r="13598" spans="2:8" x14ac:dyDescent="0.4">
      <c r="B13598" t="s">
        <v>7</v>
      </c>
      <c r="C13598" t="s">
        <v>2111</v>
      </c>
      <c r="D13598" s="7">
        <f>DATE(2013,4,10)</f>
        <v>41374</v>
      </c>
      <c r="E13598" s="8">
        <f t="shared" si="224"/>
        <v>2013</v>
      </c>
      <c r="F13598" t="s">
        <v>2112</v>
      </c>
      <c r="G13598" s="9">
        <v>1748.48</v>
      </c>
      <c r="H13598" s="8">
        <v>12396</v>
      </c>
    </row>
    <row r="13599" spans="2:8" x14ac:dyDescent="0.4">
      <c r="B13599" t="s">
        <v>7</v>
      </c>
      <c r="C13599" t="s">
        <v>2111</v>
      </c>
      <c r="D13599" s="7">
        <f>DATE(2007,10,9)</f>
        <v>39364</v>
      </c>
      <c r="E13599" s="8">
        <f t="shared" si="224"/>
        <v>2007</v>
      </c>
      <c r="F13599" t="s">
        <v>2112</v>
      </c>
      <c r="G13599" s="9">
        <v>750</v>
      </c>
      <c r="H13599" s="8">
        <v>6481</v>
      </c>
    </row>
    <row r="13600" spans="2:8" x14ac:dyDescent="0.4">
      <c r="B13600" t="s">
        <v>7</v>
      </c>
      <c r="C13600" t="s">
        <v>2111</v>
      </c>
      <c r="D13600" s="7">
        <f>DATE(2008,3,26)</f>
        <v>39533</v>
      </c>
      <c r="E13600" s="8">
        <f t="shared" si="224"/>
        <v>2008</v>
      </c>
      <c r="F13600" t="s">
        <v>2112</v>
      </c>
      <c r="G13600" s="9">
        <v>955.85</v>
      </c>
      <c r="H13600" s="8">
        <v>7014</v>
      </c>
    </row>
    <row r="13601" spans="2:8" x14ac:dyDescent="0.4">
      <c r="B13601" t="s">
        <v>7</v>
      </c>
      <c r="C13601" t="s">
        <v>2111</v>
      </c>
      <c r="D13601" s="7">
        <f>DATE(2009,6,10)</f>
        <v>39974</v>
      </c>
      <c r="E13601" s="8">
        <f t="shared" si="224"/>
        <v>2009</v>
      </c>
      <c r="F13601" t="s">
        <v>2112</v>
      </c>
      <c r="G13601" s="9">
        <v>969.37</v>
      </c>
      <c r="H13601" s="8">
        <v>8522</v>
      </c>
    </row>
    <row r="13602" spans="2:8" x14ac:dyDescent="0.4">
      <c r="B13602" t="s">
        <v>16</v>
      </c>
      <c r="C13602" t="s">
        <v>2111</v>
      </c>
      <c r="D13602" s="7">
        <f>DATE(2013,4,10)</f>
        <v>41374</v>
      </c>
      <c r="E13602" s="8">
        <f t="shared" si="224"/>
        <v>2013</v>
      </c>
      <c r="F13602" t="s">
        <v>2112</v>
      </c>
      <c r="G13602" s="9">
        <v>998.48</v>
      </c>
      <c r="H13602" s="8">
        <v>12395</v>
      </c>
    </row>
    <row r="13603" spans="2:8" x14ac:dyDescent="0.4">
      <c r="B13603" s="3" t="s">
        <v>7</v>
      </c>
      <c r="C13603" s="3" t="s">
        <v>2111</v>
      </c>
      <c r="D13603" s="4">
        <f>DATE(2007,10,8)</f>
        <v>39363</v>
      </c>
      <c r="E13603" s="5">
        <f t="shared" si="224"/>
        <v>2007</v>
      </c>
      <c r="F13603" s="3" t="s">
        <v>2112</v>
      </c>
      <c r="G13603" s="6">
        <v>934</v>
      </c>
      <c r="H13603" s="5">
        <v>9301</v>
      </c>
    </row>
    <row r="13604" spans="2:8" x14ac:dyDescent="0.4">
      <c r="B13604" s="3" t="s">
        <v>7</v>
      </c>
      <c r="C13604" s="3" t="s">
        <v>2111</v>
      </c>
      <c r="D13604" s="4">
        <f>DATE(2007,10,11)</f>
        <v>39366</v>
      </c>
      <c r="E13604" s="5">
        <f t="shared" si="224"/>
        <v>2007</v>
      </c>
      <c r="F13604" s="3" t="s">
        <v>2112</v>
      </c>
      <c r="G13604" s="6">
        <v>1840.31</v>
      </c>
      <c r="H13604" s="5">
        <v>9320</v>
      </c>
    </row>
    <row r="13605" spans="2:8" x14ac:dyDescent="0.4">
      <c r="B13605" s="3" t="s">
        <v>7</v>
      </c>
      <c r="C13605" s="3" t="s">
        <v>2111</v>
      </c>
      <c r="D13605" s="4">
        <f>DATE(2008,3,26)</f>
        <v>39533</v>
      </c>
      <c r="E13605" s="5">
        <f t="shared" si="224"/>
        <v>2008</v>
      </c>
      <c r="F13605" s="3" t="s">
        <v>2112</v>
      </c>
      <c r="G13605" s="6">
        <v>2225</v>
      </c>
      <c r="H13605" s="5">
        <v>9932</v>
      </c>
    </row>
    <row r="13606" spans="2:8" x14ac:dyDescent="0.4">
      <c r="B13606" s="3" t="s">
        <v>7</v>
      </c>
      <c r="C13606" s="3" t="s">
        <v>2111</v>
      </c>
      <c r="D13606" s="4">
        <f>DATE(2009,6,2)</f>
        <v>39966</v>
      </c>
      <c r="E13606" s="5">
        <f t="shared" si="224"/>
        <v>2009</v>
      </c>
      <c r="F13606" s="3" t="s">
        <v>2112</v>
      </c>
      <c r="G13606" s="6">
        <v>4450</v>
      </c>
      <c r="H13606" s="5">
        <v>12257</v>
      </c>
    </row>
    <row r="13607" spans="2:8" x14ac:dyDescent="0.4">
      <c r="B13607" s="3" t="s">
        <v>7</v>
      </c>
      <c r="C13607" s="3" t="s">
        <v>2111</v>
      </c>
      <c r="D13607" s="4">
        <f>DATE(2012,12,5)</f>
        <v>41248</v>
      </c>
      <c r="E13607" s="5">
        <f t="shared" si="224"/>
        <v>2012</v>
      </c>
      <c r="F13607" s="3" t="s">
        <v>2112</v>
      </c>
      <c r="G13607" s="6">
        <v>4518.79</v>
      </c>
      <c r="H13607" s="5">
        <v>17860</v>
      </c>
    </row>
    <row r="13608" spans="2:8" x14ac:dyDescent="0.4">
      <c r="B13608" t="s">
        <v>7</v>
      </c>
      <c r="C13608" t="s">
        <v>2111</v>
      </c>
      <c r="D13608" s="7">
        <f>DATE(2016,4,20)</f>
        <v>42480</v>
      </c>
      <c r="E13608" s="8">
        <f t="shared" si="224"/>
        <v>2016</v>
      </c>
      <c r="F13608" t="s">
        <v>2113</v>
      </c>
      <c r="G13608" s="9">
        <v>1748.79</v>
      </c>
      <c r="H13608" s="8">
        <v>22361</v>
      </c>
    </row>
    <row r="13609" spans="2:8" x14ac:dyDescent="0.4">
      <c r="B13609" t="s">
        <v>7</v>
      </c>
      <c r="C13609" t="s">
        <v>2114</v>
      </c>
      <c r="D13609" s="7">
        <f>DATE(2015,3,23)</f>
        <v>42086</v>
      </c>
      <c r="E13609" s="8">
        <f t="shared" si="224"/>
        <v>2015</v>
      </c>
      <c r="F13609" t="s">
        <v>2115</v>
      </c>
      <c r="G13609" s="9">
        <v>11150</v>
      </c>
      <c r="H13609" s="8">
        <v>20008</v>
      </c>
    </row>
    <row r="13610" spans="2:8" x14ac:dyDescent="0.4">
      <c r="B13610" t="s">
        <v>7</v>
      </c>
      <c r="C13610" t="s">
        <v>2114</v>
      </c>
      <c r="D13610" s="7">
        <f>DATE(2016,5,2)</f>
        <v>42492</v>
      </c>
      <c r="E13610" s="8">
        <f t="shared" si="224"/>
        <v>2016</v>
      </c>
      <c r="F13610" t="s">
        <v>2115</v>
      </c>
      <c r="G13610" s="9">
        <v>12086.78</v>
      </c>
      <c r="H13610" s="8">
        <v>22489</v>
      </c>
    </row>
    <row r="13611" spans="2:8" x14ac:dyDescent="0.4">
      <c r="B13611" t="s">
        <v>7</v>
      </c>
      <c r="C13611" t="s">
        <v>2114</v>
      </c>
      <c r="D13611" s="7">
        <f>DATE(2016,11,10)</f>
        <v>42684</v>
      </c>
      <c r="E13611" s="8">
        <f t="shared" si="224"/>
        <v>2016</v>
      </c>
      <c r="F13611" t="s">
        <v>2115</v>
      </c>
      <c r="G13611" s="9">
        <v>16485</v>
      </c>
      <c r="H13611" s="8">
        <v>23413</v>
      </c>
    </row>
    <row r="13612" spans="2:8" x14ac:dyDescent="0.4">
      <c r="B13612" t="s">
        <v>7</v>
      </c>
      <c r="C13612" t="s">
        <v>2114</v>
      </c>
      <c r="D13612" s="7">
        <f>DATE(2017,4,5)</f>
        <v>42830</v>
      </c>
      <c r="E13612" s="8">
        <f t="shared" si="224"/>
        <v>2017</v>
      </c>
      <c r="F13612" t="s">
        <v>2115</v>
      </c>
      <c r="G13612" s="9">
        <v>10370</v>
      </c>
      <c r="H13612" s="8">
        <v>24343</v>
      </c>
    </row>
    <row r="13613" spans="2:8" x14ac:dyDescent="0.4">
      <c r="B13613" t="s">
        <v>7</v>
      </c>
      <c r="C13613" t="s">
        <v>2114</v>
      </c>
      <c r="D13613" s="7">
        <f>DATE(2017,9,18)</f>
        <v>42996</v>
      </c>
      <c r="E13613" s="8">
        <f t="shared" si="224"/>
        <v>2017</v>
      </c>
      <c r="F13613" t="s">
        <v>2115</v>
      </c>
      <c r="G13613" s="9">
        <v>10370</v>
      </c>
      <c r="H13613" s="8">
        <v>25267</v>
      </c>
    </row>
    <row r="13614" spans="2:8" x14ac:dyDescent="0.4">
      <c r="B13614" t="s">
        <v>7</v>
      </c>
      <c r="C13614" t="s">
        <v>2114</v>
      </c>
      <c r="D13614" s="7">
        <f>DATE(2018,4,19)</f>
        <v>43209</v>
      </c>
      <c r="E13614" s="8">
        <f t="shared" si="224"/>
        <v>2018</v>
      </c>
      <c r="F13614" t="s">
        <v>2115</v>
      </c>
      <c r="G13614" s="9">
        <v>10370</v>
      </c>
      <c r="H13614" s="8">
        <v>26613</v>
      </c>
    </row>
    <row r="13615" spans="2:8" x14ac:dyDescent="0.4">
      <c r="B13615" t="s">
        <v>7</v>
      </c>
      <c r="C13615" t="s">
        <v>2114</v>
      </c>
      <c r="D13615" s="7">
        <f>DATE(2007,1,17)</f>
        <v>39099</v>
      </c>
      <c r="E13615" s="8">
        <f t="shared" si="224"/>
        <v>2007</v>
      </c>
      <c r="F13615" t="s">
        <v>2115</v>
      </c>
      <c r="G13615" s="9">
        <v>9200</v>
      </c>
      <c r="H13615" s="8">
        <v>5340</v>
      </c>
    </row>
    <row r="13616" spans="2:8" x14ac:dyDescent="0.4">
      <c r="B13616" t="s">
        <v>7</v>
      </c>
      <c r="C13616" t="s">
        <v>2114</v>
      </c>
      <c r="D13616" s="7">
        <f>DATE(2007,1,19)</f>
        <v>39101</v>
      </c>
      <c r="E13616" s="8">
        <f t="shared" si="224"/>
        <v>2007</v>
      </c>
      <c r="F13616" t="s">
        <v>2115</v>
      </c>
      <c r="G13616" s="9">
        <v>7350</v>
      </c>
      <c r="H13616" s="8">
        <v>5337</v>
      </c>
    </row>
    <row r="13617" spans="2:8" x14ac:dyDescent="0.4">
      <c r="B13617" t="s">
        <v>7</v>
      </c>
      <c r="C13617" t="s">
        <v>2114</v>
      </c>
      <c r="D13617" s="7">
        <f>DATE(2007,2,2)</f>
        <v>39115</v>
      </c>
      <c r="E13617" s="8">
        <f t="shared" si="224"/>
        <v>2007</v>
      </c>
      <c r="F13617" t="s">
        <v>2115</v>
      </c>
      <c r="G13617" s="9">
        <v>5257</v>
      </c>
      <c r="H13617" s="8">
        <v>5452</v>
      </c>
    </row>
    <row r="13618" spans="2:8" x14ac:dyDescent="0.4">
      <c r="B13618" t="s">
        <v>7</v>
      </c>
      <c r="C13618" t="s">
        <v>2114</v>
      </c>
      <c r="D13618" s="7">
        <f>DATE(2011,10,18)</f>
        <v>40834</v>
      </c>
      <c r="E13618" s="8">
        <f t="shared" si="224"/>
        <v>2011</v>
      </c>
      <c r="F13618" t="s">
        <v>2115</v>
      </c>
      <c r="G13618" s="9">
        <v>10280</v>
      </c>
      <c r="H13618" s="8">
        <v>11051</v>
      </c>
    </row>
    <row r="13619" spans="2:8" x14ac:dyDescent="0.4">
      <c r="B13619" t="s">
        <v>7</v>
      </c>
      <c r="C13619" t="s">
        <v>2114</v>
      </c>
      <c r="D13619" s="7">
        <f>DATE(2014,5,5)</f>
        <v>41764</v>
      </c>
      <c r="E13619" s="8">
        <f t="shared" si="224"/>
        <v>2014</v>
      </c>
      <c r="F13619" t="s">
        <v>2115</v>
      </c>
      <c r="G13619" s="9">
        <v>10935</v>
      </c>
      <c r="H13619" s="8">
        <v>13136</v>
      </c>
    </row>
    <row r="13620" spans="2:8" x14ac:dyDescent="0.4">
      <c r="B13620" t="s">
        <v>7</v>
      </c>
      <c r="C13620" t="s">
        <v>2114</v>
      </c>
      <c r="D13620" s="7">
        <f>DATE(2014,5,8)</f>
        <v>41767</v>
      </c>
      <c r="E13620" s="8">
        <f t="shared" si="224"/>
        <v>2014</v>
      </c>
      <c r="F13620" t="s">
        <v>2115</v>
      </c>
      <c r="G13620" s="9">
        <v>5530.16</v>
      </c>
      <c r="H13620" s="8">
        <v>13179</v>
      </c>
    </row>
    <row r="13621" spans="2:8" x14ac:dyDescent="0.4">
      <c r="B13621" t="s">
        <v>7</v>
      </c>
      <c r="C13621" t="s">
        <v>2114</v>
      </c>
      <c r="D13621" s="7">
        <f>DATE(2014,1,3)</f>
        <v>41642</v>
      </c>
      <c r="E13621" s="8">
        <f t="shared" si="224"/>
        <v>2014</v>
      </c>
      <c r="F13621" t="s">
        <v>2115</v>
      </c>
      <c r="G13621" s="9">
        <v>4543.13</v>
      </c>
      <c r="H13621" s="8">
        <v>12836</v>
      </c>
    </row>
    <row r="13622" spans="2:8" x14ac:dyDescent="0.4">
      <c r="B13622" t="s">
        <v>7</v>
      </c>
      <c r="C13622" t="s">
        <v>2116</v>
      </c>
      <c r="D13622" s="7">
        <f>DATE(2016,9,27)</f>
        <v>42640</v>
      </c>
      <c r="E13622" s="8">
        <f t="shared" si="224"/>
        <v>2016</v>
      </c>
      <c r="F13622" t="s">
        <v>2117</v>
      </c>
      <c r="G13622" s="9">
        <v>4627.92</v>
      </c>
      <c r="H13622" s="8">
        <v>23310</v>
      </c>
    </row>
    <row r="13623" spans="2:8" x14ac:dyDescent="0.4">
      <c r="B13623" s="3" t="s">
        <v>7</v>
      </c>
      <c r="C13623" s="3" t="s">
        <v>2118</v>
      </c>
      <c r="D13623" s="4">
        <f>DATE(2012,6,29)</f>
        <v>41089</v>
      </c>
      <c r="E13623" s="5">
        <f t="shared" si="224"/>
        <v>2012</v>
      </c>
      <c r="F13623" s="3" t="s">
        <v>2119</v>
      </c>
      <c r="G13623" s="6">
        <v>13500</v>
      </c>
      <c r="H13623" s="5">
        <v>5120</v>
      </c>
    </row>
    <row r="13624" spans="2:8" x14ac:dyDescent="0.4">
      <c r="B13624" t="s">
        <v>7</v>
      </c>
      <c r="C13624" t="s">
        <v>2120</v>
      </c>
      <c r="D13624" s="7">
        <f>DATE(2010,11,15)</f>
        <v>40497</v>
      </c>
      <c r="E13624" s="8">
        <f t="shared" si="224"/>
        <v>2010</v>
      </c>
      <c r="F13624" t="s">
        <v>2121</v>
      </c>
      <c r="G13624" s="9">
        <v>4023.81</v>
      </c>
      <c r="H13624" s="8">
        <v>10244</v>
      </c>
    </row>
    <row r="13625" spans="2:8" x14ac:dyDescent="0.4">
      <c r="B13625" t="s">
        <v>7</v>
      </c>
      <c r="C13625" t="s">
        <v>2122</v>
      </c>
      <c r="D13625" s="7">
        <f>DATE(2015,3,26)</f>
        <v>42089</v>
      </c>
      <c r="E13625" s="8">
        <f t="shared" si="224"/>
        <v>2015</v>
      </c>
      <c r="F13625" t="s">
        <v>2123</v>
      </c>
      <c r="G13625" s="9">
        <v>6673.31</v>
      </c>
      <c r="H13625" s="8">
        <v>20027</v>
      </c>
    </row>
    <row r="13626" spans="2:8" x14ac:dyDescent="0.4">
      <c r="B13626" t="s">
        <v>7</v>
      </c>
      <c r="C13626" t="s">
        <v>2122</v>
      </c>
      <c r="D13626" s="7">
        <f>DATE(2015,3,26)</f>
        <v>42089</v>
      </c>
      <c r="E13626" s="8">
        <f t="shared" si="224"/>
        <v>2015</v>
      </c>
      <c r="F13626" t="s">
        <v>2123</v>
      </c>
      <c r="G13626" s="9">
        <v>5528.95</v>
      </c>
      <c r="H13626" s="8">
        <v>20029</v>
      </c>
    </row>
    <row r="13627" spans="2:8" x14ac:dyDescent="0.4">
      <c r="B13627" t="s">
        <v>7</v>
      </c>
      <c r="C13627" t="s">
        <v>2122</v>
      </c>
      <c r="D13627" s="7">
        <f>DATE(2015,3,26)</f>
        <v>42089</v>
      </c>
      <c r="E13627" s="8">
        <f t="shared" si="224"/>
        <v>2015</v>
      </c>
      <c r="F13627" t="s">
        <v>2123</v>
      </c>
      <c r="G13627" s="9">
        <v>41797.65</v>
      </c>
      <c r="H13627" s="8">
        <v>20030</v>
      </c>
    </row>
    <row r="13628" spans="2:8" x14ac:dyDescent="0.4">
      <c r="B13628" t="s">
        <v>7</v>
      </c>
      <c r="C13628" t="s">
        <v>2122</v>
      </c>
      <c r="D13628" s="7">
        <f>DATE(2017,3,14)</f>
        <v>42808</v>
      </c>
      <c r="E13628" s="8">
        <f t="shared" si="224"/>
        <v>2017</v>
      </c>
      <c r="F13628" t="s">
        <v>2123</v>
      </c>
      <c r="G13628" s="9">
        <v>17596.79</v>
      </c>
      <c r="H13628" s="8">
        <v>24373</v>
      </c>
    </row>
    <row r="13629" spans="2:8" x14ac:dyDescent="0.4">
      <c r="B13629" t="s">
        <v>7</v>
      </c>
      <c r="C13629" t="s">
        <v>2122</v>
      </c>
      <c r="D13629" s="7">
        <f>DATE(2017,3,14)</f>
        <v>42808</v>
      </c>
      <c r="E13629" s="8">
        <f t="shared" si="224"/>
        <v>2017</v>
      </c>
      <c r="F13629" t="s">
        <v>2123</v>
      </c>
      <c r="G13629" s="9">
        <v>12721.8</v>
      </c>
      <c r="H13629" s="8">
        <v>24374</v>
      </c>
    </row>
    <row r="13630" spans="2:8" x14ac:dyDescent="0.4">
      <c r="B13630" t="s">
        <v>7</v>
      </c>
      <c r="C13630" t="s">
        <v>2122</v>
      </c>
      <c r="D13630" s="7">
        <f>DATE(2017,3,14)</f>
        <v>42808</v>
      </c>
      <c r="E13630" s="8">
        <f t="shared" si="224"/>
        <v>2017</v>
      </c>
      <c r="F13630" t="s">
        <v>2123</v>
      </c>
      <c r="G13630" s="9">
        <v>35230.42</v>
      </c>
      <c r="H13630" s="8">
        <v>24375</v>
      </c>
    </row>
    <row r="13631" spans="2:8" x14ac:dyDescent="0.4">
      <c r="B13631" t="s">
        <v>7</v>
      </c>
      <c r="C13631" t="s">
        <v>2122</v>
      </c>
      <c r="D13631" s="7">
        <f>DATE(2018,4,16)</f>
        <v>43206</v>
      </c>
      <c r="E13631" s="8">
        <f t="shared" si="224"/>
        <v>2018</v>
      </c>
      <c r="F13631" t="s">
        <v>2123</v>
      </c>
      <c r="G13631" s="9">
        <v>15716</v>
      </c>
      <c r="H13631" s="8">
        <v>26661</v>
      </c>
    </row>
    <row r="13632" spans="2:8" x14ac:dyDescent="0.4">
      <c r="B13632" t="s">
        <v>7</v>
      </c>
      <c r="C13632" t="s">
        <v>2122</v>
      </c>
      <c r="D13632" s="7">
        <f>DATE(2018,4,12)</f>
        <v>43202</v>
      </c>
      <c r="E13632" s="8">
        <f t="shared" si="224"/>
        <v>2018</v>
      </c>
      <c r="F13632" t="s">
        <v>2123</v>
      </c>
      <c r="G13632" s="9">
        <v>40527.75</v>
      </c>
      <c r="H13632" s="8">
        <v>26659</v>
      </c>
    </row>
    <row r="13633" spans="2:8" x14ac:dyDescent="0.4">
      <c r="B13633" t="s">
        <v>7</v>
      </c>
      <c r="C13633" t="s">
        <v>2122</v>
      </c>
      <c r="D13633" s="7">
        <f>DATE(2018,5,2)</f>
        <v>43222</v>
      </c>
      <c r="E13633" s="8">
        <f t="shared" si="224"/>
        <v>2018</v>
      </c>
      <c r="F13633" t="s">
        <v>2123</v>
      </c>
      <c r="G13633" s="9">
        <v>14498.49</v>
      </c>
      <c r="H13633" s="8">
        <v>26660</v>
      </c>
    </row>
    <row r="13634" spans="2:8" x14ac:dyDescent="0.4">
      <c r="B13634" t="s">
        <v>7</v>
      </c>
      <c r="C13634" t="s">
        <v>2122</v>
      </c>
      <c r="D13634" s="7">
        <f>DATE(2019,3,26)</f>
        <v>43550</v>
      </c>
      <c r="E13634" s="8">
        <f t="shared" si="224"/>
        <v>2019</v>
      </c>
      <c r="F13634" t="s">
        <v>2123</v>
      </c>
      <c r="G13634" s="9">
        <v>12072</v>
      </c>
      <c r="H13634" s="8">
        <v>28475</v>
      </c>
    </row>
    <row r="13635" spans="2:8" x14ac:dyDescent="0.4">
      <c r="B13635" t="s">
        <v>7</v>
      </c>
      <c r="C13635" t="s">
        <v>2122</v>
      </c>
      <c r="D13635" s="7">
        <f>DATE(2019,3,26)</f>
        <v>43550</v>
      </c>
      <c r="E13635" s="8">
        <f t="shared" ref="E13635:E13698" si="225">YEAR(D13635)</f>
        <v>2019</v>
      </c>
      <c r="F13635" t="s">
        <v>2123</v>
      </c>
      <c r="G13635" s="9">
        <v>12262</v>
      </c>
      <c r="H13635" s="8">
        <v>28476</v>
      </c>
    </row>
    <row r="13636" spans="2:8" x14ac:dyDescent="0.4">
      <c r="B13636" t="s">
        <v>7</v>
      </c>
      <c r="C13636" t="s">
        <v>2122</v>
      </c>
      <c r="D13636" s="7">
        <f>DATE(2019,3,26)</f>
        <v>43550</v>
      </c>
      <c r="E13636" s="8">
        <f t="shared" si="225"/>
        <v>2019</v>
      </c>
      <c r="F13636" t="s">
        <v>2123</v>
      </c>
      <c r="G13636" s="9">
        <v>39000</v>
      </c>
      <c r="H13636" s="8">
        <v>28474</v>
      </c>
    </row>
    <row r="13637" spans="2:8" x14ac:dyDescent="0.4">
      <c r="B13637" t="s">
        <v>7</v>
      </c>
      <c r="C13637" t="s">
        <v>2122</v>
      </c>
      <c r="D13637" s="7">
        <f>DATE(2017,6,22)</f>
        <v>42908</v>
      </c>
      <c r="E13637" s="8">
        <f t="shared" si="225"/>
        <v>2017</v>
      </c>
      <c r="F13637" t="s">
        <v>2123</v>
      </c>
      <c r="G13637" s="9">
        <v>99.6</v>
      </c>
      <c r="H13637" s="8">
        <v>25135</v>
      </c>
    </row>
    <row r="13638" spans="2:8" x14ac:dyDescent="0.4">
      <c r="B13638" t="s">
        <v>7</v>
      </c>
      <c r="C13638" t="s">
        <v>2122</v>
      </c>
      <c r="D13638" s="7">
        <f>DATE(2018,4,23)</f>
        <v>43213</v>
      </c>
      <c r="E13638" s="8">
        <f t="shared" si="225"/>
        <v>2018</v>
      </c>
      <c r="F13638" t="s">
        <v>2123</v>
      </c>
      <c r="G13638" s="9">
        <v>57.3</v>
      </c>
      <c r="H13638" s="8">
        <v>26911</v>
      </c>
    </row>
    <row r="13639" spans="2:8" x14ac:dyDescent="0.4">
      <c r="B13639" t="s">
        <v>7</v>
      </c>
      <c r="C13639" t="s">
        <v>2122</v>
      </c>
      <c r="D13639" s="7">
        <f>DATE(2014,4,17)</f>
        <v>41746</v>
      </c>
      <c r="E13639" s="8">
        <f t="shared" si="225"/>
        <v>2014</v>
      </c>
      <c r="F13639" t="s">
        <v>2123</v>
      </c>
      <c r="G13639" s="9">
        <v>12878.49</v>
      </c>
      <c r="H13639" s="8">
        <v>13084</v>
      </c>
    </row>
    <row r="13640" spans="2:8" x14ac:dyDescent="0.4">
      <c r="B13640" t="s">
        <v>7</v>
      </c>
      <c r="C13640" t="s">
        <v>2122</v>
      </c>
      <c r="D13640" s="7">
        <f>DATE(2014,4,17)</f>
        <v>41746</v>
      </c>
      <c r="E13640" s="8">
        <f t="shared" si="225"/>
        <v>2014</v>
      </c>
      <c r="F13640" t="s">
        <v>2123</v>
      </c>
      <c r="G13640" s="9">
        <v>14486.85</v>
      </c>
      <c r="H13640" s="8">
        <v>13083</v>
      </c>
    </row>
    <row r="13641" spans="2:8" x14ac:dyDescent="0.4">
      <c r="B13641" s="3" t="s">
        <v>7</v>
      </c>
      <c r="C13641" s="3" t="s">
        <v>2122</v>
      </c>
      <c r="D13641" s="4">
        <f>DATE(2014,4,11)</f>
        <v>41740</v>
      </c>
      <c r="E13641" s="5">
        <f t="shared" si="225"/>
        <v>2014</v>
      </c>
      <c r="F13641" s="3" t="s">
        <v>2123</v>
      </c>
      <c r="G13641" s="6">
        <v>54.3</v>
      </c>
      <c r="H13641" s="5">
        <v>19823</v>
      </c>
    </row>
    <row r="13642" spans="2:8" x14ac:dyDescent="0.4">
      <c r="B13642" t="s">
        <v>7</v>
      </c>
      <c r="C13642" t="s">
        <v>2122</v>
      </c>
      <c r="D13642" s="7">
        <f>DATE(2007,4,12)</f>
        <v>39184</v>
      </c>
      <c r="E13642" s="8">
        <f t="shared" si="225"/>
        <v>2007</v>
      </c>
      <c r="F13642" t="s">
        <v>2124</v>
      </c>
      <c r="G13642" s="9">
        <v>26096.15</v>
      </c>
      <c r="H13642" s="8">
        <v>5784</v>
      </c>
    </row>
    <row r="13643" spans="2:8" x14ac:dyDescent="0.4">
      <c r="B13643" t="s">
        <v>7</v>
      </c>
      <c r="C13643" t="s">
        <v>2122</v>
      </c>
      <c r="D13643" s="7">
        <f>DATE(2008,2,22)</f>
        <v>39500</v>
      </c>
      <c r="E13643" s="8">
        <f t="shared" si="225"/>
        <v>2008</v>
      </c>
      <c r="F13643" t="s">
        <v>2124</v>
      </c>
      <c r="G13643" s="9">
        <v>51071.25</v>
      </c>
      <c r="H13643" s="8">
        <v>6858</v>
      </c>
    </row>
    <row r="13644" spans="2:8" x14ac:dyDescent="0.4">
      <c r="B13644" t="s">
        <v>7</v>
      </c>
      <c r="C13644" t="s">
        <v>2122</v>
      </c>
      <c r="D13644" s="7">
        <f>DATE(2009,4,8)</f>
        <v>39911</v>
      </c>
      <c r="E13644" s="8">
        <f t="shared" si="225"/>
        <v>2009</v>
      </c>
      <c r="F13644" t="s">
        <v>2124</v>
      </c>
      <c r="G13644" s="9">
        <v>25085.84</v>
      </c>
      <c r="H13644" s="8">
        <v>8568</v>
      </c>
    </row>
    <row r="13645" spans="2:8" x14ac:dyDescent="0.4">
      <c r="B13645" t="s">
        <v>7</v>
      </c>
      <c r="C13645" t="s">
        <v>2122</v>
      </c>
      <c r="D13645" s="7">
        <f>DATE(2009,4,8)</f>
        <v>39911</v>
      </c>
      <c r="E13645" s="8">
        <f t="shared" si="225"/>
        <v>2009</v>
      </c>
      <c r="F13645" t="s">
        <v>2124</v>
      </c>
      <c r="G13645" s="9">
        <v>25055.3</v>
      </c>
      <c r="H13645" s="8">
        <v>8241</v>
      </c>
    </row>
    <row r="13646" spans="2:8" x14ac:dyDescent="0.4">
      <c r="B13646" t="s">
        <v>7</v>
      </c>
      <c r="C13646" t="s">
        <v>2122</v>
      </c>
      <c r="D13646" s="7">
        <f>DATE(2010,4,22)</f>
        <v>40290</v>
      </c>
      <c r="E13646" s="8">
        <f t="shared" si="225"/>
        <v>2010</v>
      </c>
      <c r="F13646" t="s">
        <v>2124</v>
      </c>
      <c r="G13646" s="9">
        <v>78950.77</v>
      </c>
      <c r="H13646" s="8">
        <v>9637</v>
      </c>
    </row>
    <row r="13647" spans="2:8" x14ac:dyDescent="0.4">
      <c r="B13647" t="s">
        <v>7</v>
      </c>
      <c r="C13647" t="s">
        <v>2122</v>
      </c>
      <c r="D13647" s="7">
        <f t="shared" ref="D13647:D13654" si="226">DATE(2010,9,8)</f>
        <v>40429</v>
      </c>
      <c r="E13647" s="8">
        <f t="shared" si="225"/>
        <v>2010</v>
      </c>
      <c r="F13647" t="s">
        <v>2124</v>
      </c>
      <c r="G13647" s="9">
        <v>28700.82</v>
      </c>
      <c r="H13647" s="8">
        <v>10049</v>
      </c>
    </row>
    <row r="13648" spans="2:8" x14ac:dyDescent="0.4">
      <c r="B13648" t="s">
        <v>7</v>
      </c>
      <c r="C13648" t="s">
        <v>2122</v>
      </c>
      <c r="D13648" s="7">
        <f t="shared" si="226"/>
        <v>40429</v>
      </c>
      <c r="E13648" s="8">
        <f t="shared" si="225"/>
        <v>2010</v>
      </c>
      <c r="F13648" t="s">
        <v>2124</v>
      </c>
      <c r="G13648" s="9">
        <v>2356.4699999999998</v>
      </c>
      <c r="H13648" s="8">
        <v>10059</v>
      </c>
    </row>
    <row r="13649" spans="2:8" x14ac:dyDescent="0.4">
      <c r="B13649" t="s">
        <v>7</v>
      </c>
      <c r="C13649" t="s">
        <v>2122</v>
      </c>
      <c r="D13649" s="7">
        <f t="shared" si="226"/>
        <v>40429</v>
      </c>
      <c r="E13649" s="8">
        <f t="shared" si="225"/>
        <v>2010</v>
      </c>
      <c r="F13649" t="s">
        <v>2124</v>
      </c>
      <c r="G13649" s="9">
        <v>1796.8</v>
      </c>
      <c r="H13649" s="8">
        <v>10056</v>
      </c>
    </row>
    <row r="13650" spans="2:8" x14ac:dyDescent="0.4">
      <c r="B13650" t="s">
        <v>7</v>
      </c>
      <c r="C13650" t="s">
        <v>2122</v>
      </c>
      <c r="D13650" s="7">
        <f t="shared" si="226"/>
        <v>40429</v>
      </c>
      <c r="E13650" s="8">
        <f t="shared" si="225"/>
        <v>2010</v>
      </c>
      <c r="F13650" t="s">
        <v>2124</v>
      </c>
      <c r="G13650" s="9">
        <v>1272</v>
      </c>
      <c r="H13650" s="8">
        <v>10058</v>
      </c>
    </row>
    <row r="13651" spans="2:8" x14ac:dyDescent="0.4">
      <c r="B13651" t="s">
        <v>7</v>
      </c>
      <c r="C13651" t="s">
        <v>2122</v>
      </c>
      <c r="D13651" s="7">
        <f t="shared" si="226"/>
        <v>40429</v>
      </c>
      <c r="E13651" s="8">
        <f t="shared" si="225"/>
        <v>2010</v>
      </c>
      <c r="F13651" t="s">
        <v>2124</v>
      </c>
      <c r="G13651" s="9">
        <v>549.5</v>
      </c>
      <c r="H13651" s="8">
        <v>10057</v>
      </c>
    </row>
    <row r="13652" spans="2:8" x14ac:dyDescent="0.4">
      <c r="B13652" t="s">
        <v>7</v>
      </c>
      <c r="C13652" t="s">
        <v>2122</v>
      </c>
      <c r="D13652" s="7">
        <f t="shared" si="226"/>
        <v>40429</v>
      </c>
      <c r="E13652" s="8">
        <f t="shared" si="225"/>
        <v>2010</v>
      </c>
      <c r="F13652" t="s">
        <v>2124</v>
      </c>
      <c r="G13652" s="9">
        <v>740.75</v>
      </c>
      <c r="H13652" s="8">
        <v>10054</v>
      </c>
    </row>
    <row r="13653" spans="2:8" x14ac:dyDescent="0.4">
      <c r="B13653" t="s">
        <v>7</v>
      </c>
      <c r="C13653" t="s">
        <v>2122</v>
      </c>
      <c r="D13653" s="7">
        <f t="shared" si="226"/>
        <v>40429</v>
      </c>
      <c r="E13653" s="8">
        <f t="shared" si="225"/>
        <v>2010</v>
      </c>
      <c r="F13653" t="s">
        <v>2124</v>
      </c>
      <c r="G13653" s="9">
        <v>292</v>
      </c>
      <c r="H13653" s="8">
        <v>10055</v>
      </c>
    </row>
    <row r="13654" spans="2:8" x14ac:dyDescent="0.4">
      <c r="B13654" t="s">
        <v>7</v>
      </c>
      <c r="C13654" t="s">
        <v>2122</v>
      </c>
      <c r="D13654" s="7">
        <f t="shared" si="226"/>
        <v>40429</v>
      </c>
      <c r="E13654" s="8">
        <f t="shared" si="225"/>
        <v>2010</v>
      </c>
      <c r="F13654" t="s">
        <v>2124</v>
      </c>
      <c r="G13654" s="9">
        <v>507.25</v>
      </c>
      <c r="H13654" s="8">
        <v>10053</v>
      </c>
    </row>
    <row r="13655" spans="2:8" x14ac:dyDescent="0.4">
      <c r="B13655" t="s">
        <v>7</v>
      </c>
      <c r="C13655" t="s">
        <v>2122</v>
      </c>
      <c r="D13655" s="7">
        <f>DATE(2010,9,15)</f>
        <v>40436</v>
      </c>
      <c r="E13655" s="8">
        <f t="shared" si="225"/>
        <v>2010</v>
      </c>
      <c r="F13655" t="s">
        <v>2124</v>
      </c>
      <c r="G13655" s="9">
        <v>26213</v>
      </c>
      <c r="H13655" s="8">
        <v>10066</v>
      </c>
    </row>
    <row r="13656" spans="2:8" x14ac:dyDescent="0.4">
      <c r="B13656" t="s">
        <v>7</v>
      </c>
      <c r="C13656" t="s">
        <v>2122</v>
      </c>
      <c r="D13656" s="7">
        <f>DATE(2010,9,16)</f>
        <v>40437</v>
      </c>
      <c r="E13656" s="8">
        <f t="shared" si="225"/>
        <v>2010</v>
      </c>
      <c r="F13656" t="s">
        <v>2124</v>
      </c>
      <c r="G13656" s="9">
        <v>76567.17</v>
      </c>
      <c r="H13656" s="8">
        <v>10078</v>
      </c>
    </row>
    <row r="13657" spans="2:8" x14ac:dyDescent="0.4">
      <c r="B13657" t="s">
        <v>7</v>
      </c>
      <c r="C13657" t="s">
        <v>2122</v>
      </c>
      <c r="D13657" s="7">
        <f>DATE(2011,5,10)</f>
        <v>40673</v>
      </c>
      <c r="E13657" s="8">
        <f t="shared" si="225"/>
        <v>2011</v>
      </c>
      <c r="F13657" t="s">
        <v>2124</v>
      </c>
      <c r="G13657" s="9">
        <v>40395</v>
      </c>
      <c r="H13657" s="8">
        <v>10709</v>
      </c>
    </row>
    <row r="13658" spans="2:8" x14ac:dyDescent="0.4">
      <c r="B13658" t="s">
        <v>7</v>
      </c>
      <c r="C13658" t="s">
        <v>2122</v>
      </c>
      <c r="D13658" s="7">
        <f>DATE(2011,5,3)</f>
        <v>40666</v>
      </c>
      <c r="E13658" s="8">
        <f t="shared" si="225"/>
        <v>2011</v>
      </c>
      <c r="F13658" t="s">
        <v>2124</v>
      </c>
      <c r="G13658" s="9">
        <v>5000</v>
      </c>
      <c r="H13658" s="8">
        <v>10712</v>
      </c>
    </row>
    <row r="13659" spans="2:8" x14ac:dyDescent="0.4">
      <c r="B13659" t="s">
        <v>7</v>
      </c>
      <c r="C13659" t="s">
        <v>2122</v>
      </c>
      <c r="D13659" s="7">
        <f>DATE(2011,5,2)</f>
        <v>40665</v>
      </c>
      <c r="E13659" s="8">
        <f t="shared" si="225"/>
        <v>2011</v>
      </c>
      <c r="F13659" t="s">
        <v>2124</v>
      </c>
      <c r="G13659" s="9">
        <v>5000</v>
      </c>
      <c r="H13659" s="8">
        <v>10713</v>
      </c>
    </row>
    <row r="13660" spans="2:8" x14ac:dyDescent="0.4">
      <c r="B13660" t="s">
        <v>7</v>
      </c>
      <c r="C13660" t="s">
        <v>2122</v>
      </c>
      <c r="D13660" s="7">
        <f>DATE(2012,3,21)</f>
        <v>40989</v>
      </c>
      <c r="E13660" s="8">
        <f t="shared" si="225"/>
        <v>2012</v>
      </c>
      <c r="F13660" t="s">
        <v>2124</v>
      </c>
      <c r="G13660" s="9">
        <v>5000</v>
      </c>
      <c r="H13660" s="8">
        <v>11365</v>
      </c>
    </row>
    <row r="13661" spans="2:8" x14ac:dyDescent="0.4">
      <c r="B13661" t="s">
        <v>7</v>
      </c>
      <c r="C13661" t="s">
        <v>2122</v>
      </c>
      <c r="D13661" s="7">
        <f>DATE(2012,3,21)</f>
        <v>40989</v>
      </c>
      <c r="E13661" s="8">
        <f t="shared" si="225"/>
        <v>2012</v>
      </c>
      <c r="F13661" t="s">
        <v>2124</v>
      </c>
      <c r="G13661" s="9">
        <v>5000</v>
      </c>
      <c r="H13661" s="8">
        <v>11364</v>
      </c>
    </row>
    <row r="13662" spans="2:8" x14ac:dyDescent="0.4">
      <c r="B13662" t="s">
        <v>7</v>
      </c>
      <c r="C13662" t="s">
        <v>2122</v>
      </c>
      <c r="D13662" s="7">
        <f>DATE(2012,3,21)</f>
        <v>40989</v>
      </c>
      <c r="E13662" s="8">
        <f t="shared" si="225"/>
        <v>2012</v>
      </c>
      <c r="F13662" t="s">
        <v>2124</v>
      </c>
      <c r="G13662" s="9">
        <v>40000</v>
      </c>
      <c r="H13662" s="8">
        <v>11363</v>
      </c>
    </row>
    <row r="13663" spans="2:8" x14ac:dyDescent="0.4">
      <c r="B13663" t="s">
        <v>7</v>
      </c>
      <c r="C13663" t="s">
        <v>2122</v>
      </c>
      <c r="D13663" s="7">
        <f>DATE(2012,6,2)</f>
        <v>41062</v>
      </c>
      <c r="E13663" s="8">
        <f t="shared" si="225"/>
        <v>2012</v>
      </c>
      <c r="F13663" t="s">
        <v>2124</v>
      </c>
      <c r="G13663" s="9">
        <v>30432.240000000002</v>
      </c>
      <c r="H13663" s="8">
        <v>11653</v>
      </c>
    </row>
    <row r="13664" spans="2:8" x14ac:dyDescent="0.4">
      <c r="B13664" t="s">
        <v>7</v>
      </c>
      <c r="C13664" t="s">
        <v>2122</v>
      </c>
      <c r="D13664" s="7">
        <f>DATE(2012,9,24)</f>
        <v>41176</v>
      </c>
      <c r="E13664" s="8">
        <f t="shared" si="225"/>
        <v>2012</v>
      </c>
      <c r="F13664" t="s">
        <v>2124</v>
      </c>
      <c r="G13664" s="9">
        <v>61076.03</v>
      </c>
      <c r="H13664" s="8">
        <v>11857</v>
      </c>
    </row>
    <row r="13665" spans="2:8" x14ac:dyDescent="0.4">
      <c r="B13665" t="s">
        <v>7</v>
      </c>
      <c r="C13665" t="s">
        <v>2122</v>
      </c>
      <c r="D13665" s="7">
        <f>DATE(2012,9,24)</f>
        <v>41176</v>
      </c>
      <c r="E13665" s="8">
        <f t="shared" si="225"/>
        <v>2012</v>
      </c>
      <c r="F13665" t="s">
        <v>2124</v>
      </c>
      <c r="G13665" s="9">
        <v>41005.57</v>
      </c>
      <c r="H13665" s="8">
        <v>11833</v>
      </c>
    </row>
    <row r="13666" spans="2:8" x14ac:dyDescent="0.4">
      <c r="B13666" t="s">
        <v>7</v>
      </c>
      <c r="C13666" t="s">
        <v>2122</v>
      </c>
      <c r="D13666" s="7">
        <f>DATE(2013,4,10)</f>
        <v>41374</v>
      </c>
      <c r="E13666" s="8">
        <f t="shared" si="225"/>
        <v>2013</v>
      </c>
      <c r="F13666" t="s">
        <v>2124</v>
      </c>
      <c r="G13666" s="9">
        <v>5517.71</v>
      </c>
      <c r="H13666" s="8">
        <v>12354</v>
      </c>
    </row>
    <row r="13667" spans="2:8" x14ac:dyDescent="0.4">
      <c r="B13667" t="s">
        <v>7</v>
      </c>
      <c r="C13667" t="s">
        <v>2122</v>
      </c>
      <c r="D13667" s="7">
        <f>DATE(2013,4,10)</f>
        <v>41374</v>
      </c>
      <c r="E13667" s="8">
        <f t="shared" si="225"/>
        <v>2013</v>
      </c>
      <c r="F13667" t="s">
        <v>2124</v>
      </c>
      <c r="G13667" s="9">
        <v>9785.41</v>
      </c>
      <c r="H13667" s="8">
        <v>12355</v>
      </c>
    </row>
    <row r="13668" spans="2:8" x14ac:dyDescent="0.4">
      <c r="B13668" t="s">
        <v>7</v>
      </c>
      <c r="C13668" t="s">
        <v>2122</v>
      </c>
      <c r="D13668" s="7">
        <f>DATE(2013,4,10)</f>
        <v>41374</v>
      </c>
      <c r="E13668" s="8">
        <f t="shared" si="225"/>
        <v>2013</v>
      </c>
      <c r="F13668" t="s">
        <v>2124</v>
      </c>
      <c r="G13668" s="9">
        <v>40852.44</v>
      </c>
      <c r="H13668" s="8">
        <v>12349</v>
      </c>
    </row>
    <row r="13669" spans="2:8" x14ac:dyDescent="0.4">
      <c r="B13669" t="s">
        <v>7</v>
      </c>
      <c r="C13669" t="s">
        <v>2122</v>
      </c>
      <c r="D13669" s="7">
        <f>DATE(2014,2,14)</f>
        <v>41684</v>
      </c>
      <c r="E13669" s="8">
        <f t="shared" si="225"/>
        <v>2014</v>
      </c>
      <c r="F13669" t="s">
        <v>2124</v>
      </c>
      <c r="G13669" s="9">
        <v>41912.400000000001</v>
      </c>
      <c r="H13669" s="8">
        <v>12919</v>
      </c>
    </row>
    <row r="13670" spans="2:8" x14ac:dyDescent="0.4">
      <c r="B13670" s="3" t="s">
        <v>7</v>
      </c>
      <c r="C13670" s="3" t="s">
        <v>2122</v>
      </c>
      <c r="D13670" s="4">
        <f>DATE(2004,6,30)</f>
        <v>38168</v>
      </c>
      <c r="E13670" s="5">
        <f t="shared" si="225"/>
        <v>2004</v>
      </c>
      <c r="F13670" s="3" t="s">
        <v>2124</v>
      </c>
      <c r="G13670" s="6">
        <v>63.42</v>
      </c>
      <c r="H13670" s="5">
        <v>3064</v>
      </c>
    </row>
    <row r="13671" spans="2:8" x14ac:dyDescent="0.4">
      <c r="B13671" s="3" t="s">
        <v>7</v>
      </c>
      <c r="C13671" s="3" t="s">
        <v>2122</v>
      </c>
      <c r="D13671" s="4">
        <f>DATE(2004,9,29)</f>
        <v>38259</v>
      </c>
      <c r="E13671" s="5">
        <f t="shared" si="225"/>
        <v>2004</v>
      </c>
      <c r="F13671" s="3" t="s">
        <v>2124</v>
      </c>
      <c r="G13671" s="6">
        <v>187.75</v>
      </c>
      <c r="H13671" s="5">
        <v>3489</v>
      </c>
    </row>
    <row r="13672" spans="2:8" x14ac:dyDescent="0.4">
      <c r="B13672" s="3" t="s">
        <v>7</v>
      </c>
      <c r="C13672" s="3" t="s">
        <v>2122</v>
      </c>
      <c r="D13672" s="4">
        <f>DATE(2004,11,11)</f>
        <v>38302</v>
      </c>
      <c r="E13672" s="5">
        <f t="shared" si="225"/>
        <v>2004</v>
      </c>
      <c r="F13672" s="3" t="s">
        <v>2124</v>
      </c>
      <c r="G13672" s="6">
        <v>325</v>
      </c>
      <c r="H13672" s="5">
        <v>3695</v>
      </c>
    </row>
    <row r="13673" spans="2:8" x14ac:dyDescent="0.4">
      <c r="B13673" s="3" t="s">
        <v>7</v>
      </c>
      <c r="C13673" s="3" t="s">
        <v>2122</v>
      </c>
      <c r="D13673" s="4">
        <f>DATE(2004,11,16)</f>
        <v>38307</v>
      </c>
      <c r="E13673" s="5">
        <f t="shared" si="225"/>
        <v>2004</v>
      </c>
      <c r="F13673" s="3" t="s">
        <v>2124</v>
      </c>
      <c r="G13673" s="6">
        <v>567</v>
      </c>
      <c r="H13673" s="5">
        <v>3552</v>
      </c>
    </row>
    <row r="13674" spans="2:8" x14ac:dyDescent="0.4">
      <c r="B13674" s="3" t="s">
        <v>7</v>
      </c>
      <c r="C13674" s="3" t="s">
        <v>2122</v>
      </c>
      <c r="D13674" s="4">
        <f>DATE(2004,11,24)</f>
        <v>38315</v>
      </c>
      <c r="E13674" s="5">
        <f t="shared" si="225"/>
        <v>2004</v>
      </c>
      <c r="F13674" s="3" t="s">
        <v>2124</v>
      </c>
      <c r="G13674" s="6">
        <v>558</v>
      </c>
      <c r="H13674" s="5">
        <v>3753</v>
      </c>
    </row>
    <row r="13675" spans="2:8" x14ac:dyDescent="0.4">
      <c r="B13675" s="3" t="s">
        <v>7</v>
      </c>
      <c r="C13675" s="3" t="s">
        <v>2122</v>
      </c>
      <c r="D13675" s="4">
        <f>DATE(2004,12,13)</f>
        <v>38334</v>
      </c>
      <c r="E13675" s="5">
        <f t="shared" si="225"/>
        <v>2004</v>
      </c>
      <c r="F13675" s="3" t="s">
        <v>2124</v>
      </c>
      <c r="G13675" s="6">
        <v>274.25</v>
      </c>
      <c r="H13675" s="5">
        <v>3816</v>
      </c>
    </row>
    <row r="13676" spans="2:8" x14ac:dyDescent="0.4">
      <c r="B13676" s="3" t="s">
        <v>7</v>
      </c>
      <c r="C13676" s="3" t="s">
        <v>2122</v>
      </c>
      <c r="D13676" s="4">
        <f>DATE(2005,11,16)</f>
        <v>38672</v>
      </c>
      <c r="E13676" s="5">
        <f t="shared" si="225"/>
        <v>2005</v>
      </c>
      <c r="F13676" s="3" t="s">
        <v>2124</v>
      </c>
      <c r="G13676" s="6">
        <v>41</v>
      </c>
      <c r="H13676" s="5">
        <v>5584</v>
      </c>
    </row>
    <row r="13677" spans="2:8" x14ac:dyDescent="0.4">
      <c r="B13677" s="3" t="s">
        <v>7</v>
      </c>
      <c r="C13677" s="3" t="s">
        <v>2122</v>
      </c>
      <c r="D13677" s="4">
        <f>DATE(2005,11,18)</f>
        <v>38674</v>
      </c>
      <c r="E13677" s="5">
        <f t="shared" si="225"/>
        <v>2005</v>
      </c>
      <c r="F13677" s="3" t="s">
        <v>2124</v>
      </c>
      <c r="G13677" s="6">
        <v>41</v>
      </c>
      <c r="H13677" s="5">
        <v>5600</v>
      </c>
    </row>
    <row r="13678" spans="2:8" x14ac:dyDescent="0.4">
      <c r="B13678" s="3" t="s">
        <v>7</v>
      </c>
      <c r="C13678" s="3" t="s">
        <v>2122</v>
      </c>
      <c r="D13678" s="4">
        <f>DATE(2005,11,28)</f>
        <v>38684</v>
      </c>
      <c r="E13678" s="5">
        <f t="shared" si="225"/>
        <v>2005</v>
      </c>
      <c r="F13678" s="3" t="s">
        <v>2124</v>
      </c>
      <c r="G13678" s="6">
        <v>41</v>
      </c>
      <c r="H13678" s="5">
        <v>5618</v>
      </c>
    </row>
    <row r="13679" spans="2:8" x14ac:dyDescent="0.4">
      <c r="B13679" s="3" t="s">
        <v>7</v>
      </c>
      <c r="C13679" s="3" t="s">
        <v>2122</v>
      </c>
      <c r="D13679" s="4">
        <f>DATE(2005,12,6)</f>
        <v>38692</v>
      </c>
      <c r="E13679" s="5">
        <f t="shared" si="225"/>
        <v>2005</v>
      </c>
      <c r="F13679" s="3" t="s">
        <v>2124</v>
      </c>
      <c r="G13679" s="6">
        <v>41</v>
      </c>
      <c r="H13679" s="5">
        <v>5697</v>
      </c>
    </row>
    <row r="13680" spans="2:8" x14ac:dyDescent="0.4">
      <c r="B13680" s="3" t="s">
        <v>7</v>
      </c>
      <c r="C13680" s="3" t="s">
        <v>2122</v>
      </c>
      <c r="D13680" s="4">
        <f>DATE(2005,12,9)</f>
        <v>38695</v>
      </c>
      <c r="E13680" s="5">
        <f t="shared" si="225"/>
        <v>2005</v>
      </c>
      <c r="F13680" s="3" t="s">
        <v>2124</v>
      </c>
      <c r="G13680" s="6">
        <v>41</v>
      </c>
      <c r="H13680" s="5">
        <v>5713</v>
      </c>
    </row>
    <row r="13681" spans="2:8" x14ac:dyDescent="0.4">
      <c r="B13681" s="3" t="s">
        <v>7</v>
      </c>
      <c r="C13681" s="3" t="s">
        <v>2122</v>
      </c>
      <c r="D13681" s="4">
        <f>DATE(2006,11,16)</f>
        <v>39037</v>
      </c>
      <c r="E13681" s="5">
        <f t="shared" si="225"/>
        <v>2006</v>
      </c>
      <c r="F13681" s="3" t="s">
        <v>2124</v>
      </c>
      <c r="G13681" s="6">
        <v>38.5</v>
      </c>
      <c r="H13681" s="5">
        <v>7545</v>
      </c>
    </row>
    <row r="13682" spans="2:8" x14ac:dyDescent="0.4">
      <c r="B13682" s="3" t="s">
        <v>7</v>
      </c>
      <c r="C13682" s="3" t="s">
        <v>2122</v>
      </c>
      <c r="D13682" s="4">
        <f>DATE(2007,11,30)</f>
        <v>39416</v>
      </c>
      <c r="E13682" s="5">
        <f t="shared" si="225"/>
        <v>2007</v>
      </c>
      <c r="F13682" s="3" t="s">
        <v>2124</v>
      </c>
      <c r="G13682" s="6">
        <v>63.74</v>
      </c>
      <c r="H13682" s="5">
        <v>9552</v>
      </c>
    </row>
    <row r="13683" spans="2:8" x14ac:dyDescent="0.4">
      <c r="B13683" s="3" t="s">
        <v>7</v>
      </c>
      <c r="C13683" s="3" t="s">
        <v>2122</v>
      </c>
      <c r="D13683" s="4">
        <f>DATE(2007,12,10)</f>
        <v>39426</v>
      </c>
      <c r="E13683" s="5">
        <f t="shared" si="225"/>
        <v>2007</v>
      </c>
      <c r="F13683" s="3" t="s">
        <v>2124</v>
      </c>
      <c r="G13683" s="6">
        <v>118.25</v>
      </c>
      <c r="H13683" s="5">
        <v>9576</v>
      </c>
    </row>
    <row r="13684" spans="2:8" x14ac:dyDescent="0.4">
      <c r="B13684" s="3" t="s">
        <v>7</v>
      </c>
      <c r="C13684" s="3" t="s">
        <v>2122</v>
      </c>
      <c r="D13684" s="4">
        <f>DATE(2008,2,1)</f>
        <v>39479</v>
      </c>
      <c r="E13684" s="5">
        <f t="shared" si="225"/>
        <v>2008</v>
      </c>
      <c r="F13684" s="3" t="s">
        <v>2124</v>
      </c>
      <c r="G13684" s="6">
        <v>39.5</v>
      </c>
      <c r="H13684" s="5">
        <v>9850</v>
      </c>
    </row>
    <row r="13685" spans="2:8" x14ac:dyDescent="0.4">
      <c r="B13685" s="3" t="s">
        <v>7</v>
      </c>
      <c r="C13685" s="3" t="s">
        <v>2122</v>
      </c>
      <c r="D13685" s="4">
        <f>DATE(2008,2,25)</f>
        <v>39503</v>
      </c>
      <c r="E13685" s="5">
        <f t="shared" si="225"/>
        <v>2008</v>
      </c>
      <c r="F13685" s="3" t="s">
        <v>2124</v>
      </c>
      <c r="G13685" s="6">
        <v>244.5</v>
      </c>
      <c r="H13685" s="5">
        <v>9947</v>
      </c>
    </row>
    <row r="13686" spans="2:8" x14ac:dyDescent="0.4">
      <c r="B13686" s="3" t="s">
        <v>7</v>
      </c>
      <c r="C13686" s="3" t="s">
        <v>2122</v>
      </c>
      <c r="D13686" s="4">
        <f>DATE(2010,8,27)</f>
        <v>40417</v>
      </c>
      <c r="E13686" s="5">
        <f t="shared" si="225"/>
        <v>2010</v>
      </c>
      <c r="F13686" s="3" t="s">
        <v>2124</v>
      </c>
      <c r="G13686" s="6">
        <v>245.5</v>
      </c>
      <c r="H13686" s="5">
        <v>14435</v>
      </c>
    </row>
    <row r="13687" spans="2:8" x14ac:dyDescent="0.4">
      <c r="B13687" s="3" t="s">
        <v>7</v>
      </c>
      <c r="C13687" s="3" t="s">
        <v>2122</v>
      </c>
      <c r="D13687" s="4">
        <f>DATE(2011,4,15)</f>
        <v>40648</v>
      </c>
      <c r="E13687" s="5">
        <f t="shared" si="225"/>
        <v>2011</v>
      </c>
      <c r="F13687" s="3" t="s">
        <v>2124</v>
      </c>
      <c r="G13687" s="6">
        <v>250.5</v>
      </c>
      <c r="H13687" s="5">
        <v>15450</v>
      </c>
    </row>
    <row r="13688" spans="2:8" x14ac:dyDescent="0.4">
      <c r="B13688" s="3" t="s">
        <v>7</v>
      </c>
      <c r="C13688" s="3" t="s">
        <v>2122</v>
      </c>
      <c r="D13688" s="4">
        <f>DATE(2012,5,23)</f>
        <v>41052</v>
      </c>
      <c r="E13688" s="5">
        <f t="shared" si="225"/>
        <v>2012</v>
      </c>
      <c r="F13688" s="3" t="s">
        <v>2124</v>
      </c>
      <c r="G13688" s="6">
        <v>250.5</v>
      </c>
      <c r="H13688" s="5">
        <v>17176</v>
      </c>
    </row>
    <row r="13689" spans="2:8" x14ac:dyDescent="0.4">
      <c r="B13689" s="3" t="s">
        <v>7</v>
      </c>
      <c r="C13689" s="3" t="s">
        <v>2122</v>
      </c>
      <c r="D13689" s="4">
        <f>DATE(2012,9,19)</f>
        <v>41171</v>
      </c>
      <c r="E13689" s="5">
        <f t="shared" si="225"/>
        <v>2012</v>
      </c>
      <c r="F13689" s="3" t="s">
        <v>2124</v>
      </c>
      <c r="G13689" s="6">
        <v>74.22</v>
      </c>
      <c r="H13689" s="5">
        <v>17615</v>
      </c>
    </row>
    <row r="13690" spans="2:8" x14ac:dyDescent="0.4">
      <c r="B13690" t="s">
        <v>7</v>
      </c>
      <c r="C13690" t="s">
        <v>2125</v>
      </c>
      <c r="D13690" s="7">
        <f>DATE(2017,6,15)</f>
        <v>42901</v>
      </c>
      <c r="E13690" s="8">
        <f t="shared" si="225"/>
        <v>2017</v>
      </c>
      <c r="F13690" t="s">
        <v>2126</v>
      </c>
      <c r="G13690" s="9">
        <v>26719.439999999999</v>
      </c>
      <c r="H13690" s="8">
        <v>24918</v>
      </c>
    </row>
    <row r="13691" spans="2:8" x14ac:dyDescent="0.4">
      <c r="B13691" s="3" t="s">
        <v>7</v>
      </c>
      <c r="C13691" s="3" t="s">
        <v>2125</v>
      </c>
      <c r="D13691" s="4">
        <f>DATE(2011,12,20)</f>
        <v>40897</v>
      </c>
      <c r="E13691" s="5">
        <f t="shared" si="225"/>
        <v>2011</v>
      </c>
      <c r="F13691" s="3" t="s">
        <v>2127</v>
      </c>
      <c r="G13691" s="6">
        <v>2250</v>
      </c>
      <c r="H13691" s="5">
        <v>4724</v>
      </c>
    </row>
    <row r="13692" spans="2:8" x14ac:dyDescent="0.4">
      <c r="B13692" s="3" t="s">
        <v>7</v>
      </c>
      <c r="C13692" s="3" t="s">
        <v>2128</v>
      </c>
      <c r="D13692" s="4">
        <f>DATE(2009,5,20)</f>
        <v>39953</v>
      </c>
      <c r="E13692" s="5">
        <f t="shared" si="225"/>
        <v>2009</v>
      </c>
      <c r="F13692" s="3" t="s">
        <v>2129</v>
      </c>
      <c r="G13692" s="6">
        <v>4755.6000000000004</v>
      </c>
      <c r="H13692" s="5">
        <v>12357</v>
      </c>
    </row>
    <row r="13693" spans="2:8" x14ac:dyDescent="0.4">
      <c r="B13693" s="3" t="s">
        <v>7</v>
      </c>
      <c r="C13693" s="3" t="s">
        <v>2128</v>
      </c>
      <c r="D13693" s="4">
        <f>DATE(2012,12,5)</f>
        <v>41248</v>
      </c>
      <c r="E13693" s="5">
        <f t="shared" si="225"/>
        <v>2012</v>
      </c>
      <c r="F13693" s="3" t="s">
        <v>2129</v>
      </c>
      <c r="G13693" s="6">
        <v>7296.72</v>
      </c>
      <c r="H13693" s="5">
        <v>17780</v>
      </c>
    </row>
    <row r="13694" spans="2:8" x14ac:dyDescent="0.4">
      <c r="B13694" s="3" t="s">
        <v>7</v>
      </c>
      <c r="C13694" s="3" t="s">
        <v>2128</v>
      </c>
      <c r="D13694" s="4">
        <f>DATE(2013,2,26)</f>
        <v>41331</v>
      </c>
      <c r="E13694" s="5">
        <f t="shared" si="225"/>
        <v>2013</v>
      </c>
      <c r="F13694" s="3" t="s">
        <v>2129</v>
      </c>
      <c r="G13694" s="6">
        <v>375.7</v>
      </c>
      <c r="H13694" s="5">
        <v>18075</v>
      </c>
    </row>
    <row r="13695" spans="2:8" x14ac:dyDescent="0.4">
      <c r="B13695" t="s">
        <v>7</v>
      </c>
      <c r="C13695" t="s">
        <v>2130</v>
      </c>
      <c r="D13695" s="7">
        <f>DATE(2010,3,23)</f>
        <v>40260</v>
      </c>
      <c r="E13695" s="8">
        <f t="shared" si="225"/>
        <v>2010</v>
      </c>
      <c r="F13695" t="s">
        <v>2131</v>
      </c>
      <c r="G13695" s="9">
        <v>1242</v>
      </c>
      <c r="H13695" s="8">
        <v>9665</v>
      </c>
    </row>
    <row r="13696" spans="2:8" x14ac:dyDescent="0.4">
      <c r="B13696" t="s">
        <v>7</v>
      </c>
      <c r="C13696" t="s">
        <v>2130</v>
      </c>
      <c r="D13696" s="7">
        <f>DATE(2010,3,23)</f>
        <v>40260</v>
      </c>
      <c r="E13696" s="8">
        <f t="shared" si="225"/>
        <v>2010</v>
      </c>
      <c r="F13696" t="s">
        <v>2131</v>
      </c>
      <c r="G13696" s="9">
        <v>1242</v>
      </c>
      <c r="H13696" s="8">
        <v>9664</v>
      </c>
    </row>
    <row r="13697" spans="2:8" x14ac:dyDescent="0.4">
      <c r="B13697" t="s">
        <v>7</v>
      </c>
      <c r="C13697" t="s">
        <v>2132</v>
      </c>
      <c r="D13697" s="7">
        <f>DATE(2015,6,9)</f>
        <v>42164</v>
      </c>
      <c r="E13697" s="8">
        <f t="shared" si="225"/>
        <v>2015</v>
      </c>
      <c r="F13697" t="s">
        <v>2133</v>
      </c>
      <c r="G13697" s="9">
        <v>4080.58</v>
      </c>
      <c r="H13697" s="8">
        <v>20658</v>
      </c>
    </row>
    <row r="13698" spans="2:8" x14ac:dyDescent="0.4">
      <c r="B13698" t="s">
        <v>7</v>
      </c>
      <c r="C13698" t="s">
        <v>2132</v>
      </c>
      <c r="D13698" s="7">
        <f>DATE(2004,1,8)</f>
        <v>37994</v>
      </c>
      <c r="E13698" s="8">
        <f t="shared" si="225"/>
        <v>2004</v>
      </c>
      <c r="F13698" t="s">
        <v>2133</v>
      </c>
      <c r="G13698" s="9">
        <v>12904.56</v>
      </c>
      <c r="H13698" s="8">
        <v>1111</v>
      </c>
    </row>
    <row r="13699" spans="2:8" x14ac:dyDescent="0.4">
      <c r="B13699" t="s">
        <v>7</v>
      </c>
      <c r="C13699" t="s">
        <v>2132</v>
      </c>
      <c r="D13699" s="7">
        <f>DATE(2004,5,15)</f>
        <v>38122</v>
      </c>
      <c r="E13699" s="8">
        <f t="shared" ref="E13699:E13762" si="227">YEAR(D13699)</f>
        <v>2004</v>
      </c>
      <c r="F13699" t="s">
        <v>2133</v>
      </c>
      <c r="G13699" s="9">
        <v>23873</v>
      </c>
      <c r="H13699" s="8">
        <v>1639</v>
      </c>
    </row>
    <row r="13700" spans="2:8" x14ac:dyDescent="0.4">
      <c r="B13700" t="s">
        <v>7</v>
      </c>
      <c r="C13700" t="s">
        <v>2132</v>
      </c>
      <c r="D13700" s="7">
        <f>DATE(2004,5,15)</f>
        <v>38122</v>
      </c>
      <c r="E13700" s="8">
        <f t="shared" si="227"/>
        <v>2004</v>
      </c>
      <c r="F13700" t="s">
        <v>2133</v>
      </c>
      <c r="G13700" s="9">
        <v>5143.32</v>
      </c>
      <c r="H13700" s="8">
        <v>1774</v>
      </c>
    </row>
    <row r="13701" spans="2:8" x14ac:dyDescent="0.4">
      <c r="B13701" t="s">
        <v>7</v>
      </c>
      <c r="C13701" t="s">
        <v>2132</v>
      </c>
      <c r="D13701" s="7">
        <f>DATE(2004,8,18)</f>
        <v>38217</v>
      </c>
      <c r="E13701" s="8">
        <f t="shared" si="227"/>
        <v>2004</v>
      </c>
      <c r="F13701" t="s">
        <v>2133</v>
      </c>
      <c r="G13701" s="9">
        <v>13244.84</v>
      </c>
      <c r="H13701" s="8">
        <v>2064</v>
      </c>
    </row>
    <row r="13702" spans="2:8" x14ac:dyDescent="0.4">
      <c r="B13702" t="s">
        <v>7</v>
      </c>
      <c r="C13702" t="s">
        <v>2132</v>
      </c>
      <c r="D13702" s="7">
        <f>DATE(2004,12,9)</f>
        <v>38330</v>
      </c>
      <c r="E13702" s="8">
        <f t="shared" si="227"/>
        <v>2004</v>
      </c>
      <c r="F13702" t="s">
        <v>2133</v>
      </c>
      <c r="G13702" s="9">
        <v>3668.25</v>
      </c>
      <c r="H13702" s="8">
        <v>2427</v>
      </c>
    </row>
    <row r="13703" spans="2:8" x14ac:dyDescent="0.4">
      <c r="B13703" t="s">
        <v>7</v>
      </c>
      <c r="C13703" t="s">
        <v>2132</v>
      </c>
      <c r="D13703" s="7">
        <f>DATE(2005,3,19)</f>
        <v>38430</v>
      </c>
      <c r="E13703" s="8">
        <f t="shared" si="227"/>
        <v>2005</v>
      </c>
      <c r="F13703" t="s">
        <v>2133</v>
      </c>
      <c r="G13703" s="9">
        <v>28258.91</v>
      </c>
      <c r="H13703" s="8">
        <v>2538</v>
      </c>
    </row>
    <row r="13704" spans="2:8" x14ac:dyDescent="0.4">
      <c r="B13704" t="s">
        <v>7</v>
      </c>
      <c r="C13704" t="s">
        <v>2132</v>
      </c>
      <c r="D13704" s="7">
        <f>DATE(2005,7,22)</f>
        <v>38555</v>
      </c>
      <c r="E13704" s="8">
        <f t="shared" si="227"/>
        <v>2005</v>
      </c>
      <c r="F13704" t="s">
        <v>2133</v>
      </c>
      <c r="G13704" s="9">
        <v>3176.49</v>
      </c>
      <c r="H13704" s="8">
        <v>3402</v>
      </c>
    </row>
    <row r="13705" spans="2:8" x14ac:dyDescent="0.4">
      <c r="B13705" t="s">
        <v>7</v>
      </c>
      <c r="C13705" t="s">
        <v>2132</v>
      </c>
      <c r="D13705" s="7">
        <f>DATE(2005,8,22)</f>
        <v>38586</v>
      </c>
      <c r="E13705" s="8">
        <f t="shared" si="227"/>
        <v>2005</v>
      </c>
      <c r="F13705" t="s">
        <v>2133</v>
      </c>
      <c r="G13705" s="9">
        <v>19060.16</v>
      </c>
      <c r="H13705" s="8">
        <v>3494</v>
      </c>
    </row>
    <row r="13706" spans="2:8" x14ac:dyDescent="0.4">
      <c r="B13706" t="s">
        <v>7</v>
      </c>
      <c r="C13706" t="s">
        <v>2132</v>
      </c>
      <c r="D13706" s="7">
        <f>DATE(2006,5,4)</f>
        <v>38841</v>
      </c>
      <c r="E13706" s="8">
        <f t="shared" si="227"/>
        <v>2006</v>
      </c>
      <c r="F13706" t="s">
        <v>2133</v>
      </c>
      <c r="G13706" s="9">
        <v>16803.7</v>
      </c>
      <c r="H13706" s="8">
        <v>4371</v>
      </c>
    </row>
    <row r="13707" spans="2:8" x14ac:dyDescent="0.4">
      <c r="B13707" t="s">
        <v>7</v>
      </c>
      <c r="C13707" t="s">
        <v>2132</v>
      </c>
      <c r="D13707" s="7">
        <f>DATE(2007,2,21)</f>
        <v>39134</v>
      </c>
      <c r="E13707" s="8">
        <f t="shared" si="227"/>
        <v>2007</v>
      </c>
      <c r="F13707" t="s">
        <v>2133</v>
      </c>
      <c r="G13707" s="9">
        <v>1297.75</v>
      </c>
      <c r="H13707" s="8">
        <v>5587</v>
      </c>
    </row>
    <row r="13708" spans="2:8" x14ac:dyDescent="0.4">
      <c r="B13708" t="s">
        <v>7</v>
      </c>
      <c r="C13708" t="s">
        <v>2132</v>
      </c>
      <c r="D13708" s="7">
        <f>DATE(2011,4,21)</f>
        <v>40654</v>
      </c>
      <c r="E13708" s="8">
        <f t="shared" si="227"/>
        <v>2011</v>
      </c>
      <c r="F13708" t="s">
        <v>2133</v>
      </c>
      <c r="G13708" s="9">
        <v>29847</v>
      </c>
      <c r="H13708" s="8">
        <v>10639</v>
      </c>
    </row>
    <row r="13709" spans="2:8" x14ac:dyDescent="0.4">
      <c r="B13709" t="s">
        <v>7</v>
      </c>
      <c r="C13709" t="s">
        <v>2132</v>
      </c>
      <c r="D13709" s="7">
        <f>DATE(2014,10,8)</f>
        <v>41920</v>
      </c>
      <c r="E13709" s="8">
        <f t="shared" si="227"/>
        <v>2014</v>
      </c>
      <c r="F13709" t="s">
        <v>2133</v>
      </c>
      <c r="G13709" s="9">
        <v>4854.29</v>
      </c>
      <c r="H13709" s="8">
        <v>13481</v>
      </c>
    </row>
    <row r="13710" spans="2:8" x14ac:dyDescent="0.4">
      <c r="B13710" s="3" t="s">
        <v>7</v>
      </c>
      <c r="C13710" s="3" t="s">
        <v>2132</v>
      </c>
      <c r="D13710" s="4">
        <f>DATE(2003,10,9)</f>
        <v>37903</v>
      </c>
      <c r="E13710" s="5">
        <f t="shared" si="227"/>
        <v>2003</v>
      </c>
      <c r="F13710" s="3" t="s">
        <v>2133</v>
      </c>
      <c r="G13710" s="6">
        <v>25206.37</v>
      </c>
      <c r="H13710" s="5">
        <v>1058</v>
      </c>
    </row>
    <row r="13711" spans="2:8" x14ac:dyDescent="0.4">
      <c r="B13711" s="3" t="s">
        <v>7</v>
      </c>
      <c r="C13711" s="3" t="s">
        <v>2132</v>
      </c>
      <c r="D13711" s="4">
        <f>DATE(2003,11,13)</f>
        <v>37938</v>
      </c>
      <c r="E13711" s="5">
        <f t="shared" si="227"/>
        <v>2003</v>
      </c>
      <c r="F13711" s="3" t="s">
        <v>2133</v>
      </c>
      <c r="G13711" s="6">
        <v>63000.76</v>
      </c>
      <c r="H13711" s="5">
        <v>1641</v>
      </c>
    </row>
    <row r="13712" spans="2:8" x14ac:dyDescent="0.4">
      <c r="B13712" s="3" t="s">
        <v>7</v>
      </c>
      <c r="C13712" s="3" t="s">
        <v>2132</v>
      </c>
      <c r="D13712" s="4">
        <f>DATE(2004,5,10)</f>
        <v>38117</v>
      </c>
      <c r="E13712" s="5">
        <f t="shared" si="227"/>
        <v>2004</v>
      </c>
      <c r="F13712" s="3" t="s">
        <v>2133</v>
      </c>
      <c r="G13712" s="6">
        <v>37725</v>
      </c>
      <c r="H13712" s="5">
        <v>2605</v>
      </c>
    </row>
    <row r="13713" spans="2:8" x14ac:dyDescent="0.4">
      <c r="B13713" s="3" t="s">
        <v>7</v>
      </c>
      <c r="C13713" s="3" t="s">
        <v>2132</v>
      </c>
      <c r="D13713" s="4">
        <f>DATE(2005,3,19)</f>
        <v>38430</v>
      </c>
      <c r="E13713" s="5">
        <f t="shared" si="227"/>
        <v>2005</v>
      </c>
      <c r="F13713" s="3" t="s">
        <v>2133</v>
      </c>
      <c r="G13713" s="6">
        <v>29150</v>
      </c>
      <c r="H13713" s="5">
        <v>3915</v>
      </c>
    </row>
    <row r="13714" spans="2:8" x14ac:dyDescent="0.4">
      <c r="B13714" s="3" t="s">
        <v>7</v>
      </c>
      <c r="C13714" s="3" t="s">
        <v>2132</v>
      </c>
      <c r="D13714" s="4">
        <f>DATE(2005,8,18)</f>
        <v>38582</v>
      </c>
      <c r="E13714" s="5">
        <f t="shared" si="227"/>
        <v>2005</v>
      </c>
      <c r="F13714" s="3" t="s">
        <v>2133</v>
      </c>
      <c r="G13714" s="6">
        <v>20692.5</v>
      </c>
      <c r="H13714" s="5">
        <v>5122</v>
      </c>
    </row>
    <row r="13715" spans="2:8" x14ac:dyDescent="0.4">
      <c r="B13715" s="3" t="s">
        <v>7</v>
      </c>
      <c r="C13715" s="3" t="s">
        <v>2132</v>
      </c>
      <c r="D13715" s="4">
        <f>DATE(2006,1,10)</f>
        <v>38727</v>
      </c>
      <c r="E13715" s="5">
        <f t="shared" si="227"/>
        <v>2006</v>
      </c>
      <c r="F13715" s="3" t="s">
        <v>2133</v>
      </c>
      <c r="G13715" s="6">
        <v>7017</v>
      </c>
      <c r="H13715" s="5">
        <v>5757</v>
      </c>
    </row>
    <row r="13716" spans="2:8" x14ac:dyDescent="0.4">
      <c r="B13716" s="3" t="s">
        <v>7</v>
      </c>
      <c r="C13716" s="3" t="s">
        <v>2132</v>
      </c>
      <c r="D13716" s="4">
        <f>DATE(2006,4,25)</f>
        <v>38832</v>
      </c>
      <c r="E13716" s="5">
        <f t="shared" si="227"/>
        <v>2006</v>
      </c>
      <c r="F13716" s="3" t="s">
        <v>2133</v>
      </c>
      <c r="G13716" s="6">
        <v>29750</v>
      </c>
      <c r="H13716" s="5">
        <v>6370</v>
      </c>
    </row>
    <row r="13717" spans="2:8" x14ac:dyDescent="0.4">
      <c r="B13717" s="3" t="s">
        <v>7</v>
      </c>
      <c r="C13717" s="3" t="s">
        <v>2132</v>
      </c>
      <c r="D13717" s="4">
        <f>DATE(2006,6,30)</f>
        <v>38898</v>
      </c>
      <c r="E13717" s="5">
        <f t="shared" si="227"/>
        <v>2006</v>
      </c>
      <c r="F13717" s="3" t="s">
        <v>2133</v>
      </c>
      <c r="G13717" s="6">
        <v>18300</v>
      </c>
      <c r="H13717" s="5">
        <v>6844</v>
      </c>
    </row>
    <row r="13718" spans="2:8" x14ac:dyDescent="0.4">
      <c r="B13718" s="3" t="s">
        <v>7</v>
      </c>
      <c r="C13718" s="3" t="s">
        <v>2132</v>
      </c>
      <c r="D13718" s="4">
        <f>DATE(2007,5,2)</f>
        <v>39204</v>
      </c>
      <c r="E13718" s="5">
        <f t="shared" si="227"/>
        <v>2007</v>
      </c>
      <c r="F13718" s="3" t="s">
        <v>2133</v>
      </c>
      <c r="G13718" s="6">
        <v>4286</v>
      </c>
      <c r="H13718" s="5">
        <v>8416</v>
      </c>
    </row>
    <row r="13719" spans="2:8" x14ac:dyDescent="0.4">
      <c r="B13719" s="3" t="s">
        <v>7</v>
      </c>
      <c r="C13719" s="3" t="s">
        <v>2132</v>
      </c>
      <c r="D13719" s="4">
        <f>DATE(2010,9,2)</f>
        <v>40423</v>
      </c>
      <c r="E13719" s="5">
        <f t="shared" si="227"/>
        <v>2010</v>
      </c>
      <c r="F13719" s="3" t="s">
        <v>2133</v>
      </c>
      <c r="G13719" s="6">
        <v>1504</v>
      </c>
      <c r="H13719" s="5">
        <v>14418</v>
      </c>
    </row>
    <row r="13720" spans="2:8" x14ac:dyDescent="0.4">
      <c r="B13720" t="s">
        <v>7</v>
      </c>
      <c r="C13720" t="s">
        <v>2134</v>
      </c>
      <c r="D13720" s="7">
        <f>DATE(2015,4,9)</f>
        <v>42103</v>
      </c>
      <c r="E13720" s="8">
        <f t="shared" si="227"/>
        <v>2015</v>
      </c>
      <c r="F13720" t="s">
        <v>2135</v>
      </c>
      <c r="G13720" s="9">
        <v>29593.06</v>
      </c>
      <c r="H13720" s="8">
        <v>134</v>
      </c>
    </row>
    <row r="13721" spans="2:8" x14ac:dyDescent="0.4">
      <c r="B13721" t="s">
        <v>16</v>
      </c>
      <c r="C13721" t="s">
        <v>2134</v>
      </c>
      <c r="D13721" s="7">
        <f>DATE(2015,5,1)</f>
        <v>42125</v>
      </c>
      <c r="E13721" s="8">
        <f t="shared" si="227"/>
        <v>2015</v>
      </c>
      <c r="F13721" t="s">
        <v>2135</v>
      </c>
      <c r="G13721" s="9">
        <v>1750.83</v>
      </c>
      <c r="H13721" s="8">
        <v>20677</v>
      </c>
    </row>
    <row r="13722" spans="2:8" x14ac:dyDescent="0.4">
      <c r="B13722" s="3" t="s">
        <v>7</v>
      </c>
      <c r="C13722" s="3" t="s">
        <v>2032</v>
      </c>
      <c r="D13722" s="4">
        <f>DATE(2007,1,23)</f>
        <v>39105</v>
      </c>
      <c r="E13722" s="5">
        <f t="shared" si="227"/>
        <v>2007</v>
      </c>
      <c r="F13722" s="3" t="s">
        <v>2136</v>
      </c>
      <c r="G13722" s="6">
        <v>2025</v>
      </c>
      <c r="H13722" s="5">
        <v>7793</v>
      </c>
    </row>
    <row r="13723" spans="2:8" x14ac:dyDescent="0.4">
      <c r="B13723" s="3" t="s">
        <v>7</v>
      </c>
      <c r="C13723" s="3" t="s">
        <v>2032</v>
      </c>
      <c r="D13723" s="4">
        <f>DATE(2007,4,18)</f>
        <v>39190</v>
      </c>
      <c r="E13723" s="5">
        <f t="shared" si="227"/>
        <v>2007</v>
      </c>
      <c r="F13723" s="3" t="s">
        <v>2136</v>
      </c>
      <c r="G13723" s="6">
        <v>2700</v>
      </c>
      <c r="H13723" s="5">
        <v>8398</v>
      </c>
    </row>
    <row r="13724" spans="2:8" x14ac:dyDescent="0.4">
      <c r="B13724" s="3" t="s">
        <v>7</v>
      </c>
      <c r="C13724" s="3" t="s">
        <v>2032</v>
      </c>
      <c r="D13724" s="4">
        <f>DATE(2007,5,30)</f>
        <v>39232</v>
      </c>
      <c r="E13724" s="5">
        <f t="shared" si="227"/>
        <v>2007</v>
      </c>
      <c r="F13724" s="3" t="s">
        <v>2136</v>
      </c>
      <c r="G13724" s="6">
        <v>345.4</v>
      </c>
      <c r="H13724" s="5">
        <v>8675</v>
      </c>
    </row>
    <row r="13725" spans="2:8" x14ac:dyDescent="0.4">
      <c r="B13725" s="3" t="s">
        <v>16</v>
      </c>
      <c r="C13725" s="3" t="s">
        <v>2032</v>
      </c>
      <c r="D13725" s="4">
        <f>DATE(2006,12,20)</f>
        <v>39071</v>
      </c>
      <c r="E13725" s="5">
        <f t="shared" si="227"/>
        <v>2006</v>
      </c>
      <c r="F13725" s="3" t="s">
        <v>2136</v>
      </c>
      <c r="G13725" s="6">
        <v>15525</v>
      </c>
      <c r="H13725" s="5">
        <v>7666</v>
      </c>
    </row>
    <row r="13726" spans="2:8" x14ac:dyDescent="0.4">
      <c r="B13726" s="3" t="s">
        <v>7</v>
      </c>
      <c r="C13726" s="3" t="s">
        <v>2032</v>
      </c>
      <c r="D13726" s="4">
        <f>DATE(2003,2,25)</f>
        <v>37677</v>
      </c>
      <c r="E13726" s="5">
        <f t="shared" si="227"/>
        <v>2003</v>
      </c>
      <c r="F13726" s="3" t="s">
        <v>2137</v>
      </c>
      <c r="G13726" s="6">
        <v>1465</v>
      </c>
      <c r="H13726" s="5">
        <v>350</v>
      </c>
    </row>
    <row r="13727" spans="2:8" x14ac:dyDescent="0.4">
      <c r="B13727" s="3" t="s">
        <v>7</v>
      </c>
      <c r="C13727" s="3" t="s">
        <v>2032</v>
      </c>
      <c r="D13727" s="4">
        <f>DATE(2003,4,23)</f>
        <v>37734</v>
      </c>
      <c r="E13727" s="5">
        <f t="shared" si="227"/>
        <v>2003</v>
      </c>
      <c r="F13727" s="3" t="s">
        <v>2137</v>
      </c>
      <c r="G13727" s="6">
        <v>1126</v>
      </c>
      <c r="H13727" s="5">
        <v>820</v>
      </c>
    </row>
    <row r="13728" spans="2:8" x14ac:dyDescent="0.4">
      <c r="B13728" s="3" t="s">
        <v>7</v>
      </c>
      <c r="C13728" s="3" t="s">
        <v>2032</v>
      </c>
      <c r="D13728" s="4">
        <f>DATE(2003,4,30)</f>
        <v>37741</v>
      </c>
      <c r="E13728" s="5">
        <f t="shared" si="227"/>
        <v>2003</v>
      </c>
      <c r="F13728" s="3" t="s">
        <v>2137</v>
      </c>
      <c r="G13728" s="6">
        <v>1308</v>
      </c>
      <c r="H13728" s="5">
        <v>873</v>
      </c>
    </row>
    <row r="13729" spans="2:8" x14ac:dyDescent="0.4">
      <c r="B13729" s="3" t="s">
        <v>7</v>
      </c>
      <c r="C13729" s="3" t="s">
        <v>2032</v>
      </c>
      <c r="D13729" s="4">
        <f>DATE(2003,5,9)</f>
        <v>37750</v>
      </c>
      <c r="E13729" s="5">
        <f t="shared" si="227"/>
        <v>2003</v>
      </c>
      <c r="F13729" s="3" t="s">
        <v>2137</v>
      </c>
      <c r="G13729" s="6">
        <v>344</v>
      </c>
      <c r="H13729" s="5">
        <v>932</v>
      </c>
    </row>
    <row r="13730" spans="2:8" x14ac:dyDescent="0.4">
      <c r="B13730" s="3" t="s">
        <v>7</v>
      </c>
      <c r="C13730" s="3" t="s">
        <v>2032</v>
      </c>
      <c r="D13730" s="4">
        <f>DATE(2003,6,9)</f>
        <v>37781</v>
      </c>
      <c r="E13730" s="5">
        <f t="shared" si="227"/>
        <v>2003</v>
      </c>
      <c r="F13730" s="3" t="s">
        <v>2137</v>
      </c>
      <c r="G13730" s="6">
        <v>1486.2</v>
      </c>
      <c r="H13730" s="5">
        <v>1060</v>
      </c>
    </row>
    <row r="13731" spans="2:8" x14ac:dyDescent="0.4">
      <c r="B13731" s="3" t="s">
        <v>7</v>
      </c>
      <c r="C13731" s="3" t="s">
        <v>2032</v>
      </c>
      <c r="D13731" s="4">
        <f>DATE(2003,6,11)</f>
        <v>37783</v>
      </c>
      <c r="E13731" s="5">
        <f t="shared" si="227"/>
        <v>2003</v>
      </c>
      <c r="F13731" s="3" t="s">
        <v>2137</v>
      </c>
      <c r="G13731" s="6">
        <v>1465</v>
      </c>
      <c r="H13731" s="5">
        <v>1080</v>
      </c>
    </row>
    <row r="13732" spans="2:8" x14ac:dyDescent="0.4">
      <c r="B13732" s="3" t="s">
        <v>7</v>
      </c>
      <c r="C13732" s="3" t="s">
        <v>2032</v>
      </c>
      <c r="D13732" s="4">
        <f>DATE(2003,6,19)</f>
        <v>37791</v>
      </c>
      <c r="E13732" s="5">
        <f t="shared" si="227"/>
        <v>2003</v>
      </c>
      <c r="F13732" s="3" t="s">
        <v>2137</v>
      </c>
      <c r="G13732" s="6">
        <v>1465</v>
      </c>
      <c r="H13732" s="5">
        <v>1136</v>
      </c>
    </row>
    <row r="13733" spans="2:8" x14ac:dyDescent="0.4">
      <c r="B13733" s="3" t="s">
        <v>7</v>
      </c>
      <c r="C13733" s="3" t="s">
        <v>2032</v>
      </c>
      <c r="D13733" s="4">
        <f>DATE(2003,9,16)</f>
        <v>37880</v>
      </c>
      <c r="E13733" s="5">
        <f t="shared" si="227"/>
        <v>2003</v>
      </c>
      <c r="F13733" s="3" t="s">
        <v>2137</v>
      </c>
      <c r="G13733" s="6">
        <v>1152</v>
      </c>
      <c r="H13733" s="5">
        <v>1499</v>
      </c>
    </row>
    <row r="13734" spans="2:8" x14ac:dyDescent="0.4">
      <c r="B13734" s="3" t="s">
        <v>7</v>
      </c>
      <c r="C13734" s="3" t="s">
        <v>2032</v>
      </c>
      <c r="D13734" s="4">
        <f>DATE(2003,10,9)</f>
        <v>37903</v>
      </c>
      <c r="E13734" s="5">
        <f t="shared" si="227"/>
        <v>2003</v>
      </c>
      <c r="F13734" s="3" t="s">
        <v>2137</v>
      </c>
      <c r="G13734" s="6">
        <v>5121</v>
      </c>
      <c r="H13734" s="5">
        <v>1604</v>
      </c>
    </row>
    <row r="13735" spans="2:8" x14ac:dyDescent="0.4">
      <c r="B13735" s="3" t="s">
        <v>7</v>
      </c>
      <c r="C13735" s="3" t="s">
        <v>2032</v>
      </c>
      <c r="D13735" s="4">
        <f>DATE(2003,10,23)</f>
        <v>37917</v>
      </c>
      <c r="E13735" s="5">
        <f t="shared" si="227"/>
        <v>2003</v>
      </c>
      <c r="F13735" s="3" t="s">
        <v>2137</v>
      </c>
      <c r="G13735" s="6">
        <v>1201.25</v>
      </c>
      <c r="H13735" s="5">
        <v>1698</v>
      </c>
    </row>
    <row r="13736" spans="2:8" x14ac:dyDescent="0.4">
      <c r="B13736" s="3" t="s">
        <v>7</v>
      </c>
      <c r="C13736" s="3" t="s">
        <v>2032</v>
      </c>
      <c r="D13736" s="4">
        <f>DATE(2003,11,10)</f>
        <v>37935</v>
      </c>
      <c r="E13736" s="5">
        <f t="shared" si="227"/>
        <v>2003</v>
      </c>
      <c r="F13736" s="3" t="s">
        <v>2137</v>
      </c>
      <c r="G13736" s="6">
        <v>1329.1</v>
      </c>
      <c r="H13736" s="5">
        <v>1768</v>
      </c>
    </row>
    <row r="13737" spans="2:8" x14ac:dyDescent="0.4">
      <c r="B13737" s="3" t="s">
        <v>7</v>
      </c>
      <c r="C13737" s="3" t="s">
        <v>2032</v>
      </c>
      <c r="D13737" s="4">
        <f>DATE(2004,2,12)</f>
        <v>38029</v>
      </c>
      <c r="E13737" s="5">
        <f t="shared" si="227"/>
        <v>2004</v>
      </c>
      <c r="F13737" s="3" t="s">
        <v>2137</v>
      </c>
      <c r="G13737" s="6">
        <v>1329.6</v>
      </c>
      <c r="H13737" s="5">
        <v>2155</v>
      </c>
    </row>
    <row r="13738" spans="2:8" x14ac:dyDescent="0.4">
      <c r="B13738" s="3" t="s">
        <v>7</v>
      </c>
      <c r="C13738" s="3" t="s">
        <v>2032</v>
      </c>
      <c r="D13738" s="4">
        <f>DATE(2004,2,26)</f>
        <v>38043</v>
      </c>
      <c r="E13738" s="5">
        <f t="shared" si="227"/>
        <v>2004</v>
      </c>
      <c r="F13738" s="3" t="s">
        <v>2137</v>
      </c>
      <c r="G13738" s="6">
        <v>1308</v>
      </c>
      <c r="H13738" s="5">
        <v>2264</v>
      </c>
    </row>
    <row r="13739" spans="2:8" x14ac:dyDescent="0.4">
      <c r="B13739" s="3" t="s">
        <v>7</v>
      </c>
      <c r="C13739" s="3" t="s">
        <v>2032</v>
      </c>
      <c r="D13739" s="4">
        <f>DATE(2004,3,2)</f>
        <v>38048</v>
      </c>
      <c r="E13739" s="5">
        <f t="shared" si="227"/>
        <v>2004</v>
      </c>
      <c r="F13739" s="3" t="s">
        <v>2137</v>
      </c>
      <c r="G13739" s="6">
        <v>1668</v>
      </c>
      <c r="H13739" s="5">
        <v>2310</v>
      </c>
    </row>
    <row r="13740" spans="2:8" x14ac:dyDescent="0.4">
      <c r="B13740" s="3" t="s">
        <v>7</v>
      </c>
      <c r="C13740" s="3" t="s">
        <v>2032</v>
      </c>
      <c r="D13740" s="4">
        <f>DATE(2004,3,25)</f>
        <v>38071</v>
      </c>
      <c r="E13740" s="5">
        <f t="shared" si="227"/>
        <v>2004</v>
      </c>
      <c r="F13740" s="3" t="s">
        <v>2137</v>
      </c>
      <c r="G13740" s="6">
        <v>2613</v>
      </c>
      <c r="H13740" s="5">
        <v>2336</v>
      </c>
    </row>
    <row r="13741" spans="2:8" x14ac:dyDescent="0.4">
      <c r="B13741" s="3" t="s">
        <v>7</v>
      </c>
      <c r="C13741" s="3" t="s">
        <v>2032</v>
      </c>
      <c r="D13741" s="4">
        <f>DATE(2004,3,26)</f>
        <v>38072</v>
      </c>
      <c r="E13741" s="5">
        <f t="shared" si="227"/>
        <v>2004</v>
      </c>
      <c r="F13741" s="3" t="s">
        <v>2137</v>
      </c>
      <c r="G13741" s="6">
        <v>5501.5</v>
      </c>
      <c r="H13741" s="5">
        <v>2461</v>
      </c>
    </row>
    <row r="13742" spans="2:8" x14ac:dyDescent="0.4">
      <c r="B13742" s="3" t="s">
        <v>7</v>
      </c>
      <c r="C13742" s="3" t="s">
        <v>2032</v>
      </c>
      <c r="D13742" s="4">
        <f>DATE(2004,4,15)</f>
        <v>38092</v>
      </c>
      <c r="E13742" s="5">
        <f t="shared" si="227"/>
        <v>2004</v>
      </c>
      <c r="F13742" s="3" t="s">
        <v>2137</v>
      </c>
      <c r="G13742" s="6">
        <v>3657</v>
      </c>
      <c r="H13742" s="5">
        <v>2653</v>
      </c>
    </row>
    <row r="13743" spans="2:8" x14ac:dyDescent="0.4">
      <c r="B13743" s="3" t="s">
        <v>7</v>
      </c>
      <c r="C13743" s="3" t="s">
        <v>2032</v>
      </c>
      <c r="D13743" s="4">
        <f>DATE(2004,5,12)</f>
        <v>38119</v>
      </c>
      <c r="E13743" s="5">
        <f t="shared" si="227"/>
        <v>2004</v>
      </c>
      <c r="F13743" s="3" t="s">
        <v>2137</v>
      </c>
      <c r="G13743" s="6">
        <v>5283.5</v>
      </c>
      <c r="H13743" s="5">
        <v>2819</v>
      </c>
    </row>
    <row r="13744" spans="2:8" x14ac:dyDescent="0.4">
      <c r="B13744" s="3" t="s">
        <v>7</v>
      </c>
      <c r="C13744" s="3" t="s">
        <v>2032</v>
      </c>
      <c r="D13744" s="4">
        <f>DATE(2004,6,21)</f>
        <v>38159</v>
      </c>
      <c r="E13744" s="5">
        <f t="shared" si="227"/>
        <v>2004</v>
      </c>
      <c r="F13744" s="3" t="s">
        <v>2137</v>
      </c>
      <c r="G13744" s="6">
        <v>1596</v>
      </c>
      <c r="H13744" s="5">
        <v>3022</v>
      </c>
    </row>
    <row r="13745" spans="2:8" x14ac:dyDescent="0.4">
      <c r="B13745" s="3" t="s">
        <v>7</v>
      </c>
      <c r="C13745" s="3" t="s">
        <v>2032</v>
      </c>
      <c r="D13745" s="4">
        <f>DATE(2005,1,31)</f>
        <v>38383</v>
      </c>
      <c r="E13745" s="5">
        <f t="shared" si="227"/>
        <v>2005</v>
      </c>
      <c r="F13745" s="3" t="s">
        <v>2137</v>
      </c>
      <c r="G13745" s="6">
        <v>2614</v>
      </c>
      <c r="H13745" s="5">
        <v>4041</v>
      </c>
    </row>
    <row r="13746" spans="2:8" x14ac:dyDescent="0.4">
      <c r="B13746" s="3" t="s">
        <v>7</v>
      </c>
      <c r="C13746" s="3" t="s">
        <v>2032</v>
      </c>
      <c r="D13746" s="4">
        <f>DATE(2005,3,17)</f>
        <v>38428</v>
      </c>
      <c r="E13746" s="5">
        <f t="shared" si="227"/>
        <v>2005</v>
      </c>
      <c r="F13746" s="3" t="s">
        <v>2137</v>
      </c>
      <c r="G13746" s="6">
        <v>2692.75</v>
      </c>
      <c r="H13746" s="5">
        <v>4352</v>
      </c>
    </row>
    <row r="13747" spans="2:8" x14ac:dyDescent="0.4">
      <c r="B13747" s="3" t="s">
        <v>7</v>
      </c>
      <c r="C13747" s="3" t="s">
        <v>2032</v>
      </c>
      <c r="D13747" s="4">
        <f>DATE(2005,4,21)</f>
        <v>38463</v>
      </c>
      <c r="E13747" s="5">
        <f t="shared" si="227"/>
        <v>2005</v>
      </c>
      <c r="F13747" s="3" t="s">
        <v>2137</v>
      </c>
      <c r="G13747" s="6">
        <v>5222</v>
      </c>
      <c r="H13747" s="5">
        <v>4612</v>
      </c>
    </row>
    <row r="13748" spans="2:8" x14ac:dyDescent="0.4">
      <c r="B13748" s="3" t="s">
        <v>7</v>
      </c>
      <c r="C13748" s="3" t="s">
        <v>2032</v>
      </c>
      <c r="D13748" s="4">
        <f>DATE(2005,5,2)</f>
        <v>38474</v>
      </c>
      <c r="E13748" s="5">
        <f t="shared" si="227"/>
        <v>2005</v>
      </c>
      <c r="F13748" s="3" t="s">
        <v>2137</v>
      </c>
      <c r="G13748" s="6">
        <v>2325</v>
      </c>
      <c r="H13748" s="5">
        <v>4667</v>
      </c>
    </row>
    <row r="13749" spans="2:8" x14ac:dyDescent="0.4">
      <c r="B13749" s="3" t="s">
        <v>7</v>
      </c>
      <c r="C13749" s="3" t="s">
        <v>2032</v>
      </c>
      <c r="D13749" s="4">
        <f>DATE(2005,5,6)</f>
        <v>38478</v>
      </c>
      <c r="E13749" s="5">
        <f t="shared" si="227"/>
        <v>2005</v>
      </c>
      <c r="F13749" s="3" t="s">
        <v>2137</v>
      </c>
      <c r="G13749" s="6">
        <v>5923.5</v>
      </c>
      <c r="H13749" s="5">
        <v>4711</v>
      </c>
    </row>
    <row r="13750" spans="2:8" x14ac:dyDescent="0.4">
      <c r="B13750" s="3" t="s">
        <v>7</v>
      </c>
      <c r="C13750" s="3" t="s">
        <v>2032</v>
      </c>
      <c r="D13750" s="4">
        <f>DATE(2005,5,9)</f>
        <v>38481</v>
      </c>
      <c r="E13750" s="5">
        <f t="shared" si="227"/>
        <v>2005</v>
      </c>
      <c r="F13750" s="3" t="s">
        <v>2137</v>
      </c>
      <c r="G13750" s="6">
        <v>2325</v>
      </c>
      <c r="H13750" s="5">
        <v>4720</v>
      </c>
    </row>
    <row r="13751" spans="2:8" x14ac:dyDescent="0.4">
      <c r="B13751" s="3" t="s">
        <v>7</v>
      </c>
      <c r="C13751" s="3" t="s">
        <v>2032</v>
      </c>
      <c r="D13751" s="4">
        <f>DATE(2005,6,7)</f>
        <v>38510</v>
      </c>
      <c r="E13751" s="5">
        <f t="shared" si="227"/>
        <v>2005</v>
      </c>
      <c r="F13751" s="3" t="s">
        <v>2137</v>
      </c>
      <c r="G13751" s="6">
        <v>657</v>
      </c>
      <c r="H13751" s="5">
        <v>4853</v>
      </c>
    </row>
    <row r="13752" spans="2:8" x14ac:dyDescent="0.4">
      <c r="B13752" s="3" t="s">
        <v>7</v>
      </c>
      <c r="C13752" s="3" t="s">
        <v>2032</v>
      </c>
      <c r="D13752" s="4">
        <f>DATE(2005,6,22)</f>
        <v>38525</v>
      </c>
      <c r="E13752" s="5">
        <f t="shared" si="227"/>
        <v>2005</v>
      </c>
      <c r="F13752" s="3" t="s">
        <v>2137</v>
      </c>
      <c r="G13752" s="6">
        <v>2714</v>
      </c>
      <c r="H13752" s="5">
        <v>4915</v>
      </c>
    </row>
    <row r="13753" spans="2:8" x14ac:dyDescent="0.4">
      <c r="B13753" s="3" t="s">
        <v>7</v>
      </c>
      <c r="C13753" s="3" t="s">
        <v>2032</v>
      </c>
      <c r="D13753" s="4">
        <f>DATE(2005,8,19)</f>
        <v>38583</v>
      </c>
      <c r="E13753" s="5">
        <f t="shared" si="227"/>
        <v>2005</v>
      </c>
      <c r="F13753" s="3" t="s">
        <v>2137</v>
      </c>
      <c r="G13753" s="6">
        <v>2714</v>
      </c>
      <c r="H13753" s="5">
        <v>5142</v>
      </c>
    </row>
    <row r="13754" spans="2:8" x14ac:dyDescent="0.4">
      <c r="B13754" s="3" t="s">
        <v>7</v>
      </c>
      <c r="C13754" s="3" t="s">
        <v>2032</v>
      </c>
      <c r="D13754" s="4">
        <f>DATE(2005,9,15)</f>
        <v>38610</v>
      </c>
      <c r="E13754" s="5">
        <f t="shared" si="227"/>
        <v>2005</v>
      </c>
      <c r="F13754" s="3" t="s">
        <v>2137</v>
      </c>
      <c r="G13754" s="6">
        <v>2715</v>
      </c>
      <c r="H13754" s="5">
        <v>5261</v>
      </c>
    </row>
    <row r="13755" spans="2:8" x14ac:dyDescent="0.4">
      <c r="B13755" s="3" t="s">
        <v>7</v>
      </c>
      <c r="C13755" s="3" t="s">
        <v>2032</v>
      </c>
      <c r="D13755" s="4">
        <f>DATE(2005,10,26)</f>
        <v>38651</v>
      </c>
      <c r="E13755" s="5">
        <f t="shared" si="227"/>
        <v>2005</v>
      </c>
      <c r="F13755" s="3" t="s">
        <v>2137</v>
      </c>
      <c r="G13755" s="6">
        <v>2700</v>
      </c>
      <c r="H13755" s="5">
        <v>5479</v>
      </c>
    </row>
    <row r="13756" spans="2:8" x14ac:dyDescent="0.4">
      <c r="B13756" s="3" t="s">
        <v>7</v>
      </c>
      <c r="C13756" s="3" t="s">
        <v>2032</v>
      </c>
      <c r="D13756" s="4">
        <f>DATE(2005,11,1)</f>
        <v>38657</v>
      </c>
      <c r="E13756" s="5">
        <f t="shared" si="227"/>
        <v>2005</v>
      </c>
      <c r="F13756" s="3" t="s">
        <v>2137</v>
      </c>
      <c r="G13756" s="6">
        <v>4163</v>
      </c>
      <c r="H13756" s="5">
        <v>5514</v>
      </c>
    </row>
    <row r="13757" spans="2:8" x14ac:dyDescent="0.4">
      <c r="B13757" s="3" t="s">
        <v>7</v>
      </c>
      <c r="C13757" s="3" t="s">
        <v>2032</v>
      </c>
      <c r="D13757" s="4">
        <f>DATE(2005,11,23)</f>
        <v>38679</v>
      </c>
      <c r="E13757" s="5">
        <f t="shared" si="227"/>
        <v>2005</v>
      </c>
      <c r="F13757" s="3" t="s">
        <v>2137</v>
      </c>
      <c r="G13757" s="6">
        <v>2715</v>
      </c>
      <c r="H13757" s="5">
        <v>5617</v>
      </c>
    </row>
    <row r="13758" spans="2:8" x14ac:dyDescent="0.4">
      <c r="B13758" s="3" t="s">
        <v>7</v>
      </c>
      <c r="C13758" s="3" t="s">
        <v>2032</v>
      </c>
      <c r="D13758" s="4">
        <f>DATE(2006,1,11)</f>
        <v>38728</v>
      </c>
      <c r="E13758" s="5">
        <f t="shared" si="227"/>
        <v>2006</v>
      </c>
      <c r="F13758" s="3" t="s">
        <v>2137</v>
      </c>
      <c r="G13758" s="6">
        <v>2714</v>
      </c>
      <c r="H13758" s="5">
        <v>5820</v>
      </c>
    </row>
    <row r="13759" spans="2:8" x14ac:dyDescent="0.4">
      <c r="B13759" s="3" t="s">
        <v>7</v>
      </c>
      <c r="C13759" s="3" t="s">
        <v>2032</v>
      </c>
      <c r="D13759" s="4">
        <f>DATE(2006,7,20)</f>
        <v>38918</v>
      </c>
      <c r="E13759" s="5">
        <f t="shared" si="227"/>
        <v>2006</v>
      </c>
      <c r="F13759" s="3" t="s">
        <v>2137</v>
      </c>
      <c r="G13759" s="6">
        <v>2715</v>
      </c>
      <c r="H13759" s="5">
        <v>6969</v>
      </c>
    </row>
    <row r="13760" spans="2:8" x14ac:dyDescent="0.4">
      <c r="B13760" s="3" t="s">
        <v>7</v>
      </c>
      <c r="C13760" s="3" t="s">
        <v>2032</v>
      </c>
      <c r="D13760" s="4">
        <f>DATE(2006,8,1)</f>
        <v>38930</v>
      </c>
      <c r="E13760" s="5">
        <f t="shared" si="227"/>
        <v>2006</v>
      </c>
      <c r="F13760" s="3" t="s">
        <v>2137</v>
      </c>
      <c r="G13760" s="6">
        <v>5400</v>
      </c>
      <c r="H13760" s="5">
        <v>7004</v>
      </c>
    </row>
    <row r="13761" spans="2:8" x14ac:dyDescent="0.4">
      <c r="B13761" s="3" t="s">
        <v>7</v>
      </c>
      <c r="C13761" s="3" t="s">
        <v>2032</v>
      </c>
      <c r="D13761" s="4">
        <f>DATE(2006,9,1)</f>
        <v>38961</v>
      </c>
      <c r="E13761" s="5">
        <f t="shared" si="227"/>
        <v>2006</v>
      </c>
      <c r="F13761" s="3" t="s">
        <v>2137</v>
      </c>
      <c r="G13761" s="6">
        <v>2715</v>
      </c>
      <c r="H13761" s="5">
        <v>7171</v>
      </c>
    </row>
    <row r="13762" spans="2:8" x14ac:dyDescent="0.4">
      <c r="B13762" s="3" t="s">
        <v>7</v>
      </c>
      <c r="C13762" s="3" t="s">
        <v>2032</v>
      </c>
      <c r="D13762" s="4">
        <f>DATE(2006,10,2)</f>
        <v>38992</v>
      </c>
      <c r="E13762" s="5">
        <f t="shared" si="227"/>
        <v>2006</v>
      </c>
      <c r="F13762" s="3" t="s">
        <v>2137</v>
      </c>
      <c r="G13762" s="6">
        <v>4426.97</v>
      </c>
      <c r="H13762" s="5">
        <v>7327</v>
      </c>
    </row>
    <row r="13763" spans="2:8" x14ac:dyDescent="0.4">
      <c r="B13763" s="3" t="s">
        <v>7</v>
      </c>
      <c r="C13763" s="3" t="s">
        <v>2032</v>
      </c>
      <c r="D13763" s="4">
        <f>DATE(2007,1,15)</f>
        <v>39097</v>
      </c>
      <c r="E13763" s="5">
        <f t="shared" ref="E13763:E13826" si="228">YEAR(D13763)</f>
        <v>2007</v>
      </c>
      <c r="F13763" s="3" t="s">
        <v>2137</v>
      </c>
      <c r="G13763" s="6">
        <v>13500</v>
      </c>
      <c r="H13763" s="5">
        <v>7665</v>
      </c>
    </row>
    <row r="13764" spans="2:8" x14ac:dyDescent="0.4">
      <c r="B13764" t="s">
        <v>7</v>
      </c>
      <c r="C13764" t="s">
        <v>2138</v>
      </c>
      <c r="D13764" s="7">
        <f>DATE(2015,4,14)</f>
        <v>42108</v>
      </c>
      <c r="E13764" s="8">
        <f t="shared" si="228"/>
        <v>2015</v>
      </c>
      <c r="F13764" t="s">
        <v>2139</v>
      </c>
      <c r="G13764" s="9">
        <v>1225</v>
      </c>
      <c r="H13764" s="8">
        <v>20337</v>
      </c>
    </row>
    <row r="13765" spans="2:8" x14ac:dyDescent="0.4">
      <c r="B13765" t="s">
        <v>7</v>
      </c>
      <c r="C13765" t="s">
        <v>2138</v>
      </c>
      <c r="D13765" s="7">
        <f>DATE(2015,9,4)</f>
        <v>42251</v>
      </c>
      <c r="E13765" s="8">
        <f t="shared" si="228"/>
        <v>2015</v>
      </c>
      <c r="F13765" t="s">
        <v>2139</v>
      </c>
      <c r="G13765" s="9">
        <v>1225</v>
      </c>
      <c r="H13765" s="8">
        <v>21162</v>
      </c>
    </row>
    <row r="13766" spans="2:8" x14ac:dyDescent="0.4">
      <c r="B13766" t="s">
        <v>7</v>
      </c>
      <c r="C13766" t="s">
        <v>2138</v>
      </c>
      <c r="D13766" s="7">
        <f>DATE(2016,10,19)</f>
        <v>42662</v>
      </c>
      <c r="E13766" s="8">
        <f t="shared" si="228"/>
        <v>2016</v>
      </c>
      <c r="F13766" t="s">
        <v>2139</v>
      </c>
      <c r="G13766" s="9">
        <v>980</v>
      </c>
      <c r="H13766" s="8">
        <v>23392</v>
      </c>
    </row>
    <row r="13767" spans="2:8" x14ac:dyDescent="0.4">
      <c r="B13767" t="s">
        <v>7</v>
      </c>
      <c r="C13767" t="s">
        <v>2138</v>
      </c>
      <c r="D13767" s="7">
        <f>DATE(2017,5,2)</f>
        <v>42857</v>
      </c>
      <c r="E13767" s="8">
        <f t="shared" si="228"/>
        <v>2017</v>
      </c>
      <c r="F13767" t="s">
        <v>2139</v>
      </c>
      <c r="G13767" s="9">
        <v>2450</v>
      </c>
      <c r="H13767" s="8">
        <v>24802</v>
      </c>
    </row>
    <row r="13768" spans="2:8" x14ac:dyDescent="0.4">
      <c r="B13768" t="s">
        <v>7</v>
      </c>
      <c r="C13768" t="s">
        <v>2138</v>
      </c>
      <c r="D13768" s="7">
        <f>DATE(2017,9,22)</f>
        <v>43000</v>
      </c>
      <c r="E13768" s="8">
        <f t="shared" si="228"/>
        <v>2017</v>
      </c>
      <c r="F13768" t="s">
        <v>2139</v>
      </c>
      <c r="G13768" s="9">
        <v>2450</v>
      </c>
      <c r="H13768" s="8">
        <v>25616</v>
      </c>
    </row>
    <row r="13769" spans="2:8" x14ac:dyDescent="0.4">
      <c r="B13769" t="s">
        <v>7</v>
      </c>
      <c r="C13769" t="s">
        <v>2138</v>
      </c>
      <c r="D13769" s="7">
        <f>DATE(2018,4,11)</f>
        <v>43201</v>
      </c>
      <c r="E13769" s="8">
        <f t="shared" si="228"/>
        <v>2018</v>
      </c>
      <c r="F13769" t="s">
        <v>2139</v>
      </c>
      <c r="G13769" s="9">
        <v>2450</v>
      </c>
      <c r="H13769" s="8">
        <v>26779</v>
      </c>
    </row>
    <row r="13770" spans="2:8" x14ac:dyDescent="0.4">
      <c r="B13770" s="3" t="s">
        <v>7</v>
      </c>
      <c r="C13770" s="3" t="s">
        <v>2138</v>
      </c>
      <c r="D13770" s="4">
        <f>DATE(2013,3,1)</f>
        <v>41334</v>
      </c>
      <c r="E13770" s="5">
        <f t="shared" si="228"/>
        <v>2013</v>
      </c>
      <c r="F13770" s="3" t="s">
        <v>2139</v>
      </c>
      <c r="G13770" s="6">
        <v>1928</v>
      </c>
      <c r="H13770" s="5">
        <v>18238</v>
      </c>
    </row>
    <row r="13771" spans="2:8" x14ac:dyDescent="0.4">
      <c r="B13771" s="3" t="s">
        <v>7</v>
      </c>
      <c r="C13771" s="3" t="s">
        <v>2138</v>
      </c>
      <c r="D13771" s="4">
        <f>DATE(2013,3,27)</f>
        <v>41360</v>
      </c>
      <c r="E13771" s="5">
        <f t="shared" si="228"/>
        <v>2013</v>
      </c>
      <c r="F13771" s="3" t="s">
        <v>2139</v>
      </c>
      <c r="G13771" s="6">
        <v>2225</v>
      </c>
      <c r="H13771" s="5">
        <v>18358</v>
      </c>
    </row>
    <row r="13772" spans="2:8" x14ac:dyDescent="0.4">
      <c r="B13772" s="3" t="s">
        <v>7</v>
      </c>
      <c r="C13772" s="3" t="s">
        <v>2138</v>
      </c>
      <c r="D13772" s="4">
        <f>DATE(2013,4,1)</f>
        <v>41365</v>
      </c>
      <c r="E13772" s="5">
        <f t="shared" si="228"/>
        <v>2013</v>
      </c>
      <c r="F13772" s="3" t="s">
        <v>2139</v>
      </c>
      <c r="G13772" s="6">
        <v>2225</v>
      </c>
      <c r="H13772" s="5">
        <v>18385</v>
      </c>
    </row>
    <row r="13773" spans="2:8" x14ac:dyDescent="0.4">
      <c r="B13773" t="s">
        <v>7</v>
      </c>
      <c r="C13773" t="s">
        <v>2140</v>
      </c>
      <c r="D13773" s="7">
        <f>DATE(2017,8,1)</f>
        <v>42948</v>
      </c>
      <c r="E13773" s="8">
        <f t="shared" si="228"/>
        <v>2017</v>
      </c>
      <c r="F13773" t="s">
        <v>2141</v>
      </c>
      <c r="G13773" s="9">
        <v>2858.43</v>
      </c>
      <c r="H13773" s="8">
        <v>25197</v>
      </c>
    </row>
    <row r="13774" spans="2:8" x14ac:dyDescent="0.4">
      <c r="B13774" s="3" t="s">
        <v>7</v>
      </c>
      <c r="C13774" s="3" t="s">
        <v>2140</v>
      </c>
      <c r="D13774" s="4">
        <f>DATE(2003,4,22)</f>
        <v>37733</v>
      </c>
      <c r="E13774" s="5">
        <f t="shared" si="228"/>
        <v>2003</v>
      </c>
      <c r="F13774" s="3" t="s">
        <v>2142</v>
      </c>
      <c r="G13774" s="6">
        <v>9126</v>
      </c>
      <c r="H13774" s="5">
        <v>788</v>
      </c>
    </row>
    <row r="13775" spans="2:8" x14ac:dyDescent="0.4">
      <c r="B13775" s="3" t="s">
        <v>7</v>
      </c>
      <c r="C13775" s="3" t="s">
        <v>2140</v>
      </c>
      <c r="D13775" s="4">
        <f>DATE(2003,5,9)</f>
        <v>37750</v>
      </c>
      <c r="E13775" s="5">
        <f t="shared" si="228"/>
        <v>2003</v>
      </c>
      <c r="F13775" s="3" t="s">
        <v>2142</v>
      </c>
      <c r="G13775" s="6">
        <v>479.75</v>
      </c>
      <c r="H13775" s="5">
        <v>938</v>
      </c>
    </row>
    <row r="13776" spans="2:8" x14ac:dyDescent="0.4">
      <c r="B13776" s="3" t="s">
        <v>7</v>
      </c>
      <c r="C13776" s="3" t="s">
        <v>2140</v>
      </c>
      <c r="D13776" s="4">
        <f>DATE(2004,4,16)</f>
        <v>38093</v>
      </c>
      <c r="E13776" s="5">
        <f t="shared" si="228"/>
        <v>2004</v>
      </c>
      <c r="F13776" s="3" t="s">
        <v>2142</v>
      </c>
      <c r="G13776" s="6">
        <v>455</v>
      </c>
      <c r="H13776" s="5">
        <v>2678</v>
      </c>
    </row>
    <row r="13777" spans="2:8" x14ac:dyDescent="0.4">
      <c r="B13777" s="3" t="s">
        <v>7</v>
      </c>
      <c r="C13777" s="3" t="s">
        <v>2140</v>
      </c>
      <c r="D13777" s="4">
        <f>DATE(2004,4,16)</f>
        <v>38093</v>
      </c>
      <c r="E13777" s="5">
        <f t="shared" si="228"/>
        <v>2004</v>
      </c>
      <c r="F13777" s="3" t="s">
        <v>2142</v>
      </c>
      <c r="G13777" s="6">
        <v>904</v>
      </c>
      <c r="H13777" s="5">
        <v>2673</v>
      </c>
    </row>
    <row r="13778" spans="2:8" x14ac:dyDescent="0.4">
      <c r="B13778" s="3" t="s">
        <v>7</v>
      </c>
      <c r="C13778" s="3" t="s">
        <v>2140</v>
      </c>
      <c r="D13778" s="4">
        <f>DATE(2005,1,26)</f>
        <v>38378</v>
      </c>
      <c r="E13778" s="5">
        <f t="shared" si="228"/>
        <v>2005</v>
      </c>
      <c r="F13778" s="3" t="s">
        <v>2142</v>
      </c>
      <c r="G13778" s="6">
        <v>9795</v>
      </c>
      <c r="H13778" s="5">
        <v>4006</v>
      </c>
    </row>
    <row r="13779" spans="2:8" x14ac:dyDescent="0.4">
      <c r="B13779" s="3" t="s">
        <v>7</v>
      </c>
      <c r="C13779" s="3" t="s">
        <v>2140</v>
      </c>
      <c r="D13779" s="4">
        <f>DATE(2005,3,25)</f>
        <v>38436</v>
      </c>
      <c r="E13779" s="5">
        <f t="shared" si="228"/>
        <v>2005</v>
      </c>
      <c r="F13779" s="3" t="s">
        <v>2142</v>
      </c>
      <c r="G13779" s="6">
        <v>109</v>
      </c>
      <c r="H13779" s="5">
        <v>4406</v>
      </c>
    </row>
    <row r="13780" spans="2:8" x14ac:dyDescent="0.4">
      <c r="B13780" s="3" t="s">
        <v>7</v>
      </c>
      <c r="C13780" s="3" t="s">
        <v>2140</v>
      </c>
      <c r="D13780" s="4">
        <f>DATE(2006,7,12)</f>
        <v>38910</v>
      </c>
      <c r="E13780" s="5">
        <f t="shared" si="228"/>
        <v>2006</v>
      </c>
      <c r="F13780" s="3" t="s">
        <v>2142</v>
      </c>
      <c r="G13780" s="6">
        <v>402</v>
      </c>
      <c r="H13780" s="5">
        <v>6940</v>
      </c>
    </row>
    <row r="13781" spans="2:8" x14ac:dyDescent="0.4">
      <c r="B13781" s="3" t="s">
        <v>7</v>
      </c>
      <c r="C13781" s="3" t="s">
        <v>2140</v>
      </c>
      <c r="D13781" s="4">
        <f>DATE(2006,12,15)</f>
        <v>39066</v>
      </c>
      <c r="E13781" s="5">
        <f t="shared" si="228"/>
        <v>2006</v>
      </c>
      <c r="F13781" s="3" t="s">
        <v>2142</v>
      </c>
      <c r="G13781" s="6">
        <v>285</v>
      </c>
      <c r="H13781" s="5">
        <v>7656</v>
      </c>
    </row>
    <row r="13782" spans="2:8" x14ac:dyDescent="0.4">
      <c r="B13782" s="3" t="s">
        <v>7</v>
      </c>
      <c r="C13782" s="3" t="s">
        <v>2140</v>
      </c>
      <c r="D13782" s="4">
        <f>DATE(2007,4,12)</f>
        <v>39184</v>
      </c>
      <c r="E13782" s="5">
        <f t="shared" si="228"/>
        <v>2007</v>
      </c>
      <c r="F13782" s="3" t="s">
        <v>2142</v>
      </c>
      <c r="G13782" s="6">
        <v>513</v>
      </c>
      <c r="H13782" s="5">
        <v>8386</v>
      </c>
    </row>
    <row r="13783" spans="2:8" x14ac:dyDescent="0.4">
      <c r="B13783" s="3" t="s">
        <v>7</v>
      </c>
      <c r="C13783" s="3" t="s">
        <v>2140</v>
      </c>
      <c r="D13783" s="4">
        <f>DATE(2007,5,16)</f>
        <v>39218</v>
      </c>
      <c r="E13783" s="5">
        <f t="shared" si="228"/>
        <v>2007</v>
      </c>
      <c r="F13783" s="3" t="s">
        <v>2142</v>
      </c>
      <c r="G13783" s="6">
        <v>336</v>
      </c>
      <c r="H13783" s="5">
        <v>8564</v>
      </c>
    </row>
    <row r="13784" spans="2:8" x14ac:dyDescent="0.4">
      <c r="B13784" s="3" t="s">
        <v>7</v>
      </c>
      <c r="C13784" s="3" t="s">
        <v>2140</v>
      </c>
      <c r="D13784" s="4">
        <f>DATE(2009,6,4)</f>
        <v>39968</v>
      </c>
      <c r="E13784" s="5">
        <f t="shared" si="228"/>
        <v>2009</v>
      </c>
      <c r="F13784" s="3" t="s">
        <v>2143</v>
      </c>
      <c r="G13784" s="6">
        <v>715.5</v>
      </c>
      <c r="H13784" s="5">
        <v>12654</v>
      </c>
    </row>
    <row r="13785" spans="2:8" x14ac:dyDescent="0.4">
      <c r="B13785" t="s">
        <v>7</v>
      </c>
      <c r="C13785" t="s">
        <v>2144</v>
      </c>
      <c r="D13785" s="7">
        <f>DATE(2003,2,8)</f>
        <v>37660</v>
      </c>
      <c r="E13785" s="8">
        <f t="shared" si="228"/>
        <v>2003</v>
      </c>
      <c r="F13785" t="s">
        <v>2145</v>
      </c>
      <c r="G13785" s="9">
        <v>5193.8999999999996</v>
      </c>
      <c r="H13785" s="8">
        <v>197</v>
      </c>
    </row>
    <row r="13786" spans="2:8" x14ac:dyDescent="0.4">
      <c r="B13786" t="s">
        <v>7</v>
      </c>
      <c r="C13786" t="s">
        <v>2144</v>
      </c>
      <c r="D13786" s="7">
        <f>DATE(2003,2,18)</f>
        <v>37670</v>
      </c>
      <c r="E13786" s="8">
        <f t="shared" si="228"/>
        <v>2003</v>
      </c>
      <c r="F13786" t="s">
        <v>2145</v>
      </c>
      <c r="G13786" s="9">
        <v>28023.8</v>
      </c>
      <c r="H13786" s="8">
        <v>220</v>
      </c>
    </row>
    <row r="13787" spans="2:8" x14ac:dyDescent="0.4">
      <c r="B13787" t="s">
        <v>7</v>
      </c>
      <c r="C13787" t="s">
        <v>2144</v>
      </c>
      <c r="D13787" s="7">
        <f>DATE(2003,7,24)</f>
        <v>37826</v>
      </c>
      <c r="E13787" s="8">
        <f t="shared" si="228"/>
        <v>2003</v>
      </c>
      <c r="F13787" t="s">
        <v>2145</v>
      </c>
      <c r="G13787" s="9">
        <v>28342.83</v>
      </c>
      <c r="H13787" s="8">
        <v>703</v>
      </c>
    </row>
    <row r="13788" spans="2:8" x14ac:dyDescent="0.4">
      <c r="B13788" t="s">
        <v>7</v>
      </c>
      <c r="C13788" t="s">
        <v>2144</v>
      </c>
      <c r="D13788" s="7">
        <f>DATE(2003,11,23)</f>
        <v>37948</v>
      </c>
      <c r="E13788" s="8">
        <f t="shared" si="228"/>
        <v>2003</v>
      </c>
      <c r="F13788" t="s">
        <v>2145</v>
      </c>
      <c r="G13788" s="9">
        <v>8077.71</v>
      </c>
      <c r="H13788" s="8">
        <v>1030</v>
      </c>
    </row>
    <row r="13789" spans="2:8" x14ac:dyDescent="0.4">
      <c r="B13789" t="s">
        <v>7</v>
      </c>
      <c r="C13789" t="s">
        <v>2144</v>
      </c>
      <c r="D13789" s="7">
        <f>DATE(2004,1,19)</f>
        <v>38005</v>
      </c>
      <c r="E13789" s="8">
        <f t="shared" si="228"/>
        <v>2004</v>
      </c>
      <c r="F13789" t="s">
        <v>2145</v>
      </c>
      <c r="G13789" s="9">
        <v>8417.57</v>
      </c>
      <c r="H13789" s="8">
        <v>1154</v>
      </c>
    </row>
    <row r="13790" spans="2:8" x14ac:dyDescent="0.4">
      <c r="B13790" t="s">
        <v>7</v>
      </c>
      <c r="C13790" t="s">
        <v>2144</v>
      </c>
      <c r="D13790" s="7">
        <f>DATE(2004,9,21)</f>
        <v>38251</v>
      </c>
      <c r="E13790" s="8">
        <f t="shared" si="228"/>
        <v>2004</v>
      </c>
      <c r="F13790" t="s">
        <v>2145</v>
      </c>
      <c r="G13790" s="9">
        <v>7341.96</v>
      </c>
      <c r="H13790" s="8">
        <v>2226</v>
      </c>
    </row>
    <row r="13791" spans="2:8" x14ac:dyDescent="0.4">
      <c r="B13791" t="s">
        <v>7</v>
      </c>
      <c r="C13791" t="s">
        <v>2144</v>
      </c>
      <c r="D13791" s="7">
        <f>DATE(2004,10,29)</f>
        <v>38289</v>
      </c>
      <c r="E13791" s="8">
        <f t="shared" si="228"/>
        <v>2004</v>
      </c>
      <c r="F13791" t="s">
        <v>2145</v>
      </c>
      <c r="G13791" s="9">
        <v>35869.4</v>
      </c>
      <c r="H13791" s="8">
        <v>2324</v>
      </c>
    </row>
    <row r="13792" spans="2:8" x14ac:dyDescent="0.4">
      <c r="B13792" t="s">
        <v>7</v>
      </c>
      <c r="C13792" t="s">
        <v>2144</v>
      </c>
      <c r="D13792" s="7">
        <f>DATE(2005,4,3)</f>
        <v>38445</v>
      </c>
      <c r="E13792" s="8">
        <f t="shared" si="228"/>
        <v>2005</v>
      </c>
      <c r="F13792" t="s">
        <v>2145</v>
      </c>
      <c r="G13792" s="9">
        <v>39047.599999999999</v>
      </c>
      <c r="H13792" s="8">
        <v>2902</v>
      </c>
    </row>
    <row r="13793" spans="2:8" x14ac:dyDescent="0.4">
      <c r="B13793" t="s">
        <v>7</v>
      </c>
      <c r="C13793" t="s">
        <v>2144</v>
      </c>
      <c r="D13793" s="7">
        <f>DATE(2005,4,12)</f>
        <v>38454</v>
      </c>
      <c r="E13793" s="8">
        <f t="shared" si="228"/>
        <v>2005</v>
      </c>
      <c r="F13793" t="s">
        <v>2145</v>
      </c>
      <c r="G13793" s="9">
        <v>26128.1</v>
      </c>
      <c r="H13793" s="8">
        <v>2984</v>
      </c>
    </row>
    <row r="13794" spans="2:8" x14ac:dyDescent="0.4">
      <c r="B13794" t="s">
        <v>7</v>
      </c>
      <c r="C13794" t="s">
        <v>2144</v>
      </c>
      <c r="D13794" s="7">
        <f>DATE(2005,6,11)</f>
        <v>38514</v>
      </c>
      <c r="E13794" s="8">
        <f t="shared" si="228"/>
        <v>2005</v>
      </c>
      <c r="F13794" t="s">
        <v>2145</v>
      </c>
      <c r="G13794" s="9">
        <v>6849.25</v>
      </c>
      <c r="H13794" s="8">
        <v>3275</v>
      </c>
    </row>
    <row r="13795" spans="2:8" x14ac:dyDescent="0.4">
      <c r="B13795" t="s">
        <v>7</v>
      </c>
      <c r="C13795" t="s">
        <v>2144</v>
      </c>
      <c r="D13795" s="7">
        <f>DATE(2005,11,11)</f>
        <v>38667</v>
      </c>
      <c r="E13795" s="8">
        <f t="shared" si="228"/>
        <v>2005</v>
      </c>
      <c r="F13795" t="s">
        <v>2145</v>
      </c>
      <c r="G13795" s="9">
        <v>4518.03</v>
      </c>
      <c r="H13795" s="8">
        <v>3759</v>
      </c>
    </row>
    <row r="13796" spans="2:8" x14ac:dyDescent="0.4">
      <c r="B13796" t="s">
        <v>7</v>
      </c>
      <c r="C13796" t="s">
        <v>2144</v>
      </c>
      <c r="D13796" s="7">
        <f>DATE(2006,4,28)</f>
        <v>38835</v>
      </c>
      <c r="E13796" s="8">
        <f t="shared" si="228"/>
        <v>2006</v>
      </c>
      <c r="F13796" t="s">
        <v>2145</v>
      </c>
      <c r="G13796" s="9">
        <v>29597.56</v>
      </c>
      <c r="H13796" s="8">
        <v>3644</v>
      </c>
    </row>
    <row r="13797" spans="2:8" x14ac:dyDescent="0.4">
      <c r="B13797" t="s">
        <v>7</v>
      </c>
      <c r="C13797" t="s">
        <v>2144</v>
      </c>
      <c r="D13797" s="7">
        <f>DATE(2007,4,7)</f>
        <v>39179</v>
      </c>
      <c r="E13797" s="8">
        <f t="shared" si="228"/>
        <v>2007</v>
      </c>
      <c r="F13797" t="s">
        <v>2145</v>
      </c>
      <c r="G13797" s="9">
        <v>38302.89</v>
      </c>
      <c r="H13797" s="8">
        <v>5450</v>
      </c>
    </row>
    <row r="13798" spans="2:8" x14ac:dyDescent="0.4">
      <c r="B13798" t="s">
        <v>7</v>
      </c>
      <c r="C13798" t="s">
        <v>2144</v>
      </c>
      <c r="D13798" s="7">
        <f>DATE(2015,3,26)</f>
        <v>42089</v>
      </c>
      <c r="E13798" s="8">
        <f t="shared" si="228"/>
        <v>2015</v>
      </c>
      <c r="F13798" t="s">
        <v>2146</v>
      </c>
      <c r="G13798" s="9">
        <v>35016.06</v>
      </c>
      <c r="H13798" s="8">
        <v>280</v>
      </c>
    </row>
    <row r="13799" spans="2:8" x14ac:dyDescent="0.4">
      <c r="B13799" t="s">
        <v>7</v>
      </c>
      <c r="C13799" t="s">
        <v>2144</v>
      </c>
      <c r="D13799" s="7">
        <f>DATE(2016,3,1)</f>
        <v>42430</v>
      </c>
      <c r="E13799" s="8">
        <f t="shared" si="228"/>
        <v>2016</v>
      </c>
      <c r="F13799" t="s">
        <v>2146</v>
      </c>
      <c r="G13799" s="9">
        <v>49916</v>
      </c>
      <c r="H13799" s="8">
        <v>21778</v>
      </c>
    </row>
    <row r="13800" spans="2:8" x14ac:dyDescent="0.4">
      <c r="B13800" t="s">
        <v>7</v>
      </c>
      <c r="C13800" t="s">
        <v>2144</v>
      </c>
      <c r="D13800" s="7">
        <f>DATE(2016,8,11)</f>
        <v>42593</v>
      </c>
      <c r="E13800" s="8">
        <f t="shared" si="228"/>
        <v>2016</v>
      </c>
      <c r="F13800" t="s">
        <v>2146</v>
      </c>
      <c r="G13800" s="9">
        <v>50691</v>
      </c>
      <c r="H13800" s="8">
        <v>23242</v>
      </c>
    </row>
    <row r="13801" spans="2:8" x14ac:dyDescent="0.4">
      <c r="B13801" t="s">
        <v>7</v>
      </c>
      <c r="C13801" t="s">
        <v>2144</v>
      </c>
      <c r="D13801" s="7">
        <f>DATE(2017,3,20)</f>
        <v>42814</v>
      </c>
      <c r="E13801" s="8">
        <f t="shared" si="228"/>
        <v>2017</v>
      </c>
      <c r="F13801" t="s">
        <v>2146</v>
      </c>
      <c r="G13801" s="9">
        <v>31735.94</v>
      </c>
      <c r="H13801" s="8">
        <v>24484</v>
      </c>
    </row>
    <row r="13802" spans="2:8" x14ac:dyDescent="0.4">
      <c r="B13802" t="s">
        <v>7</v>
      </c>
      <c r="C13802" t="s">
        <v>2144</v>
      </c>
      <c r="D13802" s="7">
        <f>DATE(2016,2,1)</f>
        <v>42401</v>
      </c>
      <c r="E13802" s="8">
        <f t="shared" si="228"/>
        <v>2016</v>
      </c>
      <c r="F13802" t="s">
        <v>2146</v>
      </c>
      <c r="G13802" s="9">
        <v>1078</v>
      </c>
      <c r="H13802" s="8">
        <v>22062</v>
      </c>
    </row>
    <row r="13803" spans="2:8" x14ac:dyDescent="0.4">
      <c r="B13803" t="s">
        <v>7</v>
      </c>
      <c r="C13803" t="s">
        <v>2144</v>
      </c>
      <c r="D13803" s="7">
        <f>DATE(2016,11,1)</f>
        <v>42675</v>
      </c>
      <c r="E13803" s="8">
        <f t="shared" si="228"/>
        <v>2016</v>
      </c>
      <c r="F13803" t="s">
        <v>2146</v>
      </c>
      <c r="G13803" s="9">
        <v>1078</v>
      </c>
      <c r="H13803" s="8">
        <v>23733</v>
      </c>
    </row>
    <row r="13804" spans="2:8" x14ac:dyDescent="0.4">
      <c r="B13804" t="s">
        <v>7</v>
      </c>
      <c r="C13804" t="s">
        <v>2144</v>
      </c>
      <c r="D13804" s="7">
        <f>DATE(2010,5,11)</f>
        <v>40309</v>
      </c>
      <c r="E13804" s="8">
        <f t="shared" si="228"/>
        <v>2010</v>
      </c>
      <c r="F13804" t="s">
        <v>2146</v>
      </c>
      <c r="G13804" s="9">
        <v>56144.87</v>
      </c>
      <c r="H13804" s="8">
        <v>9813</v>
      </c>
    </row>
    <row r="13805" spans="2:8" x14ac:dyDescent="0.4">
      <c r="B13805" t="s">
        <v>7</v>
      </c>
      <c r="C13805" t="s">
        <v>2144</v>
      </c>
      <c r="D13805" s="7">
        <f>DATE(2011,2,17)</f>
        <v>40591</v>
      </c>
      <c r="E13805" s="8">
        <f t="shared" si="228"/>
        <v>2011</v>
      </c>
      <c r="F13805" t="s">
        <v>2146</v>
      </c>
      <c r="G13805" s="9">
        <v>60213.54</v>
      </c>
      <c r="H13805" s="8">
        <v>10469</v>
      </c>
    </row>
    <row r="13806" spans="2:8" x14ac:dyDescent="0.4">
      <c r="B13806" t="s">
        <v>7</v>
      </c>
      <c r="C13806" t="s">
        <v>2144</v>
      </c>
      <c r="D13806" s="7">
        <f>DATE(2011,3,30)</f>
        <v>40632</v>
      </c>
      <c r="E13806" s="8">
        <f t="shared" si="228"/>
        <v>2011</v>
      </c>
      <c r="F13806" t="s">
        <v>2146</v>
      </c>
      <c r="G13806" s="9">
        <v>36209.019999999997</v>
      </c>
      <c r="H13806" s="8">
        <v>10323</v>
      </c>
    </row>
    <row r="13807" spans="2:8" x14ac:dyDescent="0.4">
      <c r="B13807" t="s">
        <v>7</v>
      </c>
      <c r="C13807" t="s">
        <v>2144</v>
      </c>
      <c r="D13807" s="7">
        <f>DATE(2012,3,7)</f>
        <v>40975</v>
      </c>
      <c r="E13807" s="8">
        <f t="shared" si="228"/>
        <v>2012</v>
      </c>
      <c r="F13807" t="s">
        <v>2146</v>
      </c>
      <c r="G13807" s="9">
        <v>40203</v>
      </c>
      <c r="H13807" s="8">
        <v>11387</v>
      </c>
    </row>
    <row r="13808" spans="2:8" x14ac:dyDescent="0.4">
      <c r="B13808" t="s">
        <v>7</v>
      </c>
      <c r="C13808" t="s">
        <v>2144</v>
      </c>
      <c r="D13808" s="7">
        <f>DATE(2014,5,9)</f>
        <v>41768</v>
      </c>
      <c r="E13808" s="8">
        <f t="shared" si="228"/>
        <v>2014</v>
      </c>
      <c r="F13808" t="s">
        <v>2146</v>
      </c>
      <c r="G13808" s="9">
        <v>37101.910000000003</v>
      </c>
      <c r="H13808" s="8">
        <v>13187</v>
      </c>
    </row>
    <row r="13809" spans="2:8" x14ac:dyDescent="0.4">
      <c r="B13809" s="3" t="s">
        <v>7</v>
      </c>
      <c r="C13809" s="3" t="s">
        <v>2144</v>
      </c>
      <c r="D13809" s="4">
        <f>DATE(2013,10,14)</f>
        <v>41561</v>
      </c>
      <c r="E13809" s="5">
        <f t="shared" si="228"/>
        <v>2013</v>
      </c>
      <c r="F13809" s="3" t="s">
        <v>2146</v>
      </c>
      <c r="G13809" s="6">
        <v>269.5</v>
      </c>
      <c r="H13809" s="5">
        <v>19004</v>
      </c>
    </row>
    <row r="13810" spans="2:8" x14ac:dyDescent="0.4">
      <c r="B13810" s="3" t="s">
        <v>7</v>
      </c>
      <c r="C13810" s="3" t="s">
        <v>2144</v>
      </c>
      <c r="D13810" s="4">
        <f>DATE(2014,5,2)</f>
        <v>41761</v>
      </c>
      <c r="E13810" s="5">
        <f t="shared" si="228"/>
        <v>2014</v>
      </c>
      <c r="F13810" s="3" t="s">
        <v>2146</v>
      </c>
      <c r="G13810" s="6">
        <v>253.33</v>
      </c>
      <c r="H13810" s="5">
        <v>19939</v>
      </c>
    </row>
    <row r="13811" spans="2:8" x14ac:dyDescent="0.4">
      <c r="B13811" s="3" t="s">
        <v>7</v>
      </c>
      <c r="C13811" s="3" t="s">
        <v>2144</v>
      </c>
      <c r="D13811" s="4">
        <f>DATE(2014,5,2)</f>
        <v>41761</v>
      </c>
      <c r="E13811" s="5">
        <f t="shared" si="228"/>
        <v>2014</v>
      </c>
      <c r="F13811" s="3" t="s">
        <v>2146</v>
      </c>
      <c r="G13811" s="6">
        <v>824.67</v>
      </c>
      <c r="H13811" s="5">
        <v>19939</v>
      </c>
    </row>
    <row r="13812" spans="2:8" x14ac:dyDescent="0.4">
      <c r="B13812" t="s">
        <v>7</v>
      </c>
      <c r="C13812" t="s">
        <v>2147</v>
      </c>
      <c r="D13812" s="7">
        <f>DATE(2003,7,14)</f>
        <v>37816</v>
      </c>
      <c r="E13812" s="8">
        <f t="shared" si="228"/>
        <v>2003</v>
      </c>
      <c r="F13812" t="s">
        <v>2148</v>
      </c>
      <c r="G13812" s="9">
        <v>5000</v>
      </c>
      <c r="H13812" s="8">
        <v>719</v>
      </c>
    </row>
    <row r="13813" spans="2:8" x14ac:dyDescent="0.4">
      <c r="B13813" t="s">
        <v>7</v>
      </c>
      <c r="C13813" t="s">
        <v>2147</v>
      </c>
      <c r="D13813" s="7">
        <f>DATE(2004,7,31)</f>
        <v>38199</v>
      </c>
      <c r="E13813" s="8">
        <f t="shared" si="228"/>
        <v>2004</v>
      </c>
      <c r="F13813" t="s">
        <v>2148</v>
      </c>
      <c r="G13813" s="9">
        <v>15841</v>
      </c>
      <c r="H13813" s="8">
        <v>1988</v>
      </c>
    </row>
    <row r="13814" spans="2:8" x14ac:dyDescent="0.4">
      <c r="B13814" t="s">
        <v>7</v>
      </c>
      <c r="C13814" t="s">
        <v>2149</v>
      </c>
      <c r="D13814" s="7">
        <f>DATE(2017,11,27)</f>
        <v>43066</v>
      </c>
      <c r="E13814" s="8">
        <f t="shared" si="228"/>
        <v>2017</v>
      </c>
      <c r="F13814" t="s">
        <v>2150</v>
      </c>
      <c r="G13814" s="9">
        <v>11866.5</v>
      </c>
      <c r="H13814" s="8">
        <v>25867</v>
      </c>
    </row>
    <row r="13815" spans="2:8" x14ac:dyDescent="0.4">
      <c r="B13815" t="s">
        <v>7</v>
      </c>
      <c r="C13815" t="s">
        <v>2151</v>
      </c>
      <c r="D13815" s="7">
        <f>DATE(2010,4,19)</f>
        <v>40287</v>
      </c>
      <c r="E13815" s="8">
        <f t="shared" si="228"/>
        <v>2010</v>
      </c>
      <c r="F13815" t="s">
        <v>2152</v>
      </c>
      <c r="G13815" s="9">
        <v>12906.21</v>
      </c>
      <c r="H13815" s="8">
        <v>9733</v>
      </c>
    </row>
    <row r="13816" spans="2:8" x14ac:dyDescent="0.4">
      <c r="B13816" t="s">
        <v>7</v>
      </c>
      <c r="C13816" t="s">
        <v>2151</v>
      </c>
      <c r="D13816" s="7">
        <f>DATE(2010,8,31)</f>
        <v>40421</v>
      </c>
      <c r="E13816" s="8">
        <f t="shared" si="228"/>
        <v>2010</v>
      </c>
      <c r="F13816" t="s">
        <v>2152</v>
      </c>
      <c r="G13816" s="9">
        <v>5200</v>
      </c>
      <c r="H13816" s="8">
        <v>10091</v>
      </c>
    </row>
    <row r="13817" spans="2:8" x14ac:dyDescent="0.4">
      <c r="B13817" t="s">
        <v>7</v>
      </c>
      <c r="C13817" t="s">
        <v>2151</v>
      </c>
      <c r="D13817" s="7">
        <f>DATE(2011,2,15)</f>
        <v>40589</v>
      </c>
      <c r="E13817" s="8">
        <f t="shared" si="228"/>
        <v>2011</v>
      </c>
      <c r="F13817" t="s">
        <v>2152</v>
      </c>
      <c r="G13817" s="9">
        <v>11330</v>
      </c>
      <c r="H13817" s="8">
        <v>10449</v>
      </c>
    </row>
    <row r="13818" spans="2:8" x14ac:dyDescent="0.4">
      <c r="B13818" t="s">
        <v>7</v>
      </c>
      <c r="C13818" t="s">
        <v>2151</v>
      </c>
      <c r="D13818" s="7">
        <f>DATE(2011,2,15)</f>
        <v>40589</v>
      </c>
      <c r="E13818" s="8">
        <f t="shared" si="228"/>
        <v>2011</v>
      </c>
      <c r="F13818" t="s">
        <v>2152</v>
      </c>
      <c r="G13818" s="9">
        <v>11330</v>
      </c>
      <c r="H13818" s="8">
        <v>10448</v>
      </c>
    </row>
    <row r="13819" spans="2:8" x14ac:dyDescent="0.4">
      <c r="B13819" t="s">
        <v>7</v>
      </c>
      <c r="C13819" t="s">
        <v>2151</v>
      </c>
      <c r="D13819" s="7">
        <f>DATE(2011,2,15)</f>
        <v>40589</v>
      </c>
      <c r="E13819" s="8">
        <f t="shared" si="228"/>
        <v>2011</v>
      </c>
      <c r="F13819" t="s">
        <v>2152</v>
      </c>
      <c r="G13819" s="9">
        <v>1705.14</v>
      </c>
      <c r="H13819" s="8">
        <v>10448</v>
      </c>
    </row>
    <row r="13820" spans="2:8" x14ac:dyDescent="0.4">
      <c r="B13820" t="s">
        <v>7</v>
      </c>
      <c r="C13820" t="s">
        <v>2151</v>
      </c>
      <c r="D13820" s="7">
        <f>DATE(2006,12,9)</f>
        <v>39060</v>
      </c>
      <c r="E13820" s="8">
        <f t="shared" si="228"/>
        <v>2006</v>
      </c>
      <c r="F13820" t="s">
        <v>2152</v>
      </c>
      <c r="G13820" s="9">
        <v>21098.67</v>
      </c>
      <c r="H13820" s="8">
        <v>5181</v>
      </c>
    </row>
    <row r="13821" spans="2:8" x14ac:dyDescent="0.4">
      <c r="B13821" t="s">
        <v>7</v>
      </c>
      <c r="C13821" t="s">
        <v>2153</v>
      </c>
      <c r="D13821" s="7">
        <f>DATE(2015,10,21)</f>
        <v>42298</v>
      </c>
      <c r="E13821" s="8">
        <f t="shared" si="228"/>
        <v>2015</v>
      </c>
      <c r="F13821" t="s">
        <v>2154</v>
      </c>
      <c r="G13821" s="9">
        <v>42594.99</v>
      </c>
      <c r="H13821" s="8">
        <v>20794</v>
      </c>
    </row>
    <row r="13822" spans="2:8" x14ac:dyDescent="0.4">
      <c r="B13822" t="s">
        <v>7</v>
      </c>
      <c r="C13822" t="s">
        <v>2153</v>
      </c>
      <c r="D13822" s="7">
        <f>DATE(2010,10,14)</f>
        <v>40465</v>
      </c>
      <c r="E13822" s="8">
        <f t="shared" si="228"/>
        <v>2010</v>
      </c>
      <c r="F13822" t="s">
        <v>2154</v>
      </c>
      <c r="G13822" s="9">
        <v>18845.03</v>
      </c>
      <c r="H13822" s="8">
        <v>10139</v>
      </c>
    </row>
    <row r="13823" spans="2:8" x14ac:dyDescent="0.4">
      <c r="B13823" t="s">
        <v>7</v>
      </c>
      <c r="C13823" t="s">
        <v>2153</v>
      </c>
      <c r="D13823" s="7">
        <f>DATE(2010,10,19)</f>
        <v>40470</v>
      </c>
      <c r="E13823" s="8">
        <f t="shared" si="228"/>
        <v>2010</v>
      </c>
      <c r="F13823" t="s">
        <v>2154</v>
      </c>
      <c r="G13823" s="9">
        <v>25376.97</v>
      </c>
      <c r="H13823" s="8">
        <v>10125</v>
      </c>
    </row>
    <row r="13824" spans="2:8" x14ac:dyDescent="0.4">
      <c r="B13824" t="s">
        <v>7</v>
      </c>
      <c r="C13824" t="s">
        <v>2153</v>
      </c>
      <c r="D13824" s="7">
        <f>DATE(2011,10,31)</f>
        <v>40847</v>
      </c>
      <c r="E13824" s="8">
        <f t="shared" si="228"/>
        <v>2011</v>
      </c>
      <c r="F13824" t="s">
        <v>2154</v>
      </c>
      <c r="G13824" s="9">
        <v>27580.52</v>
      </c>
      <c r="H13824" s="8">
        <v>10976</v>
      </c>
    </row>
    <row r="13825" spans="2:8" x14ac:dyDescent="0.4">
      <c r="B13825" t="s">
        <v>7</v>
      </c>
      <c r="C13825" t="s">
        <v>2153</v>
      </c>
      <c r="D13825" s="7">
        <f>DATE(2014,11,19)</f>
        <v>41962</v>
      </c>
      <c r="E13825" s="8">
        <f t="shared" si="228"/>
        <v>2014</v>
      </c>
      <c r="F13825" t="s">
        <v>2154</v>
      </c>
      <c r="G13825" s="9">
        <v>42557.24</v>
      </c>
      <c r="H13825" s="8">
        <v>13414</v>
      </c>
    </row>
    <row r="13826" spans="2:8" x14ac:dyDescent="0.4">
      <c r="B13826" t="s">
        <v>16</v>
      </c>
      <c r="C13826" t="s">
        <v>2153</v>
      </c>
      <c r="D13826" s="7">
        <f>DATE(2010,10,14)</f>
        <v>40465</v>
      </c>
      <c r="E13826" s="8">
        <f t="shared" si="228"/>
        <v>2010</v>
      </c>
      <c r="F13826" t="s">
        <v>2154</v>
      </c>
      <c r="G13826" s="9">
        <v>16938</v>
      </c>
      <c r="H13826" s="8">
        <v>10816</v>
      </c>
    </row>
    <row r="13827" spans="2:8" x14ac:dyDescent="0.4">
      <c r="B13827" t="s">
        <v>7</v>
      </c>
      <c r="C13827" t="s">
        <v>2155</v>
      </c>
      <c r="D13827" s="7">
        <f>DATE(2009,1,10)</f>
        <v>39823</v>
      </c>
      <c r="E13827" s="8">
        <f t="shared" ref="E13827:E13890" si="229">YEAR(D13827)</f>
        <v>2009</v>
      </c>
      <c r="F13827" t="s">
        <v>2156</v>
      </c>
      <c r="G13827" s="9">
        <v>3948.63</v>
      </c>
      <c r="H13827" s="8">
        <v>8173</v>
      </c>
    </row>
    <row r="13828" spans="2:8" x14ac:dyDescent="0.4">
      <c r="B13828" t="s">
        <v>7</v>
      </c>
      <c r="C13828" t="s">
        <v>2155</v>
      </c>
      <c r="D13828" s="7">
        <f>DATE(2009,3,12)</f>
        <v>39884</v>
      </c>
      <c r="E13828" s="8">
        <f t="shared" si="229"/>
        <v>2009</v>
      </c>
      <c r="F13828" t="s">
        <v>2156</v>
      </c>
      <c r="G13828" s="9">
        <v>5729.21</v>
      </c>
      <c r="H13828" s="8">
        <v>8420</v>
      </c>
    </row>
    <row r="13829" spans="2:8" x14ac:dyDescent="0.4">
      <c r="B13829" t="s">
        <v>7</v>
      </c>
      <c r="C13829" t="s">
        <v>2155</v>
      </c>
      <c r="D13829" s="7">
        <f>DATE(2010,1,25)</f>
        <v>40203</v>
      </c>
      <c r="E13829" s="8">
        <f t="shared" si="229"/>
        <v>2010</v>
      </c>
      <c r="F13829" t="s">
        <v>2156</v>
      </c>
      <c r="G13829" s="9">
        <v>3966.93</v>
      </c>
      <c r="H13829" s="8">
        <v>9390</v>
      </c>
    </row>
    <row r="13830" spans="2:8" x14ac:dyDescent="0.4">
      <c r="B13830" s="3" t="s">
        <v>7</v>
      </c>
      <c r="C13830" s="3" t="s">
        <v>2157</v>
      </c>
      <c r="D13830" s="4">
        <f>DATE(2006,10,20)</f>
        <v>39010</v>
      </c>
      <c r="E13830" s="5">
        <f t="shared" si="229"/>
        <v>2006</v>
      </c>
      <c r="F13830" s="3" t="s">
        <v>2158</v>
      </c>
      <c r="G13830" s="6">
        <v>8460.4</v>
      </c>
      <c r="H13830" s="5">
        <v>1838</v>
      </c>
    </row>
    <row r="13831" spans="2:8" x14ac:dyDescent="0.4">
      <c r="B13831" t="s">
        <v>7</v>
      </c>
      <c r="C13831" t="s">
        <v>2159</v>
      </c>
      <c r="D13831" s="7">
        <f>DATE(2018,6,8)</f>
        <v>43259</v>
      </c>
      <c r="E13831" s="8">
        <f t="shared" si="229"/>
        <v>2018</v>
      </c>
      <c r="F13831" t="s">
        <v>2160</v>
      </c>
      <c r="G13831" s="9">
        <v>27854</v>
      </c>
      <c r="H13831" s="8">
        <v>27129</v>
      </c>
    </row>
    <row r="13832" spans="2:8" x14ac:dyDescent="0.4">
      <c r="B13832" t="s">
        <v>7</v>
      </c>
      <c r="C13832" t="s">
        <v>2159</v>
      </c>
      <c r="D13832" s="7">
        <f>DATE(2016,2,25)</f>
        <v>42425</v>
      </c>
      <c r="E13832" s="8">
        <f t="shared" si="229"/>
        <v>2016</v>
      </c>
      <c r="F13832" t="s">
        <v>2161</v>
      </c>
      <c r="G13832" s="9">
        <v>47274.49</v>
      </c>
      <c r="H13832" s="8">
        <v>21354</v>
      </c>
    </row>
    <row r="13833" spans="2:8" x14ac:dyDescent="0.4">
      <c r="B13833" t="s">
        <v>7</v>
      </c>
      <c r="C13833" t="s">
        <v>2159</v>
      </c>
      <c r="D13833" s="7">
        <f>DATE(2016,4,12)</f>
        <v>42472</v>
      </c>
      <c r="E13833" s="8">
        <f t="shared" si="229"/>
        <v>2016</v>
      </c>
      <c r="F13833" t="s">
        <v>2161</v>
      </c>
      <c r="G13833" s="9">
        <v>40807.54</v>
      </c>
      <c r="H13833" s="8">
        <v>22141</v>
      </c>
    </row>
    <row r="13834" spans="2:8" x14ac:dyDescent="0.4">
      <c r="B13834" t="s">
        <v>7</v>
      </c>
      <c r="C13834" t="s">
        <v>2159</v>
      </c>
      <c r="D13834" s="7">
        <f>DATE(2017,7,3)</f>
        <v>42919</v>
      </c>
      <c r="E13834" s="8">
        <f t="shared" si="229"/>
        <v>2017</v>
      </c>
      <c r="F13834" t="s">
        <v>2161</v>
      </c>
      <c r="G13834" s="9">
        <v>125138.86</v>
      </c>
      <c r="H13834" s="8">
        <v>24814</v>
      </c>
    </row>
    <row r="13835" spans="2:8" x14ac:dyDescent="0.4">
      <c r="B13835" t="s">
        <v>7</v>
      </c>
      <c r="C13835" t="s">
        <v>2157</v>
      </c>
      <c r="D13835" s="7">
        <f>DATE(2016,1,6)</f>
        <v>42375</v>
      </c>
      <c r="E13835" s="8">
        <f t="shared" si="229"/>
        <v>2016</v>
      </c>
      <c r="F13835" t="s">
        <v>2162</v>
      </c>
      <c r="G13835" s="9">
        <v>18371.39</v>
      </c>
      <c r="H13835" s="8">
        <v>21449</v>
      </c>
    </row>
    <row r="13836" spans="2:8" x14ac:dyDescent="0.4">
      <c r="B13836" s="3" t="s">
        <v>7</v>
      </c>
      <c r="C13836" s="3" t="s">
        <v>2163</v>
      </c>
      <c r="D13836" s="4">
        <f>DATE(2014,6,25)</f>
        <v>41815</v>
      </c>
      <c r="E13836" s="5">
        <f t="shared" si="229"/>
        <v>2014</v>
      </c>
      <c r="F13836" s="3" t="s">
        <v>2164</v>
      </c>
      <c r="G13836" s="6">
        <v>23724.21</v>
      </c>
      <c r="H13836" s="5">
        <v>6242</v>
      </c>
    </row>
    <row r="13837" spans="2:8" x14ac:dyDescent="0.4">
      <c r="B13837" t="s">
        <v>7</v>
      </c>
      <c r="C13837" t="s">
        <v>2165</v>
      </c>
      <c r="D13837" s="7">
        <f>DATE(2008,12,21)</f>
        <v>39803</v>
      </c>
      <c r="E13837" s="8">
        <f t="shared" si="229"/>
        <v>2008</v>
      </c>
      <c r="F13837" t="s">
        <v>2166</v>
      </c>
      <c r="G13837" s="9">
        <v>10500</v>
      </c>
      <c r="H13837" s="8">
        <v>8127</v>
      </c>
    </row>
    <row r="13838" spans="2:8" x14ac:dyDescent="0.4">
      <c r="B13838" t="s">
        <v>7</v>
      </c>
      <c r="C13838" t="s">
        <v>2165</v>
      </c>
      <c r="D13838" s="7">
        <f>DATE(2008,12,21)</f>
        <v>39803</v>
      </c>
      <c r="E13838" s="8">
        <f t="shared" si="229"/>
        <v>2008</v>
      </c>
      <c r="F13838" t="s">
        <v>2166</v>
      </c>
      <c r="G13838" s="9">
        <v>6083</v>
      </c>
      <c r="H13838" s="8">
        <v>8103</v>
      </c>
    </row>
    <row r="13839" spans="2:8" x14ac:dyDescent="0.4">
      <c r="B13839" t="s">
        <v>7</v>
      </c>
      <c r="C13839" t="s">
        <v>2167</v>
      </c>
      <c r="D13839" s="7">
        <f>DATE(2005,6,3)</f>
        <v>38506</v>
      </c>
      <c r="E13839" s="8">
        <f t="shared" si="229"/>
        <v>2005</v>
      </c>
      <c r="F13839" t="s">
        <v>2168</v>
      </c>
      <c r="G13839" s="9">
        <v>6334.66</v>
      </c>
      <c r="H13839" s="8">
        <v>3240</v>
      </c>
    </row>
    <row r="13840" spans="2:8" x14ac:dyDescent="0.4">
      <c r="B13840" s="3" t="s">
        <v>7</v>
      </c>
      <c r="C13840" s="3" t="s">
        <v>2167</v>
      </c>
      <c r="D13840" s="4">
        <f>DATE(2004,1,29)</f>
        <v>38015</v>
      </c>
      <c r="E13840" s="5">
        <f t="shared" si="229"/>
        <v>2004</v>
      </c>
      <c r="F13840" s="3" t="s">
        <v>2168</v>
      </c>
      <c r="G13840" s="6">
        <v>5960</v>
      </c>
      <c r="H13840" s="5">
        <v>2077</v>
      </c>
    </row>
    <row r="13841" spans="2:8" x14ac:dyDescent="0.4">
      <c r="B13841" t="s">
        <v>7</v>
      </c>
      <c r="C13841" t="s">
        <v>2169</v>
      </c>
      <c r="D13841" s="7">
        <f>DATE(2008,8,28)</f>
        <v>39688</v>
      </c>
      <c r="E13841" s="8">
        <f t="shared" si="229"/>
        <v>2008</v>
      </c>
      <c r="F13841" t="s">
        <v>2170</v>
      </c>
      <c r="G13841" s="9">
        <v>6625.48</v>
      </c>
      <c r="H13841" s="8">
        <v>7750</v>
      </c>
    </row>
    <row r="13842" spans="2:8" x14ac:dyDescent="0.4">
      <c r="B13842" t="s">
        <v>7</v>
      </c>
      <c r="C13842" t="s">
        <v>2171</v>
      </c>
      <c r="D13842" s="7">
        <f>DATE(2009,2,25)</f>
        <v>39869</v>
      </c>
      <c r="E13842" s="8">
        <f t="shared" si="229"/>
        <v>2009</v>
      </c>
      <c r="F13842" t="s">
        <v>2172</v>
      </c>
      <c r="G13842" s="9">
        <v>500</v>
      </c>
      <c r="H13842" s="8">
        <v>8154</v>
      </c>
    </row>
    <row r="13843" spans="2:8" x14ac:dyDescent="0.4">
      <c r="B13843" s="3" t="s">
        <v>7</v>
      </c>
      <c r="C13843" s="3" t="s">
        <v>2173</v>
      </c>
      <c r="D13843" s="4">
        <f>DATE(2003,4,21)</f>
        <v>37732</v>
      </c>
      <c r="E13843" s="5">
        <f t="shared" si="229"/>
        <v>2003</v>
      </c>
      <c r="F13843" s="3" t="s">
        <v>2174</v>
      </c>
      <c r="G13843" s="6">
        <v>370.4</v>
      </c>
      <c r="H13843" s="5">
        <v>132</v>
      </c>
    </row>
    <row r="13844" spans="2:8" x14ac:dyDescent="0.4">
      <c r="B13844" s="3" t="s">
        <v>7</v>
      </c>
      <c r="C13844" s="3" t="s">
        <v>2175</v>
      </c>
      <c r="D13844" s="4">
        <f>DATE(2003,5,5)</f>
        <v>37746</v>
      </c>
      <c r="E13844" s="5">
        <f t="shared" si="229"/>
        <v>2003</v>
      </c>
      <c r="F13844" s="3" t="s">
        <v>2176</v>
      </c>
      <c r="G13844" s="6">
        <v>132.71</v>
      </c>
      <c r="H13844" s="5">
        <v>151</v>
      </c>
    </row>
    <row r="13845" spans="2:8" x14ac:dyDescent="0.4">
      <c r="B13845" s="3" t="s">
        <v>7</v>
      </c>
      <c r="C13845" s="3" t="s">
        <v>2175</v>
      </c>
      <c r="D13845" s="4">
        <f>DATE(2007,10,17)</f>
        <v>39372</v>
      </c>
      <c r="E13845" s="5">
        <f t="shared" si="229"/>
        <v>2007</v>
      </c>
      <c r="F13845" s="3" t="s">
        <v>2177</v>
      </c>
      <c r="G13845" s="6">
        <v>774.28</v>
      </c>
      <c r="H13845" s="5">
        <v>2448</v>
      </c>
    </row>
    <row r="13846" spans="2:8" x14ac:dyDescent="0.4">
      <c r="B13846" s="3" t="s">
        <v>7</v>
      </c>
      <c r="C13846" s="3" t="s">
        <v>2173</v>
      </c>
      <c r="D13846" s="4">
        <f>DATE(2004,4,22)</f>
        <v>38099</v>
      </c>
      <c r="E13846" s="5">
        <f t="shared" si="229"/>
        <v>2004</v>
      </c>
      <c r="F13846" s="3" t="s">
        <v>2178</v>
      </c>
      <c r="G13846" s="6">
        <v>2004.16</v>
      </c>
      <c r="H13846" s="5">
        <v>643</v>
      </c>
    </row>
    <row r="13847" spans="2:8" x14ac:dyDescent="0.4">
      <c r="B13847" t="s">
        <v>7</v>
      </c>
      <c r="C13847" t="s">
        <v>2179</v>
      </c>
      <c r="D13847" s="7">
        <f>DATE(2011,4,22)</f>
        <v>40655</v>
      </c>
      <c r="E13847" s="8">
        <f t="shared" si="229"/>
        <v>2011</v>
      </c>
      <c r="F13847" t="s">
        <v>2180</v>
      </c>
      <c r="G13847" s="9">
        <v>8314.0499999999993</v>
      </c>
      <c r="H13847" s="8">
        <v>10686</v>
      </c>
    </row>
    <row r="13848" spans="2:8" x14ac:dyDescent="0.4">
      <c r="B13848" t="s">
        <v>7</v>
      </c>
      <c r="C13848" t="s">
        <v>2179</v>
      </c>
      <c r="D13848" s="7">
        <f>DATE(2015,4,9)</f>
        <v>42103</v>
      </c>
      <c r="E13848" s="8">
        <f t="shared" si="229"/>
        <v>2015</v>
      </c>
      <c r="F13848" t="s">
        <v>2181</v>
      </c>
      <c r="G13848" s="9">
        <v>4520</v>
      </c>
      <c r="H13848" s="8">
        <v>20028</v>
      </c>
    </row>
    <row r="13849" spans="2:8" x14ac:dyDescent="0.4">
      <c r="B13849" t="s">
        <v>7</v>
      </c>
      <c r="C13849" t="s">
        <v>2179</v>
      </c>
      <c r="D13849" s="7">
        <f>DATE(2015,4,9)</f>
        <v>42103</v>
      </c>
      <c r="E13849" s="8">
        <f t="shared" si="229"/>
        <v>2015</v>
      </c>
      <c r="F13849" t="s">
        <v>2181</v>
      </c>
      <c r="G13849" s="9">
        <v>14349</v>
      </c>
      <c r="H13849" s="8">
        <v>5032</v>
      </c>
    </row>
    <row r="13850" spans="2:8" x14ac:dyDescent="0.4">
      <c r="B13850" t="s">
        <v>7</v>
      </c>
      <c r="C13850" t="s">
        <v>2179</v>
      </c>
      <c r="D13850" s="7">
        <f>DATE(2015,4,9)</f>
        <v>42103</v>
      </c>
      <c r="E13850" s="8">
        <f t="shared" si="229"/>
        <v>2015</v>
      </c>
      <c r="F13850" t="s">
        <v>2181</v>
      </c>
      <c r="G13850" s="9">
        <v>11061</v>
      </c>
      <c r="H13850" s="8">
        <v>5034</v>
      </c>
    </row>
    <row r="13851" spans="2:8" x14ac:dyDescent="0.4">
      <c r="B13851" t="s">
        <v>7</v>
      </c>
      <c r="C13851" t="s">
        <v>2179</v>
      </c>
      <c r="D13851" s="7">
        <f>DATE(2016,3,10)</f>
        <v>42439</v>
      </c>
      <c r="E13851" s="8">
        <f t="shared" si="229"/>
        <v>2016</v>
      </c>
      <c r="F13851" t="s">
        <v>2181</v>
      </c>
      <c r="G13851" s="9">
        <v>8299.43</v>
      </c>
      <c r="H13851" s="8">
        <v>22324</v>
      </c>
    </row>
    <row r="13852" spans="2:8" x14ac:dyDescent="0.4">
      <c r="B13852" t="s">
        <v>7</v>
      </c>
      <c r="C13852" t="s">
        <v>2179</v>
      </c>
      <c r="D13852" s="7">
        <f>DATE(2016,5,4)</f>
        <v>42494</v>
      </c>
      <c r="E13852" s="8">
        <f t="shared" si="229"/>
        <v>2016</v>
      </c>
      <c r="F13852" t="s">
        <v>2181</v>
      </c>
      <c r="G13852" s="9">
        <v>5528.98</v>
      </c>
      <c r="H13852" s="8">
        <v>22721</v>
      </c>
    </row>
    <row r="13853" spans="2:8" x14ac:dyDescent="0.4">
      <c r="B13853" t="s">
        <v>7</v>
      </c>
      <c r="C13853" t="s">
        <v>2179</v>
      </c>
      <c r="D13853" s="7">
        <f>DATE(2016,10,13)</f>
        <v>42656</v>
      </c>
      <c r="E13853" s="8">
        <f t="shared" si="229"/>
        <v>2016</v>
      </c>
      <c r="F13853" t="s">
        <v>2181</v>
      </c>
      <c r="G13853" s="9">
        <v>10410.34</v>
      </c>
      <c r="H13853" s="8">
        <v>23601</v>
      </c>
    </row>
    <row r="13854" spans="2:8" x14ac:dyDescent="0.4">
      <c r="B13854" t="s">
        <v>7</v>
      </c>
      <c r="C13854" t="s">
        <v>2179</v>
      </c>
      <c r="D13854" s="7">
        <f>DATE(2018,8,28)</f>
        <v>43340</v>
      </c>
      <c r="E13854" s="8">
        <f t="shared" si="229"/>
        <v>2018</v>
      </c>
      <c r="F13854" t="s">
        <v>2181</v>
      </c>
      <c r="G13854" s="9">
        <v>13347.04</v>
      </c>
      <c r="H13854" s="8">
        <v>27475</v>
      </c>
    </row>
    <row r="13855" spans="2:8" x14ac:dyDescent="0.4">
      <c r="B13855" t="s">
        <v>7</v>
      </c>
      <c r="C13855" t="s">
        <v>2179</v>
      </c>
      <c r="D13855" s="7">
        <f>DATE(2018,11,27)</f>
        <v>43431</v>
      </c>
      <c r="E13855" s="8">
        <f t="shared" si="229"/>
        <v>2018</v>
      </c>
      <c r="F13855" t="s">
        <v>2181</v>
      </c>
      <c r="G13855" s="9">
        <v>12988.07</v>
      </c>
      <c r="H13855" s="8">
        <v>28014</v>
      </c>
    </row>
    <row r="13856" spans="2:8" x14ac:dyDescent="0.4">
      <c r="B13856" t="s">
        <v>7</v>
      </c>
      <c r="C13856" t="s">
        <v>2179</v>
      </c>
      <c r="D13856" s="7">
        <f>DATE(2019,1,7)</f>
        <v>43472</v>
      </c>
      <c r="E13856" s="8">
        <f t="shared" si="229"/>
        <v>2019</v>
      </c>
      <c r="F13856" t="s">
        <v>2181</v>
      </c>
      <c r="G13856" s="9">
        <v>7372.51</v>
      </c>
      <c r="H13856" s="8">
        <v>28181</v>
      </c>
    </row>
    <row r="13857" spans="2:8" x14ac:dyDescent="0.4">
      <c r="B13857" t="s">
        <v>7</v>
      </c>
      <c r="C13857" t="s">
        <v>2179</v>
      </c>
      <c r="D13857" s="7">
        <f>DATE(2019,3,8)</f>
        <v>43532</v>
      </c>
      <c r="E13857" s="8">
        <f t="shared" si="229"/>
        <v>2019</v>
      </c>
      <c r="F13857" t="s">
        <v>2181</v>
      </c>
      <c r="G13857" s="9">
        <v>11883.48</v>
      </c>
      <c r="H13857" s="8">
        <v>28544</v>
      </c>
    </row>
    <row r="13858" spans="2:8" x14ac:dyDescent="0.4">
      <c r="B13858" t="s">
        <v>7</v>
      </c>
      <c r="C13858" t="s">
        <v>2179</v>
      </c>
      <c r="D13858" s="7">
        <f>DATE(2019,4,23)</f>
        <v>43578</v>
      </c>
      <c r="E13858" s="8">
        <f t="shared" si="229"/>
        <v>2019</v>
      </c>
      <c r="F13858" t="s">
        <v>2181</v>
      </c>
      <c r="G13858" s="9">
        <v>10188.790000000001</v>
      </c>
      <c r="H13858" s="8">
        <v>28844</v>
      </c>
    </row>
    <row r="13859" spans="2:8" x14ac:dyDescent="0.4">
      <c r="B13859" t="s">
        <v>7</v>
      </c>
      <c r="C13859" t="s">
        <v>2179</v>
      </c>
      <c r="D13859" s="7">
        <f>DATE(2016,10,14)</f>
        <v>42657</v>
      </c>
      <c r="E13859" s="8">
        <f t="shared" si="229"/>
        <v>2016</v>
      </c>
      <c r="F13859" t="s">
        <v>2181</v>
      </c>
      <c r="G13859" s="9">
        <v>4329.8500000000004</v>
      </c>
      <c r="H13859" s="8">
        <v>23629</v>
      </c>
    </row>
    <row r="13860" spans="2:8" x14ac:dyDescent="0.4">
      <c r="B13860" t="s">
        <v>7</v>
      </c>
      <c r="C13860" t="s">
        <v>2179</v>
      </c>
      <c r="D13860" s="7">
        <f>DATE(2011,6,9)</f>
        <v>40703</v>
      </c>
      <c r="E13860" s="8">
        <f t="shared" si="229"/>
        <v>2011</v>
      </c>
      <c r="F13860" t="s">
        <v>2181</v>
      </c>
      <c r="G13860" s="9">
        <v>40023.480000000003</v>
      </c>
      <c r="H13860" s="8">
        <v>10424</v>
      </c>
    </row>
    <row r="13861" spans="2:8" x14ac:dyDescent="0.4">
      <c r="B13861" t="s">
        <v>7</v>
      </c>
      <c r="C13861" t="s">
        <v>2179</v>
      </c>
      <c r="D13861" s="7">
        <f>DATE(2003,2,25)</f>
        <v>37677</v>
      </c>
      <c r="E13861" s="8">
        <f t="shared" si="229"/>
        <v>2003</v>
      </c>
      <c r="F13861" t="s">
        <v>2181</v>
      </c>
      <c r="G13861" s="9">
        <v>5523.71</v>
      </c>
      <c r="H13861" s="8">
        <v>263</v>
      </c>
    </row>
    <row r="13862" spans="2:8" x14ac:dyDescent="0.4">
      <c r="B13862" t="s">
        <v>7</v>
      </c>
      <c r="C13862" t="s">
        <v>2179</v>
      </c>
      <c r="D13862" s="7">
        <f>DATE(2003,5,8)</f>
        <v>37749</v>
      </c>
      <c r="E13862" s="8">
        <f t="shared" si="229"/>
        <v>2003</v>
      </c>
      <c r="F13862" t="s">
        <v>2181</v>
      </c>
      <c r="G13862" s="9">
        <v>5992.91</v>
      </c>
      <c r="H13862" s="8">
        <v>577</v>
      </c>
    </row>
    <row r="13863" spans="2:8" x14ac:dyDescent="0.4">
      <c r="B13863" t="s">
        <v>7</v>
      </c>
      <c r="C13863" t="s">
        <v>2179</v>
      </c>
      <c r="D13863" s="7">
        <f>DATE(2003,7,29)</f>
        <v>37831</v>
      </c>
      <c r="E13863" s="8">
        <f t="shared" si="229"/>
        <v>2003</v>
      </c>
      <c r="F13863" t="s">
        <v>2181</v>
      </c>
      <c r="G13863" s="9">
        <v>5000.7299999999996</v>
      </c>
      <c r="H13863" s="8">
        <v>754</v>
      </c>
    </row>
    <row r="13864" spans="2:8" x14ac:dyDescent="0.4">
      <c r="B13864" t="s">
        <v>7</v>
      </c>
      <c r="C13864" t="s">
        <v>2179</v>
      </c>
      <c r="D13864" s="7">
        <f>DATE(2003,8,13)</f>
        <v>37846</v>
      </c>
      <c r="E13864" s="8">
        <f t="shared" si="229"/>
        <v>2003</v>
      </c>
      <c r="F13864" t="s">
        <v>2181</v>
      </c>
      <c r="G13864" s="9">
        <v>6751.16</v>
      </c>
      <c r="H13864" s="8">
        <v>800</v>
      </c>
    </row>
    <row r="13865" spans="2:8" x14ac:dyDescent="0.4">
      <c r="B13865" t="s">
        <v>7</v>
      </c>
      <c r="C13865" t="s">
        <v>2179</v>
      </c>
      <c r="D13865" s="7">
        <f>DATE(2004,6,23)</f>
        <v>38161</v>
      </c>
      <c r="E13865" s="8">
        <f t="shared" si="229"/>
        <v>2004</v>
      </c>
      <c r="F13865" t="s">
        <v>2181</v>
      </c>
      <c r="G13865" s="9">
        <v>56380</v>
      </c>
      <c r="H13865" s="8">
        <v>1904</v>
      </c>
    </row>
    <row r="13866" spans="2:8" x14ac:dyDescent="0.4">
      <c r="B13866" t="s">
        <v>7</v>
      </c>
      <c r="C13866" t="s">
        <v>2179</v>
      </c>
      <c r="D13866" s="7">
        <f>DATE(2006,3,14)</f>
        <v>38790</v>
      </c>
      <c r="E13866" s="8">
        <f t="shared" si="229"/>
        <v>2006</v>
      </c>
      <c r="F13866" t="s">
        <v>2181</v>
      </c>
      <c r="G13866" s="9">
        <v>26952.9</v>
      </c>
      <c r="H13866" s="8">
        <v>4166</v>
      </c>
    </row>
    <row r="13867" spans="2:8" x14ac:dyDescent="0.4">
      <c r="B13867" t="s">
        <v>7</v>
      </c>
      <c r="C13867" t="s">
        <v>2179</v>
      </c>
      <c r="D13867" s="7">
        <f>DATE(2007,5,19)</f>
        <v>39221</v>
      </c>
      <c r="E13867" s="8">
        <f t="shared" si="229"/>
        <v>2007</v>
      </c>
      <c r="F13867" t="s">
        <v>2181</v>
      </c>
      <c r="G13867" s="9">
        <v>41356.26</v>
      </c>
      <c r="H13867" s="8">
        <v>5988</v>
      </c>
    </row>
    <row r="13868" spans="2:8" x14ac:dyDescent="0.4">
      <c r="B13868" t="s">
        <v>7</v>
      </c>
      <c r="C13868" t="s">
        <v>2179</v>
      </c>
      <c r="D13868" s="7">
        <f>DATE(2008,11,12)</f>
        <v>39764</v>
      </c>
      <c r="E13868" s="8">
        <f t="shared" si="229"/>
        <v>2008</v>
      </c>
      <c r="F13868" t="s">
        <v>2181</v>
      </c>
      <c r="G13868" s="9">
        <v>55837.4</v>
      </c>
      <c r="H13868" s="8">
        <v>8019</v>
      </c>
    </row>
    <row r="13869" spans="2:8" x14ac:dyDescent="0.4">
      <c r="B13869" t="s">
        <v>7</v>
      </c>
      <c r="C13869" t="s">
        <v>2179</v>
      </c>
      <c r="D13869" s="7">
        <f>DATE(2009,6,25)</f>
        <v>39989</v>
      </c>
      <c r="E13869" s="8">
        <f t="shared" si="229"/>
        <v>2009</v>
      </c>
      <c r="F13869" t="s">
        <v>2181</v>
      </c>
      <c r="G13869" s="9">
        <v>15467.1</v>
      </c>
      <c r="H13869" s="8">
        <v>8830</v>
      </c>
    </row>
    <row r="13870" spans="2:8" x14ac:dyDescent="0.4">
      <c r="B13870" t="s">
        <v>7</v>
      </c>
      <c r="C13870" t="s">
        <v>2179</v>
      </c>
      <c r="D13870" s="7">
        <f>DATE(2010,6,11)</f>
        <v>40340</v>
      </c>
      <c r="E13870" s="8">
        <f t="shared" si="229"/>
        <v>2010</v>
      </c>
      <c r="F13870" t="s">
        <v>2181</v>
      </c>
      <c r="G13870" s="9">
        <v>44679.31</v>
      </c>
      <c r="H13870" s="8">
        <v>9790</v>
      </c>
    </row>
    <row r="13871" spans="2:8" x14ac:dyDescent="0.4">
      <c r="B13871" t="s">
        <v>7</v>
      </c>
      <c r="C13871" t="s">
        <v>2179</v>
      </c>
      <c r="D13871" s="7">
        <f>DATE(2011,6,9)</f>
        <v>40703</v>
      </c>
      <c r="E13871" s="8">
        <f t="shared" si="229"/>
        <v>2011</v>
      </c>
      <c r="F13871" t="s">
        <v>2181</v>
      </c>
      <c r="G13871" s="9">
        <v>48825.83</v>
      </c>
      <c r="H13871" s="8">
        <v>10423</v>
      </c>
    </row>
    <row r="13872" spans="2:8" x14ac:dyDescent="0.4">
      <c r="B13872" t="s">
        <v>7</v>
      </c>
      <c r="C13872" t="s">
        <v>2179</v>
      </c>
      <c r="D13872" s="7">
        <f>DATE(2011,11,4)</f>
        <v>40851</v>
      </c>
      <c r="E13872" s="8">
        <f t="shared" si="229"/>
        <v>2011</v>
      </c>
      <c r="F13872" t="s">
        <v>2181</v>
      </c>
      <c r="G13872" s="9">
        <v>41737.360000000001</v>
      </c>
      <c r="H13872" s="8">
        <v>11072</v>
      </c>
    </row>
    <row r="13873" spans="2:8" x14ac:dyDescent="0.4">
      <c r="B13873" t="s">
        <v>7</v>
      </c>
      <c r="C13873" t="s">
        <v>2179</v>
      </c>
      <c r="D13873" s="7">
        <f>DATE(2012,5,2)</f>
        <v>41031</v>
      </c>
      <c r="E13873" s="8">
        <f t="shared" si="229"/>
        <v>2012</v>
      </c>
      <c r="F13873" t="s">
        <v>2181</v>
      </c>
      <c r="G13873" s="9">
        <v>40612.51</v>
      </c>
      <c r="H13873" s="8">
        <v>11550</v>
      </c>
    </row>
    <row r="13874" spans="2:8" x14ac:dyDescent="0.4">
      <c r="B13874" t="s">
        <v>7</v>
      </c>
      <c r="C13874" t="s">
        <v>2179</v>
      </c>
      <c r="D13874" s="7">
        <f>DATE(2014,10,27)</f>
        <v>41939</v>
      </c>
      <c r="E13874" s="8">
        <f t="shared" si="229"/>
        <v>2014</v>
      </c>
      <c r="F13874" t="s">
        <v>2181</v>
      </c>
      <c r="G13874" s="9">
        <v>9354</v>
      </c>
      <c r="H13874" s="8">
        <v>13532</v>
      </c>
    </row>
    <row r="13875" spans="2:8" x14ac:dyDescent="0.4">
      <c r="B13875" t="s">
        <v>7</v>
      </c>
      <c r="C13875" t="s">
        <v>2179</v>
      </c>
      <c r="D13875" s="7">
        <f>DATE(2011,4,22)</f>
        <v>40655</v>
      </c>
      <c r="E13875" s="8">
        <f t="shared" si="229"/>
        <v>2011</v>
      </c>
      <c r="F13875" t="s">
        <v>2181</v>
      </c>
      <c r="G13875" s="9">
        <v>8706.42</v>
      </c>
      <c r="H13875" s="8">
        <v>10714</v>
      </c>
    </row>
    <row r="13876" spans="2:8" x14ac:dyDescent="0.4">
      <c r="B13876" t="s">
        <v>7</v>
      </c>
      <c r="C13876" t="s">
        <v>2179</v>
      </c>
      <c r="D13876" s="7">
        <f>DATE(2012,1,23)</f>
        <v>40931</v>
      </c>
      <c r="E13876" s="8">
        <f t="shared" si="229"/>
        <v>2012</v>
      </c>
      <c r="F13876" t="s">
        <v>2181</v>
      </c>
      <c r="G13876" s="9">
        <v>11681.9</v>
      </c>
      <c r="H13876" s="8">
        <v>11234</v>
      </c>
    </row>
    <row r="13877" spans="2:8" x14ac:dyDescent="0.4">
      <c r="B13877" t="s">
        <v>16</v>
      </c>
      <c r="C13877" t="s">
        <v>2179</v>
      </c>
      <c r="D13877" s="7">
        <f>DATE(2011,4,22)</f>
        <v>40655</v>
      </c>
      <c r="E13877" s="8">
        <f t="shared" si="229"/>
        <v>2011</v>
      </c>
      <c r="F13877" t="s">
        <v>2181</v>
      </c>
      <c r="G13877" s="9">
        <v>8314.0499999999993</v>
      </c>
      <c r="H13877" s="8">
        <v>10710</v>
      </c>
    </row>
    <row r="13878" spans="2:8" x14ac:dyDescent="0.4">
      <c r="B13878" s="3" t="s">
        <v>7</v>
      </c>
      <c r="C13878" s="3" t="s">
        <v>2182</v>
      </c>
      <c r="D13878" s="4">
        <f>DATE(2007,5,16)</f>
        <v>39218</v>
      </c>
      <c r="E13878" s="5">
        <f t="shared" si="229"/>
        <v>2007</v>
      </c>
      <c r="F13878" s="3" t="s">
        <v>2183</v>
      </c>
      <c r="G13878" s="6">
        <v>81</v>
      </c>
      <c r="H13878" s="5">
        <v>8577</v>
      </c>
    </row>
    <row r="13879" spans="2:8" x14ac:dyDescent="0.4">
      <c r="B13879" s="3" t="s">
        <v>7</v>
      </c>
      <c r="C13879" s="3" t="s">
        <v>2182</v>
      </c>
      <c r="D13879" s="4">
        <f>DATE(2007,6,11)</f>
        <v>39244</v>
      </c>
      <c r="E13879" s="5">
        <f t="shared" si="229"/>
        <v>2007</v>
      </c>
      <c r="F13879" s="3" t="s">
        <v>2183</v>
      </c>
      <c r="G13879" s="6">
        <v>382</v>
      </c>
      <c r="H13879" s="5">
        <v>8726</v>
      </c>
    </row>
    <row r="13880" spans="2:8" x14ac:dyDescent="0.4">
      <c r="B13880" s="3" t="s">
        <v>7</v>
      </c>
      <c r="C13880" s="3" t="s">
        <v>2182</v>
      </c>
      <c r="D13880" s="4">
        <f>DATE(2007,8,17)</f>
        <v>39311</v>
      </c>
      <c r="E13880" s="5">
        <f t="shared" si="229"/>
        <v>2007</v>
      </c>
      <c r="F13880" s="3" t="s">
        <v>2183</v>
      </c>
      <c r="G13880" s="6">
        <v>432</v>
      </c>
      <c r="H13880" s="5">
        <v>9039</v>
      </c>
    </row>
    <row r="13881" spans="2:8" x14ac:dyDescent="0.4">
      <c r="B13881" s="3" t="s">
        <v>7</v>
      </c>
      <c r="C13881" s="3" t="s">
        <v>2182</v>
      </c>
      <c r="D13881" s="4">
        <f>DATE(2007,11,2)</f>
        <v>39388</v>
      </c>
      <c r="E13881" s="5">
        <f t="shared" si="229"/>
        <v>2007</v>
      </c>
      <c r="F13881" s="3" t="s">
        <v>2183</v>
      </c>
      <c r="G13881" s="6">
        <v>277.26</v>
      </c>
      <c r="H13881" s="5">
        <v>9436</v>
      </c>
    </row>
    <row r="13882" spans="2:8" x14ac:dyDescent="0.4">
      <c r="B13882" s="3" t="s">
        <v>7</v>
      </c>
      <c r="C13882" s="3" t="s">
        <v>2182</v>
      </c>
      <c r="D13882" s="4">
        <f>DATE(2007,11,14)</f>
        <v>39400</v>
      </c>
      <c r="E13882" s="5">
        <f t="shared" si="229"/>
        <v>2007</v>
      </c>
      <c r="F13882" s="3" t="s">
        <v>2183</v>
      </c>
      <c r="G13882" s="6">
        <v>671.48</v>
      </c>
      <c r="H13882" s="5">
        <v>9436</v>
      </c>
    </row>
    <row r="13883" spans="2:8" x14ac:dyDescent="0.4">
      <c r="B13883" s="3" t="s">
        <v>7</v>
      </c>
      <c r="C13883" s="3" t="s">
        <v>2182</v>
      </c>
      <c r="D13883" s="4">
        <f>DATE(2008,3,4)</f>
        <v>39511</v>
      </c>
      <c r="E13883" s="5">
        <f t="shared" si="229"/>
        <v>2008</v>
      </c>
      <c r="F13883" s="3" t="s">
        <v>2183</v>
      </c>
      <c r="G13883" s="6">
        <v>864</v>
      </c>
      <c r="H13883" s="5">
        <v>10103</v>
      </c>
    </row>
    <row r="13884" spans="2:8" x14ac:dyDescent="0.4">
      <c r="B13884" s="3" t="s">
        <v>7</v>
      </c>
      <c r="C13884" s="3" t="s">
        <v>2182</v>
      </c>
      <c r="D13884" s="4">
        <f>DATE(2008,8,13)</f>
        <v>39673</v>
      </c>
      <c r="E13884" s="5">
        <f t="shared" si="229"/>
        <v>2008</v>
      </c>
      <c r="F13884" s="3" t="s">
        <v>2183</v>
      </c>
      <c r="G13884" s="6">
        <v>873</v>
      </c>
      <c r="H13884" s="5">
        <v>11089</v>
      </c>
    </row>
    <row r="13885" spans="2:8" x14ac:dyDescent="0.4">
      <c r="B13885" s="3" t="s">
        <v>7</v>
      </c>
      <c r="C13885" s="3" t="s">
        <v>2182</v>
      </c>
      <c r="D13885" s="4">
        <f>DATE(2008,11,10)</f>
        <v>39762</v>
      </c>
      <c r="E13885" s="5">
        <f t="shared" si="229"/>
        <v>2008</v>
      </c>
      <c r="F13885" s="3" t="s">
        <v>2183</v>
      </c>
      <c r="G13885" s="6">
        <v>872</v>
      </c>
      <c r="H13885" s="5">
        <v>11546</v>
      </c>
    </row>
    <row r="13886" spans="2:8" x14ac:dyDescent="0.4">
      <c r="B13886" s="3" t="s">
        <v>7</v>
      </c>
      <c r="C13886" s="3" t="s">
        <v>2182</v>
      </c>
      <c r="D13886" s="4">
        <f>DATE(2009,7,22)</f>
        <v>40016</v>
      </c>
      <c r="E13886" s="5">
        <f t="shared" si="229"/>
        <v>2009</v>
      </c>
      <c r="F13886" s="3" t="s">
        <v>2183</v>
      </c>
      <c r="G13886" s="6">
        <v>223</v>
      </c>
      <c r="H13886" s="5">
        <v>12794</v>
      </c>
    </row>
    <row r="13887" spans="2:8" x14ac:dyDescent="0.4">
      <c r="B13887" s="3" t="s">
        <v>7</v>
      </c>
      <c r="C13887" s="3" t="s">
        <v>2182</v>
      </c>
      <c r="D13887" s="4">
        <f>DATE(2010,1,28)</f>
        <v>40206</v>
      </c>
      <c r="E13887" s="5">
        <f t="shared" si="229"/>
        <v>2010</v>
      </c>
      <c r="F13887" s="3" t="s">
        <v>2183</v>
      </c>
      <c r="G13887" s="6">
        <v>432</v>
      </c>
      <c r="H13887" s="5">
        <v>13496</v>
      </c>
    </row>
    <row r="13888" spans="2:8" x14ac:dyDescent="0.4">
      <c r="B13888" t="s">
        <v>7</v>
      </c>
      <c r="C13888" t="s">
        <v>2184</v>
      </c>
      <c r="D13888" s="7">
        <f>DATE(2009,5,26)</f>
        <v>39959</v>
      </c>
      <c r="E13888" s="8">
        <f t="shared" si="229"/>
        <v>2009</v>
      </c>
      <c r="F13888" t="s">
        <v>2185</v>
      </c>
      <c r="G13888" s="9">
        <v>1810</v>
      </c>
      <c r="H13888" s="8">
        <v>8736</v>
      </c>
    </row>
    <row r="13889" spans="2:8" x14ac:dyDescent="0.4">
      <c r="B13889" s="3" t="s">
        <v>7</v>
      </c>
      <c r="C13889" s="3" t="s">
        <v>2186</v>
      </c>
      <c r="D13889" s="4">
        <f>DATE(2003,3,21)</f>
        <v>37701</v>
      </c>
      <c r="E13889" s="5">
        <f t="shared" si="229"/>
        <v>2003</v>
      </c>
      <c r="F13889" s="3" t="s">
        <v>2187</v>
      </c>
      <c r="G13889" s="6">
        <v>154.08000000000001</v>
      </c>
      <c r="H13889" s="5">
        <v>71</v>
      </c>
    </row>
    <row r="13890" spans="2:8" x14ac:dyDescent="0.4">
      <c r="B13890" s="3" t="s">
        <v>7</v>
      </c>
      <c r="C13890" s="3" t="s">
        <v>2188</v>
      </c>
      <c r="D13890" s="4">
        <f>DATE(2006,4,5)</f>
        <v>38812</v>
      </c>
      <c r="E13890" s="5">
        <f t="shared" si="229"/>
        <v>2006</v>
      </c>
      <c r="F13890" s="3" t="s">
        <v>2189</v>
      </c>
      <c r="G13890" s="6">
        <v>4195.51</v>
      </c>
      <c r="H13890" s="5">
        <v>6442</v>
      </c>
    </row>
    <row r="13891" spans="2:8" x14ac:dyDescent="0.4">
      <c r="B13891" s="3" t="s">
        <v>7</v>
      </c>
      <c r="C13891" s="3" t="s">
        <v>2188</v>
      </c>
      <c r="D13891" s="4">
        <f>DATE(2008,11,12)</f>
        <v>39764</v>
      </c>
      <c r="E13891" s="5">
        <f t="shared" ref="E13891:E13954" si="230">YEAR(D13891)</f>
        <v>2008</v>
      </c>
      <c r="F13891" s="3" t="s">
        <v>2189</v>
      </c>
      <c r="G13891" s="6">
        <v>3048.88</v>
      </c>
      <c r="H13891" s="5">
        <v>11561</v>
      </c>
    </row>
    <row r="13892" spans="2:8" x14ac:dyDescent="0.4">
      <c r="B13892" s="3" t="s">
        <v>7</v>
      </c>
      <c r="C13892" s="3" t="s">
        <v>2188</v>
      </c>
      <c r="D13892" s="4">
        <f>DATE(2009,9,11)</f>
        <v>40067</v>
      </c>
      <c r="E13892" s="5">
        <f t="shared" si="230"/>
        <v>2009</v>
      </c>
      <c r="F13892" s="3" t="s">
        <v>2189</v>
      </c>
      <c r="G13892" s="6">
        <v>603.29999999999995</v>
      </c>
      <c r="H13892" s="5">
        <v>13006</v>
      </c>
    </row>
    <row r="13893" spans="2:8" x14ac:dyDescent="0.4">
      <c r="B13893" s="3" t="s">
        <v>7</v>
      </c>
      <c r="C13893" s="3" t="s">
        <v>2188</v>
      </c>
      <c r="D13893" s="4">
        <f>DATE(2009,9,11)</f>
        <v>40067</v>
      </c>
      <c r="E13893" s="5">
        <f t="shared" si="230"/>
        <v>2009</v>
      </c>
      <c r="F13893" s="3" t="s">
        <v>2189</v>
      </c>
      <c r="G13893" s="6">
        <v>1356.56</v>
      </c>
      <c r="H13893" s="5">
        <v>13011</v>
      </c>
    </row>
    <row r="13894" spans="2:8" x14ac:dyDescent="0.4">
      <c r="B13894" s="3" t="s">
        <v>7</v>
      </c>
      <c r="C13894" s="3" t="s">
        <v>2188</v>
      </c>
      <c r="D13894" s="4">
        <f>DATE(2009,11,17)</f>
        <v>40134</v>
      </c>
      <c r="E13894" s="5">
        <f t="shared" si="230"/>
        <v>2009</v>
      </c>
      <c r="F13894" s="3" t="s">
        <v>2189</v>
      </c>
      <c r="G13894" s="6">
        <v>3089.84</v>
      </c>
      <c r="H13894" s="5">
        <v>13255</v>
      </c>
    </row>
    <row r="13895" spans="2:8" x14ac:dyDescent="0.4">
      <c r="B13895" s="3" t="s">
        <v>7</v>
      </c>
      <c r="C13895" s="3" t="s">
        <v>2188</v>
      </c>
      <c r="D13895" s="4">
        <f>DATE(2009,11,17)</f>
        <v>40134</v>
      </c>
      <c r="E13895" s="5">
        <f t="shared" si="230"/>
        <v>2009</v>
      </c>
      <c r="F13895" s="3" t="s">
        <v>2189</v>
      </c>
      <c r="G13895" s="6">
        <v>2663.41</v>
      </c>
      <c r="H13895" s="5">
        <v>13256</v>
      </c>
    </row>
    <row r="13896" spans="2:8" x14ac:dyDescent="0.4">
      <c r="B13896" s="3" t="s">
        <v>7</v>
      </c>
      <c r="C13896" s="3" t="s">
        <v>2188</v>
      </c>
      <c r="D13896" s="4">
        <f>DATE(2009,12,1)</f>
        <v>40148</v>
      </c>
      <c r="E13896" s="5">
        <f t="shared" si="230"/>
        <v>2009</v>
      </c>
      <c r="F13896" s="3" t="s">
        <v>2189</v>
      </c>
      <c r="G13896" s="6">
        <v>249.11</v>
      </c>
      <c r="H13896" s="5">
        <v>13319</v>
      </c>
    </row>
    <row r="13897" spans="2:8" x14ac:dyDescent="0.4">
      <c r="B13897" s="3" t="s">
        <v>7</v>
      </c>
      <c r="C13897" s="3" t="s">
        <v>2190</v>
      </c>
      <c r="D13897" s="4">
        <f>DATE(2004,5,4)</f>
        <v>38111</v>
      </c>
      <c r="E13897" s="5">
        <f t="shared" si="230"/>
        <v>2004</v>
      </c>
      <c r="F13897" s="3" t="s">
        <v>2191</v>
      </c>
      <c r="G13897" s="6">
        <v>4140</v>
      </c>
      <c r="H13897" s="5">
        <v>2233</v>
      </c>
    </row>
    <row r="13898" spans="2:8" x14ac:dyDescent="0.4">
      <c r="B13898" s="3" t="s">
        <v>7</v>
      </c>
      <c r="C13898" s="3" t="s">
        <v>2190</v>
      </c>
      <c r="D13898" s="4">
        <f>DATE(2004,5,4)</f>
        <v>38111</v>
      </c>
      <c r="E13898" s="5">
        <f t="shared" si="230"/>
        <v>2004</v>
      </c>
      <c r="F13898" s="3" t="s">
        <v>2191</v>
      </c>
      <c r="G13898" s="6">
        <v>4140</v>
      </c>
      <c r="H13898" s="5">
        <v>2838</v>
      </c>
    </row>
    <row r="13899" spans="2:8" x14ac:dyDescent="0.4">
      <c r="B13899" s="3" t="s">
        <v>7</v>
      </c>
      <c r="C13899" s="3" t="s">
        <v>2190</v>
      </c>
      <c r="D13899" s="4">
        <f>DATE(2005,8,26)</f>
        <v>38590</v>
      </c>
      <c r="E13899" s="5">
        <f t="shared" si="230"/>
        <v>2005</v>
      </c>
      <c r="F13899" s="3" t="s">
        <v>2191</v>
      </c>
      <c r="G13899" s="6">
        <v>916</v>
      </c>
      <c r="H13899" s="5">
        <v>5160</v>
      </c>
    </row>
    <row r="13900" spans="2:8" x14ac:dyDescent="0.4">
      <c r="B13900" s="3" t="s">
        <v>7</v>
      </c>
      <c r="C13900" s="3" t="s">
        <v>2190</v>
      </c>
      <c r="D13900" s="4">
        <f>DATE(2005,8,31)</f>
        <v>38595</v>
      </c>
      <c r="E13900" s="5">
        <f t="shared" si="230"/>
        <v>2005</v>
      </c>
      <c r="F13900" s="3" t="s">
        <v>2191</v>
      </c>
      <c r="G13900" s="6">
        <v>299.39999999999998</v>
      </c>
      <c r="H13900" s="5">
        <v>5200</v>
      </c>
    </row>
    <row r="13901" spans="2:8" x14ac:dyDescent="0.4">
      <c r="B13901" s="3" t="s">
        <v>7</v>
      </c>
      <c r="C13901" s="3" t="s">
        <v>2190</v>
      </c>
      <c r="D13901" s="4">
        <f>DATE(2012,2,15)</f>
        <v>40954</v>
      </c>
      <c r="E13901" s="5">
        <f t="shared" si="230"/>
        <v>2012</v>
      </c>
      <c r="F13901" s="3" t="s">
        <v>2191</v>
      </c>
      <c r="G13901" s="6">
        <v>807.85</v>
      </c>
      <c r="H13901" s="5">
        <v>16483</v>
      </c>
    </row>
    <row r="13902" spans="2:8" x14ac:dyDescent="0.4">
      <c r="B13902" s="3" t="s">
        <v>7</v>
      </c>
      <c r="C13902" s="3" t="s">
        <v>2190</v>
      </c>
      <c r="D13902" s="4">
        <f>DATE(2012,2,17)</f>
        <v>40956</v>
      </c>
      <c r="E13902" s="5">
        <f t="shared" si="230"/>
        <v>2012</v>
      </c>
      <c r="F13902" s="3" t="s">
        <v>2191</v>
      </c>
      <c r="G13902" s="6">
        <v>1309.3900000000001</v>
      </c>
      <c r="H13902" s="5">
        <v>16587</v>
      </c>
    </row>
    <row r="13903" spans="2:8" x14ac:dyDescent="0.4">
      <c r="B13903" s="3" t="s">
        <v>16</v>
      </c>
      <c r="C13903" s="3" t="s">
        <v>2190</v>
      </c>
      <c r="D13903" s="4">
        <f>DATE(2004,5,4)</f>
        <v>38111</v>
      </c>
      <c r="E13903" s="5">
        <f t="shared" si="230"/>
        <v>2004</v>
      </c>
      <c r="F13903" s="3" t="s">
        <v>2191</v>
      </c>
      <c r="G13903" s="6">
        <v>4140</v>
      </c>
      <c r="H13903" s="5">
        <v>2837</v>
      </c>
    </row>
    <row r="13904" spans="2:8" x14ac:dyDescent="0.4">
      <c r="B13904" s="3" t="s">
        <v>16</v>
      </c>
      <c r="C13904" s="3" t="s">
        <v>2190</v>
      </c>
      <c r="D13904" s="4">
        <f>DATE(2005,9,12)</f>
        <v>38607</v>
      </c>
      <c r="E13904" s="5">
        <f t="shared" si="230"/>
        <v>2005</v>
      </c>
      <c r="F13904" s="3" t="s">
        <v>2191</v>
      </c>
      <c r="G13904" s="6">
        <v>299.39999999999998</v>
      </c>
      <c r="H13904" s="5">
        <v>5414</v>
      </c>
    </row>
    <row r="13905" spans="2:8" x14ac:dyDescent="0.4">
      <c r="B13905" s="3" t="s">
        <v>16</v>
      </c>
      <c r="C13905" s="3" t="s">
        <v>2190</v>
      </c>
      <c r="D13905" s="4">
        <f>DATE(2005,9,12)</f>
        <v>38607</v>
      </c>
      <c r="E13905" s="5">
        <f t="shared" si="230"/>
        <v>2005</v>
      </c>
      <c r="F13905" s="3" t="s">
        <v>2191</v>
      </c>
      <c r="G13905" s="6">
        <v>916</v>
      </c>
      <c r="H13905" s="5">
        <v>5415</v>
      </c>
    </row>
    <row r="13906" spans="2:8" x14ac:dyDescent="0.4">
      <c r="B13906" t="s">
        <v>7</v>
      </c>
      <c r="C13906" t="s">
        <v>2192</v>
      </c>
      <c r="D13906" s="7">
        <f>DATE(2015,3,13)</f>
        <v>42076</v>
      </c>
      <c r="E13906" s="8">
        <f t="shared" si="230"/>
        <v>2015</v>
      </c>
      <c r="F13906" t="s">
        <v>2193</v>
      </c>
      <c r="G13906" s="9">
        <v>45300</v>
      </c>
      <c r="H13906" s="8">
        <v>88</v>
      </c>
    </row>
    <row r="13907" spans="2:8" x14ac:dyDescent="0.4">
      <c r="B13907" t="s">
        <v>7</v>
      </c>
      <c r="C13907" t="s">
        <v>2192</v>
      </c>
      <c r="D13907" s="7">
        <f>DATE(2015,11,2)</f>
        <v>42310</v>
      </c>
      <c r="E13907" s="8">
        <f t="shared" si="230"/>
        <v>2015</v>
      </c>
      <c r="F13907" t="s">
        <v>2193</v>
      </c>
      <c r="G13907" s="9">
        <v>42900</v>
      </c>
      <c r="H13907" s="8">
        <v>21112</v>
      </c>
    </row>
    <row r="13908" spans="2:8" x14ac:dyDescent="0.4">
      <c r="B13908" t="s">
        <v>7</v>
      </c>
      <c r="C13908" t="s">
        <v>2192</v>
      </c>
      <c r="D13908" s="7">
        <f>DATE(2016,3,18)</f>
        <v>42447</v>
      </c>
      <c r="E13908" s="8">
        <f t="shared" si="230"/>
        <v>2016</v>
      </c>
      <c r="F13908" t="s">
        <v>2193</v>
      </c>
      <c r="G13908" s="9">
        <v>42900</v>
      </c>
      <c r="H13908" s="8">
        <v>22019</v>
      </c>
    </row>
    <row r="13909" spans="2:8" x14ac:dyDescent="0.4">
      <c r="B13909" t="s">
        <v>7</v>
      </c>
      <c r="C13909" t="s">
        <v>2192</v>
      </c>
      <c r="D13909" s="7">
        <f>DATE(2016,10,24)</f>
        <v>42667</v>
      </c>
      <c r="E13909" s="8">
        <f t="shared" si="230"/>
        <v>2016</v>
      </c>
      <c r="F13909" t="s">
        <v>2193</v>
      </c>
      <c r="G13909" s="9">
        <v>47654</v>
      </c>
      <c r="H13909" s="8">
        <v>23305</v>
      </c>
    </row>
    <row r="13910" spans="2:8" x14ac:dyDescent="0.4">
      <c r="B13910" t="s">
        <v>7</v>
      </c>
      <c r="C13910" t="s">
        <v>2192</v>
      </c>
      <c r="D13910" s="7">
        <f>DATE(2017,4,21)</f>
        <v>42846</v>
      </c>
      <c r="E13910" s="8">
        <f t="shared" si="230"/>
        <v>2017</v>
      </c>
      <c r="F13910" t="s">
        <v>2193</v>
      </c>
      <c r="G13910" s="9">
        <v>47670</v>
      </c>
      <c r="H13910" s="8">
        <v>24240</v>
      </c>
    </row>
    <row r="13911" spans="2:8" x14ac:dyDescent="0.4">
      <c r="B13911" t="s">
        <v>7</v>
      </c>
      <c r="C13911" t="s">
        <v>2192</v>
      </c>
      <c r="D13911" s="7">
        <f>DATE(2017,11,20)</f>
        <v>43059</v>
      </c>
      <c r="E13911" s="8">
        <f t="shared" si="230"/>
        <v>2017</v>
      </c>
      <c r="F13911" t="s">
        <v>2193</v>
      </c>
      <c r="G13911" s="9">
        <v>46091.03</v>
      </c>
      <c r="H13911" s="8">
        <v>25618</v>
      </c>
    </row>
    <row r="13912" spans="2:8" x14ac:dyDescent="0.4">
      <c r="B13912" t="s">
        <v>7</v>
      </c>
      <c r="C13912" t="s">
        <v>2192</v>
      </c>
      <c r="D13912" s="7">
        <f>DATE(2018,4,2)</f>
        <v>43192</v>
      </c>
      <c r="E13912" s="8">
        <f t="shared" si="230"/>
        <v>2018</v>
      </c>
      <c r="F13912" t="s">
        <v>2193</v>
      </c>
      <c r="G13912" s="9">
        <v>46327</v>
      </c>
      <c r="H13912" s="8">
        <v>26450</v>
      </c>
    </row>
    <row r="13913" spans="2:8" x14ac:dyDescent="0.4">
      <c r="B13913" t="s">
        <v>7</v>
      </c>
      <c r="C13913" t="s">
        <v>2192</v>
      </c>
      <c r="D13913" s="7">
        <f>DATE(2018,11,2)</f>
        <v>43406</v>
      </c>
      <c r="E13913" s="8">
        <f t="shared" si="230"/>
        <v>2018</v>
      </c>
      <c r="F13913" t="s">
        <v>2193</v>
      </c>
      <c r="G13913" s="9">
        <v>46650.58</v>
      </c>
      <c r="H13913" s="8">
        <v>27393</v>
      </c>
    </row>
    <row r="13914" spans="2:8" x14ac:dyDescent="0.4">
      <c r="B13914" t="s">
        <v>7</v>
      </c>
      <c r="C13914" t="s">
        <v>2192</v>
      </c>
      <c r="D13914" s="7">
        <f>DATE(2019,3,27)</f>
        <v>43551</v>
      </c>
      <c r="E13914" s="8">
        <f t="shared" si="230"/>
        <v>2019</v>
      </c>
      <c r="F13914" t="s">
        <v>2193</v>
      </c>
      <c r="G13914" s="9">
        <v>49005.43</v>
      </c>
      <c r="H13914" s="8">
        <v>28307</v>
      </c>
    </row>
    <row r="13915" spans="2:8" x14ac:dyDescent="0.4">
      <c r="B13915" t="s">
        <v>7</v>
      </c>
      <c r="C13915" t="s">
        <v>2192</v>
      </c>
      <c r="D13915" s="7">
        <f>DATE(2017,11,20)</f>
        <v>43059</v>
      </c>
      <c r="E13915" s="8">
        <f t="shared" si="230"/>
        <v>2017</v>
      </c>
      <c r="F13915" t="s">
        <v>2193</v>
      </c>
      <c r="G13915" s="9">
        <v>856.55</v>
      </c>
      <c r="H13915" s="8">
        <v>25721</v>
      </c>
    </row>
    <row r="13916" spans="2:8" x14ac:dyDescent="0.4">
      <c r="B13916" t="s">
        <v>7</v>
      </c>
      <c r="C13916" t="s">
        <v>2192</v>
      </c>
      <c r="D13916" s="7">
        <f>DATE(2003,1,24)</f>
        <v>37645</v>
      </c>
      <c r="E13916" s="8">
        <f t="shared" si="230"/>
        <v>2003</v>
      </c>
      <c r="F13916" t="s">
        <v>2193</v>
      </c>
      <c r="G13916" s="9">
        <v>31500</v>
      </c>
      <c r="H13916" s="8">
        <v>37</v>
      </c>
    </row>
    <row r="13917" spans="2:8" x14ac:dyDescent="0.4">
      <c r="B13917" t="s">
        <v>7</v>
      </c>
      <c r="C13917" t="s">
        <v>2192</v>
      </c>
      <c r="D13917" s="7">
        <f>DATE(2003,3,24)</f>
        <v>37704</v>
      </c>
      <c r="E13917" s="8">
        <f t="shared" si="230"/>
        <v>2003</v>
      </c>
      <c r="F13917" t="s">
        <v>2193</v>
      </c>
      <c r="G13917" s="9">
        <v>31500</v>
      </c>
      <c r="H13917" s="8">
        <v>306</v>
      </c>
    </row>
    <row r="13918" spans="2:8" x14ac:dyDescent="0.4">
      <c r="B13918" t="s">
        <v>7</v>
      </c>
      <c r="C13918" t="s">
        <v>2192</v>
      </c>
      <c r="D13918" s="7">
        <f>DATE(2003,6,4)</f>
        <v>37776</v>
      </c>
      <c r="E13918" s="8">
        <f t="shared" si="230"/>
        <v>2003</v>
      </c>
      <c r="F13918" t="s">
        <v>2193</v>
      </c>
      <c r="G13918" s="9">
        <v>33672</v>
      </c>
      <c r="H13918" s="8">
        <v>642</v>
      </c>
    </row>
    <row r="13919" spans="2:8" x14ac:dyDescent="0.4">
      <c r="B13919" t="s">
        <v>7</v>
      </c>
      <c r="C13919" t="s">
        <v>2192</v>
      </c>
      <c r="D13919" s="7">
        <f>DATE(2004,2,23)</f>
        <v>38040</v>
      </c>
      <c r="E13919" s="8">
        <f t="shared" si="230"/>
        <v>2004</v>
      </c>
      <c r="F13919" t="s">
        <v>2193</v>
      </c>
      <c r="G13919" s="9">
        <v>33620</v>
      </c>
      <c r="H13919" s="8">
        <v>1139</v>
      </c>
    </row>
    <row r="13920" spans="2:8" x14ac:dyDescent="0.4">
      <c r="B13920" t="s">
        <v>7</v>
      </c>
      <c r="C13920" t="s">
        <v>2192</v>
      </c>
      <c r="D13920" s="7">
        <f>DATE(2004,4,12)</f>
        <v>38089</v>
      </c>
      <c r="E13920" s="8">
        <f t="shared" si="230"/>
        <v>2004</v>
      </c>
      <c r="F13920" t="s">
        <v>2193</v>
      </c>
      <c r="G13920" s="9">
        <v>32500</v>
      </c>
      <c r="H13920" s="8">
        <v>1136</v>
      </c>
    </row>
    <row r="13921" spans="2:8" x14ac:dyDescent="0.4">
      <c r="B13921" t="s">
        <v>7</v>
      </c>
      <c r="C13921" t="s">
        <v>2192</v>
      </c>
      <c r="D13921" s="7">
        <f>DATE(2005,3,17)</f>
        <v>38428</v>
      </c>
      <c r="E13921" s="8">
        <f t="shared" si="230"/>
        <v>2005</v>
      </c>
      <c r="F13921" t="s">
        <v>2193</v>
      </c>
      <c r="G13921" s="9">
        <v>44359.45</v>
      </c>
      <c r="H13921" s="8">
        <v>2800</v>
      </c>
    </row>
    <row r="13922" spans="2:8" x14ac:dyDescent="0.4">
      <c r="B13922" t="s">
        <v>7</v>
      </c>
      <c r="C13922" t="s">
        <v>2192</v>
      </c>
      <c r="D13922" s="7">
        <f>DATE(2005,4,17)</f>
        <v>38459</v>
      </c>
      <c r="E13922" s="8">
        <f t="shared" si="230"/>
        <v>2005</v>
      </c>
      <c r="F13922" t="s">
        <v>2193</v>
      </c>
      <c r="G13922" s="9">
        <v>32500</v>
      </c>
      <c r="H13922" s="8">
        <v>2412</v>
      </c>
    </row>
    <row r="13923" spans="2:8" x14ac:dyDescent="0.4">
      <c r="B13923" t="s">
        <v>7</v>
      </c>
      <c r="C13923" t="s">
        <v>2192</v>
      </c>
      <c r="D13923" s="7">
        <f>DATE(2006,3,4)</f>
        <v>38780</v>
      </c>
      <c r="E13923" s="8">
        <f t="shared" si="230"/>
        <v>2006</v>
      </c>
      <c r="F13923" t="s">
        <v>2193</v>
      </c>
      <c r="G13923" s="9">
        <v>39251.230000000003</v>
      </c>
      <c r="H13923" s="8">
        <v>4122</v>
      </c>
    </row>
    <row r="13924" spans="2:8" x14ac:dyDescent="0.4">
      <c r="B13924" t="s">
        <v>7</v>
      </c>
      <c r="C13924" t="s">
        <v>2192</v>
      </c>
      <c r="D13924" s="7">
        <f>DATE(2006,4,27)</f>
        <v>38834</v>
      </c>
      <c r="E13924" s="8">
        <f t="shared" si="230"/>
        <v>2006</v>
      </c>
      <c r="F13924" t="s">
        <v>2193</v>
      </c>
      <c r="G13924" s="9">
        <v>43081.23</v>
      </c>
      <c r="H13924" s="8">
        <v>4123</v>
      </c>
    </row>
    <row r="13925" spans="2:8" x14ac:dyDescent="0.4">
      <c r="B13925" t="s">
        <v>7</v>
      </c>
      <c r="C13925" t="s">
        <v>2192</v>
      </c>
      <c r="D13925" s="7">
        <f>DATE(2006,11,30)</f>
        <v>39051</v>
      </c>
      <c r="E13925" s="8">
        <f t="shared" si="230"/>
        <v>2006</v>
      </c>
      <c r="F13925" t="s">
        <v>2193</v>
      </c>
      <c r="G13925" s="9">
        <v>39251.230000000003</v>
      </c>
      <c r="H13925" s="8">
        <v>5106</v>
      </c>
    </row>
    <row r="13926" spans="2:8" x14ac:dyDescent="0.4">
      <c r="B13926" t="s">
        <v>7</v>
      </c>
      <c r="C13926" t="s">
        <v>2192</v>
      </c>
      <c r="D13926" s="7">
        <f>DATE(2007,3,31)</f>
        <v>39172</v>
      </c>
      <c r="E13926" s="8">
        <f t="shared" si="230"/>
        <v>2007</v>
      </c>
      <c r="F13926" t="s">
        <v>2193</v>
      </c>
      <c r="G13926" s="9">
        <v>42260.62</v>
      </c>
      <c r="H13926" s="8">
        <v>5463</v>
      </c>
    </row>
    <row r="13927" spans="2:8" x14ac:dyDescent="0.4">
      <c r="B13927" t="s">
        <v>7</v>
      </c>
      <c r="C13927" t="s">
        <v>2192</v>
      </c>
      <c r="D13927" s="7">
        <f>DATE(2007,5,26)</f>
        <v>39228</v>
      </c>
      <c r="E13927" s="8">
        <f t="shared" si="230"/>
        <v>2007</v>
      </c>
      <c r="F13927" t="s">
        <v>2193</v>
      </c>
      <c r="G13927" s="9">
        <v>48444.18</v>
      </c>
      <c r="H13927" s="8">
        <v>5878</v>
      </c>
    </row>
    <row r="13928" spans="2:8" x14ac:dyDescent="0.4">
      <c r="B13928" t="s">
        <v>7</v>
      </c>
      <c r="C13928" t="s">
        <v>2192</v>
      </c>
      <c r="D13928" s="7">
        <f>DATE(2008,2,23)</f>
        <v>39501</v>
      </c>
      <c r="E13928" s="8">
        <f t="shared" si="230"/>
        <v>2008</v>
      </c>
      <c r="F13928" t="s">
        <v>2193</v>
      </c>
      <c r="G13928" s="9">
        <v>37973.019999999997</v>
      </c>
      <c r="H13928" s="8">
        <v>6900</v>
      </c>
    </row>
    <row r="13929" spans="2:8" x14ac:dyDescent="0.4">
      <c r="B13929" t="s">
        <v>7</v>
      </c>
      <c r="C13929" t="s">
        <v>2192</v>
      </c>
      <c r="D13929" s="7">
        <f>DATE(2008,5,1)</f>
        <v>39569</v>
      </c>
      <c r="E13929" s="8">
        <f t="shared" si="230"/>
        <v>2008</v>
      </c>
      <c r="F13929" t="s">
        <v>2193</v>
      </c>
      <c r="G13929" s="9">
        <v>52528.15</v>
      </c>
      <c r="H13929" s="8">
        <v>7238</v>
      </c>
    </row>
    <row r="13930" spans="2:8" x14ac:dyDescent="0.4">
      <c r="B13930" t="s">
        <v>7</v>
      </c>
      <c r="C13930" t="s">
        <v>2192</v>
      </c>
      <c r="D13930" s="7">
        <f>DATE(2008,9,27)</f>
        <v>39718</v>
      </c>
      <c r="E13930" s="8">
        <f t="shared" si="230"/>
        <v>2008</v>
      </c>
      <c r="F13930" t="s">
        <v>2193</v>
      </c>
      <c r="G13930" s="9">
        <v>44924</v>
      </c>
      <c r="H13930" s="8">
        <v>7670</v>
      </c>
    </row>
    <row r="13931" spans="2:8" x14ac:dyDescent="0.4">
      <c r="B13931" t="s">
        <v>7</v>
      </c>
      <c r="C13931" t="s">
        <v>2192</v>
      </c>
      <c r="D13931" s="7">
        <f>DATE(2008,12,10)</f>
        <v>39792</v>
      </c>
      <c r="E13931" s="8">
        <f t="shared" si="230"/>
        <v>2008</v>
      </c>
      <c r="F13931" t="s">
        <v>2193</v>
      </c>
      <c r="G13931" s="9">
        <v>12274.48</v>
      </c>
      <c r="H13931" s="8">
        <v>8027</v>
      </c>
    </row>
    <row r="13932" spans="2:8" x14ac:dyDescent="0.4">
      <c r="B13932" t="s">
        <v>7</v>
      </c>
      <c r="C13932" t="s">
        <v>2192</v>
      </c>
      <c r="D13932" s="7">
        <f>DATE(2009,4,7)</f>
        <v>39910</v>
      </c>
      <c r="E13932" s="8">
        <f t="shared" si="230"/>
        <v>2009</v>
      </c>
      <c r="F13932" t="s">
        <v>2193</v>
      </c>
      <c r="G13932" s="9">
        <v>44886</v>
      </c>
      <c r="H13932" s="8">
        <v>8324</v>
      </c>
    </row>
    <row r="13933" spans="2:8" x14ac:dyDescent="0.4">
      <c r="B13933" t="s">
        <v>7</v>
      </c>
      <c r="C13933" t="s">
        <v>2192</v>
      </c>
      <c r="D13933" s="7">
        <f>DATE(2009,4,16)</f>
        <v>39919</v>
      </c>
      <c r="E13933" s="8">
        <f t="shared" si="230"/>
        <v>2009</v>
      </c>
      <c r="F13933" t="s">
        <v>2193</v>
      </c>
      <c r="G13933" s="9">
        <v>22211.5</v>
      </c>
      <c r="H13933" s="8">
        <v>8602</v>
      </c>
    </row>
    <row r="13934" spans="2:8" x14ac:dyDescent="0.4">
      <c r="B13934" t="s">
        <v>7</v>
      </c>
      <c r="C13934" t="s">
        <v>2192</v>
      </c>
      <c r="D13934" s="7">
        <f>DATE(2009,10,26)</f>
        <v>40112</v>
      </c>
      <c r="E13934" s="8">
        <f t="shared" si="230"/>
        <v>2009</v>
      </c>
      <c r="F13934" t="s">
        <v>2193</v>
      </c>
      <c r="G13934" s="9">
        <v>43085.03</v>
      </c>
      <c r="H13934" s="8">
        <v>9071</v>
      </c>
    </row>
    <row r="13935" spans="2:8" x14ac:dyDescent="0.4">
      <c r="B13935" t="s">
        <v>7</v>
      </c>
      <c r="C13935" t="s">
        <v>2192</v>
      </c>
      <c r="D13935" s="7">
        <f>DATE(2010,3,23)</f>
        <v>40260</v>
      </c>
      <c r="E13935" s="8">
        <f t="shared" si="230"/>
        <v>2010</v>
      </c>
      <c r="F13935" t="s">
        <v>2193</v>
      </c>
      <c r="G13935" s="9">
        <v>52653.4</v>
      </c>
      <c r="H13935" s="8">
        <v>9391</v>
      </c>
    </row>
    <row r="13936" spans="2:8" x14ac:dyDescent="0.4">
      <c r="B13936" t="s">
        <v>7</v>
      </c>
      <c r="C13936" t="s">
        <v>2192</v>
      </c>
      <c r="D13936" s="7">
        <f>DATE(2010,6,21)</f>
        <v>40350</v>
      </c>
      <c r="E13936" s="8">
        <f t="shared" si="230"/>
        <v>2010</v>
      </c>
      <c r="F13936" t="s">
        <v>2193</v>
      </c>
      <c r="G13936" s="9">
        <v>80000</v>
      </c>
      <c r="H13936" s="8">
        <v>9927</v>
      </c>
    </row>
    <row r="13937" spans="2:8" x14ac:dyDescent="0.4">
      <c r="B13937" t="s">
        <v>7</v>
      </c>
      <c r="C13937" t="s">
        <v>2192</v>
      </c>
      <c r="D13937" s="7">
        <f>DATE(2011,9,29)</f>
        <v>40815</v>
      </c>
      <c r="E13937" s="8">
        <f t="shared" si="230"/>
        <v>2011</v>
      </c>
      <c r="F13937" t="s">
        <v>2193</v>
      </c>
      <c r="G13937" s="9">
        <v>44872</v>
      </c>
      <c r="H13937" s="8">
        <v>11001</v>
      </c>
    </row>
    <row r="13938" spans="2:8" x14ac:dyDescent="0.4">
      <c r="B13938" t="s">
        <v>7</v>
      </c>
      <c r="C13938" t="s">
        <v>2192</v>
      </c>
      <c r="D13938" s="7">
        <f>DATE(2012,4,24)</f>
        <v>41023</v>
      </c>
      <c r="E13938" s="8">
        <f t="shared" si="230"/>
        <v>2012</v>
      </c>
      <c r="F13938" t="s">
        <v>2193</v>
      </c>
      <c r="G13938" s="9">
        <v>44800</v>
      </c>
      <c r="H13938" s="8">
        <v>11392</v>
      </c>
    </row>
    <row r="13939" spans="2:8" x14ac:dyDescent="0.4">
      <c r="B13939" t="s">
        <v>7</v>
      </c>
      <c r="C13939" t="s">
        <v>2192</v>
      </c>
      <c r="D13939" s="7">
        <f>DATE(2014,5,13)</f>
        <v>41772</v>
      </c>
      <c r="E13939" s="8">
        <f t="shared" si="230"/>
        <v>2014</v>
      </c>
      <c r="F13939" t="s">
        <v>2193</v>
      </c>
      <c r="G13939" s="9">
        <v>48600</v>
      </c>
      <c r="H13939" s="8">
        <v>12907</v>
      </c>
    </row>
    <row r="13940" spans="2:8" x14ac:dyDescent="0.4">
      <c r="B13940" s="3" t="s">
        <v>7</v>
      </c>
      <c r="C13940" s="3" t="s">
        <v>2192</v>
      </c>
      <c r="D13940" s="4">
        <f>DATE(2008,12,10)</f>
        <v>39792</v>
      </c>
      <c r="E13940" s="5">
        <f t="shared" si="230"/>
        <v>2008</v>
      </c>
      <c r="F13940" s="3" t="s">
        <v>2193</v>
      </c>
      <c r="G13940" s="6">
        <v>287</v>
      </c>
      <c r="H13940" s="5">
        <v>11664</v>
      </c>
    </row>
    <row r="13941" spans="2:8" x14ac:dyDescent="0.4">
      <c r="B13941" t="s">
        <v>7</v>
      </c>
      <c r="C13941" t="s">
        <v>2194</v>
      </c>
      <c r="D13941" s="7">
        <f>DATE(2008,11,20)</f>
        <v>39772</v>
      </c>
      <c r="E13941" s="8">
        <f t="shared" si="230"/>
        <v>2008</v>
      </c>
      <c r="F13941" t="s">
        <v>2195</v>
      </c>
      <c r="G13941" s="9">
        <v>5690.36</v>
      </c>
      <c r="H13941" s="8">
        <v>8043</v>
      </c>
    </row>
    <row r="13942" spans="2:8" x14ac:dyDescent="0.4">
      <c r="B13942" t="s">
        <v>7</v>
      </c>
      <c r="C13942" t="s">
        <v>2194</v>
      </c>
      <c r="D13942" s="7">
        <f>DATE(2009,10,8)</f>
        <v>40094</v>
      </c>
      <c r="E13942" s="8">
        <f t="shared" si="230"/>
        <v>2009</v>
      </c>
      <c r="F13942" t="s">
        <v>2195</v>
      </c>
      <c r="G13942" s="9">
        <v>6122.2</v>
      </c>
      <c r="H13942" s="8">
        <v>9121</v>
      </c>
    </row>
    <row r="13943" spans="2:8" x14ac:dyDescent="0.4">
      <c r="B13943" t="s">
        <v>7</v>
      </c>
      <c r="C13943" t="s">
        <v>2194</v>
      </c>
      <c r="D13943" s="7">
        <f>DATE(2010,8,20)</f>
        <v>40410</v>
      </c>
      <c r="E13943" s="8">
        <f t="shared" si="230"/>
        <v>2010</v>
      </c>
      <c r="F13943" t="s">
        <v>2195</v>
      </c>
      <c r="G13943" s="9">
        <v>4459.45</v>
      </c>
      <c r="H13943" s="8">
        <v>10080</v>
      </c>
    </row>
    <row r="13944" spans="2:8" x14ac:dyDescent="0.4">
      <c r="B13944" t="s">
        <v>7</v>
      </c>
      <c r="C13944" t="s">
        <v>2196</v>
      </c>
      <c r="D13944" s="7">
        <f>DATE(2015,4,2)</f>
        <v>42096</v>
      </c>
      <c r="E13944" s="8">
        <f t="shared" si="230"/>
        <v>2015</v>
      </c>
      <c r="F13944" t="s">
        <v>2197</v>
      </c>
      <c r="G13944" s="9">
        <v>8087.8</v>
      </c>
      <c r="H13944" s="8">
        <v>20270</v>
      </c>
    </row>
    <row r="13945" spans="2:8" x14ac:dyDescent="0.4">
      <c r="B13945" t="s">
        <v>7</v>
      </c>
      <c r="C13945" t="s">
        <v>2198</v>
      </c>
      <c r="D13945" s="7">
        <f>DATE(2011,7,27)</f>
        <v>40751</v>
      </c>
      <c r="E13945" s="8">
        <f t="shared" si="230"/>
        <v>2011</v>
      </c>
      <c r="F13945" t="s">
        <v>2199</v>
      </c>
      <c r="G13945" s="9">
        <v>16603.580000000002</v>
      </c>
      <c r="H13945" s="8">
        <v>10892</v>
      </c>
    </row>
    <row r="13946" spans="2:8" x14ac:dyDescent="0.4">
      <c r="B13946" t="s">
        <v>7</v>
      </c>
      <c r="C13946" t="s">
        <v>2198</v>
      </c>
      <c r="D13946" s="7">
        <f>DATE(2011,10,18)</f>
        <v>40834</v>
      </c>
      <c r="E13946" s="8">
        <f t="shared" si="230"/>
        <v>2011</v>
      </c>
      <c r="F13946" t="s">
        <v>2199</v>
      </c>
      <c r="G13946" s="9">
        <v>28554.26</v>
      </c>
      <c r="H13946" s="8">
        <v>10977</v>
      </c>
    </row>
    <row r="13947" spans="2:8" x14ac:dyDescent="0.4">
      <c r="B13947" t="s">
        <v>7</v>
      </c>
      <c r="C13947" t="s">
        <v>2198</v>
      </c>
      <c r="D13947" s="7">
        <f>DATE(2011,10,18)</f>
        <v>40834</v>
      </c>
      <c r="E13947" s="8">
        <f t="shared" si="230"/>
        <v>2011</v>
      </c>
      <c r="F13947" t="s">
        <v>2199</v>
      </c>
      <c r="G13947" s="9">
        <v>2858.22</v>
      </c>
      <c r="H13947" s="8">
        <v>11057</v>
      </c>
    </row>
    <row r="13948" spans="2:8" x14ac:dyDescent="0.4">
      <c r="B13948" t="s">
        <v>7</v>
      </c>
      <c r="C13948" t="s">
        <v>2198</v>
      </c>
      <c r="D13948" s="7">
        <f>DATE(2012,11,19)</f>
        <v>41232</v>
      </c>
      <c r="E13948" s="8">
        <f t="shared" si="230"/>
        <v>2012</v>
      </c>
      <c r="F13948" t="s">
        <v>2199</v>
      </c>
      <c r="G13948" s="9">
        <v>19441.63</v>
      </c>
      <c r="H13948" s="8">
        <v>11998</v>
      </c>
    </row>
    <row r="13949" spans="2:8" x14ac:dyDescent="0.4">
      <c r="B13949" t="s">
        <v>7</v>
      </c>
      <c r="C13949" t="s">
        <v>2198</v>
      </c>
      <c r="D13949" s="7">
        <f>DATE(2013,5,3)</f>
        <v>41397</v>
      </c>
      <c r="E13949" s="8">
        <f t="shared" si="230"/>
        <v>2013</v>
      </c>
      <c r="F13949" t="s">
        <v>2199</v>
      </c>
      <c r="G13949" s="9">
        <v>32439.1</v>
      </c>
      <c r="H13949" s="8">
        <v>12376</v>
      </c>
    </row>
    <row r="13950" spans="2:8" x14ac:dyDescent="0.4">
      <c r="B13950" t="s">
        <v>7</v>
      </c>
      <c r="C13950" t="s">
        <v>2198</v>
      </c>
      <c r="D13950" s="7">
        <f>DATE(2013,5,3)</f>
        <v>41397</v>
      </c>
      <c r="E13950" s="8">
        <f t="shared" si="230"/>
        <v>2013</v>
      </c>
      <c r="F13950" t="s">
        <v>2199</v>
      </c>
      <c r="G13950" s="9">
        <v>2762.66</v>
      </c>
      <c r="H13950" s="8">
        <v>12377</v>
      </c>
    </row>
    <row r="13951" spans="2:8" x14ac:dyDescent="0.4">
      <c r="B13951" s="3" t="s">
        <v>7</v>
      </c>
      <c r="C13951" s="3" t="s">
        <v>2198</v>
      </c>
      <c r="D13951" s="4">
        <f>DATE(2003,1,29)</f>
        <v>37650</v>
      </c>
      <c r="E13951" s="5">
        <f t="shared" si="230"/>
        <v>2003</v>
      </c>
      <c r="F13951" s="3" t="s">
        <v>2199</v>
      </c>
      <c r="G13951" s="6">
        <v>490</v>
      </c>
      <c r="H13951" s="5">
        <v>159</v>
      </c>
    </row>
    <row r="13952" spans="2:8" x14ac:dyDescent="0.4">
      <c r="B13952" s="3" t="s">
        <v>7</v>
      </c>
      <c r="C13952" s="3" t="s">
        <v>2198</v>
      </c>
      <c r="D13952" s="4">
        <f>DATE(2003,2,10)</f>
        <v>37662</v>
      </c>
      <c r="E13952" s="5">
        <f t="shared" si="230"/>
        <v>2003</v>
      </c>
      <c r="F13952" s="3" t="s">
        <v>2199</v>
      </c>
      <c r="G13952" s="6">
        <v>879.75</v>
      </c>
      <c r="H13952" s="5">
        <v>247</v>
      </c>
    </row>
    <row r="13953" spans="2:8" x14ac:dyDescent="0.4">
      <c r="B13953" s="3" t="s">
        <v>7</v>
      </c>
      <c r="C13953" s="3" t="s">
        <v>2198</v>
      </c>
      <c r="D13953" s="4">
        <f>DATE(2003,2,14)</f>
        <v>37666</v>
      </c>
      <c r="E13953" s="5">
        <f t="shared" si="230"/>
        <v>2003</v>
      </c>
      <c r="F13953" s="3" t="s">
        <v>2199</v>
      </c>
      <c r="G13953" s="6">
        <v>879.75</v>
      </c>
      <c r="H13953" s="5">
        <v>291</v>
      </c>
    </row>
    <row r="13954" spans="2:8" x14ac:dyDescent="0.4">
      <c r="B13954" s="3" t="s">
        <v>7</v>
      </c>
      <c r="C13954" s="3" t="s">
        <v>2198</v>
      </c>
      <c r="D13954" s="4">
        <f>DATE(2003,2,17)</f>
        <v>37669</v>
      </c>
      <c r="E13954" s="5">
        <f t="shared" si="230"/>
        <v>2003</v>
      </c>
      <c r="F13954" s="3" t="s">
        <v>2199</v>
      </c>
      <c r="G13954" s="6">
        <v>6300</v>
      </c>
      <c r="H13954" s="5">
        <v>304</v>
      </c>
    </row>
    <row r="13955" spans="2:8" x14ac:dyDescent="0.4">
      <c r="B13955" s="3" t="s">
        <v>7</v>
      </c>
      <c r="C13955" s="3" t="s">
        <v>2198</v>
      </c>
      <c r="D13955" s="4">
        <f>DATE(2003,2,25)</f>
        <v>37677</v>
      </c>
      <c r="E13955" s="5">
        <f t="shared" ref="E13955:E14018" si="231">YEAR(D13955)</f>
        <v>2003</v>
      </c>
      <c r="F13955" s="3" t="s">
        <v>2199</v>
      </c>
      <c r="G13955" s="6">
        <v>848</v>
      </c>
      <c r="H13955" s="5">
        <v>346</v>
      </c>
    </row>
    <row r="13956" spans="2:8" x14ac:dyDescent="0.4">
      <c r="B13956" s="3" t="s">
        <v>7</v>
      </c>
      <c r="C13956" s="3" t="s">
        <v>2198</v>
      </c>
      <c r="D13956" s="4">
        <f>DATE(2003,7,21)</f>
        <v>37823</v>
      </c>
      <c r="E13956" s="5">
        <f t="shared" si="231"/>
        <v>2003</v>
      </c>
      <c r="F13956" s="3" t="s">
        <v>2199</v>
      </c>
      <c r="G13956" s="6">
        <v>235</v>
      </c>
      <c r="H13956" s="5">
        <v>1171</v>
      </c>
    </row>
    <row r="13957" spans="2:8" x14ac:dyDescent="0.4">
      <c r="B13957" s="3" t="s">
        <v>7</v>
      </c>
      <c r="C13957" s="3" t="s">
        <v>2198</v>
      </c>
      <c r="D13957" s="4">
        <f>DATE(2005,7,13)</f>
        <v>38546</v>
      </c>
      <c r="E13957" s="5">
        <f t="shared" si="231"/>
        <v>2005</v>
      </c>
      <c r="F13957" s="3" t="s">
        <v>2199</v>
      </c>
      <c r="G13957" s="6">
        <v>1462.5</v>
      </c>
      <c r="H13957" s="5">
        <v>4889</v>
      </c>
    </row>
    <row r="13958" spans="2:8" x14ac:dyDescent="0.4">
      <c r="B13958" s="3" t="s">
        <v>7</v>
      </c>
      <c r="C13958" s="3" t="s">
        <v>2198</v>
      </c>
      <c r="D13958" s="4">
        <f>DATE(2005,8,3)</f>
        <v>38567</v>
      </c>
      <c r="E13958" s="5">
        <f t="shared" si="231"/>
        <v>2005</v>
      </c>
      <c r="F13958" s="3" t="s">
        <v>2199</v>
      </c>
      <c r="G13958" s="6">
        <v>900</v>
      </c>
      <c r="H13958" s="5">
        <v>5058</v>
      </c>
    </row>
    <row r="13959" spans="2:8" x14ac:dyDescent="0.4">
      <c r="B13959" s="3" t="s">
        <v>7</v>
      </c>
      <c r="C13959" s="3" t="s">
        <v>2198</v>
      </c>
      <c r="D13959" s="4">
        <f>DATE(2007,1,19)</f>
        <v>39101</v>
      </c>
      <c r="E13959" s="5">
        <f t="shared" si="231"/>
        <v>2007</v>
      </c>
      <c r="F13959" s="3" t="s">
        <v>2199</v>
      </c>
      <c r="G13959" s="6">
        <v>122.75</v>
      </c>
      <c r="H13959" s="5">
        <v>7791</v>
      </c>
    </row>
    <row r="13960" spans="2:8" x14ac:dyDescent="0.4">
      <c r="B13960" s="3" t="s">
        <v>7</v>
      </c>
      <c r="C13960" s="3" t="s">
        <v>2198</v>
      </c>
      <c r="D13960" s="4">
        <f>DATE(2007,3,28)</f>
        <v>39169</v>
      </c>
      <c r="E13960" s="5">
        <f t="shared" si="231"/>
        <v>2007</v>
      </c>
      <c r="F13960" s="3" t="s">
        <v>2199</v>
      </c>
      <c r="G13960" s="6">
        <v>7247.5</v>
      </c>
      <c r="H13960" s="5">
        <v>7996</v>
      </c>
    </row>
    <row r="13961" spans="2:8" x14ac:dyDescent="0.4">
      <c r="B13961" s="3" t="s">
        <v>7</v>
      </c>
      <c r="C13961" s="3" t="s">
        <v>2198</v>
      </c>
      <c r="D13961" s="4">
        <f>DATE(2007,8,31)</f>
        <v>39325</v>
      </c>
      <c r="E13961" s="5">
        <f t="shared" si="231"/>
        <v>2007</v>
      </c>
      <c r="F13961" s="3" t="s">
        <v>2199</v>
      </c>
      <c r="G13961" s="6">
        <v>2230</v>
      </c>
      <c r="H13961" s="5">
        <v>8996</v>
      </c>
    </row>
    <row r="13962" spans="2:8" x14ac:dyDescent="0.4">
      <c r="B13962" s="3" t="s">
        <v>7</v>
      </c>
      <c r="C13962" s="3" t="s">
        <v>2198</v>
      </c>
      <c r="D13962" s="4">
        <f>DATE(2007,12,19)</f>
        <v>39435</v>
      </c>
      <c r="E13962" s="5">
        <f t="shared" si="231"/>
        <v>2007</v>
      </c>
      <c r="F13962" s="3" t="s">
        <v>2199</v>
      </c>
      <c r="G13962" s="6">
        <v>78.56</v>
      </c>
      <c r="H13962" s="5">
        <v>9609</v>
      </c>
    </row>
    <row r="13963" spans="2:8" x14ac:dyDescent="0.4">
      <c r="B13963" s="3" t="s">
        <v>7</v>
      </c>
      <c r="C13963" s="3" t="s">
        <v>2198</v>
      </c>
      <c r="D13963" s="4">
        <f>DATE(2008,4,23)</f>
        <v>39561</v>
      </c>
      <c r="E13963" s="5">
        <f t="shared" si="231"/>
        <v>2008</v>
      </c>
      <c r="F13963" s="3" t="s">
        <v>2199</v>
      </c>
      <c r="G13963" s="6">
        <v>63.83</v>
      </c>
      <c r="H13963" s="5">
        <v>10528</v>
      </c>
    </row>
    <row r="13964" spans="2:8" x14ac:dyDescent="0.4">
      <c r="B13964" s="3" t="s">
        <v>7</v>
      </c>
      <c r="C13964" s="3" t="s">
        <v>2198</v>
      </c>
      <c r="D13964" s="4">
        <f>DATE(2009,2,10)</f>
        <v>39854</v>
      </c>
      <c r="E13964" s="5">
        <f t="shared" si="231"/>
        <v>2009</v>
      </c>
      <c r="F13964" s="3" t="s">
        <v>2199</v>
      </c>
      <c r="G13964" s="6">
        <v>160.25</v>
      </c>
      <c r="H13964" s="5">
        <v>11884</v>
      </c>
    </row>
    <row r="13965" spans="2:8" x14ac:dyDescent="0.4">
      <c r="B13965" s="3" t="s">
        <v>7</v>
      </c>
      <c r="C13965" s="3" t="s">
        <v>2198</v>
      </c>
      <c r="D13965" s="4">
        <f>DATE(2010,6,14)</f>
        <v>40343</v>
      </c>
      <c r="E13965" s="5">
        <f t="shared" si="231"/>
        <v>2010</v>
      </c>
      <c r="F13965" s="3" t="s">
        <v>2199</v>
      </c>
      <c r="G13965" s="6">
        <v>256.39999999999998</v>
      </c>
      <c r="H13965" s="5">
        <v>14138</v>
      </c>
    </row>
    <row r="13966" spans="2:8" x14ac:dyDescent="0.4">
      <c r="B13966" s="3" t="s">
        <v>7</v>
      </c>
      <c r="C13966" s="3" t="s">
        <v>2198</v>
      </c>
      <c r="D13966" s="4">
        <f>DATE(2011,9,19)</f>
        <v>40805</v>
      </c>
      <c r="E13966" s="5">
        <f t="shared" si="231"/>
        <v>2011</v>
      </c>
      <c r="F13966" s="3" t="s">
        <v>2199</v>
      </c>
      <c r="G13966" s="6">
        <v>73.650000000000006</v>
      </c>
      <c r="H13966" s="5">
        <v>15997</v>
      </c>
    </row>
    <row r="13967" spans="2:8" x14ac:dyDescent="0.4">
      <c r="B13967" s="3" t="s">
        <v>7</v>
      </c>
      <c r="C13967" s="3" t="s">
        <v>2198</v>
      </c>
      <c r="D13967" s="4">
        <f>DATE(2011,11,30)</f>
        <v>40877</v>
      </c>
      <c r="E13967" s="5">
        <f t="shared" si="231"/>
        <v>2011</v>
      </c>
      <c r="F13967" s="3" t="s">
        <v>2199</v>
      </c>
      <c r="G13967" s="6">
        <v>1200</v>
      </c>
      <c r="H13967" s="5">
        <v>16224</v>
      </c>
    </row>
    <row r="13968" spans="2:8" x14ac:dyDescent="0.4">
      <c r="B13968" s="3" t="s">
        <v>7</v>
      </c>
      <c r="C13968" s="3" t="s">
        <v>2198</v>
      </c>
      <c r="D13968" s="4">
        <f>DATE(2012,3,31)</f>
        <v>40999</v>
      </c>
      <c r="E13968" s="5">
        <f t="shared" si="231"/>
        <v>2012</v>
      </c>
      <c r="F13968" s="3" t="s">
        <v>2199</v>
      </c>
      <c r="G13968" s="6">
        <v>58.92</v>
      </c>
      <c r="H13968" s="5">
        <v>16913</v>
      </c>
    </row>
    <row r="13969" spans="2:8" x14ac:dyDescent="0.4">
      <c r="B13969" s="3" t="s">
        <v>7</v>
      </c>
      <c r="C13969" s="3" t="s">
        <v>2198</v>
      </c>
      <c r="D13969" s="4">
        <f>DATE(2012,10,30)</f>
        <v>41212</v>
      </c>
      <c r="E13969" s="5">
        <f t="shared" si="231"/>
        <v>2012</v>
      </c>
      <c r="F13969" s="3" t="s">
        <v>2199</v>
      </c>
      <c r="G13969" s="6">
        <v>117.84</v>
      </c>
      <c r="H13969" s="5">
        <v>17777</v>
      </c>
    </row>
    <row r="13970" spans="2:8" x14ac:dyDescent="0.4">
      <c r="B13970" s="3" t="s">
        <v>7</v>
      </c>
      <c r="C13970" s="3" t="s">
        <v>2198</v>
      </c>
      <c r="D13970" s="4">
        <f>DATE(2013,6,13)</f>
        <v>41438</v>
      </c>
      <c r="E13970" s="5">
        <f t="shared" si="231"/>
        <v>2013</v>
      </c>
      <c r="F13970" s="3" t="s">
        <v>2199</v>
      </c>
      <c r="G13970" s="6">
        <v>332.5</v>
      </c>
      <c r="H13970" s="5">
        <v>18672</v>
      </c>
    </row>
    <row r="13971" spans="2:8" x14ac:dyDescent="0.4">
      <c r="B13971" s="3" t="s">
        <v>7</v>
      </c>
      <c r="C13971" s="3" t="s">
        <v>2198</v>
      </c>
      <c r="D13971" s="4">
        <f>DATE(2014,3,13)</f>
        <v>41711</v>
      </c>
      <c r="E13971" s="5">
        <f t="shared" si="231"/>
        <v>2014</v>
      </c>
      <c r="F13971" s="3" t="s">
        <v>2199</v>
      </c>
      <c r="G13971" s="6">
        <v>6975</v>
      </c>
      <c r="H13971" s="5">
        <v>19652</v>
      </c>
    </row>
    <row r="13972" spans="2:8" x14ac:dyDescent="0.4">
      <c r="B13972" t="s">
        <v>7</v>
      </c>
      <c r="C13972" t="s">
        <v>2200</v>
      </c>
      <c r="D13972" s="7">
        <f>DATE(2004,2,2)</f>
        <v>38019</v>
      </c>
      <c r="E13972" s="8">
        <f t="shared" si="231"/>
        <v>2004</v>
      </c>
      <c r="F13972" t="s">
        <v>2201</v>
      </c>
      <c r="G13972" s="9">
        <v>1564.99</v>
      </c>
      <c r="H13972" s="8">
        <v>1181</v>
      </c>
    </row>
    <row r="13973" spans="2:8" x14ac:dyDescent="0.4">
      <c r="B13973" t="s">
        <v>7</v>
      </c>
      <c r="C13973" t="s">
        <v>2200</v>
      </c>
      <c r="D13973" s="7">
        <f>DATE(2005,7,7)</f>
        <v>38540</v>
      </c>
      <c r="E13973" s="8">
        <f t="shared" si="231"/>
        <v>2005</v>
      </c>
      <c r="F13973" t="s">
        <v>2201</v>
      </c>
      <c r="G13973" s="9">
        <v>4412.71</v>
      </c>
      <c r="H13973" s="8">
        <v>3351</v>
      </c>
    </row>
    <row r="13974" spans="2:8" x14ac:dyDescent="0.4">
      <c r="B13974" s="3" t="s">
        <v>7</v>
      </c>
      <c r="C13974" s="3" t="s">
        <v>2200</v>
      </c>
      <c r="D13974" s="4">
        <f>DATE(2003,4,23)</f>
        <v>37734</v>
      </c>
      <c r="E13974" s="5">
        <f t="shared" si="231"/>
        <v>2003</v>
      </c>
      <c r="F13974" s="3" t="s">
        <v>2201</v>
      </c>
      <c r="G13974" s="6">
        <v>230.5</v>
      </c>
      <c r="H13974" s="5">
        <v>733</v>
      </c>
    </row>
    <row r="13975" spans="2:8" x14ac:dyDescent="0.4">
      <c r="B13975" s="3" t="s">
        <v>7</v>
      </c>
      <c r="C13975" s="3" t="s">
        <v>2200</v>
      </c>
      <c r="D13975" s="4">
        <f>DATE(2003,11,11)</f>
        <v>37936</v>
      </c>
      <c r="E13975" s="5">
        <f t="shared" si="231"/>
        <v>2003</v>
      </c>
      <c r="F13975" s="3" t="s">
        <v>2201</v>
      </c>
      <c r="G13975" s="6">
        <v>536.4</v>
      </c>
      <c r="H13975" s="5">
        <v>1770</v>
      </c>
    </row>
    <row r="13976" spans="2:8" x14ac:dyDescent="0.4">
      <c r="B13976" s="3" t="s">
        <v>7</v>
      </c>
      <c r="C13976" s="3" t="s">
        <v>2200</v>
      </c>
      <c r="D13976" s="4">
        <f>DATE(2003,12,5)</f>
        <v>37960</v>
      </c>
      <c r="E13976" s="5">
        <f t="shared" si="231"/>
        <v>2003</v>
      </c>
      <c r="F13976" s="3" t="s">
        <v>2201</v>
      </c>
      <c r="G13976" s="6">
        <v>675</v>
      </c>
      <c r="H13976" s="5">
        <v>1863</v>
      </c>
    </row>
    <row r="13977" spans="2:8" x14ac:dyDescent="0.4">
      <c r="B13977" s="3" t="s">
        <v>7</v>
      </c>
      <c r="C13977" s="3" t="s">
        <v>2200</v>
      </c>
      <c r="D13977" s="4">
        <f>DATE(2003,12,3)</f>
        <v>37958</v>
      </c>
      <c r="E13977" s="5">
        <f t="shared" si="231"/>
        <v>2003</v>
      </c>
      <c r="F13977" s="3" t="s">
        <v>2201</v>
      </c>
      <c r="G13977" s="6">
        <v>1955.2</v>
      </c>
      <c r="H13977" s="5">
        <v>1853</v>
      </c>
    </row>
    <row r="13978" spans="2:8" x14ac:dyDescent="0.4">
      <c r="B13978" s="3" t="s">
        <v>7</v>
      </c>
      <c r="C13978" s="3" t="s">
        <v>2200</v>
      </c>
      <c r="D13978" s="4">
        <f>DATE(2005,12,19)</f>
        <v>38705</v>
      </c>
      <c r="E13978" s="5">
        <f t="shared" si="231"/>
        <v>2005</v>
      </c>
      <c r="F13978" s="3" t="s">
        <v>2201</v>
      </c>
      <c r="G13978" s="6">
        <v>845</v>
      </c>
      <c r="H13978" s="5">
        <v>5659</v>
      </c>
    </row>
    <row r="13979" spans="2:8" x14ac:dyDescent="0.4">
      <c r="B13979" s="3" t="s">
        <v>7</v>
      </c>
      <c r="C13979" s="3" t="s">
        <v>2200</v>
      </c>
      <c r="D13979" s="4">
        <f>DATE(2006,3,31)</f>
        <v>38807</v>
      </c>
      <c r="E13979" s="5">
        <f t="shared" si="231"/>
        <v>2006</v>
      </c>
      <c r="F13979" s="3" t="s">
        <v>2201</v>
      </c>
      <c r="G13979" s="6">
        <v>3048</v>
      </c>
      <c r="H13979" s="5">
        <v>6082</v>
      </c>
    </row>
    <row r="13980" spans="2:8" x14ac:dyDescent="0.4">
      <c r="B13980" s="3" t="s">
        <v>7</v>
      </c>
      <c r="C13980" s="3" t="s">
        <v>2200</v>
      </c>
      <c r="D13980" s="4">
        <f>DATE(2006,4,14)</f>
        <v>38821</v>
      </c>
      <c r="E13980" s="5">
        <f t="shared" si="231"/>
        <v>2006</v>
      </c>
      <c r="F13980" s="3" t="s">
        <v>2201</v>
      </c>
      <c r="G13980" s="6">
        <v>6134.49</v>
      </c>
      <c r="H13980" s="5">
        <v>6525</v>
      </c>
    </row>
    <row r="13981" spans="2:8" x14ac:dyDescent="0.4">
      <c r="B13981" s="3" t="s">
        <v>7</v>
      </c>
      <c r="C13981" s="3" t="s">
        <v>2200</v>
      </c>
      <c r="D13981" s="4">
        <f>DATE(2006,5,2)</f>
        <v>38839</v>
      </c>
      <c r="E13981" s="5">
        <f t="shared" si="231"/>
        <v>2006</v>
      </c>
      <c r="F13981" s="3" t="s">
        <v>2201</v>
      </c>
      <c r="G13981" s="6">
        <v>2898</v>
      </c>
      <c r="H13981" s="5">
        <v>6576</v>
      </c>
    </row>
    <row r="13982" spans="2:8" x14ac:dyDescent="0.4">
      <c r="B13982" t="s">
        <v>7</v>
      </c>
      <c r="C13982" t="s">
        <v>2200</v>
      </c>
      <c r="D13982" s="7">
        <f>DATE(2006,7,28)</f>
        <v>38926</v>
      </c>
      <c r="E13982" s="8">
        <f t="shared" si="231"/>
        <v>2006</v>
      </c>
      <c r="F13982" t="s">
        <v>2202</v>
      </c>
      <c r="G13982" s="9">
        <v>3727.48</v>
      </c>
      <c r="H13982" s="8">
        <v>4824</v>
      </c>
    </row>
    <row r="13983" spans="2:8" x14ac:dyDescent="0.4">
      <c r="B13983" t="s">
        <v>7</v>
      </c>
      <c r="C13983" t="s">
        <v>2200</v>
      </c>
      <c r="D13983" s="7">
        <f>DATE(2006,9,28)</f>
        <v>38988</v>
      </c>
      <c r="E13983" s="8">
        <f t="shared" si="231"/>
        <v>2006</v>
      </c>
      <c r="F13983" t="s">
        <v>2202</v>
      </c>
      <c r="G13983" s="9">
        <v>3377.55</v>
      </c>
      <c r="H13983" s="8">
        <v>5024</v>
      </c>
    </row>
    <row r="13984" spans="2:8" x14ac:dyDescent="0.4">
      <c r="B13984" t="s">
        <v>7</v>
      </c>
      <c r="C13984" t="s">
        <v>2200</v>
      </c>
      <c r="D13984" s="7">
        <f>DATE(2007,9,14)</f>
        <v>39339</v>
      </c>
      <c r="E13984" s="8">
        <f t="shared" si="231"/>
        <v>2007</v>
      </c>
      <c r="F13984" t="s">
        <v>2202</v>
      </c>
      <c r="G13984" s="9">
        <v>1712.81</v>
      </c>
      <c r="H13984" s="8">
        <v>6377</v>
      </c>
    </row>
    <row r="13985" spans="2:8" x14ac:dyDescent="0.4">
      <c r="B13985" t="s">
        <v>7</v>
      </c>
      <c r="C13985" t="s">
        <v>2200</v>
      </c>
      <c r="D13985" s="7">
        <f>DATE(2007,9,14)</f>
        <v>39339</v>
      </c>
      <c r="E13985" s="8">
        <f t="shared" si="231"/>
        <v>2007</v>
      </c>
      <c r="F13985" t="s">
        <v>2202</v>
      </c>
      <c r="G13985" s="9">
        <v>1712.8</v>
      </c>
      <c r="H13985" s="8">
        <v>6379</v>
      </c>
    </row>
    <row r="13986" spans="2:8" x14ac:dyDescent="0.4">
      <c r="B13986" t="s">
        <v>7</v>
      </c>
      <c r="C13986" t="s">
        <v>2200</v>
      </c>
      <c r="D13986" s="7">
        <f>DATE(2007,9,14)</f>
        <v>39339</v>
      </c>
      <c r="E13986" s="8">
        <f t="shared" si="231"/>
        <v>2007</v>
      </c>
      <c r="F13986" t="s">
        <v>2202</v>
      </c>
      <c r="G13986" s="9">
        <v>1712.8</v>
      </c>
      <c r="H13986" s="8">
        <v>6367</v>
      </c>
    </row>
    <row r="13987" spans="2:8" x14ac:dyDescent="0.4">
      <c r="B13987" t="s">
        <v>7</v>
      </c>
      <c r="C13987" t="s">
        <v>2200</v>
      </c>
      <c r="D13987" s="7">
        <f>DATE(2008,3,13)</f>
        <v>39520</v>
      </c>
      <c r="E13987" s="8">
        <f t="shared" si="231"/>
        <v>2008</v>
      </c>
      <c r="F13987" t="s">
        <v>2202</v>
      </c>
      <c r="G13987" s="9">
        <v>10400</v>
      </c>
      <c r="H13987" s="8">
        <v>7027</v>
      </c>
    </row>
    <row r="13988" spans="2:8" x14ac:dyDescent="0.4">
      <c r="B13988" t="s">
        <v>7</v>
      </c>
      <c r="C13988" t="s">
        <v>2200</v>
      </c>
      <c r="D13988" s="7">
        <f>DATE(2009,7,21)</f>
        <v>40015</v>
      </c>
      <c r="E13988" s="8">
        <f t="shared" si="231"/>
        <v>2009</v>
      </c>
      <c r="F13988" t="s">
        <v>2202</v>
      </c>
      <c r="G13988" s="9">
        <v>7217.49</v>
      </c>
      <c r="H13988" s="8">
        <v>8826</v>
      </c>
    </row>
    <row r="13989" spans="2:8" x14ac:dyDescent="0.4">
      <c r="B13989" s="3" t="s">
        <v>7</v>
      </c>
      <c r="C13989" s="3" t="s">
        <v>2200</v>
      </c>
      <c r="D13989" s="4">
        <f>DATE(2006,7,18)</f>
        <v>38916</v>
      </c>
      <c r="E13989" s="5">
        <f t="shared" si="231"/>
        <v>2006</v>
      </c>
      <c r="F13989" s="3" t="s">
        <v>2202</v>
      </c>
      <c r="G13989" s="6">
        <v>925</v>
      </c>
      <c r="H13989" s="5">
        <v>6946</v>
      </c>
    </row>
    <row r="13990" spans="2:8" x14ac:dyDescent="0.4">
      <c r="B13990" s="3" t="s">
        <v>7</v>
      </c>
      <c r="C13990" s="3" t="s">
        <v>2200</v>
      </c>
      <c r="D13990" s="4">
        <f>DATE(2006,11,1)</f>
        <v>39022</v>
      </c>
      <c r="E13990" s="5">
        <f t="shared" si="231"/>
        <v>2006</v>
      </c>
      <c r="F13990" s="3" t="s">
        <v>2202</v>
      </c>
      <c r="G13990" s="6">
        <v>4275</v>
      </c>
      <c r="H13990" s="5">
        <v>7254</v>
      </c>
    </row>
    <row r="13991" spans="2:8" x14ac:dyDescent="0.4">
      <c r="B13991" s="3" t="s">
        <v>7</v>
      </c>
      <c r="C13991" s="3" t="s">
        <v>2200</v>
      </c>
      <c r="D13991" s="4">
        <f>DATE(2006,12,27)</f>
        <v>39078</v>
      </c>
      <c r="E13991" s="5">
        <f t="shared" si="231"/>
        <v>2006</v>
      </c>
      <c r="F13991" s="3" t="s">
        <v>2202</v>
      </c>
      <c r="G13991" s="6">
        <v>2166.8200000000002</v>
      </c>
      <c r="H13991" s="5">
        <v>7549</v>
      </c>
    </row>
    <row r="13992" spans="2:8" x14ac:dyDescent="0.4">
      <c r="B13992" s="3" t="s">
        <v>7</v>
      </c>
      <c r="C13992" s="3" t="s">
        <v>2200</v>
      </c>
      <c r="D13992" s="4">
        <f>DATE(2007,1,12)</f>
        <v>39094</v>
      </c>
      <c r="E13992" s="5">
        <f t="shared" si="231"/>
        <v>2007</v>
      </c>
      <c r="F13992" s="3" t="s">
        <v>2202</v>
      </c>
      <c r="G13992" s="6">
        <v>1710</v>
      </c>
      <c r="H13992" s="5">
        <v>7646</v>
      </c>
    </row>
    <row r="13993" spans="2:8" x14ac:dyDescent="0.4">
      <c r="B13993" s="3" t="s">
        <v>7</v>
      </c>
      <c r="C13993" s="3" t="s">
        <v>2200</v>
      </c>
      <c r="D13993" s="4">
        <f>DATE(2007,1,16)</f>
        <v>39098</v>
      </c>
      <c r="E13993" s="5">
        <f t="shared" si="231"/>
        <v>2007</v>
      </c>
      <c r="F13993" s="3" t="s">
        <v>2202</v>
      </c>
      <c r="G13993" s="6">
        <v>1050</v>
      </c>
      <c r="H13993" s="5">
        <v>7761</v>
      </c>
    </row>
    <row r="13994" spans="2:8" x14ac:dyDescent="0.4">
      <c r="B13994" s="3" t="s">
        <v>7</v>
      </c>
      <c r="C13994" s="3" t="s">
        <v>2200</v>
      </c>
      <c r="D13994" s="4">
        <f>DATE(2007,8,7)</f>
        <v>39301</v>
      </c>
      <c r="E13994" s="5">
        <f t="shared" si="231"/>
        <v>2007</v>
      </c>
      <c r="F13994" s="3" t="s">
        <v>2202</v>
      </c>
      <c r="G13994" s="6">
        <v>804</v>
      </c>
      <c r="H13994" s="5">
        <v>8987</v>
      </c>
    </row>
    <row r="13995" spans="2:8" x14ac:dyDescent="0.4">
      <c r="B13995" s="3" t="s">
        <v>7</v>
      </c>
      <c r="C13995" s="3" t="s">
        <v>2200</v>
      </c>
      <c r="D13995" s="4">
        <f>DATE(2007,12,1)</f>
        <v>39417</v>
      </c>
      <c r="E13995" s="5">
        <f t="shared" si="231"/>
        <v>2007</v>
      </c>
      <c r="F13995" s="3" t="s">
        <v>2202</v>
      </c>
      <c r="G13995" s="6">
        <v>525</v>
      </c>
      <c r="H13995" s="5">
        <v>7820</v>
      </c>
    </row>
    <row r="13996" spans="2:8" x14ac:dyDescent="0.4">
      <c r="B13996" s="3" t="s">
        <v>7</v>
      </c>
      <c r="C13996" s="3" t="s">
        <v>2200</v>
      </c>
      <c r="D13996" s="4">
        <f>DATE(2009,1,16)</f>
        <v>39829</v>
      </c>
      <c r="E13996" s="5">
        <f t="shared" si="231"/>
        <v>2009</v>
      </c>
      <c r="F13996" s="3" t="s">
        <v>2202</v>
      </c>
      <c r="G13996" s="6">
        <v>767</v>
      </c>
      <c r="H13996" s="5">
        <v>11813</v>
      </c>
    </row>
    <row r="13997" spans="2:8" x14ac:dyDescent="0.4">
      <c r="B13997" s="3" t="s">
        <v>7</v>
      </c>
      <c r="C13997" s="3" t="s">
        <v>2200</v>
      </c>
      <c r="D13997" s="4">
        <f>DATE(2009,8,3)</f>
        <v>40028</v>
      </c>
      <c r="E13997" s="5">
        <f t="shared" si="231"/>
        <v>2009</v>
      </c>
      <c r="F13997" s="3" t="s">
        <v>2202</v>
      </c>
      <c r="G13997" s="6">
        <v>3060.74</v>
      </c>
      <c r="H13997" s="5">
        <v>12830</v>
      </c>
    </row>
    <row r="13998" spans="2:8" x14ac:dyDescent="0.4">
      <c r="B13998" s="3" t="s">
        <v>7</v>
      </c>
      <c r="C13998" s="3" t="s">
        <v>2200</v>
      </c>
      <c r="D13998" s="4">
        <f>DATE(2009,8,14)</f>
        <v>40039</v>
      </c>
      <c r="E13998" s="5">
        <f t="shared" si="231"/>
        <v>2009</v>
      </c>
      <c r="F13998" s="3" t="s">
        <v>2202</v>
      </c>
      <c r="G13998" s="6">
        <v>975</v>
      </c>
      <c r="H13998" s="5">
        <v>12908</v>
      </c>
    </row>
    <row r="13999" spans="2:8" x14ac:dyDescent="0.4">
      <c r="B13999" s="3" t="s">
        <v>7</v>
      </c>
      <c r="C13999" s="3" t="s">
        <v>2200</v>
      </c>
      <c r="D13999" s="4">
        <f>DATE(2009,8,20)</f>
        <v>40045</v>
      </c>
      <c r="E13999" s="5">
        <f t="shared" si="231"/>
        <v>2009</v>
      </c>
      <c r="F13999" s="3" t="s">
        <v>2202</v>
      </c>
      <c r="G13999" s="6">
        <v>428.63</v>
      </c>
      <c r="H13999" s="5">
        <v>12912</v>
      </c>
    </row>
    <row r="14000" spans="2:8" x14ac:dyDescent="0.4">
      <c r="B14000" s="3" t="s">
        <v>7</v>
      </c>
      <c r="C14000" s="3" t="s">
        <v>2200</v>
      </c>
      <c r="D14000" s="4">
        <f>DATE(2009,8,20)</f>
        <v>40045</v>
      </c>
      <c r="E14000" s="5">
        <f t="shared" si="231"/>
        <v>2009</v>
      </c>
      <c r="F14000" s="3" t="s">
        <v>2202</v>
      </c>
      <c r="G14000" s="6">
        <v>176.75</v>
      </c>
      <c r="H14000" s="5">
        <v>12912</v>
      </c>
    </row>
    <row r="14001" spans="2:8" x14ac:dyDescent="0.4">
      <c r="B14001" s="3" t="s">
        <v>7</v>
      </c>
      <c r="C14001" s="3" t="s">
        <v>2200</v>
      </c>
      <c r="D14001" s="4">
        <f>DATE(2009,12,21)</f>
        <v>40168</v>
      </c>
      <c r="E14001" s="5">
        <f t="shared" si="231"/>
        <v>2009</v>
      </c>
      <c r="F14001" s="3" t="s">
        <v>2202</v>
      </c>
      <c r="G14001" s="6">
        <v>3512</v>
      </c>
      <c r="H14001" s="5">
        <v>13370</v>
      </c>
    </row>
    <row r="14002" spans="2:8" x14ac:dyDescent="0.4">
      <c r="B14002" s="3" t="s">
        <v>7</v>
      </c>
      <c r="C14002" s="3" t="s">
        <v>2200</v>
      </c>
      <c r="D14002" s="4">
        <f>DATE(2010,1,14)</f>
        <v>40192</v>
      </c>
      <c r="E14002" s="5">
        <f t="shared" si="231"/>
        <v>2010</v>
      </c>
      <c r="F14002" s="3" t="s">
        <v>2202</v>
      </c>
      <c r="G14002" s="6">
        <v>79.02</v>
      </c>
      <c r="H14002" s="5">
        <v>13427</v>
      </c>
    </row>
    <row r="14003" spans="2:8" x14ac:dyDescent="0.4">
      <c r="B14003" s="3" t="s">
        <v>7</v>
      </c>
      <c r="C14003" s="3" t="s">
        <v>2200</v>
      </c>
      <c r="D14003" s="4">
        <f>DATE(2010,1,29)</f>
        <v>40207</v>
      </c>
      <c r="E14003" s="5">
        <f t="shared" si="231"/>
        <v>2010</v>
      </c>
      <c r="F14003" s="3" t="s">
        <v>2202</v>
      </c>
      <c r="G14003" s="6">
        <v>3398.3</v>
      </c>
      <c r="H14003" s="5">
        <v>13449</v>
      </c>
    </row>
    <row r="14004" spans="2:8" x14ac:dyDescent="0.4">
      <c r="B14004" s="3" t="s">
        <v>7</v>
      </c>
      <c r="C14004" s="3" t="s">
        <v>2200</v>
      </c>
      <c r="D14004" s="4">
        <f>DATE(2010,6,17)</f>
        <v>40346</v>
      </c>
      <c r="E14004" s="5">
        <f t="shared" si="231"/>
        <v>2010</v>
      </c>
      <c r="F14004" s="3" t="s">
        <v>2202</v>
      </c>
      <c r="G14004" s="6">
        <v>1500</v>
      </c>
      <c r="H14004" s="5">
        <v>14132</v>
      </c>
    </row>
    <row r="14005" spans="2:8" x14ac:dyDescent="0.4">
      <c r="B14005" s="3" t="s">
        <v>16</v>
      </c>
      <c r="C14005" s="3" t="s">
        <v>2200</v>
      </c>
      <c r="D14005" s="4">
        <f>DATE(2007,1,26)</f>
        <v>39108</v>
      </c>
      <c r="E14005" s="5">
        <f t="shared" si="231"/>
        <v>2007</v>
      </c>
      <c r="F14005" s="3" t="s">
        <v>2202</v>
      </c>
      <c r="G14005" s="6">
        <v>525</v>
      </c>
      <c r="H14005" s="5">
        <v>7821</v>
      </c>
    </row>
    <row r="14006" spans="2:8" x14ac:dyDescent="0.4">
      <c r="B14006" s="3" t="s">
        <v>16</v>
      </c>
      <c r="C14006" s="3" t="s">
        <v>2200</v>
      </c>
      <c r="D14006" s="4">
        <f>DATE(2009,8,18)</f>
        <v>40043</v>
      </c>
      <c r="E14006" s="5">
        <f t="shared" si="231"/>
        <v>2009</v>
      </c>
      <c r="F14006" s="3" t="s">
        <v>2202</v>
      </c>
      <c r="G14006" s="6">
        <v>925.71</v>
      </c>
      <c r="H14006" s="5">
        <v>12907</v>
      </c>
    </row>
    <row r="14007" spans="2:8" x14ac:dyDescent="0.4">
      <c r="B14007" t="s">
        <v>7</v>
      </c>
      <c r="C14007" t="s">
        <v>2203</v>
      </c>
      <c r="D14007" s="7">
        <f>DATE(2006,9,11)</f>
        <v>38971</v>
      </c>
      <c r="E14007" s="8">
        <f t="shared" si="231"/>
        <v>2006</v>
      </c>
      <c r="F14007" t="s">
        <v>2204</v>
      </c>
      <c r="G14007" s="9">
        <v>28849.31</v>
      </c>
      <c r="H14007" s="8">
        <v>4828</v>
      </c>
    </row>
    <row r="14008" spans="2:8" x14ac:dyDescent="0.4">
      <c r="B14008" t="s">
        <v>7</v>
      </c>
      <c r="C14008" t="s">
        <v>2203</v>
      </c>
      <c r="D14008" s="7">
        <f>DATE(2007,10,5)</f>
        <v>39360</v>
      </c>
      <c r="E14008" s="8">
        <f t="shared" si="231"/>
        <v>2007</v>
      </c>
      <c r="F14008" t="s">
        <v>2204</v>
      </c>
      <c r="G14008" s="9">
        <v>72</v>
      </c>
      <c r="H14008" s="8">
        <v>6450</v>
      </c>
    </row>
    <row r="14009" spans="2:8" x14ac:dyDescent="0.4">
      <c r="B14009" t="s">
        <v>7</v>
      </c>
      <c r="C14009" t="s">
        <v>2203</v>
      </c>
      <c r="D14009" s="7">
        <f>DATE(2007,10,11)</f>
        <v>39366</v>
      </c>
      <c r="E14009" s="8">
        <f t="shared" si="231"/>
        <v>2007</v>
      </c>
      <c r="F14009" t="s">
        <v>2204</v>
      </c>
      <c r="G14009" s="9">
        <v>1108</v>
      </c>
      <c r="H14009" s="8">
        <v>6450</v>
      </c>
    </row>
    <row r="14010" spans="2:8" x14ac:dyDescent="0.4">
      <c r="B14010" t="s">
        <v>7</v>
      </c>
      <c r="C14010" t="s">
        <v>2203</v>
      </c>
      <c r="D14010" s="7">
        <f>DATE(2003,4,10)</f>
        <v>37721</v>
      </c>
      <c r="E14010" s="8">
        <f t="shared" si="231"/>
        <v>2003</v>
      </c>
      <c r="F14010" t="s">
        <v>2204</v>
      </c>
      <c r="G14010" s="9">
        <v>17000</v>
      </c>
      <c r="H14010" s="8">
        <v>282</v>
      </c>
    </row>
    <row r="14011" spans="2:8" x14ac:dyDescent="0.4">
      <c r="B14011" t="s">
        <v>7</v>
      </c>
      <c r="C14011" t="s">
        <v>2203</v>
      </c>
      <c r="D14011" s="7">
        <f>DATE(2003,10,26)</f>
        <v>37920</v>
      </c>
      <c r="E14011" s="8">
        <f t="shared" si="231"/>
        <v>2003</v>
      </c>
      <c r="F14011" t="s">
        <v>2204</v>
      </c>
      <c r="G14011" s="9">
        <v>17350</v>
      </c>
      <c r="H14011" s="8">
        <v>963</v>
      </c>
    </row>
    <row r="14012" spans="2:8" x14ac:dyDescent="0.4">
      <c r="B14012" t="s">
        <v>7</v>
      </c>
      <c r="C14012" t="s">
        <v>2203</v>
      </c>
      <c r="D14012" s="7">
        <f>DATE(2004,5,7)</f>
        <v>38114</v>
      </c>
      <c r="E14012" s="8">
        <f t="shared" si="231"/>
        <v>2004</v>
      </c>
      <c r="F14012" t="s">
        <v>2204</v>
      </c>
      <c r="G14012" s="9">
        <v>16350</v>
      </c>
      <c r="H14012" s="8">
        <v>1614</v>
      </c>
    </row>
    <row r="14013" spans="2:8" x14ac:dyDescent="0.4">
      <c r="B14013" t="s">
        <v>7</v>
      </c>
      <c r="C14013" t="s">
        <v>2203</v>
      </c>
      <c r="D14013" s="7">
        <f>DATE(2005,4,9)</f>
        <v>38451</v>
      </c>
      <c r="E14013" s="8">
        <f t="shared" si="231"/>
        <v>2005</v>
      </c>
      <c r="F14013" t="s">
        <v>2204</v>
      </c>
      <c r="G14013" s="9">
        <v>16350</v>
      </c>
      <c r="H14013" s="8">
        <v>2852</v>
      </c>
    </row>
    <row r="14014" spans="2:8" x14ac:dyDescent="0.4">
      <c r="B14014" t="s">
        <v>7</v>
      </c>
      <c r="C14014" t="s">
        <v>2203</v>
      </c>
      <c r="D14014" s="7">
        <f>DATE(2005,9,30)</f>
        <v>38625</v>
      </c>
      <c r="E14014" s="8">
        <f t="shared" si="231"/>
        <v>2005</v>
      </c>
      <c r="F14014" t="s">
        <v>2204</v>
      </c>
      <c r="G14014" s="9">
        <v>3258.37</v>
      </c>
      <c r="H14014" s="8">
        <v>3650</v>
      </c>
    </row>
    <row r="14015" spans="2:8" x14ac:dyDescent="0.4">
      <c r="B14015" t="s">
        <v>7</v>
      </c>
      <c r="C14015" t="s">
        <v>2203</v>
      </c>
      <c r="D14015" s="7">
        <f>DATE(2005,11,3)</f>
        <v>38659</v>
      </c>
      <c r="E14015" s="8">
        <f t="shared" si="231"/>
        <v>2005</v>
      </c>
      <c r="F14015" t="s">
        <v>2204</v>
      </c>
      <c r="G14015" s="9">
        <v>16350</v>
      </c>
      <c r="H14015" s="8">
        <v>3671</v>
      </c>
    </row>
    <row r="14016" spans="2:8" x14ac:dyDescent="0.4">
      <c r="B14016" t="s">
        <v>7</v>
      </c>
      <c r="C14016" t="s">
        <v>2203</v>
      </c>
      <c r="D14016" s="7">
        <f>DATE(2006,3,17)</f>
        <v>38793</v>
      </c>
      <c r="E14016" s="8">
        <f t="shared" si="231"/>
        <v>2006</v>
      </c>
      <c r="F14016" t="s">
        <v>2204</v>
      </c>
      <c r="G14016" s="9">
        <v>16350</v>
      </c>
      <c r="H14016" s="8">
        <v>4131</v>
      </c>
    </row>
    <row r="14017" spans="2:8" x14ac:dyDescent="0.4">
      <c r="B14017" t="s">
        <v>7</v>
      </c>
      <c r="C14017" t="s">
        <v>2203</v>
      </c>
      <c r="D14017" s="7">
        <f>DATE(2006,6,30)</f>
        <v>38898</v>
      </c>
      <c r="E14017" s="8">
        <f t="shared" si="231"/>
        <v>2006</v>
      </c>
      <c r="F14017" t="s">
        <v>2204</v>
      </c>
      <c r="G14017" s="9">
        <v>5426.3</v>
      </c>
      <c r="H14017" s="8">
        <v>4746</v>
      </c>
    </row>
    <row r="14018" spans="2:8" x14ac:dyDescent="0.4">
      <c r="B14018" t="s">
        <v>7</v>
      </c>
      <c r="C14018" t="s">
        <v>2203</v>
      </c>
      <c r="D14018" s="7">
        <f>DATE(2006,12,1)</f>
        <v>39052</v>
      </c>
      <c r="E14018" s="8">
        <f t="shared" si="231"/>
        <v>2006</v>
      </c>
      <c r="F14018" t="s">
        <v>2204</v>
      </c>
      <c r="G14018" s="9">
        <v>3026.09</v>
      </c>
      <c r="H14018" s="8">
        <v>5176</v>
      </c>
    </row>
    <row r="14019" spans="2:8" x14ac:dyDescent="0.4">
      <c r="B14019" t="s">
        <v>7</v>
      </c>
      <c r="C14019" t="s">
        <v>2203</v>
      </c>
      <c r="D14019" s="7">
        <f>DATE(2007,10,20)</f>
        <v>39375</v>
      </c>
      <c r="E14019" s="8">
        <f t="shared" ref="E14019:E14082" si="232">YEAR(D14019)</f>
        <v>2007</v>
      </c>
      <c r="F14019" t="s">
        <v>2204</v>
      </c>
      <c r="G14019" s="9">
        <v>12600</v>
      </c>
      <c r="H14019" s="8">
        <v>6422</v>
      </c>
    </row>
    <row r="14020" spans="2:8" x14ac:dyDescent="0.4">
      <c r="B14020" t="s">
        <v>7</v>
      </c>
      <c r="C14020" t="s">
        <v>2203</v>
      </c>
      <c r="D14020" s="7">
        <f>DATE(2008,10,17)</f>
        <v>39738</v>
      </c>
      <c r="E14020" s="8">
        <f t="shared" si="232"/>
        <v>2008</v>
      </c>
      <c r="F14020" t="s">
        <v>2204</v>
      </c>
      <c r="G14020" s="9">
        <v>13127.89</v>
      </c>
      <c r="H14020" s="8">
        <v>7834</v>
      </c>
    </row>
    <row r="14021" spans="2:8" x14ac:dyDescent="0.4">
      <c r="B14021" t="s">
        <v>7</v>
      </c>
      <c r="C14021" t="s">
        <v>2203</v>
      </c>
      <c r="D14021" s="7">
        <f>DATE(2009,4,21)</f>
        <v>39924</v>
      </c>
      <c r="E14021" s="8">
        <f t="shared" si="232"/>
        <v>2009</v>
      </c>
      <c r="F14021" t="s">
        <v>2204</v>
      </c>
      <c r="G14021" s="9">
        <v>13250</v>
      </c>
      <c r="H14021" s="8">
        <v>8550</v>
      </c>
    </row>
    <row r="14022" spans="2:8" x14ac:dyDescent="0.4">
      <c r="B14022" t="s">
        <v>7</v>
      </c>
      <c r="C14022" t="s">
        <v>2203</v>
      </c>
      <c r="D14022" s="7">
        <f>DATE(2009,9,30)</f>
        <v>40086</v>
      </c>
      <c r="E14022" s="8">
        <f t="shared" si="232"/>
        <v>2009</v>
      </c>
      <c r="F14022" t="s">
        <v>2204</v>
      </c>
      <c r="G14022" s="9">
        <v>15650</v>
      </c>
      <c r="H14022" s="8">
        <v>9064</v>
      </c>
    </row>
    <row r="14023" spans="2:8" x14ac:dyDescent="0.4">
      <c r="B14023" s="3" t="s">
        <v>7</v>
      </c>
      <c r="C14023" s="3" t="s">
        <v>2203</v>
      </c>
      <c r="D14023" s="4">
        <f>DATE(2003,5,2)</f>
        <v>37743</v>
      </c>
      <c r="E14023" s="5">
        <f t="shared" si="232"/>
        <v>2003</v>
      </c>
      <c r="F14023" s="3" t="s">
        <v>2204</v>
      </c>
      <c r="G14023" s="6">
        <v>7320</v>
      </c>
      <c r="H14023" s="5">
        <v>724</v>
      </c>
    </row>
    <row r="14024" spans="2:8" x14ac:dyDescent="0.4">
      <c r="B14024" s="3" t="s">
        <v>7</v>
      </c>
      <c r="C14024" s="3" t="s">
        <v>2203</v>
      </c>
      <c r="D14024" s="4">
        <f>DATE(2003,10,28)</f>
        <v>37922</v>
      </c>
      <c r="E14024" s="5">
        <f t="shared" si="232"/>
        <v>2003</v>
      </c>
      <c r="F14024" s="3" t="s">
        <v>2204</v>
      </c>
      <c r="G14024" s="6">
        <v>4650</v>
      </c>
      <c r="H14024" s="5">
        <v>1684</v>
      </c>
    </row>
    <row r="14025" spans="2:8" x14ac:dyDescent="0.4">
      <c r="B14025" s="3" t="s">
        <v>7</v>
      </c>
      <c r="C14025" s="3" t="s">
        <v>2203</v>
      </c>
      <c r="D14025" s="4">
        <f>DATE(2004,4,28)</f>
        <v>38105</v>
      </c>
      <c r="E14025" s="5">
        <f t="shared" si="232"/>
        <v>2004</v>
      </c>
      <c r="F14025" s="3" t="s">
        <v>2204</v>
      </c>
      <c r="G14025" s="6">
        <v>10650.13</v>
      </c>
      <c r="H14025" s="5">
        <v>2596</v>
      </c>
    </row>
    <row r="14026" spans="2:8" x14ac:dyDescent="0.4">
      <c r="B14026" s="3" t="s">
        <v>7</v>
      </c>
      <c r="C14026" s="3" t="s">
        <v>2203</v>
      </c>
      <c r="D14026" s="4">
        <f>DATE(2005,4,4)</f>
        <v>38446</v>
      </c>
      <c r="E14026" s="5">
        <f t="shared" si="232"/>
        <v>2005</v>
      </c>
      <c r="F14026" s="3" t="s">
        <v>2204</v>
      </c>
      <c r="G14026" s="6">
        <v>10284.6</v>
      </c>
      <c r="H14026" s="5">
        <v>4234</v>
      </c>
    </row>
    <row r="14027" spans="2:8" x14ac:dyDescent="0.4">
      <c r="B14027" s="3" t="s">
        <v>7</v>
      </c>
      <c r="C14027" s="3" t="s">
        <v>2203</v>
      </c>
      <c r="D14027" s="4">
        <f>DATE(2005,10,31)</f>
        <v>38656</v>
      </c>
      <c r="E14027" s="5">
        <f t="shared" si="232"/>
        <v>2005</v>
      </c>
      <c r="F14027" s="3" t="s">
        <v>2204</v>
      </c>
      <c r="G14027" s="6">
        <v>3750</v>
      </c>
      <c r="H14027" s="5">
        <v>5410</v>
      </c>
    </row>
    <row r="14028" spans="2:8" x14ac:dyDescent="0.4">
      <c r="B14028" s="3" t="s">
        <v>7</v>
      </c>
      <c r="C14028" s="3" t="s">
        <v>2203</v>
      </c>
      <c r="D14028" s="4">
        <f>DATE(2006,3,6)</f>
        <v>38782</v>
      </c>
      <c r="E14028" s="5">
        <f t="shared" si="232"/>
        <v>2006</v>
      </c>
      <c r="F14028" s="3" t="s">
        <v>2204</v>
      </c>
      <c r="G14028" s="6">
        <v>3727.33</v>
      </c>
      <c r="H14028" s="5">
        <v>6047</v>
      </c>
    </row>
    <row r="14029" spans="2:8" x14ac:dyDescent="0.4">
      <c r="B14029" s="3" t="s">
        <v>7</v>
      </c>
      <c r="C14029" s="3" t="s">
        <v>2203</v>
      </c>
      <c r="D14029" s="4">
        <f>DATE(2007,10,20)</f>
        <v>39375</v>
      </c>
      <c r="E14029" s="5">
        <f t="shared" si="232"/>
        <v>2007</v>
      </c>
      <c r="F14029" s="3" t="s">
        <v>2204</v>
      </c>
      <c r="G14029" s="6">
        <v>3660</v>
      </c>
      <c r="H14029" s="5">
        <v>9237</v>
      </c>
    </row>
    <row r="14030" spans="2:8" x14ac:dyDescent="0.4">
      <c r="B14030" s="3" t="s">
        <v>7</v>
      </c>
      <c r="C14030" s="3" t="s">
        <v>2203</v>
      </c>
      <c r="D14030" s="4">
        <f>DATE(2008,10,17)</f>
        <v>39738</v>
      </c>
      <c r="E14030" s="5">
        <f t="shared" si="232"/>
        <v>2008</v>
      </c>
      <c r="F14030" s="3" t="s">
        <v>2204</v>
      </c>
      <c r="G14030" s="6">
        <v>3750</v>
      </c>
      <c r="H14030" s="5">
        <v>11277</v>
      </c>
    </row>
    <row r="14031" spans="2:8" x14ac:dyDescent="0.4">
      <c r="B14031" s="3" t="s">
        <v>7</v>
      </c>
      <c r="C14031" s="3" t="s">
        <v>2203</v>
      </c>
      <c r="D14031" s="4">
        <f>DATE(2009,4,15)</f>
        <v>39918</v>
      </c>
      <c r="E14031" s="5">
        <f t="shared" si="232"/>
        <v>2009</v>
      </c>
      <c r="F14031" s="3" t="s">
        <v>2204</v>
      </c>
      <c r="G14031" s="6">
        <v>3750</v>
      </c>
      <c r="H14031" s="5">
        <v>12297</v>
      </c>
    </row>
    <row r="14032" spans="2:8" x14ac:dyDescent="0.4">
      <c r="B14032" s="3" t="s">
        <v>7</v>
      </c>
      <c r="C14032" s="3" t="s">
        <v>2203</v>
      </c>
      <c r="D14032" s="4">
        <f>DATE(2009,5,1)</f>
        <v>39934</v>
      </c>
      <c r="E14032" s="5">
        <f t="shared" si="232"/>
        <v>2009</v>
      </c>
      <c r="F14032" s="3" t="s">
        <v>2204</v>
      </c>
      <c r="G14032" s="6">
        <v>1314</v>
      </c>
      <c r="H14032" s="5">
        <v>12453</v>
      </c>
    </row>
    <row r="14033" spans="2:8" x14ac:dyDescent="0.4">
      <c r="B14033" s="3" t="s">
        <v>7</v>
      </c>
      <c r="C14033" s="3" t="s">
        <v>2203</v>
      </c>
      <c r="D14033" s="4">
        <f>DATE(2009,9,30)</f>
        <v>40086</v>
      </c>
      <c r="E14033" s="5">
        <f t="shared" si="232"/>
        <v>2009</v>
      </c>
      <c r="F14033" s="3" t="s">
        <v>2204</v>
      </c>
      <c r="G14033" s="6">
        <v>4800</v>
      </c>
      <c r="H14033" s="5">
        <v>12999</v>
      </c>
    </row>
    <row r="14034" spans="2:8" x14ac:dyDescent="0.4">
      <c r="B14034" s="3" t="s">
        <v>7</v>
      </c>
      <c r="C14034" s="3" t="s">
        <v>2203</v>
      </c>
      <c r="D14034" s="4">
        <f>DATE(2010,6,4)</f>
        <v>40333</v>
      </c>
      <c r="E14034" s="5">
        <f t="shared" si="232"/>
        <v>2010</v>
      </c>
      <c r="F14034" s="3" t="s">
        <v>2204</v>
      </c>
      <c r="G14034" s="6">
        <v>661</v>
      </c>
      <c r="H14034" s="5">
        <v>14114</v>
      </c>
    </row>
    <row r="14035" spans="2:8" x14ac:dyDescent="0.4">
      <c r="B14035" s="3" t="s">
        <v>7</v>
      </c>
      <c r="C14035" s="3" t="s">
        <v>2203</v>
      </c>
      <c r="D14035" s="4">
        <f>DATE(2011,10,31)</f>
        <v>40847</v>
      </c>
      <c r="E14035" s="5">
        <f t="shared" si="232"/>
        <v>2011</v>
      </c>
      <c r="F14035" s="3" t="s">
        <v>2204</v>
      </c>
      <c r="G14035" s="6">
        <v>1891.95</v>
      </c>
      <c r="H14035" s="5">
        <v>16138</v>
      </c>
    </row>
    <row r="14036" spans="2:8" x14ac:dyDescent="0.4">
      <c r="B14036" s="3" t="s">
        <v>16</v>
      </c>
      <c r="C14036" s="3" t="s">
        <v>2203</v>
      </c>
      <c r="D14036" s="4">
        <f>DATE(2004,7,29)</f>
        <v>38197</v>
      </c>
      <c r="E14036" s="5">
        <f t="shared" si="232"/>
        <v>2004</v>
      </c>
      <c r="F14036" s="3" t="s">
        <v>2204</v>
      </c>
      <c r="G14036" s="6">
        <v>7164</v>
      </c>
      <c r="H14036" s="5">
        <v>3215</v>
      </c>
    </row>
    <row r="14037" spans="2:8" x14ac:dyDescent="0.4">
      <c r="B14037" s="3" t="s">
        <v>16</v>
      </c>
      <c r="C14037" s="3" t="s">
        <v>2203</v>
      </c>
      <c r="D14037" s="4">
        <f>DATE(2005,4,13)</f>
        <v>38455</v>
      </c>
      <c r="E14037" s="5">
        <f t="shared" si="232"/>
        <v>2005</v>
      </c>
      <c r="F14037" s="3" t="s">
        <v>2204</v>
      </c>
      <c r="G14037" s="6">
        <v>6175</v>
      </c>
      <c r="H14037" s="5">
        <v>4550</v>
      </c>
    </row>
    <row r="14038" spans="2:8" x14ac:dyDescent="0.4">
      <c r="B14038" s="3" t="s">
        <v>7</v>
      </c>
      <c r="C14038" s="3" t="s">
        <v>2205</v>
      </c>
      <c r="D14038" s="4">
        <f>DATE(2006,6,6)</f>
        <v>38874</v>
      </c>
      <c r="E14038" s="5">
        <f t="shared" si="232"/>
        <v>2006</v>
      </c>
      <c r="F14038" s="3" t="s">
        <v>2206</v>
      </c>
      <c r="G14038" s="6">
        <v>1069.48</v>
      </c>
      <c r="H14038" s="5">
        <v>1579</v>
      </c>
    </row>
    <row r="14039" spans="2:8" x14ac:dyDescent="0.4">
      <c r="B14039" s="3" t="s">
        <v>7</v>
      </c>
      <c r="C14039" s="3" t="s">
        <v>2205</v>
      </c>
      <c r="D14039" s="4">
        <f>DATE(2006,7,25)</f>
        <v>38923</v>
      </c>
      <c r="E14039" s="5">
        <f t="shared" si="232"/>
        <v>2006</v>
      </c>
      <c r="F14039" s="3" t="s">
        <v>2206</v>
      </c>
      <c r="G14039" s="6">
        <v>4765.1400000000003</v>
      </c>
      <c r="H14039" s="5">
        <v>1661</v>
      </c>
    </row>
    <row r="14040" spans="2:8" x14ac:dyDescent="0.4">
      <c r="B14040" s="3" t="s">
        <v>7</v>
      </c>
      <c r="C14040" s="3" t="s">
        <v>2205</v>
      </c>
      <c r="D14040" s="4">
        <f>DATE(2006,9,28)</f>
        <v>38988</v>
      </c>
      <c r="E14040" s="5">
        <f t="shared" si="232"/>
        <v>2006</v>
      </c>
      <c r="F14040" s="3" t="s">
        <v>2206</v>
      </c>
      <c r="G14040" s="6">
        <v>7700.51</v>
      </c>
      <c r="H14040" s="5">
        <v>1763</v>
      </c>
    </row>
    <row r="14041" spans="2:8" x14ac:dyDescent="0.4">
      <c r="B14041" s="3" t="s">
        <v>7</v>
      </c>
      <c r="C14041" s="3" t="s">
        <v>2207</v>
      </c>
      <c r="D14041" s="4">
        <f>DATE(2014,9,10)</f>
        <v>41892</v>
      </c>
      <c r="E14041" s="5">
        <f t="shared" si="232"/>
        <v>2014</v>
      </c>
      <c r="F14041" s="3" t="s">
        <v>2208</v>
      </c>
      <c r="G14041" s="6">
        <v>731.27</v>
      </c>
      <c r="H14041" s="5">
        <v>20397</v>
      </c>
    </row>
    <row r="14042" spans="2:8" x14ac:dyDescent="0.4">
      <c r="B14042" s="3" t="s">
        <v>7</v>
      </c>
      <c r="C14042" s="3" t="s">
        <v>2207</v>
      </c>
      <c r="D14042" s="4">
        <f>DATE(2014,9,26)</f>
        <v>41908</v>
      </c>
      <c r="E14042" s="5">
        <f t="shared" si="232"/>
        <v>2014</v>
      </c>
      <c r="F14042" s="3" t="s">
        <v>2208</v>
      </c>
      <c r="G14042" s="6">
        <v>731.27</v>
      </c>
      <c r="H14042" s="5">
        <v>20391</v>
      </c>
    </row>
    <row r="14043" spans="2:8" x14ac:dyDescent="0.4">
      <c r="B14043" s="3" t="s">
        <v>7</v>
      </c>
      <c r="C14043" s="3" t="s">
        <v>2209</v>
      </c>
      <c r="D14043" s="4">
        <f>DATE(2005,8,23)</f>
        <v>38587</v>
      </c>
      <c r="E14043" s="5">
        <f t="shared" si="232"/>
        <v>2005</v>
      </c>
      <c r="F14043" s="3" t="s">
        <v>2210</v>
      </c>
      <c r="G14043" s="6">
        <v>354.5</v>
      </c>
      <c r="H14043" s="5">
        <v>5163</v>
      </c>
    </row>
    <row r="14044" spans="2:8" x14ac:dyDescent="0.4">
      <c r="B14044" s="3" t="s">
        <v>7</v>
      </c>
      <c r="C14044" s="3" t="s">
        <v>2211</v>
      </c>
      <c r="D14044" s="4">
        <f>DATE(2013,4,29)</f>
        <v>41393</v>
      </c>
      <c r="E14044" s="5">
        <f t="shared" si="232"/>
        <v>2013</v>
      </c>
      <c r="F14044" s="3" t="s">
        <v>2212</v>
      </c>
      <c r="G14044" s="6">
        <v>59.3</v>
      </c>
      <c r="H14044" s="5">
        <v>5369</v>
      </c>
    </row>
    <row r="14045" spans="2:8" x14ac:dyDescent="0.4">
      <c r="B14045" s="3" t="s">
        <v>7</v>
      </c>
      <c r="C14045" s="3" t="s">
        <v>2213</v>
      </c>
      <c r="D14045" s="4">
        <f>DATE(2003,12,17)</f>
        <v>37972</v>
      </c>
      <c r="E14045" s="5">
        <f t="shared" si="232"/>
        <v>2003</v>
      </c>
      <c r="F14045" s="3" t="s">
        <v>2214</v>
      </c>
      <c r="G14045" s="6">
        <v>108</v>
      </c>
      <c r="H14045" s="5">
        <v>1902</v>
      </c>
    </row>
    <row r="14046" spans="2:8" x14ac:dyDescent="0.4">
      <c r="B14046" s="3" t="s">
        <v>7</v>
      </c>
      <c r="C14046" s="3" t="s">
        <v>2215</v>
      </c>
      <c r="D14046" s="4">
        <f>DATE(2003,1,14)</f>
        <v>37635</v>
      </c>
      <c r="E14046" s="5">
        <f t="shared" si="232"/>
        <v>2003</v>
      </c>
      <c r="F14046" s="3" t="s">
        <v>2216</v>
      </c>
      <c r="G14046" s="6">
        <v>1619.5</v>
      </c>
      <c r="H14046" s="5">
        <v>75</v>
      </c>
    </row>
    <row r="14047" spans="2:8" x14ac:dyDescent="0.4">
      <c r="B14047" s="3" t="s">
        <v>7</v>
      </c>
      <c r="C14047" s="3" t="s">
        <v>2215</v>
      </c>
      <c r="D14047" s="4">
        <f>DATE(2003,3,13)</f>
        <v>37693</v>
      </c>
      <c r="E14047" s="5">
        <f t="shared" si="232"/>
        <v>2003</v>
      </c>
      <c r="F14047" s="3" t="s">
        <v>2216</v>
      </c>
      <c r="G14047" s="6">
        <v>2916.5</v>
      </c>
      <c r="H14047" s="5">
        <v>526</v>
      </c>
    </row>
    <row r="14048" spans="2:8" x14ac:dyDescent="0.4">
      <c r="B14048" t="s">
        <v>7</v>
      </c>
      <c r="C14048" t="s">
        <v>2217</v>
      </c>
      <c r="D14048" s="7">
        <f>DATE(2018,10,30)</f>
        <v>43403</v>
      </c>
      <c r="E14048" s="8">
        <f t="shared" si="232"/>
        <v>2018</v>
      </c>
      <c r="F14048" t="s">
        <v>2218</v>
      </c>
      <c r="G14048" s="9">
        <v>14799.1</v>
      </c>
      <c r="H14048" s="8">
        <v>27369</v>
      </c>
    </row>
    <row r="14049" spans="2:8" x14ac:dyDescent="0.4">
      <c r="B14049" t="s">
        <v>7</v>
      </c>
      <c r="C14049" t="s">
        <v>2217</v>
      </c>
      <c r="D14049" s="7">
        <f>DATE(2018,10,30)</f>
        <v>43403</v>
      </c>
      <c r="E14049" s="8">
        <f t="shared" si="232"/>
        <v>2018</v>
      </c>
      <c r="F14049" t="s">
        <v>2218</v>
      </c>
      <c r="G14049" s="9">
        <v>2529.7600000000002</v>
      </c>
      <c r="H14049" s="8">
        <v>27887</v>
      </c>
    </row>
    <row r="14050" spans="2:8" x14ac:dyDescent="0.4">
      <c r="B14050" t="s">
        <v>7</v>
      </c>
      <c r="C14050" t="s">
        <v>2217</v>
      </c>
      <c r="D14050" s="7">
        <f>DATE(2019,2,4)</f>
        <v>43500</v>
      </c>
      <c r="E14050" s="8">
        <f t="shared" si="232"/>
        <v>2019</v>
      </c>
      <c r="F14050" t="s">
        <v>2218</v>
      </c>
      <c r="G14050" s="9">
        <v>27657.14</v>
      </c>
      <c r="H14050" s="8">
        <v>27896</v>
      </c>
    </row>
    <row r="14051" spans="2:8" x14ac:dyDescent="0.4">
      <c r="B14051" t="s">
        <v>7</v>
      </c>
      <c r="C14051" t="s">
        <v>2217</v>
      </c>
      <c r="D14051" s="7">
        <f>DATE(2018,10,30)</f>
        <v>43403</v>
      </c>
      <c r="E14051" s="8">
        <f t="shared" si="232"/>
        <v>2018</v>
      </c>
      <c r="F14051" t="s">
        <v>2218</v>
      </c>
      <c r="G14051" s="9">
        <v>11528.16</v>
      </c>
      <c r="H14051" s="8">
        <v>27368</v>
      </c>
    </row>
    <row r="14052" spans="2:8" x14ac:dyDescent="0.4">
      <c r="B14052" t="s">
        <v>7</v>
      </c>
      <c r="C14052" t="s">
        <v>2217</v>
      </c>
      <c r="D14052" s="7">
        <f>DATE(2018,10,30)</f>
        <v>43403</v>
      </c>
      <c r="E14052" s="8">
        <f t="shared" si="232"/>
        <v>2018</v>
      </c>
      <c r="F14052" t="s">
        <v>2218</v>
      </c>
      <c r="G14052" s="9">
        <v>1816</v>
      </c>
      <c r="H14052" s="8">
        <v>27888</v>
      </c>
    </row>
    <row r="14053" spans="2:8" x14ac:dyDescent="0.4">
      <c r="B14053" t="s">
        <v>7</v>
      </c>
      <c r="C14053" t="s">
        <v>2217</v>
      </c>
      <c r="D14053" s="7">
        <f>DATE(2019,2,4)</f>
        <v>43500</v>
      </c>
      <c r="E14053" s="8">
        <f t="shared" si="232"/>
        <v>2019</v>
      </c>
      <c r="F14053" t="s">
        <v>2218</v>
      </c>
      <c r="G14053" s="9">
        <v>16631.86</v>
      </c>
      <c r="H14053" s="8">
        <v>27898</v>
      </c>
    </row>
    <row r="14054" spans="2:8" x14ac:dyDescent="0.4">
      <c r="B14054" s="3" t="s">
        <v>7</v>
      </c>
      <c r="C14054" s="3" t="s">
        <v>2217</v>
      </c>
      <c r="D14054" s="4">
        <f>DATE(2013,6,7)</f>
        <v>41432</v>
      </c>
      <c r="E14054" s="5">
        <f t="shared" si="232"/>
        <v>2013</v>
      </c>
      <c r="F14054" s="3" t="s">
        <v>2219</v>
      </c>
      <c r="G14054" s="6">
        <v>9946.57</v>
      </c>
      <c r="H14054" s="5">
        <v>5579</v>
      </c>
    </row>
    <row r="14055" spans="2:8" x14ac:dyDescent="0.4">
      <c r="B14055" s="3" t="s">
        <v>7</v>
      </c>
      <c r="C14055" s="3" t="s">
        <v>2220</v>
      </c>
      <c r="D14055" s="4">
        <f>DATE(2007,5,1)</f>
        <v>39203</v>
      </c>
      <c r="E14055" s="5">
        <f t="shared" si="232"/>
        <v>2007</v>
      </c>
      <c r="F14055" s="3" t="s">
        <v>2221</v>
      </c>
      <c r="G14055" s="6">
        <v>18423.5</v>
      </c>
      <c r="H14055" s="5">
        <v>2027</v>
      </c>
    </row>
    <row r="14056" spans="2:8" x14ac:dyDescent="0.4">
      <c r="B14056" s="3" t="s">
        <v>7</v>
      </c>
      <c r="C14056" s="3" t="s">
        <v>2220</v>
      </c>
      <c r="D14056" s="4">
        <f>DATE(2007,12,18)</f>
        <v>39434</v>
      </c>
      <c r="E14056" s="5">
        <f t="shared" si="232"/>
        <v>2007</v>
      </c>
      <c r="F14056" s="3" t="s">
        <v>2221</v>
      </c>
      <c r="G14056" s="6">
        <v>34663</v>
      </c>
      <c r="H14056" s="5">
        <v>2547</v>
      </c>
    </row>
    <row r="14057" spans="2:8" x14ac:dyDescent="0.4">
      <c r="B14057" s="3" t="s">
        <v>7</v>
      </c>
      <c r="C14057" s="3" t="s">
        <v>2220</v>
      </c>
      <c r="D14057" s="4">
        <f>DATE(2009,3,11)</f>
        <v>39883</v>
      </c>
      <c r="E14057" s="5">
        <f t="shared" si="232"/>
        <v>2009</v>
      </c>
      <c r="F14057" s="3" t="s">
        <v>2221</v>
      </c>
      <c r="G14057" s="6">
        <v>4335.6000000000004</v>
      </c>
      <c r="H14057" s="5">
        <v>3286</v>
      </c>
    </row>
    <row r="14058" spans="2:8" x14ac:dyDescent="0.4">
      <c r="B14058" t="s">
        <v>7</v>
      </c>
      <c r="C14058" t="s">
        <v>2222</v>
      </c>
      <c r="D14058" s="7">
        <f>DATE(2015,11,18)</f>
        <v>42326</v>
      </c>
      <c r="E14058" s="8">
        <f t="shared" si="232"/>
        <v>2015</v>
      </c>
      <c r="F14058" t="s">
        <v>2223</v>
      </c>
      <c r="G14058" s="9">
        <v>15853</v>
      </c>
      <c r="H14058" s="8">
        <v>21333</v>
      </c>
    </row>
    <row r="14059" spans="2:8" x14ac:dyDescent="0.4">
      <c r="B14059" t="s">
        <v>7</v>
      </c>
      <c r="C14059" t="s">
        <v>2220</v>
      </c>
      <c r="D14059" s="7">
        <f>DATE(2016,5,26)</f>
        <v>42516</v>
      </c>
      <c r="E14059" s="8">
        <f t="shared" si="232"/>
        <v>2016</v>
      </c>
      <c r="F14059" t="s">
        <v>2224</v>
      </c>
      <c r="G14059" s="9">
        <v>56358.13</v>
      </c>
      <c r="H14059" s="8">
        <v>22786</v>
      </c>
    </row>
    <row r="14060" spans="2:8" x14ac:dyDescent="0.4">
      <c r="B14060" t="s">
        <v>7</v>
      </c>
      <c r="C14060" t="s">
        <v>2225</v>
      </c>
      <c r="D14060" s="7">
        <f>DATE(2010,5,18)</f>
        <v>40316</v>
      </c>
      <c r="E14060" s="8">
        <f t="shared" si="232"/>
        <v>2010</v>
      </c>
      <c r="F14060" t="s">
        <v>2226</v>
      </c>
      <c r="G14060" s="9">
        <v>31392.31</v>
      </c>
      <c r="H14060" s="8">
        <v>9819</v>
      </c>
    </row>
    <row r="14061" spans="2:8" x14ac:dyDescent="0.4">
      <c r="B14061" t="s">
        <v>7</v>
      </c>
      <c r="C14061" t="s">
        <v>2225</v>
      </c>
      <c r="D14061" s="7">
        <f>DATE(2010,7,27)</f>
        <v>40386</v>
      </c>
      <c r="E14061" s="8">
        <f t="shared" si="232"/>
        <v>2010</v>
      </c>
      <c r="F14061" t="s">
        <v>2226</v>
      </c>
      <c r="G14061" s="9">
        <v>30235.02</v>
      </c>
      <c r="H14061" s="8">
        <v>9988</v>
      </c>
    </row>
    <row r="14062" spans="2:8" x14ac:dyDescent="0.4">
      <c r="B14062" s="3" t="s">
        <v>7</v>
      </c>
      <c r="C14062" s="3" t="s">
        <v>2227</v>
      </c>
      <c r="D14062" s="4">
        <f>DATE(2010,3,9)</f>
        <v>40246</v>
      </c>
      <c r="E14062" s="5">
        <f t="shared" si="232"/>
        <v>2010</v>
      </c>
      <c r="F14062" s="3" t="s">
        <v>2228</v>
      </c>
      <c r="G14062" s="6">
        <v>1749</v>
      </c>
      <c r="H14062" s="5">
        <v>13697</v>
      </c>
    </row>
    <row r="14063" spans="2:8" x14ac:dyDescent="0.4">
      <c r="B14063" s="3" t="s">
        <v>7</v>
      </c>
      <c r="C14063" s="3" t="s">
        <v>2227</v>
      </c>
      <c r="D14063" s="4">
        <f>DATE(2010,11,17)</f>
        <v>40499</v>
      </c>
      <c r="E14063" s="5">
        <f t="shared" si="232"/>
        <v>2010</v>
      </c>
      <c r="F14063" s="3" t="s">
        <v>2228</v>
      </c>
      <c r="G14063" s="6">
        <v>1749</v>
      </c>
      <c r="H14063" s="5">
        <v>14740</v>
      </c>
    </row>
    <row r="14064" spans="2:8" x14ac:dyDescent="0.4">
      <c r="B14064" s="3" t="s">
        <v>7</v>
      </c>
      <c r="C14064" s="3" t="s">
        <v>2227</v>
      </c>
      <c r="D14064" s="4">
        <f>DATE(2011,1,27)</f>
        <v>40570</v>
      </c>
      <c r="E14064" s="5">
        <f t="shared" si="232"/>
        <v>2011</v>
      </c>
      <c r="F14064" s="3" t="s">
        <v>2228</v>
      </c>
      <c r="G14064" s="6">
        <v>1795.75</v>
      </c>
      <c r="H14064" s="5">
        <v>14572</v>
      </c>
    </row>
    <row r="14065" spans="2:8" x14ac:dyDescent="0.4">
      <c r="B14065" s="3" t="s">
        <v>7</v>
      </c>
      <c r="C14065" s="3" t="s">
        <v>2227</v>
      </c>
      <c r="D14065" s="4">
        <f>DATE(2011,2,11)</f>
        <v>40585</v>
      </c>
      <c r="E14065" s="5">
        <f t="shared" si="232"/>
        <v>2011</v>
      </c>
      <c r="F14065" s="3" t="s">
        <v>2228</v>
      </c>
      <c r="G14065" s="6">
        <v>1796.27</v>
      </c>
      <c r="H14065" s="5">
        <v>15060</v>
      </c>
    </row>
    <row r="14066" spans="2:8" x14ac:dyDescent="0.4">
      <c r="B14066" s="3" t="s">
        <v>7</v>
      </c>
      <c r="C14066" s="3" t="s">
        <v>2227</v>
      </c>
      <c r="D14066" s="4">
        <f>DATE(2011,2,23)</f>
        <v>40597</v>
      </c>
      <c r="E14066" s="5">
        <f t="shared" si="232"/>
        <v>2011</v>
      </c>
      <c r="F14066" s="3" t="s">
        <v>2228</v>
      </c>
      <c r="G14066" s="6">
        <v>3586.26</v>
      </c>
      <c r="H14066" s="5">
        <v>15104</v>
      </c>
    </row>
    <row r="14067" spans="2:8" x14ac:dyDescent="0.4">
      <c r="B14067" s="3" t="s">
        <v>7</v>
      </c>
      <c r="C14067" s="3" t="s">
        <v>2227</v>
      </c>
      <c r="D14067" s="4">
        <f>DATE(2011,8,8)</f>
        <v>40763</v>
      </c>
      <c r="E14067" s="5">
        <f t="shared" si="232"/>
        <v>2011</v>
      </c>
      <c r="F14067" s="3" t="s">
        <v>2228</v>
      </c>
      <c r="G14067" s="6">
        <v>3077.94</v>
      </c>
      <c r="H14067" s="5">
        <v>15836</v>
      </c>
    </row>
    <row r="14068" spans="2:8" x14ac:dyDescent="0.4">
      <c r="B14068" s="3" t="s">
        <v>7</v>
      </c>
      <c r="C14068" s="3" t="s">
        <v>2229</v>
      </c>
      <c r="D14068" s="4">
        <f>DATE(2013,5,7)</f>
        <v>41401</v>
      </c>
      <c r="E14068" s="5">
        <f t="shared" si="232"/>
        <v>2013</v>
      </c>
      <c r="F14068" s="3" t="s">
        <v>2230</v>
      </c>
      <c r="G14068" s="6">
        <v>44696.06</v>
      </c>
      <c r="H14068" s="5">
        <v>5493</v>
      </c>
    </row>
    <row r="14069" spans="2:8" x14ac:dyDescent="0.4">
      <c r="B14069" s="3" t="s">
        <v>7</v>
      </c>
      <c r="C14069" s="3" t="s">
        <v>2220</v>
      </c>
      <c r="D14069" s="4">
        <f>DATE(2005,8,5)</f>
        <v>38569</v>
      </c>
      <c r="E14069" s="5">
        <f t="shared" si="232"/>
        <v>2005</v>
      </c>
      <c r="F14069" s="3" t="s">
        <v>2231</v>
      </c>
      <c r="G14069" s="6">
        <v>26643.4</v>
      </c>
      <c r="H14069" s="5">
        <v>1151</v>
      </c>
    </row>
    <row r="14070" spans="2:8" x14ac:dyDescent="0.4">
      <c r="B14070" s="3" t="s">
        <v>7</v>
      </c>
      <c r="C14070" s="3" t="s">
        <v>2220</v>
      </c>
      <c r="D14070" s="4">
        <f>DATE(2006,3,26)</f>
        <v>38802</v>
      </c>
      <c r="E14070" s="5">
        <f t="shared" si="232"/>
        <v>2006</v>
      </c>
      <c r="F14070" s="3" t="s">
        <v>2231</v>
      </c>
      <c r="G14070" s="6">
        <v>13459.2</v>
      </c>
      <c r="H14070" s="5">
        <v>1497</v>
      </c>
    </row>
    <row r="14071" spans="2:8" x14ac:dyDescent="0.4">
      <c r="B14071" t="s">
        <v>7</v>
      </c>
      <c r="C14071" t="s">
        <v>2232</v>
      </c>
      <c r="D14071" s="7">
        <f>DATE(2017,2,20)</f>
        <v>42786</v>
      </c>
      <c r="E14071" s="8">
        <f t="shared" si="232"/>
        <v>2017</v>
      </c>
      <c r="F14071" t="s">
        <v>2233</v>
      </c>
      <c r="G14071" s="9">
        <v>42759.99</v>
      </c>
      <c r="H14071" s="8">
        <v>24183</v>
      </c>
    </row>
    <row r="14072" spans="2:8" x14ac:dyDescent="0.4">
      <c r="B14072" t="s">
        <v>7</v>
      </c>
      <c r="C14072" t="s">
        <v>2234</v>
      </c>
      <c r="D14072" s="7">
        <f>DATE(2011,5,5)</f>
        <v>40668</v>
      </c>
      <c r="E14072" s="8">
        <f t="shared" si="232"/>
        <v>2011</v>
      </c>
      <c r="F14072" t="s">
        <v>2235</v>
      </c>
      <c r="G14072" s="9">
        <v>17035.43</v>
      </c>
      <c r="H14072" s="8">
        <v>10656</v>
      </c>
    </row>
    <row r="14073" spans="2:8" x14ac:dyDescent="0.4">
      <c r="B14073" s="3" t="s">
        <v>7</v>
      </c>
      <c r="C14073" s="3" t="s">
        <v>2236</v>
      </c>
      <c r="D14073" s="4">
        <f>DATE(2005,6,1)</f>
        <v>38504</v>
      </c>
      <c r="E14073" s="5">
        <f t="shared" si="232"/>
        <v>2005</v>
      </c>
      <c r="F14073" s="3" t="s">
        <v>2237</v>
      </c>
      <c r="G14073" s="6">
        <v>1267</v>
      </c>
      <c r="H14073" s="5">
        <v>4820</v>
      </c>
    </row>
    <row r="14074" spans="2:8" x14ac:dyDescent="0.4">
      <c r="B14074" s="3" t="s">
        <v>7</v>
      </c>
      <c r="C14074" s="3" t="s">
        <v>2236</v>
      </c>
      <c r="D14074" s="4">
        <f>DATE(2006,7,10)</f>
        <v>38908</v>
      </c>
      <c r="E14074" s="5">
        <f t="shared" si="232"/>
        <v>2006</v>
      </c>
      <c r="F14074" s="3" t="s">
        <v>2237</v>
      </c>
      <c r="G14074" s="6">
        <v>668.25</v>
      </c>
      <c r="H14074" s="5">
        <v>6939</v>
      </c>
    </row>
    <row r="14075" spans="2:8" x14ac:dyDescent="0.4">
      <c r="B14075" s="3" t="s">
        <v>7</v>
      </c>
      <c r="C14075" s="3" t="s">
        <v>2236</v>
      </c>
      <c r="D14075" s="4">
        <f>DATE(2006,8,29)</f>
        <v>38958</v>
      </c>
      <c r="E14075" s="5">
        <f t="shared" si="232"/>
        <v>2006</v>
      </c>
      <c r="F14075" s="3" t="s">
        <v>2237</v>
      </c>
      <c r="G14075" s="6">
        <v>668.25</v>
      </c>
      <c r="H14075" s="5">
        <v>7159</v>
      </c>
    </row>
    <row r="14076" spans="2:8" x14ac:dyDescent="0.4">
      <c r="B14076" s="3" t="s">
        <v>7</v>
      </c>
      <c r="C14076" s="3" t="s">
        <v>2236</v>
      </c>
      <c r="D14076" s="4">
        <f>DATE(2008,12,9)</f>
        <v>39791</v>
      </c>
      <c r="E14076" s="5">
        <f t="shared" si="232"/>
        <v>2008</v>
      </c>
      <c r="F14076" s="3" t="s">
        <v>2237</v>
      </c>
      <c r="G14076" s="6">
        <v>669.25</v>
      </c>
      <c r="H14076" s="5">
        <v>11660</v>
      </c>
    </row>
    <row r="14077" spans="2:8" x14ac:dyDescent="0.4">
      <c r="B14077" s="3" t="s">
        <v>7</v>
      </c>
      <c r="C14077" s="3" t="s">
        <v>2236</v>
      </c>
      <c r="D14077" s="4">
        <f>DATE(2013,6,7)</f>
        <v>41432</v>
      </c>
      <c r="E14077" s="5">
        <f t="shared" si="232"/>
        <v>2013</v>
      </c>
      <c r="F14077" s="3" t="s">
        <v>2237</v>
      </c>
      <c r="G14077" s="6">
        <v>1337.5</v>
      </c>
      <c r="H14077" s="5">
        <v>18650</v>
      </c>
    </row>
    <row r="14078" spans="2:8" x14ac:dyDescent="0.4">
      <c r="B14078" t="s">
        <v>7</v>
      </c>
      <c r="C14078" t="s">
        <v>2238</v>
      </c>
      <c r="D14078" s="7">
        <f>DATE(2006,2,7)</f>
        <v>38755</v>
      </c>
      <c r="E14078" s="8">
        <f t="shared" si="232"/>
        <v>2006</v>
      </c>
      <c r="F14078" t="s">
        <v>2239</v>
      </c>
      <c r="G14078" s="9">
        <v>735</v>
      </c>
      <c r="H14078" s="8">
        <v>4106</v>
      </c>
    </row>
    <row r="14079" spans="2:8" x14ac:dyDescent="0.4">
      <c r="B14079" s="3" t="s">
        <v>7</v>
      </c>
      <c r="C14079" s="3" t="s">
        <v>2238</v>
      </c>
      <c r="D14079" s="4">
        <f>DATE(2005,3,28)</f>
        <v>38439</v>
      </c>
      <c r="E14079" s="5">
        <f t="shared" si="232"/>
        <v>2005</v>
      </c>
      <c r="F14079" s="3" t="s">
        <v>2239</v>
      </c>
      <c r="G14079" s="6">
        <v>312</v>
      </c>
      <c r="H14079" s="5">
        <v>4418</v>
      </c>
    </row>
    <row r="14080" spans="2:8" x14ac:dyDescent="0.4">
      <c r="B14080" t="s">
        <v>7</v>
      </c>
      <c r="C14080" t="s">
        <v>2238</v>
      </c>
      <c r="D14080" s="7">
        <f>DATE(2016,4,26)</f>
        <v>42486</v>
      </c>
      <c r="E14080" s="8">
        <f t="shared" si="232"/>
        <v>2016</v>
      </c>
      <c r="F14080" t="s">
        <v>2240</v>
      </c>
      <c r="G14080" s="9">
        <v>26364.52</v>
      </c>
      <c r="H14080" s="8">
        <v>22166</v>
      </c>
    </row>
    <row r="14081" spans="2:8" x14ac:dyDescent="0.4">
      <c r="B14081" t="s">
        <v>7</v>
      </c>
      <c r="C14081" t="s">
        <v>2238</v>
      </c>
      <c r="D14081" s="7">
        <f>DATE(2017,3,31)</f>
        <v>42825</v>
      </c>
      <c r="E14081" s="8">
        <f t="shared" si="232"/>
        <v>2017</v>
      </c>
      <c r="F14081" t="s">
        <v>2240</v>
      </c>
      <c r="G14081" s="9">
        <v>20498.919999999998</v>
      </c>
      <c r="H14081" s="8">
        <v>24190</v>
      </c>
    </row>
    <row r="14082" spans="2:8" x14ac:dyDescent="0.4">
      <c r="B14082" s="3" t="s">
        <v>7</v>
      </c>
      <c r="C14082" s="3" t="s">
        <v>2238</v>
      </c>
      <c r="D14082" s="4">
        <f>DATE(2004,3,12)</f>
        <v>38058</v>
      </c>
      <c r="E14082" s="5">
        <f t="shared" si="232"/>
        <v>2004</v>
      </c>
      <c r="F14082" s="3" t="s">
        <v>2240</v>
      </c>
      <c r="G14082" s="6">
        <v>66.45</v>
      </c>
      <c r="H14082" s="5">
        <v>2380</v>
      </c>
    </row>
    <row r="14083" spans="2:8" x14ac:dyDescent="0.4">
      <c r="B14083" s="3" t="s">
        <v>7</v>
      </c>
      <c r="C14083" s="3" t="s">
        <v>2238</v>
      </c>
      <c r="D14083" s="4">
        <f>DATE(2007,4,20)</f>
        <v>39192</v>
      </c>
      <c r="E14083" s="5">
        <f t="shared" ref="E14083:E14146" si="233">YEAR(D14083)</f>
        <v>2007</v>
      </c>
      <c r="F14083" s="3" t="s">
        <v>2240</v>
      </c>
      <c r="G14083" s="6">
        <v>3963.68</v>
      </c>
      <c r="H14083" s="5">
        <v>8417</v>
      </c>
    </row>
    <row r="14084" spans="2:8" x14ac:dyDescent="0.4">
      <c r="B14084" s="3" t="s">
        <v>7</v>
      </c>
      <c r="C14084" s="3" t="s">
        <v>2238</v>
      </c>
      <c r="D14084" s="4">
        <f>DATE(2008,4,29)</f>
        <v>39567</v>
      </c>
      <c r="E14084" s="5">
        <f t="shared" si="233"/>
        <v>2008</v>
      </c>
      <c r="F14084" s="3" t="s">
        <v>2240</v>
      </c>
      <c r="G14084" s="6">
        <v>2305</v>
      </c>
      <c r="H14084" s="5">
        <v>10549</v>
      </c>
    </row>
    <row r="14085" spans="2:8" x14ac:dyDescent="0.4">
      <c r="B14085" t="s">
        <v>7</v>
      </c>
      <c r="C14085" t="s">
        <v>2241</v>
      </c>
      <c r="D14085" s="7">
        <f>DATE(2019,1,14)</f>
        <v>43479</v>
      </c>
      <c r="E14085" s="8">
        <f t="shared" si="233"/>
        <v>2019</v>
      </c>
      <c r="F14085" t="s">
        <v>2242</v>
      </c>
      <c r="G14085" s="9">
        <v>5522.24</v>
      </c>
      <c r="H14085" s="8">
        <v>26617</v>
      </c>
    </row>
    <row r="14086" spans="2:8" x14ac:dyDescent="0.4">
      <c r="B14086" t="s">
        <v>7</v>
      </c>
      <c r="C14086" t="s">
        <v>2241</v>
      </c>
      <c r="D14086" s="7">
        <f>DATE(2008,3,18)</f>
        <v>39525</v>
      </c>
      <c r="E14086" s="8">
        <f t="shared" si="233"/>
        <v>2008</v>
      </c>
      <c r="F14086" t="s">
        <v>2242</v>
      </c>
      <c r="G14086" s="9">
        <v>12918</v>
      </c>
      <c r="H14086" s="8">
        <v>6622</v>
      </c>
    </row>
    <row r="14087" spans="2:8" x14ac:dyDescent="0.4">
      <c r="B14087" t="s">
        <v>7</v>
      </c>
      <c r="C14087" t="s">
        <v>2241</v>
      </c>
      <c r="D14087" s="7">
        <f>DATE(2013,6,5)</f>
        <v>41430</v>
      </c>
      <c r="E14087" s="8">
        <f t="shared" si="233"/>
        <v>2013</v>
      </c>
      <c r="F14087" t="s">
        <v>2242</v>
      </c>
      <c r="G14087" s="9">
        <v>4524.12</v>
      </c>
      <c r="H14087" s="8">
        <v>12479</v>
      </c>
    </row>
    <row r="14088" spans="2:8" x14ac:dyDescent="0.4">
      <c r="B14088" s="3" t="s">
        <v>7</v>
      </c>
      <c r="C14088" s="3" t="s">
        <v>2243</v>
      </c>
      <c r="D14088" s="4">
        <f>DATE(2013,7,10)</f>
        <v>41465</v>
      </c>
      <c r="E14088" s="5">
        <f t="shared" si="233"/>
        <v>2013</v>
      </c>
      <c r="F14088" s="3" t="s">
        <v>2244</v>
      </c>
      <c r="G14088" s="6">
        <v>5910.12</v>
      </c>
      <c r="H14088" s="5">
        <v>5592</v>
      </c>
    </row>
    <row r="14089" spans="2:8" x14ac:dyDescent="0.4">
      <c r="B14089" s="3" t="s">
        <v>7</v>
      </c>
      <c r="C14089" s="3" t="s">
        <v>2243</v>
      </c>
      <c r="D14089" s="4">
        <f>DATE(2013,7,9)</f>
        <v>41464</v>
      </c>
      <c r="E14089" s="5">
        <f t="shared" si="233"/>
        <v>2013</v>
      </c>
      <c r="F14089" s="3" t="s">
        <v>2244</v>
      </c>
      <c r="G14089" s="6">
        <v>11463.65</v>
      </c>
      <c r="H14089" s="5">
        <v>5591</v>
      </c>
    </row>
    <row r="14090" spans="2:8" x14ac:dyDescent="0.4">
      <c r="B14090" s="3" t="s">
        <v>7</v>
      </c>
      <c r="C14090" s="3" t="s">
        <v>2245</v>
      </c>
      <c r="D14090" s="4">
        <f>DATE(2013,4,23)</f>
        <v>41387</v>
      </c>
      <c r="E14090" s="5">
        <f t="shared" si="233"/>
        <v>2013</v>
      </c>
      <c r="F14090" s="3" t="s">
        <v>2246</v>
      </c>
      <c r="G14090" s="6">
        <v>4680.09</v>
      </c>
      <c r="H14090" s="5">
        <v>5501</v>
      </c>
    </row>
    <row r="14091" spans="2:8" x14ac:dyDescent="0.4">
      <c r="B14091" s="3" t="s">
        <v>7</v>
      </c>
      <c r="C14091" s="3" t="s">
        <v>2245</v>
      </c>
      <c r="D14091" s="4">
        <f>DATE(2013,4,23)</f>
        <v>41387</v>
      </c>
      <c r="E14091" s="5">
        <f t="shared" si="233"/>
        <v>2013</v>
      </c>
      <c r="F14091" s="3" t="s">
        <v>2246</v>
      </c>
      <c r="G14091" s="6">
        <v>4902.3599999999997</v>
      </c>
      <c r="H14091" s="5">
        <v>5500</v>
      </c>
    </row>
    <row r="14092" spans="2:8" x14ac:dyDescent="0.4">
      <c r="B14092" s="3" t="s">
        <v>7</v>
      </c>
      <c r="C14092" s="3" t="s">
        <v>2245</v>
      </c>
      <c r="D14092" s="4">
        <f>DATE(2014,3,7)</f>
        <v>41705</v>
      </c>
      <c r="E14092" s="5">
        <f t="shared" si="233"/>
        <v>2014</v>
      </c>
      <c r="F14092" s="3" t="s">
        <v>2247</v>
      </c>
      <c r="G14092" s="6">
        <v>10529.9</v>
      </c>
      <c r="H14092" s="5">
        <v>6042</v>
      </c>
    </row>
    <row r="14093" spans="2:8" x14ac:dyDescent="0.4">
      <c r="B14093" s="3" t="s">
        <v>16</v>
      </c>
      <c r="C14093" s="3" t="s">
        <v>2245</v>
      </c>
      <c r="D14093" s="4">
        <f>DATE(2014,8,4)</f>
        <v>41855</v>
      </c>
      <c r="E14093" s="5">
        <f t="shared" si="233"/>
        <v>2014</v>
      </c>
      <c r="F14093" s="3" t="s">
        <v>2247</v>
      </c>
      <c r="G14093" s="6">
        <v>1014.9</v>
      </c>
      <c r="H14093" s="5">
        <v>6316</v>
      </c>
    </row>
    <row r="14094" spans="2:8" x14ac:dyDescent="0.4">
      <c r="B14094" s="3" t="s">
        <v>7</v>
      </c>
      <c r="C14094" s="3" t="s">
        <v>2248</v>
      </c>
      <c r="D14094" s="4">
        <f>DATE(2008,3,21)</f>
        <v>39528</v>
      </c>
      <c r="E14094" s="5">
        <f t="shared" si="233"/>
        <v>2008</v>
      </c>
      <c r="F14094" s="3" t="s">
        <v>2249</v>
      </c>
      <c r="G14094" s="6">
        <v>745.39</v>
      </c>
      <c r="H14094" s="5">
        <v>2729</v>
      </c>
    </row>
    <row r="14095" spans="2:8" x14ac:dyDescent="0.4">
      <c r="B14095" s="3" t="s">
        <v>7</v>
      </c>
      <c r="C14095" s="3" t="s">
        <v>2250</v>
      </c>
      <c r="D14095" s="4">
        <f>DATE(2012,5,30)</f>
        <v>41059</v>
      </c>
      <c r="E14095" s="5">
        <f t="shared" si="233"/>
        <v>2012</v>
      </c>
      <c r="F14095" s="3" t="s">
        <v>2251</v>
      </c>
      <c r="G14095" s="6">
        <v>832</v>
      </c>
      <c r="H14095" s="5">
        <v>17199</v>
      </c>
    </row>
    <row r="14096" spans="2:8" x14ac:dyDescent="0.4">
      <c r="B14096" s="3" t="s">
        <v>7</v>
      </c>
      <c r="C14096" s="3" t="s">
        <v>2250</v>
      </c>
      <c r="D14096" s="4">
        <f>DATE(2012,12,14)</f>
        <v>41257</v>
      </c>
      <c r="E14096" s="5">
        <f t="shared" si="233"/>
        <v>2012</v>
      </c>
      <c r="F14096" s="3" t="s">
        <v>2251</v>
      </c>
      <c r="G14096" s="6">
        <v>11480</v>
      </c>
      <c r="H14096" s="5">
        <v>17905</v>
      </c>
    </row>
    <row r="14097" spans="2:8" x14ac:dyDescent="0.4">
      <c r="B14097" s="3" t="s">
        <v>7</v>
      </c>
      <c r="C14097" s="3" t="s">
        <v>2252</v>
      </c>
      <c r="D14097" s="4">
        <f>DATE(2008,9,1)</f>
        <v>39692</v>
      </c>
      <c r="E14097" s="5">
        <f t="shared" si="233"/>
        <v>2008</v>
      </c>
      <c r="F14097" s="3" t="s">
        <v>2253</v>
      </c>
      <c r="G14097" s="6">
        <v>7537.5</v>
      </c>
      <c r="H14097" s="5">
        <v>2882</v>
      </c>
    </row>
    <row r="14098" spans="2:8" x14ac:dyDescent="0.4">
      <c r="B14098" t="s">
        <v>7</v>
      </c>
      <c r="C14098" t="s">
        <v>2254</v>
      </c>
      <c r="D14098" s="7">
        <f>DATE(2015,12,15)</f>
        <v>42353</v>
      </c>
      <c r="E14098" s="8">
        <f t="shared" si="233"/>
        <v>2015</v>
      </c>
      <c r="F14098" t="s">
        <v>2255</v>
      </c>
      <c r="G14098" s="9">
        <v>19166</v>
      </c>
      <c r="H14098" s="8">
        <v>21716</v>
      </c>
    </row>
    <row r="14099" spans="2:8" x14ac:dyDescent="0.4">
      <c r="B14099" s="3" t="s">
        <v>7</v>
      </c>
      <c r="C14099" s="3" t="s">
        <v>2254</v>
      </c>
      <c r="D14099" s="4">
        <f>DATE(2013,7,31)</f>
        <v>41486</v>
      </c>
      <c r="E14099" s="5">
        <f t="shared" si="233"/>
        <v>2013</v>
      </c>
      <c r="F14099" s="3" t="s">
        <v>2255</v>
      </c>
      <c r="G14099" s="6">
        <v>12799.65</v>
      </c>
      <c r="H14099" s="5">
        <v>5681</v>
      </c>
    </row>
    <row r="14100" spans="2:8" x14ac:dyDescent="0.4">
      <c r="B14100" s="3" t="s">
        <v>7</v>
      </c>
      <c r="C14100" s="3" t="s">
        <v>2254</v>
      </c>
      <c r="D14100" s="4">
        <f>DATE(2013,9,10)</f>
        <v>41527</v>
      </c>
      <c r="E14100" s="5">
        <f t="shared" si="233"/>
        <v>2013</v>
      </c>
      <c r="F14100" s="3" t="s">
        <v>2255</v>
      </c>
      <c r="G14100" s="6">
        <v>3525.33</v>
      </c>
      <c r="H14100" s="5">
        <v>5699</v>
      </c>
    </row>
    <row r="14101" spans="2:8" x14ac:dyDescent="0.4">
      <c r="B14101" s="3" t="s">
        <v>7</v>
      </c>
      <c r="C14101" s="3" t="s">
        <v>2254</v>
      </c>
      <c r="D14101" s="4">
        <f>DATE(2013,12,18)</f>
        <v>41626</v>
      </c>
      <c r="E14101" s="5">
        <f t="shared" si="233"/>
        <v>2013</v>
      </c>
      <c r="F14101" s="3" t="s">
        <v>2255</v>
      </c>
      <c r="G14101" s="6">
        <v>9839.07</v>
      </c>
      <c r="H14101" s="5">
        <v>5877</v>
      </c>
    </row>
    <row r="14102" spans="2:8" x14ac:dyDescent="0.4">
      <c r="B14102" s="3" t="s">
        <v>7</v>
      </c>
      <c r="C14102" s="3" t="s">
        <v>2254</v>
      </c>
      <c r="D14102" s="4">
        <f>DATE(2014,6,13)</f>
        <v>41803</v>
      </c>
      <c r="E14102" s="5">
        <f t="shared" si="233"/>
        <v>2014</v>
      </c>
      <c r="F14102" s="3" t="s">
        <v>2255</v>
      </c>
      <c r="G14102" s="6">
        <v>7455.51</v>
      </c>
      <c r="H14102" s="5">
        <v>6147</v>
      </c>
    </row>
    <row r="14103" spans="2:8" x14ac:dyDescent="0.4">
      <c r="B14103" s="3" t="s">
        <v>7</v>
      </c>
      <c r="C14103" s="3" t="s">
        <v>2254</v>
      </c>
      <c r="D14103" s="4">
        <f>DATE(2014,11,17)</f>
        <v>41960</v>
      </c>
      <c r="E14103" s="5">
        <f t="shared" si="233"/>
        <v>2014</v>
      </c>
      <c r="F14103" s="3" t="s">
        <v>2255</v>
      </c>
      <c r="G14103" s="6">
        <v>14241.55</v>
      </c>
      <c r="H14103" s="5">
        <v>6324</v>
      </c>
    </row>
    <row r="14104" spans="2:8" x14ac:dyDescent="0.4">
      <c r="B14104" s="3" t="s">
        <v>7</v>
      </c>
      <c r="C14104" s="3" t="s">
        <v>2254</v>
      </c>
      <c r="D14104" s="4">
        <f>DATE(2014,11,17)</f>
        <v>41960</v>
      </c>
      <c r="E14104" s="5">
        <f t="shared" si="233"/>
        <v>2014</v>
      </c>
      <c r="F14104" s="3" t="s">
        <v>2255</v>
      </c>
      <c r="G14104" s="6">
        <v>25227.919999999998</v>
      </c>
      <c r="H14104" s="5">
        <v>6014</v>
      </c>
    </row>
    <row r="14105" spans="2:8" x14ac:dyDescent="0.4">
      <c r="B14105" s="3" t="s">
        <v>7</v>
      </c>
      <c r="C14105" s="3" t="s">
        <v>2256</v>
      </c>
      <c r="D14105" s="4">
        <f>DATE(2014,9,17)</f>
        <v>41899</v>
      </c>
      <c r="E14105" s="5">
        <f t="shared" si="233"/>
        <v>2014</v>
      </c>
      <c r="F14105" s="3" t="s">
        <v>2257</v>
      </c>
      <c r="G14105" s="6">
        <v>59.32</v>
      </c>
      <c r="H14105" s="5">
        <v>20390</v>
      </c>
    </row>
    <row r="14106" spans="2:8" x14ac:dyDescent="0.4">
      <c r="B14106" t="s">
        <v>7</v>
      </c>
      <c r="C14106" t="s">
        <v>2258</v>
      </c>
      <c r="D14106" s="7">
        <f>DATE(2008,11,9)</f>
        <v>39761</v>
      </c>
      <c r="E14106" s="8">
        <f t="shared" si="233"/>
        <v>2008</v>
      </c>
      <c r="F14106" t="s">
        <v>2259</v>
      </c>
      <c r="G14106" s="9">
        <v>30050</v>
      </c>
      <c r="H14106" s="8">
        <v>7953</v>
      </c>
    </row>
    <row r="14107" spans="2:8" x14ac:dyDescent="0.4">
      <c r="B14107" s="3" t="s">
        <v>7</v>
      </c>
      <c r="C14107" s="3" t="s">
        <v>2258</v>
      </c>
      <c r="D14107" s="4">
        <f>DATE(2007,6,11)</f>
        <v>39244</v>
      </c>
      <c r="E14107" s="5">
        <f t="shared" si="233"/>
        <v>2007</v>
      </c>
      <c r="F14107" s="3" t="s">
        <v>2259</v>
      </c>
      <c r="G14107" s="6">
        <v>148.75</v>
      </c>
      <c r="H14107" s="5">
        <v>8738</v>
      </c>
    </row>
    <row r="14108" spans="2:8" x14ac:dyDescent="0.4">
      <c r="B14108" s="3" t="s">
        <v>7</v>
      </c>
      <c r="C14108" s="3" t="s">
        <v>2258</v>
      </c>
      <c r="D14108" s="4">
        <f>DATE(2007,8,2)</f>
        <v>39296</v>
      </c>
      <c r="E14108" s="5">
        <f t="shared" si="233"/>
        <v>2007</v>
      </c>
      <c r="F14108" s="3" t="s">
        <v>2259</v>
      </c>
      <c r="G14108" s="6">
        <v>261.3</v>
      </c>
      <c r="H14108" s="5">
        <v>8972</v>
      </c>
    </row>
    <row r="14109" spans="2:8" x14ac:dyDescent="0.4">
      <c r="B14109" t="s">
        <v>7</v>
      </c>
      <c r="C14109" t="s">
        <v>2260</v>
      </c>
      <c r="D14109" s="7">
        <f>DATE(2005,6,21)</f>
        <v>38524</v>
      </c>
      <c r="E14109" s="8">
        <f t="shared" si="233"/>
        <v>2005</v>
      </c>
      <c r="F14109" t="s">
        <v>2261</v>
      </c>
      <c r="G14109" s="9">
        <v>61</v>
      </c>
      <c r="H14109" s="8">
        <v>3310</v>
      </c>
    </row>
    <row r="14110" spans="2:8" x14ac:dyDescent="0.4">
      <c r="B14110" t="s">
        <v>7</v>
      </c>
      <c r="C14110" t="s">
        <v>2260</v>
      </c>
      <c r="D14110" s="7">
        <f>DATE(2003,1,29)</f>
        <v>37650</v>
      </c>
      <c r="E14110" s="8">
        <f t="shared" si="233"/>
        <v>2003</v>
      </c>
      <c r="F14110" t="s">
        <v>2261</v>
      </c>
      <c r="G14110" s="9">
        <v>4752.5</v>
      </c>
      <c r="H14110" s="8">
        <v>142</v>
      </c>
    </row>
    <row r="14111" spans="2:8" x14ac:dyDescent="0.4">
      <c r="B14111" t="s">
        <v>7</v>
      </c>
      <c r="C14111" t="s">
        <v>2260</v>
      </c>
      <c r="D14111" s="7">
        <f>DATE(2004,2,10)</f>
        <v>38027</v>
      </c>
      <c r="E14111" s="8">
        <f t="shared" si="233"/>
        <v>2004</v>
      </c>
      <c r="F14111" t="s">
        <v>2261</v>
      </c>
      <c r="G14111" s="9">
        <v>2043.74</v>
      </c>
      <c r="H14111" s="8">
        <v>1192</v>
      </c>
    </row>
    <row r="14112" spans="2:8" x14ac:dyDescent="0.4">
      <c r="B14112" t="s">
        <v>7</v>
      </c>
      <c r="C14112" t="s">
        <v>2260</v>
      </c>
      <c r="D14112" s="7">
        <f>DATE(2004,2,13)</f>
        <v>38030</v>
      </c>
      <c r="E14112" s="8">
        <f t="shared" si="233"/>
        <v>2004</v>
      </c>
      <c r="F14112" t="s">
        <v>2261</v>
      </c>
      <c r="G14112" s="9">
        <v>20589.02</v>
      </c>
      <c r="H14112" s="8">
        <v>1210</v>
      </c>
    </row>
    <row r="14113" spans="2:8" x14ac:dyDescent="0.4">
      <c r="B14113" t="s">
        <v>7</v>
      </c>
      <c r="C14113" t="s">
        <v>2260</v>
      </c>
      <c r="D14113" s="7">
        <f>DATE(2006,3,4)</f>
        <v>38780</v>
      </c>
      <c r="E14113" s="8">
        <f t="shared" si="233"/>
        <v>2006</v>
      </c>
      <c r="F14113" t="s">
        <v>2261</v>
      </c>
      <c r="G14113" s="9">
        <v>7662.95</v>
      </c>
      <c r="H14113" s="8">
        <v>4239</v>
      </c>
    </row>
    <row r="14114" spans="2:8" x14ac:dyDescent="0.4">
      <c r="B14114" t="s">
        <v>7</v>
      </c>
      <c r="C14114" t="s">
        <v>2260</v>
      </c>
      <c r="D14114" s="7">
        <f>DATE(2006,3,4)</f>
        <v>38780</v>
      </c>
      <c r="E14114" s="8">
        <f t="shared" si="233"/>
        <v>2006</v>
      </c>
      <c r="F14114" t="s">
        <v>2261</v>
      </c>
      <c r="G14114" s="9">
        <v>5862.95</v>
      </c>
      <c r="H14114" s="8">
        <v>4394</v>
      </c>
    </row>
    <row r="14115" spans="2:8" x14ac:dyDescent="0.4">
      <c r="B14115" t="s">
        <v>7</v>
      </c>
      <c r="C14115" t="s">
        <v>2260</v>
      </c>
      <c r="D14115" s="7">
        <f>DATE(2006,11,21)</f>
        <v>39042</v>
      </c>
      <c r="E14115" s="8">
        <f t="shared" si="233"/>
        <v>2006</v>
      </c>
      <c r="F14115" t="s">
        <v>2261</v>
      </c>
      <c r="G14115" s="9">
        <v>25221.119999999999</v>
      </c>
      <c r="H14115" s="8">
        <v>5191</v>
      </c>
    </row>
    <row r="14116" spans="2:8" x14ac:dyDescent="0.4">
      <c r="B14116" t="s">
        <v>7</v>
      </c>
      <c r="C14116" t="s">
        <v>2260</v>
      </c>
      <c r="D14116" s="7">
        <f>DATE(2006,12,22)</f>
        <v>39073</v>
      </c>
      <c r="E14116" s="8">
        <f t="shared" si="233"/>
        <v>2006</v>
      </c>
      <c r="F14116" t="s">
        <v>2261</v>
      </c>
      <c r="G14116" s="9">
        <v>13610.7</v>
      </c>
      <c r="H14116" s="8">
        <v>5288</v>
      </c>
    </row>
    <row r="14117" spans="2:8" x14ac:dyDescent="0.4">
      <c r="B14117" t="s">
        <v>7</v>
      </c>
      <c r="C14117" t="s">
        <v>2260</v>
      </c>
      <c r="D14117" s="7">
        <f>DATE(2007,2,28)</f>
        <v>39141</v>
      </c>
      <c r="E14117" s="8">
        <f t="shared" si="233"/>
        <v>2007</v>
      </c>
      <c r="F14117" t="s">
        <v>2261</v>
      </c>
      <c r="G14117" s="9">
        <v>18000.349999999999</v>
      </c>
      <c r="H14117" s="8">
        <v>5474</v>
      </c>
    </row>
    <row r="14118" spans="2:8" x14ac:dyDescent="0.4">
      <c r="B14118" t="s">
        <v>7</v>
      </c>
      <c r="C14118" t="s">
        <v>2260</v>
      </c>
      <c r="D14118" s="7">
        <f>DATE(2007,4,1)</f>
        <v>39173</v>
      </c>
      <c r="E14118" s="8">
        <f t="shared" si="233"/>
        <v>2007</v>
      </c>
      <c r="F14118" t="s">
        <v>2261</v>
      </c>
      <c r="G14118" s="9">
        <v>7352.51</v>
      </c>
      <c r="H14118" s="8">
        <v>5755</v>
      </c>
    </row>
    <row r="14119" spans="2:8" x14ac:dyDescent="0.4">
      <c r="B14119" t="s">
        <v>7</v>
      </c>
      <c r="C14119" t="s">
        <v>2260</v>
      </c>
      <c r="D14119" s="7">
        <f>DATE(2008,5,13)</f>
        <v>39581</v>
      </c>
      <c r="E14119" s="8">
        <f t="shared" si="233"/>
        <v>2008</v>
      </c>
      <c r="F14119" t="s">
        <v>2261</v>
      </c>
      <c r="G14119" s="9">
        <v>4870.82</v>
      </c>
      <c r="H14119" s="8">
        <v>7426</v>
      </c>
    </row>
    <row r="14120" spans="2:8" x14ac:dyDescent="0.4">
      <c r="B14120" t="s">
        <v>16</v>
      </c>
      <c r="C14120" t="s">
        <v>2260</v>
      </c>
      <c r="D14120" s="7">
        <f>DATE(2006,3,4)</f>
        <v>38780</v>
      </c>
      <c r="E14120" s="8">
        <f t="shared" si="233"/>
        <v>2006</v>
      </c>
      <c r="F14120" t="s">
        <v>2261</v>
      </c>
      <c r="G14120" s="9">
        <v>7662.95</v>
      </c>
      <c r="H14120" s="8">
        <v>4393</v>
      </c>
    </row>
    <row r="14121" spans="2:8" x14ac:dyDescent="0.4">
      <c r="B14121" s="3" t="s">
        <v>7</v>
      </c>
      <c r="C14121" s="3" t="s">
        <v>2260</v>
      </c>
      <c r="D14121" s="4">
        <f>DATE(2007,3,7)</f>
        <v>39148</v>
      </c>
      <c r="E14121" s="5">
        <f t="shared" si="233"/>
        <v>2007</v>
      </c>
      <c r="F14121" s="3" t="s">
        <v>2261</v>
      </c>
      <c r="G14121" s="6">
        <v>512.83000000000004</v>
      </c>
      <c r="H14121" s="5">
        <v>8102</v>
      </c>
    </row>
    <row r="14122" spans="2:8" x14ac:dyDescent="0.4">
      <c r="B14122" t="s">
        <v>7</v>
      </c>
      <c r="C14122" t="s">
        <v>2262</v>
      </c>
      <c r="D14122" s="7">
        <f>DATE(2012,8,30)</f>
        <v>41151</v>
      </c>
      <c r="E14122" s="8">
        <f t="shared" si="233"/>
        <v>2012</v>
      </c>
      <c r="F14122" t="s">
        <v>2263</v>
      </c>
      <c r="G14122" s="9">
        <v>29366</v>
      </c>
      <c r="H14122" s="8">
        <v>11740</v>
      </c>
    </row>
    <row r="14123" spans="2:8" x14ac:dyDescent="0.4">
      <c r="B14123" t="s">
        <v>7</v>
      </c>
      <c r="C14123" t="s">
        <v>2262</v>
      </c>
      <c r="D14123" s="7">
        <f>DATE(2013,6,28)</f>
        <v>41453</v>
      </c>
      <c r="E14123" s="8">
        <f t="shared" si="233"/>
        <v>2013</v>
      </c>
      <c r="F14123" t="s">
        <v>2263</v>
      </c>
      <c r="G14123" s="9">
        <v>2289.8000000000002</v>
      </c>
      <c r="H14123" s="8">
        <v>12547</v>
      </c>
    </row>
    <row r="14124" spans="2:8" x14ac:dyDescent="0.4">
      <c r="B14124" t="s">
        <v>7</v>
      </c>
      <c r="C14124" t="s">
        <v>2262</v>
      </c>
      <c r="D14124" s="7">
        <f>DATE(2013,6,28)</f>
        <v>41453</v>
      </c>
      <c r="E14124" s="8">
        <f t="shared" si="233"/>
        <v>2013</v>
      </c>
      <c r="F14124" t="s">
        <v>2263</v>
      </c>
      <c r="G14124" s="9">
        <v>2000</v>
      </c>
      <c r="H14124" s="8">
        <v>12557</v>
      </c>
    </row>
    <row r="14125" spans="2:8" x14ac:dyDescent="0.4">
      <c r="B14125" t="s">
        <v>7</v>
      </c>
      <c r="C14125" t="s">
        <v>2262</v>
      </c>
      <c r="D14125" s="7">
        <f>DATE(2010,4,14)</f>
        <v>40282</v>
      </c>
      <c r="E14125" s="8">
        <f t="shared" si="233"/>
        <v>2010</v>
      </c>
      <c r="F14125" t="s">
        <v>2263</v>
      </c>
      <c r="G14125" s="9">
        <v>4763</v>
      </c>
      <c r="H14125" s="8">
        <v>9828</v>
      </c>
    </row>
    <row r="14126" spans="2:8" x14ac:dyDescent="0.4">
      <c r="B14126" t="s">
        <v>7</v>
      </c>
      <c r="C14126" t="s">
        <v>2262</v>
      </c>
      <c r="D14126" s="7">
        <f>DATE(2010,4,14)</f>
        <v>40282</v>
      </c>
      <c r="E14126" s="8">
        <f t="shared" si="233"/>
        <v>2010</v>
      </c>
      <c r="F14126" t="s">
        <v>2263</v>
      </c>
      <c r="G14126" s="9">
        <v>8440</v>
      </c>
      <c r="H14126" s="8">
        <v>9828</v>
      </c>
    </row>
    <row r="14127" spans="2:8" x14ac:dyDescent="0.4">
      <c r="B14127" t="s">
        <v>7</v>
      </c>
      <c r="C14127" t="s">
        <v>2262</v>
      </c>
      <c r="D14127" s="7">
        <f>DATE(2010,9,11)</f>
        <v>40432</v>
      </c>
      <c r="E14127" s="8">
        <f t="shared" si="233"/>
        <v>2010</v>
      </c>
      <c r="F14127" t="s">
        <v>2263</v>
      </c>
      <c r="G14127" s="9">
        <v>3808</v>
      </c>
      <c r="H14127" s="8">
        <v>10064</v>
      </c>
    </row>
    <row r="14128" spans="2:8" x14ac:dyDescent="0.4">
      <c r="B14128" t="s">
        <v>7</v>
      </c>
      <c r="C14128" t="s">
        <v>2262</v>
      </c>
      <c r="D14128" s="7">
        <f>DATE(2010,9,11)</f>
        <v>40432</v>
      </c>
      <c r="E14128" s="8">
        <f t="shared" si="233"/>
        <v>2010</v>
      </c>
      <c r="F14128" t="s">
        <v>2263</v>
      </c>
      <c r="G14128" s="9">
        <v>12733</v>
      </c>
      <c r="H14128" s="8">
        <v>10064</v>
      </c>
    </row>
    <row r="14129" spans="2:8" x14ac:dyDescent="0.4">
      <c r="B14129" t="s">
        <v>7</v>
      </c>
      <c r="C14129" t="s">
        <v>2262</v>
      </c>
      <c r="D14129" s="7">
        <f>DATE(2011,3,9)</f>
        <v>40611</v>
      </c>
      <c r="E14129" s="8">
        <f t="shared" si="233"/>
        <v>2011</v>
      </c>
      <c r="F14129" t="s">
        <v>2263</v>
      </c>
      <c r="G14129" s="9">
        <v>13528.88</v>
      </c>
      <c r="H14129" s="8">
        <v>10347</v>
      </c>
    </row>
    <row r="14130" spans="2:8" x14ac:dyDescent="0.4">
      <c r="B14130" t="s">
        <v>7</v>
      </c>
      <c r="C14130" t="s">
        <v>2262</v>
      </c>
      <c r="D14130" s="7">
        <f>DATE(2011,3,9)</f>
        <v>40611</v>
      </c>
      <c r="E14130" s="8">
        <f t="shared" si="233"/>
        <v>2011</v>
      </c>
      <c r="F14130" t="s">
        <v>2263</v>
      </c>
      <c r="G14130" s="9">
        <v>3417.12</v>
      </c>
      <c r="H14130" s="8">
        <v>10347</v>
      </c>
    </row>
    <row r="14131" spans="2:8" x14ac:dyDescent="0.4">
      <c r="B14131" t="s">
        <v>7</v>
      </c>
      <c r="C14131" t="s">
        <v>2262</v>
      </c>
      <c r="D14131" s="7">
        <f>DATE(2012,3,8)</f>
        <v>40976</v>
      </c>
      <c r="E14131" s="8">
        <f t="shared" si="233"/>
        <v>2012</v>
      </c>
      <c r="F14131" t="s">
        <v>2263</v>
      </c>
      <c r="G14131" s="9">
        <v>3130</v>
      </c>
      <c r="H14131" s="8">
        <v>11204</v>
      </c>
    </row>
    <row r="14132" spans="2:8" x14ac:dyDescent="0.4">
      <c r="B14132" t="s">
        <v>7</v>
      </c>
      <c r="C14132" t="s">
        <v>2262</v>
      </c>
      <c r="D14132" s="7">
        <f>DATE(2012,3,8)</f>
        <v>40976</v>
      </c>
      <c r="E14132" s="8">
        <f t="shared" si="233"/>
        <v>2012</v>
      </c>
      <c r="F14132" t="s">
        <v>2263</v>
      </c>
      <c r="G14132" s="9">
        <v>14013</v>
      </c>
      <c r="H14132" s="8">
        <v>11204</v>
      </c>
    </row>
    <row r="14133" spans="2:8" x14ac:dyDescent="0.4">
      <c r="B14133" t="s">
        <v>7</v>
      </c>
      <c r="C14133" t="s">
        <v>2262</v>
      </c>
      <c r="D14133" s="7">
        <f>DATE(2012,11,2)</f>
        <v>41215</v>
      </c>
      <c r="E14133" s="8">
        <f t="shared" si="233"/>
        <v>2012</v>
      </c>
      <c r="F14133" t="s">
        <v>2263</v>
      </c>
      <c r="G14133" s="9">
        <v>2108</v>
      </c>
      <c r="H14133" s="8">
        <v>11782</v>
      </c>
    </row>
    <row r="14134" spans="2:8" x14ac:dyDescent="0.4">
      <c r="B14134" t="s">
        <v>7</v>
      </c>
      <c r="C14134" t="s">
        <v>2262</v>
      </c>
      <c r="D14134" s="7">
        <f>DATE(2012,11,2)</f>
        <v>41215</v>
      </c>
      <c r="E14134" s="8">
        <f t="shared" si="233"/>
        <v>2012</v>
      </c>
      <c r="F14134" t="s">
        <v>2263</v>
      </c>
      <c r="G14134" s="9">
        <v>14072</v>
      </c>
      <c r="H14134" s="8">
        <v>11782</v>
      </c>
    </row>
    <row r="14135" spans="2:8" x14ac:dyDescent="0.4">
      <c r="B14135" t="s">
        <v>7</v>
      </c>
      <c r="C14135" t="s">
        <v>2262</v>
      </c>
      <c r="D14135" s="7">
        <f>DATE(2012,11,2)</f>
        <v>41215</v>
      </c>
      <c r="E14135" s="8">
        <f t="shared" si="233"/>
        <v>2012</v>
      </c>
      <c r="F14135" t="s">
        <v>2263</v>
      </c>
      <c r="G14135" s="9">
        <v>46448.5</v>
      </c>
      <c r="H14135" s="8">
        <v>11852</v>
      </c>
    </row>
    <row r="14136" spans="2:8" x14ac:dyDescent="0.4">
      <c r="B14136" t="s">
        <v>7</v>
      </c>
      <c r="C14136" t="s">
        <v>2262</v>
      </c>
      <c r="D14136" s="7">
        <f>DATE(2012,11,2)</f>
        <v>41215</v>
      </c>
      <c r="E14136" s="8">
        <f t="shared" si="233"/>
        <v>2012</v>
      </c>
      <c r="F14136" t="s">
        <v>2263</v>
      </c>
      <c r="G14136" s="9">
        <v>37309.5</v>
      </c>
      <c r="H14136" s="8">
        <v>11852</v>
      </c>
    </row>
    <row r="14137" spans="2:8" x14ac:dyDescent="0.4">
      <c r="B14137" t="s">
        <v>7</v>
      </c>
      <c r="C14137" t="s">
        <v>2262</v>
      </c>
      <c r="D14137" s="7">
        <f>DATE(2013,1,30)</f>
        <v>41304</v>
      </c>
      <c r="E14137" s="8">
        <f t="shared" si="233"/>
        <v>2013</v>
      </c>
      <c r="F14137" t="s">
        <v>2263</v>
      </c>
      <c r="G14137" s="9">
        <v>2255</v>
      </c>
      <c r="H14137" s="8">
        <v>12129</v>
      </c>
    </row>
    <row r="14138" spans="2:8" x14ac:dyDescent="0.4">
      <c r="B14138" t="s">
        <v>7</v>
      </c>
      <c r="C14138" t="s">
        <v>2262</v>
      </c>
      <c r="D14138" s="7">
        <f>DATE(2013,1,30)</f>
        <v>41304</v>
      </c>
      <c r="E14138" s="8">
        <f t="shared" si="233"/>
        <v>2013</v>
      </c>
      <c r="F14138" t="s">
        <v>2263</v>
      </c>
      <c r="G14138" s="9">
        <v>14180</v>
      </c>
      <c r="H14138" s="8">
        <v>12129</v>
      </c>
    </row>
    <row r="14139" spans="2:8" x14ac:dyDescent="0.4">
      <c r="B14139" t="s">
        <v>7</v>
      </c>
      <c r="C14139" t="s">
        <v>2262</v>
      </c>
      <c r="D14139" s="7">
        <f>DATE(2013,3,28)</f>
        <v>41361</v>
      </c>
      <c r="E14139" s="8">
        <f t="shared" si="233"/>
        <v>2013</v>
      </c>
      <c r="F14139" t="s">
        <v>2263</v>
      </c>
      <c r="G14139" s="9">
        <v>17200</v>
      </c>
      <c r="H14139" s="8">
        <v>12217</v>
      </c>
    </row>
    <row r="14140" spans="2:8" x14ac:dyDescent="0.4">
      <c r="B14140" t="s">
        <v>7</v>
      </c>
      <c r="C14140" t="s">
        <v>2262</v>
      </c>
      <c r="D14140" s="7">
        <f>DATE(2007,10,13)</f>
        <v>39368</v>
      </c>
      <c r="E14140" s="8">
        <f t="shared" si="233"/>
        <v>2007</v>
      </c>
      <c r="F14140" t="s">
        <v>2263</v>
      </c>
      <c r="G14140" s="9">
        <v>27780</v>
      </c>
      <c r="H14140" s="8">
        <v>6368</v>
      </c>
    </row>
    <row r="14141" spans="2:8" x14ac:dyDescent="0.4">
      <c r="B14141" t="s">
        <v>7</v>
      </c>
      <c r="C14141" t="s">
        <v>2262</v>
      </c>
      <c r="D14141" s="7">
        <f>DATE(2007,10,13)</f>
        <v>39368</v>
      </c>
      <c r="E14141" s="8">
        <f t="shared" si="233"/>
        <v>2007</v>
      </c>
      <c r="F14141" t="s">
        <v>2263</v>
      </c>
      <c r="G14141" s="9">
        <v>8050</v>
      </c>
      <c r="H14141" s="8">
        <v>6407</v>
      </c>
    </row>
    <row r="14142" spans="2:8" x14ac:dyDescent="0.4">
      <c r="B14142" t="s">
        <v>7</v>
      </c>
      <c r="C14142" t="s">
        <v>2262</v>
      </c>
      <c r="D14142" s="7">
        <f>DATE(2008,10,26)</f>
        <v>39747</v>
      </c>
      <c r="E14142" s="8">
        <f t="shared" si="233"/>
        <v>2008</v>
      </c>
      <c r="F14142" t="s">
        <v>2263</v>
      </c>
      <c r="G14142" s="9">
        <v>22387.03</v>
      </c>
      <c r="H14142" s="8">
        <v>7964</v>
      </c>
    </row>
    <row r="14143" spans="2:8" x14ac:dyDescent="0.4">
      <c r="B14143" t="s">
        <v>7</v>
      </c>
      <c r="C14143" t="s">
        <v>2262</v>
      </c>
      <c r="D14143" s="7">
        <f>DATE(2008,10,26)</f>
        <v>39747</v>
      </c>
      <c r="E14143" s="8">
        <f t="shared" si="233"/>
        <v>2008</v>
      </c>
      <c r="F14143" t="s">
        <v>2263</v>
      </c>
      <c r="G14143" s="9">
        <v>15480.5</v>
      </c>
      <c r="H14143" s="8">
        <v>7964</v>
      </c>
    </row>
    <row r="14144" spans="2:8" x14ac:dyDescent="0.4">
      <c r="B14144" t="s">
        <v>7</v>
      </c>
      <c r="C14144" t="s">
        <v>2262</v>
      </c>
      <c r="D14144" s="7">
        <f>DATE(2008,11,9)</f>
        <v>39761</v>
      </c>
      <c r="E14144" s="8">
        <f t="shared" si="233"/>
        <v>2008</v>
      </c>
      <c r="F14144" t="s">
        <v>2263</v>
      </c>
      <c r="G14144" s="9">
        <v>10980</v>
      </c>
      <c r="H14144" s="8">
        <v>7988</v>
      </c>
    </row>
    <row r="14145" spans="2:8" x14ac:dyDescent="0.4">
      <c r="B14145" t="s">
        <v>7</v>
      </c>
      <c r="C14145" t="s">
        <v>2262</v>
      </c>
      <c r="D14145" s="7">
        <f>DATE(2008,11,9)</f>
        <v>39761</v>
      </c>
      <c r="E14145" s="8">
        <f t="shared" si="233"/>
        <v>2008</v>
      </c>
      <c r="F14145" t="s">
        <v>2263</v>
      </c>
      <c r="G14145" s="9">
        <v>7280.59</v>
      </c>
      <c r="H14145" s="8">
        <v>7988</v>
      </c>
    </row>
    <row r="14146" spans="2:8" x14ac:dyDescent="0.4">
      <c r="B14146" t="s">
        <v>7</v>
      </c>
      <c r="C14146" t="s">
        <v>2262</v>
      </c>
      <c r="D14146" s="7">
        <f>DATE(2008,12,15)</f>
        <v>39797</v>
      </c>
      <c r="E14146" s="8">
        <f t="shared" si="233"/>
        <v>2008</v>
      </c>
      <c r="F14146" t="s">
        <v>2263</v>
      </c>
      <c r="G14146" s="9">
        <v>4180</v>
      </c>
      <c r="H14146" s="8">
        <v>8095</v>
      </c>
    </row>
    <row r="14147" spans="2:8" x14ac:dyDescent="0.4">
      <c r="B14147" t="s">
        <v>7</v>
      </c>
      <c r="C14147" t="s">
        <v>2262</v>
      </c>
      <c r="D14147" s="7">
        <f>DATE(2008,12,15)</f>
        <v>39797</v>
      </c>
      <c r="E14147" s="8">
        <f t="shared" ref="E14147:E14210" si="234">YEAR(D14147)</f>
        <v>2008</v>
      </c>
      <c r="F14147" t="s">
        <v>2263</v>
      </c>
      <c r="G14147" s="9">
        <v>13832.36</v>
      </c>
      <c r="H14147" s="8">
        <v>8095</v>
      </c>
    </row>
    <row r="14148" spans="2:8" x14ac:dyDescent="0.4">
      <c r="B14148" t="s">
        <v>7</v>
      </c>
      <c r="C14148" t="s">
        <v>2262</v>
      </c>
      <c r="D14148" s="7">
        <f>DATE(2009,5,8)</f>
        <v>39941</v>
      </c>
      <c r="E14148" s="8">
        <f t="shared" si="234"/>
        <v>2009</v>
      </c>
      <c r="F14148" t="s">
        <v>2263</v>
      </c>
      <c r="G14148" s="9">
        <v>5477</v>
      </c>
      <c r="H14148" s="8">
        <v>8507</v>
      </c>
    </row>
    <row r="14149" spans="2:8" x14ac:dyDescent="0.4">
      <c r="B14149" t="s">
        <v>7</v>
      </c>
      <c r="C14149" t="s">
        <v>2262</v>
      </c>
      <c r="D14149" s="7">
        <f>DATE(2009,5,8)</f>
        <v>39941</v>
      </c>
      <c r="E14149" s="8">
        <f t="shared" si="234"/>
        <v>2009</v>
      </c>
      <c r="F14149" t="s">
        <v>2263</v>
      </c>
      <c r="G14149" s="9">
        <v>7340</v>
      </c>
      <c r="H14149" s="8">
        <v>8507</v>
      </c>
    </row>
    <row r="14150" spans="2:8" x14ac:dyDescent="0.4">
      <c r="B14150" t="s">
        <v>7</v>
      </c>
      <c r="C14150" t="s">
        <v>2262</v>
      </c>
      <c r="D14150" s="7">
        <f>DATE(2009,8,11)</f>
        <v>40036</v>
      </c>
      <c r="E14150" s="8">
        <f t="shared" si="234"/>
        <v>2009</v>
      </c>
      <c r="F14150" t="s">
        <v>2263</v>
      </c>
      <c r="G14150" s="9">
        <v>3470</v>
      </c>
      <c r="H14150" s="8">
        <v>8917</v>
      </c>
    </row>
    <row r="14151" spans="2:8" x14ac:dyDescent="0.4">
      <c r="B14151" t="s">
        <v>7</v>
      </c>
      <c r="C14151" t="s">
        <v>2262</v>
      </c>
      <c r="D14151" s="7">
        <f>DATE(2009,8,11)</f>
        <v>40036</v>
      </c>
      <c r="E14151" s="8">
        <f t="shared" si="234"/>
        <v>2009</v>
      </c>
      <c r="F14151" t="s">
        <v>2263</v>
      </c>
      <c r="G14151" s="9">
        <v>13899.03</v>
      </c>
      <c r="H14151" s="8">
        <v>8917</v>
      </c>
    </row>
    <row r="14152" spans="2:8" x14ac:dyDescent="0.4">
      <c r="B14152" t="s">
        <v>7</v>
      </c>
      <c r="C14152" t="s">
        <v>2262</v>
      </c>
      <c r="D14152" s="7">
        <f>DATE(2009,9,21)</f>
        <v>40077</v>
      </c>
      <c r="E14152" s="8">
        <f t="shared" si="234"/>
        <v>2009</v>
      </c>
      <c r="F14152" t="s">
        <v>2263</v>
      </c>
      <c r="G14152" s="9">
        <v>4680</v>
      </c>
      <c r="H14152" s="8">
        <v>9065</v>
      </c>
    </row>
    <row r="14153" spans="2:8" x14ac:dyDescent="0.4">
      <c r="B14153" t="s">
        <v>7</v>
      </c>
      <c r="C14153" t="s">
        <v>2262</v>
      </c>
      <c r="D14153" s="7">
        <f>DATE(2009,9,21)</f>
        <v>40077</v>
      </c>
      <c r="E14153" s="8">
        <f t="shared" si="234"/>
        <v>2009</v>
      </c>
      <c r="F14153" t="s">
        <v>2263</v>
      </c>
      <c r="G14153" s="9">
        <v>16026.6</v>
      </c>
      <c r="H14153" s="8">
        <v>9065</v>
      </c>
    </row>
    <row r="14154" spans="2:8" x14ac:dyDescent="0.4">
      <c r="B14154" t="s">
        <v>7</v>
      </c>
      <c r="C14154" t="s">
        <v>2262</v>
      </c>
      <c r="D14154" s="7">
        <f>DATE(2009,10,29)</f>
        <v>40115</v>
      </c>
      <c r="E14154" s="8">
        <f t="shared" si="234"/>
        <v>2009</v>
      </c>
      <c r="F14154" t="s">
        <v>2263</v>
      </c>
      <c r="G14154" s="9">
        <v>8723.24</v>
      </c>
      <c r="H14154" s="8">
        <v>9163</v>
      </c>
    </row>
    <row r="14155" spans="2:8" x14ac:dyDescent="0.4">
      <c r="B14155" t="s">
        <v>7</v>
      </c>
      <c r="C14155" t="s">
        <v>2262</v>
      </c>
      <c r="D14155" s="7">
        <f>DATE(2009,10,29)</f>
        <v>40115</v>
      </c>
      <c r="E14155" s="8">
        <f t="shared" si="234"/>
        <v>2009</v>
      </c>
      <c r="F14155" t="s">
        <v>2263</v>
      </c>
      <c r="G14155" s="9">
        <v>9800</v>
      </c>
      <c r="H14155" s="8">
        <v>9204</v>
      </c>
    </row>
    <row r="14156" spans="2:8" x14ac:dyDescent="0.4">
      <c r="B14156" t="s">
        <v>7</v>
      </c>
      <c r="C14156" t="s">
        <v>2262</v>
      </c>
      <c r="D14156" s="7">
        <f>DATE(2009,10,29)</f>
        <v>40115</v>
      </c>
      <c r="E14156" s="8">
        <f t="shared" si="234"/>
        <v>2009</v>
      </c>
      <c r="F14156" t="s">
        <v>2263</v>
      </c>
      <c r="G14156" s="9">
        <v>9100</v>
      </c>
      <c r="H14156" s="8">
        <v>9176</v>
      </c>
    </row>
    <row r="14157" spans="2:8" x14ac:dyDescent="0.4">
      <c r="B14157" t="s">
        <v>7</v>
      </c>
      <c r="C14157" t="s">
        <v>2262</v>
      </c>
      <c r="D14157" s="7">
        <f>DATE(2009,10,29)</f>
        <v>40115</v>
      </c>
      <c r="E14157" s="8">
        <f t="shared" si="234"/>
        <v>2009</v>
      </c>
      <c r="F14157" t="s">
        <v>2263</v>
      </c>
      <c r="G14157" s="9">
        <v>9118.09</v>
      </c>
      <c r="H14157" s="8">
        <v>9176</v>
      </c>
    </row>
    <row r="14158" spans="2:8" x14ac:dyDescent="0.4">
      <c r="B14158" t="s">
        <v>7</v>
      </c>
      <c r="C14158" t="s">
        <v>2262</v>
      </c>
      <c r="D14158" s="7">
        <f>DATE(2009,10,30)</f>
        <v>40116</v>
      </c>
      <c r="E14158" s="8">
        <f t="shared" si="234"/>
        <v>2009</v>
      </c>
      <c r="F14158" t="s">
        <v>2263</v>
      </c>
      <c r="G14158" s="9">
        <v>8800</v>
      </c>
      <c r="H14158" s="8">
        <v>9210</v>
      </c>
    </row>
    <row r="14159" spans="2:8" x14ac:dyDescent="0.4">
      <c r="B14159" t="s">
        <v>7</v>
      </c>
      <c r="C14159" t="s">
        <v>2262</v>
      </c>
      <c r="D14159" s="7">
        <f>DATE(2009,10,30)</f>
        <v>40116</v>
      </c>
      <c r="E14159" s="8">
        <f t="shared" si="234"/>
        <v>2009</v>
      </c>
      <c r="F14159" t="s">
        <v>2263</v>
      </c>
      <c r="G14159" s="9">
        <v>9323.24</v>
      </c>
      <c r="H14159" s="8">
        <v>9211</v>
      </c>
    </row>
    <row r="14160" spans="2:8" x14ac:dyDescent="0.4">
      <c r="B14160" t="s">
        <v>7</v>
      </c>
      <c r="C14160" t="s">
        <v>2262</v>
      </c>
      <c r="D14160" s="7">
        <f>DATE(2009,12,1)</f>
        <v>40148</v>
      </c>
      <c r="E14160" s="8">
        <f t="shared" si="234"/>
        <v>2009</v>
      </c>
      <c r="F14160" t="s">
        <v>2263</v>
      </c>
      <c r="G14160" s="9">
        <v>2770</v>
      </c>
      <c r="H14160" s="8">
        <v>9257</v>
      </c>
    </row>
    <row r="14161" spans="2:8" x14ac:dyDescent="0.4">
      <c r="B14161" t="s">
        <v>7</v>
      </c>
      <c r="C14161" t="s">
        <v>2262</v>
      </c>
      <c r="D14161" s="7">
        <f>DATE(2009,12,1)</f>
        <v>40148</v>
      </c>
      <c r="E14161" s="8">
        <f t="shared" si="234"/>
        <v>2009</v>
      </c>
      <c r="F14161" t="s">
        <v>2263</v>
      </c>
      <c r="G14161" s="9">
        <v>16452.419999999998</v>
      </c>
      <c r="H14161" s="8">
        <v>9257</v>
      </c>
    </row>
    <row r="14162" spans="2:8" x14ac:dyDescent="0.4">
      <c r="B14162" t="s">
        <v>7</v>
      </c>
      <c r="C14162" t="s">
        <v>2262</v>
      </c>
      <c r="D14162" s="7">
        <f>DATE(2010,4,1)</f>
        <v>40269</v>
      </c>
      <c r="E14162" s="8">
        <f t="shared" si="234"/>
        <v>2010</v>
      </c>
      <c r="F14162" t="s">
        <v>2263</v>
      </c>
      <c r="G14162" s="9">
        <v>19021.38</v>
      </c>
      <c r="H14162" s="8">
        <v>9623</v>
      </c>
    </row>
    <row r="14163" spans="2:8" x14ac:dyDescent="0.4">
      <c r="B14163" t="s">
        <v>7</v>
      </c>
      <c r="C14163" t="s">
        <v>2262</v>
      </c>
      <c r="D14163" s="7">
        <f>DATE(2010,4,1)</f>
        <v>40269</v>
      </c>
      <c r="E14163" s="8">
        <f t="shared" si="234"/>
        <v>2010</v>
      </c>
      <c r="F14163" t="s">
        <v>2263</v>
      </c>
      <c r="G14163" s="9">
        <v>6810</v>
      </c>
      <c r="H14163" s="8">
        <v>9623</v>
      </c>
    </row>
    <row r="14164" spans="2:8" x14ac:dyDescent="0.4">
      <c r="B14164" t="s">
        <v>7</v>
      </c>
      <c r="C14164" t="s">
        <v>2262</v>
      </c>
      <c r="D14164" s="7">
        <f>DATE(2010,4,1)</f>
        <v>40269</v>
      </c>
      <c r="E14164" s="8">
        <f t="shared" si="234"/>
        <v>2010</v>
      </c>
      <c r="F14164" t="s">
        <v>2263</v>
      </c>
      <c r="G14164" s="9">
        <v>15961.85</v>
      </c>
      <c r="H14164" s="8">
        <v>9548</v>
      </c>
    </row>
    <row r="14165" spans="2:8" x14ac:dyDescent="0.4">
      <c r="B14165" t="s">
        <v>7</v>
      </c>
      <c r="C14165" t="s">
        <v>2262</v>
      </c>
      <c r="D14165" s="7">
        <f>DATE(2010,4,1)</f>
        <v>40269</v>
      </c>
      <c r="E14165" s="8">
        <f t="shared" si="234"/>
        <v>2010</v>
      </c>
      <c r="F14165" t="s">
        <v>2263</v>
      </c>
      <c r="G14165" s="9">
        <v>5040</v>
      </c>
      <c r="H14165" s="8">
        <v>9548</v>
      </c>
    </row>
    <row r="14166" spans="2:8" x14ac:dyDescent="0.4">
      <c r="B14166" t="s">
        <v>7</v>
      </c>
      <c r="C14166" t="s">
        <v>2262</v>
      </c>
      <c r="D14166" s="7">
        <f>DATE(2010,4,14)</f>
        <v>40282</v>
      </c>
      <c r="E14166" s="8">
        <f t="shared" si="234"/>
        <v>2010</v>
      </c>
      <c r="F14166" t="s">
        <v>2263</v>
      </c>
      <c r="G14166" s="9">
        <v>6470.8</v>
      </c>
      <c r="H14166" s="8">
        <v>9449</v>
      </c>
    </row>
    <row r="14167" spans="2:8" x14ac:dyDescent="0.4">
      <c r="B14167" t="s">
        <v>7</v>
      </c>
      <c r="C14167" t="s">
        <v>2262</v>
      </c>
      <c r="D14167" s="7">
        <f>DATE(2010,4,14)</f>
        <v>40282</v>
      </c>
      <c r="E14167" s="8">
        <f t="shared" si="234"/>
        <v>2010</v>
      </c>
      <c r="F14167" t="s">
        <v>2263</v>
      </c>
      <c r="G14167" s="9">
        <v>15648.77</v>
      </c>
      <c r="H14167" s="8">
        <v>9449</v>
      </c>
    </row>
    <row r="14168" spans="2:8" x14ac:dyDescent="0.4">
      <c r="B14168" t="s">
        <v>7</v>
      </c>
      <c r="C14168" t="s">
        <v>2262</v>
      </c>
      <c r="D14168" s="7">
        <f>DATE(2010,11,19)</f>
        <v>40501</v>
      </c>
      <c r="E14168" s="8">
        <f t="shared" si="234"/>
        <v>2010</v>
      </c>
      <c r="F14168" t="s">
        <v>2263</v>
      </c>
      <c r="G14168" s="9">
        <v>528</v>
      </c>
      <c r="H14168" s="8">
        <v>10161</v>
      </c>
    </row>
    <row r="14169" spans="2:8" x14ac:dyDescent="0.4">
      <c r="B14169" t="s">
        <v>7</v>
      </c>
      <c r="C14169" t="s">
        <v>2262</v>
      </c>
      <c r="D14169" s="7">
        <f>DATE(2010,11,19)</f>
        <v>40501</v>
      </c>
      <c r="E14169" s="8">
        <f t="shared" si="234"/>
        <v>2010</v>
      </c>
      <c r="F14169" t="s">
        <v>2263</v>
      </c>
      <c r="G14169" s="9">
        <v>5391</v>
      </c>
      <c r="H14169" s="8">
        <v>10161</v>
      </c>
    </row>
    <row r="14170" spans="2:8" x14ac:dyDescent="0.4">
      <c r="B14170" t="s">
        <v>7</v>
      </c>
      <c r="C14170" t="s">
        <v>2262</v>
      </c>
      <c r="D14170" s="7">
        <f>DATE(2010,12,8)</f>
        <v>40520</v>
      </c>
      <c r="E14170" s="8">
        <f t="shared" si="234"/>
        <v>2010</v>
      </c>
      <c r="F14170" t="s">
        <v>2263</v>
      </c>
      <c r="G14170" s="9">
        <v>4736.34</v>
      </c>
      <c r="H14170" s="8">
        <v>10275</v>
      </c>
    </row>
    <row r="14171" spans="2:8" x14ac:dyDescent="0.4">
      <c r="B14171" t="s">
        <v>7</v>
      </c>
      <c r="C14171" t="s">
        <v>2262</v>
      </c>
      <c r="D14171" s="7">
        <f>DATE(2010,12,8)</f>
        <v>40520</v>
      </c>
      <c r="E14171" s="8">
        <f t="shared" si="234"/>
        <v>2010</v>
      </c>
      <c r="F14171" t="s">
        <v>2263</v>
      </c>
      <c r="G14171" s="9">
        <v>5163.66</v>
      </c>
      <c r="H14171" s="8">
        <v>10275</v>
      </c>
    </row>
    <row r="14172" spans="2:8" x14ac:dyDescent="0.4">
      <c r="B14172" t="s">
        <v>7</v>
      </c>
      <c r="C14172" t="s">
        <v>2262</v>
      </c>
      <c r="D14172" s="7">
        <f>DATE(2010,12,17)</f>
        <v>40529</v>
      </c>
      <c r="E14172" s="8">
        <f t="shared" si="234"/>
        <v>2010</v>
      </c>
      <c r="F14172" t="s">
        <v>2263</v>
      </c>
      <c r="G14172" s="9">
        <v>528</v>
      </c>
      <c r="H14172" s="8">
        <v>10300</v>
      </c>
    </row>
    <row r="14173" spans="2:8" x14ac:dyDescent="0.4">
      <c r="B14173" t="s">
        <v>7</v>
      </c>
      <c r="C14173" t="s">
        <v>2262</v>
      </c>
      <c r="D14173" s="7">
        <f>DATE(2010,12,17)</f>
        <v>40529</v>
      </c>
      <c r="E14173" s="8">
        <f t="shared" si="234"/>
        <v>2010</v>
      </c>
      <c r="F14173" t="s">
        <v>2263</v>
      </c>
      <c r="G14173" s="9">
        <v>6436.96</v>
      </c>
      <c r="H14173" s="8">
        <v>10300</v>
      </c>
    </row>
    <row r="14174" spans="2:8" x14ac:dyDescent="0.4">
      <c r="B14174" t="s">
        <v>7</v>
      </c>
      <c r="C14174" t="s">
        <v>2262</v>
      </c>
      <c r="D14174" s="7">
        <f>DATE(2011,5,19)</f>
        <v>40682</v>
      </c>
      <c r="E14174" s="8">
        <f t="shared" si="234"/>
        <v>2011</v>
      </c>
      <c r="F14174" t="s">
        <v>2263</v>
      </c>
      <c r="G14174" s="9">
        <v>6747.84</v>
      </c>
      <c r="H14174" s="8">
        <v>10666</v>
      </c>
    </row>
    <row r="14175" spans="2:8" x14ac:dyDescent="0.4">
      <c r="B14175" t="s">
        <v>7</v>
      </c>
      <c r="C14175" t="s">
        <v>2262</v>
      </c>
      <c r="D14175" s="7">
        <f>DATE(2011,5,19)</f>
        <v>40682</v>
      </c>
      <c r="E14175" s="8">
        <f t="shared" si="234"/>
        <v>2011</v>
      </c>
      <c r="F14175" t="s">
        <v>2263</v>
      </c>
      <c r="G14175" s="9">
        <v>4472.28</v>
      </c>
      <c r="H14175" s="8">
        <v>10666</v>
      </c>
    </row>
    <row r="14176" spans="2:8" x14ac:dyDescent="0.4">
      <c r="B14176" t="s">
        <v>7</v>
      </c>
      <c r="C14176" t="s">
        <v>2262</v>
      </c>
      <c r="D14176" s="7">
        <f>DATE(2011,8,26)</f>
        <v>40781</v>
      </c>
      <c r="E14176" s="8">
        <f t="shared" si="234"/>
        <v>2011</v>
      </c>
      <c r="F14176" t="s">
        <v>2263</v>
      </c>
      <c r="G14176" s="9">
        <v>4280</v>
      </c>
      <c r="H14176" s="8">
        <v>10863</v>
      </c>
    </row>
    <row r="14177" spans="2:8" x14ac:dyDescent="0.4">
      <c r="B14177" t="s">
        <v>7</v>
      </c>
      <c r="C14177" t="s">
        <v>2262</v>
      </c>
      <c r="D14177" s="7">
        <f>DATE(2011,8,26)</f>
        <v>40781</v>
      </c>
      <c r="E14177" s="8">
        <f t="shared" si="234"/>
        <v>2011</v>
      </c>
      <c r="F14177" t="s">
        <v>2263</v>
      </c>
      <c r="G14177" s="9">
        <v>6660</v>
      </c>
      <c r="H14177" s="8">
        <v>10863</v>
      </c>
    </row>
    <row r="14178" spans="2:8" x14ac:dyDescent="0.4">
      <c r="B14178" t="s">
        <v>7</v>
      </c>
      <c r="C14178" t="s">
        <v>2262</v>
      </c>
      <c r="D14178" s="7">
        <f>DATE(2010,4,15)</f>
        <v>40283</v>
      </c>
      <c r="E14178" s="8">
        <f t="shared" si="234"/>
        <v>2010</v>
      </c>
      <c r="F14178" t="s">
        <v>2263</v>
      </c>
      <c r="G14178" s="9">
        <v>6080</v>
      </c>
      <c r="H14178" s="8">
        <v>9742</v>
      </c>
    </row>
    <row r="14179" spans="2:8" x14ac:dyDescent="0.4">
      <c r="B14179" t="s">
        <v>7</v>
      </c>
      <c r="C14179" t="s">
        <v>2262</v>
      </c>
      <c r="D14179" s="7">
        <f>DATE(2010,4,1)</f>
        <v>40269</v>
      </c>
      <c r="E14179" s="8">
        <f t="shared" si="234"/>
        <v>2010</v>
      </c>
      <c r="F14179" t="s">
        <v>2263</v>
      </c>
      <c r="G14179" s="9">
        <v>4215.97</v>
      </c>
      <c r="H14179" s="8">
        <v>9742</v>
      </c>
    </row>
    <row r="14180" spans="2:8" x14ac:dyDescent="0.4">
      <c r="B14180" t="s">
        <v>7</v>
      </c>
      <c r="C14180" t="s">
        <v>2262</v>
      </c>
      <c r="D14180" s="7">
        <f>DATE(2010,8,6)</f>
        <v>40396</v>
      </c>
      <c r="E14180" s="8">
        <f t="shared" si="234"/>
        <v>2010</v>
      </c>
      <c r="F14180" t="s">
        <v>2263</v>
      </c>
      <c r="G14180" s="9">
        <v>6935</v>
      </c>
      <c r="H14180" s="8">
        <v>9990</v>
      </c>
    </row>
    <row r="14181" spans="2:8" x14ac:dyDescent="0.4">
      <c r="B14181" t="s">
        <v>7</v>
      </c>
      <c r="C14181" t="s">
        <v>2262</v>
      </c>
      <c r="D14181" s="7">
        <f>DATE(2010,8,6)</f>
        <v>40396</v>
      </c>
      <c r="E14181" s="8">
        <f t="shared" si="234"/>
        <v>2010</v>
      </c>
      <c r="F14181" t="s">
        <v>2263</v>
      </c>
      <c r="G14181" s="9">
        <v>19379.400000000001</v>
      </c>
      <c r="H14181" s="8">
        <v>9990</v>
      </c>
    </row>
    <row r="14182" spans="2:8" x14ac:dyDescent="0.4">
      <c r="B14182" t="s">
        <v>7</v>
      </c>
      <c r="C14182" t="s">
        <v>2262</v>
      </c>
      <c r="D14182" s="7">
        <f>DATE(2010,8,23)</f>
        <v>40413</v>
      </c>
      <c r="E14182" s="8">
        <f t="shared" si="234"/>
        <v>2010</v>
      </c>
      <c r="F14182" t="s">
        <v>2263</v>
      </c>
      <c r="G14182" s="9">
        <v>4415</v>
      </c>
      <c r="H14182" s="8">
        <v>10023</v>
      </c>
    </row>
    <row r="14183" spans="2:8" x14ac:dyDescent="0.4">
      <c r="B14183" t="s">
        <v>7</v>
      </c>
      <c r="C14183" t="s">
        <v>2262</v>
      </c>
      <c r="D14183" s="7">
        <f>DATE(2010,8,23)</f>
        <v>40413</v>
      </c>
      <c r="E14183" s="8">
        <f t="shared" si="234"/>
        <v>2010</v>
      </c>
      <c r="F14183" t="s">
        <v>2263</v>
      </c>
      <c r="G14183" s="9">
        <v>16457.169999999998</v>
      </c>
      <c r="H14183" s="8">
        <v>10023</v>
      </c>
    </row>
    <row r="14184" spans="2:8" x14ac:dyDescent="0.4">
      <c r="B14184" t="s">
        <v>7</v>
      </c>
      <c r="C14184" t="s">
        <v>2262</v>
      </c>
      <c r="D14184" s="7">
        <f>DATE(2011,8,31)</f>
        <v>40786</v>
      </c>
      <c r="E14184" s="8">
        <f t="shared" si="234"/>
        <v>2011</v>
      </c>
      <c r="F14184" t="s">
        <v>2263</v>
      </c>
      <c r="G14184" s="9">
        <v>7540</v>
      </c>
      <c r="H14184" s="8">
        <v>10947</v>
      </c>
    </row>
    <row r="14185" spans="2:8" x14ac:dyDescent="0.4">
      <c r="B14185" t="s">
        <v>7</v>
      </c>
      <c r="C14185" t="s">
        <v>2262</v>
      </c>
      <c r="D14185" s="7">
        <f>DATE(2011,8,31)</f>
        <v>40786</v>
      </c>
      <c r="E14185" s="8">
        <f t="shared" si="234"/>
        <v>2011</v>
      </c>
      <c r="F14185" t="s">
        <v>2263</v>
      </c>
      <c r="G14185" s="9">
        <v>22441.19</v>
      </c>
      <c r="H14185" s="8">
        <v>10947</v>
      </c>
    </row>
    <row r="14186" spans="2:8" x14ac:dyDescent="0.4">
      <c r="B14186" t="s">
        <v>7</v>
      </c>
      <c r="C14186" t="s">
        <v>2262</v>
      </c>
      <c r="D14186" s="7">
        <f>DATE(2012,2,28)</f>
        <v>40967</v>
      </c>
      <c r="E14186" s="8">
        <f t="shared" si="234"/>
        <v>2012</v>
      </c>
      <c r="F14186" t="s">
        <v>2263</v>
      </c>
      <c r="G14186" s="9">
        <v>4165</v>
      </c>
      <c r="H14186" s="8">
        <v>11361</v>
      </c>
    </row>
    <row r="14187" spans="2:8" x14ac:dyDescent="0.4">
      <c r="B14187" t="s">
        <v>7</v>
      </c>
      <c r="C14187" t="s">
        <v>2262</v>
      </c>
      <c r="D14187" s="7">
        <f>DATE(2012,2,28)</f>
        <v>40967</v>
      </c>
      <c r="E14187" s="8">
        <f t="shared" si="234"/>
        <v>2012</v>
      </c>
      <c r="F14187" t="s">
        <v>2263</v>
      </c>
      <c r="G14187" s="9">
        <v>20393.060000000001</v>
      </c>
      <c r="H14187" s="8">
        <v>11361</v>
      </c>
    </row>
    <row r="14188" spans="2:8" x14ac:dyDescent="0.4">
      <c r="B14188" t="s">
        <v>7</v>
      </c>
      <c r="C14188" t="s">
        <v>2262</v>
      </c>
      <c r="D14188" s="7">
        <f>DATE(2012,3,20)</f>
        <v>40988</v>
      </c>
      <c r="E14188" s="8">
        <f t="shared" si="234"/>
        <v>2012</v>
      </c>
      <c r="F14188" t="s">
        <v>2263</v>
      </c>
      <c r="G14188" s="9">
        <v>2395</v>
      </c>
      <c r="H14188" s="8">
        <v>11463</v>
      </c>
    </row>
    <row r="14189" spans="2:8" x14ac:dyDescent="0.4">
      <c r="B14189" t="s">
        <v>7</v>
      </c>
      <c r="C14189" t="s">
        <v>2262</v>
      </c>
      <c r="D14189" s="7">
        <f>DATE(2012,3,20)</f>
        <v>40988</v>
      </c>
      <c r="E14189" s="8">
        <f t="shared" si="234"/>
        <v>2012</v>
      </c>
      <c r="F14189" t="s">
        <v>2263</v>
      </c>
      <c r="G14189" s="9">
        <v>13463.96</v>
      </c>
      <c r="H14189" s="8">
        <v>11463</v>
      </c>
    </row>
    <row r="14190" spans="2:8" x14ac:dyDescent="0.4">
      <c r="B14190" t="s">
        <v>7</v>
      </c>
      <c r="C14190" t="s">
        <v>2262</v>
      </c>
      <c r="D14190" s="7">
        <f>DATE(2012,5,10)</f>
        <v>41039</v>
      </c>
      <c r="E14190" s="8">
        <f t="shared" si="234"/>
        <v>2012</v>
      </c>
      <c r="F14190" t="s">
        <v>2263</v>
      </c>
      <c r="G14190" s="9">
        <v>6612.5</v>
      </c>
      <c r="H14190" s="8">
        <v>11597</v>
      </c>
    </row>
    <row r="14191" spans="2:8" x14ac:dyDescent="0.4">
      <c r="B14191" t="s">
        <v>7</v>
      </c>
      <c r="C14191" t="s">
        <v>2262</v>
      </c>
      <c r="D14191" s="7">
        <f>DATE(2012,5,10)</f>
        <v>41039</v>
      </c>
      <c r="E14191" s="8">
        <f t="shared" si="234"/>
        <v>2012</v>
      </c>
      <c r="F14191" t="s">
        <v>2263</v>
      </c>
      <c r="G14191" s="9">
        <v>15921.21</v>
      </c>
      <c r="H14191" s="8">
        <v>11597</v>
      </c>
    </row>
    <row r="14192" spans="2:8" x14ac:dyDescent="0.4">
      <c r="B14192" t="s">
        <v>7</v>
      </c>
      <c r="C14192" t="s">
        <v>2262</v>
      </c>
      <c r="D14192" s="7">
        <f>DATE(2012,8,24)</f>
        <v>41145</v>
      </c>
      <c r="E14192" s="8">
        <f t="shared" si="234"/>
        <v>2012</v>
      </c>
      <c r="F14192" t="s">
        <v>2263</v>
      </c>
      <c r="G14192" s="9">
        <v>3822.5</v>
      </c>
      <c r="H14192" s="8">
        <v>11797</v>
      </c>
    </row>
    <row r="14193" spans="2:8" x14ac:dyDescent="0.4">
      <c r="B14193" t="s">
        <v>7</v>
      </c>
      <c r="C14193" t="s">
        <v>2262</v>
      </c>
      <c r="D14193" s="7">
        <f>DATE(2012,8,24)</f>
        <v>41145</v>
      </c>
      <c r="E14193" s="8">
        <f t="shared" si="234"/>
        <v>2012</v>
      </c>
      <c r="F14193" t="s">
        <v>2263</v>
      </c>
      <c r="G14193" s="9">
        <v>11542.85</v>
      </c>
      <c r="H14193" s="8">
        <v>11797</v>
      </c>
    </row>
    <row r="14194" spans="2:8" x14ac:dyDescent="0.4">
      <c r="B14194" t="s">
        <v>7</v>
      </c>
      <c r="C14194" t="s">
        <v>2262</v>
      </c>
      <c r="D14194" s="7">
        <f>DATE(2012,8,30)</f>
        <v>41151</v>
      </c>
      <c r="E14194" s="8">
        <f t="shared" si="234"/>
        <v>2012</v>
      </c>
      <c r="F14194" t="s">
        <v>2263</v>
      </c>
      <c r="G14194" s="9">
        <v>1010</v>
      </c>
      <c r="H14194" s="8">
        <v>11822</v>
      </c>
    </row>
    <row r="14195" spans="2:8" x14ac:dyDescent="0.4">
      <c r="B14195" t="s">
        <v>7</v>
      </c>
      <c r="C14195" t="s">
        <v>2262</v>
      </c>
      <c r="D14195" s="7">
        <f>DATE(2012,8,30)</f>
        <v>41151</v>
      </c>
      <c r="E14195" s="8">
        <f t="shared" si="234"/>
        <v>2012</v>
      </c>
      <c r="F14195" t="s">
        <v>2263</v>
      </c>
      <c r="G14195" s="9">
        <v>7382.52</v>
      </c>
      <c r="H14195" s="8">
        <v>11822</v>
      </c>
    </row>
    <row r="14196" spans="2:8" x14ac:dyDescent="0.4">
      <c r="B14196" t="s">
        <v>7</v>
      </c>
      <c r="C14196" t="s">
        <v>2262</v>
      </c>
      <c r="D14196" s="7">
        <f>DATE(2012,10,19)</f>
        <v>41201</v>
      </c>
      <c r="E14196" s="8">
        <f t="shared" si="234"/>
        <v>2012</v>
      </c>
      <c r="F14196" t="s">
        <v>2263</v>
      </c>
      <c r="G14196" s="9">
        <v>1250</v>
      </c>
      <c r="H14196" s="8">
        <v>11909</v>
      </c>
    </row>
    <row r="14197" spans="2:8" x14ac:dyDescent="0.4">
      <c r="B14197" t="s">
        <v>7</v>
      </c>
      <c r="C14197" t="s">
        <v>2262</v>
      </c>
      <c r="D14197" s="7">
        <f>DATE(2012,10,19)</f>
        <v>41201</v>
      </c>
      <c r="E14197" s="8">
        <f t="shared" si="234"/>
        <v>2012</v>
      </c>
      <c r="F14197" t="s">
        <v>2263</v>
      </c>
      <c r="G14197" s="9">
        <v>8268.84</v>
      </c>
      <c r="H14197" s="8">
        <v>11909</v>
      </c>
    </row>
    <row r="14198" spans="2:8" x14ac:dyDescent="0.4">
      <c r="B14198" t="s">
        <v>7</v>
      </c>
      <c r="C14198" t="s">
        <v>2262</v>
      </c>
      <c r="D14198" s="7">
        <f>DATE(2012,10,24)</f>
        <v>41206</v>
      </c>
      <c r="E14198" s="8">
        <f t="shared" si="234"/>
        <v>2012</v>
      </c>
      <c r="F14198" t="s">
        <v>2263</v>
      </c>
      <c r="G14198" s="9">
        <v>2250</v>
      </c>
      <c r="H14198" s="8">
        <v>11928</v>
      </c>
    </row>
    <row r="14199" spans="2:8" x14ac:dyDescent="0.4">
      <c r="B14199" t="s">
        <v>7</v>
      </c>
      <c r="C14199" t="s">
        <v>2262</v>
      </c>
      <c r="D14199" s="7">
        <f>DATE(2012,10,24)</f>
        <v>41206</v>
      </c>
      <c r="E14199" s="8">
        <f t="shared" si="234"/>
        <v>2012</v>
      </c>
      <c r="F14199" t="s">
        <v>2263</v>
      </c>
      <c r="G14199" s="9">
        <v>9463.5300000000007</v>
      </c>
      <c r="H14199" s="8">
        <v>11928</v>
      </c>
    </row>
    <row r="14200" spans="2:8" x14ac:dyDescent="0.4">
      <c r="B14200" t="s">
        <v>7</v>
      </c>
      <c r="C14200" t="s">
        <v>2262</v>
      </c>
      <c r="D14200" s="7">
        <f>DATE(2013,9,13)</f>
        <v>41530</v>
      </c>
      <c r="E14200" s="8">
        <f t="shared" si="234"/>
        <v>2013</v>
      </c>
      <c r="F14200" t="s">
        <v>2263</v>
      </c>
      <c r="G14200" s="9">
        <v>3280</v>
      </c>
      <c r="H14200" s="8">
        <v>12643</v>
      </c>
    </row>
    <row r="14201" spans="2:8" x14ac:dyDescent="0.4">
      <c r="B14201" t="s">
        <v>7</v>
      </c>
      <c r="C14201" t="s">
        <v>2262</v>
      </c>
      <c r="D14201" s="7">
        <f>DATE(2013,9,13)</f>
        <v>41530</v>
      </c>
      <c r="E14201" s="8">
        <f t="shared" si="234"/>
        <v>2013</v>
      </c>
      <c r="F14201" t="s">
        <v>2263</v>
      </c>
      <c r="G14201" s="9">
        <v>7798.35</v>
      </c>
      <c r="H14201" s="8">
        <v>12643</v>
      </c>
    </row>
    <row r="14202" spans="2:8" x14ac:dyDescent="0.4">
      <c r="B14202" t="s">
        <v>16</v>
      </c>
      <c r="C14202" t="s">
        <v>2262</v>
      </c>
      <c r="D14202" s="7">
        <f>DATE(2013,6,28)</f>
        <v>41453</v>
      </c>
      <c r="E14202" s="8">
        <f t="shared" si="234"/>
        <v>2013</v>
      </c>
      <c r="F14202" t="s">
        <v>2263</v>
      </c>
      <c r="G14202" s="9">
        <v>2289.8000000000002</v>
      </c>
      <c r="H14202" s="8">
        <v>12555</v>
      </c>
    </row>
    <row r="14203" spans="2:8" x14ac:dyDescent="0.4">
      <c r="B14203" t="s">
        <v>16</v>
      </c>
      <c r="C14203" t="s">
        <v>2262</v>
      </c>
      <c r="D14203" s="7">
        <f>DATE(2009,10,30)</f>
        <v>40116</v>
      </c>
      <c r="E14203" s="8">
        <f t="shared" si="234"/>
        <v>2009</v>
      </c>
      <c r="F14203" t="s">
        <v>2263</v>
      </c>
      <c r="G14203" s="9">
        <v>9800</v>
      </c>
      <c r="H14203" s="8">
        <v>9207</v>
      </c>
    </row>
    <row r="14204" spans="2:8" x14ac:dyDescent="0.4">
      <c r="B14204" t="s">
        <v>16</v>
      </c>
      <c r="C14204" t="s">
        <v>2262</v>
      </c>
      <c r="D14204" s="7">
        <f>DATE(2009,10,30)</f>
        <v>40116</v>
      </c>
      <c r="E14204" s="8">
        <f t="shared" si="234"/>
        <v>2009</v>
      </c>
      <c r="F14204" t="s">
        <v>2263</v>
      </c>
      <c r="G14204" s="9">
        <v>8723.24</v>
      </c>
      <c r="H14204" s="8">
        <v>9208</v>
      </c>
    </row>
    <row r="14205" spans="2:8" x14ac:dyDescent="0.4">
      <c r="B14205" t="s">
        <v>16</v>
      </c>
      <c r="C14205" t="s">
        <v>2262</v>
      </c>
      <c r="D14205" s="7">
        <f>DATE(2010,4,14)</f>
        <v>40282</v>
      </c>
      <c r="E14205" s="8">
        <f t="shared" si="234"/>
        <v>2010</v>
      </c>
      <c r="F14205" t="s">
        <v>2263</v>
      </c>
      <c r="G14205" s="9">
        <v>15648.77</v>
      </c>
      <c r="H14205" s="8">
        <v>9824</v>
      </c>
    </row>
    <row r="14206" spans="2:8" x14ac:dyDescent="0.4">
      <c r="B14206" t="s">
        <v>16</v>
      </c>
      <c r="C14206" t="s">
        <v>2262</v>
      </c>
      <c r="D14206" s="7">
        <f>DATE(2010,4,14)</f>
        <v>40282</v>
      </c>
      <c r="E14206" s="8">
        <f t="shared" si="234"/>
        <v>2010</v>
      </c>
      <c r="F14206" t="s">
        <v>2263</v>
      </c>
      <c r="G14206" s="9">
        <v>6470.8</v>
      </c>
      <c r="H14206" s="8">
        <v>9825</v>
      </c>
    </row>
    <row r="14207" spans="2:8" x14ac:dyDescent="0.4">
      <c r="B14207" s="3" t="s">
        <v>7</v>
      </c>
      <c r="C14207" s="3" t="s">
        <v>2262</v>
      </c>
      <c r="D14207" s="4">
        <f>DATE(2011,3,3)</f>
        <v>40605</v>
      </c>
      <c r="E14207" s="5">
        <f t="shared" si="234"/>
        <v>2011</v>
      </c>
      <c r="F14207" s="3" t="s">
        <v>2263</v>
      </c>
      <c r="G14207" s="6">
        <v>4197.88</v>
      </c>
      <c r="H14207" s="5">
        <v>4300</v>
      </c>
    </row>
    <row r="14208" spans="2:8" x14ac:dyDescent="0.4">
      <c r="B14208" s="3" t="s">
        <v>7</v>
      </c>
      <c r="C14208" s="3" t="s">
        <v>2262</v>
      </c>
      <c r="D14208" s="4">
        <f>DATE(2011,6,22)</f>
        <v>40716</v>
      </c>
      <c r="E14208" s="5">
        <f t="shared" si="234"/>
        <v>2011</v>
      </c>
      <c r="F14208" s="3" t="s">
        <v>2263</v>
      </c>
      <c r="G14208" s="6">
        <v>5764.68</v>
      </c>
      <c r="H14208" s="5">
        <v>4488</v>
      </c>
    </row>
    <row r="14209" spans="2:8" x14ac:dyDescent="0.4">
      <c r="B14209" s="3" t="s">
        <v>7</v>
      </c>
      <c r="C14209" s="3" t="s">
        <v>2262</v>
      </c>
      <c r="D14209" s="4">
        <f>DATE(2012,4,27)</f>
        <v>41026</v>
      </c>
      <c r="E14209" s="5">
        <f t="shared" si="234"/>
        <v>2012</v>
      </c>
      <c r="F14209" s="3" t="s">
        <v>2263</v>
      </c>
      <c r="G14209" s="6">
        <v>32265.86</v>
      </c>
      <c r="H14209" s="5">
        <v>4956</v>
      </c>
    </row>
    <row r="14210" spans="2:8" x14ac:dyDescent="0.4">
      <c r="B14210" s="3" t="s">
        <v>7</v>
      </c>
      <c r="C14210" s="3" t="s">
        <v>2262</v>
      </c>
      <c r="D14210" s="4">
        <f>DATE(2012,12,3)</f>
        <v>41246</v>
      </c>
      <c r="E14210" s="5">
        <f t="shared" si="234"/>
        <v>2012</v>
      </c>
      <c r="F14210" s="3" t="s">
        <v>2263</v>
      </c>
      <c r="G14210" s="6">
        <v>1229</v>
      </c>
      <c r="H14210" s="5">
        <v>5298</v>
      </c>
    </row>
    <row r="14211" spans="2:8" x14ac:dyDescent="0.4">
      <c r="B14211" s="3" t="s">
        <v>7</v>
      </c>
      <c r="C14211" s="3" t="s">
        <v>2262</v>
      </c>
      <c r="D14211" s="4">
        <f>DATE(2013,1,28)</f>
        <v>41302</v>
      </c>
      <c r="E14211" s="5">
        <f t="shared" ref="E14211:E14274" si="235">YEAR(D14211)</f>
        <v>2013</v>
      </c>
      <c r="F14211" s="3" t="s">
        <v>2263</v>
      </c>
      <c r="G14211" s="6">
        <v>4653.41</v>
      </c>
      <c r="H14211" s="5">
        <v>5395</v>
      </c>
    </row>
    <row r="14212" spans="2:8" x14ac:dyDescent="0.4">
      <c r="B14212" s="3" t="s">
        <v>7</v>
      </c>
      <c r="C14212" s="3" t="s">
        <v>2262</v>
      </c>
      <c r="D14212" s="4">
        <f>DATE(2007,8,20)</f>
        <v>39314</v>
      </c>
      <c r="E14212" s="5">
        <f t="shared" si="235"/>
        <v>2007</v>
      </c>
      <c r="F14212" s="3" t="s">
        <v>2263</v>
      </c>
      <c r="G14212" s="6">
        <v>12496</v>
      </c>
      <c r="H14212" s="5">
        <v>8730</v>
      </c>
    </row>
    <row r="14213" spans="2:8" x14ac:dyDescent="0.4">
      <c r="B14213" s="3" t="s">
        <v>7</v>
      </c>
      <c r="C14213" s="3" t="s">
        <v>2262</v>
      </c>
      <c r="D14213" s="4">
        <f>DATE(2007,9,5)</f>
        <v>39330</v>
      </c>
      <c r="E14213" s="5">
        <f t="shared" si="235"/>
        <v>2007</v>
      </c>
      <c r="F14213" s="3" t="s">
        <v>2263</v>
      </c>
      <c r="G14213" s="6">
        <v>313.8</v>
      </c>
      <c r="H14213" s="5">
        <v>9089</v>
      </c>
    </row>
    <row r="14214" spans="2:8" x14ac:dyDescent="0.4">
      <c r="B14214" s="3" t="s">
        <v>7</v>
      </c>
      <c r="C14214" s="3" t="s">
        <v>2262</v>
      </c>
      <c r="D14214" s="4">
        <f>DATE(2007,9,24)</f>
        <v>39349</v>
      </c>
      <c r="E14214" s="5">
        <f t="shared" si="235"/>
        <v>2007</v>
      </c>
      <c r="F14214" s="3" t="s">
        <v>2263</v>
      </c>
      <c r="G14214" s="6">
        <v>14065.5</v>
      </c>
      <c r="H14214" s="5">
        <v>8545</v>
      </c>
    </row>
    <row r="14215" spans="2:8" x14ac:dyDescent="0.4">
      <c r="B14215" s="3" t="s">
        <v>7</v>
      </c>
      <c r="C14215" s="3" t="s">
        <v>2262</v>
      </c>
      <c r="D14215" s="4">
        <f>DATE(2007,10,18)</f>
        <v>39373</v>
      </c>
      <c r="E14215" s="5">
        <f t="shared" si="235"/>
        <v>2007</v>
      </c>
      <c r="F14215" s="3" t="s">
        <v>2263</v>
      </c>
      <c r="G14215" s="6">
        <v>12137</v>
      </c>
      <c r="H14215" s="5">
        <v>9177</v>
      </c>
    </row>
    <row r="14216" spans="2:8" x14ac:dyDescent="0.4">
      <c r="B14216" s="3" t="s">
        <v>7</v>
      </c>
      <c r="C14216" s="3" t="s">
        <v>2262</v>
      </c>
      <c r="D14216" s="4">
        <f>DATE(2008,4,16)</f>
        <v>39554</v>
      </c>
      <c r="E14216" s="5">
        <f t="shared" si="235"/>
        <v>2008</v>
      </c>
      <c r="F14216" s="3" t="s">
        <v>2263</v>
      </c>
      <c r="G14216" s="6">
        <v>2615</v>
      </c>
      <c r="H14216" s="5">
        <v>10343</v>
      </c>
    </row>
    <row r="14217" spans="2:8" x14ac:dyDescent="0.4">
      <c r="B14217" s="3" t="s">
        <v>7</v>
      </c>
      <c r="C14217" s="3" t="s">
        <v>2262</v>
      </c>
      <c r="D14217" s="4">
        <f>DATE(2008,6,12)</f>
        <v>39611</v>
      </c>
      <c r="E14217" s="5">
        <f t="shared" si="235"/>
        <v>2008</v>
      </c>
      <c r="F14217" s="3" t="s">
        <v>2263</v>
      </c>
      <c r="G14217" s="6">
        <v>4061.5</v>
      </c>
      <c r="H14217" s="5">
        <v>10836</v>
      </c>
    </row>
    <row r="14218" spans="2:8" x14ac:dyDescent="0.4">
      <c r="B14218" s="3" t="s">
        <v>7</v>
      </c>
      <c r="C14218" s="3" t="s">
        <v>2262</v>
      </c>
      <c r="D14218" s="4">
        <f>DATE(2008,6,18)</f>
        <v>39617</v>
      </c>
      <c r="E14218" s="5">
        <f t="shared" si="235"/>
        <v>2008</v>
      </c>
      <c r="F14218" s="3" t="s">
        <v>2263</v>
      </c>
      <c r="G14218" s="6">
        <v>10213</v>
      </c>
      <c r="H14218" s="5">
        <v>10789</v>
      </c>
    </row>
    <row r="14219" spans="2:8" x14ac:dyDescent="0.4">
      <c r="B14219" s="3" t="s">
        <v>7</v>
      </c>
      <c r="C14219" s="3" t="s">
        <v>2262</v>
      </c>
      <c r="D14219" s="4">
        <f>DATE(2008,8,22)</f>
        <v>39682</v>
      </c>
      <c r="E14219" s="5">
        <f t="shared" si="235"/>
        <v>2008</v>
      </c>
      <c r="F14219" s="3" t="s">
        <v>2263</v>
      </c>
      <c r="G14219" s="6">
        <v>6360</v>
      </c>
      <c r="H14219" s="5">
        <v>11137</v>
      </c>
    </row>
    <row r="14220" spans="2:8" x14ac:dyDescent="0.4">
      <c r="B14220" s="3" t="s">
        <v>7</v>
      </c>
      <c r="C14220" s="3" t="s">
        <v>2262</v>
      </c>
      <c r="D14220" s="4">
        <f>DATE(2009,8,19)</f>
        <v>40044</v>
      </c>
      <c r="E14220" s="5">
        <f t="shared" si="235"/>
        <v>2009</v>
      </c>
      <c r="F14220" s="3" t="s">
        <v>2263</v>
      </c>
      <c r="G14220" s="6">
        <v>7600</v>
      </c>
      <c r="H14220" s="5">
        <v>12853</v>
      </c>
    </row>
    <row r="14221" spans="2:8" x14ac:dyDescent="0.4">
      <c r="B14221" s="3" t="s">
        <v>7</v>
      </c>
      <c r="C14221" s="3" t="s">
        <v>2262</v>
      </c>
      <c r="D14221" s="4">
        <f>DATE(2009,10,6)</f>
        <v>40092</v>
      </c>
      <c r="E14221" s="5">
        <f t="shared" si="235"/>
        <v>2009</v>
      </c>
      <c r="F14221" s="3" t="s">
        <v>2263</v>
      </c>
      <c r="G14221" s="6">
        <v>523</v>
      </c>
      <c r="H14221" s="5">
        <v>13112</v>
      </c>
    </row>
    <row r="14222" spans="2:8" x14ac:dyDescent="0.4">
      <c r="B14222" s="3" t="s">
        <v>7</v>
      </c>
      <c r="C14222" s="3" t="s">
        <v>2262</v>
      </c>
      <c r="D14222" s="4">
        <f>DATE(2009,10,19)</f>
        <v>40105</v>
      </c>
      <c r="E14222" s="5">
        <f t="shared" si="235"/>
        <v>2009</v>
      </c>
      <c r="F14222" s="3" t="s">
        <v>2263</v>
      </c>
      <c r="G14222" s="6">
        <v>4690</v>
      </c>
      <c r="H14222" s="5">
        <v>13176</v>
      </c>
    </row>
    <row r="14223" spans="2:8" x14ac:dyDescent="0.4">
      <c r="B14223" s="3" t="s">
        <v>7</v>
      </c>
      <c r="C14223" s="3" t="s">
        <v>2262</v>
      </c>
      <c r="D14223" s="4">
        <f>DATE(2010,1,14)</f>
        <v>40192</v>
      </c>
      <c r="E14223" s="5">
        <f t="shared" si="235"/>
        <v>2010</v>
      </c>
      <c r="F14223" s="3" t="s">
        <v>2263</v>
      </c>
      <c r="G14223" s="6">
        <v>921.92</v>
      </c>
      <c r="H14223" s="5">
        <v>13447</v>
      </c>
    </row>
    <row r="14224" spans="2:8" x14ac:dyDescent="0.4">
      <c r="B14224" s="3" t="s">
        <v>7</v>
      </c>
      <c r="C14224" s="3" t="s">
        <v>2262</v>
      </c>
      <c r="D14224" s="4">
        <f>DATE(2010,8,25)</f>
        <v>40415</v>
      </c>
      <c r="E14224" s="5">
        <f t="shared" si="235"/>
        <v>2010</v>
      </c>
      <c r="F14224" s="3" t="s">
        <v>2263</v>
      </c>
      <c r="G14224" s="6">
        <v>12313</v>
      </c>
      <c r="H14224" s="5">
        <v>14234</v>
      </c>
    </row>
    <row r="14225" spans="2:8" x14ac:dyDescent="0.4">
      <c r="B14225" s="3" t="s">
        <v>7</v>
      </c>
      <c r="C14225" s="3" t="s">
        <v>2262</v>
      </c>
      <c r="D14225" s="4">
        <f>DATE(2010,8,27)</f>
        <v>40417</v>
      </c>
      <c r="E14225" s="5">
        <f t="shared" si="235"/>
        <v>2010</v>
      </c>
      <c r="F14225" s="3" t="s">
        <v>2263</v>
      </c>
      <c r="G14225" s="6">
        <v>4780.8</v>
      </c>
      <c r="H14225" s="5">
        <v>14193</v>
      </c>
    </row>
    <row r="14226" spans="2:8" x14ac:dyDescent="0.4">
      <c r="B14226" s="3" t="s">
        <v>7</v>
      </c>
      <c r="C14226" s="3" t="s">
        <v>2262</v>
      </c>
      <c r="D14226" s="4">
        <f>DATE(2010,10,13)</f>
        <v>40464</v>
      </c>
      <c r="E14226" s="5">
        <f t="shared" si="235"/>
        <v>2010</v>
      </c>
      <c r="F14226" s="3" t="s">
        <v>2263</v>
      </c>
      <c r="G14226" s="6">
        <v>11705</v>
      </c>
      <c r="H14226" s="5">
        <v>14562</v>
      </c>
    </row>
    <row r="14227" spans="2:8" x14ac:dyDescent="0.4">
      <c r="B14227" s="3" t="s">
        <v>7</v>
      </c>
      <c r="C14227" s="3" t="s">
        <v>2262</v>
      </c>
      <c r="D14227" s="4">
        <f>DATE(2010,11,10)</f>
        <v>40492</v>
      </c>
      <c r="E14227" s="5">
        <f t="shared" si="235"/>
        <v>2010</v>
      </c>
      <c r="F14227" s="3" t="s">
        <v>2263</v>
      </c>
      <c r="G14227" s="6">
        <v>16210.7</v>
      </c>
      <c r="H14227" s="5">
        <v>14723</v>
      </c>
    </row>
    <row r="14228" spans="2:8" x14ac:dyDescent="0.4">
      <c r="B14228" s="3" t="s">
        <v>7</v>
      </c>
      <c r="C14228" s="3" t="s">
        <v>2262</v>
      </c>
      <c r="D14228" s="4">
        <f>DATE(2010,11,19)</f>
        <v>40501</v>
      </c>
      <c r="E14228" s="5">
        <f t="shared" si="235"/>
        <v>2010</v>
      </c>
      <c r="F14228" s="3" t="s">
        <v>2263</v>
      </c>
      <c r="G14228" s="6">
        <v>180</v>
      </c>
      <c r="H14228" s="5">
        <v>14760</v>
      </c>
    </row>
    <row r="14229" spans="2:8" x14ac:dyDescent="0.4">
      <c r="B14229" s="3" t="s">
        <v>7</v>
      </c>
      <c r="C14229" s="3" t="s">
        <v>2262</v>
      </c>
      <c r="D14229" s="4">
        <f>DATE(2011,1,13)</f>
        <v>40556</v>
      </c>
      <c r="E14229" s="5">
        <f t="shared" si="235"/>
        <v>2011</v>
      </c>
      <c r="F14229" s="3" t="s">
        <v>2263</v>
      </c>
      <c r="G14229" s="6">
        <v>9250</v>
      </c>
      <c r="H14229" s="5">
        <v>14866</v>
      </c>
    </row>
    <row r="14230" spans="2:8" x14ac:dyDescent="0.4">
      <c r="B14230" s="3" t="s">
        <v>7</v>
      </c>
      <c r="C14230" s="3" t="s">
        <v>2262</v>
      </c>
      <c r="D14230" s="4">
        <f>DATE(2011,1,14)</f>
        <v>40557</v>
      </c>
      <c r="E14230" s="5">
        <f t="shared" si="235"/>
        <v>2011</v>
      </c>
      <c r="F14230" s="3" t="s">
        <v>2263</v>
      </c>
      <c r="G14230" s="6">
        <v>1380</v>
      </c>
      <c r="H14230" s="5">
        <v>14926</v>
      </c>
    </row>
    <row r="14231" spans="2:8" x14ac:dyDescent="0.4">
      <c r="B14231" s="3" t="s">
        <v>7</v>
      </c>
      <c r="C14231" s="3" t="s">
        <v>2262</v>
      </c>
      <c r="D14231" s="4">
        <f>DATE(2011,2,7)</f>
        <v>40581</v>
      </c>
      <c r="E14231" s="5">
        <f t="shared" si="235"/>
        <v>2011</v>
      </c>
      <c r="F14231" s="3" t="s">
        <v>2263</v>
      </c>
      <c r="G14231" s="6">
        <v>4202</v>
      </c>
      <c r="H14231" s="5">
        <v>14918</v>
      </c>
    </row>
    <row r="14232" spans="2:8" x14ac:dyDescent="0.4">
      <c r="B14232" s="3" t="s">
        <v>7</v>
      </c>
      <c r="C14232" s="3" t="s">
        <v>2262</v>
      </c>
      <c r="D14232" s="4">
        <f>DATE(2011,2,8)</f>
        <v>40582</v>
      </c>
      <c r="E14232" s="5">
        <f t="shared" si="235"/>
        <v>2011</v>
      </c>
      <c r="F14232" s="3" t="s">
        <v>2263</v>
      </c>
      <c r="G14232" s="6">
        <v>850</v>
      </c>
      <c r="H14232" s="5">
        <v>14891</v>
      </c>
    </row>
    <row r="14233" spans="2:8" x14ac:dyDescent="0.4">
      <c r="B14233" s="3" t="s">
        <v>7</v>
      </c>
      <c r="C14233" s="3" t="s">
        <v>2262</v>
      </c>
      <c r="D14233" s="4">
        <f>DATE(2011,4,7)</f>
        <v>40640</v>
      </c>
      <c r="E14233" s="5">
        <f t="shared" si="235"/>
        <v>2011</v>
      </c>
      <c r="F14233" s="3" t="s">
        <v>2263</v>
      </c>
      <c r="G14233" s="6">
        <v>9857.4</v>
      </c>
      <c r="H14233" s="5">
        <v>15386</v>
      </c>
    </row>
    <row r="14234" spans="2:8" x14ac:dyDescent="0.4">
      <c r="B14234" s="3" t="s">
        <v>7</v>
      </c>
      <c r="C14234" s="3" t="s">
        <v>2262</v>
      </c>
      <c r="D14234" s="4">
        <f>DATE(2011,6,9)</f>
        <v>40703</v>
      </c>
      <c r="E14234" s="5">
        <f t="shared" si="235"/>
        <v>2011</v>
      </c>
      <c r="F14234" s="3" t="s">
        <v>2263</v>
      </c>
      <c r="G14234" s="6">
        <v>950</v>
      </c>
      <c r="H14234" s="5">
        <v>15674</v>
      </c>
    </row>
    <row r="14235" spans="2:8" x14ac:dyDescent="0.4">
      <c r="B14235" s="3" t="s">
        <v>7</v>
      </c>
      <c r="C14235" s="3" t="s">
        <v>2262</v>
      </c>
      <c r="D14235" s="4">
        <f>DATE(2011,6,14)</f>
        <v>40708</v>
      </c>
      <c r="E14235" s="5">
        <f t="shared" si="235"/>
        <v>2011</v>
      </c>
      <c r="F14235" s="3" t="s">
        <v>2263</v>
      </c>
      <c r="G14235" s="6">
        <v>950</v>
      </c>
      <c r="H14235" s="5">
        <v>15688</v>
      </c>
    </row>
    <row r="14236" spans="2:8" x14ac:dyDescent="0.4">
      <c r="B14236" s="3" t="s">
        <v>7</v>
      </c>
      <c r="C14236" s="3" t="s">
        <v>2262</v>
      </c>
      <c r="D14236" s="4">
        <f>DATE(2011,6,14)</f>
        <v>40708</v>
      </c>
      <c r="E14236" s="5">
        <f t="shared" si="235"/>
        <v>2011</v>
      </c>
      <c r="F14236" s="3" t="s">
        <v>2263</v>
      </c>
      <c r="G14236" s="6">
        <v>800</v>
      </c>
      <c r="H14236" s="5">
        <v>15692</v>
      </c>
    </row>
    <row r="14237" spans="2:8" x14ac:dyDescent="0.4">
      <c r="B14237" s="3" t="s">
        <v>7</v>
      </c>
      <c r="C14237" s="3" t="s">
        <v>2262</v>
      </c>
      <c r="D14237" s="4">
        <f>DATE(2011,6,14)</f>
        <v>40708</v>
      </c>
      <c r="E14237" s="5">
        <f t="shared" si="235"/>
        <v>2011</v>
      </c>
      <c r="F14237" s="3" t="s">
        <v>2263</v>
      </c>
      <c r="G14237" s="6">
        <v>14562.7</v>
      </c>
      <c r="H14237" s="5">
        <v>15684</v>
      </c>
    </row>
    <row r="14238" spans="2:8" x14ac:dyDescent="0.4">
      <c r="B14238" s="3" t="s">
        <v>7</v>
      </c>
      <c r="C14238" s="3" t="s">
        <v>2262</v>
      </c>
      <c r="D14238" s="4">
        <f>DATE(2011,6,20)</f>
        <v>40714</v>
      </c>
      <c r="E14238" s="5">
        <f t="shared" si="235"/>
        <v>2011</v>
      </c>
      <c r="F14238" s="3" t="s">
        <v>2263</v>
      </c>
      <c r="G14238" s="6">
        <v>9720</v>
      </c>
      <c r="H14238" s="5">
        <v>15716</v>
      </c>
    </row>
    <row r="14239" spans="2:8" x14ac:dyDescent="0.4">
      <c r="B14239" s="3" t="s">
        <v>7</v>
      </c>
      <c r="C14239" s="3" t="s">
        <v>2262</v>
      </c>
      <c r="D14239" s="4">
        <f>DATE(2011,9,21)</f>
        <v>40807</v>
      </c>
      <c r="E14239" s="5">
        <f t="shared" si="235"/>
        <v>2011</v>
      </c>
      <c r="F14239" s="3" t="s">
        <v>2263</v>
      </c>
      <c r="G14239" s="6">
        <v>185.3</v>
      </c>
      <c r="H14239" s="5">
        <v>15999</v>
      </c>
    </row>
    <row r="14240" spans="2:8" x14ac:dyDescent="0.4">
      <c r="B14240" s="3" t="s">
        <v>7</v>
      </c>
      <c r="C14240" s="3" t="s">
        <v>2262</v>
      </c>
      <c r="D14240" s="4">
        <f>DATE(2011,10,12)</f>
        <v>40828</v>
      </c>
      <c r="E14240" s="5">
        <f t="shared" si="235"/>
        <v>2011</v>
      </c>
      <c r="F14240" s="3" t="s">
        <v>2263</v>
      </c>
      <c r="G14240" s="6">
        <v>23</v>
      </c>
      <c r="H14240" s="5">
        <v>16084</v>
      </c>
    </row>
    <row r="14241" spans="2:8" x14ac:dyDescent="0.4">
      <c r="B14241" s="3" t="s">
        <v>7</v>
      </c>
      <c r="C14241" s="3" t="s">
        <v>2262</v>
      </c>
      <c r="D14241" s="4">
        <f>DATE(2011,10,24)</f>
        <v>40840</v>
      </c>
      <c r="E14241" s="5">
        <f t="shared" si="235"/>
        <v>2011</v>
      </c>
      <c r="F14241" s="3" t="s">
        <v>2263</v>
      </c>
      <c r="G14241" s="6">
        <v>5383.52</v>
      </c>
      <c r="H14241" s="5">
        <v>16124</v>
      </c>
    </row>
    <row r="14242" spans="2:8" x14ac:dyDescent="0.4">
      <c r="B14242" s="3" t="s">
        <v>7</v>
      </c>
      <c r="C14242" s="3" t="s">
        <v>2262</v>
      </c>
      <c r="D14242" s="4">
        <f>DATE(2012,3,20)</f>
        <v>40988</v>
      </c>
      <c r="E14242" s="5">
        <f t="shared" si="235"/>
        <v>2012</v>
      </c>
      <c r="F14242" s="3" t="s">
        <v>2263</v>
      </c>
      <c r="G14242" s="6">
        <v>1830.4</v>
      </c>
      <c r="H14242" s="5">
        <v>16806</v>
      </c>
    </row>
    <row r="14243" spans="2:8" x14ac:dyDescent="0.4">
      <c r="B14243" s="3" t="s">
        <v>7</v>
      </c>
      <c r="C14243" s="3" t="s">
        <v>2262</v>
      </c>
      <c r="D14243" s="4">
        <f>DATE(2012,9,7)</f>
        <v>41159</v>
      </c>
      <c r="E14243" s="5">
        <f t="shared" si="235"/>
        <v>2012</v>
      </c>
      <c r="F14243" s="3" t="s">
        <v>2263</v>
      </c>
      <c r="G14243" s="6">
        <v>4726.3999999999996</v>
      </c>
      <c r="H14243" s="5">
        <v>17568</v>
      </c>
    </row>
    <row r="14244" spans="2:8" x14ac:dyDescent="0.4">
      <c r="B14244" s="3" t="s">
        <v>7</v>
      </c>
      <c r="C14244" s="3" t="s">
        <v>2262</v>
      </c>
      <c r="D14244" s="4">
        <f>DATE(2012,10,1)</f>
        <v>41183</v>
      </c>
      <c r="E14244" s="5">
        <f t="shared" si="235"/>
        <v>2012</v>
      </c>
      <c r="F14244" s="3" t="s">
        <v>2263</v>
      </c>
      <c r="G14244" s="6">
        <v>2610</v>
      </c>
      <c r="H14244" s="5">
        <v>17663</v>
      </c>
    </row>
    <row r="14245" spans="2:8" x14ac:dyDescent="0.4">
      <c r="B14245" s="3" t="s">
        <v>7</v>
      </c>
      <c r="C14245" s="3" t="s">
        <v>2262</v>
      </c>
      <c r="D14245" s="4">
        <f>DATE(2012,10,10)</f>
        <v>41192</v>
      </c>
      <c r="E14245" s="5">
        <f t="shared" si="235"/>
        <v>2012</v>
      </c>
      <c r="F14245" s="3" t="s">
        <v>2263</v>
      </c>
      <c r="G14245" s="6">
        <v>7500</v>
      </c>
      <c r="H14245" s="5">
        <v>17482</v>
      </c>
    </row>
    <row r="14246" spans="2:8" x14ac:dyDescent="0.4">
      <c r="B14246" s="3" t="s">
        <v>7</v>
      </c>
      <c r="C14246" s="3" t="s">
        <v>2262</v>
      </c>
      <c r="D14246" s="4">
        <f>DATE(2012,10,25)</f>
        <v>41207</v>
      </c>
      <c r="E14246" s="5">
        <f t="shared" si="235"/>
        <v>2012</v>
      </c>
      <c r="F14246" s="3" t="s">
        <v>2263</v>
      </c>
      <c r="G14246" s="6">
        <v>4320</v>
      </c>
      <c r="H14246" s="5">
        <v>17762</v>
      </c>
    </row>
    <row r="14247" spans="2:8" x14ac:dyDescent="0.4">
      <c r="B14247" s="3" t="s">
        <v>7</v>
      </c>
      <c r="C14247" s="3" t="s">
        <v>2262</v>
      </c>
      <c r="D14247" s="4">
        <f>DATE(2012,10,29)</f>
        <v>41211</v>
      </c>
      <c r="E14247" s="5">
        <f t="shared" si="235"/>
        <v>2012</v>
      </c>
      <c r="F14247" s="3" t="s">
        <v>2263</v>
      </c>
      <c r="G14247" s="6">
        <v>20600</v>
      </c>
      <c r="H14247" s="5">
        <v>17688</v>
      </c>
    </row>
    <row r="14248" spans="2:8" x14ac:dyDescent="0.4">
      <c r="B14248" s="3" t="s">
        <v>7</v>
      </c>
      <c r="C14248" s="3" t="s">
        <v>2262</v>
      </c>
      <c r="D14248" s="4">
        <f>DATE(2012,11,16)</f>
        <v>41229</v>
      </c>
      <c r="E14248" s="5">
        <f t="shared" si="235"/>
        <v>2012</v>
      </c>
      <c r="F14248" s="3" t="s">
        <v>2263</v>
      </c>
      <c r="G14248" s="6">
        <v>750</v>
      </c>
      <c r="H14248" s="5">
        <v>17840</v>
      </c>
    </row>
    <row r="14249" spans="2:8" x14ac:dyDescent="0.4">
      <c r="B14249" s="3" t="s">
        <v>7</v>
      </c>
      <c r="C14249" s="3" t="s">
        <v>2262</v>
      </c>
      <c r="D14249" s="4">
        <f>DATE(2012,12,14)</f>
        <v>41257</v>
      </c>
      <c r="E14249" s="5">
        <f t="shared" si="235"/>
        <v>2012</v>
      </c>
      <c r="F14249" s="3" t="s">
        <v>2263</v>
      </c>
      <c r="G14249" s="6">
        <v>152.51</v>
      </c>
      <c r="H14249" s="5">
        <v>17911</v>
      </c>
    </row>
    <row r="14250" spans="2:8" x14ac:dyDescent="0.4">
      <c r="B14250" s="3" t="s">
        <v>7</v>
      </c>
      <c r="C14250" s="3" t="s">
        <v>2262</v>
      </c>
      <c r="D14250" s="4">
        <f>DATE(2013,1,9)</f>
        <v>41283</v>
      </c>
      <c r="E14250" s="5">
        <f t="shared" si="235"/>
        <v>2013</v>
      </c>
      <c r="F14250" s="3" t="s">
        <v>2263</v>
      </c>
      <c r="G14250" s="6">
        <v>1091.8699999999999</v>
      </c>
      <c r="H14250" s="5">
        <v>17963</v>
      </c>
    </row>
    <row r="14251" spans="2:8" x14ac:dyDescent="0.4">
      <c r="B14251" s="3" t="s">
        <v>7</v>
      </c>
      <c r="C14251" s="3" t="s">
        <v>2262</v>
      </c>
      <c r="D14251" s="4">
        <f>DATE(2013,1,23)</f>
        <v>41297</v>
      </c>
      <c r="E14251" s="5">
        <f t="shared" si="235"/>
        <v>2013</v>
      </c>
      <c r="F14251" s="3" t="s">
        <v>2263</v>
      </c>
      <c r="G14251" s="6">
        <v>1370.6</v>
      </c>
      <c r="H14251" s="5">
        <v>18012</v>
      </c>
    </row>
    <row r="14252" spans="2:8" x14ac:dyDescent="0.4">
      <c r="B14252" s="3" t="s">
        <v>7</v>
      </c>
      <c r="C14252" s="3" t="s">
        <v>2262</v>
      </c>
      <c r="D14252" s="4">
        <f>DATE(2013,6,6)</f>
        <v>41431</v>
      </c>
      <c r="E14252" s="5">
        <f t="shared" si="235"/>
        <v>2013</v>
      </c>
      <c r="F14252" s="3" t="s">
        <v>2263</v>
      </c>
      <c r="G14252" s="6">
        <v>2610</v>
      </c>
      <c r="H14252" s="5">
        <v>18657</v>
      </c>
    </row>
    <row r="14253" spans="2:8" x14ac:dyDescent="0.4">
      <c r="B14253" s="3" t="s">
        <v>7</v>
      </c>
      <c r="C14253" s="3" t="s">
        <v>2262</v>
      </c>
      <c r="D14253" s="4">
        <f>DATE(2013,6,26)</f>
        <v>41451</v>
      </c>
      <c r="E14253" s="5">
        <f t="shared" si="235"/>
        <v>2013</v>
      </c>
      <c r="F14253" s="3" t="s">
        <v>2263</v>
      </c>
      <c r="G14253" s="6">
        <v>8513.9599999999991</v>
      </c>
      <c r="H14253" s="5">
        <v>18708</v>
      </c>
    </row>
    <row r="14254" spans="2:8" x14ac:dyDescent="0.4">
      <c r="B14254" s="3" t="s">
        <v>7</v>
      </c>
      <c r="C14254" s="3" t="s">
        <v>2262</v>
      </c>
      <c r="D14254" s="4">
        <f>DATE(2013,10,15)</f>
        <v>41562</v>
      </c>
      <c r="E14254" s="5">
        <f t="shared" si="235"/>
        <v>2013</v>
      </c>
      <c r="F14254" s="3" t="s">
        <v>2263</v>
      </c>
      <c r="G14254" s="6">
        <v>178.1</v>
      </c>
      <c r="H14254" s="5">
        <v>19097</v>
      </c>
    </row>
    <row r="14255" spans="2:8" x14ac:dyDescent="0.4">
      <c r="B14255" s="3" t="s">
        <v>16</v>
      </c>
      <c r="C14255" s="3" t="s">
        <v>2262</v>
      </c>
      <c r="D14255" s="4">
        <f>DATE(2011,6,9)</f>
        <v>40703</v>
      </c>
      <c r="E14255" s="5">
        <f t="shared" si="235"/>
        <v>2011</v>
      </c>
      <c r="F14255" s="3" t="s">
        <v>2263</v>
      </c>
      <c r="G14255" s="6">
        <v>950</v>
      </c>
      <c r="H14255" s="5">
        <v>15686</v>
      </c>
    </row>
    <row r="14256" spans="2:8" x14ac:dyDescent="0.4">
      <c r="B14256" s="3" t="s">
        <v>16</v>
      </c>
      <c r="C14256" s="3" t="s">
        <v>2262</v>
      </c>
      <c r="D14256" s="4">
        <f>DATE(2012,3,15)</f>
        <v>40983</v>
      </c>
      <c r="E14256" s="5">
        <f t="shared" si="235"/>
        <v>2012</v>
      </c>
      <c r="F14256" s="3" t="s">
        <v>2263</v>
      </c>
      <c r="G14256" s="6">
        <v>884.63</v>
      </c>
      <c r="H14256" s="5">
        <v>16890</v>
      </c>
    </row>
    <row r="14257" spans="2:8" x14ac:dyDescent="0.4">
      <c r="B14257" s="3" t="s">
        <v>7</v>
      </c>
      <c r="C14257" s="3" t="s">
        <v>2215</v>
      </c>
      <c r="D14257" s="4">
        <f>DATE(2008,12,23)</f>
        <v>39805</v>
      </c>
      <c r="E14257" s="5">
        <f t="shared" si="235"/>
        <v>2008</v>
      </c>
      <c r="F14257" s="3" t="s">
        <v>2264</v>
      </c>
      <c r="G14257" s="6">
        <v>6841.75</v>
      </c>
      <c r="H14257" s="5">
        <v>11722</v>
      </c>
    </row>
    <row r="14258" spans="2:8" x14ac:dyDescent="0.4">
      <c r="B14258" s="3" t="s">
        <v>7</v>
      </c>
      <c r="C14258" s="3" t="s">
        <v>2215</v>
      </c>
      <c r="D14258" s="4">
        <f>DATE(2004,1,19)</f>
        <v>38005</v>
      </c>
      <c r="E14258" s="5">
        <f t="shared" si="235"/>
        <v>2004</v>
      </c>
      <c r="F14258" s="3" t="s">
        <v>2265</v>
      </c>
      <c r="G14258" s="6">
        <v>4009.91</v>
      </c>
      <c r="H14258" s="5">
        <v>501</v>
      </c>
    </row>
    <row r="14259" spans="2:8" x14ac:dyDescent="0.4">
      <c r="B14259" s="3" t="s">
        <v>7</v>
      </c>
      <c r="C14259" s="3" t="s">
        <v>2215</v>
      </c>
      <c r="D14259" s="4">
        <f>DATE(2004,5,3)</f>
        <v>38110</v>
      </c>
      <c r="E14259" s="5">
        <f t="shared" si="235"/>
        <v>2004</v>
      </c>
      <c r="F14259" s="3" t="s">
        <v>2265</v>
      </c>
      <c r="G14259" s="6">
        <v>351.67</v>
      </c>
      <c r="H14259" s="5">
        <v>639</v>
      </c>
    </row>
    <row r="14260" spans="2:8" x14ac:dyDescent="0.4">
      <c r="B14260" s="3" t="s">
        <v>7</v>
      </c>
      <c r="C14260" s="3" t="s">
        <v>2215</v>
      </c>
      <c r="D14260" s="4">
        <f>DATE(2005,4,29)</f>
        <v>38471</v>
      </c>
      <c r="E14260" s="5">
        <f t="shared" si="235"/>
        <v>2005</v>
      </c>
      <c r="F14260" s="3" t="s">
        <v>2265</v>
      </c>
      <c r="G14260" s="6">
        <v>41842.68</v>
      </c>
      <c r="H14260" s="5">
        <v>1056</v>
      </c>
    </row>
    <row r="14261" spans="2:8" x14ac:dyDescent="0.4">
      <c r="B14261" s="3" t="s">
        <v>7</v>
      </c>
      <c r="C14261" s="3" t="s">
        <v>2215</v>
      </c>
      <c r="D14261" s="4">
        <f>DATE(2005,5,12)</f>
        <v>38484</v>
      </c>
      <c r="E14261" s="5">
        <f t="shared" si="235"/>
        <v>2005</v>
      </c>
      <c r="F14261" s="3" t="s">
        <v>2265</v>
      </c>
      <c r="G14261" s="6">
        <v>971.56</v>
      </c>
      <c r="H14261" s="5">
        <v>1072</v>
      </c>
    </row>
    <row r="14262" spans="2:8" x14ac:dyDescent="0.4">
      <c r="B14262" s="3" t="s">
        <v>7</v>
      </c>
      <c r="C14262" s="3" t="s">
        <v>2215</v>
      </c>
      <c r="D14262" s="4">
        <f>DATE(2005,5,5)</f>
        <v>38477</v>
      </c>
      <c r="E14262" s="5">
        <f t="shared" si="235"/>
        <v>2005</v>
      </c>
      <c r="F14262" s="3" t="s">
        <v>2265</v>
      </c>
      <c r="G14262" s="6">
        <v>1825</v>
      </c>
      <c r="H14262" s="5">
        <v>1076</v>
      </c>
    </row>
    <row r="14263" spans="2:8" x14ac:dyDescent="0.4">
      <c r="B14263" s="3" t="s">
        <v>7</v>
      </c>
      <c r="C14263" s="3" t="s">
        <v>2215</v>
      </c>
      <c r="D14263" s="4">
        <f>DATE(2008,6,19)</f>
        <v>39618</v>
      </c>
      <c r="E14263" s="5">
        <f t="shared" si="235"/>
        <v>2008</v>
      </c>
      <c r="F14263" s="3" t="s">
        <v>2265</v>
      </c>
      <c r="G14263" s="6">
        <v>1144.27</v>
      </c>
      <c r="H14263" s="5">
        <v>2894</v>
      </c>
    </row>
    <row r="14264" spans="2:8" x14ac:dyDescent="0.4">
      <c r="B14264" s="3" t="s">
        <v>7</v>
      </c>
      <c r="C14264" s="3" t="s">
        <v>2215</v>
      </c>
      <c r="D14264" s="4">
        <f>DATE(2003,4,4)</f>
        <v>37715</v>
      </c>
      <c r="E14264" s="5">
        <f t="shared" si="235"/>
        <v>2003</v>
      </c>
      <c r="F14264" s="3" t="s">
        <v>2265</v>
      </c>
      <c r="G14264" s="6">
        <v>1857.25</v>
      </c>
      <c r="H14264" s="5">
        <v>686</v>
      </c>
    </row>
    <row r="14265" spans="2:8" x14ac:dyDescent="0.4">
      <c r="B14265" s="3" t="s">
        <v>7</v>
      </c>
      <c r="C14265" s="3" t="s">
        <v>2215</v>
      </c>
      <c r="D14265" s="4">
        <f>DATE(2003,4,30)</f>
        <v>37741</v>
      </c>
      <c r="E14265" s="5">
        <f t="shared" si="235"/>
        <v>2003</v>
      </c>
      <c r="F14265" s="3" t="s">
        <v>2265</v>
      </c>
      <c r="G14265" s="6">
        <v>2001.5</v>
      </c>
      <c r="H14265" s="5">
        <v>868</v>
      </c>
    </row>
    <row r="14266" spans="2:8" x14ac:dyDescent="0.4">
      <c r="B14266" s="3" t="s">
        <v>7</v>
      </c>
      <c r="C14266" s="3" t="s">
        <v>2215</v>
      </c>
      <c r="D14266" s="4">
        <f>DATE(2003,6,24)</f>
        <v>37796</v>
      </c>
      <c r="E14266" s="5">
        <f t="shared" si="235"/>
        <v>2003</v>
      </c>
      <c r="F14266" s="3" t="s">
        <v>2265</v>
      </c>
      <c r="G14266" s="6">
        <v>2591.5</v>
      </c>
      <c r="H14266" s="5">
        <v>1142</v>
      </c>
    </row>
    <row r="14267" spans="2:8" x14ac:dyDescent="0.4">
      <c r="B14267" s="3" t="s">
        <v>7</v>
      </c>
      <c r="C14267" s="3" t="s">
        <v>2215</v>
      </c>
      <c r="D14267" s="4">
        <f>DATE(2003,7,16)</f>
        <v>37818</v>
      </c>
      <c r="E14267" s="5">
        <f t="shared" si="235"/>
        <v>2003</v>
      </c>
      <c r="F14267" s="3" t="s">
        <v>2265</v>
      </c>
      <c r="G14267" s="6">
        <v>1696</v>
      </c>
      <c r="H14267" s="5">
        <v>1233</v>
      </c>
    </row>
    <row r="14268" spans="2:8" x14ac:dyDescent="0.4">
      <c r="B14268" s="3" t="s">
        <v>7</v>
      </c>
      <c r="C14268" s="3" t="s">
        <v>2215</v>
      </c>
      <c r="D14268" s="4">
        <f>DATE(2003,7,18)</f>
        <v>37820</v>
      </c>
      <c r="E14268" s="5">
        <f t="shared" si="235"/>
        <v>2003</v>
      </c>
      <c r="F14268" s="3" t="s">
        <v>2265</v>
      </c>
      <c r="G14268" s="6">
        <v>1658.2</v>
      </c>
      <c r="H14268" s="5">
        <v>1238</v>
      </c>
    </row>
    <row r="14269" spans="2:8" x14ac:dyDescent="0.4">
      <c r="B14269" s="3" t="s">
        <v>7</v>
      </c>
      <c r="C14269" s="3" t="s">
        <v>2215</v>
      </c>
      <c r="D14269" s="4">
        <f>DATE(2003,9,4)</f>
        <v>37868</v>
      </c>
      <c r="E14269" s="5">
        <f t="shared" si="235"/>
        <v>2003</v>
      </c>
      <c r="F14269" s="3" t="s">
        <v>2265</v>
      </c>
      <c r="G14269" s="6">
        <v>1878.55</v>
      </c>
      <c r="H14269" s="5">
        <v>1449</v>
      </c>
    </row>
    <row r="14270" spans="2:8" x14ac:dyDescent="0.4">
      <c r="B14270" s="3" t="s">
        <v>7</v>
      </c>
      <c r="C14270" s="3" t="s">
        <v>2215</v>
      </c>
      <c r="D14270" s="4">
        <f>DATE(2003,12,1)</f>
        <v>37956</v>
      </c>
      <c r="E14270" s="5">
        <f t="shared" si="235"/>
        <v>2003</v>
      </c>
      <c r="F14270" s="3" t="s">
        <v>2265</v>
      </c>
      <c r="G14270" s="6">
        <v>1659.5</v>
      </c>
      <c r="H14270" s="5">
        <v>1842</v>
      </c>
    </row>
    <row r="14271" spans="2:8" x14ac:dyDescent="0.4">
      <c r="B14271" s="3" t="s">
        <v>7</v>
      </c>
      <c r="C14271" s="3" t="s">
        <v>2215</v>
      </c>
      <c r="D14271" s="4">
        <f>DATE(2004,2,17)</f>
        <v>38034</v>
      </c>
      <c r="E14271" s="5">
        <f t="shared" si="235"/>
        <v>2004</v>
      </c>
      <c r="F14271" s="3" t="s">
        <v>2265</v>
      </c>
      <c r="G14271" s="6">
        <v>1828.25</v>
      </c>
      <c r="H14271" s="5">
        <v>2189</v>
      </c>
    </row>
    <row r="14272" spans="2:8" x14ac:dyDescent="0.4">
      <c r="B14272" s="3" t="s">
        <v>7</v>
      </c>
      <c r="C14272" s="3" t="s">
        <v>2215</v>
      </c>
      <c r="D14272" s="4">
        <f>DATE(2004,2,26)</f>
        <v>38043</v>
      </c>
      <c r="E14272" s="5">
        <f t="shared" si="235"/>
        <v>2004</v>
      </c>
      <c r="F14272" s="3" t="s">
        <v>2265</v>
      </c>
      <c r="G14272" s="6">
        <v>1488.75</v>
      </c>
      <c r="H14272" s="5">
        <v>2269</v>
      </c>
    </row>
    <row r="14273" spans="2:8" x14ac:dyDescent="0.4">
      <c r="B14273" s="3" t="s">
        <v>7</v>
      </c>
      <c r="C14273" s="3" t="s">
        <v>2215</v>
      </c>
      <c r="D14273" s="4">
        <f>DATE(2004,5,4)</f>
        <v>38111</v>
      </c>
      <c r="E14273" s="5">
        <f t="shared" si="235"/>
        <v>2004</v>
      </c>
      <c r="F14273" s="3" t="s">
        <v>2265</v>
      </c>
      <c r="G14273" s="6">
        <v>6316</v>
      </c>
      <c r="H14273" s="5">
        <v>2791</v>
      </c>
    </row>
    <row r="14274" spans="2:8" x14ac:dyDescent="0.4">
      <c r="B14274" s="3" t="s">
        <v>7</v>
      </c>
      <c r="C14274" s="3" t="s">
        <v>2215</v>
      </c>
      <c r="D14274" s="4">
        <f>DATE(2004,5,12)</f>
        <v>38119</v>
      </c>
      <c r="E14274" s="5">
        <f t="shared" si="235"/>
        <v>2004</v>
      </c>
      <c r="F14274" s="3" t="s">
        <v>2265</v>
      </c>
      <c r="G14274" s="6">
        <v>1991.95</v>
      </c>
      <c r="H14274" s="5">
        <v>2871</v>
      </c>
    </row>
    <row r="14275" spans="2:8" x14ac:dyDescent="0.4">
      <c r="B14275" s="3" t="s">
        <v>7</v>
      </c>
      <c r="C14275" s="3" t="s">
        <v>2215</v>
      </c>
      <c r="D14275" s="4">
        <f>DATE(2004,5,20)</f>
        <v>38127</v>
      </c>
      <c r="E14275" s="5">
        <f t="shared" ref="E14275:E14338" si="236">YEAR(D14275)</f>
        <v>2004</v>
      </c>
      <c r="F14275" s="3" t="s">
        <v>2265</v>
      </c>
      <c r="G14275" s="6">
        <v>4084.5</v>
      </c>
      <c r="H14275" s="5">
        <v>2912</v>
      </c>
    </row>
    <row r="14276" spans="2:8" x14ac:dyDescent="0.4">
      <c r="B14276" s="3" t="s">
        <v>7</v>
      </c>
      <c r="C14276" s="3" t="s">
        <v>2215</v>
      </c>
      <c r="D14276" s="4">
        <f>DATE(2004,9,8)</f>
        <v>38238</v>
      </c>
      <c r="E14276" s="5">
        <f t="shared" si="236"/>
        <v>2004</v>
      </c>
      <c r="F14276" s="3" t="s">
        <v>2265</v>
      </c>
      <c r="G14276" s="6">
        <v>3068</v>
      </c>
      <c r="H14276" s="5">
        <v>3348</v>
      </c>
    </row>
    <row r="14277" spans="2:8" x14ac:dyDescent="0.4">
      <c r="B14277" s="3" t="s">
        <v>7</v>
      </c>
      <c r="C14277" s="3" t="s">
        <v>2215</v>
      </c>
      <c r="D14277" s="4">
        <f>DATE(2004,11,18)</f>
        <v>38309</v>
      </c>
      <c r="E14277" s="5">
        <f t="shared" si="236"/>
        <v>2004</v>
      </c>
      <c r="F14277" s="3" t="s">
        <v>2265</v>
      </c>
      <c r="G14277" s="6">
        <v>3127.9</v>
      </c>
      <c r="H14277" s="5">
        <v>3711</v>
      </c>
    </row>
    <row r="14278" spans="2:8" x14ac:dyDescent="0.4">
      <c r="B14278" s="3" t="s">
        <v>7</v>
      </c>
      <c r="C14278" s="3" t="s">
        <v>2215</v>
      </c>
      <c r="D14278" s="4">
        <f>DATE(2004,12,15)</f>
        <v>38336</v>
      </c>
      <c r="E14278" s="5">
        <f t="shared" si="236"/>
        <v>2004</v>
      </c>
      <c r="F14278" s="3" t="s">
        <v>2265</v>
      </c>
      <c r="G14278" s="6">
        <v>162</v>
      </c>
      <c r="H14278" s="5">
        <v>3827</v>
      </c>
    </row>
    <row r="14279" spans="2:8" x14ac:dyDescent="0.4">
      <c r="B14279" s="3" t="s">
        <v>7</v>
      </c>
      <c r="C14279" s="3" t="s">
        <v>2215</v>
      </c>
      <c r="D14279" s="4">
        <f>DATE(2005,1,14)</f>
        <v>38366</v>
      </c>
      <c r="E14279" s="5">
        <f t="shared" si="236"/>
        <v>2005</v>
      </c>
      <c r="F14279" s="3" t="s">
        <v>2265</v>
      </c>
      <c r="G14279" s="6">
        <v>2759</v>
      </c>
      <c r="H14279" s="5">
        <v>3958</v>
      </c>
    </row>
    <row r="14280" spans="2:8" x14ac:dyDescent="0.4">
      <c r="B14280" s="3" t="s">
        <v>7</v>
      </c>
      <c r="C14280" s="3" t="s">
        <v>2215</v>
      </c>
      <c r="D14280" s="4">
        <f>DATE(2005,2,4)</f>
        <v>38387</v>
      </c>
      <c r="E14280" s="5">
        <f t="shared" si="236"/>
        <v>2005</v>
      </c>
      <c r="F14280" s="3" t="s">
        <v>2265</v>
      </c>
      <c r="G14280" s="6">
        <v>2013.75</v>
      </c>
      <c r="H14280" s="5">
        <v>4077</v>
      </c>
    </row>
    <row r="14281" spans="2:8" x14ac:dyDescent="0.4">
      <c r="B14281" s="3" t="s">
        <v>7</v>
      </c>
      <c r="C14281" s="3" t="s">
        <v>2215</v>
      </c>
      <c r="D14281" s="4">
        <f>DATE(2005,2,15)</f>
        <v>38398</v>
      </c>
      <c r="E14281" s="5">
        <f t="shared" si="236"/>
        <v>2005</v>
      </c>
      <c r="F14281" s="3" t="s">
        <v>2265</v>
      </c>
      <c r="G14281" s="6">
        <v>1411.25</v>
      </c>
      <c r="H14281" s="5">
        <v>4146</v>
      </c>
    </row>
    <row r="14282" spans="2:8" x14ac:dyDescent="0.4">
      <c r="B14282" s="3" t="s">
        <v>7</v>
      </c>
      <c r="C14282" s="3" t="s">
        <v>2215</v>
      </c>
      <c r="D14282" s="4">
        <f>DATE(2005,3,18)</f>
        <v>38429</v>
      </c>
      <c r="E14282" s="5">
        <f t="shared" si="236"/>
        <v>2005</v>
      </c>
      <c r="F14282" s="3" t="s">
        <v>2265</v>
      </c>
      <c r="G14282" s="6">
        <v>2121.5</v>
      </c>
      <c r="H14282" s="5">
        <v>4353</v>
      </c>
    </row>
    <row r="14283" spans="2:8" x14ac:dyDescent="0.4">
      <c r="B14283" s="3" t="s">
        <v>7</v>
      </c>
      <c r="C14283" s="3" t="s">
        <v>2215</v>
      </c>
      <c r="D14283" s="4">
        <f>DATE(2005,4,5)</f>
        <v>38447</v>
      </c>
      <c r="E14283" s="5">
        <f t="shared" si="236"/>
        <v>2005</v>
      </c>
      <c r="F14283" s="3" t="s">
        <v>2265</v>
      </c>
      <c r="G14283" s="6">
        <v>1948.25</v>
      </c>
      <c r="H14283" s="5">
        <v>4477</v>
      </c>
    </row>
    <row r="14284" spans="2:8" x14ac:dyDescent="0.4">
      <c r="B14284" s="3" t="s">
        <v>7</v>
      </c>
      <c r="C14284" s="3" t="s">
        <v>2215</v>
      </c>
      <c r="D14284" s="4">
        <f>DATE(2005,4,5)</f>
        <v>38447</v>
      </c>
      <c r="E14284" s="5">
        <f t="shared" si="236"/>
        <v>2005</v>
      </c>
      <c r="F14284" s="3" t="s">
        <v>2265</v>
      </c>
      <c r="G14284" s="6">
        <v>8422.65</v>
      </c>
      <c r="H14284" s="5">
        <v>4402</v>
      </c>
    </row>
    <row r="14285" spans="2:8" x14ac:dyDescent="0.4">
      <c r="B14285" s="3" t="s">
        <v>7</v>
      </c>
      <c r="C14285" s="3" t="s">
        <v>2215</v>
      </c>
      <c r="D14285" s="4">
        <f>DATE(2005,6,3)</f>
        <v>38506</v>
      </c>
      <c r="E14285" s="5">
        <f t="shared" si="236"/>
        <v>2005</v>
      </c>
      <c r="F14285" s="3" t="s">
        <v>2265</v>
      </c>
      <c r="G14285" s="6">
        <v>2573.25</v>
      </c>
      <c r="H14285" s="5">
        <v>4817</v>
      </c>
    </row>
    <row r="14286" spans="2:8" x14ac:dyDescent="0.4">
      <c r="B14286" s="3" t="s">
        <v>7</v>
      </c>
      <c r="C14286" s="3" t="s">
        <v>2215</v>
      </c>
      <c r="D14286" s="4">
        <f>DATE(2005,9,7)</f>
        <v>38602</v>
      </c>
      <c r="E14286" s="5">
        <f t="shared" si="236"/>
        <v>2005</v>
      </c>
      <c r="F14286" s="3" t="s">
        <v>2265</v>
      </c>
      <c r="G14286" s="6">
        <v>1973.5</v>
      </c>
      <c r="H14286" s="5">
        <v>5212</v>
      </c>
    </row>
    <row r="14287" spans="2:8" x14ac:dyDescent="0.4">
      <c r="B14287" s="3" t="s">
        <v>7</v>
      </c>
      <c r="C14287" s="3" t="s">
        <v>2215</v>
      </c>
      <c r="D14287" s="4">
        <f>DATE(2005,10,4)</f>
        <v>38629</v>
      </c>
      <c r="E14287" s="5">
        <f t="shared" si="236"/>
        <v>2005</v>
      </c>
      <c r="F14287" s="3" t="s">
        <v>2265</v>
      </c>
      <c r="G14287" s="6">
        <v>3997.25</v>
      </c>
      <c r="H14287" s="5">
        <v>5364</v>
      </c>
    </row>
    <row r="14288" spans="2:8" x14ac:dyDescent="0.4">
      <c r="B14288" s="3" t="s">
        <v>7</v>
      </c>
      <c r="C14288" s="3" t="s">
        <v>2215</v>
      </c>
      <c r="D14288" s="4">
        <f>DATE(2005,10,13)</f>
        <v>38638</v>
      </c>
      <c r="E14288" s="5">
        <f t="shared" si="236"/>
        <v>2005</v>
      </c>
      <c r="F14288" s="3" t="s">
        <v>2265</v>
      </c>
      <c r="G14288" s="6">
        <v>1910.25</v>
      </c>
      <c r="H14288" s="5">
        <v>5430</v>
      </c>
    </row>
    <row r="14289" spans="2:8" x14ac:dyDescent="0.4">
      <c r="B14289" s="3" t="s">
        <v>7</v>
      </c>
      <c r="C14289" s="3" t="s">
        <v>2215</v>
      </c>
      <c r="D14289" s="4">
        <f>DATE(2006,1,6)</f>
        <v>38723</v>
      </c>
      <c r="E14289" s="5">
        <f t="shared" si="236"/>
        <v>2006</v>
      </c>
      <c r="F14289" s="3" t="s">
        <v>2265</v>
      </c>
      <c r="G14289" s="6">
        <v>1546.5</v>
      </c>
      <c r="H14289" s="5">
        <v>5799</v>
      </c>
    </row>
    <row r="14290" spans="2:8" x14ac:dyDescent="0.4">
      <c r="B14290" s="3" t="s">
        <v>7</v>
      </c>
      <c r="C14290" s="3" t="s">
        <v>2215</v>
      </c>
      <c r="D14290" s="4">
        <f>DATE(2006,3,16)</f>
        <v>38792</v>
      </c>
      <c r="E14290" s="5">
        <f t="shared" si="236"/>
        <v>2006</v>
      </c>
      <c r="F14290" s="3" t="s">
        <v>2265</v>
      </c>
      <c r="G14290" s="6">
        <v>1550.09</v>
      </c>
      <c r="H14290" s="5">
        <v>6296</v>
      </c>
    </row>
    <row r="14291" spans="2:8" x14ac:dyDescent="0.4">
      <c r="B14291" s="3" t="s">
        <v>7</v>
      </c>
      <c r="C14291" s="3" t="s">
        <v>2215</v>
      </c>
      <c r="D14291" s="4">
        <f>DATE(2006,4,27)</f>
        <v>38834</v>
      </c>
      <c r="E14291" s="5">
        <f t="shared" si="236"/>
        <v>2006</v>
      </c>
      <c r="F14291" s="3" t="s">
        <v>2265</v>
      </c>
      <c r="G14291" s="6">
        <v>3212.38</v>
      </c>
      <c r="H14291" s="5">
        <v>6625</v>
      </c>
    </row>
    <row r="14292" spans="2:8" x14ac:dyDescent="0.4">
      <c r="B14292" s="3" t="s">
        <v>7</v>
      </c>
      <c r="C14292" s="3" t="s">
        <v>2215</v>
      </c>
      <c r="D14292" s="4">
        <f>DATE(2006,4,28)</f>
        <v>38835</v>
      </c>
      <c r="E14292" s="5">
        <f t="shared" si="236"/>
        <v>2006</v>
      </c>
      <c r="F14292" s="3" t="s">
        <v>2265</v>
      </c>
      <c r="G14292" s="6">
        <v>132.25</v>
      </c>
      <c r="H14292" s="5">
        <v>6663</v>
      </c>
    </row>
    <row r="14293" spans="2:8" x14ac:dyDescent="0.4">
      <c r="B14293" s="3" t="s">
        <v>7</v>
      </c>
      <c r="C14293" s="3" t="s">
        <v>2215</v>
      </c>
      <c r="D14293" s="4">
        <f>DATE(2006,6,7)</f>
        <v>38875</v>
      </c>
      <c r="E14293" s="5">
        <f t="shared" si="236"/>
        <v>2006</v>
      </c>
      <c r="F14293" s="3" t="s">
        <v>2265</v>
      </c>
      <c r="G14293" s="6">
        <v>4558.3</v>
      </c>
      <c r="H14293" s="5">
        <v>6817</v>
      </c>
    </row>
    <row r="14294" spans="2:8" x14ac:dyDescent="0.4">
      <c r="B14294" s="3" t="s">
        <v>7</v>
      </c>
      <c r="C14294" s="3" t="s">
        <v>2215</v>
      </c>
      <c r="D14294" s="4">
        <f>DATE(2006,6,14)</f>
        <v>38882</v>
      </c>
      <c r="E14294" s="5">
        <f t="shared" si="236"/>
        <v>2006</v>
      </c>
      <c r="F14294" s="3" t="s">
        <v>2265</v>
      </c>
      <c r="G14294" s="6">
        <v>896.35</v>
      </c>
      <c r="H14294" s="5">
        <v>6858</v>
      </c>
    </row>
    <row r="14295" spans="2:8" x14ac:dyDescent="0.4">
      <c r="B14295" s="3" t="s">
        <v>7</v>
      </c>
      <c r="C14295" s="3" t="s">
        <v>2215</v>
      </c>
      <c r="D14295" s="4">
        <f>DATE(2006,8,8)</f>
        <v>38937</v>
      </c>
      <c r="E14295" s="5">
        <f t="shared" si="236"/>
        <v>2006</v>
      </c>
      <c r="F14295" s="3" t="s">
        <v>2265</v>
      </c>
      <c r="G14295" s="6">
        <v>3773.15</v>
      </c>
      <c r="H14295" s="5">
        <v>7048</v>
      </c>
    </row>
    <row r="14296" spans="2:8" x14ac:dyDescent="0.4">
      <c r="B14296" s="3" t="s">
        <v>7</v>
      </c>
      <c r="C14296" s="3" t="s">
        <v>2215</v>
      </c>
      <c r="D14296" s="4">
        <f>DATE(2006,8,22)</f>
        <v>38951</v>
      </c>
      <c r="E14296" s="5">
        <f t="shared" si="236"/>
        <v>2006</v>
      </c>
      <c r="F14296" s="3" t="s">
        <v>2265</v>
      </c>
      <c r="G14296" s="6">
        <v>1347.61</v>
      </c>
      <c r="H14296" s="5">
        <v>7129</v>
      </c>
    </row>
    <row r="14297" spans="2:8" x14ac:dyDescent="0.4">
      <c r="B14297" s="3" t="s">
        <v>7</v>
      </c>
      <c r="C14297" s="3" t="s">
        <v>2215</v>
      </c>
      <c r="D14297" s="4">
        <f>DATE(2006,9,13)</f>
        <v>38973</v>
      </c>
      <c r="E14297" s="5">
        <f t="shared" si="236"/>
        <v>2006</v>
      </c>
      <c r="F14297" s="3" t="s">
        <v>2265</v>
      </c>
      <c r="G14297" s="6">
        <v>1300.1199999999999</v>
      </c>
      <c r="H14297" s="5">
        <v>7225</v>
      </c>
    </row>
    <row r="14298" spans="2:8" x14ac:dyDescent="0.4">
      <c r="B14298" s="3" t="s">
        <v>7</v>
      </c>
      <c r="C14298" s="3" t="s">
        <v>2215</v>
      </c>
      <c r="D14298" s="4">
        <f>DATE(2006,10,10)</f>
        <v>39000</v>
      </c>
      <c r="E14298" s="5">
        <f t="shared" si="236"/>
        <v>2006</v>
      </c>
      <c r="F14298" s="3" t="s">
        <v>2265</v>
      </c>
      <c r="G14298" s="6">
        <v>3427.95</v>
      </c>
      <c r="H14298" s="5">
        <v>7357</v>
      </c>
    </row>
    <row r="14299" spans="2:8" x14ac:dyDescent="0.4">
      <c r="B14299" s="3" t="s">
        <v>7</v>
      </c>
      <c r="C14299" s="3" t="s">
        <v>2215</v>
      </c>
      <c r="D14299" s="4">
        <f>DATE(2007,2,13)</f>
        <v>39126</v>
      </c>
      <c r="E14299" s="5">
        <f t="shared" si="236"/>
        <v>2007</v>
      </c>
      <c r="F14299" s="3" t="s">
        <v>2265</v>
      </c>
      <c r="G14299" s="6">
        <v>2293.2399999999998</v>
      </c>
      <c r="H14299" s="5">
        <v>7935</v>
      </c>
    </row>
    <row r="14300" spans="2:8" x14ac:dyDescent="0.4">
      <c r="B14300" s="3" t="s">
        <v>7</v>
      </c>
      <c r="C14300" s="3" t="s">
        <v>2215</v>
      </c>
      <c r="D14300" s="4">
        <f>DATE(2007,2,22)</f>
        <v>39135</v>
      </c>
      <c r="E14300" s="5">
        <f t="shared" si="236"/>
        <v>2007</v>
      </c>
      <c r="F14300" s="3" t="s">
        <v>2265</v>
      </c>
      <c r="G14300" s="6">
        <v>5908.91</v>
      </c>
      <c r="H14300" s="5">
        <v>8002</v>
      </c>
    </row>
    <row r="14301" spans="2:8" x14ac:dyDescent="0.4">
      <c r="B14301" s="3" t="s">
        <v>7</v>
      </c>
      <c r="C14301" s="3" t="s">
        <v>2215</v>
      </c>
      <c r="D14301" s="4">
        <f>DATE(2007,2,27)</f>
        <v>39140</v>
      </c>
      <c r="E14301" s="5">
        <f t="shared" si="236"/>
        <v>2007</v>
      </c>
      <c r="F14301" s="3" t="s">
        <v>2265</v>
      </c>
      <c r="G14301" s="6">
        <v>3791.53</v>
      </c>
      <c r="H14301" s="5">
        <v>8010</v>
      </c>
    </row>
    <row r="14302" spans="2:8" x14ac:dyDescent="0.4">
      <c r="B14302" s="3" t="s">
        <v>7</v>
      </c>
      <c r="C14302" s="3" t="s">
        <v>2215</v>
      </c>
      <c r="D14302" s="4">
        <f>DATE(2007,3,21)</f>
        <v>39162</v>
      </c>
      <c r="E14302" s="5">
        <f t="shared" si="236"/>
        <v>2007</v>
      </c>
      <c r="F14302" s="3" t="s">
        <v>2265</v>
      </c>
      <c r="G14302" s="6">
        <v>2416.2199999999998</v>
      </c>
      <c r="H14302" s="5">
        <v>8188</v>
      </c>
    </row>
    <row r="14303" spans="2:8" x14ac:dyDescent="0.4">
      <c r="B14303" s="3" t="s">
        <v>7</v>
      </c>
      <c r="C14303" s="3" t="s">
        <v>2215</v>
      </c>
      <c r="D14303" s="4">
        <f>DATE(2007,6,4)</f>
        <v>39237</v>
      </c>
      <c r="E14303" s="5">
        <f t="shared" si="236"/>
        <v>2007</v>
      </c>
      <c r="F14303" s="3" t="s">
        <v>2265</v>
      </c>
      <c r="G14303" s="6">
        <v>1650.97</v>
      </c>
      <c r="H14303" s="5">
        <v>8688</v>
      </c>
    </row>
    <row r="14304" spans="2:8" x14ac:dyDescent="0.4">
      <c r="B14304" s="3" t="s">
        <v>7</v>
      </c>
      <c r="C14304" s="3" t="s">
        <v>2215</v>
      </c>
      <c r="D14304" s="4">
        <f>DATE(2007,6,12)</f>
        <v>39245</v>
      </c>
      <c r="E14304" s="5">
        <f t="shared" si="236"/>
        <v>2007</v>
      </c>
      <c r="F14304" s="3" t="s">
        <v>2265</v>
      </c>
      <c r="G14304" s="6">
        <v>3621.12</v>
      </c>
      <c r="H14304" s="5">
        <v>8750</v>
      </c>
    </row>
    <row r="14305" spans="2:8" x14ac:dyDescent="0.4">
      <c r="B14305" s="3" t="s">
        <v>7</v>
      </c>
      <c r="C14305" s="3" t="s">
        <v>2215</v>
      </c>
      <c r="D14305" s="4">
        <f>DATE(2007,7,30)</f>
        <v>39293</v>
      </c>
      <c r="E14305" s="5">
        <f t="shared" si="236"/>
        <v>2007</v>
      </c>
      <c r="F14305" s="3" t="s">
        <v>2265</v>
      </c>
      <c r="G14305" s="6">
        <v>1379.45</v>
      </c>
      <c r="H14305" s="5">
        <v>8953</v>
      </c>
    </row>
    <row r="14306" spans="2:8" x14ac:dyDescent="0.4">
      <c r="B14306" s="3" t="s">
        <v>7</v>
      </c>
      <c r="C14306" s="3" t="s">
        <v>2215</v>
      </c>
      <c r="D14306" s="4">
        <f>DATE(2007,9,7)</f>
        <v>39332</v>
      </c>
      <c r="E14306" s="5">
        <f t="shared" si="236"/>
        <v>2007</v>
      </c>
      <c r="F14306" s="3" t="s">
        <v>2265</v>
      </c>
      <c r="G14306" s="6">
        <v>4276.25</v>
      </c>
      <c r="H14306" s="5">
        <v>9135</v>
      </c>
    </row>
    <row r="14307" spans="2:8" x14ac:dyDescent="0.4">
      <c r="B14307" s="3" t="s">
        <v>7</v>
      </c>
      <c r="C14307" s="3" t="s">
        <v>2215</v>
      </c>
      <c r="D14307" s="4">
        <f>DATE(2007,9,14)</f>
        <v>39339</v>
      </c>
      <c r="E14307" s="5">
        <f t="shared" si="236"/>
        <v>2007</v>
      </c>
      <c r="F14307" s="3" t="s">
        <v>2265</v>
      </c>
      <c r="G14307" s="6">
        <v>1412.95</v>
      </c>
      <c r="H14307" s="5">
        <v>9169</v>
      </c>
    </row>
    <row r="14308" spans="2:8" x14ac:dyDescent="0.4">
      <c r="B14308" s="3" t="s">
        <v>7</v>
      </c>
      <c r="C14308" s="3" t="s">
        <v>2215</v>
      </c>
      <c r="D14308" s="4">
        <f>DATE(2007,10,17)</f>
        <v>39372</v>
      </c>
      <c r="E14308" s="5">
        <f t="shared" si="236"/>
        <v>2007</v>
      </c>
      <c r="F14308" s="3" t="s">
        <v>2265</v>
      </c>
      <c r="G14308" s="6">
        <v>1691.54</v>
      </c>
      <c r="H14308" s="5">
        <v>9351</v>
      </c>
    </row>
    <row r="14309" spans="2:8" x14ac:dyDescent="0.4">
      <c r="B14309" s="3" t="s">
        <v>7</v>
      </c>
      <c r="C14309" s="3" t="s">
        <v>2215</v>
      </c>
      <c r="D14309" s="4">
        <f>DATE(2007,10,30)</f>
        <v>39385</v>
      </c>
      <c r="E14309" s="5">
        <f t="shared" si="236"/>
        <v>2007</v>
      </c>
      <c r="F14309" s="3" t="s">
        <v>2265</v>
      </c>
      <c r="G14309" s="6">
        <v>1591.1</v>
      </c>
      <c r="H14309" s="5">
        <v>9403</v>
      </c>
    </row>
    <row r="14310" spans="2:8" x14ac:dyDescent="0.4">
      <c r="B14310" s="3" t="s">
        <v>7</v>
      </c>
      <c r="C14310" s="3" t="s">
        <v>2215</v>
      </c>
      <c r="D14310" s="4">
        <f>DATE(2007,12,14)</f>
        <v>39430</v>
      </c>
      <c r="E14310" s="5">
        <f t="shared" si="236"/>
        <v>2007</v>
      </c>
      <c r="F14310" s="3" t="s">
        <v>2265</v>
      </c>
      <c r="G14310" s="6">
        <v>3674.5</v>
      </c>
      <c r="H14310" s="5">
        <v>9603</v>
      </c>
    </row>
    <row r="14311" spans="2:8" x14ac:dyDescent="0.4">
      <c r="B14311" s="3" t="s">
        <v>7</v>
      </c>
      <c r="C14311" s="3" t="s">
        <v>2215</v>
      </c>
      <c r="D14311" s="4">
        <f>DATE(2008,3,11)</f>
        <v>39518</v>
      </c>
      <c r="E14311" s="5">
        <f t="shared" si="236"/>
        <v>2008</v>
      </c>
      <c r="F14311" s="3" t="s">
        <v>2265</v>
      </c>
      <c r="G14311" s="6">
        <v>3667.76</v>
      </c>
      <c r="H14311" s="5">
        <v>10171</v>
      </c>
    </row>
    <row r="14312" spans="2:8" x14ac:dyDescent="0.4">
      <c r="B14312" s="3" t="s">
        <v>7</v>
      </c>
      <c r="C14312" s="3" t="s">
        <v>2215</v>
      </c>
      <c r="D14312" s="4">
        <f>DATE(2008,4,4)</f>
        <v>39542</v>
      </c>
      <c r="E14312" s="5">
        <f t="shared" si="236"/>
        <v>2008</v>
      </c>
      <c r="F14312" s="3" t="s">
        <v>2265</v>
      </c>
      <c r="G14312" s="6">
        <v>5015.63</v>
      </c>
      <c r="H14312" s="5">
        <v>10382</v>
      </c>
    </row>
    <row r="14313" spans="2:8" x14ac:dyDescent="0.4">
      <c r="B14313" s="3" t="s">
        <v>7</v>
      </c>
      <c r="C14313" s="3" t="s">
        <v>2215</v>
      </c>
      <c r="D14313" s="4">
        <f>DATE(2008,5,2)</f>
        <v>39570</v>
      </c>
      <c r="E14313" s="5">
        <f t="shared" si="236"/>
        <v>2008</v>
      </c>
      <c r="F14313" s="3" t="s">
        <v>2265</v>
      </c>
      <c r="G14313" s="6">
        <v>3084.9</v>
      </c>
      <c r="H14313" s="5">
        <v>10604</v>
      </c>
    </row>
    <row r="14314" spans="2:8" x14ac:dyDescent="0.4">
      <c r="B14314" s="3" t="s">
        <v>7</v>
      </c>
      <c r="C14314" s="3" t="s">
        <v>2215</v>
      </c>
      <c r="D14314" s="4">
        <f>DATE(2008,5,16)</f>
        <v>39584</v>
      </c>
      <c r="E14314" s="5">
        <f t="shared" si="236"/>
        <v>2008</v>
      </c>
      <c r="F14314" s="3" t="s">
        <v>2265</v>
      </c>
      <c r="G14314" s="6">
        <v>2344.69</v>
      </c>
      <c r="H14314" s="5">
        <v>10684</v>
      </c>
    </row>
    <row r="14315" spans="2:8" x14ac:dyDescent="0.4">
      <c r="B14315" s="3" t="s">
        <v>7</v>
      </c>
      <c r="C14315" s="3" t="s">
        <v>2215</v>
      </c>
      <c r="D14315" s="4">
        <f>DATE(2008,6,11)</f>
        <v>39610</v>
      </c>
      <c r="E14315" s="5">
        <f t="shared" si="236"/>
        <v>2008</v>
      </c>
      <c r="F14315" s="3" t="s">
        <v>2265</v>
      </c>
      <c r="G14315" s="6">
        <v>2596.1</v>
      </c>
      <c r="H14315" s="5">
        <v>10823</v>
      </c>
    </row>
    <row r="14316" spans="2:8" x14ac:dyDescent="0.4">
      <c r="B14316" s="3" t="s">
        <v>7</v>
      </c>
      <c r="C14316" s="3" t="s">
        <v>2215</v>
      </c>
      <c r="D14316" s="4">
        <f>DATE(2008,6,26)</f>
        <v>39625</v>
      </c>
      <c r="E14316" s="5">
        <f t="shared" si="236"/>
        <v>2008</v>
      </c>
      <c r="F14316" s="3" t="s">
        <v>2265</v>
      </c>
      <c r="G14316" s="6">
        <v>2183.2800000000002</v>
      </c>
      <c r="H14316" s="5">
        <v>10889</v>
      </c>
    </row>
    <row r="14317" spans="2:8" x14ac:dyDescent="0.4">
      <c r="B14317" s="3" t="s">
        <v>7</v>
      </c>
      <c r="C14317" s="3" t="s">
        <v>2215</v>
      </c>
      <c r="D14317" s="4">
        <f>DATE(2008,7,3)</f>
        <v>39632</v>
      </c>
      <c r="E14317" s="5">
        <f t="shared" si="236"/>
        <v>2008</v>
      </c>
      <c r="F14317" s="3" t="s">
        <v>2265</v>
      </c>
      <c r="G14317" s="6">
        <v>2440.7800000000002</v>
      </c>
      <c r="H14317" s="5">
        <v>10920</v>
      </c>
    </row>
    <row r="14318" spans="2:8" x14ac:dyDescent="0.4">
      <c r="B14318" s="3" t="s">
        <v>7</v>
      </c>
      <c r="C14318" s="3" t="s">
        <v>2215</v>
      </c>
      <c r="D14318" s="4">
        <f>DATE(2008,7,11)</f>
        <v>39640</v>
      </c>
      <c r="E14318" s="5">
        <f t="shared" si="236"/>
        <v>2008</v>
      </c>
      <c r="F14318" s="3" t="s">
        <v>2265</v>
      </c>
      <c r="G14318" s="6">
        <v>14546.72</v>
      </c>
      <c r="H14318" s="5">
        <v>10935</v>
      </c>
    </row>
    <row r="14319" spans="2:8" x14ac:dyDescent="0.4">
      <c r="B14319" s="3" t="s">
        <v>7</v>
      </c>
      <c r="C14319" s="3" t="s">
        <v>2215</v>
      </c>
      <c r="D14319" s="4">
        <f>DATE(2008,7,17)</f>
        <v>39646</v>
      </c>
      <c r="E14319" s="5">
        <f t="shared" si="236"/>
        <v>2008</v>
      </c>
      <c r="F14319" s="3" t="s">
        <v>2265</v>
      </c>
      <c r="G14319" s="6">
        <v>3586.37</v>
      </c>
      <c r="H14319" s="5">
        <v>10958</v>
      </c>
    </row>
    <row r="14320" spans="2:8" x14ac:dyDescent="0.4">
      <c r="B14320" s="3" t="s">
        <v>7</v>
      </c>
      <c r="C14320" s="3" t="s">
        <v>2215</v>
      </c>
      <c r="D14320" s="4">
        <f>DATE(2008,8,1)</f>
        <v>39661</v>
      </c>
      <c r="E14320" s="5">
        <f t="shared" si="236"/>
        <v>2008</v>
      </c>
      <c r="F14320" s="3" t="s">
        <v>2265</v>
      </c>
      <c r="G14320" s="6">
        <v>5918.23</v>
      </c>
      <c r="H14320" s="5">
        <v>11038</v>
      </c>
    </row>
    <row r="14321" spans="2:8" x14ac:dyDescent="0.4">
      <c r="B14321" s="3" t="s">
        <v>7</v>
      </c>
      <c r="C14321" s="3" t="s">
        <v>2215</v>
      </c>
      <c r="D14321" s="4">
        <f>DATE(2008,8,12)</f>
        <v>39672</v>
      </c>
      <c r="E14321" s="5">
        <f t="shared" si="236"/>
        <v>2008</v>
      </c>
      <c r="F14321" s="3" t="s">
        <v>2265</v>
      </c>
      <c r="G14321" s="6">
        <v>2968.09</v>
      </c>
      <c r="H14321" s="5">
        <v>11099</v>
      </c>
    </row>
    <row r="14322" spans="2:8" x14ac:dyDescent="0.4">
      <c r="B14322" s="3" t="s">
        <v>7</v>
      </c>
      <c r="C14322" s="3" t="s">
        <v>2215</v>
      </c>
      <c r="D14322" s="4">
        <f>DATE(2008,8,18)</f>
        <v>39678</v>
      </c>
      <c r="E14322" s="5">
        <f t="shared" si="236"/>
        <v>2008</v>
      </c>
      <c r="F14322" s="3" t="s">
        <v>2265</v>
      </c>
      <c r="G14322" s="6">
        <v>2798.73</v>
      </c>
      <c r="H14322" s="5">
        <v>11128</v>
      </c>
    </row>
    <row r="14323" spans="2:8" x14ac:dyDescent="0.4">
      <c r="B14323" s="3" t="s">
        <v>7</v>
      </c>
      <c r="C14323" s="3" t="s">
        <v>2215</v>
      </c>
      <c r="D14323" s="4">
        <f>DATE(2008,10,28)</f>
        <v>39749</v>
      </c>
      <c r="E14323" s="5">
        <f t="shared" si="236"/>
        <v>2008</v>
      </c>
      <c r="F14323" s="3" t="s">
        <v>2265</v>
      </c>
      <c r="G14323" s="6">
        <v>1751.78</v>
      </c>
      <c r="H14323" s="5">
        <v>11508</v>
      </c>
    </row>
    <row r="14324" spans="2:8" x14ac:dyDescent="0.4">
      <c r="B14324" t="s">
        <v>7</v>
      </c>
      <c r="C14324" t="s">
        <v>2266</v>
      </c>
      <c r="D14324" s="7">
        <f>DATE(2015,4,7)</f>
        <v>42101</v>
      </c>
      <c r="E14324" s="8">
        <f t="shared" si="236"/>
        <v>2015</v>
      </c>
      <c r="F14324" t="s">
        <v>2267</v>
      </c>
      <c r="G14324" s="9">
        <v>82.9</v>
      </c>
      <c r="H14324" s="8">
        <v>20335</v>
      </c>
    </row>
    <row r="14325" spans="2:8" x14ac:dyDescent="0.4">
      <c r="B14325" t="s">
        <v>7</v>
      </c>
      <c r="C14325" t="s">
        <v>2266</v>
      </c>
      <c r="D14325" s="7">
        <f>DATE(2015,4,14)</f>
        <v>42108</v>
      </c>
      <c r="E14325" s="8">
        <f t="shared" si="236"/>
        <v>2015</v>
      </c>
      <c r="F14325" t="s">
        <v>2267</v>
      </c>
      <c r="G14325" s="9">
        <v>423</v>
      </c>
      <c r="H14325" s="8">
        <v>20412</v>
      </c>
    </row>
    <row r="14326" spans="2:8" x14ac:dyDescent="0.4">
      <c r="B14326" t="s">
        <v>7</v>
      </c>
      <c r="C14326" t="s">
        <v>2266</v>
      </c>
      <c r="D14326" s="7">
        <f>DATE(2015,5,14)</f>
        <v>42138</v>
      </c>
      <c r="E14326" s="8">
        <f t="shared" si="236"/>
        <v>2015</v>
      </c>
      <c r="F14326" t="s">
        <v>2267</v>
      </c>
      <c r="G14326" s="9">
        <v>253.8</v>
      </c>
      <c r="H14326" s="8">
        <v>20588</v>
      </c>
    </row>
    <row r="14327" spans="2:8" x14ac:dyDescent="0.4">
      <c r="B14327" s="3" t="s">
        <v>7</v>
      </c>
      <c r="C14327" s="3" t="s">
        <v>2268</v>
      </c>
      <c r="D14327" s="4">
        <f>DATE(2005,3,8)</f>
        <v>38419</v>
      </c>
      <c r="E14327" s="5">
        <f t="shared" si="236"/>
        <v>2005</v>
      </c>
      <c r="F14327" s="3" t="s">
        <v>2269</v>
      </c>
      <c r="G14327" s="6">
        <v>238.78</v>
      </c>
      <c r="H14327" s="5">
        <v>981</v>
      </c>
    </row>
    <row r="14328" spans="2:8" x14ac:dyDescent="0.4">
      <c r="B14328" s="3" t="s">
        <v>7</v>
      </c>
      <c r="C14328" s="3" t="s">
        <v>2268</v>
      </c>
      <c r="D14328" s="4">
        <f>DATE(2006,2,28)</f>
        <v>38776</v>
      </c>
      <c r="E14328" s="5">
        <f t="shared" si="236"/>
        <v>2006</v>
      </c>
      <c r="F14328" s="3" t="s">
        <v>2269</v>
      </c>
      <c r="G14328" s="6">
        <v>655.9</v>
      </c>
      <c r="H14328" s="5">
        <v>1476</v>
      </c>
    </row>
    <row r="14329" spans="2:8" x14ac:dyDescent="0.4">
      <c r="B14329" s="3" t="s">
        <v>7</v>
      </c>
      <c r="C14329" s="3" t="s">
        <v>2268</v>
      </c>
      <c r="D14329" s="4">
        <f>DATE(2006,3,2)</f>
        <v>38778</v>
      </c>
      <c r="E14329" s="5">
        <f t="shared" si="236"/>
        <v>2006</v>
      </c>
      <c r="F14329" s="3" t="s">
        <v>2269</v>
      </c>
      <c r="G14329" s="6">
        <v>395.47</v>
      </c>
      <c r="H14329" s="5">
        <v>1480</v>
      </c>
    </row>
    <row r="14330" spans="2:8" x14ac:dyDescent="0.4">
      <c r="B14330" s="3" t="s">
        <v>7</v>
      </c>
      <c r="C14330" s="3" t="s">
        <v>2268</v>
      </c>
      <c r="D14330" s="4">
        <f>DATE(2006,8,2)</f>
        <v>38931</v>
      </c>
      <c r="E14330" s="5">
        <f t="shared" si="236"/>
        <v>2006</v>
      </c>
      <c r="F14330" s="3" t="s">
        <v>2269</v>
      </c>
      <c r="G14330" s="6">
        <v>603.79999999999995</v>
      </c>
      <c r="H14330" s="5">
        <v>1707</v>
      </c>
    </row>
    <row r="14331" spans="2:8" x14ac:dyDescent="0.4">
      <c r="B14331" s="3" t="s">
        <v>7</v>
      </c>
      <c r="C14331" s="3" t="s">
        <v>2268</v>
      </c>
      <c r="D14331" s="4">
        <f>DATE(2011,8,24)</f>
        <v>40779</v>
      </c>
      <c r="E14331" s="5">
        <f t="shared" si="236"/>
        <v>2011</v>
      </c>
      <c r="F14331" s="3" t="s">
        <v>2269</v>
      </c>
      <c r="G14331" s="6">
        <v>3908.99</v>
      </c>
      <c r="H14331" s="5">
        <v>4592</v>
      </c>
    </row>
    <row r="14332" spans="2:8" x14ac:dyDescent="0.4">
      <c r="B14332" s="3" t="s">
        <v>7</v>
      </c>
      <c r="C14332" s="3" t="s">
        <v>2268</v>
      </c>
      <c r="D14332" s="4">
        <f>DATE(2011,9,1)</f>
        <v>40787</v>
      </c>
      <c r="E14332" s="5">
        <f t="shared" si="236"/>
        <v>2011</v>
      </c>
      <c r="F14332" s="3" t="s">
        <v>2269</v>
      </c>
      <c r="G14332" s="6">
        <v>7215.73</v>
      </c>
      <c r="H14332" s="5">
        <v>4617</v>
      </c>
    </row>
    <row r="14333" spans="2:8" x14ac:dyDescent="0.4">
      <c r="B14333" s="3" t="s">
        <v>7</v>
      </c>
      <c r="C14333" s="3" t="s">
        <v>2268</v>
      </c>
      <c r="D14333" s="4">
        <f>DATE(2011,10,19)</f>
        <v>40835</v>
      </c>
      <c r="E14333" s="5">
        <f t="shared" si="236"/>
        <v>2011</v>
      </c>
      <c r="F14333" s="3" t="s">
        <v>2269</v>
      </c>
      <c r="G14333" s="6">
        <v>5964.63</v>
      </c>
      <c r="H14333" s="5">
        <v>4624</v>
      </c>
    </row>
    <row r="14334" spans="2:8" x14ac:dyDescent="0.4">
      <c r="B14334" s="3" t="s">
        <v>7</v>
      </c>
      <c r="C14334" s="3" t="s">
        <v>2268</v>
      </c>
      <c r="D14334" s="4">
        <f>DATE(2011,12,8)</f>
        <v>40885</v>
      </c>
      <c r="E14334" s="5">
        <f t="shared" si="236"/>
        <v>2011</v>
      </c>
      <c r="F14334" s="3" t="s">
        <v>2269</v>
      </c>
      <c r="G14334" s="6">
        <v>3872</v>
      </c>
      <c r="H14334" s="5">
        <v>4754</v>
      </c>
    </row>
    <row r="14335" spans="2:8" x14ac:dyDescent="0.4">
      <c r="B14335" s="3" t="s">
        <v>7</v>
      </c>
      <c r="C14335" s="3" t="s">
        <v>2268</v>
      </c>
      <c r="D14335" s="4">
        <f>DATE(2012,8,31)</f>
        <v>41152</v>
      </c>
      <c r="E14335" s="5">
        <f t="shared" si="236"/>
        <v>2012</v>
      </c>
      <c r="F14335" s="3" t="s">
        <v>2269</v>
      </c>
      <c r="G14335" s="6">
        <v>3271.17</v>
      </c>
      <c r="H14335" s="5">
        <v>5187</v>
      </c>
    </row>
    <row r="14336" spans="2:8" x14ac:dyDescent="0.4">
      <c r="B14336" t="s">
        <v>7</v>
      </c>
      <c r="C14336" t="s">
        <v>2268</v>
      </c>
      <c r="D14336" s="7">
        <f>DATE(2015,1,23)</f>
        <v>42027</v>
      </c>
      <c r="E14336" s="8">
        <f t="shared" si="236"/>
        <v>2015</v>
      </c>
      <c r="F14336" t="s">
        <v>2270</v>
      </c>
      <c r="G14336" s="9">
        <v>577.36</v>
      </c>
      <c r="H14336" s="8">
        <v>21</v>
      </c>
    </row>
    <row r="14337" spans="2:8" x14ac:dyDescent="0.4">
      <c r="B14337" t="s">
        <v>7</v>
      </c>
      <c r="C14337" t="s">
        <v>2268</v>
      </c>
      <c r="D14337" s="7">
        <f>DATE(2015,1,28)</f>
        <v>42032</v>
      </c>
      <c r="E14337" s="8">
        <f t="shared" si="236"/>
        <v>2015</v>
      </c>
      <c r="F14337" t="s">
        <v>2270</v>
      </c>
      <c r="G14337" s="9">
        <v>198</v>
      </c>
      <c r="H14337" s="8">
        <v>299</v>
      </c>
    </row>
    <row r="14338" spans="2:8" x14ac:dyDescent="0.4">
      <c r="B14338" t="s">
        <v>7</v>
      </c>
      <c r="C14338" t="s">
        <v>2268</v>
      </c>
      <c r="D14338" s="7">
        <f>DATE(2015,4,14)</f>
        <v>42108</v>
      </c>
      <c r="E14338" s="8">
        <f t="shared" si="236"/>
        <v>2015</v>
      </c>
      <c r="F14338" t="s">
        <v>2270</v>
      </c>
      <c r="G14338" s="9">
        <v>129.72999999999999</v>
      </c>
      <c r="H14338" s="8">
        <v>20380</v>
      </c>
    </row>
    <row r="14339" spans="2:8" x14ac:dyDescent="0.4">
      <c r="B14339" t="s">
        <v>7</v>
      </c>
      <c r="C14339" t="s">
        <v>2268</v>
      </c>
      <c r="D14339" s="7">
        <f>DATE(2015,7,6)</f>
        <v>42191</v>
      </c>
      <c r="E14339" s="8">
        <f t="shared" ref="E14339:E14402" si="237">YEAR(D14339)</f>
        <v>2015</v>
      </c>
      <c r="F14339" t="s">
        <v>2270</v>
      </c>
      <c r="G14339" s="9">
        <v>750.62</v>
      </c>
      <c r="H14339" s="8">
        <v>20867</v>
      </c>
    </row>
    <row r="14340" spans="2:8" x14ac:dyDescent="0.4">
      <c r="B14340" t="s">
        <v>7</v>
      </c>
      <c r="C14340" t="s">
        <v>2268</v>
      </c>
      <c r="D14340" s="7">
        <f>DATE(2016,1,8)</f>
        <v>42377</v>
      </c>
      <c r="E14340" s="8">
        <f t="shared" si="237"/>
        <v>2016</v>
      </c>
      <c r="F14340" t="s">
        <v>2270</v>
      </c>
      <c r="G14340" s="9">
        <v>42.31</v>
      </c>
      <c r="H14340" s="8">
        <v>21905</v>
      </c>
    </row>
    <row r="14341" spans="2:8" x14ac:dyDescent="0.4">
      <c r="B14341" s="3" t="s">
        <v>7</v>
      </c>
      <c r="C14341" s="3" t="s">
        <v>2268</v>
      </c>
      <c r="D14341" s="4">
        <f>DATE(2012,5,2)</f>
        <v>41031</v>
      </c>
      <c r="E14341" s="5">
        <f t="shared" si="237"/>
        <v>2012</v>
      </c>
      <c r="F14341" s="3" t="s">
        <v>2270</v>
      </c>
      <c r="G14341" s="6">
        <v>12073.3</v>
      </c>
      <c r="H14341" s="5">
        <v>5022</v>
      </c>
    </row>
    <row r="14342" spans="2:8" x14ac:dyDescent="0.4">
      <c r="B14342" s="3" t="s">
        <v>7</v>
      </c>
      <c r="C14342" s="3" t="s">
        <v>2268</v>
      </c>
      <c r="D14342" s="4">
        <f>DATE(2014,1,15)</f>
        <v>41654</v>
      </c>
      <c r="E14342" s="5">
        <f t="shared" si="237"/>
        <v>2014</v>
      </c>
      <c r="F14342" s="3" t="s">
        <v>2270</v>
      </c>
      <c r="G14342" s="6">
        <v>1320.3</v>
      </c>
      <c r="H14342" s="5">
        <v>5960</v>
      </c>
    </row>
    <row r="14343" spans="2:8" x14ac:dyDescent="0.4">
      <c r="B14343" s="3" t="s">
        <v>7</v>
      </c>
      <c r="C14343" s="3" t="s">
        <v>2268</v>
      </c>
      <c r="D14343" s="4">
        <f>DATE(2014,2,3)</f>
        <v>41673</v>
      </c>
      <c r="E14343" s="5">
        <f t="shared" si="237"/>
        <v>2014</v>
      </c>
      <c r="F14343" s="3" t="s">
        <v>2270</v>
      </c>
      <c r="G14343" s="6">
        <v>196</v>
      </c>
      <c r="H14343" s="5">
        <v>6006</v>
      </c>
    </row>
    <row r="14344" spans="2:8" x14ac:dyDescent="0.4">
      <c r="B14344" s="3" t="s">
        <v>7</v>
      </c>
      <c r="C14344" s="3" t="s">
        <v>2268</v>
      </c>
      <c r="D14344" s="4">
        <f>DATE(2014,3,10)</f>
        <v>41708</v>
      </c>
      <c r="E14344" s="5">
        <f t="shared" si="237"/>
        <v>2014</v>
      </c>
      <c r="F14344" s="3" t="s">
        <v>2270</v>
      </c>
      <c r="G14344" s="6">
        <v>2387.3000000000002</v>
      </c>
      <c r="H14344" s="5">
        <v>6056</v>
      </c>
    </row>
    <row r="14345" spans="2:8" x14ac:dyDescent="0.4">
      <c r="B14345" s="3" t="s">
        <v>7</v>
      </c>
      <c r="C14345" s="3" t="s">
        <v>2268</v>
      </c>
      <c r="D14345" s="4">
        <f>DATE(2014,3,21)</f>
        <v>41719</v>
      </c>
      <c r="E14345" s="5">
        <f t="shared" si="237"/>
        <v>2014</v>
      </c>
      <c r="F14345" s="3" t="s">
        <v>2270</v>
      </c>
      <c r="G14345" s="6">
        <v>1098.22</v>
      </c>
      <c r="H14345" s="5">
        <v>6118</v>
      </c>
    </row>
    <row r="14346" spans="2:8" x14ac:dyDescent="0.4">
      <c r="B14346" s="3" t="s">
        <v>7</v>
      </c>
      <c r="C14346" s="3" t="s">
        <v>2268</v>
      </c>
      <c r="D14346" s="4">
        <f>DATE(2014,4,24)</f>
        <v>41753</v>
      </c>
      <c r="E14346" s="5">
        <f t="shared" si="237"/>
        <v>2014</v>
      </c>
      <c r="F14346" s="3" t="s">
        <v>2270</v>
      </c>
      <c r="G14346" s="6">
        <v>1021.5</v>
      </c>
      <c r="H14346" s="5">
        <v>6163</v>
      </c>
    </row>
    <row r="14347" spans="2:8" x14ac:dyDescent="0.4">
      <c r="B14347" s="3" t="s">
        <v>7</v>
      </c>
      <c r="C14347" s="3" t="s">
        <v>2268</v>
      </c>
      <c r="D14347" s="4">
        <f>DATE(2014,6,12)</f>
        <v>41802</v>
      </c>
      <c r="E14347" s="5">
        <f t="shared" si="237"/>
        <v>2014</v>
      </c>
      <c r="F14347" s="3" t="s">
        <v>2270</v>
      </c>
      <c r="G14347" s="6">
        <v>753.76</v>
      </c>
      <c r="H14347" s="5">
        <v>6245</v>
      </c>
    </row>
    <row r="14348" spans="2:8" x14ac:dyDescent="0.4">
      <c r="B14348" s="3" t="s">
        <v>7</v>
      </c>
      <c r="C14348" s="3" t="s">
        <v>2268</v>
      </c>
      <c r="D14348" s="4">
        <f>DATE(2014,6,13)</f>
        <v>41803</v>
      </c>
      <c r="E14348" s="5">
        <f t="shared" si="237"/>
        <v>2014</v>
      </c>
      <c r="F14348" s="3" t="s">
        <v>2270</v>
      </c>
      <c r="G14348" s="6">
        <v>740.63</v>
      </c>
      <c r="H14348" s="5">
        <v>6246</v>
      </c>
    </row>
    <row r="14349" spans="2:8" x14ac:dyDescent="0.4">
      <c r="B14349" s="3" t="s">
        <v>7</v>
      </c>
      <c r="C14349" s="3" t="s">
        <v>2268</v>
      </c>
      <c r="D14349" s="4">
        <f>DATE(2014,7,3)</f>
        <v>41823</v>
      </c>
      <c r="E14349" s="5">
        <f t="shared" si="237"/>
        <v>2014</v>
      </c>
      <c r="F14349" s="3" t="s">
        <v>2270</v>
      </c>
      <c r="G14349" s="6">
        <v>767.45</v>
      </c>
      <c r="H14349" s="5">
        <v>6266</v>
      </c>
    </row>
    <row r="14350" spans="2:8" x14ac:dyDescent="0.4">
      <c r="B14350" s="3" t="s">
        <v>7</v>
      </c>
      <c r="C14350" s="3" t="s">
        <v>2268</v>
      </c>
      <c r="D14350" s="4">
        <f>DATE(2014,9,17)</f>
        <v>41899</v>
      </c>
      <c r="E14350" s="5">
        <f t="shared" si="237"/>
        <v>2014</v>
      </c>
      <c r="F14350" s="3" t="s">
        <v>2270</v>
      </c>
      <c r="G14350" s="6">
        <v>921.76</v>
      </c>
      <c r="H14350" s="5">
        <v>6409</v>
      </c>
    </row>
    <row r="14351" spans="2:8" x14ac:dyDescent="0.4">
      <c r="B14351" s="3" t="s">
        <v>7</v>
      </c>
      <c r="C14351" s="3" t="s">
        <v>2268</v>
      </c>
      <c r="D14351" s="4">
        <f>DATE(2014,11,20)</f>
        <v>41963</v>
      </c>
      <c r="E14351" s="5">
        <f t="shared" si="237"/>
        <v>2014</v>
      </c>
      <c r="F14351" s="3" t="s">
        <v>2270</v>
      </c>
      <c r="G14351" s="6">
        <v>1015.26</v>
      </c>
      <c r="H14351" s="5">
        <v>6481</v>
      </c>
    </row>
    <row r="14352" spans="2:8" x14ac:dyDescent="0.4">
      <c r="B14352" s="3" t="s">
        <v>7</v>
      </c>
      <c r="C14352" s="3" t="s">
        <v>2268</v>
      </c>
      <c r="D14352" s="4">
        <f>DATE(2014,12,11)</f>
        <v>41984</v>
      </c>
      <c r="E14352" s="5">
        <f t="shared" si="237"/>
        <v>2014</v>
      </c>
      <c r="F14352" s="3" t="s">
        <v>2270</v>
      </c>
      <c r="G14352" s="6">
        <v>809.6</v>
      </c>
      <c r="H14352" s="5">
        <v>6520</v>
      </c>
    </row>
    <row r="14353" spans="2:8" x14ac:dyDescent="0.4">
      <c r="B14353" t="s">
        <v>7</v>
      </c>
      <c r="C14353" t="s">
        <v>2271</v>
      </c>
      <c r="D14353" s="7">
        <f>DATE(2003,9,1)</f>
        <v>37865</v>
      </c>
      <c r="E14353" s="8">
        <f t="shared" si="237"/>
        <v>2003</v>
      </c>
      <c r="F14353" t="s">
        <v>2272</v>
      </c>
      <c r="G14353" s="9">
        <v>22584.98</v>
      </c>
      <c r="H14353" s="8">
        <v>680</v>
      </c>
    </row>
    <row r="14354" spans="2:8" x14ac:dyDescent="0.4">
      <c r="B14354" s="3" t="s">
        <v>7</v>
      </c>
      <c r="C14354" s="3" t="s">
        <v>2271</v>
      </c>
      <c r="D14354" s="4">
        <f>DATE(2003,1,23)</f>
        <v>37644</v>
      </c>
      <c r="E14354" s="5">
        <f t="shared" si="237"/>
        <v>2003</v>
      </c>
      <c r="F14354" s="3" t="s">
        <v>2272</v>
      </c>
      <c r="G14354" s="6">
        <v>770.79</v>
      </c>
      <c r="H14354" s="5">
        <v>12</v>
      </c>
    </row>
    <row r="14355" spans="2:8" x14ac:dyDescent="0.4">
      <c r="B14355" s="3" t="s">
        <v>7</v>
      </c>
      <c r="C14355" s="3" t="s">
        <v>2271</v>
      </c>
      <c r="D14355" s="4">
        <f>DATE(2003,2,27)</f>
        <v>37679</v>
      </c>
      <c r="E14355" s="5">
        <f t="shared" si="237"/>
        <v>2003</v>
      </c>
      <c r="F14355" s="3" t="s">
        <v>2272</v>
      </c>
      <c r="G14355" s="6">
        <v>1237.49</v>
      </c>
      <c r="H14355" s="5">
        <v>56</v>
      </c>
    </row>
    <row r="14356" spans="2:8" x14ac:dyDescent="0.4">
      <c r="B14356" s="3" t="s">
        <v>7</v>
      </c>
      <c r="C14356" s="3" t="s">
        <v>2271</v>
      </c>
      <c r="D14356" s="4">
        <f>DATE(2003,5,12)</f>
        <v>37753</v>
      </c>
      <c r="E14356" s="5">
        <f t="shared" si="237"/>
        <v>2003</v>
      </c>
      <c r="F14356" s="3" t="s">
        <v>2272</v>
      </c>
      <c r="G14356" s="6">
        <v>746.58</v>
      </c>
      <c r="H14356" s="5">
        <v>143</v>
      </c>
    </row>
    <row r="14357" spans="2:8" x14ac:dyDescent="0.4">
      <c r="B14357" s="3" t="s">
        <v>7</v>
      </c>
      <c r="C14357" s="3" t="s">
        <v>2271</v>
      </c>
      <c r="D14357" s="4">
        <f>DATE(2003,6,8)</f>
        <v>37780</v>
      </c>
      <c r="E14357" s="5">
        <f t="shared" si="237"/>
        <v>2003</v>
      </c>
      <c r="F14357" s="3" t="s">
        <v>2272</v>
      </c>
      <c r="G14357" s="6">
        <v>16508.11</v>
      </c>
      <c r="H14357" s="5">
        <v>95</v>
      </c>
    </row>
    <row r="14358" spans="2:8" x14ac:dyDescent="0.4">
      <c r="B14358" s="3" t="s">
        <v>7</v>
      </c>
      <c r="C14358" s="3" t="s">
        <v>2271</v>
      </c>
      <c r="D14358" s="4">
        <f>DATE(2003,1,17)</f>
        <v>37638</v>
      </c>
      <c r="E14358" s="5">
        <f t="shared" si="237"/>
        <v>2003</v>
      </c>
      <c r="F14358" s="3" t="s">
        <v>2272</v>
      </c>
      <c r="G14358" s="6">
        <v>157.6</v>
      </c>
      <c r="H14358" s="5">
        <v>101</v>
      </c>
    </row>
    <row r="14359" spans="2:8" x14ac:dyDescent="0.4">
      <c r="B14359" s="3" t="s">
        <v>7</v>
      </c>
      <c r="C14359" s="3" t="s">
        <v>2271</v>
      </c>
      <c r="D14359" s="4">
        <f>DATE(2003,1,29)</f>
        <v>37650</v>
      </c>
      <c r="E14359" s="5">
        <f t="shared" si="237"/>
        <v>2003</v>
      </c>
      <c r="F14359" s="3" t="s">
        <v>2272</v>
      </c>
      <c r="G14359" s="6">
        <v>1160</v>
      </c>
      <c r="H14359" s="5">
        <v>169</v>
      </c>
    </row>
    <row r="14360" spans="2:8" x14ac:dyDescent="0.4">
      <c r="B14360" s="3" t="s">
        <v>7</v>
      </c>
      <c r="C14360" s="3" t="s">
        <v>2271</v>
      </c>
      <c r="D14360" s="4">
        <f>DATE(2003,2,5)</f>
        <v>37657</v>
      </c>
      <c r="E14360" s="5">
        <f t="shared" si="237"/>
        <v>2003</v>
      </c>
      <c r="F14360" s="3" t="s">
        <v>2272</v>
      </c>
      <c r="G14360" s="6">
        <v>1936.5</v>
      </c>
      <c r="H14360" s="5">
        <v>232</v>
      </c>
    </row>
    <row r="14361" spans="2:8" x14ac:dyDescent="0.4">
      <c r="B14361" s="3" t="s">
        <v>7</v>
      </c>
      <c r="C14361" s="3" t="s">
        <v>2271</v>
      </c>
      <c r="D14361" s="4">
        <f>DATE(2003,3,17)</f>
        <v>37697</v>
      </c>
      <c r="E14361" s="5">
        <f t="shared" si="237"/>
        <v>2003</v>
      </c>
      <c r="F14361" s="3" t="s">
        <v>2272</v>
      </c>
      <c r="G14361" s="6">
        <v>245</v>
      </c>
      <c r="H14361" s="5">
        <v>543</v>
      </c>
    </row>
    <row r="14362" spans="2:8" x14ac:dyDescent="0.4">
      <c r="B14362" s="3" t="s">
        <v>7</v>
      </c>
      <c r="C14362" s="3" t="s">
        <v>2271</v>
      </c>
      <c r="D14362" s="4">
        <f>DATE(2003,5,5)</f>
        <v>37746</v>
      </c>
      <c r="E14362" s="5">
        <f t="shared" si="237"/>
        <v>2003</v>
      </c>
      <c r="F14362" s="3" t="s">
        <v>2272</v>
      </c>
      <c r="G14362" s="6">
        <v>620</v>
      </c>
      <c r="H14362" s="5">
        <v>894</v>
      </c>
    </row>
    <row r="14363" spans="2:8" x14ac:dyDescent="0.4">
      <c r="B14363" s="3" t="s">
        <v>7</v>
      </c>
      <c r="C14363" s="3" t="s">
        <v>2271</v>
      </c>
      <c r="D14363" s="4">
        <f>DATE(2003,5,9)</f>
        <v>37750</v>
      </c>
      <c r="E14363" s="5">
        <f t="shared" si="237"/>
        <v>2003</v>
      </c>
      <c r="F14363" s="3" t="s">
        <v>2272</v>
      </c>
      <c r="G14363" s="6">
        <v>197.75</v>
      </c>
      <c r="H14363" s="5">
        <v>913</v>
      </c>
    </row>
    <row r="14364" spans="2:8" x14ac:dyDescent="0.4">
      <c r="B14364" s="3" t="s">
        <v>7</v>
      </c>
      <c r="C14364" s="3" t="s">
        <v>2271</v>
      </c>
      <c r="D14364" s="4">
        <f>DATE(2003,5,23)</f>
        <v>37764</v>
      </c>
      <c r="E14364" s="5">
        <f t="shared" si="237"/>
        <v>2003</v>
      </c>
      <c r="F14364" s="3" t="s">
        <v>2272</v>
      </c>
      <c r="G14364" s="6">
        <v>1423</v>
      </c>
      <c r="H14364" s="5">
        <v>1005</v>
      </c>
    </row>
    <row r="14365" spans="2:8" x14ac:dyDescent="0.4">
      <c r="B14365" s="3" t="s">
        <v>7</v>
      </c>
      <c r="C14365" s="3" t="s">
        <v>2271</v>
      </c>
      <c r="D14365" s="4">
        <f>DATE(2003,5,30)</f>
        <v>37771</v>
      </c>
      <c r="E14365" s="5">
        <f t="shared" si="237"/>
        <v>2003</v>
      </c>
      <c r="F14365" s="3" t="s">
        <v>2272</v>
      </c>
      <c r="G14365" s="6">
        <v>1408.5</v>
      </c>
      <c r="H14365" s="5">
        <v>1030</v>
      </c>
    </row>
    <row r="14366" spans="2:8" x14ac:dyDescent="0.4">
      <c r="B14366" s="3" t="s">
        <v>7</v>
      </c>
      <c r="C14366" s="3" t="s">
        <v>2271</v>
      </c>
      <c r="D14366" s="4">
        <f>DATE(2003,6,11)</f>
        <v>37783</v>
      </c>
      <c r="E14366" s="5">
        <f t="shared" si="237"/>
        <v>2003</v>
      </c>
      <c r="F14366" s="3" t="s">
        <v>2272</v>
      </c>
      <c r="G14366" s="6">
        <v>397.75</v>
      </c>
      <c r="H14366" s="5">
        <v>1094</v>
      </c>
    </row>
    <row r="14367" spans="2:8" x14ac:dyDescent="0.4">
      <c r="B14367" s="3" t="s">
        <v>7</v>
      </c>
      <c r="C14367" s="3" t="s">
        <v>2271</v>
      </c>
      <c r="D14367" s="4">
        <f>DATE(2003,6,25)</f>
        <v>37797</v>
      </c>
      <c r="E14367" s="5">
        <f t="shared" si="237"/>
        <v>2003</v>
      </c>
      <c r="F14367" s="3" t="s">
        <v>2272</v>
      </c>
      <c r="G14367" s="6">
        <v>184</v>
      </c>
      <c r="H14367" s="5">
        <v>1156</v>
      </c>
    </row>
    <row r="14368" spans="2:8" x14ac:dyDescent="0.4">
      <c r="B14368" s="3" t="s">
        <v>7</v>
      </c>
      <c r="C14368" s="3" t="s">
        <v>2271</v>
      </c>
      <c r="D14368" s="4">
        <f>DATE(2003,7,3)</f>
        <v>37805</v>
      </c>
      <c r="E14368" s="5">
        <f t="shared" si="237"/>
        <v>2003</v>
      </c>
      <c r="F14368" s="3" t="s">
        <v>2272</v>
      </c>
      <c r="G14368" s="6">
        <v>673.15</v>
      </c>
      <c r="H14368" s="5">
        <v>1174</v>
      </c>
    </row>
    <row r="14369" spans="2:8" x14ac:dyDescent="0.4">
      <c r="B14369" s="3" t="s">
        <v>7</v>
      </c>
      <c r="C14369" s="3" t="s">
        <v>2271</v>
      </c>
      <c r="D14369" s="4">
        <f>DATE(2003,7,15)</f>
        <v>37817</v>
      </c>
      <c r="E14369" s="5">
        <f t="shared" si="237"/>
        <v>2003</v>
      </c>
      <c r="F14369" s="3" t="s">
        <v>2272</v>
      </c>
      <c r="G14369" s="6">
        <v>1147.0999999999999</v>
      </c>
      <c r="H14369" s="5">
        <v>1215</v>
      </c>
    </row>
    <row r="14370" spans="2:8" x14ac:dyDescent="0.4">
      <c r="B14370" s="3" t="s">
        <v>7</v>
      </c>
      <c r="C14370" s="3" t="s">
        <v>2271</v>
      </c>
      <c r="D14370" s="4">
        <f>DATE(2003,8,13)</f>
        <v>37846</v>
      </c>
      <c r="E14370" s="5">
        <f t="shared" si="237"/>
        <v>2003</v>
      </c>
      <c r="F14370" s="3" t="s">
        <v>2272</v>
      </c>
      <c r="G14370" s="6">
        <v>636</v>
      </c>
      <c r="H14370" s="5">
        <v>1368</v>
      </c>
    </row>
    <row r="14371" spans="2:8" x14ac:dyDescent="0.4">
      <c r="B14371" s="3" t="s">
        <v>7</v>
      </c>
      <c r="C14371" s="3" t="s">
        <v>2271</v>
      </c>
      <c r="D14371" s="4">
        <f>DATE(2003,8,19)</f>
        <v>37852</v>
      </c>
      <c r="E14371" s="5">
        <f t="shared" si="237"/>
        <v>2003</v>
      </c>
      <c r="F14371" s="3" t="s">
        <v>2272</v>
      </c>
      <c r="G14371" s="6">
        <v>216</v>
      </c>
      <c r="H14371" s="5">
        <v>1394</v>
      </c>
    </row>
    <row r="14372" spans="2:8" x14ac:dyDescent="0.4">
      <c r="B14372" s="3" t="s">
        <v>7</v>
      </c>
      <c r="C14372" s="3" t="s">
        <v>2271</v>
      </c>
      <c r="D14372" s="4">
        <f>DATE(2003,9,16)</f>
        <v>37880</v>
      </c>
      <c r="E14372" s="5">
        <f t="shared" si="237"/>
        <v>2003</v>
      </c>
      <c r="F14372" s="3" t="s">
        <v>2272</v>
      </c>
      <c r="G14372" s="6">
        <v>233.5</v>
      </c>
      <c r="H14372" s="5">
        <v>1521</v>
      </c>
    </row>
    <row r="14373" spans="2:8" x14ac:dyDescent="0.4">
      <c r="B14373" t="s">
        <v>7</v>
      </c>
      <c r="C14373" t="s">
        <v>2271</v>
      </c>
      <c r="D14373" s="7">
        <f>DATE(2003,9,23)</f>
        <v>37887</v>
      </c>
      <c r="E14373" s="8">
        <f t="shared" si="237"/>
        <v>2003</v>
      </c>
      <c r="F14373" t="s">
        <v>2273</v>
      </c>
      <c r="G14373" s="9">
        <v>4915.3500000000004</v>
      </c>
      <c r="H14373" s="8">
        <v>746</v>
      </c>
    </row>
    <row r="14374" spans="2:8" x14ac:dyDescent="0.4">
      <c r="B14374" t="s">
        <v>16</v>
      </c>
      <c r="C14374" t="s">
        <v>2271</v>
      </c>
      <c r="D14374" s="7">
        <f>DATE(2003,7,31)</f>
        <v>37833</v>
      </c>
      <c r="E14374" s="8">
        <f t="shared" si="237"/>
        <v>2003</v>
      </c>
      <c r="F14374" t="s">
        <v>2273</v>
      </c>
      <c r="G14374" s="9">
        <v>2518.96</v>
      </c>
      <c r="H14374" s="8">
        <v>1112</v>
      </c>
    </row>
    <row r="14375" spans="2:8" x14ac:dyDescent="0.4">
      <c r="B14375" s="3" t="s">
        <v>7</v>
      </c>
      <c r="C14375" s="3" t="s">
        <v>2271</v>
      </c>
      <c r="D14375" s="4">
        <f>DATE(2003,11,14)</f>
        <v>37939</v>
      </c>
      <c r="E14375" s="5">
        <f t="shared" si="237"/>
        <v>2003</v>
      </c>
      <c r="F14375" s="3" t="s">
        <v>2273</v>
      </c>
      <c r="G14375" s="6">
        <v>2817.7</v>
      </c>
      <c r="H14375" s="5">
        <v>414</v>
      </c>
    </row>
    <row r="14376" spans="2:8" x14ac:dyDescent="0.4">
      <c r="B14376" s="3" t="s">
        <v>7</v>
      </c>
      <c r="C14376" s="3" t="s">
        <v>2271</v>
      </c>
      <c r="D14376" s="4">
        <f>DATE(2003,11,14)</f>
        <v>37939</v>
      </c>
      <c r="E14376" s="5">
        <f t="shared" si="237"/>
        <v>2003</v>
      </c>
      <c r="F14376" s="3" t="s">
        <v>2273</v>
      </c>
      <c r="G14376" s="6">
        <v>239.76</v>
      </c>
      <c r="H14376" s="5">
        <v>421</v>
      </c>
    </row>
    <row r="14377" spans="2:8" x14ac:dyDescent="0.4">
      <c r="B14377" s="3" t="s">
        <v>7</v>
      </c>
      <c r="C14377" s="3" t="s">
        <v>2271</v>
      </c>
      <c r="D14377" s="4">
        <f>DATE(2003,12,22)</f>
        <v>37977</v>
      </c>
      <c r="E14377" s="5">
        <f t="shared" si="237"/>
        <v>2003</v>
      </c>
      <c r="F14377" s="3" t="s">
        <v>2273</v>
      </c>
      <c r="G14377" s="6">
        <v>170.82</v>
      </c>
      <c r="H14377" s="5">
        <v>452</v>
      </c>
    </row>
    <row r="14378" spans="2:8" x14ac:dyDescent="0.4">
      <c r="B14378" s="3" t="s">
        <v>7</v>
      </c>
      <c r="C14378" s="3" t="s">
        <v>2271</v>
      </c>
      <c r="D14378" s="4">
        <f>DATE(2004,2,17)</f>
        <v>38034</v>
      </c>
      <c r="E14378" s="5">
        <f t="shared" si="237"/>
        <v>2004</v>
      </c>
      <c r="F14378" s="3" t="s">
        <v>2273</v>
      </c>
      <c r="G14378" s="6">
        <v>5534.85</v>
      </c>
      <c r="H14378" s="5">
        <v>525</v>
      </c>
    </row>
    <row r="14379" spans="2:8" x14ac:dyDescent="0.4">
      <c r="B14379" s="3" t="s">
        <v>7</v>
      </c>
      <c r="C14379" s="3" t="s">
        <v>2271</v>
      </c>
      <c r="D14379" s="4">
        <f>DATE(2004,3,11)</f>
        <v>38057</v>
      </c>
      <c r="E14379" s="5">
        <f t="shared" si="237"/>
        <v>2004</v>
      </c>
      <c r="F14379" s="3" t="s">
        <v>2273</v>
      </c>
      <c r="G14379" s="6">
        <v>3402.46</v>
      </c>
      <c r="H14379" s="5">
        <v>555</v>
      </c>
    </row>
    <row r="14380" spans="2:8" x14ac:dyDescent="0.4">
      <c r="B14380" s="3" t="s">
        <v>7</v>
      </c>
      <c r="C14380" s="3" t="s">
        <v>2271</v>
      </c>
      <c r="D14380" s="4">
        <f>DATE(2004,3,23)</f>
        <v>38069</v>
      </c>
      <c r="E14380" s="5">
        <f t="shared" si="237"/>
        <v>2004</v>
      </c>
      <c r="F14380" s="3" t="s">
        <v>2273</v>
      </c>
      <c r="G14380" s="6">
        <v>5126.7299999999996</v>
      </c>
      <c r="H14380" s="5">
        <v>566</v>
      </c>
    </row>
    <row r="14381" spans="2:8" x14ac:dyDescent="0.4">
      <c r="B14381" s="3" t="s">
        <v>7</v>
      </c>
      <c r="C14381" s="3" t="s">
        <v>2271</v>
      </c>
      <c r="D14381" s="4">
        <f>DATE(2004,6,15)</f>
        <v>38153</v>
      </c>
      <c r="E14381" s="5">
        <f t="shared" si="237"/>
        <v>2004</v>
      </c>
      <c r="F14381" s="3" t="s">
        <v>2273</v>
      </c>
      <c r="G14381" s="6">
        <v>3744.12</v>
      </c>
      <c r="H14381" s="5">
        <v>677</v>
      </c>
    </row>
    <row r="14382" spans="2:8" x14ac:dyDescent="0.4">
      <c r="B14382" s="3" t="s">
        <v>7</v>
      </c>
      <c r="C14382" s="3" t="s">
        <v>2271</v>
      </c>
      <c r="D14382" s="4">
        <f>DATE(2004,11,5)</f>
        <v>38296</v>
      </c>
      <c r="E14382" s="5">
        <f t="shared" si="237"/>
        <v>2004</v>
      </c>
      <c r="F14382" s="3" t="s">
        <v>2273</v>
      </c>
      <c r="G14382" s="6">
        <v>15370.24</v>
      </c>
      <c r="H14382" s="5">
        <v>827</v>
      </c>
    </row>
    <row r="14383" spans="2:8" x14ac:dyDescent="0.4">
      <c r="B14383" s="3" t="s">
        <v>7</v>
      </c>
      <c r="C14383" s="3" t="s">
        <v>2271</v>
      </c>
      <c r="D14383" s="4">
        <f>DATE(2004,11,10)</f>
        <v>38301</v>
      </c>
      <c r="E14383" s="5">
        <f t="shared" si="237"/>
        <v>2004</v>
      </c>
      <c r="F14383" s="3" t="s">
        <v>2273</v>
      </c>
      <c r="G14383" s="6">
        <v>3015.98</v>
      </c>
      <c r="H14383" s="5">
        <v>852</v>
      </c>
    </row>
    <row r="14384" spans="2:8" x14ac:dyDescent="0.4">
      <c r="B14384" s="3" t="s">
        <v>7</v>
      </c>
      <c r="C14384" s="3" t="s">
        <v>2271</v>
      </c>
      <c r="D14384" s="4">
        <f>DATE(2004,11,23)</f>
        <v>38314</v>
      </c>
      <c r="E14384" s="5">
        <f t="shared" si="237"/>
        <v>2004</v>
      </c>
      <c r="F14384" s="3" t="s">
        <v>2273</v>
      </c>
      <c r="G14384" s="6">
        <v>601.21</v>
      </c>
      <c r="H14384" s="5">
        <v>862</v>
      </c>
    </row>
    <row r="14385" spans="2:8" x14ac:dyDescent="0.4">
      <c r="B14385" s="3" t="s">
        <v>7</v>
      </c>
      <c r="C14385" s="3" t="s">
        <v>2271</v>
      </c>
      <c r="D14385" s="4">
        <f>DATE(2005,5,27)</f>
        <v>38499</v>
      </c>
      <c r="E14385" s="5">
        <f t="shared" si="237"/>
        <v>2005</v>
      </c>
      <c r="F14385" s="3" t="s">
        <v>2273</v>
      </c>
      <c r="G14385" s="6">
        <v>2212.86</v>
      </c>
      <c r="H14385" s="5">
        <v>1088</v>
      </c>
    </row>
    <row r="14386" spans="2:8" x14ac:dyDescent="0.4">
      <c r="B14386" s="3" t="s">
        <v>7</v>
      </c>
      <c r="C14386" s="3" t="s">
        <v>2271</v>
      </c>
      <c r="D14386" s="4">
        <f>DATE(2005,9,9)</f>
        <v>38604</v>
      </c>
      <c r="E14386" s="5">
        <f t="shared" si="237"/>
        <v>2005</v>
      </c>
      <c r="F14386" s="3" t="s">
        <v>2273</v>
      </c>
      <c r="G14386" s="6">
        <v>751.18</v>
      </c>
      <c r="H14386" s="5">
        <v>1222</v>
      </c>
    </row>
    <row r="14387" spans="2:8" x14ac:dyDescent="0.4">
      <c r="B14387" s="3" t="s">
        <v>7</v>
      </c>
      <c r="C14387" s="3" t="s">
        <v>2271</v>
      </c>
      <c r="D14387" s="4">
        <f>DATE(2005,12,30)</f>
        <v>38716</v>
      </c>
      <c r="E14387" s="5">
        <f t="shared" si="237"/>
        <v>2005</v>
      </c>
      <c r="F14387" s="3" t="s">
        <v>2273</v>
      </c>
      <c r="G14387" s="6">
        <v>34579.629999999997</v>
      </c>
      <c r="H14387" s="5">
        <v>1379</v>
      </c>
    </row>
    <row r="14388" spans="2:8" x14ac:dyDescent="0.4">
      <c r="B14388" s="3" t="s">
        <v>7</v>
      </c>
      <c r="C14388" s="3" t="s">
        <v>2271</v>
      </c>
      <c r="D14388" s="4">
        <f>DATE(2006,8,15)</f>
        <v>38944</v>
      </c>
      <c r="E14388" s="5">
        <f t="shared" si="237"/>
        <v>2006</v>
      </c>
      <c r="F14388" s="3" t="s">
        <v>2273</v>
      </c>
      <c r="G14388" s="6">
        <v>333.25</v>
      </c>
      <c r="H14388" s="5">
        <v>1741</v>
      </c>
    </row>
    <row r="14389" spans="2:8" x14ac:dyDescent="0.4">
      <c r="B14389" s="3" t="s">
        <v>7</v>
      </c>
      <c r="C14389" s="3" t="s">
        <v>2271</v>
      </c>
      <c r="D14389" s="4">
        <f>DATE(2003,10,21)</f>
        <v>37915</v>
      </c>
      <c r="E14389" s="5">
        <f t="shared" si="237"/>
        <v>2003</v>
      </c>
      <c r="F14389" s="3" t="s">
        <v>2273</v>
      </c>
      <c r="G14389" s="6">
        <v>18238.16</v>
      </c>
      <c r="H14389" s="5">
        <v>1681</v>
      </c>
    </row>
    <row r="14390" spans="2:8" x14ac:dyDescent="0.4">
      <c r="B14390" s="3" t="s">
        <v>7</v>
      </c>
      <c r="C14390" s="3" t="s">
        <v>2271</v>
      </c>
      <c r="D14390" s="4">
        <f>DATE(2003,10,24)</f>
        <v>37918</v>
      </c>
      <c r="E14390" s="5">
        <f t="shared" si="237"/>
        <v>2003</v>
      </c>
      <c r="F14390" s="3" t="s">
        <v>2273</v>
      </c>
      <c r="G14390" s="6">
        <v>30721.759999999998</v>
      </c>
      <c r="H14390" s="5">
        <v>1682</v>
      </c>
    </row>
    <row r="14391" spans="2:8" x14ac:dyDescent="0.4">
      <c r="B14391" s="3" t="s">
        <v>7</v>
      </c>
      <c r="C14391" s="3" t="s">
        <v>2271</v>
      </c>
      <c r="D14391" s="4">
        <f>DATE(2003,12,3)</f>
        <v>37958</v>
      </c>
      <c r="E14391" s="5">
        <f t="shared" si="237"/>
        <v>2003</v>
      </c>
      <c r="F14391" s="3" t="s">
        <v>2273</v>
      </c>
      <c r="G14391" s="6">
        <v>2447.75</v>
      </c>
      <c r="H14391" s="5">
        <v>1859</v>
      </c>
    </row>
    <row r="14392" spans="2:8" x14ac:dyDescent="0.4">
      <c r="B14392" s="3" t="s">
        <v>7</v>
      </c>
      <c r="C14392" s="3" t="s">
        <v>2271</v>
      </c>
      <c r="D14392" s="4">
        <f>DATE(2004,2,9)</f>
        <v>38026</v>
      </c>
      <c r="E14392" s="5">
        <f t="shared" si="237"/>
        <v>2004</v>
      </c>
      <c r="F14392" s="3" t="s">
        <v>2273</v>
      </c>
      <c r="G14392" s="6">
        <v>511.25</v>
      </c>
      <c r="H14392" s="5">
        <v>2127</v>
      </c>
    </row>
    <row r="14393" spans="2:8" x14ac:dyDescent="0.4">
      <c r="B14393" s="3" t="s">
        <v>7</v>
      </c>
      <c r="C14393" s="3" t="s">
        <v>2271</v>
      </c>
      <c r="D14393" s="4">
        <f>DATE(2004,3,22)</f>
        <v>38068</v>
      </c>
      <c r="E14393" s="5">
        <f t="shared" si="237"/>
        <v>2004</v>
      </c>
      <c r="F14393" s="3" t="s">
        <v>2273</v>
      </c>
      <c r="G14393" s="6">
        <v>3305</v>
      </c>
      <c r="H14393" s="5">
        <v>2442</v>
      </c>
    </row>
    <row r="14394" spans="2:8" x14ac:dyDescent="0.4">
      <c r="B14394" s="3" t="s">
        <v>7</v>
      </c>
      <c r="C14394" s="3" t="s">
        <v>2271</v>
      </c>
      <c r="D14394" s="4">
        <f>DATE(2004,6,15)</f>
        <v>38153</v>
      </c>
      <c r="E14394" s="5">
        <f t="shared" si="237"/>
        <v>2004</v>
      </c>
      <c r="F14394" s="3" t="s">
        <v>2273</v>
      </c>
      <c r="G14394" s="6">
        <v>3564.75</v>
      </c>
      <c r="H14394" s="5">
        <v>3028</v>
      </c>
    </row>
    <row r="14395" spans="2:8" x14ac:dyDescent="0.4">
      <c r="B14395" s="3" t="s">
        <v>7</v>
      </c>
      <c r="C14395" s="3" t="s">
        <v>2271</v>
      </c>
      <c r="D14395" s="4">
        <f>DATE(2004,9,17)</f>
        <v>38247</v>
      </c>
      <c r="E14395" s="5">
        <f t="shared" si="237"/>
        <v>2004</v>
      </c>
      <c r="F14395" s="3" t="s">
        <v>2273</v>
      </c>
      <c r="G14395" s="6">
        <v>2144.25</v>
      </c>
      <c r="H14395" s="5">
        <v>3395</v>
      </c>
    </row>
    <row r="14396" spans="2:8" x14ac:dyDescent="0.4">
      <c r="B14396" s="3" t="s">
        <v>7</v>
      </c>
      <c r="C14396" s="3" t="s">
        <v>2271</v>
      </c>
      <c r="D14396" s="4">
        <f>DATE(2004,9,24)</f>
        <v>38254</v>
      </c>
      <c r="E14396" s="5">
        <f t="shared" si="237"/>
        <v>2004</v>
      </c>
      <c r="F14396" s="3" t="s">
        <v>2273</v>
      </c>
      <c r="G14396" s="6">
        <v>4277.5</v>
      </c>
      <c r="H14396" s="5">
        <v>3440</v>
      </c>
    </row>
    <row r="14397" spans="2:8" x14ac:dyDescent="0.4">
      <c r="B14397" s="3" t="s">
        <v>7</v>
      </c>
      <c r="C14397" s="3" t="s">
        <v>2271</v>
      </c>
      <c r="D14397" s="4">
        <f>DATE(2004,11,3)</f>
        <v>38294</v>
      </c>
      <c r="E14397" s="5">
        <f t="shared" si="237"/>
        <v>2004</v>
      </c>
      <c r="F14397" s="3" t="s">
        <v>2273</v>
      </c>
      <c r="G14397" s="6">
        <v>12355.77</v>
      </c>
      <c r="H14397" s="5">
        <v>3655</v>
      </c>
    </row>
    <row r="14398" spans="2:8" x14ac:dyDescent="0.4">
      <c r="B14398" s="3" t="s">
        <v>7</v>
      </c>
      <c r="C14398" s="3" t="s">
        <v>2271</v>
      </c>
      <c r="D14398" s="4">
        <f>DATE(2005,4,22)</f>
        <v>38464</v>
      </c>
      <c r="E14398" s="5">
        <f t="shared" si="237"/>
        <v>2005</v>
      </c>
      <c r="F14398" s="3" t="s">
        <v>2273</v>
      </c>
      <c r="G14398" s="6">
        <v>2423.75</v>
      </c>
      <c r="H14398" s="5">
        <v>4618</v>
      </c>
    </row>
    <row r="14399" spans="2:8" x14ac:dyDescent="0.4">
      <c r="B14399" s="3" t="s">
        <v>7</v>
      </c>
      <c r="C14399" s="3" t="s">
        <v>2271</v>
      </c>
      <c r="D14399" s="4">
        <f>DATE(2005,5,27)</f>
        <v>38499</v>
      </c>
      <c r="E14399" s="5">
        <f t="shared" si="237"/>
        <v>2005</v>
      </c>
      <c r="F14399" s="3" t="s">
        <v>2273</v>
      </c>
      <c r="G14399" s="6">
        <v>1676.25</v>
      </c>
      <c r="H14399" s="5">
        <v>4814</v>
      </c>
    </row>
    <row r="14400" spans="2:8" x14ac:dyDescent="0.4">
      <c r="B14400" s="3" t="s">
        <v>7</v>
      </c>
      <c r="C14400" s="3" t="s">
        <v>2271</v>
      </c>
      <c r="D14400" s="4">
        <f>DATE(2005,7,8)</f>
        <v>38541</v>
      </c>
      <c r="E14400" s="5">
        <f t="shared" si="237"/>
        <v>2005</v>
      </c>
      <c r="F14400" s="3" t="s">
        <v>2273</v>
      </c>
      <c r="G14400" s="6">
        <v>457.25</v>
      </c>
      <c r="H14400" s="5">
        <v>4953</v>
      </c>
    </row>
    <row r="14401" spans="2:8" x14ac:dyDescent="0.4">
      <c r="B14401" s="3" t="s">
        <v>7</v>
      </c>
      <c r="C14401" s="3" t="s">
        <v>2271</v>
      </c>
      <c r="D14401" s="4">
        <f>DATE(2005,8,15)</f>
        <v>38579</v>
      </c>
      <c r="E14401" s="5">
        <f t="shared" si="237"/>
        <v>2005</v>
      </c>
      <c r="F14401" s="3" t="s">
        <v>2273</v>
      </c>
      <c r="G14401" s="6">
        <v>233</v>
      </c>
      <c r="H14401" s="5">
        <v>5112</v>
      </c>
    </row>
    <row r="14402" spans="2:8" x14ac:dyDescent="0.4">
      <c r="B14402" s="3" t="s">
        <v>7</v>
      </c>
      <c r="C14402" s="3" t="s">
        <v>2271</v>
      </c>
      <c r="D14402" s="4">
        <f>DATE(2005,8,26)</f>
        <v>38590</v>
      </c>
      <c r="E14402" s="5">
        <f t="shared" si="237"/>
        <v>2005</v>
      </c>
      <c r="F14402" s="3" t="s">
        <v>2273</v>
      </c>
      <c r="G14402" s="6">
        <v>606.75</v>
      </c>
      <c r="H14402" s="5">
        <v>5171</v>
      </c>
    </row>
    <row r="14403" spans="2:8" x14ac:dyDescent="0.4">
      <c r="B14403" s="3" t="s">
        <v>7</v>
      </c>
      <c r="C14403" s="3" t="s">
        <v>2271</v>
      </c>
      <c r="D14403" s="4">
        <f>DATE(2005,11,16)</f>
        <v>38672</v>
      </c>
      <c r="E14403" s="5">
        <f t="shared" ref="E14403:E14466" si="238">YEAR(D14403)</f>
        <v>2005</v>
      </c>
      <c r="F14403" s="3" t="s">
        <v>2273</v>
      </c>
      <c r="G14403" s="6">
        <v>1695</v>
      </c>
      <c r="H14403" s="5">
        <v>5586</v>
      </c>
    </row>
    <row r="14404" spans="2:8" x14ac:dyDescent="0.4">
      <c r="B14404" s="3" t="s">
        <v>7</v>
      </c>
      <c r="C14404" s="3" t="s">
        <v>2271</v>
      </c>
      <c r="D14404" s="4">
        <f>DATE(2006,2,10)</f>
        <v>38758</v>
      </c>
      <c r="E14404" s="5">
        <f t="shared" si="238"/>
        <v>2006</v>
      </c>
      <c r="F14404" s="3" t="s">
        <v>2273</v>
      </c>
      <c r="G14404" s="6">
        <v>177.11</v>
      </c>
      <c r="H14404" s="5">
        <v>6023</v>
      </c>
    </row>
    <row r="14405" spans="2:8" x14ac:dyDescent="0.4">
      <c r="B14405" s="3" t="s">
        <v>7</v>
      </c>
      <c r="C14405" s="3" t="s">
        <v>2271</v>
      </c>
      <c r="D14405" s="4">
        <f>DATE(2006,3,13)</f>
        <v>38789</v>
      </c>
      <c r="E14405" s="5">
        <f t="shared" si="238"/>
        <v>2006</v>
      </c>
      <c r="F14405" s="3" t="s">
        <v>2273</v>
      </c>
      <c r="G14405" s="6">
        <v>2030.97</v>
      </c>
      <c r="H14405" s="5">
        <v>6278</v>
      </c>
    </row>
    <row r="14406" spans="2:8" x14ac:dyDescent="0.4">
      <c r="B14406" s="3" t="s">
        <v>7</v>
      </c>
      <c r="C14406" s="3" t="s">
        <v>2271</v>
      </c>
      <c r="D14406" s="4">
        <f>DATE(2006,4,5)</f>
        <v>38812</v>
      </c>
      <c r="E14406" s="5">
        <f t="shared" si="238"/>
        <v>2006</v>
      </c>
      <c r="F14406" s="3" t="s">
        <v>2273</v>
      </c>
      <c r="G14406" s="6">
        <v>6195</v>
      </c>
      <c r="H14406" s="5">
        <v>6439</v>
      </c>
    </row>
    <row r="14407" spans="2:8" x14ac:dyDescent="0.4">
      <c r="B14407" s="3" t="s">
        <v>7</v>
      </c>
      <c r="C14407" s="3" t="s">
        <v>2271</v>
      </c>
      <c r="D14407" s="4">
        <f>DATE(2006,4,5)</f>
        <v>38812</v>
      </c>
      <c r="E14407" s="5">
        <f t="shared" si="238"/>
        <v>2006</v>
      </c>
      <c r="F14407" s="3" t="s">
        <v>2273</v>
      </c>
      <c r="G14407" s="6">
        <v>379.69</v>
      </c>
      <c r="H14407" s="5">
        <v>6463</v>
      </c>
    </row>
    <row r="14408" spans="2:8" x14ac:dyDescent="0.4">
      <c r="B14408" s="3" t="s">
        <v>7</v>
      </c>
      <c r="C14408" s="3" t="s">
        <v>2271</v>
      </c>
      <c r="D14408" s="4">
        <f>DATE(2006,5,8)</f>
        <v>38845</v>
      </c>
      <c r="E14408" s="5">
        <f t="shared" si="238"/>
        <v>2006</v>
      </c>
      <c r="F14408" s="3" t="s">
        <v>2273</v>
      </c>
      <c r="G14408" s="6">
        <v>843.03</v>
      </c>
      <c r="H14408" s="5">
        <v>6675</v>
      </c>
    </row>
    <row r="14409" spans="2:8" x14ac:dyDescent="0.4">
      <c r="B14409" s="3" t="s">
        <v>7</v>
      </c>
      <c r="C14409" s="3" t="s">
        <v>2271</v>
      </c>
      <c r="D14409" s="4">
        <f>DATE(2006,6,7)</f>
        <v>38875</v>
      </c>
      <c r="E14409" s="5">
        <f t="shared" si="238"/>
        <v>2006</v>
      </c>
      <c r="F14409" s="3" t="s">
        <v>2273</v>
      </c>
      <c r="G14409" s="6">
        <v>947.17</v>
      </c>
      <c r="H14409" s="5">
        <v>6828</v>
      </c>
    </row>
    <row r="14410" spans="2:8" x14ac:dyDescent="0.4">
      <c r="B14410" s="3" t="s">
        <v>7</v>
      </c>
      <c r="C14410" s="3" t="s">
        <v>2271</v>
      </c>
      <c r="D14410" s="4">
        <f>DATE(2006,6,22)</f>
        <v>38890</v>
      </c>
      <c r="E14410" s="5">
        <f t="shared" si="238"/>
        <v>2006</v>
      </c>
      <c r="F14410" s="3" t="s">
        <v>2273</v>
      </c>
      <c r="G14410" s="6">
        <v>1529.61</v>
      </c>
      <c r="H14410" s="5">
        <v>6888</v>
      </c>
    </row>
    <row r="14411" spans="2:8" x14ac:dyDescent="0.4">
      <c r="B14411" s="3" t="s">
        <v>7</v>
      </c>
      <c r="C14411" s="3" t="s">
        <v>2271</v>
      </c>
      <c r="D14411" s="4">
        <f>DATE(2006,8,15)</f>
        <v>38944</v>
      </c>
      <c r="E14411" s="5">
        <f t="shared" si="238"/>
        <v>2006</v>
      </c>
      <c r="F14411" s="3" t="s">
        <v>2273</v>
      </c>
      <c r="G14411" s="6">
        <v>8719.44</v>
      </c>
      <c r="H14411" s="5">
        <v>7092</v>
      </c>
    </row>
    <row r="14412" spans="2:8" x14ac:dyDescent="0.4">
      <c r="B14412" s="3" t="s">
        <v>7</v>
      </c>
      <c r="C14412" s="3" t="s">
        <v>2271</v>
      </c>
      <c r="D14412" s="4">
        <f>DATE(2006,10,12)</f>
        <v>39002</v>
      </c>
      <c r="E14412" s="5">
        <f t="shared" si="238"/>
        <v>2006</v>
      </c>
      <c r="F14412" s="3" t="s">
        <v>2273</v>
      </c>
      <c r="G14412" s="6">
        <v>5935.61</v>
      </c>
      <c r="H14412" s="5">
        <v>7378</v>
      </c>
    </row>
    <row r="14413" spans="2:8" x14ac:dyDescent="0.4">
      <c r="B14413" s="3" t="s">
        <v>7</v>
      </c>
      <c r="C14413" s="3" t="s">
        <v>2271</v>
      </c>
      <c r="D14413" s="4">
        <f>DATE(2006,10,23)</f>
        <v>39013</v>
      </c>
      <c r="E14413" s="5">
        <f t="shared" si="238"/>
        <v>2006</v>
      </c>
      <c r="F14413" s="3" t="s">
        <v>2273</v>
      </c>
      <c r="G14413" s="6">
        <v>812.52</v>
      </c>
      <c r="H14413" s="5">
        <v>7428</v>
      </c>
    </row>
    <row r="14414" spans="2:8" x14ac:dyDescent="0.4">
      <c r="B14414" s="3" t="s">
        <v>7</v>
      </c>
      <c r="C14414" s="3" t="s">
        <v>2271</v>
      </c>
      <c r="D14414" s="4">
        <f>DATE(2006,12,21)</f>
        <v>39072</v>
      </c>
      <c r="E14414" s="5">
        <f t="shared" si="238"/>
        <v>2006</v>
      </c>
      <c r="F14414" s="3" t="s">
        <v>2273</v>
      </c>
      <c r="G14414" s="6">
        <v>13051.17</v>
      </c>
      <c r="H14414" s="5">
        <v>7677</v>
      </c>
    </row>
    <row r="14415" spans="2:8" x14ac:dyDescent="0.4">
      <c r="B14415" s="3" t="s">
        <v>7</v>
      </c>
      <c r="C14415" s="3" t="s">
        <v>2271</v>
      </c>
      <c r="D14415" s="4">
        <f>DATE(2007,5,3)</f>
        <v>39205</v>
      </c>
      <c r="E14415" s="5">
        <f t="shared" si="238"/>
        <v>2007</v>
      </c>
      <c r="F14415" s="3" t="s">
        <v>2273</v>
      </c>
      <c r="G14415" s="6">
        <v>864.9</v>
      </c>
      <c r="H14415" s="5">
        <v>8517</v>
      </c>
    </row>
    <row r="14416" spans="2:8" x14ac:dyDescent="0.4">
      <c r="B14416" s="3" t="s">
        <v>16</v>
      </c>
      <c r="C14416" s="3" t="s">
        <v>2271</v>
      </c>
      <c r="D14416" s="4">
        <f>DATE(2004,5,14)</f>
        <v>38121</v>
      </c>
      <c r="E14416" s="5">
        <f t="shared" si="238"/>
        <v>2004</v>
      </c>
      <c r="F14416" s="3" t="s">
        <v>2273</v>
      </c>
      <c r="G14416" s="6">
        <v>3000</v>
      </c>
      <c r="H14416" s="5">
        <v>2949</v>
      </c>
    </row>
    <row r="14417" spans="2:8" x14ac:dyDescent="0.4">
      <c r="B14417" t="s">
        <v>7</v>
      </c>
      <c r="C14417" t="s">
        <v>2274</v>
      </c>
      <c r="D14417" s="7">
        <f>DATE(2017,1,11)</f>
        <v>42746</v>
      </c>
      <c r="E14417" s="8">
        <f t="shared" si="238"/>
        <v>2017</v>
      </c>
      <c r="F14417" t="s">
        <v>2275</v>
      </c>
      <c r="G14417" s="9">
        <v>36592.42</v>
      </c>
      <c r="H14417" s="8">
        <v>24070</v>
      </c>
    </row>
    <row r="14418" spans="2:8" x14ac:dyDescent="0.4">
      <c r="B14418" t="s">
        <v>7</v>
      </c>
      <c r="C14418" t="s">
        <v>2274</v>
      </c>
      <c r="D14418" s="7">
        <f>DATE(2019,1,23)</f>
        <v>43488</v>
      </c>
      <c r="E14418" s="8">
        <f t="shared" si="238"/>
        <v>2019</v>
      </c>
      <c r="F14418" t="s">
        <v>2275</v>
      </c>
      <c r="G14418" s="9">
        <v>61627.21</v>
      </c>
      <c r="H14418" s="8">
        <v>28199</v>
      </c>
    </row>
    <row r="14419" spans="2:8" x14ac:dyDescent="0.4">
      <c r="B14419" t="s">
        <v>7</v>
      </c>
      <c r="C14419" t="s">
        <v>2274</v>
      </c>
      <c r="D14419" s="7">
        <f>DATE(2017,5,18)</f>
        <v>42873</v>
      </c>
      <c r="E14419" s="8">
        <f t="shared" si="238"/>
        <v>2017</v>
      </c>
      <c r="F14419" t="s">
        <v>2275</v>
      </c>
      <c r="G14419" s="9">
        <v>12624.3</v>
      </c>
      <c r="H14419" s="8">
        <v>24937</v>
      </c>
    </row>
    <row r="14420" spans="2:8" x14ac:dyDescent="0.4">
      <c r="B14420" t="s">
        <v>7</v>
      </c>
      <c r="C14420" t="s">
        <v>2274</v>
      </c>
      <c r="D14420" s="7">
        <f>DATE(2018,5,23)</f>
        <v>43243</v>
      </c>
      <c r="E14420" s="8">
        <f t="shared" si="238"/>
        <v>2018</v>
      </c>
      <c r="F14420" t="s">
        <v>2275</v>
      </c>
      <c r="G14420" s="9">
        <v>4928.4799999999996</v>
      </c>
      <c r="H14420" s="8">
        <v>27101</v>
      </c>
    </row>
    <row r="14421" spans="2:8" x14ac:dyDescent="0.4">
      <c r="B14421" t="s">
        <v>7</v>
      </c>
      <c r="C14421" t="s">
        <v>2274</v>
      </c>
      <c r="D14421" s="7">
        <f>DATE(2018,11,6)</f>
        <v>43410</v>
      </c>
      <c r="E14421" s="8">
        <f t="shared" si="238"/>
        <v>2018</v>
      </c>
      <c r="F14421" t="s">
        <v>2275</v>
      </c>
      <c r="G14421" s="9">
        <v>12831.38</v>
      </c>
      <c r="H14421" s="8">
        <v>27799</v>
      </c>
    </row>
    <row r="14422" spans="2:8" x14ac:dyDescent="0.4">
      <c r="B14422" t="s">
        <v>7</v>
      </c>
      <c r="C14422" t="s">
        <v>2274</v>
      </c>
      <c r="D14422" s="7">
        <f>DATE(2019,4,3)</f>
        <v>43558</v>
      </c>
      <c r="E14422" s="8">
        <f t="shared" si="238"/>
        <v>2019</v>
      </c>
      <c r="F14422" t="s">
        <v>2275</v>
      </c>
      <c r="G14422" s="9">
        <v>9538.5</v>
      </c>
      <c r="H14422" s="8">
        <v>28660</v>
      </c>
    </row>
    <row r="14423" spans="2:8" x14ac:dyDescent="0.4">
      <c r="B14423" t="s">
        <v>7</v>
      </c>
      <c r="C14423" t="s">
        <v>2274</v>
      </c>
      <c r="D14423" s="7">
        <f>DATE(2019,4,25)</f>
        <v>43580</v>
      </c>
      <c r="E14423" s="8">
        <f t="shared" si="238"/>
        <v>2019</v>
      </c>
      <c r="F14423" t="s">
        <v>2275</v>
      </c>
      <c r="G14423" s="9">
        <v>13793.25</v>
      </c>
      <c r="H14423" s="8">
        <v>28726</v>
      </c>
    </row>
    <row r="14424" spans="2:8" x14ac:dyDescent="0.4">
      <c r="B14424" t="s">
        <v>7</v>
      </c>
      <c r="C14424" t="s">
        <v>2274</v>
      </c>
      <c r="D14424" s="7">
        <f>DATE(2005,11,17)</f>
        <v>38673</v>
      </c>
      <c r="E14424" s="8">
        <f t="shared" si="238"/>
        <v>2005</v>
      </c>
      <c r="F14424" t="s">
        <v>2275</v>
      </c>
      <c r="G14424" s="9">
        <v>356</v>
      </c>
      <c r="H14424" s="8">
        <v>3778</v>
      </c>
    </row>
    <row r="14425" spans="2:8" x14ac:dyDescent="0.4">
      <c r="B14425" t="s">
        <v>7</v>
      </c>
      <c r="C14425" t="s">
        <v>2274</v>
      </c>
      <c r="D14425" s="7">
        <f>DATE(2009,11,25)</f>
        <v>40142</v>
      </c>
      <c r="E14425" s="8">
        <f t="shared" si="238"/>
        <v>2009</v>
      </c>
      <c r="F14425" t="s">
        <v>2275</v>
      </c>
      <c r="G14425" s="9">
        <v>558</v>
      </c>
      <c r="H14425" s="8">
        <v>9261</v>
      </c>
    </row>
    <row r="14426" spans="2:8" x14ac:dyDescent="0.4">
      <c r="B14426" t="s">
        <v>7</v>
      </c>
      <c r="C14426" t="s">
        <v>2274</v>
      </c>
      <c r="D14426" s="7">
        <f>DATE(2011,3,17)</f>
        <v>40619</v>
      </c>
      <c r="E14426" s="8">
        <f t="shared" si="238"/>
        <v>2011</v>
      </c>
      <c r="F14426" t="s">
        <v>2275</v>
      </c>
      <c r="G14426" s="9">
        <v>560</v>
      </c>
      <c r="H14426" s="8">
        <v>10583</v>
      </c>
    </row>
    <row r="14427" spans="2:8" x14ac:dyDescent="0.4">
      <c r="B14427" t="s">
        <v>7</v>
      </c>
      <c r="C14427" t="s">
        <v>2274</v>
      </c>
      <c r="D14427" s="7">
        <f>DATE(2012,3,13)</f>
        <v>40981</v>
      </c>
      <c r="E14427" s="8">
        <f t="shared" si="238"/>
        <v>2012</v>
      </c>
      <c r="F14427" t="s">
        <v>2275</v>
      </c>
      <c r="G14427" s="9">
        <v>208</v>
      </c>
      <c r="H14427" s="8">
        <v>11321</v>
      </c>
    </row>
    <row r="14428" spans="2:8" x14ac:dyDescent="0.4">
      <c r="B14428" t="s">
        <v>7</v>
      </c>
      <c r="C14428" t="s">
        <v>2274</v>
      </c>
      <c r="D14428" s="7">
        <f>DATE(2012,5,11)</f>
        <v>41040</v>
      </c>
      <c r="E14428" s="8">
        <f t="shared" si="238"/>
        <v>2012</v>
      </c>
      <c r="F14428" t="s">
        <v>2275</v>
      </c>
      <c r="G14428" s="9">
        <v>28868.67</v>
      </c>
      <c r="H14428" s="8">
        <v>11312</v>
      </c>
    </row>
    <row r="14429" spans="2:8" x14ac:dyDescent="0.4">
      <c r="B14429" t="s">
        <v>7</v>
      </c>
      <c r="C14429" t="s">
        <v>2274</v>
      </c>
      <c r="D14429" s="7">
        <f>DATE(2007,5,24)</f>
        <v>39226</v>
      </c>
      <c r="E14429" s="8">
        <f t="shared" si="238"/>
        <v>2007</v>
      </c>
      <c r="F14429" t="s">
        <v>2275</v>
      </c>
      <c r="G14429" s="9">
        <v>28460</v>
      </c>
      <c r="H14429" s="8">
        <v>5984</v>
      </c>
    </row>
    <row r="14430" spans="2:8" x14ac:dyDescent="0.4">
      <c r="B14430" t="s">
        <v>7</v>
      </c>
      <c r="C14430" t="s">
        <v>2274</v>
      </c>
      <c r="D14430" s="7">
        <f>DATE(2008,10,1)</f>
        <v>39722</v>
      </c>
      <c r="E14430" s="8">
        <f t="shared" si="238"/>
        <v>2008</v>
      </c>
      <c r="F14430" t="s">
        <v>2275</v>
      </c>
      <c r="G14430" s="9">
        <v>286596.90000000002</v>
      </c>
      <c r="H14430" s="8">
        <v>7785</v>
      </c>
    </row>
    <row r="14431" spans="2:8" x14ac:dyDescent="0.4">
      <c r="B14431" t="s">
        <v>7</v>
      </c>
      <c r="C14431" t="s">
        <v>2274</v>
      </c>
      <c r="D14431" s="7">
        <f>DATE(2012,7,23)</f>
        <v>41113</v>
      </c>
      <c r="E14431" s="8">
        <f t="shared" si="238"/>
        <v>2012</v>
      </c>
      <c r="F14431" t="s">
        <v>2275</v>
      </c>
      <c r="G14431" s="9">
        <v>6741.4</v>
      </c>
      <c r="H14431" s="8">
        <v>11668</v>
      </c>
    </row>
    <row r="14432" spans="2:8" x14ac:dyDescent="0.4">
      <c r="B14432" s="3" t="s">
        <v>7</v>
      </c>
      <c r="C14432" s="3" t="s">
        <v>2274</v>
      </c>
      <c r="D14432" s="4">
        <f>DATE(2004,7,23)</f>
        <v>38191</v>
      </c>
      <c r="E14432" s="5">
        <f t="shared" si="238"/>
        <v>2004</v>
      </c>
      <c r="F14432" s="3" t="s">
        <v>2275</v>
      </c>
      <c r="G14432" s="6">
        <v>33605.18</v>
      </c>
      <c r="H14432" s="5">
        <v>3151</v>
      </c>
    </row>
    <row r="14433" spans="2:8" x14ac:dyDescent="0.4">
      <c r="B14433" s="3" t="s">
        <v>7</v>
      </c>
      <c r="C14433" s="3" t="s">
        <v>2274</v>
      </c>
      <c r="D14433" s="4">
        <f>DATE(2004,9,14)</f>
        <v>38244</v>
      </c>
      <c r="E14433" s="5">
        <f t="shared" si="238"/>
        <v>2004</v>
      </c>
      <c r="F14433" s="3" t="s">
        <v>2275</v>
      </c>
      <c r="G14433" s="6">
        <v>690</v>
      </c>
      <c r="H14433" s="5">
        <v>3365</v>
      </c>
    </row>
    <row r="14434" spans="2:8" x14ac:dyDescent="0.4">
      <c r="B14434" s="3" t="s">
        <v>7</v>
      </c>
      <c r="C14434" s="3" t="s">
        <v>2274</v>
      </c>
      <c r="D14434" s="4">
        <f>DATE(2004,9,28)</f>
        <v>38258</v>
      </c>
      <c r="E14434" s="5">
        <f t="shared" si="238"/>
        <v>2004</v>
      </c>
      <c r="F14434" s="3" t="s">
        <v>2275</v>
      </c>
      <c r="G14434" s="6">
        <v>1932.19</v>
      </c>
      <c r="H14434" s="5">
        <v>3476</v>
      </c>
    </row>
    <row r="14435" spans="2:8" x14ac:dyDescent="0.4">
      <c r="B14435" s="3" t="s">
        <v>7</v>
      </c>
      <c r="C14435" s="3" t="s">
        <v>2274</v>
      </c>
      <c r="D14435" s="4">
        <f>DATE(2005,4,8)</f>
        <v>38450</v>
      </c>
      <c r="E14435" s="5">
        <f t="shared" si="238"/>
        <v>2005</v>
      </c>
      <c r="F14435" s="3" t="s">
        <v>2275</v>
      </c>
      <c r="G14435" s="6">
        <v>1470.6</v>
      </c>
      <c r="H14435" s="5">
        <v>4512</v>
      </c>
    </row>
    <row r="14436" spans="2:8" x14ac:dyDescent="0.4">
      <c r="B14436" s="3" t="s">
        <v>7</v>
      </c>
      <c r="C14436" s="3" t="s">
        <v>2274</v>
      </c>
      <c r="D14436" s="4">
        <f>DATE(2007,5,21)</f>
        <v>39223</v>
      </c>
      <c r="E14436" s="5">
        <f t="shared" si="238"/>
        <v>2007</v>
      </c>
      <c r="F14436" s="3" t="s">
        <v>2275</v>
      </c>
      <c r="G14436" s="6">
        <v>300</v>
      </c>
      <c r="H14436" s="5">
        <v>8586</v>
      </c>
    </row>
    <row r="14437" spans="2:8" x14ac:dyDescent="0.4">
      <c r="B14437" s="3" t="s">
        <v>7</v>
      </c>
      <c r="C14437" s="3" t="s">
        <v>2274</v>
      </c>
      <c r="D14437" s="4">
        <f>DATE(2007,6,1)</f>
        <v>39234</v>
      </c>
      <c r="E14437" s="5">
        <f t="shared" si="238"/>
        <v>2007</v>
      </c>
      <c r="F14437" s="3" t="s">
        <v>2275</v>
      </c>
      <c r="G14437" s="6">
        <v>1158</v>
      </c>
      <c r="H14437" s="5">
        <v>8664</v>
      </c>
    </row>
    <row r="14438" spans="2:8" x14ac:dyDescent="0.4">
      <c r="B14438" s="3" t="s">
        <v>7</v>
      </c>
      <c r="C14438" s="3" t="s">
        <v>2274</v>
      </c>
      <c r="D14438" s="4">
        <f>DATE(2007,5,21)</f>
        <v>39223</v>
      </c>
      <c r="E14438" s="5">
        <f t="shared" si="238"/>
        <v>2007</v>
      </c>
      <c r="F14438" s="3" t="s">
        <v>2275</v>
      </c>
      <c r="G14438" s="6">
        <v>5735</v>
      </c>
      <c r="H14438" s="5">
        <v>8561</v>
      </c>
    </row>
    <row r="14439" spans="2:8" x14ac:dyDescent="0.4">
      <c r="B14439" s="3" t="s">
        <v>7</v>
      </c>
      <c r="C14439" s="3" t="s">
        <v>2274</v>
      </c>
      <c r="D14439" s="4">
        <f>DATE(2010,9,10)</f>
        <v>40431</v>
      </c>
      <c r="E14439" s="5">
        <f t="shared" si="238"/>
        <v>2010</v>
      </c>
      <c r="F14439" s="3" t="s">
        <v>2275</v>
      </c>
      <c r="G14439" s="6">
        <v>6141.4</v>
      </c>
      <c r="H14439" s="5">
        <v>14473</v>
      </c>
    </row>
    <row r="14440" spans="2:8" x14ac:dyDescent="0.4">
      <c r="B14440" s="3" t="s">
        <v>7</v>
      </c>
      <c r="C14440" s="3" t="s">
        <v>2274</v>
      </c>
      <c r="D14440" s="4">
        <f>DATE(2010,9,15)</f>
        <v>40436</v>
      </c>
      <c r="E14440" s="5">
        <f t="shared" si="238"/>
        <v>2010</v>
      </c>
      <c r="F14440" s="3" t="s">
        <v>2275</v>
      </c>
      <c r="G14440" s="6">
        <v>35163.269999999997</v>
      </c>
      <c r="H14440" s="5">
        <v>14505</v>
      </c>
    </row>
    <row r="14441" spans="2:8" x14ac:dyDescent="0.4">
      <c r="B14441" s="3" t="s">
        <v>7</v>
      </c>
      <c r="C14441" s="3" t="s">
        <v>2274</v>
      </c>
      <c r="D14441" s="4">
        <f>DATE(2011,2,14)</f>
        <v>40588</v>
      </c>
      <c r="E14441" s="5">
        <f t="shared" si="238"/>
        <v>2011</v>
      </c>
      <c r="F14441" s="3" t="s">
        <v>2275</v>
      </c>
      <c r="G14441" s="6">
        <v>47029.9</v>
      </c>
      <c r="H14441" s="5">
        <v>15018</v>
      </c>
    </row>
    <row r="14442" spans="2:8" x14ac:dyDescent="0.4">
      <c r="B14442" s="3" t="s">
        <v>7</v>
      </c>
      <c r="C14442" s="3" t="s">
        <v>2274</v>
      </c>
      <c r="D14442" s="4">
        <f>DATE(2011,3,16)</f>
        <v>40618</v>
      </c>
      <c r="E14442" s="5">
        <f t="shared" si="238"/>
        <v>2011</v>
      </c>
      <c r="F14442" s="3" t="s">
        <v>2275</v>
      </c>
      <c r="G14442" s="6">
        <v>650.41999999999996</v>
      </c>
      <c r="H14442" s="5">
        <v>15235</v>
      </c>
    </row>
    <row r="14443" spans="2:8" x14ac:dyDescent="0.4">
      <c r="B14443" s="3" t="s">
        <v>7</v>
      </c>
      <c r="C14443" s="3" t="s">
        <v>2274</v>
      </c>
      <c r="D14443" s="4">
        <f>DATE(2012,8,17)</f>
        <v>41138</v>
      </c>
      <c r="E14443" s="5">
        <f t="shared" si="238"/>
        <v>2012</v>
      </c>
      <c r="F14443" s="3" t="s">
        <v>2275</v>
      </c>
      <c r="G14443" s="6">
        <v>18326.73</v>
      </c>
      <c r="H14443" s="5">
        <v>17436</v>
      </c>
    </row>
    <row r="14444" spans="2:8" x14ac:dyDescent="0.4">
      <c r="B14444" s="3" t="s">
        <v>7</v>
      </c>
      <c r="C14444" s="3" t="s">
        <v>2274</v>
      </c>
      <c r="D14444" s="4">
        <f>DATE(2014,7,31)</f>
        <v>41851</v>
      </c>
      <c r="E14444" s="5">
        <f t="shared" si="238"/>
        <v>2014</v>
      </c>
      <c r="F14444" s="3" t="s">
        <v>2275</v>
      </c>
      <c r="G14444" s="6">
        <v>374.28</v>
      </c>
      <c r="H14444" s="5">
        <v>20242</v>
      </c>
    </row>
    <row r="14445" spans="2:8" x14ac:dyDescent="0.4">
      <c r="B14445" t="s">
        <v>7</v>
      </c>
      <c r="C14445" t="s">
        <v>2274</v>
      </c>
      <c r="D14445" s="7">
        <f>DATE(2008,10,3)</f>
        <v>39724</v>
      </c>
      <c r="E14445" s="8">
        <f t="shared" si="238"/>
        <v>2008</v>
      </c>
      <c r="F14445" t="s">
        <v>2275</v>
      </c>
      <c r="G14445" s="9">
        <v>48437</v>
      </c>
      <c r="H14445" s="8">
        <v>181</v>
      </c>
    </row>
    <row r="14446" spans="2:8" x14ac:dyDescent="0.4">
      <c r="B14446" t="s">
        <v>7</v>
      </c>
      <c r="C14446" t="s">
        <v>2274</v>
      </c>
      <c r="D14446" s="7">
        <f>DATE(2008,10,1)</f>
        <v>39722</v>
      </c>
      <c r="E14446" s="8">
        <f t="shared" si="238"/>
        <v>2008</v>
      </c>
      <c r="F14446" t="s">
        <v>2275</v>
      </c>
      <c r="G14446" s="9">
        <v>132712.54</v>
      </c>
      <c r="H14446" s="8">
        <v>180</v>
      </c>
    </row>
    <row r="14447" spans="2:8" x14ac:dyDescent="0.4">
      <c r="B14447" t="s">
        <v>7</v>
      </c>
      <c r="C14447" t="s">
        <v>2274</v>
      </c>
      <c r="D14447" s="7">
        <f>DATE(2010,10,26)</f>
        <v>40477</v>
      </c>
      <c r="E14447" s="8">
        <f t="shared" si="238"/>
        <v>2010</v>
      </c>
      <c r="F14447" t="s">
        <v>2275</v>
      </c>
      <c r="G14447" s="9">
        <v>131558.25</v>
      </c>
      <c r="H14447" s="8">
        <v>259</v>
      </c>
    </row>
    <row r="14448" spans="2:8" x14ac:dyDescent="0.4">
      <c r="B14448" t="s">
        <v>7</v>
      </c>
      <c r="C14448" t="s">
        <v>2274</v>
      </c>
      <c r="D14448" s="7">
        <f>DATE(2012,10,4)</f>
        <v>41186</v>
      </c>
      <c r="E14448" s="8">
        <f t="shared" si="238"/>
        <v>2012</v>
      </c>
      <c r="F14448" t="s">
        <v>2275</v>
      </c>
      <c r="G14448" s="9">
        <v>200240.45</v>
      </c>
      <c r="H14448" s="8">
        <v>513</v>
      </c>
    </row>
    <row r="14449" spans="2:8" x14ac:dyDescent="0.4">
      <c r="B14449" t="s">
        <v>16</v>
      </c>
      <c r="C14449" t="s">
        <v>2274</v>
      </c>
      <c r="D14449" s="7">
        <f>DATE(2012,10,29)</f>
        <v>41211</v>
      </c>
      <c r="E14449" s="8">
        <f t="shared" si="238"/>
        <v>2012</v>
      </c>
      <c r="F14449" t="s">
        <v>2275</v>
      </c>
      <c r="G14449" s="9">
        <v>5656.98</v>
      </c>
      <c r="H14449" s="8">
        <v>302</v>
      </c>
    </row>
    <row r="14450" spans="2:8" x14ac:dyDescent="0.4">
      <c r="B14450" t="s">
        <v>7</v>
      </c>
      <c r="C14450" t="s">
        <v>2276</v>
      </c>
      <c r="D14450" s="7">
        <f>DATE(2016,9,27)</f>
        <v>42640</v>
      </c>
      <c r="E14450" s="8">
        <f t="shared" si="238"/>
        <v>2016</v>
      </c>
      <c r="F14450" t="s">
        <v>2277</v>
      </c>
      <c r="G14450" s="9">
        <v>1919</v>
      </c>
      <c r="H14450" s="8">
        <v>23292</v>
      </c>
    </row>
    <row r="14451" spans="2:8" x14ac:dyDescent="0.4">
      <c r="B14451" t="s">
        <v>7</v>
      </c>
      <c r="C14451" t="s">
        <v>2276</v>
      </c>
      <c r="D14451" s="7">
        <f>DATE(2017,9,19)</f>
        <v>42997</v>
      </c>
      <c r="E14451" s="8">
        <f t="shared" si="238"/>
        <v>2017</v>
      </c>
      <c r="F14451" t="s">
        <v>2277</v>
      </c>
      <c r="G14451" s="9">
        <v>2753.01</v>
      </c>
      <c r="H14451" s="8">
        <v>25256</v>
      </c>
    </row>
    <row r="14452" spans="2:8" x14ac:dyDescent="0.4">
      <c r="B14452" t="s">
        <v>7</v>
      </c>
      <c r="C14452" t="s">
        <v>2276</v>
      </c>
      <c r="D14452" s="7">
        <f>DATE(2018,2,23)</f>
        <v>43154</v>
      </c>
      <c r="E14452" s="8">
        <f t="shared" si="238"/>
        <v>2018</v>
      </c>
      <c r="F14452" t="s">
        <v>2277</v>
      </c>
      <c r="G14452" s="9">
        <v>1920</v>
      </c>
      <c r="H14452" s="8">
        <v>26514</v>
      </c>
    </row>
    <row r="14453" spans="2:8" x14ac:dyDescent="0.4">
      <c r="B14453" t="s">
        <v>7</v>
      </c>
      <c r="C14453" t="s">
        <v>2276</v>
      </c>
      <c r="D14453" s="7">
        <f>DATE(2004,4,7)</f>
        <v>38084</v>
      </c>
      <c r="E14453" s="8">
        <f t="shared" si="238"/>
        <v>2004</v>
      </c>
      <c r="F14453" t="s">
        <v>2277</v>
      </c>
      <c r="G14453" s="9">
        <v>4900</v>
      </c>
      <c r="H14453" s="8">
        <v>1186</v>
      </c>
    </row>
    <row r="14454" spans="2:8" x14ac:dyDescent="0.4">
      <c r="B14454" t="s">
        <v>7</v>
      </c>
      <c r="C14454" t="s">
        <v>2276</v>
      </c>
      <c r="D14454" s="7">
        <f>DATE(2004,4,16)</f>
        <v>38093</v>
      </c>
      <c r="E14454" s="8">
        <f t="shared" si="238"/>
        <v>2004</v>
      </c>
      <c r="F14454" t="s">
        <v>2277</v>
      </c>
      <c r="G14454" s="9">
        <v>8190</v>
      </c>
      <c r="H14454" s="8">
        <v>1653</v>
      </c>
    </row>
    <row r="14455" spans="2:8" x14ac:dyDescent="0.4">
      <c r="B14455" t="s">
        <v>7</v>
      </c>
      <c r="C14455" t="s">
        <v>2276</v>
      </c>
      <c r="D14455" s="7">
        <f>DATE(2005,10,12)</f>
        <v>38637</v>
      </c>
      <c r="E14455" s="8">
        <f t="shared" si="238"/>
        <v>2005</v>
      </c>
      <c r="F14455" t="s">
        <v>2277</v>
      </c>
      <c r="G14455" s="9">
        <v>7242</v>
      </c>
      <c r="H14455" s="8">
        <v>3528</v>
      </c>
    </row>
    <row r="14456" spans="2:8" x14ac:dyDescent="0.4">
      <c r="B14456" s="3" t="s">
        <v>7</v>
      </c>
      <c r="C14456" s="3" t="s">
        <v>2276</v>
      </c>
      <c r="D14456" s="4">
        <f>DATE(2004,4,2)</f>
        <v>38079</v>
      </c>
      <c r="E14456" s="5">
        <f t="shared" si="238"/>
        <v>2004</v>
      </c>
      <c r="F14456" s="3" t="s">
        <v>2277</v>
      </c>
      <c r="G14456" s="6">
        <v>1800</v>
      </c>
      <c r="H14456" s="5">
        <v>2250</v>
      </c>
    </row>
    <row r="14457" spans="2:8" x14ac:dyDescent="0.4">
      <c r="B14457" s="3" t="s">
        <v>7</v>
      </c>
      <c r="C14457" s="3" t="s">
        <v>2276</v>
      </c>
      <c r="D14457" s="4">
        <f>DATE(2010,9,10)</f>
        <v>40431</v>
      </c>
      <c r="E14457" s="5">
        <f t="shared" si="238"/>
        <v>2010</v>
      </c>
      <c r="F14457" s="3" t="s">
        <v>2277</v>
      </c>
      <c r="G14457" s="6">
        <v>1914</v>
      </c>
      <c r="H14457" s="5">
        <v>14344</v>
      </c>
    </row>
    <row r="14458" spans="2:8" x14ac:dyDescent="0.4">
      <c r="B14458" s="3" t="s">
        <v>7</v>
      </c>
      <c r="C14458" s="3" t="s">
        <v>2276</v>
      </c>
      <c r="D14458" s="4">
        <f>DATE(2010,10,13)</f>
        <v>40464</v>
      </c>
      <c r="E14458" s="5">
        <f t="shared" si="238"/>
        <v>2010</v>
      </c>
      <c r="F14458" s="3" t="s">
        <v>2277</v>
      </c>
      <c r="G14458" s="6">
        <v>1294.05</v>
      </c>
      <c r="H14458" s="5">
        <v>14474</v>
      </c>
    </row>
    <row r="14459" spans="2:8" x14ac:dyDescent="0.4">
      <c r="B14459" s="3" t="s">
        <v>7</v>
      </c>
      <c r="C14459" s="3" t="s">
        <v>2276</v>
      </c>
      <c r="D14459" s="4">
        <f>DATE(2012,10,19)</f>
        <v>41201</v>
      </c>
      <c r="E14459" s="5">
        <f t="shared" si="238"/>
        <v>2012</v>
      </c>
      <c r="F14459" s="3" t="s">
        <v>2277</v>
      </c>
      <c r="G14459" s="6">
        <v>2684</v>
      </c>
      <c r="H14459" s="5">
        <v>17528</v>
      </c>
    </row>
    <row r="14460" spans="2:8" x14ac:dyDescent="0.4">
      <c r="B14460" s="3" t="s">
        <v>7</v>
      </c>
      <c r="C14460" s="3" t="s">
        <v>2276</v>
      </c>
      <c r="D14460" s="4">
        <f>DATE(2013,3,7)</f>
        <v>41340</v>
      </c>
      <c r="E14460" s="5">
        <f t="shared" si="238"/>
        <v>2013</v>
      </c>
      <c r="F14460" s="3" t="s">
        <v>2277</v>
      </c>
      <c r="G14460" s="6">
        <v>1046</v>
      </c>
      <c r="H14460" s="5">
        <v>18276</v>
      </c>
    </row>
    <row r="14461" spans="2:8" x14ac:dyDescent="0.4">
      <c r="B14461" s="3" t="s">
        <v>7</v>
      </c>
      <c r="C14461" s="3" t="s">
        <v>2276</v>
      </c>
      <c r="D14461" s="4">
        <f>DATE(2013,3,13)</f>
        <v>41346</v>
      </c>
      <c r="E14461" s="5">
        <f t="shared" si="238"/>
        <v>2013</v>
      </c>
      <c r="F14461" s="3" t="s">
        <v>2277</v>
      </c>
      <c r="G14461" s="6">
        <v>1046</v>
      </c>
      <c r="H14461" s="5">
        <v>18296</v>
      </c>
    </row>
    <row r="14462" spans="2:8" x14ac:dyDescent="0.4">
      <c r="B14462" s="3" t="s">
        <v>7</v>
      </c>
      <c r="C14462" s="3" t="s">
        <v>2276</v>
      </c>
      <c r="D14462" s="4">
        <f>DATE(2013,3,27)</f>
        <v>41360</v>
      </c>
      <c r="E14462" s="5">
        <f t="shared" si="238"/>
        <v>2013</v>
      </c>
      <c r="F14462" s="3" t="s">
        <v>2277</v>
      </c>
      <c r="G14462" s="6">
        <v>2092</v>
      </c>
      <c r="H14462" s="5">
        <v>18342</v>
      </c>
    </row>
    <row r="14463" spans="2:8" x14ac:dyDescent="0.4">
      <c r="B14463" s="3" t="s">
        <v>7</v>
      </c>
      <c r="C14463" s="3" t="s">
        <v>2276</v>
      </c>
      <c r="D14463" s="4">
        <f>DATE(2013,9,12)</f>
        <v>41529</v>
      </c>
      <c r="E14463" s="5">
        <f t="shared" si="238"/>
        <v>2013</v>
      </c>
      <c r="F14463" s="3" t="s">
        <v>2277</v>
      </c>
      <c r="G14463" s="6">
        <v>1046</v>
      </c>
      <c r="H14463" s="5">
        <v>18960</v>
      </c>
    </row>
    <row r="14464" spans="2:8" x14ac:dyDescent="0.4">
      <c r="B14464" s="3" t="s">
        <v>7</v>
      </c>
      <c r="C14464" s="3" t="s">
        <v>2276</v>
      </c>
      <c r="D14464" s="4">
        <f>DATE(2013,9,30)</f>
        <v>41547</v>
      </c>
      <c r="E14464" s="5">
        <f t="shared" si="238"/>
        <v>2013</v>
      </c>
      <c r="F14464" s="3" t="s">
        <v>2277</v>
      </c>
      <c r="G14464" s="6">
        <v>535</v>
      </c>
      <c r="H14464" s="5">
        <v>19030</v>
      </c>
    </row>
    <row r="14465" spans="2:8" x14ac:dyDescent="0.4">
      <c r="B14465" s="3" t="s">
        <v>7</v>
      </c>
      <c r="C14465" s="3" t="s">
        <v>2276</v>
      </c>
      <c r="D14465" s="4">
        <f>DATE(2014,9,4)</f>
        <v>41886</v>
      </c>
      <c r="E14465" s="5">
        <f t="shared" si="238"/>
        <v>2014</v>
      </c>
      <c r="F14465" s="3" t="s">
        <v>2277</v>
      </c>
      <c r="G14465" s="6">
        <v>1046</v>
      </c>
      <c r="H14465" s="5">
        <v>20371</v>
      </c>
    </row>
    <row r="14466" spans="2:8" x14ac:dyDescent="0.4">
      <c r="B14466" t="s">
        <v>7</v>
      </c>
      <c r="C14466" t="s">
        <v>2278</v>
      </c>
      <c r="D14466" s="7">
        <f>DATE(2018,7,27)</f>
        <v>43308</v>
      </c>
      <c r="E14466" s="8">
        <f t="shared" si="238"/>
        <v>2018</v>
      </c>
      <c r="F14466" t="s">
        <v>2279</v>
      </c>
      <c r="G14466" s="9">
        <v>316</v>
      </c>
      <c r="H14466" s="8">
        <v>27409</v>
      </c>
    </row>
    <row r="14467" spans="2:8" x14ac:dyDescent="0.4">
      <c r="B14467" s="3" t="s">
        <v>7</v>
      </c>
      <c r="C14467" s="3" t="s">
        <v>2280</v>
      </c>
      <c r="D14467" s="4">
        <f>DATE(2003,5,9)</f>
        <v>37750</v>
      </c>
      <c r="E14467" s="5">
        <f t="shared" ref="E14467:E14530" si="239">YEAR(D14467)</f>
        <v>2003</v>
      </c>
      <c r="F14467" s="3" t="s">
        <v>2281</v>
      </c>
      <c r="G14467" s="6">
        <v>726</v>
      </c>
      <c r="H14467" s="5">
        <v>936</v>
      </c>
    </row>
    <row r="14468" spans="2:8" x14ac:dyDescent="0.4">
      <c r="B14468" t="s">
        <v>7</v>
      </c>
      <c r="C14468" t="s">
        <v>2282</v>
      </c>
      <c r="D14468" s="7">
        <f>DATE(2015,5,1)</f>
        <v>42125</v>
      </c>
      <c r="E14468" s="8">
        <f t="shared" si="239"/>
        <v>2015</v>
      </c>
      <c r="F14468" t="s">
        <v>2283</v>
      </c>
      <c r="G14468" s="9">
        <v>10510</v>
      </c>
      <c r="H14468" s="8">
        <v>20148</v>
      </c>
    </row>
    <row r="14469" spans="2:8" x14ac:dyDescent="0.4">
      <c r="B14469" t="s">
        <v>7</v>
      </c>
      <c r="C14469" t="s">
        <v>2282</v>
      </c>
      <c r="D14469" s="7">
        <f>DATE(2016,1,28)</f>
        <v>42397</v>
      </c>
      <c r="E14469" s="8">
        <f t="shared" si="239"/>
        <v>2016</v>
      </c>
      <c r="F14469" t="s">
        <v>2283</v>
      </c>
      <c r="G14469" s="9">
        <v>15323.5</v>
      </c>
      <c r="H14469" s="8">
        <v>21746</v>
      </c>
    </row>
    <row r="14470" spans="2:8" x14ac:dyDescent="0.4">
      <c r="B14470" t="s">
        <v>7</v>
      </c>
      <c r="C14470" t="s">
        <v>2282</v>
      </c>
      <c r="D14470" s="7">
        <f>DATE(2016,3,24)</f>
        <v>42453</v>
      </c>
      <c r="E14470" s="8">
        <f t="shared" si="239"/>
        <v>2016</v>
      </c>
      <c r="F14470" t="s">
        <v>2283</v>
      </c>
      <c r="G14470" s="9">
        <v>7119</v>
      </c>
      <c r="H14470" s="8">
        <v>22319</v>
      </c>
    </row>
    <row r="14471" spans="2:8" x14ac:dyDescent="0.4">
      <c r="B14471" t="s">
        <v>7</v>
      </c>
      <c r="C14471" t="s">
        <v>2282</v>
      </c>
      <c r="D14471" s="7">
        <f>DATE(2015,5,1)</f>
        <v>42125</v>
      </c>
      <c r="E14471" s="8">
        <f t="shared" si="239"/>
        <v>2015</v>
      </c>
      <c r="F14471" t="s">
        <v>2283</v>
      </c>
      <c r="G14471" s="9">
        <v>7893</v>
      </c>
      <c r="H14471" s="8">
        <v>20276</v>
      </c>
    </row>
    <row r="14472" spans="2:8" x14ac:dyDescent="0.4">
      <c r="B14472" t="s">
        <v>7</v>
      </c>
      <c r="C14472" t="s">
        <v>2282</v>
      </c>
      <c r="D14472" s="7">
        <f>DATE(2016,1,28)</f>
        <v>42397</v>
      </c>
      <c r="E14472" s="8">
        <f t="shared" si="239"/>
        <v>2016</v>
      </c>
      <c r="F14472" t="s">
        <v>2283</v>
      </c>
      <c r="G14472" s="9">
        <v>46923.1</v>
      </c>
      <c r="H14472" s="8">
        <v>21747</v>
      </c>
    </row>
    <row r="14473" spans="2:8" x14ac:dyDescent="0.4">
      <c r="B14473" t="s">
        <v>7</v>
      </c>
      <c r="C14473" t="s">
        <v>2282</v>
      </c>
      <c r="D14473" s="7">
        <f>DATE(2016,3,24)</f>
        <v>42453</v>
      </c>
      <c r="E14473" s="8">
        <f t="shared" si="239"/>
        <v>2016</v>
      </c>
      <c r="F14473" t="s">
        <v>2283</v>
      </c>
      <c r="G14473" s="9">
        <v>18000</v>
      </c>
      <c r="H14473" s="8">
        <v>22321</v>
      </c>
    </row>
    <row r="14474" spans="2:8" x14ac:dyDescent="0.4">
      <c r="B14474" t="s">
        <v>7</v>
      </c>
      <c r="C14474" t="s">
        <v>2282</v>
      </c>
      <c r="D14474" s="7">
        <f>DATE(2018,4,27)</f>
        <v>43217</v>
      </c>
      <c r="E14474" s="8">
        <f t="shared" si="239"/>
        <v>2018</v>
      </c>
      <c r="F14474" t="s">
        <v>2283</v>
      </c>
      <c r="G14474" s="9">
        <v>6261.25</v>
      </c>
      <c r="H14474" s="8">
        <v>26924</v>
      </c>
    </row>
    <row r="14475" spans="2:8" x14ac:dyDescent="0.4">
      <c r="B14475" t="s">
        <v>7</v>
      </c>
      <c r="C14475" t="s">
        <v>2282</v>
      </c>
      <c r="D14475" s="7">
        <f>DATE(2015,3,5)</f>
        <v>42068</v>
      </c>
      <c r="E14475" s="8">
        <f t="shared" si="239"/>
        <v>2015</v>
      </c>
      <c r="F14475" t="s">
        <v>2283</v>
      </c>
      <c r="G14475" s="9">
        <v>12037.12</v>
      </c>
      <c r="H14475" s="8">
        <v>20050</v>
      </c>
    </row>
    <row r="14476" spans="2:8" x14ac:dyDescent="0.4">
      <c r="B14476" t="s">
        <v>7</v>
      </c>
      <c r="C14476" t="s">
        <v>2282</v>
      </c>
      <c r="D14476" s="7">
        <f>DATE(2015,3,12)</f>
        <v>42075</v>
      </c>
      <c r="E14476" s="8">
        <f t="shared" si="239"/>
        <v>2015</v>
      </c>
      <c r="F14476" t="s">
        <v>2283</v>
      </c>
      <c r="G14476" s="9">
        <v>1169.3800000000001</v>
      </c>
      <c r="H14476" s="8">
        <v>20119</v>
      </c>
    </row>
    <row r="14477" spans="2:8" x14ac:dyDescent="0.4">
      <c r="B14477" t="s">
        <v>7</v>
      </c>
      <c r="C14477" t="s">
        <v>2282</v>
      </c>
      <c r="D14477" s="7">
        <f>DATE(2015,6,24)</f>
        <v>42179</v>
      </c>
      <c r="E14477" s="8">
        <f t="shared" si="239"/>
        <v>2015</v>
      </c>
      <c r="F14477" t="s">
        <v>2283</v>
      </c>
      <c r="G14477" s="9">
        <v>5090.4799999999996</v>
      </c>
      <c r="H14477" s="8">
        <v>20771</v>
      </c>
    </row>
    <row r="14478" spans="2:8" x14ac:dyDescent="0.4">
      <c r="B14478" t="s">
        <v>7</v>
      </c>
      <c r="C14478" t="s">
        <v>2282</v>
      </c>
      <c r="D14478" s="7">
        <f>DATE(2009,5,1)</f>
        <v>39934</v>
      </c>
      <c r="E14478" s="8">
        <f t="shared" si="239"/>
        <v>2009</v>
      </c>
      <c r="F14478" t="s">
        <v>2283</v>
      </c>
      <c r="G14478" s="9">
        <v>7311.14</v>
      </c>
      <c r="H14478" s="8">
        <v>8640</v>
      </c>
    </row>
    <row r="14479" spans="2:8" x14ac:dyDescent="0.4">
      <c r="B14479" t="s">
        <v>7</v>
      </c>
      <c r="C14479" t="s">
        <v>2282</v>
      </c>
      <c r="D14479" s="7">
        <f>DATE(2009,5,8)</f>
        <v>39941</v>
      </c>
      <c r="E14479" s="8">
        <f t="shared" si="239"/>
        <v>2009</v>
      </c>
      <c r="F14479" t="s">
        <v>2283</v>
      </c>
      <c r="G14479" s="9">
        <v>8533.98</v>
      </c>
      <c r="H14479" s="8">
        <v>8663</v>
      </c>
    </row>
    <row r="14480" spans="2:8" x14ac:dyDescent="0.4">
      <c r="B14480" t="s">
        <v>7</v>
      </c>
      <c r="C14480" t="s">
        <v>2282</v>
      </c>
      <c r="D14480" s="7">
        <f>DATE(2010,4,29)</f>
        <v>40297</v>
      </c>
      <c r="E14480" s="8">
        <f t="shared" si="239"/>
        <v>2010</v>
      </c>
      <c r="F14480" t="s">
        <v>2283</v>
      </c>
      <c r="G14480" s="9">
        <v>4731.03</v>
      </c>
      <c r="H14480" s="8">
        <v>9748</v>
      </c>
    </row>
    <row r="14481" spans="2:8" x14ac:dyDescent="0.4">
      <c r="B14481" t="s">
        <v>7</v>
      </c>
      <c r="C14481" t="s">
        <v>2282</v>
      </c>
      <c r="D14481" s="7">
        <f>DATE(2010,5,3)</f>
        <v>40301</v>
      </c>
      <c r="E14481" s="8">
        <f t="shared" si="239"/>
        <v>2010</v>
      </c>
      <c r="F14481" t="s">
        <v>2283</v>
      </c>
      <c r="G14481" s="9">
        <v>9439.18</v>
      </c>
      <c r="H14481" s="8">
        <v>9766</v>
      </c>
    </row>
    <row r="14482" spans="2:8" x14ac:dyDescent="0.4">
      <c r="B14482" t="s">
        <v>7</v>
      </c>
      <c r="C14482" t="s">
        <v>2282</v>
      </c>
      <c r="D14482" s="7">
        <f>DATE(2013,3,19)</f>
        <v>41352</v>
      </c>
      <c r="E14482" s="8">
        <f t="shared" si="239"/>
        <v>2013</v>
      </c>
      <c r="F14482" t="s">
        <v>2283</v>
      </c>
      <c r="G14482" s="9">
        <v>5059.07</v>
      </c>
      <c r="H14482" s="8">
        <v>12289</v>
      </c>
    </row>
    <row r="14483" spans="2:8" x14ac:dyDescent="0.4">
      <c r="B14483" s="3" t="s">
        <v>7</v>
      </c>
      <c r="C14483" s="3" t="s">
        <v>2282</v>
      </c>
      <c r="D14483" s="4">
        <f>DATE(2009,3,18)</f>
        <v>39890</v>
      </c>
      <c r="E14483" s="5">
        <f t="shared" si="239"/>
        <v>2009</v>
      </c>
      <c r="F14483" s="3" t="s">
        <v>2283</v>
      </c>
      <c r="G14483" s="6">
        <v>700</v>
      </c>
      <c r="H14483" s="5">
        <v>12097</v>
      </c>
    </row>
    <row r="14484" spans="2:8" x14ac:dyDescent="0.4">
      <c r="B14484" s="3" t="s">
        <v>7</v>
      </c>
      <c r="C14484" s="3" t="s">
        <v>2282</v>
      </c>
      <c r="D14484" s="4">
        <f>DATE(2009,5,1)</f>
        <v>39934</v>
      </c>
      <c r="E14484" s="5">
        <f t="shared" si="239"/>
        <v>2009</v>
      </c>
      <c r="F14484" s="3" t="s">
        <v>2283</v>
      </c>
      <c r="G14484" s="6">
        <v>58</v>
      </c>
      <c r="H14484" s="5">
        <v>12164</v>
      </c>
    </row>
    <row r="14485" spans="2:8" x14ac:dyDescent="0.4">
      <c r="B14485" s="3" t="s">
        <v>7</v>
      </c>
      <c r="C14485" s="3" t="s">
        <v>2282</v>
      </c>
      <c r="D14485" s="4">
        <f>DATE(2011,3,31)</f>
        <v>40633</v>
      </c>
      <c r="E14485" s="5">
        <f t="shared" si="239"/>
        <v>2011</v>
      </c>
      <c r="F14485" s="3" t="s">
        <v>2283</v>
      </c>
      <c r="G14485" s="6">
        <v>1532</v>
      </c>
      <c r="H14485" s="5">
        <v>15108</v>
      </c>
    </row>
    <row r="14486" spans="2:8" x14ac:dyDescent="0.4">
      <c r="B14486" t="s">
        <v>7</v>
      </c>
      <c r="C14486" t="s">
        <v>2282</v>
      </c>
      <c r="D14486" s="7">
        <f>DATE(2004,5,2)</f>
        <v>38109</v>
      </c>
      <c r="E14486" s="8">
        <f t="shared" si="239"/>
        <v>2004</v>
      </c>
      <c r="F14486" t="s">
        <v>2284</v>
      </c>
      <c r="G14486" s="9">
        <v>16700</v>
      </c>
      <c r="H14486" s="8">
        <v>1554</v>
      </c>
    </row>
    <row r="14487" spans="2:8" x14ac:dyDescent="0.4">
      <c r="B14487" t="s">
        <v>7</v>
      </c>
      <c r="C14487" t="s">
        <v>2282</v>
      </c>
      <c r="D14487" s="7">
        <f>DATE(2004,8,8)</f>
        <v>38207</v>
      </c>
      <c r="E14487" s="8">
        <f t="shared" si="239"/>
        <v>2004</v>
      </c>
      <c r="F14487" t="s">
        <v>2284</v>
      </c>
      <c r="G14487" s="9">
        <v>12000</v>
      </c>
      <c r="H14487" s="8">
        <v>2025</v>
      </c>
    </row>
    <row r="14488" spans="2:8" x14ac:dyDescent="0.4">
      <c r="B14488" t="s">
        <v>7</v>
      </c>
      <c r="C14488" t="s">
        <v>2282</v>
      </c>
      <c r="D14488" s="7">
        <f>DATE(2005,5,8)</f>
        <v>38480</v>
      </c>
      <c r="E14488" s="8">
        <f t="shared" si="239"/>
        <v>2005</v>
      </c>
      <c r="F14488" t="s">
        <v>2284</v>
      </c>
      <c r="G14488" s="9">
        <v>13071</v>
      </c>
      <c r="H14488" s="8">
        <v>3082</v>
      </c>
    </row>
    <row r="14489" spans="2:8" x14ac:dyDescent="0.4">
      <c r="B14489" s="3" t="s">
        <v>7</v>
      </c>
      <c r="C14489" s="3" t="s">
        <v>2282</v>
      </c>
      <c r="D14489" s="4">
        <f>DATE(2004,4,27)</f>
        <v>38104</v>
      </c>
      <c r="E14489" s="5">
        <f t="shared" si="239"/>
        <v>2004</v>
      </c>
      <c r="F14489" s="3" t="s">
        <v>2284</v>
      </c>
      <c r="G14489" s="6">
        <v>1448</v>
      </c>
      <c r="H14489" s="5">
        <v>2743</v>
      </c>
    </row>
    <row r="14490" spans="2:8" x14ac:dyDescent="0.4">
      <c r="B14490" s="3" t="s">
        <v>7</v>
      </c>
      <c r="C14490" s="3" t="s">
        <v>2282</v>
      </c>
      <c r="D14490" s="4">
        <f>DATE(2004,8,5)</f>
        <v>38204</v>
      </c>
      <c r="E14490" s="5">
        <f t="shared" si="239"/>
        <v>2004</v>
      </c>
      <c r="F14490" s="3" t="s">
        <v>2284</v>
      </c>
      <c r="G14490" s="6">
        <v>5400</v>
      </c>
      <c r="H14490" s="5">
        <v>3219</v>
      </c>
    </row>
    <row r="14491" spans="2:8" x14ac:dyDescent="0.4">
      <c r="B14491" s="3" t="s">
        <v>7</v>
      </c>
      <c r="C14491" s="3" t="s">
        <v>2282</v>
      </c>
      <c r="D14491" s="4">
        <f>DATE(2005,10,10)</f>
        <v>38635</v>
      </c>
      <c r="E14491" s="5">
        <f t="shared" si="239"/>
        <v>2005</v>
      </c>
      <c r="F14491" s="3" t="s">
        <v>2284</v>
      </c>
      <c r="G14491" s="6">
        <v>670</v>
      </c>
      <c r="H14491" s="5">
        <v>5252</v>
      </c>
    </row>
    <row r="14492" spans="2:8" x14ac:dyDescent="0.4">
      <c r="B14492" s="3" t="s">
        <v>7</v>
      </c>
      <c r="C14492" s="3" t="s">
        <v>2282</v>
      </c>
      <c r="D14492" s="4">
        <f>DATE(2005,12,22)</f>
        <v>38708</v>
      </c>
      <c r="E14492" s="5">
        <f t="shared" si="239"/>
        <v>2005</v>
      </c>
      <c r="F14492" s="3" t="s">
        <v>2284</v>
      </c>
      <c r="G14492" s="6">
        <v>1529</v>
      </c>
      <c r="H14492" s="5">
        <v>5735</v>
      </c>
    </row>
    <row r="14493" spans="2:8" x14ac:dyDescent="0.4">
      <c r="B14493" s="3" t="s">
        <v>7</v>
      </c>
      <c r="C14493" s="3" t="s">
        <v>2285</v>
      </c>
      <c r="D14493" s="4">
        <f>DATE(2006,1,27)</f>
        <v>38744</v>
      </c>
      <c r="E14493" s="5">
        <f t="shared" si="239"/>
        <v>2006</v>
      </c>
      <c r="F14493" s="3" t="s">
        <v>2286</v>
      </c>
      <c r="G14493" s="6">
        <v>3501.92</v>
      </c>
      <c r="H14493" s="5">
        <v>5933</v>
      </c>
    </row>
    <row r="14494" spans="2:8" x14ac:dyDescent="0.4">
      <c r="B14494" s="3" t="s">
        <v>7</v>
      </c>
      <c r="C14494" s="3" t="s">
        <v>2287</v>
      </c>
      <c r="D14494" s="4">
        <f>DATE(2003,3,11)</f>
        <v>37691</v>
      </c>
      <c r="E14494" s="5">
        <f t="shared" si="239"/>
        <v>2003</v>
      </c>
      <c r="F14494" s="3" t="s">
        <v>2288</v>
      </c>
      <c r="G14494" s="6">
        <v>140</v>
      </c>
      <c r="H14494" s="5">
        <v>484</v>
      </c>
    </row>
    <row r="14495" spans="2:8" x14ac:dyDescent="0.4">
      <c r="B14495" s="3" t="s">
        <v>7</v>
      </c>
      <c r="C14495" s="3" t="s">
        <v>2287</v>
      </c>
      <c r="D14495" s="4">
        <f>DATE(2003,5,15)</f>
        <v>37756</v>
      </c>
      <c r="E14495" s="5">
        <f t="shared" si="239"/>
        <v>2003</v>
      </c>
      <c r="F14495" s="3" t="s">
        <v>2288</v>
      </c>
      <c r="G14495" s="6">
        <v>79.680000000000007</v>
      </c>
      <c r="H14495" s="5">
        <v>969</v>
      </c>
    </row>
    <row r="14496" spans="2:8" x14ac:dyDescent="0.4">
      <c r="B14496" s="3" t="s">
        <v>7</v>
      </c>
      <c r="C14496" s="3" t="s">
        <v>2287</v>
      </c>
      <c r="D14496" s="4">
        <f>DATE(2003,7,25)</f>
        <v>37827</v>
      </c>
      <c r="E14496" s="5">
        <f t="shared" si="239"/>
        <v>2003</v>
      </c>
      <c r="F14496" s="3" t="s">
        <v>2288</v>
      </c>
      <c r="G14496" s="6">
        <v>410</v>
      </c>
      <c r="H14496" s="5">
        <v>1263</v>
      </c>
    </row>
    <row r="14497" spans="2:8" x14ac:dyDescent="0.4">
      <c r="B14497" s="3" t="s">
        <v>7</v>
      </c>
      <c r="C14497" s="3" t="s">
        <v>2287</v>
      </c>
      <c r="D14497" s="4">
        <f>DATE(2004,1,15)</f>
        <v>38001</v>
      </c>
      <c r="E14497" s="5">
        <f t="shared" si="239"/>
        <v>2004</v>
      </c>
      <c r="F14497" s="3" t="s">
        <v>2288</v>
      </c>
      <c r="G14497" s="6">
        <v>136</v>
      </c>
      <c r="H14497" s="5">
        <v>1990</v>
      </c>
    </row>
    <row r="14498" spans="2:8" x14ac:dyDescent="0.4">
      <c r="B14498" s="3" t="s">
        <v>7</v>
      </c>
      <c r="C14498" s="3" t="s">
        <v>2287</v>
      </c>
      <c r="D14498" s="4">
        <f>DATE(2004,4,6)</f>
        <v>38083</v>
      </c>
      <c r="E14498" s="5">
        <f t="shared" si="239"/>
        <v>2004</v>
      </c>
      <c r="F14498" s="3" t="s">
        <v>2288</v>
      </c>
      <c r="G14498" s="6">
        <v>560</v>
      </c>
      <c r="H14498" s="5">
        <v>2602</v>
      </c>
    </row>
    <row r="14499" spans="2:8" x14ac:dyDescent="0.4">
      <c r="B14499" s="3" t="s">
        <v>7</v>
      </c>
      <c r="C14499" s="3" t="s">
        <v>2287</v>
      </c>
      <c r="D14499" s="4">
        <f>DATE(2005,1,19)</f>
        <v>38371</v>
      </c>
      <c r="E14499" s="5">
        <f t="shared" si="239"/>
        <v>2005</v>
      </c>
      <c r="F14499" s="3" t="s">
        <v>2288</v>
      </c>
      <c r="G14499" s="6">
        <v>277</v>
      </c>
      <c r="H14499" s="5">
        <v>3983</v>
      </c>
    </row>
    <row r="14500" spans="2:8" x14ac:dyDescent="0.4">
      <c r="B14500" t="s">
        <v>7</v>
      </c>
      <c r="C14500" t="s">
        <v>2289</v>
      </c>
      <c r="D14500" s="7">
        <f>DATE(2018,1,30)</f>
        <v>43130</v>
      </c>
      <c r="E14500" s="8">
        <f t="shared" si="239"/>
        <v>2018</v>
      </c>
      <c r="F14500" t="s">
        <v>2290</v>
      </c>
      <c r="G14500" s="9">
        <v>6982.23</v>
      </c>
      <c r="H14500" s="8">
        <v>26220</v>
      </c>
    </row>
    <row r="14501" spans="2:8" x14ac:dyDescent="0.4">
      <c r="B14501" t="s">
        <v>7</v>
      </c>
      <c r="C14501" t="s">
        <v>2289</v>
      </c>
      <c r="D14501" s="7">
        <f>DATE(2017,9,15)</f>
        <v>42993</v>
      </c>
      <c r="E14501" s="8">
        <f t="shared" si="239"/>
        <v>2017</v>
      </c>
      <c r="F14501" t="s">
        <v>2290</v>
      </c>
      <c r="G14501" s="9">
        <v>8097.19</v>
      </c>
      <c r="H14501" s="8">
        <v>25520</v>
      </c>
    </row>
    <row r="14502" spans="2:8" x14ac:dyDescent="0.4">
      <c r="B14502" t="s">
        <v>7</v>
      </c>
      <c r="C14502" t="s">
        <v>2289</v>
      </c>
      <c r="D14502" s="7">
        <f>DATE(2003,5,21)</f>
        <v>37762</v>
      </c>
      <c r="E14502" s="8">
        <f t="shared" si="239"/>
        <v>2003</v>
      </c>
      <c r="F14502" t="s">
        <v>2290</v>
      </c>
      <c r="G14502" s="9">
        <v>28800</v>
      </c>
      <c r="H14502" s="8">
        <v>606</v>
      </c>
    </row>
    <row r="14503" spans="2:8" x14ac:dyDescent="0.4">
      <c r="B14503" s="3" t="s">
        <v>7</v>
      </c>
      <c r="C14503" s="3" t="s">
        <v>2289</v>
      </c>
      <c r="D14503" s="4">
        <f>DATE(2003,2,26)</f>
        <v>37678</v>
      </c>
      <c r="E14503" s="5">
        <f t="shared" si="239"/>
        <v>2003</v>
      </c>
      <c r="F14503" s="3" t="s">
        <v>2290</v>
      </c>
      <c r="G14503" s="6">
        <v>154.80000000000001</v>
      </c>
      <c r="H14503" s="5">
        <v>397</v>
      </c>
    </row>
    <row r="14504" spans="2:8" x14ac:dyDescent="0.4">
      <c r="B14504" s="3" t="s">
        <v>7</v>
      </c>
      <c r="C14504" s="3" t="s">
        <v>2291</v>
      </c>
      <c r="D14504" s="4">
        <f>DATE(2006,10,18)</f>
        <v>39008</v>
      </c>
      <c r="E14504" s="5">
        <f t="shared" si="239"/>
        <v>2006</v>
      </c>
      <c r="F14504" s="3" t="s">
        <v>2292</v>
      </c>
      <c r="G14504" s="6">
        <v>267.37</v>
      </c>
      <c r="H14504" s="5">
        <v>7404</v>
      </c>
    </row>
    <row r="14505" spans="2:8" x14ac:dyDescent="0.4">
      <c r="B14505" t="s">
        <v>7</v>
      </c>
      <c r="C14505" t="s">
        <v>2293</v>
      </c>
      <c r="D14505" s="7">
        <f>DATE(2018,4,11)</f>
        <v>43201</v>
      </c>
      <c r="E14505" s="8">
        <f t="shared" si="239"/>
        <v>2018</v>
      </c>
      <c r="F14505" t="s">
        <v>2294</v>
      </c>
      <c r="G14505" s="9">
        <v>15619.02</v>
      </c>
      <c r="H14505" s="8">
        <v>26402</v>
      </c>
    </row>
    <row r="14506" spans="2:8" x14ac:dyDescent="0.4">
      <c r="B14506" t="s">
        <v>7</v>
      </c>
      <c r="C14506" t="s">
        <v>2295</v>
      </c>
      <c r="D14506" s="7">
        <f>DATE(2015,4,21)</f>
        <v>42115</v>
      </c>
      <c r="E14506" s="8">
        <f t="shared" si="239"/>
        <v>2015</v>
      </c>
      <c r="F14506" t="s">
        <v>2296</v>
      </c>
      <c r="G14506" s="9">
        <v>11600</v>
      </c>
      <c r="H14506" s="8">
        <v>20463</v>
      </c>
    </row>
    <row r="14507" spans="2:8" x14ac:dyDescent="0.4">
      <c r="B14507" t="s">
        <v>7</v>
      </c>
      <c r="C14507" t="s">
        <v>2295</v>
      </c>
      <c r="D14507" s="7">
        <f>DATE(2015,6,1)</f>
        <v>42156</v>
      </c>
      <c r="E14507" s="8">
        <f t="shared" si="239"/>
        <v>2015</v>
      </c>
      <c r="F14507" t="s">
        <v>2296</v>
      </c>
      <c r="G14507" s="9">
        <v>15888</v>
      </c>
      <c r="H14507" s="8">
        <v>20468</v>
      </c>
    </row>
    <row r="14508" spans="2:8" x14ac:dyDescent="0.4">
      <c r="B14508" t="s">
        <v>7</v>
      </c>
      <c r="C14508" t="s">
        <v>2295</v>
      </c>
      <c r="D14508" s="7">
        <f>DATE(2015,11,11)</f>
        <v>42319</v>
      </c>
      <c r="E14508" s="8">
        <f t="shared" si="239"/>
        <v>2015</v>
      </c>
      <c r="F14508" t="s">
        <v>2296</v>
      </c>
      <c r="G14508" s="9">
        <v>11930</v>
      </c>
      <c r="H14508" s="8">
        <v>21536</v>
      </c>
    </row>
    <row r="14509" spans="2:8" x14ac:dyDescent="0.4">
      <c r="B14509" t="s">
        <v>7</v>
      </c>
      <c r="C14509" t="s">
        <v>2295</v>
      </c>
      <c r="D14509" s="7">
        <f>DATE(2015,12,21)</f>
        <v>42359</v>
      </c>
      <c r="E14509" s="8">
        <f t="shared" si="239"/>
        <v>2015</v>
      </c>
      <c r="F14509" t="s">
        <v>2296</v>
      </c>
      <c r="G14509" s="9">
        <v>17650</v>
      </c>
      <c r="H14509" s="8">
        <v>21752</v>
      </c>
    </row>
    <row r="14510" spans="2:8" x14ac:dyDescent="0.4">
      <c r="B14510" t="s">
        <v>7</v>
      </c>
      <c r="C14510" t="s">
        <v>2295</v>
      </c>
      <c r="D14510" s="7">
        <f>DATE(2010,5,27)</f>
        <v>40325</v>
      </c>
      <c r="E14510" s="8">
        <f t="shared" si="239"/>
        <v>2010</v>
      </c>
      <c r="F14510" t="s">
        <v>2296</v>
      </c>
      <c r="G14510" s="9">
        <v>10800</v>
      </c>
      <c r="H14510" s="8">
        <v>9879</v>
      </c>
    </row>
    <row r="14511" spans="2:8" x14ac:dyDescent="0.4">
      <c r="B14511" t="s">
        <v>7</v>
      </c>
      <c r="C14511" t="s">
        <v>2295</v>
      </c>
      <c r="D14511" s="7">
        <f>DATE(2010,6,23)</f>
        <v>40352</v>
      </c>
      <c r="E14511" s="8">
        <f t="shared" si="239"/>
        <v>2010</v>
      </c>
      <c r="F14511" t="s">
        <v>2296</v>
      </c>
      <c r="G14511" s="9">
        <v>12574.4</v>
      </c>
      <c r="H14511" s="8">
        <v>9900</v>
      </c>
    </row>
    <row r="14512" spans="2:8" x14ac:dyDescent="0.4">
      <c r="B14512" t="s">
        <v>7</v>
      </c>
      <c r="C14512" t="s">
        <v>2295</v>
      </c>
      <c r="D14512" s="7">
        <f>DATE(2010,12,21)</f>
        <v>40533</v>
      </c>
      <c r="E14512" s="8">
        <f t="shared" si="239"/>
        <v>2010</v>
      </c>
      <c r="F14512" t="s">
        <v>2296</v>
      </c>
      <c r="G14512" s="9">
        <v>14727.92</v>
      </c>
      <c r="H14512" s="8">
        <v>10283</v>
      </c>
    </row>
    <row r="14513" spans="2:8" x14ac:dyDescent="0.4">
      <c r="B14513" t="s">
        <v>7</v>
      </c>
      <c r="C14513" t="s">
        <v>2295</v>
      </c>
      <c r="D14513" s="7">
        <f>DATE(2011,3,11)</f>
        <v>40613</v>
      </c>
      <c r="E14513" s="8">
        <f t="shared" si="239"/>
        <v>2011</v>
      </c>
      <c r="F14513" t="s">
        <v>2296</v>
      </c>
      <c r="G14513" s="9">
        <v>10800</v>
      </c>
      <c r="H14513" s="8">
        <v>10521</v>
      </c>
    </row>
    <row r="14514" spans="2:8" x14ac:dyDescent="0.4">
      <c r="B14514" t="s">
        <v>7</v>
      </c>
      <c r="C14514" t="s">
        <v>2295</v>
      </c>
      <c r="D14514" s="7">
        <f>DATE(2011,5,23)</f>
        <v>40686</v>
      </c>
      <c r="E14514" s="8">
        <f t="shared" si="239"/>
        <v>2011</v>
      </c>
      <c r="F14514" t="s">
        <v>2296</v>
      </c>
      <c r="G14514" s="9">
        <v>11188</v>
      </c>
      <c r="H14514" s="8">
        <v>10475</v>
      </c>
    </row>
    <row r="14515" spans="2:8" x14ac:dyDescent="0.4">
      <c r="B14515" t="s">
        <v>7</v>
      </c>
      <c r="C14515" t="s">
        <v>2295</v>
      </c>
      <c r="D14515" s="7">
        <f>DATE(2011,10,5)</f>
        <v>40821</v>
      </c>
      <c r="E14515" s="8">
        <f t="shared" si="239"/>
        <v>2011</v>
      </c>
      <c r="F14515" t="s">
        <v>2296</v>
      </c>
      <c r="G14515" s="9">
        <v>11940</v>
      </c>
      <c r="H14515" s="8">
        <v>10939</v>
      </c>
    </row>
    <row r="14516" spans="2:8" x14ac:dyDescent="0.4">
      <c r="B14516" t="s">
        <v>7</v>
      </c>
      <c r="C14516" t="s">
        <v>2295</v>
      </c>
      <c r="D14516" s="7">
        <f>DATE(2012,2,20)</f>
        <v>40959</v>
      </c>
      <c r="E14516" s="8">
        <f t="shared" si="239"/>
        <v>2012</v>
      </c>
      <c r="F14516" t="s">
        <v>2296</v>
      </c>
      <c r="G14516" s="9">
        <v>11358</v>
      </c>
      <c r="H14516" s="8">
        <v>11298</v>
      </c>
    </row>
    <row r="14517" spans="2:8" x14ac:dyDescent="0.4">
      <c r="B14517" t="s">
        <v>7</v>
      </c>
      <c r="C14517" t="s">
        <v>2295</v>
      </c>
      <c r="D14517" s="7">
        <f>DATE(2012,9,14)</f>
        <v>41166</v>
      </c>
      <c r="E14517" s="8">
        <f t="shared" si="239"/>
        <v>2012</v>
      </c>
      <c r="F14517" t="s">
        <v>2296</v>
      </c>
      <c r="G14517" s="9">
        <v>11044</v>
      </c>
      <c r="H14517" s="8">
        <v>11804</v>
      </c>
    </row>
    <row r="14518" spans="2:8" x14ac:dyDescent="0.4">
      <c r="B14518" t="s">
        <v>7</v>
      </c>
      <c r="C14518" t="s">
        <v>2295</v>
      </c>
      <c r="D14518" s="7">
        <f>DATE(2013,11,20)</f>
        <v>41598</v>
      </c>
      <c r="E14518" s="8">
        <f t="shared" si="239"/>
        <v>2013</v>
      </c>
      <c r="F14518" t="s">
        <v>2296</v>
      </c>
      <c r="G14518" s="9">
        <v>11044</v>
      </c>
      <c r="H14518" s="8">
        <v>12767</v>
      </c>
    </row>
    <row r="14519" spans="2:8" x14ac:dyDescent="0.4">
      <c r="B14519" t="s">
        <v>7</v>
      </c>
      <c r="C14519" t="s">
        <v>2295</v>
      </c>
      <c r="D14519" s="7">
        <f>DATE(2014,2,11)</f>
        <v>41681</v>
      </c>
      <c r="E14519" s="8">
        <f t="shared" si="239"/>
        <v>2014</v>
      </c>
      <c r="F14519" t="s">
        <v>2296</v>
      </c>
      <c r="G14519" s="9">
        <v>11607</v>
      </c>
      <c r="H14519" s="8">
        <v>12917</v>
      </c>
    </row>
    <row r="14520" spans="2:8" x14ac:dyDescent="0.4">
      <c r="B14520" t="s">
        <v>7</v>
      </c>
      <c r="C14520" t="s">
        <v>2295</v>
      </c>
      <c r="D14520" s="7">
        <f>DATE(2014,5,5)</f>
        <v>41764</v>
      </c>
      <c r="E14520" s="8">
        <f t="shared" si="239"/>
        <v>2014</v>
      </c>
      <c r="F14520" t="s">
        <v>2296</v>
      </c>
      <c r="G14520" s="9">
        <v>29920</v>
      </c>
      <c r="H14520" s="8">
        <v>13157</v>
      </c>
    </row>
    <row r="14521" spans="2:8" x14ac:dyDescent="0.4">
      <c r="B14521" s="3" t="s">
        <v>7</v>
      </c>
      <c r="C14521" s="3" t="s">
        <v>2297</v>
      </c>
      <c r="D14521" s="4">
        <f>DATE(2013,4,18)</f>
        <v>41382</v>
      </c>
      <c r="E14521" s="5">
        <f t="shared" si="239"/>
        <v>2013</v>
      </c>
      <c r="F14521" s="3" t="s">
        <v>2298</v>
      </c>
      <c r="G14521" s="6">
        <v>214.44</v>
      </c>
      <c r="H14521" s="5">
        <v>18459</v>
      </c>
    </row>
    <row r="14522" spans="2:8" x14ac:dyDescent="0.4">
      <c r="B14522" s="3" t="s">
        <v>7</v>
      </c>
      <c r="C14522" s="3" t="s">
        <v>2299</v>
      </c>
      <c r="D14522" s="4">
        <f>DATE(2006,11,2)</f>
        <v>39023</v>
      </c>
      <c r="E14522" s="5">
        <f t="shared" si="239"/>
        <v>2006</v>
      </c>
      <c r="F14522" s="3" t="s">
        <v>2300</v>
      </c>
      <c r="G14522" s="6">
        <v>362.4</v>
      </c>
      <c r="H14522" s="5">
        <v>7427</v>
      </c>
    </row>
    <row r="14523" spans="2:8" x14ac:dyDescent="0.4">
      <c r="B14523" s="3" t="s">
        <v>7</v>
      </c>
      <c r="C14523" s="3" t="s">
        <v>2299</v>
      </c>
      <c r="D14523" s="4">
        <f>DATE(2011,6,20)</f>
        <v>40714</v>
      </c>
      <c r="E14523" s="5">
        <f t="shared" si="239"/>
        <v>2011</v>
      </c>
      <c r="F14523" s="3" t="s">
        <v>2300</v>
      </c>
      <c r="G14523" s="6">
        <v>315</v>
      </c>
      <c r="H14523" s="5">
        <v>15691</v>
      </c>
    </row>
    <row r="14524" spans="2:8" x14ac:dyDescent="0.4">
      <c r="B14524" t="s">
        <v>7</v>
      </c>
      <c r="C14524" t="s">
        <v>2301</v>
      </c>
      <c r="D14524" s="7">
        <f>DATE(2017,8,28)</f>
        <v>42975</v>
      </c>
      <c r="E14524" s="8">
        <f t="shared" si="239"/>
        <v>2017</v>
      </c>
      <c r="F14524" t="s">
        <v>2302</v>
      </c>
      <c r="G14524" s="9">
        <v>8172.76</v>
      </c>
      <c r="H14524" s="8">
        <v>23857</v>
      </c>
    </row>
    <row r="14525" spans="2:8" x14ac:dyDescent="0.4">
      <c r="B14525" t="s">
        <v>7</v>
      </c>
      <c r="C14525" t="s">
        <v>2301</v>
      </c>
      <c r="D14525" s="7">
        <f>DATE(2017,9,15)</f>
        <v>42993</v>
      </c>
      <c r="E14525" s="8">
        <f t="shared" si="239"/>
        <v>2017</v>
      </c>
      <c r="F14525" t="s">
        <v>2302</v>
      </c>
      <c r="G14525" s="9">
        <v>7720</v>
      </c>
      <c r="H14525" s="8">
        <v>25495</v>
      </c>
    </row>
    <row r="14526" spans="2:8" x14ac:dyDescent="0.4">
      <c r="B14526" t="s">
        <v>7</v>
      </c>
      <c r="C14526" t="s">
        <v>2301</v>
      </c>
      <c r="D14526" s="7">
        <f>DATE(2015,1,23)</f>
        <v>42027</v>
      </c>
      <c r="E14526" s="8">
        <f t="shared" si="239"/>
        <v>2015</v>
      </c>
      <c r="F14526" t="s">
        <v>2302</v>
      </c>
      <c r="G14526" s="9">
        <v>284.05</v>
      </c>
      <c r="H14526" s="8">
        <v>61</v>
      </c>
    </row>
    <row r="14527" spans="2:8" x14ac:dyDescent="0.4">
      <c r="B14527" t="s">
        <v>7</v>
      </c>
      <c r="C14527" t="s">
        <v>2301</v>
      </c>
      <c r="D14527" s="7">
        <f>DATE(2015,2,4)</f>
        <v>42039</v>
      </c>
      <c r="E14527" s="8">
        <f t="shared" si="239"/>
        <v>2015</v>
      </c>
      <c r="F14527" t="s">
        <v>2302</v>
      </c>
      <c r="G14527" s="9">
        <v>179.4</v>
      </c>
      <c r="H14527" s="8">
        <v>339</v>
      </c>
    </row>
    <row r="14528" spans="2:8" x14ac:dyDescent="0.4">
      <c r="B14528" t="s">
        <v>7</v>
      </c>
      <c r="C14528" t="s">
        <v>2301</v>
      </c>
      <c r="D14528" s="7">
        <f>DATE(2015,6,11)</f>
        <v>42166</v>
      </c>
      <c r="E14528" s="8">
        <f t="shared" si="239"/>
        <v>2015</v>
      </c>
      <c r="F14528" t="s">
        <v>2302</v>
      </c>
      <c r="G14528" s="9">
        <v>23.8</v>
      </c>
      <c r="H14528" s="8">
        <v>20799</v>
      </c>
    </row>
    <row r="14529" spans="2:8" x14ac:dyDescent="0.4">
      <c r="B14529" t="s">
        <v>7</v>
      </c>
      <c r="C14529" t="s">
        <v>2301</v>
      </c>
      <c r="D14529" s="7">
        <f>DATE(2015,6,25)</f>
        <v>42180</v>
      </c>
      <c r="E14529" s="8">
        <f t="shared" si="239"/>
        <v>2015</v>
      </c>
      <c r="F14529" t="s">
        <v>2302</v>
      </c>
      <c r="G14529" s="9">
        <v>2714.43</v>
      </c>
      <c r="H14529" s="8">
        <v>20731</v>
      </c>
    </row>
    <row r="14530" spans="2:8" x14ac:dyDescent="0.4">
      <c r="B14530" t="s">
        <v>7</v>
      </c>
      <c r="C14530" t="s">
        <v>2301</v>
      </c>
      <c r="D14530" s="7">
        <f>DATE(2015,6,25)</f>
        <v>42180</v>
      </c>
      <c r="E14530" s="8">
        <f t="shared" si="239"/>
        <v>2015</v>
      </c>
      <c r="F14530" t="s">
        <v>2302</v>
      </c>
      <c r="G14530" s="9">
        <v>224.25</v>
      </c>
      <c r="H14530" s="8">
        <v>20838</v>
      </c>
    </row>
    <row r="14531" spans="2:8" x14ac:dyDescent="0.4">
      <c r="B14531" t="s">
        <v>7</v>
      </c>
      <c r="C14531" t="s">
        <v>2301</v>
      </c>
      <c r="D14531" s="7">
        <f>DATE(2015,7,6)</f>
        <v>42191</v>
      </c>
      <c r="E14531" s="8">
        <f t="shared" ref="E14531:E14594" si="240">YEAR(D14531)</f>
        <v>2015</v>
      </c>
      <c r="F14531" t="s">
        <v>2302</v>
      </c>
      <c r="G14531" s="9">
        <v>447.5</v>
      </c>
      <c r="H14531" s="8">
        <v>20852</v>
      </c>
    </row>
    <row r="14532" spans="2:8" x14ac:dyDescent="0.4">
      <c r="B14532" t="s">
        <v>7</v>
      </c>
      <c r="C14532" t="s">
        <v>2301</v>
      </c>
      <c r="D14532" s="7">
        <f>DATE(2015,7,6)</f>
        <v>42191</v>
      </c>
      <c r="E14532" s="8">
        <f t="shared" si="240"/>
        <v>2015</v>
      </c>
      <c r="F14532" t="s">
        <v>2302</v>
      </c>
      <c r="G14532" s="9">
        <v>112480</v>
      </c>
      <c r="H14532" s="8">
        <v>20026</v>
      </c>
    </row>
    <row r="14533" spans="2:8" x14ac:dyDescent="0.4">
      <c r="B14533" t="s">
        <v>7</v>
      </c>
      <c r="C14533" t="s">
        <v>2301</v>
      </c>
      <c r="D14533" s="7">
        <f>DATE(2015,7,10)</f>
        <v>42195</v>
      </c>
      <c r="E14533" s="8">
        <f t="shared" si="240"/>
        <v>2015</v>
      </c>
      <c r="F14533" t="s">
        <v>2302</v>
      </c>
      <c r="G14533" s="9">
        <v>562.79999999999995</v>
      </c>
      <c r="H14533" s="8">
        <v>20884</v>
      </c>
    </row>
    <row r="14534" spans="2:8" x14ac:dyDescent="0.4">
      <c r="B14534" t="s">
        <v>7</v>
      </c>
      <c r="C14534" t="s">
        <v>2301</v>
      </c>
      <c r="D14534" s="7">
        <f>DATE(2015,10,28)</f>
        <v>42305</v>
      </c>
      <c r="E14534" s="8">
        <f t="shared" si="240"/>
        <v>2015</v>
      </c>
      <c r="F14534" t="s">
        <v>2302</v>
      </c>
      <c r="G14534" s="9">
        <v>284.05</v>
      </c>
      <c r="H14534" s="8">
        <v>21490</v>
      </c>
    </row>
    <row r="14535" spans="2:8" x14ac:dyDescent="0.4">
      <c r="B14535" t="s">
        <v>7</v>
      </c>
      <c r="C14535" t="s">
        <v>2301</v>
      </c>
      <c r="D14535" s="7">
        <f>DATE(2016,6,22)</f>
        <v>42543</v>
      </c>
      <c r="E14535" s="8">
        <f t="shared" si="240"/>
        <v>2016</v>
      </c>
      <c r="F14535" t="s">
        <v>2302</v>
      </c>
      <c r="G14535" s="9">
        <v>515.04</v>
      </c>
      <c r="H14535" s="8">
        <v>23014</v>
      </c>
    </row>
    <row r="14536" spans="2:8" x14ac:dyDescent="0.4">
      <c r="B14536" t="s">
        <v>7</v>
      </c>
      <c r="C14536" t="s">
        <v>2301</v>
      </c>
      <c r="D14536" s="7">
        <f>DATE(2016,8,17)</f>
        <v>42599</v>
      </c>
      <c r="E14536" s="8">
        <f t="shared" si="240"/>
        <v>2016</v>
      </c>
      <c r="F14536" t="s">
        <v>2302</v>
      </c>
      <c r="G14536" s="9">
        <v>4869.67</v>
      </c>
      <c r="H14536" s="8">
        <v>23193</v>
      </c>
    </row>
    <row r="14537" spans="2:8" x14ac:dyDescent="0.4">
      <c r="B14537" t="s">
        <v>7</v>
      </c>
      <c r="C14537" t="s">
        <v>2301</v>
      </c>
      <c r="D14537" s="7">
        <f>DATE(2016,11,1)</f>
        <v>42675</v>
      </c>
      <c r="E14537" s="8">
        <f t="shared" si="240"/>
        <v>2016</v>
      </c>
      <c r="F14537" t="s">
        <v>2302</v>
      </c>
      <c r="G14537" s="9">
        <v>11448.81</v>
      </c>
      <c r="H14537" s="8">
        <v>23605</v>
      </c>
    </row>
    <row r="14538" spans="2:8" x14ac:dyDescent="0.4">
      <c r="B14538" t="s">
        <v>7</v>
      </c>
      <c r="C14538" t="s">
        <v>2301</v>
      </c>
      <c r="D14538" s="7">
        <f>DATE(2016,11,30)</f>
        <v>42704</v>
      </c>
      <c r="E14538" s="8">
        <f t="shared" si="240"/>
        <v>2016</v>
      </c>
      <c r="F14538" t="s">
        <v>2302</v>
      </c>
      <c r="G14538" s="9">
        <v>5401.64</v>
      </c>
      <c r="H14538" s="8">
        <v>23832</v>
      </c>
    </row>
    <row r="14539" spans="2:8" x14ac:dyDescent="0.4">
      <c r="B14539" t="s">
        <v>7</v>
      </c>
      <c r="C14539" t="s">
        <v>2301</v>
      </c>
      <c r="D14539" s="7">
        <f>DATE(2017,1,19)</f>
        <v>42754</v>
      </c>
      <c r="E14539" s="8">
        <f t="shared" si="240"/>
        <v>2017</v>
      </c>
      <c r="F14539" t="s">
        <v>2302</v>
      </c>
      <c r="G14539" s="9">
        <v>129.01</v>
      </c>
      <c r="H14539" s="8">
        <v>24097</v>
      </c>
    </row>
    <row r="14540" spans="2:8" x14ac:dyDescent="0.4">
      <c r="B14540" t="s">
        <v>7</v>
      </c>
      <c r="C14540" t="s">
        <v>2301</v>
      </c>
      <c r="D14540" s="7">
        <f>DATE(2017,2,17)</f>
        <v>42783</v>
      </c>
      <c r="E14540" s="8">
        <f t="shared" si="240"/>
        <v>2017</v>
      </c>
      <c r="F14540" t="s">
        <v>2302</v>
      </c>
      <c r="G14540" s="9">
        <v>372.36</v>
      </c>
      <c r="H14540" s="8">
        <v>24272</v>
      </c>
    </row>
    <row r="14541" spans="2:8" x14ac:dyDescent="0.4">
      <c r="B14541" t="s">
        <v>7</v>
      </c>
      <c r="C14541" t="s">
        <v>2301</v>
      </c>
      <c r="D14541" s="7">
        <f>DATE(2017,4,10)</f>
        <v>42835</v>
      </c>
      <c r="E14541" s="8">
        <f t="shared" si="240"/>
        <v>2017</v>
      </c>
      <c r="F14541" t="s">
        <v>2302</v>
      </c>
      <c r="G14541" s="9">
        <v>3408.29</v>
      </c>
      <c r="H14541" s="8">
        <v>24354</v>
      </c>
    </row>
    <row r="14542" spans="2:8" x14ac:dyDescent="0.4">
      <c r="B14542" t="s">
        <v>7</v>
      </c>
      <c r="C14542" t="s">
        <v>2301</v>
      </c>
      <c r="D14542" s="7">
        <f>DATE(2018,12,3)</f>
        <v>43437</v>
      </c>
      <c r="E14542" s="8">
        <f t="shared" si="240"/>
        <v>2018</v>
      </c>
      <c r="F14542" t="s">
        <v>2302</v>
      </c>
      <c r="G14542" s="9">
        <v>90034.73</v>
      </c>
      <c r="H14542" s="8">
        <v>27462</v>
      </c>
    </row>
    <row r="14543" spans="2:8" x14ac:dyDescent="0.4">
      <c r="B14543" t="s">
        <v>7</v>
      </c>
      <c r="C14543" t="s">
        <v>2301</v>
      </c>
      <c r="D14543" s="7">
        <f>DATE(2018,12,13)</f>
        <v>43447</v>
      </c>
      <c r="E14543" s="8">
        <f t="shared" si="240"/>
        <v>2018</v>
      </c>
      <c r="F14543" t="s">
        <v>2302</v>
      </c>
      <c r="G14543" s="9">
        <v>1153.75</v>
      </c>
      <c r="H14543" s="8">
        <v>28062</v>
      </c>
    </row>
    <row r="14544" spans="2:8" x14ac:dyDescent="0.4">
      <c r="B14544" t="s">
        <v>7</v>
      </c>
      <c r="C14544" t="s">
        <v>2301</v>
      </c>
      <c r="D14544" s="7">
        <f>DATE(2019,2,20)</f>
        <v>43516</v>
      </c>
      <c r="E14544" s="8">
        <f t="shared" si="240"/>
        <v>2019</v>
      </c>
      <c r="F14544" t="s">
        <v>2302</v>
      </c>
      <c r="G14544" s="9">
        <v>10338.799999999999</v>
      </c>
      <c r="H14544" s="8">
        <v>28255</v>
      </c>
    </row>
    <row r="14545" spans="2:8" x14ac:dyDescent="0.4">
      <c r="B14545" t="s">
        <v>7</v>
      </c>
      <c r="C14545" t="s">
        <v>2301</v>
      </c>
      <c r="D14545" s="7">
        <f>DATE(2019,3,18)</f>
        <v>43542</v>
      </c>
      <c r="E14545" s="8">
        <f t="shared" si="240"/>
        <v>2019</v>
      </c>
      <c r="F14545" t="s">
        <v>2302</v>
      </c>
      <c r="G14545" s="9">
        <v>3278</v>
      </c>
      <c r="H14545" s="8">
        <v>28211</v>
      </c>
    </row>
    <row r="14546" spans="2:8" x14ac:dyDescent="0.4">
      <c r="B14546" t="s">
        <v>7</v>
      </c>
      <c r="C14546" t="s">
        <v>2301</v>
      </c>
      <c r="D14546" s="7">
        <f>DATE(2019,3,20)</f>
        <v>43544</v>
      </c>
      <c r="E14546" s="8">
        <f t="shared" si="240"/>
        <v>2019</v>
      </c>
      <c r="F14546" t="s">
        <v>2302</v>
      </c>
      <c r="G14546" s="9">
        <v>21501.88</v>
      </c>
      <c r="H14546" s="8">
        <v>28256</v>
      </c>
    </row>
    <row r="14547" spans="2:8" x14ac:dyDescent="0.4">
      <c r="B14547" t="s">
        <v>7</v>
      </c>
      <c r="C14547" t="s">
        <v>2301</v>
      </c>
      <c r="D14547" s="7">
        <f>DATE(2019,3,21)</f>
        <v>43545</v>
      </c>
      <c r="E14547" s="8">
        <f t="shared" si="240"/>
        <v>2019</v>
      </c>
      <c r="F14547" t="s">
        <v>2302</v>
      </c>
      <c r="G14547" s="9">
        <v>295</v>
      </c>
      <c r="H14547" s="8">
        <v>28680</v>
      </c>
    </row>
    <row r="14548" spans="2:8" x14ac:dyDescent="0.4">
      <c r="B14548" t="s">
        <v>7</v>
      </c>
      <c r="C14548" t="s">
        <v>2301</v>
      </c>
      <c r="D14548" s="7">
        <f>DATE(2015,12,18)</f>
        <v>42356</v>
      </c>
      <c r="E14548" s="8">
        <f t="shared" si="240"/>
        <v>2015</v>
      </c>
      <c r="F14548" t="s">
        <v>2302</v>
      </c>
      <c r="G14548" s="9">
        <v>28681</v>
      </c>
      <c r="H14548" s="8">
        <v>21717</v>
      </c>
    </row>
    <row r="14549" spans="2:8" x14ac:dyDescent="0.4">
      <c r="B14549" s="3" t="s">
        <v>7</v>
      </c>
      <c r="C14549" s="3" t="s">
        <v>2301</v>
      </c>
      <c r="D14549" s="4">
        <f>DATE(2005,12,19)</f>
        <v>38705</v>
      </c>
      <c r="E14549" s="5">
        <f t="shared" si="240"/>
        <v>2005</v>
      </c>
      <c r="F14549" s="3" t="s">
        <v>2302</v>
      </c>
      <c r="G14549" s="6">
        <v>82.87</v>
      </c>
      <c r="H14549" s="5">
        <v>1335</v>
      </c>
    </row>
    <row r="14550" spans="2:8" x14ac:dyDescent="0.4">
      <c r="B14550" s="3" t="s">
        <v>7</v>
      </c>
      <c r="C14550" s="3" t="s">
        <v>2301</v>
      </c>
      <c r="D14550" s="4">
        <f>DATE(2006,9,1)</f>
        <v>38961</v>
      </c>
      <c r="E14550" s="5">
        <f t="shared" si="240"/>
        <v>2006</v>
      </c>
      <c r="F14550" s="3" t="s">
        <v>2302</v>
      </c>
      <c r="G14550" s="6">
        <v>897</v>
      </c>
      <c r="H14550" s="5">
        <v>1764</v>
      </c>
    </row>
    <row r="14551" spans="2:8" x14ac:dyDescent="0.4">
      <c r="B14551" s="3" t="s">
        <v>7</v>
      </c>
      <c r="C14551" s="3" t="s">
        <v>2301</v>
      </c>
      <c r="D14551" s="4">
        <f>DATE(2006,9,1)</f>
        <v>38961</v>
      </c>
      <c r="E14551" s="5">
        <f t="shared" si="240"/>
        <v>2006</v>
      </c>
      <c r="F14551" s="3" t="s">
        <v>2302</v>
      </c>
      <c r="G14551" s="6">
        <v>870</v>
      </c>
      <c r="H14551" s="5">
        <v>1896</v>
      </c>
    </row>
    <row r="14552" spans="2:8" x14ac:dyDescent="0.4">
      <c r="B14552" s="3" t="s">
        <v>7</v>
      </c>
      <c r="C14552" s="3" t="s">
        <v>2301</v>
      </c>
      <c r="D14552" s="4">
        <f>DATE(2008,9,30)</f>
        <v>39721</v>
      </c>
      <c r="E14552" s="5">
        <f t="shared" si="240"/>
        <v>2008</v>
      </c>
      <c r="F14552" s="3" t="s">
        <v>2302</v>
      </c>
      <c r="G14552" s="6">
        <v>51514.58</v>
      </c>
      <c r="H14552" s="5">
        <v>3053</v>
      </c>
    </row>
    <row r="14553" spans="2:8" x14ac:dyDescent="0.4">
      <c r="B14553" s="3" t="s">
        <v>7</v>
      </c>
      <c r="C14553" s="3" t="s">
        <v>2301</v>
      </c>
      <c r="D14553" s="4">
        <f>DATE(2009,2,11)</f>
        <v>39855</v>
      </c>
      <c r="E14553" s="5">
        <f t="shared" si="240"/>
        <v>2009</v>
      </c>
      <c r="F14553" s="3" t="s">
        <v>2302</v>
      </c>
      <c r="G14553" s="6">
        <v>2801.25</v>
      </c>
      <c r="H14553" s="5">
        <v>3235</v>
      </c>
    </row>
    <row r="14554" spans="2:8" x14ac:dyDescent="0.4">
      <c r="B14554" s="3" t="s">
        <v>7</v>
      </c>
      <c r="C14554" s="3" t="s">
        <v>2301</v>
      </c>
      <c r="D14554" s="4">
        <f>DATE(2009,2,11)</f>
        <v>39855</v>
      </c>
      <c r="E14554" s="5">
        <f t="shared" si="240"/>
        <v>2009</v>
      </c>
      <c r="F14554" s="3" t="s">
        <v>2302</v>
      </c>
      <c r="G14554" s="6">
        <v>1181.9000000000001</v>
      </c>
      <c r="H14554" s="5">
        <v>3275</v>
      </c>
    </row>
    <row r="14555" spans="2:8" x14ac:dyDescent="0.4">
      <c r="B14555" s="3" t="s">
        <v>7</v>
      </c>
      <c r="C14555" s="3" t="s">
        <v>2301</v>
      </c>
      <c r="D14555" s="4">
        <f>DATE(2009,2,27)</f>
        <v>39871</v>
      </c>
      <c r="E14555" s="5">
        <f t="shared" si="240"/>
        <v>2009</v>
      </c>
      <c r="F14555" s="3" t="s">
        <v>2302</v>
      </c>
      <c r="G14555" s="6">
        <v>1890.16</v>
      </c>
      <c r="H14555" s="5">
        <v>3292</v>
      </c>
    </row>
    <row r="14556" spans="2:8" x14ac:dyDescent="0.4">
      <c r="B14556" s="3" t="s">
        <v>7</v>
      </c>
      <c r="C14556" s="3" t="s">
        <v>2301</v>
      </c>
      <c r="D14556" s="4">
        <f>DATE(2009,3,16)</f>
        <v>39888</v>
      </c>
      <c r="E14556" s="5">
        <f t="shared" si="240"/>
        <v>2009</v>
      </c>
      <c r="F14556" s="3" t="s">
        <v>2302</v>
      </c>
      <c r="G14556" s="6">
        <v>324.5</v>
      </c>
      <c r="H14556" s="5">
        <v>3299</v>
      </c>
    </row>
    <row r="14557" spans="2:8" x14ac:dyDescent="0.4">
      <c r="B14557" s="3" t="s">
        <v>7</v>
      </c>
      <c r="C14557" s="3" t="s">
        <v>2301</v>
      </c>
      <c r="D14557" s="4">
        <f>DATE(2009,3,27)</f>
        <v>39899</v>
      </c>
      <c r="E14557" s="5">
        <f t="shared" si="240"/>
        <v>2009</v>
      </c>
      <c r="F14557" s="3" t="s">
        <v>2302</v>
      </c>
      <c r="G14557" s="6">
        <v>4368</v>
      </c>
      <c r="H14557" s="5">
        <v>3291</v>
      </c>
    </row>
    <row r="14558" spans="2:8" x14ac:dyDescent="0.4">
      <c r="B14558" s="3" t="s">
        <v>7</v>
      </c>
      <c r="C14558" s="3" t="s">
        <v>2301</v>
      </c>
      <c r="D14558" s="4">
        <f>DATE(2009,4,23)</f>
        <v>39926</v>
      </c>
      <c r="E14558" s="5">
        <f t="shared" si="240"/>
        <v>2009</v>
      </c>
      <c r="F14558" s="3" t="s">
        <v>2302</v>
      </c>
      <c r="G14558" s="6">
        <v>411</v>
      </c>
      <c r="H14558" s="5">
        <v>3396</v>
      </c>
    </row>
    <row r="14559" spans="2:8" x14ac:dyDescent="0.4">
      <c r="B14559" s="3" t="s">
        <v>7</v>
      </c>
      <c r="C14559" s="3" t="s">
        <v>2301</v>
      </c>
      <c r="D14559" s="4">
        <f>DATE(2009,5,19)</f>
        <v>39952</v>
      </c>
      <c r="E14559" s="5">
        <f t="shared" si="240"/>
        <v>2009</v>
      </c>
      <c r="F14559" s="3" t="s">
        <v>2302</v>
      </c>
      <c r="G14559" s="6">
        <v>2146</v>
      </c>
      <c r="H14559" s="5">
        <v>3431</v>
      </c>
    </row>
    <row r="14560" spans="2:8" x14ac:dyDescent="0.4">
      <c r="B14560" s="3" t="s">
        <v>7</v>
      </c>
      <c r="C14560" s="3" t="s">
        <v>2301</v>
      </c>
      <c r="D14560" s="4">
        <f>DATE(2009,5,19)</f>
        <v>39952</v>
      </c>
      <c r="E14560" s="5">
        <f t="shared" si="240"/>
        <v>2009</v>
      </c>
      <c r="F14560" s="3" t="s">
        <v>2302</v>
      </c>
      <c r="G14560" s="6">
        <v>172.5</v>
      </c>
      <c r="H14560" s="5">
        <v>3432</v>
      </c>
    </row>
    <row r="14561" spans="2:8" x14ac:dyDescent="0.4">
      <c r="B14561" s="3" t="s">
        <v>7</v>
      </c>
      <c r="C14561" s="3" t="s">
        <v>2301</v>
      </c>
      <c r="D14561" s="4">
        <f>DATE(2009,5,19)</f>
        <v>39952</v>
      </c>
      <c r="E14561" s="5">
        <f t="shared" si="240"/>
        <v>2009</v>
      </c>
      <c r="F14561" s="3" t="s">
        <v>2302</v>
      </c>
      <c r="G14561" s="6">
        <v>172.5</v>
      </c>
      <c r="H14561" s="5">
        <v>3433</v>
      </c>
    </row>
    <row r="14562" spans="2:8" x14ac:dyDescent="0.4">
      <c r="B14562" s="3" t="s">
        <v>7</v>
      </c>
      <c r="C14562" s="3" t="s">
        <v>2301</v>
      </c>
      <c r="D14562" s="4">
        <f>DATE(2009,5,19)</f>
        <v>39952</v>
      </c>
      <c r="E14562" s="5">
        <f t="shared" si="240"/>
        <v>2009</v>
      </c>
      <c r="F14562" s="3" t="s">
        <v>2302</v>
      </c>
      <c r="G14562" s="6">
        <v>741.6</v>
      </c>
      <c r="H14562" s="5">
        <v>3434</v>
      </c>
    </row>
    <row r="14563" spans="2:8" x14ac:dyDescent="0.4">
      <c r="B14563" s="3" t="s">
        <v>7</v>
      </c>
      <c r="C14563" s="3" t="s">
        <v>2301</v>
      </c>
      <c r="D14563" s="4">
        <f>DATE(2009,5,29)</f>
        <v>39962</v>
      </c>
      <c r="E14563" s="5">
        <f t="shared" si="240"/>
        <v>2009</v>
      </c>
      <c r="F14563" s="3" t="s">
        <v>2302</v>
      </c>
      <c r="G14563" s="6">
        <v>230</v>
      </c>
      <c r="H14563" s="5">
        <v>3459</v>
      </c>
    </row>
    <row r="14564" spans="2:8" x14ac:dyDescent="0.4">
      <c r="B14564" s="3" t="s">
        <v>7</v>
      </c>
      <c r="C14564" s="3" t="s">
        <v>2301</v>
      </c>
      <c r="D14564" s="4">
        <f>DATE(2009,7,24)</f>
        <v>40018</v>
      </c>
      <c r="E14564" s="5">
        <f t="shared" si="240"/>
        <v>2009</v>
      </c>
      <c r="F14564" s="3" t="s">
        <v>2302</v>
      </c>
      <c r="G14564" s="6">
        <v>4412.1000000000004</v>
      </c>
      <c r="H14564" s="5">
        <v>3524</v>
      </c>
    </row>
    <row r="14565" spans="2:8" x14ac:dyDescent="0.4">
      <c r="B14565" s="3" t="s">
        <v>7</v>
      </c>
      <c r="C14565" s="3" t="s">
        <v>2301</v>
      </c>
      <c r="D14565" s="4">
        <f>DATE(2009,7,30)</f>
        <v>40024</v>
      </c>
      <c r="E14565" s="5">
        <f t="shared" si="240"/>
        <v>2009</v>
      </c>
      <c r="F14565" s="3" t="s">
        <v>2302</v>
      </c>
      <c r="G14565" s="6">
        <v>2433.75</v>
      </c>
      <c r="H14565" s="5">
        <v>3522</v>
      </c>
    </row>
    <row r="14566" spans="2:8" x14ac:dyDescent="0.4">
      <c r="B14566" s="3" t="s">
        <v>7</v>
      </c>
      <c r="C14566" s="3" t="s">
        <v>2301</v>
      </c>
      <c r="D14566" s="4">
        <f>DATE(2009,8,27)</f>
        <v>40052</v>
      </c>
      <c r="E14566" s="5">
        <f t="shared" si="240"/>
        <v>2009</v>
      </c>
      <c r="F14566" s="3" t="s">
        <v>2302</v>
      </c>
      <c r="G14566" s="6">
        <v>53416.83</v>
      </c>
      <c r="H14566" s="5">
        <v>3531</v>
      </c>
    </row>
    <row r="14567" spans="2:8" x14ac:dyDescent="0.4">
      <c r="B14567" s="3" t="s">
        <v>7</v>
      </c>
      <c r="C14567" s="3" t="s">
        <v>2301</v>
      </c>
      <c r="D14567" s="4">
        <f>DATE(2009,10,15)</f>
        <v>40101</v>
      </c>
      <c r="E14567" s="5">
        <f t="shared" si="240"/>
        <v>2009</v>
      </c>
      <c r="F14567" s="3" t="s">
        <v>2302</v>
      </c>
      <c r="G14567" s="6">
        <v>2171.5500000000002</v>
      </c>
      <c r="H14567" s="5">
        <v>3621</v>
      </c>
    </row>
    <row r="14568" spans="2:8" x14ac:dyDescent="0.4">
      <c r="B14568" s="3" t="s">
        <v>7</v>
      </c>
      <c r="C14568" s="3" t="s">
        <v>2301</v>
      </c>
      <c r="D14568" s="4">
        <f>DATE(2009,11,3)</f>
        <v>40120</v>
      </c>
      <c r="E14568" s="5">
        <f t="shared" si="240"/>
        <v>2009</v>
      </c>
      <c r="F14568" s="3" t="s">
        <v>2302</v>
      </c>
      <c r="G14568" s="6">
        <v>1152.5999999999999</v>
      </c>
      <c r="H14568" s="5">
        <v>3645</v>
      </c>
    </row>
    <row r="14569" spans="2:8" x14ac:dyDescent="0.4">
      <c r="B14569" s="3" t="s">
        <v>7</v>
      </c>
      <c r="C14569" s="3" t="s">
        <v>2301</v>
      </c>
      <c r="D14569" s="4">
        <f>DATE(2009,11,3)</f>
        <v>40120</v>
      </c>
      <c r="E14569" s="5">
        <f t="shared" si="240"/>
        <v>2009</v>
      </c>
      <c r="F14569" s="3" t="s">
        <v>2302</v>
      </c>
      <c r="G14569" s="6">
        <v>9533.9500000000007</v>
      </c>
      <c r="H14569" s="5">
        <v>3622</v>
      </c>
    </row>
    <row r="14570" spans="2:8" x14ac:dyDescent="0.4">
      <c r="B14570" s="3" t="s">
        <v>7</v>
      </c>
      <c r="C14570" s="3" t="s">
        <v>2301</v>
      </c>
      <c r="D14570" s="4">
        <f>DATE(2009,11,3)</f>
        <v>40120</v>
      </c>
      <c r="E14570" s="5">
        <f t="shared" si="240"/>
        <v>2009</v>
      </c>
      <c r="F14570" s="3" t="s">
        <v>2302</v>
      </c>
      <c r="G14570" s="6">
        <v>15797.3</v>
      </c>
      <c r="H14570" s="5">
        <v>3605</v>
      </c>
    </row>
    <row r="14571" spans="2:8" x14ac:dyDescent="0.4">
      <c r="B14571" s="3" t="s">
        <v>7</v>
      </c>
      <c r="C14571" s="3" t="s">
        <v>2301</v>
      </c>
      <c r="D14571" s="4">
        <f>DATE(2009,12,11)</f>
        <v>40158</v>
      </c>
      <c r="E14571" s="5">
        <f t="shared" si="240"/>
        <v>2009</v>
      </c>
      <c r="F14571" s="3" t="s">
        <v>2302</v>
      </c>
      <c r="G14571" s="6">
        <v>53095.88</v>
      </c>
      <c r="H14571" s="5">
        <v>3661</v>
      </c>
    </row>
    <row r="14572" spans="2:8" x14ac:dyDescent="0.4">
      <c r="B14572" s="3" t="s">
        <v>7</v>
      </c>
      <c r="C14572" s="3" t="s">
        <v>2301</v>
      </c>
      <c r="D14572" s="4">
        <f>DATE(2009,12,11)</f>
        <v>40158</v>
      </c>
      <c r="E14572" s="5">
        <f t="shared" si="240"/>
        <v>2009</v>
      </c>
      <c r="F14572" s="3" t="s">
        <v>2302</v>
      </c>
      <c r="G14572" s="6">
        <v>52767.03</v>
      </c>
      <c r="H14572" s="5">
        <v>3662</v>
      </c>
    </row>
    <row r="14573" spans="2:8" x14ac:dyDescent="0.4">
      <c r="B14573" s="3" t="s">
        <v>7</v>
      </c>
      <c r="C14573" s="3" t="s">
        <v>2301</v>
      </c>
      <c r="D14573" s="4">
        <f>DATE(2010,3,25)</f>
        <v>40262</v>
      </c>
      <c r="E14573" s="5">
        <f t="shared" si="240"/>
        <v>2010</v>
      </c>
      <c r="F14573" s="3" t="s">
        <v>2302</v>
      </c>
      <c r="G14573" s="6">
        <v>93.5</v>
      </c>
      <c r="H14573" s="5">
        <v>3870</v>
      </c>
    </row>
    <row r="14574" spans="2:8" x14ac:dyDescent="0.4">
      <c r="B14574" s="3" t="s">
        <v>7</v>
      </c>
      <c r="C14574" s="3" t="s">
        <v>2301</v>
      </c>
      <c r="D14574" s="4">
        <f>DATE(2010,4,1)</f>
        <v>40269</v>
      </c>
      <c r="E14574" s="5">
        <f t="shared" si="240"/>
        <v>2010</v>
      </c>
      <c r="F14574" s="3" t="s">
        <v>2302</v>
      </c>
      <c r="G14574" s="6">
        <v>3619.25</v>
      </c>
      <c r="H14574" s="5">
        <v>3852</v>
      </c>
    </row>
    <row r="14575" spans="2:8" x14ac:dyDescent="0.4">
      <c r="B14575" s="3" t="s">
        <v>7</v>
      </c>
      <c r="C14575" s="3" t="s">
        <v>2301</v>
      </c>
      <c r="D14575" s="4">
        <f>DATE(2010,4,8)</f>
        <v>40276</v>
      </c>
      <c r="E14575" s="5">
        <f t="shared" si="240"/>
        <v>2010</v>
      </c>
      <c r="F14575" s="3" t="s">
        <v>2302</v>
      </c>
      <c r="G14575" s="6">
        <v>2079</v>
      </c>
      <c r="H14575" s="5">
        <v>3869</v>
      </c>
    </row>
    <row r="14576" spans="2:8" x14ac:dyDescent="0.4">
      <c r="B14576" s="3" t="s">
        <v>7</v>
      </c>
      <c r="C14576" s="3" t="s">
        <v>2301</v>
      </c>
      <c r="D14576" s="4">
        <f>DATE(2010,5,3)</f>
        <v>40301</v>
      </c>
      <c r="E14576" s="5">
        <f t="shared" si="240"/>
        <v>2010</v>
      </c>
      <c r="F14576" s="3" t="s">
        <v>2302</v>
      </c>
      <c r="G14576" s="6">
        <v>716</v>
      </c>
      <c r="H14576" s="5">
        <v>3859</v>
      </c>
    </row>
    <row r="14577" spans="2:8" x14ac:dyDescent="0.4">
      <c r="B14577" s="3" t="s">
        <v>7</v>
      </c>
      <c r="C14577" s="3" t="s">
        <v>2301</v>
      </c>
      <c r="D14577" s="4">
        <f>DATE(2010,5,6)</f>
        <v>40304</v>
      </c>
      <c r="E14577" s="5">
        <f t="shared" si="240"/>
        <v>2010</v>
      </c>
      <c r="F14577" s="3" t="s">
        <v>2302</v>
      </c>
      <c r="G14577" s="6">
        <v>12116.1</v>
      </c>
      <c r="H14577" s="5">
        <v>3872</v>
      </c>
    </row>
    <row r="14578" spans="2:8" x14ac:dyDescent="0.4">
      <c r="B14578" s="3" t="s">
        <v>7</v>
      </c>
      <c r="C14578" s="3" t="s">
        <v>2301</v>
      </c>
      <c r="D14578" s="4">
        <f>DATE(2010,7,29)</f>
        <v>40388</v>
      </c>
      <c r="E14578" s="5">
        <f t="shared" si="240"/>
        <v>2010</v>
      </c>
      <c r="F14578" s="3" t="s">
        <v>2302</v>
      </c>
      <c r="G14578" s="6">
        <v>2714.43</v>
      </c>
      <c r="H14578" s="5">
        <v>4031</v>
      </c>
    </row>
    <row r="14579" spans="2:8" x14ac:dyDescent="0.4">
      <c r="B14579" s="3" t="s">
        <v>7</v>
      </c>
      <c r="C14579" s="3" t="s">
        <v>2301</v>
      </c>
      <c r="D14579" s="4">
        <f>DATE(2010,7,29)</f>
        <v>40388</v>
      </c>
      <c r="E14579" s="5">
        <f t="shared" si="240"/>
        <v>2010</v>
      </c>
      <c r="F14579" s="3" t="s">
        <v>2302</v>
      </c>
      <c r="G14579" s="6">
        <v>358</v>
      </c>
      <c r="H14579" s="5">
        <v>4045</v>
      </c>
    </row>
    <row r="14580" spans="2:8" x14ac:dyDescent="0.4">
      <c r="B14580" s="3" t="s">
        <v>7</v>
      </c>
      <c r="C14580" s="3" t="s">
        <v>2301</v>
      </c>
      <c r="D14580" s="4">
        <f>DATE(2010,7,29)</f>
        <v>40388</v>
      </c>
      <c r="E14580" s="5">
        <f t="shared" si="240"/>
        <v>2010</v>
      </c>
      <c r="F14580" s="3" t="s">
        <v>2302</v>
      </c>
      <c r="G14580" s="6">
        <v>3094.56</v>
      </c>
      <c r="H14580" s="5">
        <v>4043</v>
      </c>
    </row>
    <row r="14581" spans="2:8" x14ac:dyDescent="0.4">
      <c r="B14581" s="3" t="s">
        <v>7</v>
      </c>
      <c r="C14581" s="3" t="s">
        <v>2301</v>
      </c>
      <c r="D14581" s="4">
        <f>DATE(2010,7,29)</f>
        <v>40388</v>
      </c>
      <c r="E14581" s="5">
        <f t="shared" si="240"/>
        <v>2010</v>
      </c>
      <c r="F14581" s="3" t="s">
        <v>2302</v>
      </c>
      <c r="G14581" s="6">
        <v>3308.62</v>
      </c>
      <c r="H14581" s="5">
        <v>4044</v>
      </c>
    </row>
    <row r="14582" spans="2:8" x14ac:dyDescent="0.4">
      <c r="B14582" s="3" t="s">
        <v>7</v>
      </c>
      <c r="C14582" s="3" t="s">
        <v>2301</v>
      </c>
      <c r="D14582" s="4">
        <f>DATE(2010,8,26)</f>
        <v>40416</v>
      </c>
      <c r="E14582" s="5">
        <f t="shared" si="240"/>
        <v>2010</v>
      </c>
      <c r="F14582" s="3" t="s">
        <v>2302</v>
      </c>
      <c r="G14582" s="6">
        <v>5613.54</v>
      </c>
      <c r="H14582" s="5">
        <v>4042</v>
      </c>
    </row>
    <row r="14583" spans="2:8" x14ac:dyDescent="0.4">
      <c r="B14583" s="3" t="s">
        <v>7</v>
      </c>
      <c r="C14583" s="3" t="s">
        <v>2301</v>
      </c>
      <c r="D14583" s="4">
        <f>DATE(2010,8,30)</f>
        <v>40420</v>
      </c>
      <c r="E14583" s="5">
        <f t="shared" si="240"/>
        <v>2010</v>
      </c>
      <c r="F14583" s="3" t="s">
        <v>2302</v>
      </c>
      <c r="G14583" s="6">
        <v>2714.43</v>
      </c>
      <c r="H14583" s="5">
        <v>4092</v>
      </c>
    </row>
    <row r="14584" spans="2:8" x14ac:dyDescent="0.4">
      <c r="B14584" s="3" t="s">
        <v>7</v>
      </c>
      <c r="C14584" s="3" t="s">
        <v>2301</v>
      </c>
      <c r="D14584" s="4">
        <f>DATE(2010,8,31)</f>
        <v>40421</v>
      </c>
      <c r="E14584" s="5">
        <f t="shared" si="240"/>
        <v>2010</v>
      </c>
      <c r="F14584" s="3" t="s">
        <v>2302</v>
      </c>
      <c r="G14584" s="6">
        <v>40931.53</v>
      </c>
      <c r="H14584" s="5">
        <v>4046</v>
      </c>
    </row>
    <row r="14585" spans="2:8" x14ac:dyDescent="0.4">
      <c r="B14585" s="3" t="s">
        <v>7</v>
      </c>
      <c r="C14585" s="3" t="s">
        <v>2301</v>
      </c>
      <c r="D14585" s="4">
        <f>DATE(2010,9,14)</f>
        <v>40435</v>
      </c>
      <c r="E14585" s="5">
        <f t="shared" si="240"/>
        <v>2010</v>
      </c>
      <c r="F14585" s="3" t="s">
        <v>2302</v>
      </c>
      <c r="G14585" s="6">
        <v>3660.99</v>
      </c>
      <c r="H14585" s="5">
        <v>4096</v>
      </c>
    </row>
    <row r="14586" spans="2:8" x14ac:dyDescent="0.4">
      <c r="B14586" s="3" t="s">
        <v>7</v>
      </c>
      <c r="C14586" s="3" t="s">
        <v>2301</v>
      </c>
      <c r="D14586" s="4">
        <f>DATE(2010,10,28)</f>
        <v>40479</v>
      </c>
      <c r="E14586" s="5">
        <f t="shared" si="240"/>
        <v>2010</v>
      </c>
      <c r="F14586" s="3" t="s">
        <v>2302</v>
      </c>
      <c r="G14586" s="6">
        <v>5513.86</v>
      </c>
      <c r="H14586" s="5">
        <v>4114</v>
      </c>
    </row>
    <row r="14587" spans="2:8" x14ac:dyDescent="0.4">
      <c r="B14587" s="3" t="s">
        <v>7</v>
      </c>
      <c r="C14587" s="3" t="s">
        <v>2301</v>
      </c>
      <c r="D14587" s="4">
        <f>DATE(2010,11,29)</f>
        <v>40511</v>
      </c>
      <c r="E14587" s="5">
        <f t="shared" si="240"/>
        <v>2010</v>
      </c>
      <c r="F14587" s="3" t="s">
        <v>2302</v>
      </c>
      <c r="G14587" s="6">
        <v>2799.43</v>
      </c>
      <c r="H14587" s="5">
        <v>4222</v>
      </c>
    </row>
    <row r="14588" spans="2:8" x14ac:dyDescent="0.4">
      <c r="B14588" s="3" t="s">
        <v>7</v>
      </c>
      <c r="C14588" s="3" t="s">
        <v>2301</v>
      </c>
      <c r="D14588" s="4">
        <f>DATE(2011,1,17)</f>
        <v>40560</v>
      </c>
      <c r="E14588" s="5">
        <f t="shared" si="240"/>
        <v>2011</v>
      </c>
      <c r="F14588" s="3" t="s">
        <v>2302</v>
      </c>
      <c r="G14588" s="6">
        <v>956.8</v>
      </c>
      <c r="H14588" s="5">
        <v>4282</v>
      </c>
    </row>
    <row r="14589" spans="2:8" x14ac:dyDescent="0.4">
      <c r="B14589" s="3" t="s">
        <v>7</v>
      </c>
      <c r="C14589" s="3" t="s">
        <v>2301</v>
      </c>
      <c r="D14589" s="4">
        <f>DATE(2011,1,25)</f>
        <v>40568</v>
      </c>
      <c r="E14589" s="5">
        <f t="shared" si="240"/>
        <v>2011</v>
      </c>
      <c r="F14589" s="3" t="s">
        <v>2302</v>
      </c>
      <c r="G14589" s="6">
        <v>2799.43</v>
      </c>
      <c r="H14589" s="5">
        <v>4275</v>
      </c>
    </row>
    <row r="14590" spans="2:8" x14ac:dyDescent="0.4">
      <c r="B14590" s="3" t="s">
        <v>7</v>
      </c>
      <c r="C14590" s="3" t="s">
        <v>2301</v>
      </c>
      <c r="D14590" s="4">
        <f>DATE(2011,4,19)</f>
        <v>40652</v>
      </c>
      <c r="E14590" s="5">
        <f t="shared" si="240"/>
        <v>2011</v>
      </c>
      <c r="F14590" s="3" t="s">
        <v>2302</v>
      </c>
      <c r="G14590" s="6">
        <v>2799.43</v>
      </c>
      <c r="H14590" s="5">
        <v>4399</v>
      </c>
    </row>
    <row r="14591" spans="2:8" x14ac:dyDescent="0.4">
      <c r="B14591" s="3" t="s">
        <v>7</v>
      </c>
      <c r="C14591" s="3" t="s">
        <v>2301</v>
      </c>
      <c r="D14591" s="4">
        <f>DATE(2011,10,19)</f>
        <v>40835</v>
      </c>
      <c r="E14591" s="5">
        <f t="shared" si="240"/>
        <v>2011</v>
      </c>
      <c r="F14591" s="3" t="s">
        <v>2302</v>
      </c>
      <c r="G14591" s="6">
        <v>986.7</v>
      </c>
      <c r="H14591" s="5">
        <v>4644</v>
      </c>
    </row>
    <row r="14592" spans="2:8" x14ac:dyDescent="0.4">
      <c r="B14592" s="3" t="s">
        <v>7</v>
      </c>
      <c r="C14592" s="3" t="s">
        <v>2301</v>
      </c>
      <c r="D14592" s="4">
        <f>DATE(2011,10,26)</f>
        <v>40842</v>
      </c>
      <c r="E14592" s="5">
        <f t="shared" si="240"/>
        <v>2011</v>
      </c>
      <c r="F14592" s="3" t="s">
        <v>2302</v>
      </c>
      <c r="G14592" s="6">
        <v>2799.43</v>
      </c>
      <c r="H14592" s="5">
        <v>4672</v>
      </c>
    </row>
    <row r="14593" spans="2:8" x14ac:dyDescent="0.4">
      <c r="B14593" s="3" t="s">
        <v>7</v>
      </c>
      <c r="C14593" s="3" t="s">
        <v>2301</v>
      </c>
      <c r="D14593" s="4">
        <f>DATE(2012,3,2)</f>
        <v>40970</v>
      </c>
      <c r="E14593" s="5">
        <f t="shared" si="240"/>
        <v>2012</v>
      </c>
      <c r="F14593" s="3" t="s">
        <v>2302</v>
      </c>
      <c r="G14593" s="6">
        <v>102.6</v>
      </c>
      <c r="H14593" s="5">
        <v>4854</v>
      </c>
    </row>
    <row r="14594" spans="2:8" x14ac:dyDescent="0.4">
      <c r="B14594" s="3" t="s">
        <v>7</v>
      </c>
      <c r="C14594" s="3" t="s">
        <v>2301</v>
      </c>
      <c r="D14594" s="4">
        <f>DATE(2012,5,23)</f>
        <v>41052</v>
      </c>
      <c r="E14594" s="5">
        <f t="shared" si="240"/>
        <v>2012</v>
      </c>
      <c r="F14594" s="3" t="s">
        <v>2302</v>
      </c>
      <c r="G14594" s="6">
        <v>102.86</v>
      </c>
      <c r="H14594" s="5">
        <v>5043</v>
      </c>
    </row>
    <row r="14595" spans="2:8" x14ac:dyDescent="0.4">
      <c r="B14595" s="3" t="s">
        <v>7</v>
      </c>
      <c r="C14595" s="3" t="s">
        <v>2301</v>
      </c>
      <c r="D14595" s="4">
        <f>DATE(2012,6,29)</f>
        <v>41089</v>
      </c>
      <c r="E14595" s="5">
        <f t="shared" ref="E14595:E14658" si="241">YEAR(D14595)</f>
        <v>2012</v>
      </c>
      <c r="F14595" s="3" t="s">
        <v>2302</v>
      </c>
      <c r="G14595" s="6">
        <v>358</v>
      </c>
      <c r="H14595" s="5">
        <v>5042</v>
      </c>
    </row>
    <row r="14596" spans="2:8" x14ac:dyDescent="0.4">
      <c r="B14596" s="3" t="s">
        <v>7</v>
      </c>
      <c r="C14596" s="3" t="s">
        <v>2301</v>
      </c>
      <c r="D14596" s="4">
        <f>DATE(2012,12,18)</f>
        <v>41261</v>
      </c>
      <c r="E14596" s="5">
        <f t="shared" si="241"/>
        <v>2012</v>
      </c>
      <c r="F14596" s="3" t="s">
        <v>2302</v>
      </c>
      <c r="G14596" s="6">
        <v>926.9</v>
      </c>
      <c r="H14596" s="5">
        <v>5343</v>
      </c>
    </row>
    <row r="14597" spans="2:8" x14ac:dyDescent="0.4">
      <c r="B14597" s="3" t="s">
        <v>7</v>
      </c>
      <c r="C14597" s="3" t="s">
        <v>2301</v>
      </c>
      <c r="D14597" s="4">
        <f>DATE(2012,12,20)</f>
        <v>41263</v>
      </c>
      <c r="E14597" s="5">
        <f t="shared" si="241"/>
        <v>2012</v>
      </c>
      <c r="F14597" s="3" t="s">
        <v>2302</v>
      </c>
      <c r="G14597" s="6">
        <v>2559.81</v>
      </c>
      <c r="H14597" s="5">
        <v>5307</v>
      </c>
    </row>
    <row r="14598" spans="2:8" x14ac:dyDescent="0.4">
      <c r="B14598" s="3" t="s">
        <v>7</v>
      </c>
      <c r="C14598" s="3" t="s">
        <v>2301</v>
      </c>
      <c r="D14598" s="4">
        <f>DATE(2013,1,29)</f>
        <v>41303</v>
      </c>
      <c r="E14598" s="5">
        <f t="shared" si="241"/>
        <v>2013</v>
      </c>
      <c r="F14598" s="3" t="s">
        <v>2302</v>
      </c>
      <c r="G14598" s="6">
        <v>42094.2</v>
      </c>
      <c r="H14598" s="5">
        <v>5302</v>
      </c>
    </row>
    <row r="14599" spans="2:8" x14ac:dyDescent="0.4">
      <c r="B14599" s="3" t="s">
        <v>7</v>
      </c>
      <c r="C14599" s="3" t="s">
        <v>2301</v>
      </c>
      <c r="D14599" s="4">
        <f>DATE(2013,2,22)</f>
        <v>41327</v>
      </c>
      <c r="E14599" s="5">
        <f t="shared" si="241"/>
        <v>2013</v>
      </c>
      <c r="F14599" s="3" t="s">
        <v>2302</v>
      </c>
      <c r="G14599" s="6">
        <v>205.2</v>
      </c>
      <c r="H14599" s="5">
        <v>5429</v>
      </c>
    </row>
    <row r="14600" spans="2:8" x14ac:dyDescent="0.4">
      <c r="B14600" s="3" t="s">
        <v>7</v>
      </c>
      <c r="C14600" s="3" t="s">
        <v>2301</v>
      </c>
      <c r="D14600" s="4">
        <f>DATE(2013,3,4)</f>
        <v>41337</v>
      </c>
      <c r="E14600" s="5">
        <f t="shared" si="241"/>
        <v>2013</v>
      </c>
      <c r="F14600" s="3" t="s">
        <v>2302</v>
      </c>
      <c r="G14600" s="6">
        <v>43794.2</v>
      </c>
      <c r="H14600" s="5">
        <v>5342</v>
      </c>
    </row>
    <row r="14601" spans="2:8" x14ac:dyDescent="0.4">
      <c r="B14601" s="3" t="s">
        <v>7</v>
      </c>
      <c r="C14601" s="3" t="s">
        <v>2301</v>
      </c>
      <c r="D14601" s="4">
        <f>DATE(2013,3,4)</f>
        <v>41337</v>
      </c>
      <c r="E14601" s="5">
        <f t="shared" si="241"/>
        <v>2013</v>
      </c>
      <c r="F14601" s="3" t="s">
        <v>2302</v>
      </c>
      <c r="G14601" s="6">
        <v>43794.2</v>
      </c>
      <c r="H14601" s="5">
        <v>5350</v>
      </c>
    </row>
    <row r="14602" spans="2:8" x14ac:dyDescent="0.4">
      <c r="B14602" s="3" t="s">
        <v>7</v>
      </c>
      <c r="C14602" s="3" t="s">
        <v>2301</v>
      </c>
      <c r="D14602" s="4">
        <f>DATE(2013,3,14)</f>
        <v>41347</v>
      </c>
      <c r="E14602" s="5">
        <f t="shared" si="241"/>
        <v>2013</v>
      </c>
      <c r="F14602" s="3" t="s">
        <v>2302</v>
      </c>
      <c r="G14602" s="6">
        <v>5513.86</v>
      </c>
      <c r="H14602" s="5">
        <v>5472</v>
      </c>
    </row>
    <row r="14603" spans="2:8" x14ac:dyDescent="0.4">
      <c r="B14603" s="3" t="s">
        <v>7</v>
      </c>
      <c r="C14603" s="3" t="s">
        <v>2301</v>
      </c>
      <c r="D14603" s="4">
        <f>DATE(2013,4,30)</f>
        <v>41394</v>
      </c>
      <c r="E14603" s="5">
        <f t="shared" si="241"/>
        <v>2013</v>
      </c>
      <c r="F14603" s="3" t="s">
        <v>2302</v>
      </c>
      <c r="G14603" s="6">
        <v>179.4</v>
      </c>
      <c r="H14603" s="5">
        <v>5549</v>
      </c>
    </row>
    <row r="14604" spans="2:8" x14ac:dyDescent="0.4">
      <c r="B14604" s="3" t="s">
        <v>7</v>
      </c>
      <c r="C14604" s="3" t="s">
        <v>2301</v>
      </c>
      <c r="D14604" s="4">
        <f>DATE(2013,5,8)</f>
        <v>41402</v>
      </c>
      <c r="E14604" s="5">
        <f t="shared" si="241"/>
        <v>2013</v>
      </c>
      <c r="F14604" s="3" t="s">
        <v>2302</v>
      </c>
      <c r="G14604" s="6">
        <v>119.6</v>
      </c>
      <c r="H14604" s="5">
        <v>5563</v>
      </c>
    </row>
    <row r="14605" spans="2:8" x14ac:dyDescent="0.4">
      <c r="B14605" s="3" t="s">
        <v>7</v>
      </c>
      <c r="C14605" s="3" t="s">
        <v>2301</v>
      </c>
      <c r="D14605" s="4">
        <f>DATE(2013,6,11)</f>
        <v>41436</v>
      </c>
      <c r="E14605" s="5">
        <f t="shared" si="241"/>
        <v>2013</v>
      </c>
      <c r="F14605" s="3" t="s">
        <v>2302</v>
      </c>
      <c r="G14605" s="6">
        <v>149.5</v>
      </c>
      <c r="H14605" s="5">
        <v>5613</v>
      </c>
    </row>
    <row r="14606" spans="2:8" x14ac:dyDescent="0.4">
      <c r="B14606" s="3" t="s">
        <v>7</v>
      </c>
      <c r="C14606" s="3" t="s">
        <v>2301</v>
      </c>
      <c r="D14606" s="4">
        <f>DATE(2013,7,31)</f>
        <v>41486</v>
      </c>
      <c r="E14606" s="5">
        <f t="shared" si="241"/>
        <v>2013</v>
      </c>
      <c r="F14606" s="3" t="s">
        <v>2302</v>
      </c>
      <c r="G14606" s="6">
        <v>164.45</v>
      </c>
      <c r="H14606" s="5">
        <v>5740</v>
      </c>
    </row>
    <row r="14607" spans="2:8" x14ac:dyDescent="0.4">
      <c r="B14607" s="3" t="s">
        <v>7</v>
      </c>
      <c r="C14607" s="3" t="s">
        <v>2301</v>
      </c>
      <c r="D14607" s="4">
        <f>DATE(2013,9,11)</f>
        <v>41528</v>
      </c>
      <c r="E14607" s="5">
        <f t="shared" si="241"/>
        <v>2013</v>
      </c>
      <c r="F14607" s="3" t="s">
        <v>2302</v>
      </c>
      <c r="G14607" s="6">
        <v>209.3</v>
      </c>
      <c r="H14607" s="5">
        <v>5775</v>
      </c>
    </row>
    <row r="14608" spans="2:8" x14ac:dyDescent="0.4">
      <c r="B14608" s="3" t="s">
        <v>7</v>
      </c>
      <c r="C14608" s="3" t="s">
        <v>2301</v>
      </c>
      <c r="D14608" s="4">
        <f>DATE(2013,10,16)</f>
        <v>41563</v>
      </c>
      <c r="E14608" s="5">
        <f t="shared" si="241"/>
        <v>2013</v>
      </c>
      <c r="F14608" s="3" t="s">
        <v>2302</v>
      </c>
      <c r="G14608" s="6">
        <v>194.35</v>
      </c>
      <c r="H14608" s="5">
        <v>5845</v>
      </c>
    </row>
    <row r="14609" spans="2:8" x14ac:dyDescent="0.4">
      <c r="B14609" s="3" t="s">
        <v>7</v>
      </c>
      <c r="C14609" s="3" t="s">
        <v>2301</v>
      </c>
      <c r="D14609" s="4">
        <f>DATE(2014,3,14)</f>
        <v>41712</v>
      </c>
      <c r="E14609" s="5">
        <f t="shared" si="241"/>
        <v>2014</v>
      </c>
      <c r="F14609" s="3" t="s">
        <v>2302</v>
      </c>
      <c r="G14609" s="6">
        <v>388.7</v>
      </c>
      <c r="H14609" s="5">
        <v>6100</v>
      </c>
    </row>
    <row r="14610" spans="2:8" x14ac:dyDescent="0.4">
      <c r="B14610" s="3" t="s">
        <v>7</v>
      </c>
      <c r="C14610" s="3" t="s">
        <v>2301</v>
      </c>
      <c r="D14610" s="4">
        <f>DATE(2014,4,24)</f>
        <v>41753</v>
      </c>
      <c r="E14610" s="5">
        <f t="shared" si="241"/>
        <v>2014</v>
      </c>
      <c r="F14610" s="3" t="s">
        <v>2302</v>
      </c>
      <c r="G14610" s="6">
        <v>299</v>
      </c>
      <c r="H14610" s="5">
        <v>6158</v>
      </c>
    </row>
    <row r="14611" spans="2:8" x14ac:dyDescent="0.4">
      <c r="B14611" s="3" t="s">
        <v>7</v>
      </c>
      <c r="C14611" s="3" t="s">
        <v>2301</v>
      </c>
      <c r="D14611" s="4">
        <f>DATE(2014,5,13)</f>
        <v>41772</v>
      </c>
      <c r="E14611" s="5">
        <f t="shared" si="241"/>
        <v>2014</v>
      </c>
      <c r="F14611" s="3" t="s">
        <v>2302</v>
      </c>
      <c r="G14611" s="6">
        <v>179.4</v>
      </c>
      <c r="H14611" s="5">
        <v>6187</v>
      </c>
    </row>
    <row r="14612" spans="2:8" x14ac:dyDescent="0.4">
      <c r="B14612" s="3" t="s">
        <v>16</v>
      </c>
      <c r="C14612" s="3" t="s">
        <v>2301</v>
      </c>
      <c r="D14612" s="4">
        <f>DATE(2006,9,1)</f>
        <v>38961</v>
      </c>
      <c r="E14612" s="5">
        <f t="shared" si="241"/>
        <v>2006</v>
      </c>
      <c r="F14612" s="3" t="s">
        <v>2302</v>
      </c>
      <c r="G14612" s="6">
        <v>897</v>
      </c>
      <c r="H14612" s="5">
        <v>1895</v>
      </c>
    </row>
    <row r="14613" spans="2:8" x14ac:dyDescent="0.4">
      <c r="B14613" s="3" t="s">
        <v>16</v>
      </c>
      <c r="C14613" s="3" t="s">
        <v>2301</v>
      </c>
      <c r="D14613" s="4">
        <f>DATE(2010,8,31)</f>
        <v>40421</v>
      </c>
      <c r="E14613" s="5">
        <f t="shared" si="241"/>
        <v>2010</v>
      </c>
      <c r="F14613" s="3" t="s">
        <v>2302</v>
      </c>
      <c r="G14613" s="6">
        <v>1189.69</v>
      </c>
      <c r="H14613" s="5">
        <v>4749</v>
      </c>
    </row>
    <row r="14614" spans="2:8" x14ac:dyDescent="0.4">
      <c r="B14614" s="3" t="s">
        <v>7</v>
      </c>
      <c r="C14614" s="3" t="s">
        <v>2301</v>
      </c>
      <c r="D14614" s="4">
        <f>DATE(2012,11,21)</f>
        <v>41234</v>
      </c>
      <c r="E14614" s="5">
        <f t="shared" si="241"/>
        <v>2012</v>
      </c>
      <c r="F14614" s="3" t="s">
        <v>2302</v>
      </c>
      <c r="G14614" s="6">
        <v>62.46</v>
      </c>
      <c r="H14614" s="5">
        <v>17837</v>
      </c>
    </row>
    <row r="14615" spans="2:8" x14ac:dyDescent="0.4">
      <c r="B14615" t="s">
        <v>7</v>
      </c>
      <c r="C14615" t="s">
        <v>2303</v>
      </c>
      <c r="D14615" s="7">
        <f>DATE(2018,3,14)</f>
        <v>43173</v>
      </c>
      <c r="E14615" s="8">
        <f t="shared" si="241"/>
        <v>2018</v>
      </c>
      <c r="F14615" t="s">
        <v>2304</v>
      </c>
      <c r="G14615" s="9">
        <v>27523.71</v>
      </c>
      <c r="H14615" s="8">
        <v>26397</v>
      </c>
    </row>
    <row r="14616" spans="2:8" x14ac:dyDescent="0.4">
      <c r="B14616" t="s">
        <v>7</v>
      </c>
      <c r="C14616" t="s">
        <v>2303</v>
      </c>
      <c r="D14616" s="7">
        <f>DATE(2015,8,26)</f>
        <v>42242</v>
      </c>
      <c r="E14616" s="8">
        <f t="shared" si="241"/>
        <v>2015</v>
      </c>
      <c r="F14616" t="s">
        <v>2304</v>
      </c>
      <c r="G14616" s="9">
        <v>5306</v>
      </c>
      <c r="H14616" s="8">
        <v>21107</v>
      </c>
    </row>
    <row r="14617" spans="2:8" x14ac:dyDescent="0.4">
      <c r="B14617" t="s">
        <v>7</v>
      </c>
      <c r="C14617" t="s">
        <v>2303</v>
      </c>
      <c r="D14617" s="7">
        <f>DATE(2014,7,29)</f>
        <v>41849</v>
      </c>
      <c r="E14617" s="8">
        <f t="shared" si="241"/>
        <v>2014</v>
      </c>
      <c r="F14617" t="s">
        <v>2304</v>
      </c>
      <c r="G14617" s="9">
        <v>15182.9</v>
      </c>
      <c r="H14617" s="8">
        <v>13336</v>
      </c>
    </row>
    <row r="14618" spans="2:8" x14ac:dyDescent="0.4">
      <c r="B14618" t="s">
        <v>7</v>
      </c>
      <c r="C14618" t="s">
        <v>2303</v>
      </c>
      <c r="D14618" s="7">
        <f>DATE(2013,5,16)</f>
        <v>41410</v>
      </c>
      <c r="E14618" s="8">
        <f t="shared" si="241"/>
        <v>2013</v>
      </c>
      <c r="F14618" t="s">
        <v>2304</v>
      </c>
      <c r="G14618" s="9">
        <v>21255</v>
      </c>
      <c r="H14618" s="8">
        <v>12446</v>
      </c>
    </row>
    <row r="14619" spans="2:8" x14ac:dyDescent="0.4">
      <c r="B14619" t="s">
        <v>7</v>
      </c>
      <c r="C14619" t="s">
        <v>2303</v>
      </c>
      <c r="D14619" s="7">
        <f>DATE(2014,7,29)</f>
        <v>41849</v>
      </c>
      <c r="E14619" s="8">
        <f t="shared" si="241"/>
        <v>2014</v>
      </c>
      <c r="F14619" t="s">
        <v>2304</v>
      </c>
      <c r="G14619" s="9">
        <v>30438.09</v>
      </c>
      <c r="H14619" s="8">
        <v>13335</v>
      </c>
    </row>
    <row r="14620" spans="2:8" x14ac:dyDescent="0.4">
      <c r="B14620" t="s">
        <v>7</v>
      </c>
      <c r="C14620" t="s">
        <v>2303</v>
      </c>
      <c r="D14620" s="7">
        <f>DATE(2014,7,15)</f>
        <v>41835</v>
      </c>
      <c r="E14620" s="8">
        <f t="shared" si="241"/>
        <v>2014</v>
      </c>
      <c r="F14620" t="s">
        <v>2304</v>
      </c>
      <c r="G14620" s="9">
        <v>8609.92</v>
      </c>
      <c r="H14620" s="8">
        <v>13315</v>
      </c>
    </row>
    <row r="14621" spans="2:8" x14ac:dyDescent="0.4">
      <c r="B14621" t="s">
        <v>7</v>
      </c>
      <c r="C14621" t="s">
        <v>2303</v>
      </c>
      <c r="D14621" s="7">
        <f>DATE(2014,11,5)</f>
        <v>41948</v>
      </c>
      <c r="E14621" s="8">
        <f t="shared" si="241"/>
        <v>2014</v>
      </c>
      <c r="F14621" t="s">
        <v>2304</v>
      </c>
      <c r="G14621" s="9">
        <v>7065.65</v>
      </c>
      <c r="H14621" s="8">
        <v>13559</v>
      </c>
    </row>
    <row r="14622" spans="2:8" x14ac:dyDescent="0.4">
      <c r="B14622" s="3" t="s">
        <v>7</v>
      </c>
      <c r="C14622" s="3" t="s">
        <v>2303</v>
      </c>
      <c r="D14622" s="4">
        <f>DATE(2014,7,28)</f>
        <v>41848</v>
      </c>
      <c r="E14622" s="5">
        <f t="shared" si="241"/>
        <v>2014</v>
      </c>
      <c r="F14622" s="3" t="s">
        <v>2304</v>
      </c>
      <c r="G14622" s="6">
        <v>2924.2</v>
      </c>
      <c r="H14622" s="5">
        <v>20195</v>
      </c>
    </row>
    <row r="14623" spans="2:8" x14ac:dyDescent="0.4">
      <c r="B14623" s="3" t="s">
        <v>7</v>
      </c>
      <c r="C14623" s="3" t="s">
        <v>2303</v>
      </c>
      <c r="D14623" s="4">
        <f>DATE(2014,7,29)</f>
        <v>41849</v>
      </c>
      <c r="E14623" s="5">
        <f t="shared" si="241"/>
        <v>2014</v>
      </c>
      <c r="F14623" s="3" t="s">
        <v>2304</v>
      </c>
      <c r="G14623" s="6">
        <v>2766</v>
      </c>
      <c r="H14623" s="5">
        <v>20213</v>
      </c>
    </row>
    <row r="14624" spans="2:8" x14ac:dyDescent="0.4">
      <c r="B14624" t="s">
        <v>7</v>
      </c>
      <c r="C14624" t="s">
        <v>2305</v>
      </c>
      <c r="D14624" s="7">
        <f>DATE(2015,6,10)</f>
        <v>42165</v>
      </c>
      <c r="E14624" s="8">
        <f t="shared" si="241"/>
        <v>2015</v>
      </c>
      <c r="F14624" t="s">
        <v>2306</v>
      </c>
      <c r="G14624" s="9">
        <v>469</v>
      </c>
      <c r="H14624" s="8">
        <v>20714</v>
      </c>
    </row>
    <row r="14625" spans="2:8" x14ac:dyDescent="0.4">
      <c r="B14625" t="s">
        <v>7</v>
      </c>
      <c r="C14625" t="s">
        <v>2305</v>
      </c>
      <c r="D14625" s="7">
        <f>DATE(2016,3,23)</f>
        <v>42452</v>
      </c>
      <c r="E14625" s="8">
        <f t="shared" si="241"/>
        <v>2016</v>
      </c>
      <c r="F14625" t="s">
        <v>2306</v>
      </c>
      <c r="G14625" s="9">
        <v>153.80000000000001</v>
      </c>
      <c r="H14625" s="8">
        <v>22454</v>
      </c>
    </row>
    <row r="14626" spans="2:8" x14ac:dyDescent="0.4">
      <c r="B14626" t="s">
        <v>7</v>
      </c>
      <c r="C14626" t="s">
        <v>2305</v>
      </c>
      <c r="D14626" s="7">
        <f>DATE(2016,3,23)</f>
        <v>42452</v>
      </c>
      <c r="E14626" s="8">
        <f t="shared" si="241"/>
        <v>2016</v>
      </c>
      <c r="F14626" t="s">
        <v>2306</v>
      </c>
      <c r="G14626" s="9">
        <v>155.4</v>
      </c>
      <c r="H14626" s="8">
        <v>22491</v>
      </c>
    </row>
    <row r="14627" spans="2:8" x14ac:dyDescent="0.4">
      <c r="B14627" s="3" t="s">
        <v>7</v>
      </c>
      <c r="C14627" s="3" t="s">
        <v>2305</v>
      </c>
      <c r="D14627" s="4">
        <f>DATE(2007,7,30)</f>
        <v>39293</v>
      </c>
      <c r="E14627" s="5">
        <f t="shared" si="241"/>
        <v>2007</v>
      </c>
      <c r="F14627" s="3" t="s">
        <v>2306</v>
      </c>
      <c r="G14627" s="6">
        <v>281.75</v>
      </c>
      <c r="H14627" s="5">
        <v>8957</v>
      </c>
    </row>
    <row r="14628" spans="2:8" x14ac:dyDescent="0.4">
      <c r="B14628" s="3" t="s">
        <v>7</v>
      </c>
      <c r="C14628" s="3" t="s">
        <v>2305</v>
      </c>
      <c r="D14628" s="4">
        <f>DATE(2013,11,7)</f>
        <v>41585</v>
      </c>
      <c r="E14628" s="5">
        <f t="shared" si="241"/>
        <v>2013</v>
      </c>
      <c r="F14628" s="3" t="s">
        <v>2306</v>
      </c>
      <c r="G14628" s="6">
        <v>164.5</v>
      </c>
      <c r="H14628" s="5">
        <v>19197</v>
      </c>
    </row>
    <row r="14629" spans="2:8" x14ac:dyDescent="0.4">
      <c r="B14629" s="3" t="s">
        <v>7</v>
      </c>
      <c r="C14629" s="3" t="s">
        <v>2305</v>
      </c>
      <c r="D14629" s="4">
        <f>DATE(2013,11,21)</f>
        <v>41599</v>
      </c>
      <c r="E14629" s="5">
        <f t="shared" si="241"/>
        <v>2013</v>
      </c>
      <c r="F14629" s="3" t="s">
        <v>2306</v>
      </c>
      <c r="G14629" s="6">
        <v>120.25</v>
      </c>
      <c r="H14629" s="5">
        <v>19238</v>
      </c>
    </row>
    <row r="14630" spans="2:8" x14ac:dyDescent="0.4">
      <c r="B14630" t="s">
        <v>7</v>
      </c>
      <c r="C14630" t="s">
        <v>2307</v>
      </c>
      <c r="D14630" s="7">
        <f>DATE(2003,10,19)</f>
        <v>37913</v>
      </c>
      <c r="E14630" s="8">
        <f t="shared" si="241"/>
        <v>2003</v>
      </c>
      <c r="F14630" t="s">
        <v>2308</v>
      </c>
      <c r="G14630" s="9">
        <v>8894.86</v>
      </c>
      <c r="H14630" s="8">
        <v>829</v>
      </c>
    </row>
    <row r="14631" spans="2:8" x14ac:dyDescent="0.4">
      <c r="B14631" t="s">
        <v>7</v>
      </c>
      <c r="C14631" t="s">
        <v>2307</v>
      </c>
      <c r="D14631" s="7">
        <f>DATE(2007,5,2)</f>
        <v>39204</v>
      </c>
      <c r="E14631" s="8">
        <f t="shared" si="241"/>
        <v>2007</v>
      </c>
      <c r="F14631" t="s">
        <v>2308</v>
      </c>
      <c r="G14631" s="9">
        <v>9265</v>
      </c>
      <c r="H14631" s="8">
        <v>5816</v>
      </c>
    </row>
    <row r="14632" spans="2:8" x14ac:dyDescent="0.4">
      <c r="B14632" t="s">
        <v>7</v>
      </c>
      <c r="C14632" t="s">
        <v>2307</v>
      </c>
      <c r="D14632" s="7">
        <f>DATE(2007,5,22)</f>
        <v>39224</v>
      </c>
      <c r="E14632" s="8">
        <f t="shared" si="241"/>
        <v>2007</v>
      </c>
      <c r="F14632" t="s">
        <v>2308</v>
      </c>
      <c r="G14632" s="9">
        <v>9265</v>
      </c>
      <c r="H14632" s="8">
        <v>5824</v>
      </c>
    </row>
    <row r="14633" spans="2:8" x14ac:dyDescent="0.4">
      <c r="B14633" t="s">
        <v>7</v>
      </c>
      <c r="C14633" t="s">
        <v>2307</v>
      </c>
      <c r="D14633" s="7">
        <f>DATE(2009,5,7)</f>
        <v>39940</v>
      </c>
      <c r="E14633" s="8">
        <f t="shared" si="241"/>
        <v>2009</v>
      </c>
      <c r="F14633" t="s">
        <v>2308</v>
      </c>
      <c r="G14633" s="9">
        <v>8868</v>
      </c>
      <c r="H14633" s="8">
        <v>8691</v>
      </c>
    </row>
    <row r="14634" spans="2:8" x14ac:dyDescent="0.4">
      <c r="B14634" t="s">
        <v>7</v>
      </c>
      <c r="C14634" t="s">
        <v>2307</v>
      </c>
      <c r="D14634" s="7">
        <f>DATE(2009,5,6)</f>
        <v>39939</v>
      </c>
      <c r="E14634" s="8">
        <f t="shared" si="241"/>
        <v>2009</v>
      </c>
      <c r="F14634" t="s">
        <v>2308</v>
      </c>
      <c r="G14634" s="9">
        <v>5065</v>
      </c>
      <c r="H14634" s="8">
        <v>8688</v>
      </c>
    </row>
    <row r="14635" spans="2:8" x14ac:dyDescent="0.4">
      <c r="B14635" s="3" t="s">
        <v>7</v>
      </c>
      <c r="C14635" s="3" t="s">
        <v>2307</v>
      </c>
      <c r="D14635" s="4">
        <f>DATE(2009,5,14)</f>
        <v>39947</v>
      </c>
      <c r="E14635" s="5">
        <f t="shared" si="241"/>
        <v>2009</v>
      </c>
      <c r="F14635" s="3" t="s">
        <v>2308</v>
      </c>
      <c r="G14635" s="6">
        <v>2170</v>
      </c>
      <c r="H14635" s="5">
        <v>12484</v>
      </c>
    </row>
    <row r="14636" spans="2:8" x14ac:dyDescent="0.4">
      <c r="B14636" t="s">
        <v>7</v>
      </c>
      <c r="C14636" t="s">
        <v>2309</v>
      </c>
      <c r="D14636" s="7">
        <f>DATE(2015,3,13)</f>
        <v>42076</v>
      </c>
      <c r="E14636" s="8">
        <f t="shared" si="241"/>
        <v>2015</v>
      </c>
      <c r="F14636" t="s">
        <v>2310</v>
      </c>
      <c r="G14636" s="9">
        <v>6940.98</v>
      </c>
      <c r="H14636" s="8">
        <v>20139</v>
      </c>
    </row>
    <row r="14637" spans="2:8" x14ac:dyDescent="0.4">
      <c r="B14637" t="s">
        <v>7</v>
      </c>
      <c r="C14637" t="s">
        <v>2309</v>
      </c>
      <c r="D14637" s="7">
        <f>DATE(2015,4,6)</f>
        <v>42100</v>
      </c>
      <c r="E14637" s="8">
        <f t="shared" si="241"/>
        <v>2015</v>
      </c>
      <c r="F14637" t="s">
        <v>2310</v>
      </c>
      <c r="G14637" s="9">
        <v>11518.67</v>
      </c>
      <c r="H14637" s="8">
        <v>20257</v>
      </c>
    </row>
    <row r="14638" spans="2:8" x14ac:dyDescent="0.4">
      <c r="B14638" t="s">
        <v>7</v>
      </c>
      <c r="C14638" t="s">
        <v>2309</v>
      </c>
      <c r="D14638" s="7">
        <f>DATE(2005,11,3)</f>
        <v>38659</v>
      </c>
      <c r="E14638" s="8">
        <f t="shared" si="241"/>
        <v>2005</v>
      </c>
      <c r="F14638" t="s">
        <v>2310</v>
      </c>
      <c r="G14638" s="9">
        <v>20515</v>
      </c>
      <c r="H14638" s="8">
        <v>3682</v>
      </c>
    </row>
    <row r="14639" spans="2:8" x14ac:dyDescent="0.4">
      <c r="B14639" t="s">
        <v>7</v>
      </c>
      <c r="C14639" t="s">
        <v>2309</v>
      </c>
      <c r="D14639" s="7">
        <f>DATE(2006,3,19)</f>
        <v>38795</v>
      </c>
      <c r="E14639" s="8">
        <f t="shared" si="241"/>
        <v>2006</v>
      </c>
      <c r="F14639" t="s">
        <v>2310</v>
      </c>
      <c r="G14639" s="9">
        <v>12861</v>
      </c>
      <c r="H14639" s="8">
        <v>4343</v>
      </c>
    </row>
    <row r="14640" spans="2:8" x14ac:dyDescent="0.4">
      <c r="B14640" t="s">
        <v>7</v>
      </c>
      <c r="C14640" t="s">
        <v>2309</v>
      </c>
      <c r="D14640" s="7">
        <f>DATE(2006,12,10)</f>
        <v>39061</v>
      </c>
      <c r="E14640" s="8">
        <f t="shared" si="241"/>
        <v>2006</v>
      </c>
      <c r="F14640" t="s">
        <v>2310</v>
      </c>
      <c r="G14640" s="9">
        <v>17565.419999999998</v>
      </c>
      <c r="H14640" s="8">
        <v>5139</v>
      </c>
    </row>
    <row r="14641" spans="2:8" x14ac:dyDescent="0.4">
      <c r="B14641" t="s">
        <v>7</v>
      </c>
      <c r="C14641" t="s">
        <v>2309</v>
      </c>
      <c r="D14641" s="7">
        <f>DATE(2007,3,9)</f>
        <v>39150</v>
      </c>
      <c r="E14641" s="8">
        <f t="shared" si="241"/>
        <v>2007</v>
      </c>
      <c r="F14641" t="s">
        <v>2310</v>
      </c>
      <c r="G14641" s="9">
        <v>68058.820000000007</v>
      </c>
      <c r="H14641" s="8">
        <v>5656</v>
      </c>
    </row>
    <row r="14642" spans="2:8" x14ac:dyDescent="0.4">
      <c r="B14642" t="s">
        <v>7</v>
      </c>
      <c r="C14642" t="s">
        <v>2309</v>
      </c>
      <c r="D14642" s="7">
        <f>DATE(2008,8,10)</f>
        <v>39670</v>
      </c>
      <c r="E14642" s="8">
        <f t="shared" si="241"/>
        <v>2008</v>
      </c>
      <c r="F14642" t="s">
        <v>2310</v>
      </c>
      <c r="G14642" s="9">
        <v>24625.43</v>
      </c>
      <c r="H14642" s="8">
        <v>7684</v>
      </c>
    </row>
    <row r="14643" spans="2:8" x14ac:dyDescent="0.4">
      <c r="B14643" t="s">
        <v>7</v>
      </c>
      <c r="C14643" t="s">
        <v>2309</v>
      </c>
      <c r="D14643" s="7">
        <f>DATE(2009,3,4)</f>
        <v>39876</v>
      </c>
      <c r="E14643" s="8">
        <f t="shared" si="241"/>
        <v>2009</v>
      </c>
      <c r="F14643" t="s">
        <v>2310</v>
      </c>
      <c r="G14643" s="9">
        <v>29814.05</v>
      </c>
      <c r="H14643" s="8">
        <v>8403</v>
      </c>
    </row>
    <row r="14644" spans="2:8" x14ac:dyDescent="0.4">
      <c r="B14644" t="s">
        <v>7</v>
      </c>
      <c r="C14644" t="s">
        <v>2309</v>
      </c>
      <c r="D14644" s="7">
        <f>DATE(2014,5,1)</f>
        <v>41760</v>
      </c>
      <c r="E14644" s="8">
        <f t="shared" si="241"/>
        <v>2014</v>
      </c>
      <c r="F14644" t="s">
        <v>2310</v>
      </c>
      <c r="G14644" s="9">
        <v>21397.14</v>
      </c>
      <c r="H14644" s="8">
        <v>12978</v>
      </c>
    </row>
    <row r="14645" spans="2:8" x14ac:dyDescent="0.4">
      <c r="B14645" t="s">
        <v>16</v>
      </c>
      <c r="C14645" t="s">
        <v>2309</v>
      </c>
      <c r="D14645" s="7">
        <f>DATE(2005,11,3)</f>
        <v>38659</v>
      </c>
      <c r="E14645" s="8">
        <f t="shared" si="241"/>
        <v>2005</v>
      </c>
      <c r="F14645" t="s">
        <v>2310</v>
      </c>
      <c r="G14645" s="9">
        <v>10000</v>
      </c>
      <c r="H14645" s="8">
        <v>3816</v>
      </c>
    </row>
    <row r="14646" spans="2:8" x14ac:dyDescent="0.4">
      <c r="B14646" t="s">
        <v>16</v>
      </c>
      <c r="C14646" t="s">
        <v>2309</v>
      </c>
      <c r="D14646" s="7">
        <f>DATE(2006,3,19)</f>
        <v>38795</v>
      </c>
      <c r="E14646" s="8">
        <f t="shared" si="241"/>
        <v>2006</v>
      </c>
      <c r="F14646" t="s">
        <v>2310</v>
      </c>
      <c r="G14646" s="9">
        <v>3230</v>
      </c>
      <c r="H14646" s="8">
        <v>4560</v>
      </c>
    </row>
    <row r="14647" spans="2:8" x14ac:dyDescent="0.4">
      <c r="B14647" t="s">
        <v>16</v>
      </c>
      <c r="C14647" t="s">
        <v>2309</v>
      </c>
      <c r="D14647" s="7">
        <f>DATE(2009,4,21)</f>
        <v>39924</v>
      </c>
      <c r="E14647" s="8">
        <f t="shared" si="241"/>
        <v>2009</v>
      </c>
      <c r="F14647" t="s">
        <v>2310</v>
      </c>
      <c r="G14647" s="9">
        <v>10287.82</v>
      </c>
      <c r="H14647" s="8">
        <v>8659</v>
      </c>
    </row>
    <row r="14648" spans="2:8" x14ac:dyDescent="0.4">
      <c r="B14648" s="3" t="s">
        <v>7</v>
      </c>
      <c r="C14648" s="3" t="s">
        <v>2309</v>
      </c>
      <c r="D14648" s="4">
        <f>DATE(2006,3,14)</f>
        <v>38790</v>
      </c>
      <c r="E14648" s="5">
        <f t="shared" si="241"/>
        <v>2006</v>
      </c>
      <c r="F14648" s="3" t="s">
        <v>2310</v>
      </c>
      <c r="G14648" s="6">
        <v>4861.3100000000004</v>
      </c>
      <c r="H14648" s="5">
        <v>6273</v>
      </c>
    </row>
    <row r="14649" spans="2:8" x14ac:dyDescent="0.4">
      <c r="B14649" s="3" t="s">
        <v>7</v>
      </c>
      <c r="C14649" s="3" t="s">
        <v>2309</v>
      </c>
      <c r="D14649" s="4">
        <f>DATE(2006,3,21)</f>
        <v>38797</v>
      </c>
      <c r="E14649" s="5">
        <f t="shared" si="241"/>
        <v>2006</v>
      </c>
      <c r="F14649" s="3" t="s">
        <v>2310</v>
      </c>
      <c r="G14649" s="6">
        <v>146.29</v>
      </c>
      <c r="H14649" s="5">
        <v>6360</v>
      </c>
    </row>
    <row r="14650" spans="2:8" x14ac:dyDescent="0.4">
      <c r="B14650" s="3" t="s">
        <v>7</v>
      </c>
      <c r="C14650" s="3" t="s">
        <v>2309</v>
      </c>
      <c r="D14650" s="4">
        <f>DATE(2006,5,18)</f>
        <v>38855</v>
      </c>
      <c r="E14650" s="5">
        <f t="shared" si="241"/>
        <v>2006</v>
      </c>
      <c r="F14650" s="3" t="s">
        <v>2310</v>
      </c>
      <c r="G14650" s="6">
        <v>4596.32</v>
      </c>
      <c r="H14650" s="5">
        <v>6708</v>
      </c>
    </row>
    <row r="14651" spans="2:8" x14ac:dyDescent="0.4">
      <c r="B14651" s="3" t="s">
        <v>7</v>
      </c>
      <c r="C14651" s="3" t="s">
        <v>2309</v>
      </c>
      <c r="D14651" s="4">
        <f>DATE(2006,5,24)</f>
        <v>38861</v>
      </c>
      <c r="E14651" s="5">
        <f t="shared" si="241"/>
        <v>2006</v>
      </c>
      <c r="F14651" s="3" t="s">
        <v>2310</v>
      </c>
      <c r="G14651" s="6">
        <v>4596.9399999999996</v>
      </c>
      <c r="H14651" s="5">
        <v>6760</v>
      </c>
    </row>
    <row r="14652" spans="2:8" x14ac:dyDescent="0.4">
      <c r="B14652" s="3" t="s">
        <v>7</v>
      </c>
      <c r="C14652" s="3" t="s">
        <v>2309</v>
      </c>
      <c r="D14652" s="4">
        <f>DATE(2006,5,26)</f>
        <v>38863</v>
      </c>
      <c r="E14652" s="5">
        <f t="shared" si="241"/>
        <v>2006</v>
      </c>
      <c r="F14652" s="3" t="s">
        <v>2310</v>
      </c>
      <c r="G14652" s="6">
        <v>1995</v>
      </c>
      <c r="H14652" s="5">
        <v>6779</v>
      </c>
    </row>
    <row r="14653" spans="2:8" x14ac:dyDescent="0.4">
      <c r="B14653" s="3" t="s">
        <v>7</v>
      </c>
      <c r="C14653" s="3" t="s">
        <v>2309</v>
      </c>
      <c r="D14653" s="4">
        <f>DATE(2006,6,15)</f>
        <v>38883</v>
      </c>
      <c r="E14653" s="5">
        <f t="shared" si="241"/>
        <v>2006</v>
      </c>
      <c r="F14653" s="3" t="s">
        <v>2310</v>
      </c>
      <c r="G14653" s="6">
        <v>2209.25</v>
      </c>
      <c r="H14653" s="5">
        <v>6846</v>
      </c>
    </row>
    <row r="14654" spans="2:8" x14ac:dyDescent="0.4">
      <c r="B14654" s="3" t="s">
        <v>7</v>
      </c>
      <c r="C14654" s="3" t="s">
        <v>2309</v>
      </c>
      <c r="D14654" s="4">
        <f>DATE(2006,11,20)</f>
        <v>39041</v>
      </c>
      <c r="E14654" s="5">
        <f t="shared" si="241"/>
        <v>2006</v>
      </c>
      <c r="F14654" s="3" t="s">
        <v>2310</v>
      </c>
      <c r="G14654" s="6">
        <v>9187.7199999999993</v>
      </c>
      <c r="H14654" s="5">
        <v>7560</v>
      </c>
    </row>
    <row r="14655" spans="2:8" x14ac:dyDescent="0.4">
      <c r="B14655" s="3" t="s">
        <v>7</v>
      </c>
      <c r="C14655" s="3" t="s">
        <v>2309</v>
      </c>
      <c r="D14655" s="4">
        <f>DATE(2006,12,1)</f>
        <v>39052</v>
      </c>
      <c r="E14655" s="5">
        <f t="shared" si="241"/>
        <v>2006</v>
      </c>
      <c r="F14655" s="3" t="s">
        <v>2310</v>
      </c>
      <c r="G14655" s="6">
        <v>203.75</v>
      </c>
      <c r="H14655" s="5">
        <v>7594</v>
      </c>
    </row>
    <row r="14656" spans="2:8" x14ac:dyDescent="0.4">
      <c r="B14656" s="3" t="s">
        <v>7</v>
      </c>
      <c r="C14656" s="3" t="s">
        <v>2309</v>
      </c>
      <c r="D14656" s="4">
        <f>DATE(2007,4,10)</f>
        <v>39182</v>
      </c>
      <c r="E14656" s="5">
        <f t="shared" si="241"/>
        <v>2007</v>
      </c>
      <c r="F14656" s="3" t="s">
        <v>2310</v>
      </c>
      <c r="G14656" s="6">
        <v>96.66</v>
      </c>
      <c r="H14656" s="5">
        <v>8354</v>
      </c>
    </row>
    <row r="14657" spans="2:8" x14ac:dyDescent="0.4">
      <c r="B14657" s="3" t="s">
        <v>7</v>
      </c>
      <c r="C14657" s="3" t="s">
        <v>2309</v>
      </c>
      <c r="D14657" s="4">
        <f>DATE(2007,4,25)</f>
        <v>39197</v>
      </c>
      <c r="E14657" s="5">
        <f t="shared" si="241"/>
        <v>2007</v>
      </c>
      <c r="F14657" s="3" t="s">
        <v>2310</v>
      </c>
      <c r="G14657" s="6">
        <v>3826.85</v>
      </c>
      <c r="H14657" s="5">
        <v>8426</v>
      </c>
    </row>
    <row r="14658" spans="2:8" x14ac:dyDescent="0.4">
      <c r="B14658" s="3" t="s">
        <v>7</v>
      </c>
      <c r="C14658" s="3" t="s">
        <v>2309</v>
      </c>
      <c r="D14658" s="4">
        <f>DATE(2007,10,19)</f>
        <v>39374</v>
      </c>
      <c r="E14658" s="5">
        <f t="shared" si="241"/>
        <v>2007</v>
      </c>
      <c r="F14658" s="3" t="s">
        <v>2310</v>
      </c>
      <c r="G14658" s="6">
        <v>4598.82</v>
      </c>
      <c r="H14658" s="5">
        <v>9363</v>
      </c>
    </row>
    <row r="14659" spans="2:8" x14ac:dyDescent="0.4">
      <c r="B14659" s="3" t="s">
        <v>7</v>
      </c>
      <c r="C14659" s="3" t="s">
        <v>2309</v>
      </c>
      <c r="D14659" s="4">
        <f>DATE(2008,3,3)</f>
        <v>39510</v>
      </c>
      <c r="E14659" s="5">
        <f t="shared" ref="E14659:E14722" si="242">YEAR(D14659)</f>
        <v>2008</v>
      </c>
      <c r="F14659" s="3" t="s">
        <v>2310</v>
      </c>
      <c r="G14659" s="6">
        <v>2303</v>
      </c>
      <c r="H14659" s="5">
        <v>10078</v>
      </c>
    </row>
    <row r="14660" spans="2:8" x14ac:dyDescent="0.4">
      <c r="B14660" s="3" t="s">
        <v>7</v>
      </c>
      <c r="C14660" s="3" t="s">
        <v>2309</v>
      </c>
      <c r="D14660" s="4">
        <f>DATE(2008,3,26)</f>
        <v>39533</v>
      </c>
      <c r="E14660" s="5">
        <f t="shared" si="242"/>
        <v>2008</v>
      </c>
      <c r="F14660" s="3" t="s">
        <v>2310</v>
      </c>
      <c r="G14660" s="6">
        <v>451.03</v>
      </c>
      <c r="H14660" s="5">
        <v>10314</v>
      </c>
    </row>
    <row r="14661" spans="2:8" x14ac:dyDescent="0.4">
      <c r="B14661" s="3" t="s">
        <v>7</v>
      </c>
      <c r="C14661" s="3" t="s">
        <v>2309</v>
      </c>
      <c r="D14661" s="4">
        <f>DATE(2008,4,28)</f>
        <v>39566</v>
      </c>
      <c r="E14661" s="5">
        <f t="shared" si="242"/>
        <v>2008</v>
      </c>
      <c r="F14661" s="3" t="s">
        <v>2310</v>
      </c>
      <c r="G14661" s="6">
        <v>2527</v>
      </c>
      <c r="H14661" s="5">
        <v>10510</v>
      </c>
    </row>
    <row r="14662" spans="2:8" x14ac:dyDescent="0.4">
      <c r="B14662" s="3" t="s">
        <v>7</v>
      </c>
      <c r="C14662" s="3" t="s">
        <v>2309</v>
      </c>
      <c r="D14662" s="4">
        <f>DATE(2008,8,12)</f>
        <v>39672</v>
      </c>
      <c r="E14662" s="5">
        <f t="shared" si="242"/>
        <v>2008</v>
      </c>
      <c r="F14662" s="3" t="s">
        <v>2310</v>
      </c>
      <c r="G14662" s="6">
        <v>699</v>
      </c>
      <c r="H14662" s="5">
        <v>11105</v>
      </c>
    </row>
    <row r="14663" spans="2:8" x14ac:dyDescent="0.4">
      <c r="B14663" s="3" t="s">
        <v>7</v>
      </c>
      <c r="C14663" s="3" t="s">
        <v>2309</v>
      </c>
      <c r="D14663" s="4">
        <f>DATE(2009,4,9)</f>
        <v>39912</v>
      </c>
      <c r="E14663" s="5">
        <f t="shared" si="242"/>
        <v>2009</v>
      </c>
      <c r="F14663" s="3" t="s">
        <v>2310</v>
      </c>
      <c r="G14663" s="6">
        <v>2303</v>
      </c>
      <c r="H14663" s="5">
        <v>12310</v>
      </c>
    </row>
    <row r="14664" spans="2:8" x14ac:dyDescent="0.4">
      <c r="B14664" s="3" t="s">
        <v>7</v>
      </c>
      <c r="C14664" s="3" t="s">
        <v>2309</v>
      </c>
      <c r="D14664" s="4">
        <f>DATE(2009,9,1)</f>
        <v>40057</v>
      </c>
      <c r="E14664" s="5">
        <f t="shared" si="242"/>
        <v>2009</v>
      </c>
      <c r="F14664" s="3" t="s">
        <v>2310</v>
      </c>
      <c r="G14664" s="6">
        <v>1520</v>
      </c>
      <c r="H14664" s="5">
        <v>12960</v>
      </c>
    </row>
    <row r="14665" spans="2:8" x14ac:dyDescent="0.4">
      <c r="B14665" s="3" t="s">
        <v>7</v>
      </c>
      <c r="C14665" s="3" t="s">
        <v>2309</v>
      </c>
      <c r="D14665" s="4">
        <f>DATE(2009,10,7)</f>
        <v>40093</v>
      </c>
      <c r="E14665" s="5">
        <f t="shared" si="242"/>
        <v>2009</v>
      </c>
      <c r="F14665" s="3" t="s">
        <v>2310</v>
      </c>
      <c r="G14665" s="6">
        <v>7600.67</v>
      </c>
      <c r="H14665" s="5">
        <v>13077</v>
      </c>
    </row>
    <row r="14666" spans="2:8" x14ac:dyDescent="0.4">
      <c r="B14666" s="3" t="s">
        <v>7</v>
      </c>
      <c r="C14666" s="3" t="s">
        <v>2309</v>
      </c>
      <c r="D14666" s="4">
        <f>DATE(2010,4,23)</f>
        <v>40291</v>
      </c>
      <c r="E14666" s="5">
        <f t="shared" si="242"/>
        <v>2010</v>
      </c>
      <c r="F14666" s="3" t="s">
        <v>2310</v>
      </c>
      <c r="G14666" s="6">
        <v>4605.3999999999996</v>
      </c>
      <c r="H14666" s="5">
        <v>13949</v>
      </c>
    </row>
    <row r="14667" spans="2:8" x14ac:dyDescent="0.4">
      <c r="B14667" s="3" t="s">
        <v>7</v>
      </c>
      <c r="C14667" s="3" t="s">
        <v>2309</v>
      </c>
      <c r="D14667" s="4">
        <f>DATE(2010,9,16)</f>
        <v>40437</v>
      </c>
      <c r="E14667" s="5">
        <f t="shared" si="242"/>
        <v>2010</v>
      </c>
      <c r="F14667" s="3" t="s">
        <v>2310</v>
      </c>
      <c r="G14667" s="6">
        <v>4137.49</v>
      </c>
      <c r="H14667" s="5">
        <v>14518</v>
      </c>
    </row>
    <row r="14668" spans="2:8" x14ac:dyDescent="0.4">
      <c r="B14668" s="3" t="s">
        <v>7</v>
      </c>
      <c r="C14668" s="3" t="s">
        <v>2309</v>
      </c>
      <c r="D14668" s="4">
        <f>DATE(2011,5,12)</f>
        <v>40675</v>
      </c>
      <c r="E14668" s="5">
        <f t="shared" si="242"/>
        <v>2011</v>
      </c>
      <c r="F14668" s="3" t="s">
        <v>2310</v>
      </c>
      <c r="G14668" s="6">
        <v>367.1</v>
      </c>
      <c r="H14668" s="5">
        <v>15573</v>
      </c>
    </row>
    <row r="14669" spans="2:8" x14ac:dyDescent="0.4">
      <c r="B14669" s="3" t="s">
        <v>7</v>
      </c>
      <c r="C14669" s="3" t="s">
        <v>2309</v>
      </c>
      <c r="D14669" s="4">
        <f>DATE(2011,5,17)</f>
        <v>40680</v>
      </c>
      <c r="E14669" s="5">
        <f t="shared" si="242"/>
        <v>2011</v>
      </c>
      <c r="F14669" s="3" t="s">
        <v>2310</v>
      </c>
      <c r="G14669" s="6">
        <v>1156</v>
      </c>
      <c r="H14669" s="5">
        <v>15587</v>
      </c>
    </row>
    <row r="14670" spans="2:8" x14ac:dyDescent="0.4">
      <c r="B14670" s="3" t="s">
        <v>7</v>
      </c>
      <c r="C14670" s="3" t="s">
        <v>2309</v>
      </c>
      <c r="D14670" s="4">
        <f>DATE(2011,11,14)</f>
        <v>40861</v>
      </c>
      <c r="E14670" s="5">
        <f t="shared" si="242"/>
        <v>2011</v>
      </c>
      <c r="F14670" s="3" t="s">
        <v>2310</v>
      </c>
      <c r="G14670" s="6">
        <v>6927.67</v>
      </c>
      <c r="H14670" s="5">
        <v>16200</v>
      </c>
    </row>
    <row r="14671" spans="2:8" x14ac:dyDescent="0.4">
      <c r="B14671" s="3" t="s">
        <v>7</v>
      </c>
      <c r="C14671" s="3" t="s">
        <v>2309</v>
      </c>
      <c r="D14671" s="4">
        <f>DATE(2012,3,19)</f>
        <v>40987</v>
      </c>
      <c r="E14671" s="5">
        <f t="shared" si="242"/>
        <v>2012</v>
      </c>
      <c r="F14671" s="3" t="s">
        <v>2310</v>
      </c>
      <c r="G14671" s="6">
        <v>2303</v>
      </c>
      <c r="H14671" s="5">
        <v>16775</v>
      </c>
    </row>
    <row r="14672" spans="2:8" x14ac:dyDescent="0.4">
      <c r="B14672" s="3" t="s">
        <v>7</v>
      </c>
      <c r="C14672" s="3" t="s">
        <v>2309</v>
      </c>
      <c r="D14672" s="4">
        <f>DATE(2012,8,9)</f>
        <v>41130</v>
      </c>
      <c r="E14672" s="5">
        <f t="shared" si="242"/>
        <v>2012</v>
      </c>
      <c r="F14672" s="3" t="s">
        <v>2310</v>
      </c>
      <c r="G14672" s="6">
        <v>6927.42</v>
      </c>
      <c r="H14672" s="5">
        <v>17439</v>
      </c>
    </row>
    <row r="14673" spans="2:8" x14ac:dyDescent="0.4">
      <c r="B14673" s="3" t="s">
        <v>7</v>
      </c>
      <c r="C14673" s="3" t="s">
        <v>2309</v>
      </c>
      <c r="D14673" s="4">
        <f>DATE(2013,3,1)</f>
        <v>41334</v>
      </c>
      <c r="E14673" s="5">
        <f t="shared" si="242"/>
        <v>2013</v>
      </c>
      <c r="F14673" s="3" t="s">
        <v>2310</v>
      </c>
      <c r="G14673" s="6">
        <v>5792.88</v>
      </c>
      <c r="H14673" s="5">
        <v>18228</v>
      </c>
    </row>
    <row r="14674" spans="2:8" x14ac:dyDescent="0.4">
      <c r="B14674" s="3" t="s">
        <v>7</v>
      </c>
      <c r="C14674" s="3" t="s">
        <v>2309</v>
      </c>
      <c r="D14674" s="4">
        <f>DATE(2013,4,11)</f>
        <v>41375</v>
      </c>
      <c r="E14674" s="5">
        <f t="shared" si="242"/>
        <v>2013</v>
      </c>
      <c r="F14674" s="3" t="s">
        <v>2310</v>
      </c>
      <c r="G14674" s="6">
        <v>4652.88</v>
      </c>
      <c r="H14674" s="5">
        <v>18408</v>
      </c>
    </row>
    <row r="14675" spans="2:8" x14ac:dyDescent="0.4">
      <c r="B14675" s="3" t="s">
        <v>7</v>
      </c>
      <c r="C14675" s="3" t="s">
        <v>2309</v>
      </c>
      <c r="D14675" s="4">
        <f>DATE(2013,7,24)</f>
        <v>41479</v>
      </c>
      <c r="E14675" s="5">
        <f t="shared" si="242"/>
        <v>2013</v>
      </c>
      <c r="F14675" s="3" t="s">
        <v>2310</v>
      </c>
      <c r="G14675" s="6">
        <v>4652.45</v>
      </c>
      <c r="H14675" s="5">
        <v>18800</v>
      </c>
    </row>
    <row r="14676" spans="2:8" x14ac:dyDescent="0.4">
      <c r="B14676" s="3" t="s">
        <v>7</v>
      </c>
      <c r="C14676" s="3" t="s">
        <v>2309</v>
      </c>
      <c r="D14676" s="4">
        <f>DATE(2013,10,29)</f>
        <v>41576</v>
      </c>
      <c r="E14676" s="5">
        <f t="shared" si="242"/>
        <v>2013</v>
      </c>
      <c r="F14676" s="3" t="s">
        <v>2310</v>
      </c>
      <c r="G14676" s="6">
        <v>5792.45</v>
      </c>
      <c r="H14676" s="5">
        <v>19145</v>
      </c>
    </row>
    <row r="14677" spans="2:8" x14ac:dyDescent="0.4">
      <c r="B14677" s="3" t="s">
        <v>7</v>
      </c>
      <c r="C14677" s="3" t="s">
        <v>2311</v>
      </c>
      <c r="D14677" s="4">
        <f>DATE(2013,4,5)</f>
        <v>41369</v>
      </c>
      <c r="E14677" s="5">
        <f t="shared" si="242"/>
        <v>2013</v>
      </c>
      <c r="F14677" s="3" t="s">
        <v>2312</v>
      </c>
      <c r="G14677" s="6">
        <v>65.72</v>
      </c>
      <c r="H14677" s="5">
        <v>18395</v>
      </c>
    </row>
    <row r="14678" spans="2:8" x14ac:dyDescent="0.4">
      <c r="B14678" t="s">
        <v>7</v>
      </c>
      <c r="C14678" t="s">
        <v>2313</v>
      </c>
      <c r="D14678" s="7">
        <f>DATE(2015,7,7)</f>
        <v>42192</v>
      </c>
      <c r="E14678" s="8">
        <f t="shared" si="242"/>
        <v>2015</v>
      </c>
      <c r="F14678" t="s">
        <v>2314</v>
      </c>
      <c r="G14678" s="9">
        <v>8990.69</v>
      </c>
      <c r="H14678" s="8">
        <v>20826</v>
      </c>
    </row>
    <row r="14679" spans="2:8" x14ac:dyDescent="0.4">
      <c r="B14679" s="3" t="s">
        <v>7</v>
      </c>
      <c r="C14679" s="3" t="s">
        <v>2315</v>
      </c>
      <c r="D14679" s="4">
        <f>DATE(2013,10,8)</f>
        <v>41555</v>
      </c>
      <c r="E14679" s="5">
        <f t="shared" si="242"/>
        <v>2013</v>
      </c>
      <c r="F14679" s="3" t="s">
        <v>2316</v>
      </c>
      <c r="G14679" s="6">
        <v>151</v>
      </c>
      <c r="H14679" s="5">
        <v>19055</v>
      </c>
    </row>
    <row r="14680" spans="2:8" x14ac:dyDescent="0.4">
      <c r="B14680" t="s">
        <v>7</v>
      </c>
      <c r="C14680" t="s">
        <v>2317</v>
      </c>
      <c r="D14680" s="7">
        <f>DATE(2003,3,21)</f>
        <v>37701</v>
      </c>
      <c r="E14680" s="8">
        <f t="shared" si="242"/>
        <v>2003</v>
      </c>
      <c r="F14680" t="s">
        <v>2318</v>
      </c>
      <c r="G14680" s="9">
        <v>9531.5499999999993</v>
      </c>
      <c r="H14680" s="8">
        <v>160</v>
      </c>
    </row>
    <row r="14681" spans="2:8" x14ac:dyDescent="0.4">
      <c r="B14681" s="3" t="s">
        <v>7</v>
      </c>
      <c r="C14681" s="3" t="s">
        <v>2317</v>
      </c>
      <c r="D14681" s="4">
        <f>DATE(2003,3,6)</f>
        <v>37686</v>
      </c>
      <c r="E14681" s="5">
        <f t="shared" si="242"/>
        <v>2003</v>
      </c>
      <c r="F14681" s="3" t="s">
        <v>2318</v>
      </c>
      <c r="G14681" s="6">
        <v>1512</v>
      </c>
      <c r="H14681" s="5">
        <v>383</v>
      </c>
    </row>
    <row r="14682" spans="2:8" x14ac:dyDescent="0.4">
      <c r="B14682" t="s">
        <v>7</v>
      </c>
      <c r="C14682" t="s">
        <v>1405</v>
      </c>
      <c r="D14682" s="7">
        <f>DATE(2017,6,16)</f>
        <v>42902</v>
      </c>
      <c r="E14682" s="8">
        <f t="shared" si="242"/>
        <v>2017</v>
      </c>
      <c r="F14682" t="s">
        <v>2319</v>
      </c>
      <c r="G14682" s="9">
        <v>4127.3500000000004</v>
      </c>
      <c r="H14682" s="8">
        <v>24935</v>
      </c>
    </row>
    <row r="14683" spans="2:8" x14ac:dyDescent="0.4">
      <c r="B14683" t="s">
        <v>7</v>
      </c>
      <c r="C14683" t="s">
        <v>2320</v>
      </c>
      <c r="D14683" s="7">
        <f>DATE(2017,10,4)</f>
        <v>43012</v>
      </c>
      <c r="E14683" s="8">
        <f t="shared" si="242"/>
        <v>2017</v>
      </c>
      <c r="F14683" t="s">
        <v>2321</v>
      </c>
      <c r="G14683" s="9">
        <v>24712.82</v>
      </c>
      <c r="H14683" s="8">
        <v>25614</v>
      </c>
    </row>
    <row r="14684" spans="2:8" x14ac:dyDescent="0.4">
      <c r="B14684" t="s">
        <v>7</v>
      </c>
      <c r="C14684" t="s">
        <v>2320</v>
      </c>
      <c r="D14684" s="7">
        <f>DATE(2015,2,13)</f>
        <v>42048</v>
      </c>
      <c r="E14684" s="8">
        <f t="shared" si="242"/>
        <v>2015</v>
      </c>
      <c r="F14684" t="s">
        <v>2321</v>
      </c>
      <c r="G14684" s="9">
        <v>1199.51</v>
      </c>
      <c r="H14684" s="8">
        <v>412</v>
      </c>
    </row>
    <row r="14685" spans="2:8" x14ac:dyDescent="0.4">
      <c r="B14685" t="s">
        <v>7</v>
      </c>
      <c r="C14685" t="s">
        <v>2320</v>
      </c>
      <c r="D14685" s="7">
        <f>DATE(2016,10,7)</f>
        <v>42650</v>
      </c>
      <c r="E14685" s="8">
        <f t="shared" si="242"/>
        <v>2016</v>
      </c>
      <c r="F14685" t="s">
        <v>2321</v>
      </c>
      <c r="G14685" s="9">
        <v>24515.040000000001</v>
      </c>
      <c r="H14685" s="8">
        <v>23582</v>
      </c>
    </row>
    <row r="14686" spans="2:8" x14ac:dyDescent="0.4">
      <c r="B14686" t="s">
        <v>7</v>
      </c>
      <c r="C14686" t="s">
        <v>2320</v>
      </c>
      <c r="D14686" s="7">
        <f>DATE(2016,10,14)</f>
        <v>42657</v>
      </c>
      <c r="E14686" s="8">
        <f t="shared" si="242"/>
        <v>2016</v>
      </c>
      <c r="F14686" t="s">
        <v>2321</v>
      </c>
      <c r="G14686" s="9">
        <v>778</v>
      </c>
      <c r="H14686" s="8">
        <v>23654</v>
      </c>
    </row>
    <row r="14687" spans="2:8" x14ac:dyDescent="0.4">
      <c r="B14687" t="s">
        <v>7</v>
      </c>
      <c r="C14687" t="s">
        <v>2320</v>
      </c>
      <c r="D14687" s="7">
        <f>DATE(2016,11,15)</f>
        <v>42689</v>
      </c>
      <c r="E14687" s="8">
        <f t="shared" si="242"/>
        <v>2016</v>
      </c>
      <c r="F14687" t="s">
        <v>2321</v>
      </c>
      <c r="G14687" s="9">
        <v>760</v>
      </c>
      <c r="H14687" s="8">
        <v>23725</v>
      </c>
    </row>
    <row r="14688" spans="2:8" x14ac:dyDescent="0.4">
      <c r="B14688" t="s">
        <v>7</v>
      </c>
      <c r="C14688" t="s">
        <v>2320</v>
      </c>
      <c r="D14688" s="7">
        <f>DATE(2016,11,16)</f>
        <v>42690</v>
      </c>
      <c r="E14688" s="8">
        <f t="shared" si="242"/>
        <v>2016</v>
      </c>
      <c r="F14688" t="s">
        <v>2321</v>
      </c>
      <c r="G14688" s="9">
        <v>778</v>
      </c>
      <c r="H14688" s="8">
        <v>23845</v>
      </c>
    </row>
    <row r="14689" spans="2:8" x14ac:dyDescent="0.4">
      <c r="B14689" t="s">
        <v>7</v>
      </c>
      <c r="C14689" t="s">
        <v>2320</v>
      </c>
      <c r="D14689" s="7">
        <f>DATE(2016,12,15)</f>
        <v>42719</v>
      </c>
      <c r="E14689" s="8">
        <f t="shared" si="242"/>
        <v>2016</v>
      </c>
      <c r="F14689" t="s">
        <v>2321</v>
      </c>
      <c r="G14689" s="9">
        <v>1544.8</v>
      </c>
      <c r="H14689" s="8">
        <v>23816</v>
      </c>
    </row>
    <row r="14690" spans="2:8" x14ac:dyDescent="0.4">
      <c r="B14690" t="s">
        <v>7</v>
      </c>
      <c r="C14690" t="s">
        <v>2320</v>
      </c>
      <c r="D14690" s="7">
        <f>DATE(2016,12,22)</f>
        <v>42726</v>
      </c>
      <c r="E14690" s="8">
        <f t="shared" si="242"/>
        <v>2016</v>
      </c>
      <c r="F14690" t="s">
        <v>2321</v>
      </c>
      <c r="G14690" s="9">
        <v>2621.47</v>
      </c>
      <c r="H14690" s="8">
        <v>23615</v>
      </c>
    </row>
    <row r="14691" spans="2:8" x14ac:dyDescent="0.4">
      <c r="B14691" t="s">
        <v>7</v>
      </c>
      <c r="C14691" t="s">
        <v>2320</v>
      </c>
      <c r="D14691" s="7">
        <f>DATE(2017,4,21)</f>
        <v>42846</v>
      </c>
      <c r="E14691" s="8">
        <f t="shared" si="242"/>
        <v>2017</v>
      </c>
      <c r="F14691" t="s">
        <v>2321</v>
      </c>
      <c r="G14691" s="9">
        <v>6978.64</v>
      </c>
      <c r="H14691" s="8">
        <v>24633</v>
      </c>
    </row>
    <row r="14692" spans="2:8" x14ac:dyDescent="0.4">
      <c r="B14692" t="s">
        <v>7</v>
      </c>
      <c r="C14692" t="s">
        <v>2320</v>
      </c>
      <c r="D14692" s="7">
        <f>DATE(2017,9,28)</f>
        <v>43006</v>
      </c>
      <c r="E14692" s="8">
        <f t="shared" si="242"/>
        <v>2017</v>
      </c>
      <c r="F14692" t="s">
        <v>2321</v>
      </c>
      <c r="G14692" s="9">
        <v>434</v>
      </c>
      <c r="H14692" s="8">
        <v>25623</v>
      </c>
    </row>
    <row r="14693" spans="2:8" x14ac:dyDescent="0.4">
      <c r="B14693" t="s">
        <v>16</v>
      </c>
      <c r="C14693" t="s">
        <v>2320</v>
      </c>
      <c r="D14693" s="7">
        <f>DATE(2016,11,16)</f>
        <v>42690</v>
      </c>
      <c r="E14693" s="8">
        <f t="shared" si="242"/>
        <v>2016</v>
      </c>
      <c r="F14693" t="s">
        <v>2321</v>
      </c>
      <c r="G14693" s="9">
        <v>778</v>
      </c>
      <c r="H14693" s="8">
        <v>23844</v>
      </c>
    </row>
    <row r="14694" spans="2:8" x14ac:dyDescent="0.4">
      <c r="B14694" t="s">
        <v>7</v>
      </c>
      <c r="C14694" t="s">
        <v>2320</v>
      </c>
      <c r="D14694" s="7">
        <f>DATE(2014,3,20)</f>
        <v>41718</v>
      </c>
      <c r="E14694" s="8">
        <f t="shared" si="242"/>
        <v>2014</v>
      </c>
      <c r="F14694" t="s">
        <v>2321</v>
      </c>
      <c r="G14694" s="9">
        <v>15903.78</v>
      </c>
      <c r="H14694" s="8">
        <v>13062</v>
      </c>
    </row>
    <row r="14695" spans="2:8" x14ac:dyDescent="0.4">
      <c r="B14695" t="s">
        <v>7</v>
      </c>
      <c r="C14695" t="s">
        <v>2320</v>
      </c>
      <c r="D14695" s="7">
        <f>DATE(2003,11,24)</f>
        <v>37949</v>
      </c>
      <c r="E14695" s="8">
        <f t="shared" si="242"/>
        <v>2003</v>
      </c>
      <c r="F14695" t="s">
        <v>2321</v>
      </c>
      <c r="G14695" s="9">
        <v>8506.35</v>
      </c>
      <c r="H14695" s="8">
        <v>1032</v>
      </c>
    </row>
    <row r="14696" spans="2:8" x14ac:dyDescent="0.4">
      <c r="B14696" t="s">
        <v>7</v>
      </c>
      <c r="C14696" t="s">
        <v>2320</v>
      </c>
      <c r="D14696" s="7">
        <f>DATE(2004,3,27)</f>
        <v>38073</v>
      </c>
      <c r="E14696" s="8">
        <f t="shared" si="242"/>
        <v>2004</v>
      </c>
      <c r="F14696" t="s">
        <v>2321</v>
      </c>
      <c r="G14696" s="9">
        <v>39280</v>
      </c>
      <c r="H14696" s="8">
        <v>1543</v>
      </c>
    </row>
    <row r="14697" spans="2:8" x14ac:dyDescent="0.4">
      <c r="B14697" t="s">
        <v>7</v>
      </c>
      <c r="C14697" t="s">
        <v>2320</v>
      </c>
      <c r="D14697" s="7">
        <f>DATE(2004,4,1)</f>
        <v>38078</v>
      </c>
      <c r="E14697" s="8">
        <f t="shared" si="242"/>
        <v>2004</v>
      </c>
      <c r="F14697" t="s">
        <v>2321</v>
      </c>
      <c r="G14697" s="9">
        <v>29153.4</v>
      </c>
      <c r="H14697" s="8">
        <v>1599</v>
      </c>
    </row>
    <row r="14698" spans="2:8" x14ac:dyDescent="0.4">
      <c r="B14698" t="s">
        <v>7</v>
      </c>
      <c r="C14698" t="s">
        <v>2320</v>
      </c>
      <c r="D14698" s="7">
        <f>DATE(2004,5,17)</f>
        <v>38124</v>
      </c>
      <c r="E14698" s="8">
        <f t="shared" si="242"/>
        <v>2004</v>
      </c>
      <c r="F14698" t="s">
        <v>2321</v>
      </c>
      <c r="G14698" s="9">
        <v>47183</v>
      </c>
      <c r="H14698" s="8">
        <v>1707</v>
      </c>
    </row>
    <row r="14699" spans="2:8" x14ac:dyDescent="0.4">
      <c r="B14699" t="s">
        <v>7</v>
      </c>
      <c r="C14699" t="s">
        <v>2320</v>
      </c>
      <c r="D14699" s="7">
        <f>DATE(2005,11,7)</f>
        <v>38663</v>
      </c>
      <c r="E14699" s="8">
        <f t="shared" si="242"/>
        <v>2005</v>
      </c>
      <c r="F14699" t="s">
        <v>2321</v>
      </c>
      <c r="G14699" s="9">
        <v>33700</v>
      </c>
      <c r="H14699" s="8">
        <v>3498</v>
      </c>
    </row>
    <row r="14700" spans="2:8" x14ac:dyDescent="0.4">
      <c r="B14700" t="s">
        <v>7</v>
      </c>
      <c r="C14700" t="s">
        <v>2320</v>
      </c>
      <c r="D14700" s="7">
        <f>DATE(2005,11,17)</f>
        <v>38673</v>
      </c>
      <c r="E14700" s="8">
        <f t="shared" si="242"/>
        <v>2005</v>
      </c>
      <c r="F14700" t="s">
        <v>2321</v>
      </c>
      <c r="G14700" s="9">
        <v>26200</v>
      </c>
      <c r="H14700" s="8">
        <v>3497</v>
      </c>
    </row>
    <row r="14701" spans="2:8" x14ac:dyDescent="0.4">
      <c r="B14701" t="s">
        <v>7</v>
      </c>
      <c r="C14701" t="s">
        <v>2320</v>
      </c>
      <c r="D14701" s="7">
        <f>DATE(2009,6,18)</f>
        <v>39982</v>
      </c>
      <c r="E14701" s="8">
        <f t="shared" si="242"/>
        <v>2009</v>
      </c>
      <c r="F14701" t="s">
        <v>2321</v>
      </c>
      <c r="G14701" s="9">
        <v>6936.42</v>
      </c>
      <c r="H14701" s="8">
        <v>8804</v>
      </c>
    </row>
    <row r="14702" spans="2:8" x14ac:dyDescent="0.4">
      <c r="B14702" t="s">
        <v>7</v>
      </c>
      <c r="C14702" t="s">
        <v>2320</v>
      </c>
      <c r="D14702" s="7">
        <f>DATE(2009,7,8)</f>
        <v>40002</v>
      </c>
      <c r="E14702" s="8">
        <f t="shared" si="242"/>
        <v>2009</v>
      </c>
      <c r="F14702" t="s">
        <v>2321</v>
      </c>
      <c r="G14702" s="9">
        <v>9768</v>
      </c>
      <c r="H14702" s="8">
        <v>8839</v>
      </c>
    </row>
    <row r="14703" spans="2:8" x14ac:dyDescent="0.4">
      <c r="B14703" t="s">
        <v>7</v>
      </c>
      <c r="C14703" t="s">
        <v>2320</v>
      </c>
      <c r="D14703" s="7">
        <f>DATE(2009,9,25)</f>
        <v>40081</v>
      </c>
      <c r="E14703" s="8">
        <f t="shared" si="242"/>
        <v>2009</v>
      </c>
      <c r="F14703" t="s">
        <v>2321</v>
      </c>
      <c r="G14703" s="9">
        <v>8132.58</v>
      </c>
      <c r="H14703" s="8">
        <v>9072</v>
      </c>
    </row>
    <row r="14704" spans="2:8" x14ac:dyDescent="0.4">
      <c r="B14704" t="s">
        <v>7</v>
      </c>
      <c r="C14704" t="s">
        <v>2320</v>
      </c>
      <c r="D14704" s="7">
        <f>DATE(2012,3,6)</f>
        <v>40974</v>
      </c>
      <c r="E14704" s="8">
        <f t="shared" si="242"/>
        <v>2012</v>
      </c>
      <c r="F14704" t="s">
        <v>2321</v>
      </c>
      <c r="G14704" s="9">
        <v>13304.12</v>
      </c>
      <c r="H14704" s="8">
        <v>11367</v>
      </c>
    </row>
    <row r="14705" spans="2:8" x14ac:dyDescent="0.4">
      <c r="B14705" t="s">
        <v>7</v>
      </c>
      <c r="C14705" t="s">
        <v>2320</v>
      </c>
      <c r="D14705" s="7">
        <f>DATE(2014,6,13)</f>
        <v>41803</v>
      </c>
      <c r="E14705" s="8">
        <f t="shared" si="242"/>
        <v>2014</v>
      </c>
      <c r="F14705" t="s">
        <v>2321</v>
      </c>
      <c r="G14705" s="9">
        <v>9223.6</v>
      </c>
      <c r="H14705" s="8">
        <v>13259</v>
      </c>
    </row>
    <row r="14706" spans="2:8" x14ac:dyDescent="0.4">
      <c r="B14706" s="3" t="s">
        <v>7</v>
      </c>
      <c r="C14706" s="3" t="s">
        <v>2320</v>
      </c>
      <c r="D14706" s="4">
        <f>DATE(2003,6,30)</f>
        <v>37802</v>
      </c>
      <c r="E14706" s="5">
        <f t="shared" si="242"/>
        <v>2003</v>
      </c>
      <c r="F14706" s="3" t="s">
        <v>2321</v>
      </c>
      <c r="G14706" s="6">
        <v>2160</v>
      </c>
      <c r="H14706" s="5">
        <v>1161</v>
      </c>
    </row>
    <row r="14707" spans="2:8" x14ac:dyDescent="0.4">
      <c r="B14707" s="3" t="s">
        <v>7</v>
      </c>
      <c r="C14707" s="3" t="s">
        <v>2320</v>
      </c>
      <c r="D14707" s="4">
        <f>DATE(2003,9,23)</f>
        <v>37887</v>
      </c>
      <c r="E14707" s="5">
        <f t="shared" si="242"/>
        <v>2003</v>
      </c>
      <c r="F14707" s="3" t="s">
        <v>2321</v>
      </c>
      <c r="G14707" s="6">
        <v>35.799999999999997</v>
      </c>
      <c r="H14707" s="5">
        <v>1539</v>
      </c>
    </row>
    <row r="14708" spans="2:8" x14ac:dyDescent="0.4">
      <c r="B14708" s="3" t="s">
        <v>7</v>
      </c>
      <c r="C14708" s="3" t="s">
        <v>2320</v>
      </c>
      <c r="D14708" s="4">
        <f>DATE(2003,11,26)</f>
        <v>37951</v>
      </c>
      <c r="E14708" s="5">
        <f t="shared" si="242"/>
        <v>2003</v>
      </c>
      <c r="F14708" s="3" t="s">
        <v>2321</v>
      </c>
      <c r="G14708" s="6">
        <v>1743</v>
      </c>
      <c r="H14708" s="5">
        <v>1820</v>
      </c>
    </row>
    <row r="14709" spans="2:8" x14ac:dyDescent="0.4">
      <c r="B14709" s="3" t="s">
        <v>7</v>
      </c>
      <c r="C14709" s="3" t="s">
        <v>2320</v>
      </c>
      <c r="D14709" s="4">
        <f>DATE(2003,12,12)</f>
        <v>37967</v>
      </c>
      <c r="E14709" s="5">
        <f t="shared" si="242"/>
        <v>2003</v>
      </c>
      <c r="F14709" s="3" t="s">
        <v>2321</v>
      </c>
      <c r="G14709" s="6">
        <v>498</v>
      </c>
      <c r="H14709" s="5">
        <v>1898</v>
      </c>
    </row>
    <row r="14710" spans="2:8" x14ac:dyDescent="0.4">
      <c r="B14710" s="3" t="s">
        <v>7</v>
      </c>
      <c r="C14710" s="3" t="s">
        <v>2320</v>
      </c>
      <c r="D14710" s="4">
        <f>DATE(2013,6,19)</f>
        <v>41444</v>
      </c>
      <c r="E14710" s="5">
        <f t="shared" si="242"/>
        <v>2013</v>
      </c>
      <c r="F14710" s="3" t="s">
        <v>2321</v>
      </c>
      <c r="G14710" s="6">
        <v>12640</v>
      </c>
      <c r="H14710" s="5">
        <v>18643</v>
      </c>
    </row>
    <row r="14711" spans="2:8" x14ac:dyDescent="0.4">
      <c r="B14711" s="3" t="s">
        <v>7</v>
      </c>
      <c r="C14711" s="3" t="s">
        <v>2320</v>
      </c>
      <c r="D14711" s="4">
        <f>DATE(2013,10,10)</f>
        <v>41557</v>
      </c>
      <c r="E14711" s="5">
        <f t="shared" si="242"/>
        <v>2013</v>
      </c>
      <c r="F14711" s="3" t="s">
        <v>2321</v>
      </c>
      <c r="G14711" s="6">
        <v>1192.5</v>
      </c>
      <c r="H14711" s="5">
        <v>18724</v>
      </c>
    </row>
    <row r="14712" spans="2:8" x14ac:dyDescent="0.4">
      <c r="B14712" s="3" t="s">
        <v>7</v>
      </c>
      <c r="C14712" s="3" t="s">
        <v>2320</v>
      </c>
      <c r="D14712" s="4">
        <f>DATE(2013,12,19)</f>
        <v>41627</v>
      </c>
      <c r="E14712" s="5">
        <f t="shared" si="242"/>
        <v>2013</v>
      </c>
      <c r="F14712" s="3" t="s">
        <v>2321</v>
      </c>
      <c r="G14712" s="6">
        <v>10260</v>
      </c>
      <c r="H14712" s="5">
        <v>18677</v>
      </c>
    </row>
    <row r="14713" spans="2:8" x14ac:dyDescent="0.4">
      <c r="B14713" s="3" t="s">
        <v>7</v>
      </c>
      <c r="C14713" s="3" t="s">
        <v>2320</v>
      </c>
      <c r="D14713" s="4">
        <f>DATE(2014,5,21)</f>
        <v>41780</v>
      </c>
      <c r="E14713" s="5">
        <f t="shared" si="242"/>
        <v>2014</v>
      </c>
      <c r="F14713" s="3" t="s">
        <v>2321</v>
      </c>
      <c r="G14713" s="6">
        <v>288.75</v>
      </c>
      <c r="H14713" s="5">
        <v>19998</v>
      </c>
    </row>
    <row r="14714" spans="2:8" x14ac:dyDescent="0.4">
      <c r="B14714" s="3" t="s">
        <v>7</v>
      </c>
      <c r="C14714" s="3" t="s">
        <v>2320</v>
      </c>
      <c r="D14714" s="4">
        <f>DATE(2014,8,13)</f>
        <v>41864</v>
      </c>
      <c r="E14714" s="5">
        <f t="shared" si="242"/>
        <v>2014</v>
      </c>
      <c r="F14714" s="3" t="s">
        <v>2321</v>
      </c>
      <c r="G14714" s="6">
        <v>242</v>
      </c>
      <c r="H14714" s="5">
        <v>20290</v>
      </c>
    </row>
    <row r="14715" spans="2:8" x14ac:dyDescent="0.4">
      <c r="B14715" s="3" t="s">
        <v>7</v>
      </c>
      <c r="C14715" s="3" t="s">
        <v>2320</v>
      </c>
      <c r="D14715" s="4">
        <f>DATE(2014,10,15)</f>
        <v>41927</v>
      </c>
      <c r="E14715" s="5">
        <f t="shared" si="242"/>
        <v>2014</v>
      </c>
      <c r="F14715" s="3" t="s">
        <v>2321</v>
      </c>
      <c r="G14715" s="6">
        <v>1128.6300000000001</v>
      </c>
      <c r="H14715" s="5">
        <v>20525</v>
      </c>
    </row>
    <row r="14716" spans="2:8" x14ac:dyDescent="0.4">
      <c r="B14716" s="3" t="s">
        <v>7</v>
      </c>
      <c r="C14716" s="3" t="s">
        <v>2320</v>
      </c>
      <c r="D14716" s="4">
        <f>DATE(2014,10,24)</f>
        <v>41936</v>
      </c>
      <c r="E14716" s="5">
        <f t="shared" si="242"/>
        <v>2014</v>
      </c>
      <c r="F14716" s="3" t="s">
        <v>2321</v>
      </c>
      <c r="G14716" s="6">
        <v>7709.41</v>
      </c>
      <c r="H14716" s="5">
        <v>20558</v>
      </c>
    </row>
    <row r="14717" spans="2:8" x14ac:dyDescent="0.4">
      <c r="B14717" s="3" t="s">
        <v>7</v>
      </c>
      <c r="C14717" s="3" t="s">
        <v>2322</v>
      </c>
      <c r="D14717" s="4">
        <f>DATE(2007,5,11)</f>
        <v>39213</v>
      </c>
      <c r="E14717" s="5">
        <f t="shared" si="242"/>
        <v>2007</v>
      </c>
      <c r="F14717" s="3" t="s">
        <v>2323</v>
      </c>
      <c r="G14717" s="6">
        <v>17779</v>
      </c>
      <c r="H14717" s="5">
        <v>2227</v>
      </c>
    </row>
    <row r="14718" spans="2:8" x14ac:dyDescent="0.4">
      <c r="B14718" t="s">
        <v>7</v>
      </c>
      <c r="C14718" t="s">
        <v>2324</v>
      </c>
      <c r="D14718" s="7">
        <f>DATE(2018,11,21)</f>
        <v>43425</v>
      </c>
      <c r="E14718" s="8">
        <f t="shared" si="242"/>
        <v>2018</v>
      </c>
      <c r="F14718" t="s">
        <v>2325</v>
      </c>
      <c r="G14718" s="9">
        <v>3965.46</v>
      </c>
      <c r="H14718" s="8">
        <v>27945</v>
      </c>
    </row>
    <row r="14719" spans="2:8" x14ac:dyDescent="0.4">
      <c r="B14719" t="s">
        <v>7</v>
      </c>
      <c r="C14719" t="s">
        <v>2324</v>
      </c>
      <c r="D14719" s="7">
        <f>DATE(2015,6,9)</f>
        <v>42164</v>
      </c>
      <c r="E14719" s="8">
        <f t="shared" si="242"/>
        <v>2015</v>
      </c>
      <c r="F14719" t="s">
        <v>2326</v>
      </c>
      <c r="G14719" s="9">
        <v>2934.32</v>
      </c>
      <c r="H14719" s="8">
        <v>20664</v>
      </c>
    </row>
    <row r="14720" spans="2:8" x14ac:dyDescent="0.4">
      <c r="B14720" t="s">
        <v>7</v>
      </c>
      <c r="C14720" t="s">
        <v>2324</v>
      </c>
      <c r="D14720" s="7">
        <f>DATE(2015,7,2)</f>
        <v>42187</v>
      </c>
      <c r="E14720" s="8">
        <f t="shared" si="242"/>
        <v>2015</v>
      </c>
      <c r="F14720" t="s">
        <v>2326</v>
      </c>
      <c r="G14720" s="9">
        <v>4882.8900000000003</v>
      </c>
      <c r="H14720" s="8">
        <v>20751</v>
      </c>
    </row>
    <row r="14721" spans="2:8" x14ac:dyDescent="0.4">
      <c r="B14721" t="s">
        <v>7</v>
      </c>
      <c r="C14721" t="s">
        <v>2324</v>
      </c>
      <c r="D14721" s="7">
        <f>DATE(2015,7,30)</f>
        <v>42215</v>
      </c>
      <c r="E14721" s="8">
        <f t="shared" si="242"/>
        <v>2015</v>
      </c>
      <c r="F14721" t="s">
        <v>2326</v>
      </c>
      <c r="G14721" s="9">
        <v>2901.82</v>
      </c>
      <c r="H14721" s="8">
        <v>20970</v>
      </c>
    </row>
    <row r="14722" spans="2:8" x14ac:dyDescent="0.4">
      <c r="B14722" t="s">
        <v>7</v>
      </c>
      <c r="C14722" t="s">
        <v>2327</v>
      </c>
      <c r="D14722" s="7">
        <f>DATE(2015,12,17)</f>
        <v>42355</v>
      </c>
      <c r="E14722" s="8">
        <f t="shared" si="242"/>
        <v>2015</v>
      </c>
      <c r="F14722" t="s">
        <v>2328</v>
      </c>
      <c r="G14722" s="9">
        <v>13875.07</v>
      </c>
      <c r="H14722" s="8">
        <v>21751</v>
      </c>
    </row>
    <row r="14723" spans="2:8" x14ac:dyDescent="0.4">
      <c r="B14723" t="s">
        <v>7</v>
      </c>
      <c r="C14723" t="s">
        <v>2327</v>
      </c>
      <c r="D14723" s="7">
        <f>DATE(2009,1,30)</f>
        <v>39843</v>
      </c>
      <c r="E14723" s="8">
        <f t="shared" ref="E14723:E14786" si="243">YEAR(D14723)</f>
        <v>2009</v>
      </c>
      <c r="F14723" t="s">
        <v>2328</v>
      </c>
      <c r="G14723" s="9">
        <v>15994.64</v>
      </c>
      <c r="H14723" s="8">
        <v>8181</v>
      </c>
    </row>
    <row r="14724" spans="2:8" x14ac:dyDescent="0.4">
      <c r="B14724" t="s">
        <v>7</v>
      </c>
      <c r="C14724" t="s">
        <v>2327</v>
      </c>
      <c r="D14724" s="7">
        <f>DATE(2009,5,1)</f>
        <v>39934</v>
      </c>
      <c r="E14724" s="8">
        <f t="shared" si="243"/>
        <v>2009</v>
      </c>
      <c r="F14724" t="s">
        <v>2328</v>
      </c>
      <c r="G14724" s="9">
        <v>14032.93</v>
      </c>
      <c r="H14724" s="8">
        <v>8628</v>
      </c>
    </row>
    <row r="14725" spans="2:8" x14ac:dyDescent="0.4">
      <c r="B14725" t="s">
        <v>7</v>
      </c>
      <c r="C14725" t="s">
        <v>2327</v>
      </c>
      <c r="D14725" s="7">
        <f>DATE(2009,11,16)</f>
        <v>40133</v>
      </c>
      <c r="E14725" s="8">
        <f t="shared" si="243"/>
        <v>2009</v>
      </c>
      <c r="F14725" t="s">
        <v>2328</v>
      </c>
      <c r="G14725" s="9">
        <v>7420.05</v>
      </c>
      <c r="H14725" s="8">
        <v>9227</v>
      </c>
    </row>
    <row r="14726" spans="2:8" x14ac:dyDescent="0.4">
      <c r="B14726" t="s">
        <v>7</v>
      </c>
      <c r="C14726" t="s">
        <v>2327</v>
      </c>
      <c r="D14726" s="7">
        <f>DATE(2010,1,8)</f>
        <v>40186</v>
      </c>
      <c r="E14726" s="8">
        <f t="shared" si="243"/>
        <v>2010</v>
      </c>
      <c r="F14726" t="s">
        <v>2328</v>
      </c>
      <c r="G14726" s="9">
        <v>15991.24</v>
      </c>
      <c r="H14726" s="8">
        <v>9312</v>
      </c>
    </row>
    <row r="14727" spans="2:8" x14ac:dyDescent="0.4">
      <c r="B14727" t="s">
        <v>7</v>
      </c>
      <c r="C14727" t="s">
        <v>2327</v>
      </c>
      <c r="D14727" s="7">
        <f>DATE(2010,8,6)</f>
        <v>40396</v>
      </c>
      <c r="E14727" s="8">
        <f t="shared" si="243"/>
        <v>2010</v>
      </c>
      <c r="F14727" t="s">
        <v>2328</v>
      </c>
      <c r="G14727" s="9">
        <v>10016.84</v>
      </c>
      <c r="H14727" s="8">
        <v>10021</v>
      </c>
    </row>
    <row r="14728" spans="2:8" x14ac:dyDescent="0.4">
      <c r="B14728" t="s">
        <v>7</v>
      </c>
      <c r="C14728" t="s">
        <v>2327</v>
      </c>
      <c r="D14728" s="7">
        <f>DATE(2012,7,5)</f>
        <v>41095</v>
      </c>
      <c r="E14728" s="8">
        <f t="shared" si="243"/>
        <v>2012</v>
      </c>
      <c r="F14728" t="s">
        <v>2328</v>
      </c>
      <c r="G14728" s="9">
        <v>13151.57</v>
      </c>
      <c r="H14728" s="8">
        <v>11709</v>
      </c>
    </row>
    <row r="14729" spans="2:8" x14ac:dyDescent="0.4">
      <c r="B14729" s="3" t="s">
        <v>7</v>
      </c>
      <c r="C14729" s="3" t="s">
        <v>2329</v>
      </c>
      <c r="D14729" s="4">
        <f>DATE(2003,12,13)</f>
        <v>37968</v>
      </c>
      <c r="E14729" s="5">
        <f t="shared" si="243"/>
        <v>2003</v>
      </c>
      <c r="F14729" s="3" t="s">
        <v>2330</v>
      </c>
      <c r="G14729" s="6">
        <v>1061.7</v>
      </c>
      <c r="H14729" s="5">
        <v>485</v>
      </c>
    </row>
    <row r="14730" spans="2:8" x14ac:dyDescent="0.4">
      <c r="B14730" t="s">
        <v>7</v>
      </c>
      <c r="C14730" t="s">
        <v>2331</v>
      </c>
      <c r="D14730" s="7">
        <f>DATE(2019,4,9)</f>
        <v>43564</v>
      </c>
      <c r="E14730" s="8">
        <f t="shared" si="243"/>
        <v>2019</v>
      </c>
      <c r="F14730" t="s">
        <v>2332</v>
      </c>
      <c r="G14730" s="9">
        <v>120000</v>
      </c>
      <c r="H14730" s="8">
        <v>27467</v>
      </c>
    </row>
    <row r="14731" spans="2:8" x14ac:dyDescent="0.4">
      <c r="B14731" t="s">
        <v>7</v>
      </c>
      <c r="C14731" t="s">
        <v>2331</v>
      </c>
      <c r="D14731" s="7">
        <f>DATE(2016,1,6)</f>
        <v>42375</v>
      </c>
      <c r="E14731" s="8">
        <f t="shared" si="243"/>
        <v>2016</v>
      </c>
      <c r="F14731" t="s">
        <v>2332</v>
      </c>
      <c r="G14731" s="9">
        <v>440</v>
      </c>
      <c r="H14731" s="8">
        <v>21863</v>
      </c>
    </row>
    <row r="14732" spans="2:8" x14ac:dyDescent="0.4">
      <c r="B14732" t="s">
        <v>7</v>
      </c>
      <c r="C14732" t="s">
        <v>2331</v>
      </c>
      <c r="D14732" s="7">
        <f>DATE(2018,7,18)</f>
        <v>43299</v>
      </c>
      <c r="E14732" s="8">
        <f t="shared" si="243"/>
        <v>2018</v>
      </c>
      <c r="F14732" t="s">
        <v>2332</v>
      </c>
      <c r="G14732" s="9">
        <v>18177.509999999998</v>
      </c>
      <c r="H14732" s="8">
        <v>27333</v>
      </c>
    </row>
    <row r="14733" spans="2:8" x14ac:dyDescent="0.4">
      <c r="B14733" t="s">
        <v>7</v>
      </c>
      <c r="C14733" t="s">
        <v>2331</v>
      </c>
      <c r="D14733" s="7">
        <f>DATE(2019,4,23)</f>
        <v>43578</v>
      </c>
      <c r="E14733" s="8">
        <f t="shared" si="243"/>
        <v>2019</v>
      </c>
      <c r="F14733" t="s">
        <v>2332</v>
      </c>
      <c r="G14733" s="9">
        <v>5742.5</v>
      </c>
      <c r="H14733" s="8">
        <v>28745</v>
      </c>
    </row>
    <row r="14734" spans="2:8" x14ac:dyDescent="0.4">
      <c r="B14734" t="s">
        <v>7</v>
      </c>
      <c r="C14734" t="s">
        <v>2333</v>
      </c>
      <c r="D14734" s="7">
        <f>DATE(2017,5,5)</f>
        <v>42860</v>
      </c>
      <c r="E14734" s="8">
        <f t="shared" si="243"/>
        <v>2017</v>
      </c>
      <c r="F14734" t="s">
        <v>2334</v>
      </c>
      <c r="G14734" s="9">
        <v>2650.85</v>
      </c>
      <c r="H14734" s="8">
        <v>24856</v>
      </c>
    </row>
    <row r="14735" spans="2:8" x14ac:dyDescent="0.4">
      <c r="B14735" t="s">
        <v>7</v>
      </c>
      <c r="C14735" t="s">
        <v>2333</v>
      </c>
      <c r="D14735" s="7">
        <f>DATE(2017,7,12)</f>
        <v>42928</v>
      </c>
      <c r="E14735" s="8">
        <f t="shared" si="243"/>
        <v>2017</v>
      </c>
      <c r="F14735" t="s">
        <v>2334</v>
      </c>
      <c r="G14735" s="9">
        <v>2742.94</v>
      </c>
      <c r="H14735" s="8">
        <v>25196</v>
      </c>
    </row>
    <row r="14736" spans="2:8" x14ac:dyDescent="0.4">
      <c r="B14736" t="s">
        <v>7</v>
      </c>
      <c r="C14736" t="s">
        <v>2333</v>
      </c>
      <c r="D14736" s="7">
        <f>DATE(2004,3,26)</f>
        <v>38072</v>
      </c>
      <c r="E14736" s="8">
        <f t="shared" si="243"/>
        <v>2004</v>
      </c>
      <c r="F14736" t="s">
        <v>2334</v>
      </c>
      <c r="G14736" s="9">
        <v>2028.4</v>
      </c>
      <c r="H14736" s="8">
        <v>1594</v>
      </c>
    </row>
    <row r="14737" spans="2:8" x14ac:dyDescent="0.4">
      <c r="B14737" t="s">
        <v>7</v>
      </c>
      <c r="C14737" t="s">
        <v>2333</v>
      </c>
      <c r="D14737" s="7">
        <f>DATE(2009,4,28)</f>
        <v>39931</v>
      </c>
      <c r="E14737" s="8">
        <f t="shared" si="243"/>
        <v>2009</v>
      </c>
      <c r="F14737" t="s">
        <v>2334</v>
      </c>
      <c r="G14737" s="9">
        <v>6785</v>
      </c>
      <c r="H14737" s="8">
        <v>8646</v>
      </c>
    </row>
    <row r="14738" spans="2:8" x14ac:dyDescent="0.4">
      <c r="B14738" s="3" t="s">
        <v>7</v>
      </c>
      <c r="C14738" s="3" t="s">
        <v>2333</v>
      </c>
      <c r="D14738" s="4">
        <f>DATE(2009,5,6)</f>
        <v>39939</v>
      </c>
      <c r="E14738" s="5">
        <f t="shared" si="243"/>
        <v>2009</v>
      </c>
      <c r="F14738" s="3" t="s">
        <v>2334</v>
      </c>
      <c r="G14738" s="6">
        <v>2447.5</v>
      </c>
      <c r="H14738" s="5">
        <v>12432</v>
      </c>
    </row>
    <row r="14739" spans="2:8" x14ac:dyDescent="0.4">
      <c r="B14739" t="s">
        <v>7</v>
      </c>
      <c r="C14739" t="s">
        <v>2335</v>
      </c>
      <c r="D14739" s="7">
        <f>DATE(2013,10,10)</f>
        <v>41557</v>
      </c>
      <c r="E14739" s="8">
        <f t="shared" si="243"/>
        <v>2013</v>
      </c>
      <c r="F14739" t="s">
        <v>2336</v>
      </c>
      <c r="G14739" s="9">
        <v>4493.29</v>
      </c>
      <c r="H14739" s="8">
        <v>12690</v>
      </c>
    </row>
    <row r="14740" spans="2:8" x14ac:dyDescent="0.4">
      <c r="B14740" t="s">
        <v>7</v>
      </c>
      <c r="C14740" t="s">
        <v>2335</v>
      </c>
      <c r="D14740" s="7">
        <f>DATE(2014,7,11)</f>
        <v>41831</v>
      </c>
      <c r="E14740" s="8">
        <f t="shared" si="243"/>
        <v>2014</v>
      </c>
      <c r="F14740" t="s">
        <v>2336</v>
      </c>
      <c r="G14740" s="9">
        <v>6217</v>
      </c>
      <c r="H14740" s="8">
        <v>13296</v>
      </c>
    </row>
    <row r="14741" spans="2:8" x14ac:dyDescent="0.4">
      <c r="B14741" t="s">
        <v>7</v>
      </c>
      <c r="C14741" t="s">
        <v>2331</v>
      </c>
      <c r="D14741" s="7">
        <f>DATE(2015,5,20)</f>
        <v>42144</v>
      </c>
      <c r="E14741" s="8">
        <f t="shared" si="243"/>
        <v>2015</v>
      </c>
      <c r="F14741" t="s">
        <v>2337</v>
      </c>
      <c r="G14741" s="9">
        <v>72618.03</v>
      </c>
      <c r="H14741" s="8">
        <v>20051</v>
      </c>
    </row>
    <row r="14742" spans="2:8" x14ac:dyDescent="0.4">
      <c r="B14742" t="s">
        <v>7</v>
      </c>
      <c r="C14742" t="s">
        <v>2331</v>
      </c>
      <c r="D14742" s="7">
        <f>DATE(2015,11,17)</f>
        <v>42325</v>
      </c>
      <c r="E14742" s="8">
        <f t="shared" si="243"/>
        <v>2015</v>
      </c>
      <c r="F14742" t="s">
        <v>2337</v>
      </c>
      <c r="G14742" s="9">
        <v>58738.89</v>
      </c>
      <c r="H14742" s="8">
        <v>21389</v>
      </c>
    </row>
    <row r="14743" spans="2:8" x14ac:dyDescent="0.4">
      <c r="B14743" t="s">
        <v>7</v>
      </c>
      <c r="C14743" t="s">
        <v>2331</v>
      </c>
      <c r="D14743" s="7">
        <f>DATE(2015,11,30)</f>
        <v>42338</v>
      </c>
      <c r="E14743" s="8">
        <f t="shared" si="243"/>
        <v>2015</v>
      </c>
      <c r="F14743" t="s">
        <v>2337</v>
      </c>
      <c r="G14743" s="9">
        <v>3832.25</v>
      </c>
      <c r="H14743" s="8">
        <v>21658</v>
      </c>
    </row>
    <row r="14744" spans="2:8" x14ac:dyDescent="0.4">
      <c r="B14744" t="s">
        <v>7</v>
      </c>
      <c r="C14744" t="s">
        <v>2331</v>
      </c>
      <c r="D14744" s="7">
        <f>DATE(2016,9,30)</f>
        <v>42643</v>
      </c>
      <c r="E14744" s="8">
        <f t="shared" si="243"/>
        <v>2016</v>
      </c>
      <c r="F14744" t="s">
        <v>2337</v>
      </c>
      <c r="G14744" s="9">
        <v>110939.23</v>
      </c>
      <c r="H14744" s="8">
        <v>23411</v>
      </c>
    </row>
    <row r="14745" spans="2:8" x14ac:dyDescent="0.4">
      <c r="B14745" t="s">
        <v>7</v>
      </c>
      <c r="C14745" t="s">
        <v>2331</v>
      </c>
      <c r="D14745" s="7">
        <f>DATE(2016,11,22)</f>
        <v>42696</v>
      </c>
      <c r="E14745" s="8">
        <f t="shared" si="243"/>
        <v>2016</v>
      </c>
      <c r="F14745" t="s">
        <v>2337</v>
      </c>
      <c r="G14745" s="9">
        <v>69173.649999999994</v>
      </c>
      <c r="H14745" s="8">
        <v>23656</v>
      </c>
    </row>
    <row r="14746" spans="2:8" x14ac:dyDescent="0.4">
      <c r="B14746" t="s">
        <v>7</v>
      </c>
      <c r="C14746" t="s">
        <v>2331</v>
      </c>
      <c r="D14746" s="7">
        <f>DATE(2016,11,30)</f>
        <v>42704</v>
      </c>
      <c r="E14746" s="8">
        <f t="shared" si="243"/>
        <v>2016</v>
      </c>
      <c r="F14746" t="s">
        <v>2337</v>
      </c>
      <c r="G14746" s="9">
        <v>51343.6</v>
      </c>
      <c r="H14746" s="8">
        <v>23746</v>
      </c>
    </row>
    <row r="14747" spans="2:8" x14ac:dyDescent="0.4">
      <c r="B14747" t="s">
        <v>7</v>
      </c>
      <c r="C14747" t="s">
        <v>2331</v>
      </c>
      <c r="D14747" s="7">
        <f>DATE(2017,10,2)</f>
        <v>43010</v>
      </c>
      <c r="E14747" s="8">
        <f t="shared" si="243"/>
        <v>2017</v>
      </c>
      <c r="F14747" t="s">
        <v>2337</v>
      </c>
      <c r="G14747" s="9">
        <v>104824.67</v>
      </c>
      <c r="H14747" s="8">
        <v>25499</v>
      </c>
    </row>
    <row r="14748" spans="2:8" x14ac:dyDescent="0.4">
      <c r="B14748" t="s">
        <v>7</v>
      </c>
      <c r="C14748" t="s">
        <v>2331</v>
      </c>
      <c r="D14748" s="7">
        <f>DATE(2017,10,27)</f>
        <v>43035</v>
      </c>
      <c r="E14748" s="8">
        <f t="shared" si="243"/>
        <v>2017</v>
      </c>
      <c r="F14748" t="s">
        <v>2337</v>
      </c>
      <c r="G14748" s="9">
        <v>70568.13</v>
      </c>
      <c r="H14748" s="8">
        <v>25526</v>
      </c>
    </row>
    <row r="14749" spans="2:8" x14ac:dyDescent="0.4">
      <c r="B14749" t="s">
        <v>7</v>
      </c>
      <c r="C14749" t="s">
        <v>2331</v>
      </c>
      <c r="D14749" s="7">
        <f>DATE(2018,4,2)</f>
        <v>43192</v>
      </c>
      <c r="E14749" s="8">
        <f t="shared" si="243"/>
        <v>2018</v>
      </c>
      <c r="F14749" t="s">
        <v>2337</v>
      </c>
      <c r="G14749" s="9">
        <v>64803.19</v>
      </c>
      <c r="H14749" s="8">
        <v>26447</v>
      </c>
    </row>
    <row r="14750" spans="2:8" x14ac:dyDescent="0.4">
      <c r="B14750" t="s">
        <v>7</v>
      </c>
      <c r="C14750" t="s">
        <v>2331</v>
      </c>
      <c r="D14750" s="7">
        <f>DATE(2016,10,3)</f>
        <v>42646</v>
      </c>
      <c r="E14750" s="8">
        <f t="shared" si="243"/>
        <v>2016</v>
      </c>
      <c r="F14750" t="s">
        <v>2337</v>
      </c>
      <c r="G14750" s="9">
        <v>59025.1</v>
      </c>
      <c r="H14750" s="8">
        <v>23517</v>
      </c>
    </row>
    <row r="14751" spans="2:8" x14ac:dyDescent="0.4">
      <c r="B14751" t="s">
        <v>7</v>
      </c>
      <c r="C14751" t="s">
        <v>2331</v>
      </c>
      <c r="D14751" s="7">
        <f>DATE(2016,11,22)</f>
        <v>42696</v>
      </c>
      <c r="E14751" s="8">
        <f t="shared" si="243"/>
        <v>2016</v>
      </c>
      <c r="F14751" t="s">
        <v>2337</v>
      </c>
      <c r="G14751" s="9">
        <v>13709.7</v>
      </c>
      <c r="H14751" s="8">
        <v>23784</v>
      </c>
    </row>
    <row r="14752" spans="2:8" x14ac:dyDescent="0.4">
      <c r="B14752" t="s">
        <v>7</v>
      </c>
      <c r="C14752" t="s">
        <v>2331</v>
      </c>
      <c r="D14752" s="7">
        <f>DATE(2015,4,2)</f>
        <v>42096</v>
      </c>
      <c r="E14752" s="8">
        <f t="shared" si="243"/>
        <v>2015</v>
      </c>
      <c r="F14752" t="s">
        <v>2337</v>
      </c>
      <c r="G14752" s="9">
        <v>12910.77</v>
      </c>
      <c r="H14752" s="8">
        <v>20227</v>
      </c>
    </row>
    <row r="14753" spans="2:8" x14ac:dyDescent="0.4">
      <c r="B14753" t="s">
        <v>7</v>
      </c>
      <c r="C14753" t="s">
        <v>2331</v>
      </c>
      <c r="D14753" s="7">
        <f>DATE(2015,6,9)</f>
        <v>42164</v>
      </c>
      <c r="E14753" s="8">
        <f t="shared" si="243"/>
        <v>2015</v>
      </c>
      <c r="F14753" t="s">
        <v>2337</v>
      </c>
      <c r="G14753" s="9">
        <v>2696.75</v>
      </c>
      <c r="H14753" s="8">
        <v>20385</v>
      </c>
    </row>
    <row r="14754" spans="2:8" x14ac:dyDescent="0.4">
      <c r="B14754" t="s">
        <v>7</v>
      </c>
      <c r="C14754" t="s">
        <v>2331</v>
      </c>
      <c r="D14754" s="7">
        <f>DATE(2016,2,11)</f>
        <v>42411</v>
      </c>
      <c r="E14754" s="8">
        <f t="shared" si="243"/>
        <v>2016</v>
      </c>
      <c r="F14754" t="s">
        <v>2337</v>
      </c>
      <c r="G14754" s="9">
        <v>4819.28</v>
      </c>
      <c r="H14754" s="8">
        <v>22104</v>
      </c>
    </row>
    <row r="14755" spans="2:8" x14ac:dyDescent="0.4">
      <c r="B14755" t="s">
        <v>7</v>
      </c>
      <c r="C14755" t="s">
        <v>2331</v>
      </c>
      <c r="D14755" s="7">
        <f>DATE(2016,4,27)</f>
        <v>42487</v>
      </c>
      <c r="E14755" s="8">
        <f t="shared" si="243"/>
        <v>2016</v>
      </c>
      <c r="F14755" t="s">
        <v>2337</v>
      </c>
      <c r="G14755" s="9">
        <v>6086.38</v>
      </c>
      <c r="H14755" s="8">
        <v>22656</v>
      </c>
    </row>
    <row r="14756" spans="2:8" x14ac:dyDescent="0.4">
      <c r="B14756" t="s">
        <v>7</v>
      </c>
      <c r="C14756" t="s">
        <v>2331</v>
      </c>
      <c r="D14756" s="7">
        <f>DATE(2016,9,26)</f>
        <v>42639</v>
      </c>
      <c r="E14756" s="8">
        <f t="shared" si="243"/>
        <v>2016</v>
      </c>
      <c r="F14756" t="s">
        <v>2337</v>
      </c>
      <c r="G14756" s="9">
        <v>8076.03</v>
      </c>
      <c r="H14756" s="8">
        <v>23357</v>
      </c>
    </row>
    <row r="14757" spans="2:8" x14ac:dyDescent="0.4">
      <c r="B14757" t="s">
        <v>7</v>
      </c>
      <c r="C14757" t="s">
        <v>2331</v>
      </c>
      <c r="D14757" s="7">
        <f>DATE(2016,11,2)</f>
        <v>42676</v>
      </c>
      <c r="E14757" s="8">
        <f t="shared" si="243"/>
        <v>2016</v>
      </c>
      <c r="F14757" t="s">
        <v>2337</v>
      </c>
      <c r="G14757" s="9">
        <v>6913.03</v>
      </c>
      <c r="H14757" s="8">
        <v>23752</v>
      </c>
    </row>
    <row r="14758" spans="2:8" x14ac:dyDescent="0.4">
      <c r="B14758" t="s">
        <v>7</v>
      </c>
      <c r="C14758" t="s">
        <v>2331</v>
      </c>
      <c r="D14758" s="7">
        <f>DATE(2017,8,17)</f>
        <v>42964</v>
      </c>
      <c r="E14758" s="8">
        <f t="shared" si="243"/>
        <v>2017</v>
      </c>
      <c r="F14758" t="s">
        <v>2337</v>
      </c>
      <c r="G14758" s="9">
        <v>6973.2</v>
      </c>
      <c r="H14758" s="8">
        <v>25388</v>
      </c>
    </row>
    <row r="14759" spans="2:8" x14ac:dyDescent="0.4">
      <c r="B14759" t="s">
        <v>7</v>
      </c>
      <c r="C14759" t="s">
        <v>2331</v>
      </c>
      <c r="D14759" s="7">
        <f>DATE(2016,10,6)</f>
        <v>42649</v>
      </c>
      <c r="E14759" s="8">
        <f t="shared" si="243"/>
        <v>2016</v>
      </c>
      <c r="F14759" t="s">
        <v>2337</v>
      </c>
      <c r="G14759" s="9">
        <v>27753.47</v>
      </c>
      <c r="H14759" s="8">
        <v>23556</v>
      </c>
    </row>
    <row r="14760" spans="2:8" x14ac:dyDescent="0.4">
      <c r="B14760" t="s">
        <v>7</v>
      </c>
      <c r="C14760" t="s">
        <v>2331</v>
      </c>
      <c r="D14760" s="7">
        <f>DATE(2016,11,22)</f>
        <v>42696</v>
      </c>
      <c r="E14760" s="8">
        <f t="shared" si="243"/>
        <v>2016</v>
      </c>
      <c r="F14760" t="s">
        <v>2337</v>
      </c>
      <c r="G14760" s="9">
        <v>38523.81</v>
      </c>
      <c r="H14760" s="8">
        <v>23680</v>
      </c>
    </row>
    <row r="14761" spans="2:8" x14ac:dyDescent="0.4">
      <c r="B14761" t="s">
        <v>16</v>
      </c>
      <c r="C14761" t="s">
        <v>2331</v>
      </c>
      <c r="D14761" s="7">
        <f>DATE(2017,10,12)</f>
        <v>43020</v>
      </c>
      <c r="E14761" s="8">
        <f t="shared" si="243"/>
        <v>2017</v>
      </c>
      <c r="F14761" t="s">
        <v>2337</v>
      </c>
      <c r="G14761" s="9">
        <v>195</v>
      </c>
      <c r="H14761" s="8">
        <v>25727</v>
      </c>
    </row>
    <row r="14762" spans="2:8" x14ac:dyDescent="0.4">
      <c r="B14762" t="s">
        <v>16</v>
      </c>
      <c r="C14762" t="s">
        <v>2331</v>
      </c>
      <c r="D14762" s="7">
        <f>DATE(2015,7,29)</f>
        <v>42214</v>
      </c>
      <c r="E14762" s="8">
        <f t="shared" si="243"/>
        <v>2015</v>
      </c>
      <c r="F14762" t="s">
        <v>2337</v>
      </c>
      <c r="G14762" s="9">
        <v>38.5</v>
      </c>
      <c r="H14762" s="8">
        <v>21040</v>
      </c>
    </row>
    <row r="14763" spans="2:8" x14ac:dyDescent="0.4">
      <c r="B14763" t="s">
        <v>16</v>
      </c>
      <c r="C14763" t="s">
        <v>2331</v>
      </c>
      <c r="D14763" s="7">
        <f>DATE(2015,12,28)</f>
        <v>42366</v>
      </c>
      <c r="E14763" s="8">
        <f t="shared" si="243"/>
        <v>2015</v>
      </c>
      <c r="F14763" t="s">
        <v>2337</v>
      </c>
      <c r="G14763" s="9">
        <v>440</v>
      </c>
      <c r="H14763" s="8">
        <v>22010</v>
      </c>
    </row>
    <row r="14764" spans="2:8" x14ac:dyDescent="0.4">
      <c r="B14764" t="s">
        <v>7</v>
      </c>
      <c r="C14764" t="s">
        <v>2331</v>
      </c>
      <c r="D14764" s="7">
        <f>DATE(2011,11,14)</f>
        <v>40861</v>
      </c>
      <c r="E14764" s="8">
        <f t="shared" si="243"/>
        <v>2011</v>
      </c>
      <c r="F14764" t="s">
        <v>2337</v>
      </c>
      <c r="G14764" s="9">
        <v>7491.7</v>
      </c>
      <c r="H14764" s="8">
        <v>11058</v>
      </c>
    </row>
    <row r="14765" spans="2:8" x14ac:dyDescent="0.4">
      <c r="B14765" t="s">
        <v>7</v>
      </c>
      <c r="C14765" t="s">
        <v>2331</v>
      </c>
      <c r="D14765" s="7">
        <f>DATE(2007,10,19)</f>
        <v>39374</v>
      </c>
      <c r="E14765" s="8">
        <f t="shared" si="243"/>
        <v>2007</v>
      </c>
      <c r="F14765" t="s">
        <v>2337</v>
      </c>
      <c r="G14765" s="9">
        <v>62351.81</v>
      </c>
      <c r="H14765" s="8">
        <v>6421</v>
      </c>
    </row>
    <row r="14766" spans="2:8" x14ac:dyDescent="0.4">
      <c r="B14766" t="s">
        <v>7</v>
      </c>
      <c r="C14766" t="s">
        <v>2331</v>
      </c>
      <c r="D14766" s="7">
        <f>DATE(2007,12,4)</f>
        <v>39420</v>
      </c>
      <c r="E14766" s="8">
        <f t="shared" si="243"/>
        <v>2007</v>
      </c>
      <c r="F14766" t="s">
        <v>2337</v>
      </c>
      <c r="G14766" s="9">
        <v>12281.72</v>
      </c>
      <c r="H14766" s="8">
        <v>6615</v>
      </c>
    </row>
    <row r="14767" spans="2:8" x14ac:dyDescent="0.4">
      <c r="B14767" t="s">
        <v>7</v>
      </c>
      <c r="C14767" t="s">
        <v>2331</v>
      </c>
      <c r="D14767" s="7">
        <f>DATE(2007,11,30)</f>
        <v>39416</v>
      </c>
      <c r="E14767" s="8">
        <f t="shared" si="243"/>
        <v>2007</v>
      </c>
      <c r="F14767" t="s">
        <v>2337</v>
      </c>
      <c r="G14767" s="9">
        <v>39980</v>
      </c>
      <c r="H14767" s="8">
        <v>6595</v>
      </c>
    </row>
    <row r="14768" spans="2:8" x14ac:dyDescent="0.4">
      <c r="B14768" t="s">
        <v>7</v>
      </c>
      <c r="C14768" t="s">
        <v>2331</v>
      </c>
      <c r="D14768" s="7">
        <f>DATE(2008,3,7)</f>
        <v>39514</v>
      </c>
      <c r="E14768" s="8">
        <f t="shared" si="243"/>
        <v>2008</v>
      </c>
      <c r="F14768" t="s">
        <v>2337</v>
      </c>
      <c r="G14768" s="9">
        <v>10707.21</v>
      </c>
      <c r="H14768" s="8">
        <v>7058</v>
      </c>
    </row>
    <row r="14769" spans="2:8" x14ac:dyDescent="0.4">
      <c r="B14769" t="s">
        <v>7</v>
      </c>
      <c r="C14769" t="s">
        <v>2331</v>
      </c>
      <c r="D14769" s="7">
        <f>DATE(2008,4,15)</f>
        <v>39553</v>
      </c>
      <c r="E14769" s="8">
        <f t="shared" si="243"/>
        <v>2008</v>
      </c>
      <c r="F14769" t="s">
        <v>2337</v>
      </c>
      <c r="G14769" s="9">
        <v>50500</v>
      </c>
      <c r="H14769" s="8">
        <v>7073</v>
      </c>
    </row>
    <row r="14770" spans="2:8" x14ac:dyDescent="0.4">
      <c r="B14770" t="s">
        <v>7</v>
      </c>
      <c r="C14770" t="s">
        <v>2331</v>
      </c>
      <c r="D14770" s="7">
        <f>DATE(2008,4,15)</f>
        <v>39553</v>
      </c>
      <c r="E14770" s="8">
        <f t="shared" si="243"/>
        <v>2008</v>
      </c>
      <c r="F14770" t="s">
        <v>2337</v>
      </c>
      <c r="G14770" s="9">
        <v>7930.56</v>
      </c>
      <c r="H14770" s="8">
        <v>7292</v>
      </c>
    </row>
    <row r="14771" spans="2:8" x14ac:dyDescent="0.4">
      <c r="B14771" t="s">
        <v>7</v>
      </c>
      <c r="C14771" t="s">
        <v>2331</v>
      </c>
      <c r="D14771" s="7">
        <f>DATE(2008,6,1)</f>
        <v>39600</v>
      </c>
      <c r="E14771" s="8">
        <f t="shared" si="243"/>
        <v>2008</v>
      </c>
      <c r="F14771" t="s">
        <v>2337</v>
      </c>
      <c r="G14771" s="9">
        <v>48099</v>
      </c>
      <c r="H14771" s="8">
        <v>7074</v>
      </c>
    </row>
    <row r="14772" spans="2:8" x14ac:dyDescent="0.4">
      <c r="B14772" t="s">
        <v>7</v>
      </c>
      <c r="C14772" t="s">
        <v>2331</v>
      </c>
      <c r="D14772" s="7">
        <f>DATE(2008,6,1)</f>
        <v>39600</v>
      </c>
      <c r="E14772" s="8">
        <f t="shared" si="243"/>
        <v>2008</v>
      </c>
      <c r="F14772" t="s">
        <v>2337</v>
      </c>
      <c r="G14772" s="9">
        <v>3138.64</v>
      </c>
      <c r="H14772" s="8">
        <v>7411</v>
      </c>
    </row>
    <row r="14773" spans="2:8" x14ac:dyDescent="0.4">
      <c r="B14773" t="s">
        <v>7</v>
      </c>
      <c r="C14773" t="s">
        <v>2331</v>
      </c>
      <c r="D14773" s="7">
        <f>DATE(2008,9,14)</f>
        <v>39705</v>
      </c>
      <c r="E14773" s="8">
        <f t="shared" si="243"/>
        <v>2008</v>
      </c>
      <c r="F14773" t="s">
        <v>2337</v>
      </c>
      <c r="G14773" s="9">
        <v>47258.82</v>
      </c>
      <c r="H14773" s="8">
        <v>7701</v>
      </c>
    </row>
    <row r="14774" spans="2:8" x14ac:dyDescent="0.4">
      <c r="B14774" t="s">
        <v>7</v>
      </c>
      <c r="C14774" t="s">
        <v>2331</v>
      </c>
      <c r="D14774" s="7">
        <f>DATE(2008,9,17)</f>
        <v>39708</v>
      </c>
      <c r="E14774" s="8">
        <f t="shared" si="243"/>
        <v>2008</v>
      </c>
      <c r="F14774" t="s">
        <v>2337</v>
      </c>
      <c r="G14774" s="9">
        <v>14580.21</v>
      </c>
      <c r="H14774" s="8">
        <v>7793</v>
      </c>
    </row>
    <row r="14775" spans="2:8" x14ac:dyDescent="0.4">
      <c r="B14775" t="s">
        <v>7</v>
      </c>
      <c r="C14775" t="s">
        <v>2331</v>
      </c>
      <c r="D14775" s="7">
        <f>DATE(2009,4,7)</f>
        <v>39910</v>
      </c>
      <c r="E14775" s="8">
        <f t="shared" si="243"/>
        <v>2009</v>
      </c>
      <c r="F14775" t="s">
        <v>2337</v>
      </c>
      <c r="G14775" s="9">
        <v>5207.2</v>
      </c>
      <c r="H14775" s="8">
        <v>8557</v>
      </c>
    </row>
    <row r="14776" spans="2:8" x14ac:dyDescent="0.4">
      <c r="B14776" t="s">
        <v>7</v>
      </c>
      <c r="C14776" t="s">
        <v>2331</v>
      </c>
      <c r="D14776" s="7">
        <f>DATE(2009,4,30)</f>
        <v>39933</v>
      </c>
      <c r="E14776" s="8">
        <f t="shared" si="243"/>
        <v>2009</v>
      </c>
      <c r="F14776" t="s">
        <v>2337</v>
      </c>
      <c r="G14776" s="9">
        <v>54958.47</v>
      </c>
      <c r="H14776" s="8">
        <v>8472</v>
      </c>
    </row>
    <row r="14777" spans="2:8" x14ac:dyDescent="0.4">
      <c r="B14777" t="s">
        <v>7</v>
      </c>
      <c r="C14777" t="s">
        <v>2331</v>
      </c>
      <c r="D14777" s="7">
        <f>DATE(2009,7,13)</f>
        <v>40007</v>
      </c>
      <c r="E14777" s="8">
        <f t="shared" si="243"/>
        <v>2009</v>
      </c>
      <c r="F14777" t="s">
        <v>2337</v>
      </c>
      <c r="G14777" s="9">
        <v>5785.35</v>
      </c>
      <c r="H14777" s="8">
        <v>8864</v>
      </c>
    </row>
    <row r="14778" spans="2:8" x14ac:dyDescent="0.4">
      <c r="B14778" t="s">
        <v>7</v>
      </c>
      <c r="C14778" t="s">
        <v>2331</v>
      </c>
      <c r="D14778" s="7">
        <f>DATE(2009,7,28)</f>
        <v>40022</v>
      </c>
      <c r="E14778" s="8">
        <f t="shared" si="243"/>
        <v>2009</v>
      </c>
      <c r="F14778" t="s">
        <v>2337</v>
      </c>
      <c r="G14778" s="9">
        <v>19582.23</v>
      </c>
      <c r="H14778" s="8">
        <v>8887</v>
      </c>
    </row>
    <row r="14779" spans="2:8" x14ac:dyDescent="0.4">
      <c r="B14779" t="s">
        <v>7</v>
      </c>
      <c r="C14779" t="s">
        <v>2331</v>
      </c>
      <c r="D14779" s="7">
        <f>DATE(2009,11,6)</f>
        <v>40123</v>
      </c>
      <c r="E14779" s="8">
        <f t="shared" si="243"/>
        <v>2009</v>
      </c>
      <c r="F14779" t="s">
        <v>2337</v>
      </c>
      <c r="G14779" s="9">
        <v>67355.69</v>
      </c>
      <c r="H14779" s="8">
        <v>9150</v>
      </c>
    </row>
    <row r="14780" spans="2:8" x14ac:dyDescent="0.4">
      <c r="B14780" t="s">
        <v>7</v>
      </c>
      <c r="C14780" t="s">
        <v>2331</v>
      </c>
      <c r="D14780" s="7">
        <f>DATE(2010,4,30)</f>
        <v>40298</v>
      </c>
      <c r="E14780" s="8">
        <f t="shared" si="243"/>
        <v>2010</v>
      </c>
      <c r="F14780" t="s">
        <v>2337</v>
      </c>
      <c r="G14780" s="9">
        <v>2209.0100000000002</v>
      </c>
      <c r="H14780" s="8">
        <v>9530</v>
      </c>
    </row>
    <row r="14781" spans="2:8" x14ac:dyDescent="0.4">
      <c r="B14781" t="s">
        <v>7</v>
      </c>
      <c r="C14781" t="s">
        <v>2331</v>
      </c>
      <c r="D14781" s="7">
        <f>DATE(2010,4,30)</f>
        <v>40298</v>
      </c>
      <c r="E14781" s="8">
        <f t="shared" si="243"/>
        <v>2010</v>
      </c>
      <c r="F14781" t="s">
        <v>2337</v>
      </c>
      <c r="G14781" s="9">
        <v>5140.57</v>
      </c>
      <c r="H14781" s="8">
        <v>9703</v>
      </c>
    </row>
    <row r="14782" spans="2:8" x14ac:dyDescent="0.4">
      <c r="B14782" t="s">
        <v>7</v>
      </c>
      <c r="C14782" t="s">
        <v>2331</v>
      </c>
      <c r="D14782" s="7">
        <f>DATE(2010,5,17)</f>
        <v>40315</v>
      </c>
      <c r="E14782" s="8">
        <f t="shared" si="243"/>
        <v>2010</v>
      </c>
      <c r="F14782" t="s">
        <v>2337</v>
      </c>
      <c r="G14782" s="9">
        <v>7487.77</v>
      </c>
      <c r="H14782" s="8">
        <v>9650</v>
      </c>
    </row>
    <row r="14783" spans="2:8" x14ac:dyDescent="0.4">
      <c r="B14783" t="s">
        <v>7</v>
      </c>
      <c r="C14783" t="s">
        <v>2331</v>
      </c>
      <c r="D14783" s="7">
        <f>DATE(2010,6,17)</f>
        <v>40346</v>
      </c>
      <c r="E14783" s="8">
        <f t="shared" si="243"/>
        <v>2010</v>
      </c>
      <c r="F14783" t="s">
        <v>2337</v>
      </c>
      <c r="G14783" s="9">
        <v>41200</v>
      </c>
      <c r="H14783" s="8">
        <v>9912</v>
      </c>
    </row>
    <row r="14784" spans="2:8" x14ac:dyDescent="0.4">
      <c r="B14784" t="s">
        <v>7</v>
      </c>
      <c r="C14784" t="s">
        <v>2331</v>
      </c>
      <c r="D14784" s="7">
        <f>DATE(2010,6,17)</f>
        <v>40346</v>
      </c>
      <c r="E14784" s="8">
        <f t="shared" si="243"/>
        <v>2010</v>
      </c>
      <c r="F14784" t="s">
        <v>2337</v>
      </c>
      <c r="G14784" s="9">
        <v>10214</v>
      </c>
      <c r="H14784" s="8">
        <v>9920</v>
      </c>
    </row>
    <row r="14785" spans="2:8" x14ac:dyDescent="0.4">
      <c r="B14785" t="s">
        <v>7</v>
      </c>
      <c r="C14785" t="s">
        <v>2331</v>
      </c>
      <c r="D14785" s="7">
        <f>DATE(2010,10,14)</f>
        <v>40465</v>
      </c>
      <c r="E14785" s="8">
        <f t="shared" si="243"/>
        <v>2010</v>
      </c>
      <c r="F14785" t="s">
        <v>2337</v>
      </c>
      <c r="G14785" s="9">
        <v>60625.97</v>
      </c>
      <c r="H14785" s="8">
        <v>10027</v>
      </c>
    </row>
    <row r="14786" spans="2:8" x14ac:dyDescent="0.4">
      <c r="B14786" t="s">
        <v>7</v>
      </c>
      <c r="C14786" t="s">
        <v>2331</v>
      </c>
      <c r="D14786" s="7">
        <f>DATE(2010,10,26)</f>
        <v>40477</v>
      </c>
      <c r="E14786" s="8">
        <f t="shared" si="243"/>
        <v>2010</v>
      </c>
      <c r="F14786" t="s">
        <v>2337</v>
      </c>
      <c r="G14786" s="9">
        <v>3166.52</v>
      </c>
      <c r="H14786" s="8">
        <v>10204</v>
      </c>
    </row>
    <row r="14787" spans="2:8" x14ac:dyDescent="0.4">
      <c r="B14787" t="s">
        <v>7</v>
      </c>
      <c r="C14787" t="s">
        <v>2331</v>
      </c>
      <c r="D14787" s="7">
        <f>DATE(2010,10,26)</f>
        <v>40477</v>
      </c>
      <c r="E14787" s="8">
        <f t="shared" ref="E14787:E14850" si="244">YEAR(D14787)</f>
        <v>2010</v>
      </c>
      <c r="F14787" t="s">
        <v>2337</v>
      </c>
      <c r="G14787" s="9">
        <v>2236.27</v>
      </c>
      <c r="H14787" s="8">
        <v>10204</v>
      </c>
    </row>
    <row r="14788" spans="2:8" x14ac:dyDescent="0.4">
      <c r="B14788" t="s">
        <v>7</v>
      </c>
      <c r="C14788" t="s">
        <v>2331</v>
      </c>
      <c r="D14788" s="7">
        <f>DATE(2011,3,31)</f>
        <v>40633</v>
      </c>
      <c r="E14788" s="8">
        <f t="shared" si="244"/>
        <v>2011</v>
      </c>
      <c r="F14788" t="s">
        <v>2337</v>
      </c>
      <c r="G14788" s="9">
        <v>49880.7</v>
      </c>
      <c r="H14788" s="8">
        <v>10570</v>
      </c>
    </row>
    <row r="14789" spans="2:8" x14ac:dyDescent="0.4">
      <c r="B14789" t="s">
        <v>7</v>
      </c>
      <c r="C14789" t="s">
        <v>2331</v>
      </c>
      <c r="D14789" s="7">
        <f>DATE(2011,11,14)</f>
        <v>40861</v>
      </c>
      <c r="E14789" s="8">
        <f t="shared" si="244"/>
        <v>2011</v>
      </c>
      <c r="F14789" t="s">
        <v>2337</v>
      </c>
      <c r="G14789" s="9">
        <v>106226.65</v>
      </c>
      <c r="H14789" s="8">
        <v>11039</v>
      </c>
    </row>
    <row r="14790" spans="2:8" x14ac:dyDescent="0.4">
      <c r="B14790" t="s">
        <v>7</v>
      </c>
      <c r="C14790" t="s">
        <v>2331</v>
      </c>
      <c r="D14790" s="7">
        <f>DATE(2011,11,17)</f>
        <v>40864</v>
      </c>
      <c r="E14790" s="8">
        <f t="shared" si="244"/>
        <v>2011</v>
      </c>
      <c r="F14790" t="s">
        <v>2337</v>
      </c>
      <c r="G14790" s="9">
        <v>8330.52</v>
      </c>
      <c r="H14790" s="8">
        <v>11131</v>
      </c>
    </row>
    <row r="14791" spans="2:8" x14ac:dyDescent="0.4">
      <c r="B14791" t="s">
        <v>7</v>
      </c>
      <c r="C14791" t="s">
        <v>2331</v>
      </c>
      <c r="D14791" s="7">
        <f>DATE(2012,3,8)</f>
        <v>40976</v>
      </c>
      <c r="E14791" s="8">
        <f t="shared" si="244"/>
        <v>2012</v>
      </c>
      <c r="F14791" t="s">
        <v>2337</v>
      </c>
      <c r="G14791" s="9">
        <v>44273.72</v>
      </c>
      <c r="H14791" s="8">
        <v>11316</v>
      </c>
    </row>
    <row r="14792" spans="2:8" x14ac:dyDescent="0.4">
      <c r="B14792" t="s">
        <v>7</v>
      </c>
      <c r="C14792" t="s">
        <v>2331</v>
      </c>
      <c r="D14792" s="7">
        <f>DATE(2012,3,15)</f>
        <v>40983</v>
      </c>
      <c r="E14792" s="8">
        <f t="shared" si="244"/>
        <v>2012</v>
      </c>
      <c r="F14792" t="s">
        <v>2337</v>
      </c>
      <c r="G14792" s="9">
        <v>45494.720000000001</v>
      </c>
      <c r="H14792" s="8">
        <v>11480</v>
      </c>
    </row>
    <row r="14793" spans="2:8" x14ac:dyDescent="0.4">
      <c r="B14793" t="s">
        <v>7</v>
      </c>
      <c r="C14793" t="s">
        <v>2331</v>
      </c>
      <c r="D14793" s="7">
        <f>DATE(2012,6,15)</f>
        <v>41075</v>
      </c>
      <c r="E14793" s="8">
        <f t="shared" si="244"/>
        <v>2012</v>
      </c>
      <c r="F14793" t="s">
        <v>2337</v>
      </c>
      <c r="G14793" s="9">
        <v>16682.830000000002</v>
      </c>
      <c r="H14793" s="8">
        <v>11698</v>
      </c>
    </row>
    <row r="14794" spans="2:8" x14ac:dyDescent="0.4">
      <c r="B14794" t="s">
        <v>7</v>
      </c>
      <c r="C14794" t="s">
        <v>2331</v>
      </c>
      <c r="D14794" s="7">
        <f>DATE(2012,10,9)</f>
        <v>41191</v>
      </c>
      <c r="E14794" s="8">
        <f t="shared" si="244"/>
        <v>2012</v>
      </c>
      <c r="F14794" t="s">
        <v>2337</v>
      </c>
      <c r="G14794" s="9">
        <v>52335.51</v>
      </c>
      <c r="H14794" s="8">
        <v>11819</v>
      </c>
    </row>
    <row r="14795" spans="2:8" x14ac:dyDescent="0.4">
      <c r="B14795" t="s">
        <v>7</v>
      </c>
      <c r="C14795" t="s">
        <v>2331</v>
      </c>
      <c r="D14795" s="7">
        <f>DATE(2013,10,7)</f>
        <v>41554</v>
      </c>
      <c r="E14795" s="8">
        <f t="shared" si="244"/>
        <v>2013</v>
      </c>
      <c r="F14795" t="s">
        <v>2337</v>
      </c>
      <c r="G14795" s="9">
        <v>59737.97</v>
      </c>
      <c r="H14795" s="8">
        <v>12571</v>
      </c>
    </row>
    <row r="14796" spans="2:8" x14ac:dyDescent="0.4">
      <c r="B14796" t="s">
        <v>7</v>
      </c>
      <c r="C14796" t="s">
        <v>2331</v>
      </c>
      <c r="D14796" s="7">
        <f>DATE(2014,4,8)</f>
        <v>41737</v>
      </c>
      <c r="E14796" s="8">
        <f t="shared" si="244"/>
        <v>2014</v>
      </c>
      <c r="F14796" t="s">
        <v>2337</v>
      </c>
      <c r="G14796" s="9">
        <v>110794.1</v>
      </c>
      <c r="H14796" s="8">
        <v>12980</v>
      </c>
    </row>
    <row r="14797" spans="2:8" x14ac:dyDescent="0.4">
      <c r="B14797" t="s">
        <v>7</v>
      </c>
      <c r="C14797" t="s">
        <v>2331</v>
      </c>
      <c r="D14797" s="7">
        <f>DATE(2014,5,6)</f>
        <v>41765</v>
      </c>
      <c r="E14797" s="8">
        <f t="shared" si="244"/>
        <v>2014</v>
      </c>
      <c r="F14797" t="s">
        <v>2337</v>
      </c>
      <c r="G14797" s="9">
        <v>1726</v>
      </c>
      <c r="H14797" s="8">
        <v>13164</v>
      </c>
    </row>
    <row r="14798" spans="2:8" x14ac:dyDescent="0.4">
      <c r="B14798" t="s">
        <v>7</v>
      </c>
      <c r="C14798" t="s">
        <v>2331</v>
      </c>
      <c r="D14798" s="7">
        <f>DATE(2011,3,29)</f>
        <v>40631</v>
      </c>
      <c r="E14798" s="8">
        <f t="shared" si="244"/>
        <v>2011</v>
      </c>
      <c r="F14798" t="s">
        <v>2337</v>
      </c>
      <c r="G14798" s="9">
        <v>3120.76</v>
      </c>
      <c r="H14798" s="8">
        <v>10599</v>
      </c>
    </row>
    <row r="14799" spans="2:8" x14ac:dyDescent="0.4">
      <c r="B14799" t="s">
        <v>7</v>
      </c>
      <c r="C14799" t="s">
        <v>2331</v>
      </c>
      <c r="D14799" s="7">
        <f>DATE(2011,7,5)</f>
        <v>40729</v>
      </c>
      <c r="E14799" s="8">
        <f t="shared" si="244"/>
        <v>2011</v>
      </c>
      <c r="F14799" t="s">
        <v>2337</v>
      </c>
      <c r="G14799" s="9">
        <v>7244.52</v>
      </c>
      <c r="H14799" s="8">
        <v>10706</v>
      </c>
    </row>
    <row r="14800" spans="2:8" x14ac:dyDescent="0.4">
      <c r="B14800" t="s">
        <v>7</v>
      </c>
      <c r="C14800" t="s">
        <v>2331</v>
      </c>
      <c r="D14800" s="7">
        <f>DATE(2012,4,11)</f>
        <v>41010</v>
      </c>
      <c r="E14800" s="8">
        <f t="shared" si="244"/>
        <v>2012</v>
      </c>
      <c r="F14800" t="s">
        <v>2337</v>
      </c>
      <c r="G14800" s="9">
        <v>8949.0400000000009</v>
      </c>
      <c r="H14800" s="8">
        <v>11455</v>
      </c>
    </row>
    <row r="14801" spans="2:8" x14ac:dyDescent="0.4">
      <c r="B14801" t="s">
        <v>7</v>
      </c>
      <c r="C14801" t="s">
        <v>2331</v>
      </c>
      <c r="D14801" s="7">
        <f>DATE(2014,3,3)</f>
        <v>41701</v>
      </c>
      <c r="E14801" s="8">
        <f t="shared" si="244"/>
        <v>2014</v>
      </c>
      <c r="F14801" t="s">
        <v>2337</v>
      </c>
      <c r="G14801" s="9">
        <v>7009.16</v>
      </c>
      <c r="H14801" s="8">
        <v>12990</v>
      </c>
    </row>
    <row r="14802" spans="2:8" x14ac:dyDescent="0.4">
      <c r="B14802" t="s">
        <v>7</v>
      </c>
      <c r="C14802" t="s">
        <v>2331</v>
      </c>
      <c r="D14802" s="7">
        <f>DATE(2014,3,6)</f>
        <v>41704</v>
      </c>
      <c r="E14802" s="8">
        <f t="shared" si="244"/>
        <v>2014</v>
      </c>
      <c r="F14802" t="s">
        <v>2337</v>
      </c>
      <c r="G14802" s="9">
        <v>13120.48</v>
      </c>
      <c r="H14802" s="8">
        <v>13015</v>
      </c>
    </row>
    <row r="14803" spans="2:8" x14ac:dyDescent="0.4">
      <c r="B14803" t="s">
        <v>7</v>
      </c>
      <c r="C14803" t="s">
        <v>2331</v>
      </c>
      <c r="D14803" s="7">
        <f>DATE(2014,7,8)</f>
        <v>41828</v>
      </c>
      <c r="E14803" s="8">
        <f t="shared" si="244"/>
        <v>2014</v>
      </c>
      <c r="F14803" t="s">
        <v>2337</v>
      </c>
      <c r="G14803" s="9">
        <v>6758.27</v>
      </c>
      <c r="H14803" s="8">
        <v>13298</v>
      </c>
    </row>
    <row r="14804" spans="2:8" x14ac:dyDescent="0.4">
      <c r="B14804" t="s">
        <v>7</v>
      </c>
      <c r="C14804" t="s">
        <v>2331</v>
      </c>
      <c r="D14804" s="7">
        <f>DATE(2014,9,10)</f>
        <v>41892</v>
      </c>
      <c r="E14804" s="8">
        <f t="shared" si="244"/>
        <v>2014</v>
      </c>
      <c r="F14804" t="s">
        <v>2337</v>
      </c>
      <c r="G14804" s="9">
        <v>8432.2999999999993</v>
      </c>
      <c r="H14804" s="8">
        <v>13445</v>
      </c>
    </row>
    <row r="14805" spans="2:8" x14ac:dyDescent="0.4">
      <c r="B14805" t="s">
        <v>16</v>
      </c>
      <c r="C14805" t="s">
        <v>2331</v>
      </c>
      <c r="D14805" s="7">
        <f>DATE(2012,3,15)</f>
        <v>40983</v>
      </c>
      <c r="E14805" s="8">
        <f t="shared" si="244"/>
        <v>2012</v>
      </c>
      <c r="F14805" t="s">
        <v>2337</v>
      </c>
      <c r="G14805" s="9">
        <v>44273.72</v>
      </c>
      <c r="H14805" s="8">
        <v>11482</v>
      </c>
    </row>
    <row r="14806" spans="2:8" x14ac:dyDescent="0.4">
      <c r="B14806" s="3" t="s">
        <v>7</v>
      </c>
      <c r="C14806" s="3" t="s">
        <v>2331</v>
      </c>
      <c r="D14806" s="4">
        <f>DATE(2011,11,11)</f>
        <v>40858</v>
      </c>
      <c r="E14806" s="5">
        <f t="shared" si="244"/>
        <v>2011</v>
      </c>
      <c r="F14806" s="3" t="s">
        <v>2337</v>
      </c>
      <c r="G14806" s="6">
        <v>423</v>
      </c>
      <c r="H14806" s="5">
        <v>16197</v>
      </c>
    </row>
    <row r="14807" spans="2:8" x14ac:dyDescent="0.4">
      <c r="B14807" t="s">
        <v>7</v>
      </c>
      <c r="C14807" t="s">
        <v>2338</v>
      </c>
      <c r="D14807" s="7">
        <f>DATE(2016,11,23)</f>
        <v>42697</v>
      </c>
      <c r="E14807" s="8">
        <f t="shared" si="244"/>
        <v>2016</v>
      </c>
      <c r="F14807" t="s">
        <v>2339</v>
      </c>
      <c r="G14807" s="9">
        <v>14250</v>
      </c>
      <c r="H14807" s="8">
        <v>23793</v>
      </c>
    </row>
    <row r="14808" spans="2:8" x14ac:dyDescent="0.4">
      <c r="B14808" s="3" t="s">
        <v>7</v>
      </c>
      <c r="C14808" s="3" t="s">
        <v>2338</v>
      </c>
      <c r="D14808" s="4">
        <f>DATE(2006,1,6)</f>
        <v>38723</v>
      </c>
      <c r="E14808" s="5">
        <f t="shared" si="244"/>
        <v>2006</v>
      </c>
      <c r="F14808" s="3" t="s">
        <v>2339</v>
      </c>
      <c r="G14808" s="6">
        <v>700</v>
      </c>
      <c r="H14808" s="5">
        <v>5801</v>
      </c>
    </row>
    <row r="14809" spans="2:8" x14ac:dyDescent="0.4">
      <c r="B14809" s="3" t="s">
        <v>7</v>
      </c>
      <c r="C14809" s="3" t="s">
        <v>2338</v>
      </c>
      <c r="D14809" s="4">
        <f>DATE(2007,10,23)</f>
        <v>39378</v>
      </c>
      <c r="E14809" s="5">
        <f t="shared" si="244"/>
        <v>2007</v>
      </c>
      <c r="F14809" s="3" t="s">
        <v>2339</v>
      </c>
      <c r="G14809" s="6">
        <v>1049</v>
      </c>
      <c r="H14809" s="5">
        <v>9376</v>
      </c>
    </row>
    <row r="14810" spans="2:8" x14ac:dyDescent="0.4">
      <c r="B14810" s="3" t="s">
        <v>7</v>
      </c>
      <c r="C14810" s="3" t="s">
        <v>2338</v>
      </c>
      <c r="D14810" s="4">
        <f>DATE(2009,5,11)</f>
        <v>39944</v>
      </c>
      <c r="E14810" s="5">
        <f t="shared" si="244"/>
        <v>2009</v>
      </c>
      <c r="F14810" s="3" t="s">
        <v>2339</v>
      </c>
      <c r="G14810" s="6">
        <v>29.28</v>
      </c>
      <c r="H14810" s="5">
        <v>12518</v>
      </c>
    </row>
    <row r="14811" spans="2:8" x14ac:dyDescent="0.4">
      <c r="B14811" t="s">
        <v>7</v>
      </c>
      <c r="C14811" t="s">
        <v>2340</v>
      </c>
      <c r="D14811" s="7">
        <f>DATE(2015,8,3)</f>
        <v>42219</v>
      </c>
      <c r="E14811" s="8">
        <f t="shared" si="244"/>
        <v>2015</v>
      </c>
      <c r="F14811" t="s">
        <v>2341</v>
      </c>
      <c r="G14811" s="9">
        <v>7790.72</v>
      </c>
      <c r="H14811" s="8">
        <v>20832</v>
      </c>
    </row>
    <row r="14812" spans="2:8" x14ac:dyDescent="0.4">
      <c r="B14812" t="s">
        <v>7</v>
      </c>
      <c r="C14812" t="s">
        <v>2340</v>
      </c>
      <c r="D14812" s="7">
        <f>DATE(2003,1,16)</f>
        <v>37637</v>
      </c>
      <c r="E14812" s="8">
        <f t="shared" si="244"/>
        <v>2003</v>
      </c>
      <c r="F14812" t="s">
        <v>2341</v>
      </c>
      <c r="G14812" s="9">
        <v>3208.94</v>
      </c>
      <c r="H14812" s="8">
        <v>33</v>
      </c>
    </row>
    <row r="14813" spans="2:8" x14ac:dyDescent="0.4">
      <c r="B14813" t="s">
        <v>7</v>
      </c>
      <c r="C14813" t="s">
        <v>2340</v>
      </c>
      <c r="D14813" s="7">
        <f>DATE(2012,4,13)</f>
        <v>41012</v>
      </c>
      <c r="E14813" s="8">
        <f t="shared" si="244"/>
        <v>2012</v>
      </c>
      <c r="F14813" t="s">
        <v>2341</v>
      </c>
      <c r="G14813" s="9">
        <v>15045.77</v>
      </c>
      <c r="H14813" s="8">
        <v>11542</v>
      </c>
    </row>
    <row r="14814" spans="2:8" x14ac:dyDescent="0.4">
      <c r="B14814" t="s">
        <v>7</v>
      </c>
      <c r="C14814" t="s">
        <v>2340</v>
      </c>
      <c r="D14814" s="7">
        <f>DATE(2012,6,1)</f>
        <v>41061</v>
      </c>
      <c r="E14814" s="8">
        <f t="shared" si="244"/>
        <v>2012</v>
      </c>
      <c r="F14814" t="s">
        <v>2341</v>
      </c>
      <c r="G14814" s="9">
        <v>12327.64</v>
      </c>
      <c r="H14814" s="8">
        <v>11648</v>
      </c>
    </row>
    <row r="14815" spans="2:8" x14ac:dyDescent="0.4">
      <c r="B14815" s="3" t="s">
        <v>7</v>
      </c>
      <c r="C14815" s="3" t="s">
        <v>2340</v>
      </c>
      <c r="D14815" s="4">
        <f>DATE(2004,2,13)</f>
        <v>38030</v>
      </c>
      <c r="E14815" s="5">
        <f t="shared" si="244"/>
        <v>2004</v>
      </c>
      <c r="F14815" s="3" t="s">
        <v>2341</v>
      </c>
      <c r="G14815" s="6">
        <v>200</v>
      </c>
      <c r="H14815" s="5">
        <v>2168</v>
      </c>
    </row>
    <row r="14816" spans="2:8" x14ac:dyDescent="0.4">
      <c r="B14816" t="s">
        <v>7</v>
      </c>
      <c r="C14816" t="s">
        <v>2342</v>
      </c>
      <c r="D14816" s="7">
        <f>DATE(2016,9,22)</f>
        <v>42635</v>
      </c>
      <c r="E14816" s="8">
        <f t="shared" si="244"/>
        <v>2016</v>
      </c>
      <c r="F14816" t="s">
        <v>2343</v>
      </c>
      <c r="G14816" s="9">
        <v>11524.22</v>
      </c>
      <c r="H14816" s="8">
        <v>23506</v>
      </c>
    </row>
    <row r="14817" spans="2:8" x14ac:dyDescent="0.4">
      <c r="B14817" t="s">
        <v>7</v>
      </c>
      <c r="C14817" t="s">
        <v>2342</v>
      </c>
      <c r="D14817" s="7">
        <f>DATE(2016,11,30)</f>
        <v>42704</v>
      </c>
      <c r="E14817" s="8">
        <f t="shared" si="244"/>
        <v>2016</v>
      </c>
      <c r="F14817" t="s">
        <v>2343</v>
      </c>
      <c r="G14817" s="9">
        <v>2311.04</v>
      </c>
      <c r="H14817" s="8">
        <v>23879</v>
      </c>
    </row>
    <row r="14818" spans="2:8" x14ac:dyDescent="0.4">
      <c r="B14818" t="s">
        <v>7</v>
      </c>
      <c r="C14818" t="s">
        <v>2342</v>
      </c>
      <c r="D14818" s="7">
        <f>DATE(2014,3,13)</f>
        <v>41711</v>
      </c>
      <c r="E14818" s="8">
        <f t="shared" si="244"/>
        <v>2014</v>
      </c>
      <c r="F14818" t="s">
        <v>2343</v>
      </c>
      <c r="G14818" s="9">
        <v>13971.16</v>
      </c>
      <c r="H14818" s="8">
        <v>12968</v>
      </c>
    </row>
    <row r="14819" spans="2:8" x14ac:dyDescent="0.4">
      <c r="B14819" t="s">
        <v>7</v>
      </c>
      <c r="C14819" t="s">
        <v>2344</v>
      </c>
      <c r="D14819" s="7">
        <f>DATE(2015,2,19)</f>
        <v>42054</v>
      </c>
      <c r="E14819" s="8">
        <f t="shared" si="244"/>
        <v>2015</v>
      </c>
      <c r="F14819" t="s">
        <v>2345</v>
      </c>
      <c r="G14819" s="9">
        <v>3935.93</v>
      </c>
      <c r="H14819" s="8">
        <v>5029</v>
      </c>
    </row>
    <row r="14820" spans="2:8" x14ac:dyDescent="0.4">
      <c r="B14820" t="s">
        <v>7</v>
      </c>
      <c r="C14820" t="s">
        <v>2344</v>
      </c>
      <c r="D14820" s="7">
        <f>DATE(2016,4,1)</f>
        <v>42461</v>
      </c>
      <c r="E14820" s="8">
        <f t="shared" si="244"/>
        <v>2016</v>
      </c>
      <c r="F14820" t="s">
        <v>2345</v>
      </c>
      <c r="G14820" s="9">
        <v>3912.93</v>
      </c>
      <c r="H14820" s="8">
        <v>22415</v>
      </c>
    </row>
    <row r="14821" spans="2:8" x14ac:dyDescent="0.4">
      <c r="B14821" s="3" t="s">
        <v>7</v>
      </c>
      <c r="C14821" s="3" t="s">
        <v>2344</v>
      </c>
      <c r="D14821" s="4">
        <f>DATE(2008,3,3)</f>
        <v>39510</v>
      </c>
      <c r="E14821" s="5">
        <f t="shared" si="244"/>
        <v>2008</v>
      </c>
      <c r="F14821" s="3" t="s">
        <v>2345</v>
      </c>
      <c r="G14821" s="6">
        <v>147.75</v>
      </c>
      <c r="H14821" s="5">
        <v>10115</v>
      </c>
    </row>
    <row r="14822" spans="2:8" x14ac:dyDescent="0.4">
      <c r="B14822" s="3" t="s">
        <v>7</v>
      </c>
      <c r="C14822" s="3" t="s">
        <v>2344</v>
      </c>
      <c r="D14822" s="4">
        <f>DATE(2008,3,6)</f>
        <v>39513</v>
      </c>
      <c r="E14822" s="5">
        <f t="shared" si="244"/>
        <v>2008</v>
      </c>
      <c r="F14822" s="3" t="s">
        <v>2345</v>
      </c>
      <c r="G14822" s="6">
        <v>92.28</v>
      </c>
      <c r="H14822" s="5">
        <v>10137</v>
      </c>
    </row>
    <row r="14823" spans="2:8" x14ac:dyDescent="0.4">
      <c r="B14823" s="3" t="s">
        <v>7</v>
      </c>
      <c r="C14823" s="3" t="s">
        <v>2344</v>
      </c>
      <c r="D14823" s="4">
        <f>DATE(2009,3,10)</f>
        <v>39882</v>
      </c>
      <c r="E14823" s="5">
        <f t="shared" si="244"/>
        <v>2009</v>
      </c>
      <c r="F14823" s="3" t="s">
        <v>2345</v>
      </c>
      <c r="G14823" s="6">
        <v>11998.88</v>
      </c>
      <c r="H14823" s="5">
        <v>12075</v>
      </c>
    </row>
    <row r="14824" spans="2:8" x14ac:dyDescent="0.4">
      <c r="B14824" s="3" t="s">
        <v>7</v>
      </c>
      <c r="C14824" s="3" t="s">
        <v>2344</v>
      </c>
      <c r="D14824" s="4">
        <f>DATE(2011,3,21)</f>
        <v>40623</v>
      </c>
      <c r="E14824" s="5">
        <f t="shared" si="244"/>
        <v>2011</v>
      </c>
      <c r="F14824" s="3" t="s">
        <v>2345</v>
      </c>
      <c r="G14824" s="6">
        <v>1775</v>
      </c>
      <c r="H14824" s="5">
        <v>15265</v>
      </c>
    </row>
    <row r="14825" spans="2:8" x14ac:dyDescent="0.4">
      <c r="B14825" s="3" t="s">
        <v>7</v>
      </c>
      <c r="C14825" s="3" t="s">
        <v>2344</v>
      </c>
      <c r="D14825" s="4">
        <f>DATE(2011,8,18)</f>
        <v>40773</v>
      </c>
      <c r="E14825" s="5">
        <f t="shared" si="244"/>
        <v>2011</v>
      </c>
      <c r="F14825" s="3" t="s">
        <v>2345</v>
      </c>
      <c r="G14825" s="6">
        <v>1787</v>
      </c>
      <c r="H14825" s="5">
        <v>15883</v>
      </c>
    </row>
    <row r="14826" spans="2:8" x14ac:dyDescent="0.4">
      <c r="B14826" s="3" t="s">
        <v>7</v>
      </c>
      <c r="C14826" s="3" t="s">
        <v>2344</v>
      </c>
      <c r="D14826" s="4">
        <f>DATE(2012,10,12)</f>
        <v>41194</v>
      </c>
      <c r="E14826" s="5">
        <f t="shared" si="244"/>
        <v>2012</v>
      </c>
      <c r="F14826" s="3" t="s">
        <v>2345</v>
      </c>
      <c r="G14826" s="6">
        <v>1754.5</v>
      </c>
      <c r="H14826" s="5">
        <v>17695</v>
      </c>
    </row>
    <row r="14827" spans="2:8" x14ac:dyDescent="0.4">
      <c r="B14827" s="3" t="s">
        <v>16</v>
      </c>
      <c r="C14827" s="3" t="s">
        <v>2344</v>
      </c>
      <c r="D14827" s="4">
        <f>DATE(2009,6,18)</f>
        <v>39982</v>
      </c>
      <c r="E14827" s="5">
        <f t="shared" si="244"/>
        <v>2009</v>
      </c>
      <c r="F14827" s="3" t="s">
        <v>2345</v>
      </c>
      <c r="G14827" s="6">
        <v>679.18</v>
      </c>
      <c r="H14827" s="5">
        <v>12715</v>
      </c>
    </row>
    <row r="14828" spans="2:8" x14ac:dyDescent="0.4">
      <c r="B14828" t="s">
        <v>7</v>
      </c>
      <c r="C14828" t="s">
        <v>2346</v>
      </c>
      <c r="D14828" s="7">
        <f>DATE(2017,7,13)</f>
        <v>42929</v>
      </c>
      <c r="E14828" s="8">
        <f t="shared" si="244"/>
        <v>2017</v>
      </c>
      <c r="F14828" t="s">
        <v>2347</v>
      </c>
      <c r="G14828" s="9">
        <v>10211.459999999999</v>
      </c>
      <c r="H14828" s="8">
        <v>25229</v>
      </c>
    </row>
    <row r="14829" spans="2:8" x14ac:dyDescent="0.4">
      <c r="B14829" t="s">
        <v>7</v>
      </c>
      <c r="C14829" t="s">
        <v>2348</v>
      </c>
      <c r="D14829" s="7">
        <f>DATE(2017,5,1)</f>
        <v>42856</v>
      </c>
      <c r="E14829" s="8">
        <f t="shared" si="244"/>
        <v>2017</v>
      </c>
      <c r="F14829" t="s">
        <v>2349</v>
      </c>
      <c r="G14829" s="9">
        <v>55611.85</v>
      </c>
      <c r="H14829" s="8">
        <v>24098</v>
      </c>
    </row>
    <row r="14830" spans="2:8" x14ac:dyDescent="0.4">
      <c r="B14830" t="s">
        <v>7</v>
      </c>
      <c r="C14830" t="s">
        <v>2348</v>
      </c>
      <c r="D14830" s="7">
        <f>DATE(2018,6,14)</f>
        <v>43265</v>
      </c>
      <c r="E14830" s="8">
        <f t="shared" si="244"/>
        <v>2018</v>
      </c>
      <c r="F14830" t="s">
        <v>2349</v>
      </c>
      <c r="G14830" s="9">
        <v>61548.87</v>
      </c>
      <c r="H14830" s="8">
        <v>26799</v>
      </c>
    </row>
    <row r="14831" spans="2:8" x14ac:dyDescent="0.4">
      <c r="B14831" t="s">
        <v>7</v>
      </c>
      <c r="C14831" t="s">
        <v>2348</v>
      </c>
      <c r="D14831" s="7">
        <f>DATE(2019,1,9)</f>
        <v>43474</v>
      </c>
      <c r="E14831" s="8">
        <f t="shared" si="244"/>
        <v>2019</v>
      </c>
      <c r="F14831" t="s">
        <v>2349</v>
      </c>
      <c r="G14831" s="9">
        <v>46364.63</v>
      </c>
      <c r="H14831" s="8">
        <v>27648</v>
      </c>
    </row>
    <row r="14832" spans="2:8" x14ac:dyDescent="0.4">
      <c r="B14832" t="s">
        <v>7</v>
      </c>
      <c r="C14832" t="s">
        <v>2350</v>
      </c>
      <c r="D14832" s="7">
        <f>DATE(2016,5,4)</f>
        <v>42494</v>
      </c>
      <c r="E14832" s="8">
        <f t="shared" si="244"/>
        <v>2016</v>
      </c>
      <c r="F14832" t="s">
        <v>2351</v>
      </c>
      <c r="G14832" s="9">
        <v>11562.04</v>
      </c>
      <c r="H14832" s="8">
        <v>22698</v>
      </c>
    </row>
    <row r="14833" spans="2:8" x14ac:dyDescent="0.4">
      <c r="B14833" s="3" t="s">
        <v>7</v>
      </c>
      <c r="C14833" s="3" t="s">
        <v>2350</v>
      </c>
      <c r="D14833" s="4">
        <f>DATE(2006,3,10)</f>
        <v>38786</v>
      </c>
      <c r="E14833" s="5">
        <f t="shared" si="244"/>
        <v>2006</v>
      </c>
      <c r="F14833" s="3" t="s">
        <v>2351</v>
      </c>
      <c r="G14833" s="6">
        <v>974.21</v>
      </c>
      <c r="H14833" s="5">
        <v>6263</v>
      </c>
    </row>
    <row r="14834" spans="2:8" x14ac:dyDescent="0.4">
      <c r="B14834" t="s">
        <v>7</v>
      </c>
      <c r="C14834" t="s">
        <v>2352</v>
      </c>
      <c r="D14834" s="7">
        <f>DATE(2015,2,3)</f>
        <v>42038</v>
      </c>
      <c r="E14834" s="8">
        <f t="shared" si="244"/>
        <v>2015</v>
      </c>
      <c r="F14834" t="s">
        <v>2353</v>
      </c>
      <c r="G14834" s="9">
        <v>5024.17</v>
      </c>
      <c r="H14834" s="8">
        <v>234</v>
      </c>
    </row>
    <row r="14835" spans="2:8" x14ac:dyDescent="0.4">
      <c r="B14835" t="s">
        <v>7</v>
      </c>
      <c r="C14835" t="s">
        <v>2352</v>
      </c>
      <c r="D14835" s="7">
        <f>DATE(2004,2,13)</f>
        <v>38030</v>
      </c>
      <c r="E14835" s="8">
        <f t="shared" si="244"/>
        <v>2004</v>
      </c>
      <c r="F14835" t="s">
        <v>2353</v>
      </c>
      <c r="G14835" s="9">
        <v>1299.68</v>
      </c>
      <c r="H14835" s="8">
        <v>1282</v>
      </c>
    </row>
    <row r="14836" spans="2:8" x14ac:dyDescent="0.4">
      <c r="B14836" t="s">
        <v>7</v>
      </c>
      <c r="C14836" t="s">
        <v>2352</v>
      </c>
      <c r="D14836" s="7">
        <f>DATE(2005,3,10)</f>
        <v>38421</v>
      </c>
      <c r="E14836" s="8">
        <f t="shared" si="244"/>
        <v>2005</v>
      </c>
      <c r="F14836" t="s">
        <v>2353</v>
      </c>
      <c r="G14836" s="9">
        <v>960.69</v>
      </c>
      <c r="H14836" s="8">
        <v>2729</v>
      </c>
    </row>
    <row r="14837" spans="2:8" x14ac:dyDescent="0.4">
      <c r="B14837" t="s">
        <v>7</v>
      </c>
      <c r="C14837" t="s">
        <v>2352</v>
      </c>
      <c r="D14837" s="7">
        <f>DATE(2006,8,24)</f>
        <v>38953</v>
      </c>
      <c r="E14837" s="8">
        <f t="shared" si="244"/>
        <v>2006</v>
      </c>
      <c r="F14837" t="s">
        <v>2353</v>
      </c>
      <c r="G14837" s="9">
        <v>25</v>
      </c>
      <c r="H14837" s="8">
        <v>4938</v>
      </c>
    </row>
    <row r="14838" spans="2:8" x14ac:dyDescent="0.4">
      <c r="B14838" t="s">
        <v>7</v>
      </c>
      <c r="C14838" t="s">
        <v>2352</v>
      </c>
      <c r="D14838" s="7">
        <f>DATE(2008,3,5)</f>
        <v>39512</v>
      </c>
      <c r="E14838" s="8">
        <f t="shared" si="244"/>
        <v>2008</v>
      </c>
      <c r="F14838" t="s">
        <v>2353</v>
      </c>
      <c r="G14838" s="9">
        <v>985</v>
      </c>
      <c r="H14838" s="8">
        <v>6972</v>
      </c>
    </row>
    <row r="14839" spans="2:8" x14ac:dyDescent="0.4">
      <c r="B14839" t="s">
        <v>7</v>
      </c>
      <c r="C14839" t="s">
        <v>2352</v>
      </c>
      <c r="D14839" s="7">
        <f>DATE(2011,2,7)</f>
        <v>40581</v>
      </c>
      <c r="E14839" s="8">
        <f t="shared" si="244"/>
        <v>2011</v>
      </c>
      <c r="F14839" t="s">
        <v>2353</v>
      </c>
      <c r="G14839" s="9">
        <v>1700</v>
      </c>
      <c r="H14839" s="8">
        <v>10435</v>
      </c>
    </row>
    <row r="14840" spans="2:8" x14ac:dyDescent="0.4">
      <c r="B14840" t="s">
        <v>7</v>
      </c>
      <c r="C14840" t="s">
        <v>2352</v>
      </c>
      <c r="D14840" s="7">
        <f>DATE(2007,8,26)</f>
        <v>39320</v>
      </c>
      <c r="E14840" s="8">
        <f t="shared" si="244"/>
        <v>2007</v>
      </c>
      <c r="F14840" t="s">
        <v>2353</v>
      </c>
      <c r="G14840" s="9">
        <v>4242.55</v>
      </c>
      <c r="H14840" s="8">
        <v>6315</v>
      </c>
    </row>
    <row r="14841" spans="2:8" x14ac:dyDescent="0.4">
      <c r="B14841" t="s">
        <v>7</v>
      </c>
      <c r="C14841" t="s">
        <v>2352</v>
      </c>
      <c r="D14841" s="7">
        <f>DATE(2007,10,17)</f>
        <v>39372</v>
      </c>
      <c r="E14841" s="8">
        <f t="shared" si="244"/>
        <v>2007</v>
      </c>
      <c r="F14841" t="s">
        <v>2353</v>
      </c>
      <c r="G14841" s="9">
        <v>4921.53</v>
      </c>
      <c r="H14841" s="8">
        <v>6488</v>
      </c>
    </row>
    <row r="14842" spans="2:8" x14ac:dyDescent="0.4">
      <c r="B14842" t="s">
        <v>7</v>
      </c>
      <c r="C14842" t="s">
        <v>2352</v>
      </c>
      <c r="D14842" s="7">
        <f>DATE(2007,11,9)</f>
        <v>39395</v>
      </c>
      <c r="E14842" s="8">
        <f t="shared" si="244"/>
        <v>2007</v>
      </c>
      <c r="F14842" t="s">
        <v>2353</v>
      </c>
      <c r="G14842" s="9">
        <v>3592.37</v>
      </c>
      <c r="H14842" s="8">
        <v>6586</v>
      </c>
    </row>
    <row r="14843" spans="2:8" x14ac:dyDescent="0.4">
      <c r="B14843" s="3" t="s">
        <v>7</v>
      </c>
      <c r="C14843" s="3" t="s">
        <v>2352</v>
      </c>
      <c r="D14843" s="4">
        <f>DATE(2008,10,9)</f>
        <v>39730</v>
      </c>
      <c r="E14843" s="5">
        <f t="shared" si="244"/>
        <v>2008</v>
      </c>
      <c r="F14843" s="3" t="s">
        <v>2353</v>
      </c>
      <c r="G14843" s="6">
        <v>414.99</v>
      </c>
      <c r="H14843" s="5">
        <v>11381</v>
      </c>
    </row>
    <row r="14844" spans="2:8" x14ac:dyDescent="0.4">
      <c r="B14844" t="s">
        <v>7</v>
      </c>
      <c r="C14844" t="s">
        <v>2354</v>
      </c>
      <c r="D14844" s="7">
        <f>DATE(2016,3,11)</f>
        <v>42440</v>
      </c>
      <c r="E14844" s="8">
        <f t="shared" si="244"/>
        <v>2016</v>
      </c>
      <c r="F14844" t="s">
        <v>2355</v>
      </c>
      <c r="G14844" s="9">
        <v>95000</v>
      </c>
      <c r="H14844" s="8">
        <v>22134</v>
      </c>
    </row>
    <row r="14845" spans="2:8" x14ac:dyDescent="0.4">
      <c r="B14845" t="s">
        <v>7</v>
      </c>
      <c r="C14845" t="s">
        <v>2354</v>
      </c>
      <c r="D14845" s="7">
        <f>DATE(2015,1,22)</f>
        <v>42026</v>
      </c>
      <c r="E14845" s="8">
        <f t="shared" si="244"/>
        <v>2015</v>
      </c>
      <c r="F14845" t="s">
        <v>2355</v>
      </c>
      <c r="G14845" s="9">
        <v>9708.17</v>
      </c>
      <c r="H14845" s="8">
        <v>123</v>
      </c>
    </row>
    <row r="14846" spans="2:8" x14ac:dyDescent="0.4">
      <c r="B14846" t="s">
        <v>7</v>
      </c>
      <c r="C14846" t="s">
        <v>2354</v>
      </c>
      <c r="D14846" s="7">
        <f>DATE(2018,3,12)</f>
        <v>43171</v>
      </c>
      <c r="E14846" s="8">
        <f t="shared" si="244"/>
        <v>2018</v>
      </c>
      <c r="F14846" t="s">
        <v>2355</v>
      </c>
      <c r="G14846" s="9">
        <v>8974.2000000000007</v>
      </c>
      <c r="H14846" s="8">
        <v>26628</v>
      </c>
    </row>
    <row r="14847" spans="2:8" x14ac:dyDescent="0.4">
      <c r="B14847" t="s">
        <v>7</v>
      </c>
      <c r="C14847" t="s">
        <v>2354</v>
      </c>
      <c r="D14847" s="7">
        <f>DATE(2012,3,8)</f>
        <v>40976</v>
      </c>
      <c r="E14847" s="8">
        <f t="shared" si="244"/>
        <v>2012</v>
      </c>
      <c r="F14847" t="s">
        <v>2355</v>
      </c>
      <c r="G14847" s="9">
        <v>14836</v>
      </c>
      <c r="H14847" s="8">
        <v>11335</v>
      </c>
    </row>
    <row r="14848" spans="2:8" x14ac:dyDescent="0.4">
      <c r="B14848" t="s">
        <v>7</v>
      </c>
      <c r="C14848" t="s">
        <v>2354</v>
      </c>
      <c r="D14848" s="7">
        <f>DATE(2012,4,4)</f>
        <v>41003</v>
      </c>
      <c r="E14848" s="8">
        <f t="shared" si="244"/>
        <v>2012</v>
      </c>
      <c r="F14848" t="s">
        <v>2355</v>
      </c>
      <c r="G14848" s="9">
        <v>14836</v>
      </c>
      <c r="H14848" s="8">
        <v>11377</v>
      </c>
    </row>
    <row r="14849" spans="2:8" x14ac:dyDescent="0.4">
      <c r="B14849" t="s">
        <v>7</v>
      </c>
      <c r="C14849" t="s">
        <v>2354</v>
      </c>
      <c r="D14849" s="7">
        <f>DATE(2013,11,5)</f>
        <v>41583</v>
      </c>
      <c r="E14849" s="8">
        <f t="shared" si="244"/>
        <v>2013</v>
      </c>
      <c r="F14849" t="s">
        <v>2355</v>
      </c>
      <c r="G14849" s="9">
        <v>14730.39</v>
      </c>
      <c r="H14849" s="8">
        <v>12748</v>
      </c>
    </row>
    <row r="14850" spans="2:8" x14ac:dyDescent="0.4">
      <c r="B14850" t="s">
        <v>7</v>
      </c>
      <c r="C14850" t="s">
        <v>2354</v>
      </c>
      <c r="D14850" s="7">
        <f>DATE(2014,4,15)</f>
        <v>41744</v>
      </c>
      <c r="E14850" s="8">
        <f t="shared" si="244"/>
        <v>2014</v>
      </c>
      <c r="F14850" t="s">
        <v>2355</v>
      </c>
      <c r="G14850" s="9">
        <v>5633.51</v>
      </c>
      <c r="H14850" s="8">
        <v>13134</v>
      </c>
    </row>
    <row r="14851" spans="2:8" x14ac:dyDescent="0.4">
      <c r="B14851" t="s">
        <v>7</v>
      </c>
      <c r="C14851" t="s">
        <v>2354</v>
      </c>
      <c r="D14851" s="7">
        <f>DATE(2014,7,1)</f>
        <v>41821</v>
      </c>
      <c r="E14851" s="8">
        <f t="shared" ref="E14851:E14914" si="245">YEAR(D14851)</f>
        <v>2014</v>
      </c>
      <c r="F14851" t="s">
        <v>2355</v>
      </c>
      <c r="G14851" s="9">
        <v>4264.47</v>
      </c>
      <c r="H14851" s="8">
        <v>13253</v>
      </c>
    </row>
    <row r="14852" spans="2:8" x14ac:dyDescent="0.4">
      <c r="B14852" s="3" t="s">
        <v>7</v>
      </c>
      <c r="C14852" s="3" t="s">
        <v>2354</v>
      </c>
      <c r="D14852" s="4">
        <f>DATE(2010,4,27)</f>
        <v>40295</v>
      </c>
      <c r="E14852" s="5">
        <f t="shared" si="245"/>
        <v>2010</v>
      </c>
      <c r="F14852" s="3" t="s">
        <v>2355</v>
      </c>
      <c r="G14852" s="6">
        <v>15180</v>
      </c>
      <c r="H14852" s="5">
        <v>13982</v>
      </c>
    </row>
    <row r="14853" spans="2:8" x14ac:dyDescent="0.4">
      <c r="B14853" s="3" t="s">
        <v>7</v>
      </c>
      <c r="C14853" s="3" t="s">
        <v>2354</v>
      </c>
      <c r="D14853" s="4">
        <f>DATE(2012,11,14)</f>
        <v>41227</v>
      </c>
      <c r="E14853" s="5">
        <f t="shared" si="245"/>
        <v>2012</v>
      </c>
      <c r="F14853" s="3" t="s">
        <v>2355</v>
      </c>
      <c r="G14853" s="6">
        <v>260.39999999999998</v>
      </c>
      <c r="H14853" s="5">
        <v>17826</v>
      </c>
    </row>
    <row r="14854" spans="2:8" x14ac:dyDescent="0.4">
      <c r="B14854" s="3" t="s">
        <v>7</v>
      </c>
      <c r="C14854" s="3" t="s">
        <v>2354</v>
      </c>
      <c r="D14854" s="4">
        <f>DATE(2012,12,19)</f>
        <v>41262</v>
      </c>
      <c r="E14854" s="5">
        <f t="shared" si="245"/>
        <v>2012</v>
      </c>
      <c r="F14854" s="3" t="s">
        <v>2355</v>
      </c>
      <c r="G14854" s="6">
        <v>203</v>
      </c>
      <c r="H14854" s="5">
        <v>17921</v>
      </c>
    </row>
    <row r="14855" spans="2:8" x14ac:dyDescent="0.4">
      <c r="B14855" s="3" t="s">
        <v>16</v>
      </c>
      <c r="C14855" s="3" t="s">
        <v>2354</v>
      </c>
      <c r="D14855" s="4">
        <f>DATE(2012,12,19)</f>
        <v>41262</v>
      </c>
      <c r="E14855" s="5">
        <f t="shared" si="245"/>
        <v>2012</v>
      </c>
      <c r="F14855" s="3" t="s">
        <v>2355</v>
      </c>
      <c r="G14855" s="6">
        <v>203</v>
      </c>
      <c r="H14855" s="5">
        <v>17922</v>
      </c>
    </row>
    <row r="14856" spans="2:8" x14ac:dyDescent="0.4">
      <c r="B14856" t="s">
        <v>7</v>
      </c>
      <c r="C14856" t="s">
        <v>2354</v>
      </c>
      <c r="D14856" s="7">
        <f>DATE(2015,5,11)</f>
        <v>42135</v>
      </c>
      <c r="E14856" s="8">
        <f t="shared" si="245"/>
        <v>2015</v>
      </c>
      <c r="F14856" t="s">
        <v>2355</v>
      </c>
      <c r="G14856" s="9">
        <v>88605.85</v>
      </c>
      <c r="H14856" s="8">
        <v>503</v>
      </c>
    </row>
    <row r="14857" spans="2:8" x14ac:dyDescent="0.4">
      <c r="B14857" t="s">
        <v>7</v>
      </c>
      <c r="C14857" t="s">
        <v>2354</v>
      </c>
      <c r="D14857" s="7">
        <f>DATE(2015,5,11)</f>
        <v>42135</v>
      </c>
      <c r="E14857" s="8">
        <f t="shared" si="245"/>
        <v>2015</v>
      </c>
      <c r="F14857" t="s">
        <v>2355</v>
      </c>
      <c r="G14857" s="9">
        <v>85067.95</v>
      </c>
      <c r="H14857" s="8">
        <v>504</v>
      </c>
    </row>
    <row r="14858" spans="2:8" x14ac:dyDescent="0.4">
      <c r="B14858" t="s">
        <v>7</v>
      </c>
      <c r="C14858" t="s">
        <v>2354</v>
      </c>
      <c r="D14858" s="7">
        <f>DATE(2015,6,10)</f>
        <v>42165</v>
      </c>
      <c r="E14858" s="8">
        <f t="shared" si="245"/>
        <v>2015</v>
      </c>
      <c r="F14858" t="s">
        <v>2355</v>
      </c>
      <c r="G14858" s="9">
        <v>19487.43</v>
      </c>
      <c r="H14858" s="8">
        <v>505</v>
      </c>
    </row>
    <row r="14859" spans="2:8" x14ac:dyDescent="0.4">
      <c r="B14859" t="s">
        <v>7</v>
      </c>
      <c r="C14859" t="s">
        <v>2354</v>
      </c>
      <c r="D14859" s="7">
        <f>DATE(2015,8,4)</f>
        <v>42220</v>
      </c>
      <c r="E14859" s="8">
        <f t="shared" si="245"/>
        <v>2015</v>
      </c>
      <c r="F14859" t="s">
        <v>2355</v>
      </c>
      <c r="G14859" s="9">
        <v>34449.620000000003</v>
      </c>
      <c r="H14859" s="8">
        <v>525</v>
      </c>
    </row>
    <row r="14860" spans="2:8" x14ac:dyDescent="0.4">
      <c r="B14860" t="s">
        <v>7</v>
      </c>
      <c r="C14860" t="s">
        <v>2354</v>
      </c>
      <c r="D14860" s="7">
        <f>DATE(2010,6,20)</f>
        <v>40349</v>
      </c>
      <c r="E14860" s="8">
        <f t="shared" si="245"/>
        <v>2010</v>
      </c>
      <c r="F14860" t="s">
        <v>2355</v>
      </c>
      <c r="G14860" s="9">
        <v>47341.86</v>
      </c>
      <c r="H14860" s="8">
        <v>255</v>
      </c>
    </row>
    <row r="14861" spans="2:8" x14ac:dyDescent="0.4">
      <c r="B14861" t="s">
        <v>7</v>
      </c>
      <c r="C14861" t="s">
        <v>2354</v>
      </c>
      <c r="D14861" s="7">
        <f>DATE(2011,3,21)</f>
        <v>40623</v>
      </c>
      <c r="E14861" s="8">
        <f t="shared" si="245"/>
        <v>2011</v>
      </c>
      <c r="F14861" t="s">
        <v>2355</v>
      </c>
      <c r="G14861" s="9">
        <v>84193.05</v>
      </c>
      <c r="H14861" s="8">
        <v>267</v>
      </c>
    </row>
    <row r="14862" spans="2:8" x14ac:dyDescent="0.4">
      <c r="B14862" t="s">
        <v>7</v>
      </c>
      <c r="C14862" t="s">
        <v>2354</v>
      </c>
      <c r="D14862" s="7">
        <f>DATE(2012,3,7)</f>
        <v>40975</v>
      </c>
      <c r="E14862" s="8">
        <f t="shared" si="245"/>
        <v>2012</v>
      </c>
      <c r="F14862" t="s">
        <v>2355</v>
      </c>
      <c r="G14862" s="9">
        <v>59235.08</v>
      </c>
      <c r="H14862" s="8">
        <v>287</v>
      </c>
    </row>
    <row r="14863" spans="2:8" x14ac:dyDescent="0.4">
      <c r="B14863" t="s">
        <v>7</v>
      </c>
      <c r="C14863" t="s">
        <v>2354</v>
      </c>
      <c r="D14863" s="7">
        <f>DATE(2012,4,2)</f>
        <v>41001</v>
      </c>
      <c r="E14863" s="8">
        <f t="shared" si="245"/>
        <v>2012</v>
      </c>
      <c r="F14863" t="s">
        <v>2355</v>
      </c>
      <c r="G14863" s="9">
        <v>62157.09</v>
      </c>
      <c r="H14863" s="8">
        <v>291</v>
      </c>
    </row>
    <row r="14864" spans="2:8" x14ac:dyDescent="0.4">
      <c r="B14864" t="s">
        <v>7</v>
      </c>
      <c r="C14864" t="s">
        <v>2354</v>
      </c>
      <c r="D14864" s="7">
        <f>DATE(2012,4,9)</f>
        <v>41008</v>
      </c>
      <c r="E14864" s="8">
        <f t="shared" si="245"/>
        <v>2012</v>
      </c>
      <c r="F14864" t="s">
        <v>2355</v>
      </c>
      <c r="G14864" s="9">
        <v>40460.870000000003</v>
      </c>
      <c r="H14864" s="8">
        <v>290</v>
      </c>
    </row>
    <row r="14865" spans="2:8" x14ac:dyDescent="0.4">
      <c r="B14865" t="s">
        <v>7</v>
      </c>
      <c r="C14865" t="s">
        <v>2354</v>
      </c>
      <c r="D14865" s="7">
        <f>DATE(2013,4,24)</f>
        <v>41388</v>
      </c>
      <c r="E14865" s="8">
        <f t="shared" si="245"/>
        <v>2013</v>
      </c>
      <c r="F14865" t="s">
        <v>2355</v>
      </c>
      <c r="G14865" s="9">
        <v>69698.13</v>
      </c>
      <c r="H14865" s="8">
        <v>309</v>
      </c>
    </row>
    <row r="14866" spans="2:8" x14ac:dyDescent="0.4">
      <c r="B14866" t="s">
        <v>7</v>
      </c>
      <c r="C14866" t="s">
        <v>2354</v>
      </c>
      <c r="D14866" s="7">
        <f>DATE(2013,5,1)</f>
        <v>41395</v>
      </c>
      <c r="E14866" s="8">
        <f t="shared" si="245"/>
        <v>2013</v>
      </c>
      <c r="F14866" t="s">
        <v>2355</v>
      </c>
      <c r="G14866" s="9">
        <v>64427.61</v>
      </c>
      <c r="H14866" s="8">
        <v>304</v>
      </c>
    </row>
    <row r="14867" spans="2:8" x14ac:dyDescent="0.4">
      <c r="B14867" t="s">
        <v>7</v>
      </c>
      <c r="C14867" t="s">
        <v>2354</v>
      </c>
      <c r="D14867" s="7">
        <f>DATE(2013,11,5)</f>
        <v>41583</v>
      </c>
      <c r="E14867" s="8">
        <f t="shared" si="245"/>
        <v>2013</v>
      </c>
      <c r="F14867" t="s">
        <v>2355</v>
      </c>
      <c r="G14867" s="9">
        <v>48287.41</v>
      </c>
      <c r="H14867" s="8">
        <v>514</v>
      </c>
    </row>
    <row r="14868" spans="2:8" x14ac:dyDescent="0.4">
      <c r="B14868" t="s">
        <v>7</v>
      </c>
      <c r="C14868" t="s">
        <v>2354</v>
      </c>
      <c r="D14868" s="7">
        <f>DATE(2014,5,2)</f>
        <v>41761</v>
      </c>
      <c r="E14868" s="8">
        <f t="shared" si="245"/>
        <v>2014</v>
      </c>
      <c r="F14868" t="s">
        <v>2355</v>
      </c>
      <c r="G14868" s="9">
        <v>68435.259999999995</v>
      </c>
      <c r="H14868" s="8">
        <v>316</v>
      </c>
    </row>
    <row r="14869" spans="2:8" x14ac:dyDescent="0.4">
      <c r="B14869" t="s">
        <v>7</v>
      </c>
      <c r="C14869" t="s">
        <v>2354</v>
      </c>
      <c r="D14869" s="7">
        <f>DATE(2014,5,2)</f>
        <v>41761</v>
      </c>
      <c r="E14869" s="8">
        <f t="shared" si="245"/>
        <v>2014</v>
      </c>
      <c r="F14869" t="s">
        <v>2355</v>
      </c>
      <c r="G14869" s="9">
        <v>77931</v>
      </c>
      <c r="H14869" s="8">
        <v>317</v>
      </c>
    </row>
    <row r="14870" spans="2:8" x14ac:dyDescent="0.4">
      <c r="B14870" t="s">
        <v>16</v>
      </c>
      <c r="C14870" t="s">
        <v>2354</v>
      </c>
      <c r="D14870" s="7">
        <f>DATE(2014,7,10)</f>
        <v>41830</v>
      </c>
      <c r="E14870" s="8">
        <f t="shared" si="245"/>
        <v>2014</v>
      </c>
      <c r="F14870" t="s">
        <v>2355</v>
      </c>
      <c r="G14870" s="9">
        <v>8500</v>
      </c>
      <c r="H14870" s="8">
        <v>320</v>
      </c>
    </row>
    <row r="14871" spans="2:8" x14ac:dyDescent="0.4">
      <c r="B14871" t="s">
        <v>16</v>
      </c>
      <c r="C14871" t="s">
        <v>2354</v>
      </c>
      <c r="D14871" s="7">
        <f>DATE(2015,6,19)</f>
        <v>42174</v>
      </c>
      <c r="E14871" s="8">
        <f t="shared" si="245"/>
        <v>2015</v>
      </c>
      <c r="F14871" t="s">
        <v>2355</v>
      </c>
      <c r="G14871" s="9">
        <v>487.43</v>
      </c>
      <c r="H14871" s="8">
        <v>506</v>
      </c>
    </row>
    <row r="14872" spans="2:8" x14ac:dyDescent="0.4">
      <c r="B14872" t="s">
        <v>7</v>
      </c>
      <c r="C14872" t="s">
        <v>2354</v>
      </c>
      <c r="D14872" s="7">
        <f>DATE(2003,7,16)</f>
        <v>37818</v>
      </c>
      <c r="E14872" s="8">
        <f t="shared" si="245"/>
        <v>2003</v>
      </c>
      <c r="F14872" t="s">
        <v>2356</v>
      </c>
      <c r="G14872" s="9">
        <v>18765.810000000001</v>
      </c>
      <c r="H14872" s="8">
        <v>519</v>
      </c>
    </row>
    <row r="14873" spans="2:8" x14ac:dyDescent="0.4">
      <c r="B14873" t="s">
        <v>7</v>
      </c>
      <c r="C14873" t="s">
        <v>2354</v>
      </c>
      <c r="D14873" s="7">
        <f>DATE(2005,2,14)</f>
        <v>38397</v>
      </c>
      <c r="E14873" s="8">
        <f t="shared" si="245"/>
        <v>2005</v>
      </c>
      <c r="F14873" t="s">
        <v>2356</v>
      </c>
      <c r="G14873" s="9">
        <v>10395</v>
      </c>
      <c r="H14873" s="8">
        <v>2695</v>
      </c>
    </row>
    <row r="14874" spans="2:8" x14ac:dyDescent="0.4">
      <c r="B14874" t="s">
        <v>7</v>
      </c>
      <c r="C14874" t="s">
        <v>2354</v>
      </c>
      <c r="D14874" s="7">
        <f>DATE(2006,5,8)</f>
        <v>38845</v>
      </c>
      <c r="E14874" s="8">
        <f t="shared" si="245"/>
        <v>2006</v>
      </c>
      <c r="F14874" t="s">
        <v>2356</v>
      </c>
      <c r="G14874" s="9">
        <v>11345</v>
      </c>
      <c r="H14874" s="8">
        <v>4390</v>
      </c>
    </row>
    <row r="14875" spans="2:8" x14ac:dyDescent="0.4">
      <c r="B14875" t="s">
        <v>7</v>
      </c>
      <c r="C14875" t="s">
        <v>2354</v>
      </c>
      <c r="D14875" s="7">
        <f>DATE(2006,8,10)</f>
        <v>38939</v>
      </c>
      <c r="E14875" s="8">
        <f t="shared" si="245"/>
        <v>2006</v>
      </c>
      <c r="F14875" t="s">
        <v>2356</v>
      </c>
      <c r="G14875" s="9">
        <v>5991</v>
      </c>
      <c r="H14875" s="8">
        <v>4873</v>
      </c>
    </row>
    <row r="14876" spans="2:8" x14ac:dyDescent="0.4">
      <c r="B14876" t="s">
        <v>7</v>
      </c>
      <c r="C14876" t="s">
        <v>2354</v>
      </c>
      <c r="D14876" s="7">
        <f>DATE(2007,6,1)</f>
        <v>39234</v>
      </c>
      <c r="E14876" s="8">
        <f t="shared" si="245"/>
        <v>2007</v>
      </c>
      <c r="F14876" t="s">
        <v>2356</v>
      </c>
      <c r="G14876" s="9">
        <v>1318.39</v>
      </c>
      <c r="H14876" s="8">
        <v>5892</v>
      </c>
    </row>
    <row r="14877" spans="2:8" x14ac:dyDescent="0.4">
      <c r="B14877" s="3" t="s">
        <v>7</v>
      </c>
      <c r="C14877" s="3" t="s">
        <v>2354</v>
      </c>
      <c r="D14877" s="4">
        <f>DATE(2007,6,1)</f>
        <v>39234</v>
      </c>
      <c r="E14877" s="5">
        <f t="shared" si="245"/>
        <v>2007</v>
      </c>
      <c r="F14877" s="3" t="s">
        <v>2356</v>
      </c>
      <c r="G14877" s="6">
        <v>3382.5</v>
      </c>
      <c r="H14877" s="5">
        <v>8434</v>
      </c>
    </row>
    <row r="14878" spans="2:8" x14ac:dyDescent="0.4">
      <c r="B14878" t="s">
        <v>7</v>
      </c>
      <c r="C14878" t="s">
        <v>2354</v>
      </c>
      <c r="D14878" s="7">
        <f>DATE(2004,3,31)</f>
        <v>38077</v>
      </c>
      <c r="E14878" s="8">
        <f t="shared" si="245"/>
        <v>2004</v>
      </c>
      <c r="F14878" t="s">
        <v>2356</v>
      </c>
      <c r="G14878" s="9">
        <v>27636</v>
      </c>
      <c r="H14878" s="8">
        <v>25</v>
      </c>
    </row>
    <row r="14879" spans="2:8" x14ac:dyDescent="0.4">
      <c r="B14879" t="s">
        <v>7</v>
      </c>
      <c r="C14879" t="s">
        <v>2354</v>
      </c>
      <c r="D14879" s="7">
        <f>DATE(2007,6,1)</f>
        <v>39234</v>
      </c>
      <c r="E14879" s="8">
        <f t="shared" si="245"/>
        <v>2007</v>
      </c>
      <c r="F14879" t="s">
        <v>2356</v>
      </c>
      <c r="G14879" s="9">
        <v>31214.25</v>
      </c>
      <c r="H14879" s="8">
        <v>135</v>
      </c>
    </row>
    <row r="14880" spans="2:8" x14ac:dyDescent="0.4">
      <c r="B14880" t="s">
        <v>7</v>
      </c>
      <c r="C14880" t="s">
        <v>2354</v>
      </c>
      <c r="D14880" s="7">
        <f>DATE(2003,1,16)</f>
        <v>37637</v>
      </c>
      <c r="E14880" s="8">
        <f t="shared" si="245"/>
        <v>2003</v>
      </c>
      <c r="F14880" t="s">
        <v>2357</v>
      </c>
      <c r="G14880" s="9">
        <v>7420.85</v>
      </c>
      <c r="H14880" s="8">
        <v>94</v>
      </c>
    </row>
    <row r="14881" spans="2:8" x14ac:dyDescent="0.4">
      <c r="B14881" t="s">
        <v>7</v>
      </c>
      <c r="C14881" t="s">
        <v>2354</v>
      </c>
      <c r="D14881" s="7">
        <f>DATE(2003,3,14)</f>
        <v>37694</v>
      </c>
      <c r="E14881" s="8">
        <f t="shared" si="245"/>
        <v>2003</v>
      </c>
      <c r="F14881" t="s">
        <v>2357</v>
      </c>
      <c r="G14881" s="9">
        <v>4628</v>
      </c>
      <c r="H14881" s="8">
        <v>368</v>
      </c>
    </row>
    <row r="14882" spans="2:8" x14ac:dyDescent="0.4">
      <c r="B14882" t="s">
        <v>7</v>
      </c>
      <c r="C14882" t="s">
        <v>2354</v>
      </c>
      <c r="D14882" s="7">
        <f>DATE(2003,4,22)</f>
        <v>37733</v>
      </c>
      <c r="E14882" s="8">
        <f t="shared" si="245"/>
        <v>2003</v>
      </c>
      <c r="F14882" t="s">
        <v>2357</v>
      </c>
      <c r="G14882" s="9">
        <v>4117.8500000000004</v>
      </c>
      <c r="H14882" s="8">
        <v>497</v>
      </c>
    </row>
    <row r="14883" spans="2:8" x14ac:dyDescent="0.4">
      <c r="B14883" t="s">
        <v>7</v>
      </c>
      <c r="C14883" t="s">
        <v>2354</v>
      </c>
      <c r="D14883" s="7">
        <f>DATE(2003,5,7)</f>
        <v>37748</v>
      </c>
      <c r="E14883" s="8">
        <f t="shared" si="245"/>
        <v>2003</v>
      </c>
      <c r="F14883" t="s">
        <v>2357</v>
      </c>
      <c r="G14883" s="9">
        <v>7564.83</v>
      </c>
      <c r="H14883" s="8">
        <v>537</v>
      </c>
    </row>
    <row r="14884" spans="2:8" x14ac:dyDescent="0.4">
      <c r="B14884" t="s">
        <v>7</v>
      </c>
      <c r="C14884" t="s">
        <v>2354</v>
      </c>
      <c r="D14884" s="7">
        <f>DATE(2003,4,21)</f>
        <v>37732</v>
      </c>
      <c r="E14884" s="8">
        <f t="shared" si="245"/>
        <v>2003</v>
      </c>
      <c r="F14884" t="s">
        <v>2357</v>
      </c>
      <c r="G14884" s="9">
        <v>53000</v>
      </c>
      <c r="H14884" s="8">
        <v>269</v>
      </c>
    </row>
    <row r="14885" spans="2:8" x14ac:dyDescent="0.4">
      <c r="B14885" t="s">
        <v>7</v>
      </c>
      <c r="C14885" t="s">
        <v>2354</v>
      </c>
      <c r="D14885" s="7">
        <f>DATE(2003,11,13)</f>
        <v>37938</v>
      </c>
      <c r="E14885" s="8">
        <f t="shared" si="245"/>
        <v>2003</v>
      </c>
      <c r="F14885" t="s">
        <v>2357</v>
      </c>
      <c r="G14885" s="9">
        <v>10186.290000000001</v>
      </c>
      <c r="H14885" s="8">
        <v>1010</v>
      </c>
    </row>
    <row r="14886" spans="2:8" x14ac:dyDescent="0.4">
      <c r="B14886" t="s">
        <v>7</v>
      </c>
      <c r="C14886" t="s">
        <v>2354</v>
      </c>
      <c r="D14886" s="7">
        <f>DATE(2003,11,13)</f>
        <v>37938</v>
      </c>
      <c r="E14886" s="8">
        <f t="shared" si="245"/>
        <v>2003</v>
      </c>
      <c r="F14886" t="s">
        <v>2357</v>
      </c>
      <c r="G14886" s="9">
        <v>9266.2900000000009</v>
      </c>
      <c r="H14886" s="8">
        <v>1163</v>
      </c>
    </row>
    <row r="14887" spans="2:8" x14ac:dyDescent="0.4">
      <c r="B14887" t="s">
        <v>7</v>
      </c>
      <c r="C14887" t="s">
        <v>2354</v>
      </c>
      <c r="D14887" s="7">
        <f>DATE(2005,5,27)</f>
        <v>38499</v>
      </c>
      <c r="E14887" s="8">
        <f t="shared" si="245"/>
        <v>2005</v>
      </c>
      <c r="F14887" t="s">
        <v>2357</v>
      </c>
      <c r="G14887" s="9">
        <v>3682.5</v>
      </c>
      <c r="H14887" s="8">
        <v>3237</v>
      </c>
    </row>
    <row r="14888" spans="2:8" x14ac:dyDescent="0.4">
      <c r="B14888" t="s">
        <v>7</v>
      </c>
      <c r="C14888" t="s">
        <v>2354</v>
      </c>
      <c r="D14888" s="7">
        <f>DATE(2005,5,27)</f>
        <v>38499</v>
      </c>
      <c r="E14888" s="8">
        <f t="shared" si="245"/>
        <v>2005</v>
      </c>
      <c r="F14888" t="s">
        <v>2357</v>
      </c>
      <c r="G14888" s="9">
        <v>3748.5</v>
      </c>
      <c r="H14888" s="8">
        <v>3362</v>
      </c>
    </row>
    <row r="14889" spans="2:8" x14ac:dyDescent="0.4">
      <c r="B14889" t="s">
        <v>16</v>
      </c>
      <c r="C14889" t="s">
        <v>2354</v>
      </c>
      <c r="D14889" s="7">
        <f>DATE(2003,11,13)</f>
        <v>37938</v>
      </c>
      <c r="E14889" s="8">
        <f t="shared" si="245"/>
        <v>2003</v>
      </c>
      <c r="F14889" t="s">
        <v>2357</v>
      </c>
      <c r="G14889" s="9">
        <v>10186.290000000001</v>
      </c>
      <c r="H14889" s="8">
        <v>1161</v>
      </c>
    </row>
    <row r="14890" spans="2:8" x14ac:dyDescent="0.4">
      <c r="B14890" t="s">
        <v>16</v>
      </c>
      <c r="C14890" t="s">
        <v>2354</v>
      </c>
      <c r="D14890" s="7">
        <f>DATE(2005,5,27)</f>
        <v>38499</v>
      </c>
      <c r="E14890" s="8">
        <f t="shared" si="245"/>
        <v>2005</v>
      </c>
      <c r="F14890" t="s">
        <v>2357</v>
      </c>
      <c r="G14890" s="9">
        <v>3682.5</v>
      </c>
      <c r="H14890" s="8">
        <v>3356</v>
      </c>
    </row>
    <row r="14891" spans="2:8" x14ac:dyDescent="0.4">
      <c r="B14891" t="s">
        <v>7</v>
      </c>
      <c r="C14891" t="s">
        <v>2354</v>
      </c>
      <c r="D14891" s="7">
        <f>DATE(2009,4,24)</f>
        <v>39927</v>
      </c>
      <c r="E14891" s="8">
        <f t="shared" si="245"/>
        <v>2009</v>
      </c>
      <c r="F14891" t="s">
        <v>2358</v>
      </c>
      <c r="G14891" s="9">
        <v>24500</v>
      </c>
      <c r="H14891" s="8">
        <v>8587</v>
      </c>
    </row>
    <row r="14892" spans="2:8" x14ac:dyDescent="0.4">
      <c r="B14892" s="3" t="s">
        <v>7</v>
      </c>
      <c r="C14892" s="3" t="s">
        <v>2354</v>
      </c>
      <c r="D14892" s="4">
        <f>DATE(2008,5,22)</f>
        <v>39590</v>
      </c>
      <c r="E14892" s="5">
        <f t="shared" si="245"/>
        <v>2008</v>
      </c>
      <c r="F14892" s="3" t="s">
        <v>2358</v>
      </c>
      <c r="G14892" s="6">
        <v>2743.25</v>
      </c>
      <c r="H14892" s="5">
        <v>10721</v>
      </c>
    </row>
    <row r="14893" spans="2:8" x14ac:dyDescent="0.4">
      <c r="B14893" s="3" t="s">
        <v>7</v>
      </c>
      <c r="C14893" s="3" t="s">
        <v>2354</v>
      </c>
      <c r="D14893" s="4">
        <f>DATE(2008,5,22)</f>
        <v>39590</v>
      </c>
      <c r="E14893" s="5">
        <f t="shared" si="245"/>
        <v>2008</v>
      </c>
      <c r="F14893" s="3" t="s">
        <v>2358</v>
      </c>
      <c r="G14893" s="6">
        <v>4050</v>
      </c>
      <c r="H14893" s="5">
        <v>10258</v>
      </c>
    </row>
    <row r="14894" spans="2:8" x14ac:dyDescent="0.4">
      <c r="B14894" s="3" t="s">
        <v>7</v>
      </c>
      <c r="C14894" s="3" t="s">
        <v>2354</v>
      </c>
      <c r="D14894" s="4">
        <f>DATE(2009,4,15)</f>
        <v>39918</v>
      </c>
      <c r="E14894" s="5">
        <f t="shared" si="245"/>
        <v>2009</v>
      </c>
      <c r="F14894" s="3" t="s">
        <v>2358</v>
      </c>
      <c r="G14894" s="6">
        <v>4140</v>
      </c>
      <c r="H14894" s="5">
        <v>11851</v>
      </c>
    </row>
    <row r="14895" spans="2:8" x14ac:dyDescent="0.4">
      <c r="B14895" t="s">
        <v>7</v>
      </c>
      <c r="C14895" t="s">
        <v>2354</v>
      </c>
      <c r="D14895" s="7">
        <f>DATE(2008,5,22)</f>
        <v>39590</v>
      </c>
      <c r="E14895" s="8">
        <f t="shared" si="245"/>
        <v>2008</v>
      </c>
      <c r="F14895" t="s">
        <v>2358</v>
      </c>
      <c r="G14895" s="9">
        <v>29812.45</v>
      </c>
      <c r="H14895" s="8">
        <v>163</v>
      </c>
    </row>
    <row r="14896" spans="2:8" x14ac:dyDescent="0.4">
      <c r="B14896" t="s">
        <v>7</v>
      </c>
      <c r="C14896" t="s">
        <v>2354</v>
      </c>
      <c r="D14896" s="7">
        <f>DATE(2009,4,10)</f>
        <v>39913</v>
      </c>
      <c r="E14896" s="8">
        <f t="shared" si="245"/>
        <v>2009</v>
      </c>
      <c r="F14896" t="s">
        <v>2358</v>
      </c>
      <c r="G14896" s="9">
        <v>30466.92</v>
      </c>
      <c r="H14896" s="8">
        <v>191</v>
      </c>
    </row>
    <row r="14897" spans="2:8" x14ac:dyDescent="0.4">
      <c r="B14897" t="s">
        <v>7</v>
      </c>
      <c r="C14897" t="s">
        <v>2354</v>
      </c>
      <c r="D14897" s="7">
        <f>DATE(2010,2,26)</f>
        <v>40235</v>
      </c>
      <c r="E14897" s="8">
        <f t="shared" si="245"/>
        <v>2010</v>
      </c>
      <c r="F14897" t="s">
        <v>2358</v>
      </c>
      <c r="G14897" s="9">
        <v>41095.39</v>
      </c>
      <c r="H14897" s="8">
        <v>245</v>
      </c>
    </row>
    <row r="14898" spans="2:8" x14ac:dyDescent="0.4">
      <c r="B14898" t="s">
        <v>7</v>
      </c>
      <c r="C14898" t="s">
        <v>2354</v>
      </c>
      <c r="D14898" s="7">
        <f>DATE(2004,3,7)</f>
        <v>38053</v>
      </c>
      <c r="E14898" s="8">
        <f t="shared" si="245"/>
        <v>2004</v>
      </c>
      <c r="F14898" t="s">
        <v>2359</v>
      </c>
      <c r="G14898" s="9">
        <v>30500</v>
      </c>
      <c r="H14898" s="8">
        <v>1134</v>
      </c>
    </row>
    <row r="14899" spans="2:8" x14ac:dyDescent="0.4">
      <c r="B14899" t="s">
        <v>7</v>
      </c>
      <c r="C14899" t="s">
        <v>2354</v>
      </c>
      <c r="D14899" s="7">
        <f>DATE(2004,12,15)</f>
        <v>38336</v>
      </c>
      <c r="E14899" s="8">
        <f t="shared" si="245"/>
        <v>2004</v>
      </c>
      <c r="F14899" t="s">
        <v>2359</v>
      </c>
      <c r="G14899" s="9">
        <v>3652.79</v>
      </c>
      <c r="H14899" s="8">
        <v>2508</v>
      </c>
    </row>
    <row r="14900" spans="2:8" x14ac:dyDescent="0.4">
      <c r="B14900" t="s">
        <v>7</v>
      </c>
      <c r="C14900" t="s">
        <v>2354</v>
      </c>
      <c r="D14900" s="7">
        <f>DATE(2004,4,28)</f>
        <v>38105</v>
      </c>
      <c r="E14900" s="8">
        <f t="shared" si="245"/>
        <v>2004</v>
      </c>
      <c r="F14900" t="s">
        <v>2359</v>
      </c>
      <c r="G14900" s="9">
        <v>38143.72</v>
      </c>
      <c r="H14900" s="8">
        <v>34</v>
      </c>
    </row>
    <row r="14901" spans="2:8" x14ac:dyDescent="0.4">
      <c r="B14901" t="s">
        <v>7</v>
      </c>
      <c r="C14901" t="s">
        <v>2354</v>
      </c>
      <c r="D14901" s="7">
        <f>DATE(2003,1,23)</f>
        <v>37644</v>
      </c>
      <c r="E14901" s="8">
        <f t="shared" si="245"/>
        <v>2003</v>
      </c>
      <c r="F14901" t="s">
        <v>2360</v>
      </c>
      <c r="G14901" s="9">
        <v>4087.16</v>
      </c>
      <c r="H14901" s="8">
        <v>83</v>
      </c>
    </row>
    <row r="14902" spans="2:8" x14ac:dyDescent="0.4">
      <c r="B14902" t="s">
        <v>7</v>
      </c>
      <c r="C14902" t="s">
        <v>2354</v>
      </c>
      <c r="D14902" s="7">
        <f>DATE(2003,2,24)</f>
        <v>37676</v>
      </c>
      <c r="E14902" s="8">
        <f t="shared" si="245"/>
        <v>2003</v>
      </c>
      <c r="F14902" t="s">
        <v>2360</v>
      </c>
      <c r="G14902" s="9">
        <v>5462.41</v>
      </c>
      <c r="H14902" s="8">
        <v>283</v>
      </c>
    </row>
    <row r="14903" spans="2:8" x14ac:dyDescent="0.4">
      <c r="B14903" t="s">
        <v>7</v>
      </c>
      <c r="C14903" t="s">
        <v>2354</v>
      </c>
      <c r="D14903" s="7">
        <f>DATE(2004,2,22)</f>
        <v>38039</v>
      </c>
      <c r="E14903" s="8">
        <f t="shared" si="245"/>
        <v>2004</v>
      </c>
      <c r="F14903" t="s">
        <v>2360</v>
      </c>
      <c r="G14903" s="9">
        <v>4976.4799999999996</v>
      </c>
      <c r="H14903" s="8">
        <v>1410</v>
      </c>
    </row>
    <row r="14904" spans="2:8" x14ac:dyDescent="0.4">
      <c r="B14904" s="3" t="s">
        <v>7</v>
      </c>
      <c r="C14904" s="3" t="s">
        <v>2354</v>
      </c>
      <c r="D14904" s="4">
        <f>DATE(2006,4,15)</f>
        <v>38822</v>
      </c>
      <c r="E14904" s="5">
        <f t="shared" si="245"/>
        <v>2006</v>
      </c>
      <c r="F14904" s="3" t="s">
        <v>2360</v>
      </c>
      <c r="G14904" s="6">
        <v>5700</v>
      </c>
      <c r="H14904" s="5">
        <v>6172</v>
      </c>
    </row>
    <row r="14905" spans="2:8" x14ac:dyDescent="0.4">
      <c r="B14905" t="s">
        <v>7</v>
      </c>
      <c r="C14905" t="s">
        <v>2361</v>
      </c>
      <c r="D14905" s="7">
        <f>DATE(2005,2,12)</f>
        <v>38395</v>
      </c>
      <c r="E14905" s="8">
        <f t="shared" si="245"/>
        <v>2005</v>
      </c>
      <c r="F14905" t="s">
        <v>2360</v>
      </c>
      <c r="G14905" s="9">
        <v>24000</v>
      </c>
      <c r="H14905" s="8">
        <v>53</v>
      </c>
    </row>
    <row r="14906" spans="2:8" x14ac:dyDescent="0.4">
      <c r="B14906" t="s">
        <v>7</v>
      </c>
      <c r="C14906" t="s">
        <v>2354</v>
      </c>
      <c r="D14906" s="7">
        <f>DATE(2005,3,21)</f>
        <v>38432</v>
      </c>
      <c r="E14906" s="8">
        <f t="shared" si="245"/>
        <v>2005</v>
      </c>
      <c r="F14906" t="s">
        <v>2362</v>
      </c>
      <c r="G14906" s="9">
        <v>390</v>
      </c>
      <c r="H14906" s="8">
        <v>2974</v>
      </c>
    </row>
    <row r="14907" spans="2:8" x14ac:dyDescent="0.4">
      <c r="B14907" t="s">
        <v>7</v>
      </c>
      <c r="C14907" t="s">
        <v>2354</v>
      </c>
      <c r="D14907" s="7">
        <f>DATE(2005,12,8)</f>
        <v>38694</v>
      </c>
      <c r="E14907" s="8">
        <f t="shared" si="245"/>
        <v>2005</v>
      </c>
      <c r="F14907" t="s">
        <v>2362</v>
      </c>
      <c r="G14907" s="9">
        <v>9292.93</v>
      </c>
      <c r="H14907" s="8">
        <v>3793</v>
      </c>
    </row>
    <row r="14908" spans="2:8" x14ac:dyDescent="0.4">
      <c r="B14908" t="s">
        <v>7</v>
      </c>
      <c r="C14908" t="s">
        <v>2354</v>
      </c>
      <c r="D14908" s="7">
        <f>DATE(2006,3,24)</f>
        <v>38800</v>
      </c>
      <c r="E14908" s="8">
        <f t="shared" si="245"/>
        <v>2006</v>
      </c>
      <c r="F14908" t="s">
        <v>2362</v>
      </c>
      <c r="G14908" s="9">
        <v>10683</v>
      </c>
      <c r="H14908" s="8">
        <v>4095</v>
      </c>
    </row>
    <row r="14909" spans="2:8" x14ac:dyDescent="0.4">
      <c r="B14909" t="s">
        <v>7</v>
      </c>
      <c r="C14909" t="s">
        <v>2354</v>
      </c>
      <c r="D14909" s="7">
        <f>DATE(2006,5,3)</f>
        <v>38840</v>
      </c>
      <c r="E14909" s="8">
        <f t="shared" si="245"/>
        <v>2006</v>
      </c>
      <c r="F14909" t="s">
        <v>2362</v>
      </c>
      <c r="G14909" s="9">
        <v>10683</v>
      </c>
      <c r="H14909" s="8">
        <v>4097</v>
      </c>
    </row>
    <row r="14910" spans="2:8" x14ac:dyDescent="0.4">
      <c r="B14910" t="s">
        <v>7</v>
      </c>
      <c r="C14910" t="s">
        <v>2354</v>
      </c>
      <c r="D14910" s="7">
        <f>DATE(2006,5,15)</f>
        <v>38852</v>
      </c>
      <c r="E14910" s="8">
        <f t="shared" si="245"/>
        <v>2006</v>
      </c>
      <c r="F14910" t="s">
        <v>2362</v>
      </c>
      <c r="G14910" s="9">
        <v>42753.4</v>
      </c>
      <c r="H14910" s="8">
        <v>4763</v>
      </c>
    </row>
    <row r="14911" spans="2:8" x14ac:dyDescent="0.4">
      <c r="B14911" t="s">
        <v>7</v>
      </c>
      <c r="C14911" t="s">
        <v>2354</v>
      </c>
      <c r="D14911" s="7">
        <f>DATE(2006,6,12)</f>
        <v>38880</v>
      </c>
      <c r="E14911" s="8">
        <f t="shared" si="245"/>
        <v>2006</v>
      </c>
      <c r="F14911" t="s">
        <v>2362</v>
      </c>
      <c r="G14911" s="9">
        <v>148262</v>
      </c>
      <c r="H14911" s="8">
        <v>4621</v>
      </c>
    </row>
    <row r="14912" spans="2:8" x14ac:dyDescent="0.4">
      <c r="B14912" t="s">
        <v>7</v>
      </c>
      <c r="C14912" t="s">
        <v>2354</v>
      </c>
      <c r="D14912" s="7">
        <f>DATE(2006,7,7)</f>
        <v>38905</v>
      </c>
      <c r="E14912" s="8">
        <f t="shared" si="245"/>
        <v>2006</v>
      </c>
      <c r="F14912" t="s">
        <v>2362</v>
      </c>
      <c r="G14912" s="9">
        <v>17828.560000000001</v>
      </c>
      <c r="H14912" s="8">
        <v>4770</v>
      </c>
    </row>
    <row r="14913" spans="2:8" x14ac:dyDescent="0.4">
      <c r="B14913" t="s">
        <v>7</v>
      </c>
      <c r="C14913" t="s">
        <v>2354</v>
      </c>
      <c r="D14913" s="7">
        <f>DATE(2006,7,7)</f>
        <v>38905</v>
      </c>
      <c r="E14913" s="8">
        <f t="shared" si="245"/>
        <v>2006</v>
      </c>
      <c r="F14913" t="s">
        <v>2362</v>
      </c>
      <c r="G14913" s="9">
        <v>92126.07</v>
      </c>
      <c r="H14913" s="8">
        <v>4691</v>
      </c>
    </row>
    <row r="14914" spans="2:8" x14ac:dyDescent="0.4">
      <c r="B14914" t="s">
        <v>7</v>
      </c>
      <c r="C14914" t="s">
        <v>2354</v>
      </c>
      <c r="D14914" s="7">
        <f>DATE(2007,5,1)</f>
        <v>39203</v>
      </c>
      <c r="E14914" s="8">
        <f t="shared" si="245"/>
        <v>2007</v>
      </c>
      <c r="F14914" t="s">
        <v>2362</v>
      </c>
      <c r="G14914" s="9">
        <v>73000</v>
      </c>
      <c r="H14914" s="8">
        <v>5522</v>
      </c>
    </row>
    <row r="14915" spans="2:8" x14ac:dyDescent="0.4">
      <c r="B14915" t="s">
        <v>7</v>
      </c>
      <c r="C14915" t="s">
        <v>2354</v>
      </c>
      <c r="D14915" s="7">
        <f>DATE(2007,6,6)</f>
        <v>39239</v>
      </c>
      <c r="E14915" s="8">
        <f t="shared" ref="E14915:E14978" si="246">YEAR(D14915)</f>
        <v>2007</v>
      </c>
      <c r="F14915" t="s">
        <v>2362</v>
      </c>
      <c r="G14915" s="9">
        <v>8217.75</v>
      </c>
      <c r="H14915" s="8">
        <v>6054</v>
      </c>
    </row>
    <row r="14916" spans="2:8" x14ac:dyDescent="0.4">
      <c r="B14916" t="s">
        <v>7</v>
      </c>
      <c r="C14916" t="s">
        <v>2354</v>
      </c>
      <c r="D14916" s="7">
        <f>DATE(2007,6,25)</f>
        <v>39258</v>
      </c>
      <c r="E14916" s="8">
        <f t="shared" si="246"/>
        <v>2007</v>
      </c>
      <c r="F14916" t="s">
        <v>2362</v>
      </c>
      <c r="G14916" s="9">
        <v>12114.64</v>
      </c>
      <c r="H14916" s="8">
        <v>6113</v>
      </c>
    </row>
    <row r="14917" spans="2:8" x14ac:dyDescent="0.4">
      <c r="B14917" t="s">
        <v>7</v>
      </c>
      <c r="C14917" t="s">
        <v>2354</v>
      </c>
      <c r="D14917" s="7">
        <f>DATE(2007,11,7)</f>
        <v>39393</v>
      </c>
      <c r="E14917" s="8">
        <f t="shared" si="246"/>
        <v>2007</v>
      </c>
      <c r="F14917" t="s">
        <v>2362</v>
      </c>
      <c r="G14917" s="9">
        <v>6408.27</v>
      </c>
      <c r="H14917" s="8">
        <v>6556</v>
      </c>
    </row>
    <row r="14918" spans="2:8" x14ac:dyDescent="0.4">
      <c r="B14918" t="s">
        <v>7</v>
      </c>
      <c r="C14918" t="s">
        <v>2354</v>
      </c>
      <c r="D14918" s="7">
        <f>DATE(2007,11,30)</f>
        <v>39416</v>
      </c>
      <c r="E14918" s="8">
        <f t="shared" si="246"/>
        <v>2007</v>
      </c>
      <c r="F14918" t="s">
        <v>2362</v>
      </c>
      <c r="G14918" s="9">
        <v>11774.61</v>
      </c>
      <c r="H14918" s="8">
        <v>6607</v>
      </c>
    </row>
    <row r="14919" spans="2:8" x14ac:dyDescent="0.4">
      <c r="B14919" t="s">
        <v>7</v>
      </c>
      <c r="C14919" t="s">
        <v>2354</v>
      </c>
      <c r="D14919" s="7">
        <f>DATE(2008,2,9)</f>
        <v>39487</v>
      </c>
      <c r="E14919" s="8">
        <f t="shared" si="246"/>
        <v>2008</v>
      </c>
      <c r="F14919" t="s">
        <v>2362</v>
      </c>
      <c r="G14919" s="9">
        <v>6025.86</v>
      </c>
      <c r="H14919" s="8">
        <v>6996</v>
      </c>
    </row>
    <row r="14920" spans="2:8" x14ac:dyDescent="0.4">
      <c r="B14920" t="s">
        <v>7</v>
      </c>
      <c r="C14920" t="s">
        <v>2354</v>
      </c>
      <c r="D14920" s="7">
        <f>DATE(2008,12,14)</f>
        <v>39796</v>
      </c>
      <c r="E14920" s="8">
        <f t="shared" si="246"/>
        <v>2008</v>
      </c>
      <c r="F14920" t="s">
        <v>2362</v>
      </c>
      <c r="G14920" s="9">
        <v>9067.5400000000009</v>
      </c>
      <c r="H14920" s="8">
        <v>8111</v>
      </c>
    </row>
    <row r="14921" spans="2:8" x14ac:dyDescent="0.4">
      <c r="B14921" t="s">
        <v>7</v>
      </c>
      <c r="C14921" t="s">
        <v>2354</v>
      </c>
      <c r="D14921" s="7">
        <f>DATE(2009,3,4)</f>
        <v>39876</v>
      </c>
      <c r="E14921" s="8">
        <f t="shared" si="246"/>
        <v>2009</v>
      </c>
      <c r="F14921" t="s">
        <v>2362</v>
      </c>
      <c r="G14921" s="9">
        <v>9325</v>
      </c>
      <c r="H14921" s="8">
        <v>8338</v>
      </c>
    </row>
    <row r="14922" spans="2:8" x14ac:dyDescent="0.4">
      <c r="B14922" s="3" t="s">
        <v>7</v>
      </c>
      <c r="C14922" s="3" t="s">
        <v>2354</v>
      </c>
      <c r="D14922" s="4">
        <f>DATE(2007,4,9)</f>
        <v>39181</v>
      </c>
      <c r="E14922" s="5">
        <f t="shared" si="246"/>
        <v>2007</v>
      </c>
      <c r="F14922" s="3" t="s">
        <v>2362</v>
      </c>
      <c r="G14922" s="6">
        <v>6000</v>
      </c>
      <c r="H14922" s="5">
        <v>8327</v>
      </c>
    </row>
    <row r="14923" spans="2:8" x14ac:dyDescent="0.4">
      <c r="B14923" s="3" t="s">
        <v>7</v>
      </c>
      <c r="C14923" s="3" t="s">
        <v>2354</v>
      </c>
      <c r="D14923" s="4">
        <f>DATE(2008,4,11)</f>
        <v>39549</v>
      </c>
      <c r="E14923" s="5">
        <f t="shared" si="246"/>
        <v>2008</v>
      </c>
      <c r="F14923" s="3" t="s">
        <v>2362</v>
      </c>
      <c r="G14923" s="6">
        <v>6000</v>
      </c>
      <c r="H14923" s="5">
        <v>10256</v>
      </c>
    </row>
    <row r="14924" spans="2:8" x14ac:dyDescent="0.4">
      <c r="B14924" s="3" t="s">
        <v>7</v>
      </c>
      <c r="C14924" s="3" t="s">
        <v>2354</v>
      </c>
      <c r="D14924" s="4">
        <f>DATE(2008,6,1)</f>
        <v>39600</v>
      </c>
      <c r="E14924" s="5">
        <f t="shared" si="246"/>
        <v>2008</v>
      </c>
      <c r="F14924" s="3" t="s">
        <v>2362</v>
      </c>
      <c r="G14924" s="6">
        <v>7200</v>
      </c>
      <c r="H14924" s="5">
        <v>10257</v>
      </c>
    </row>
    <row r="14925" spans="2:8" x14ac:dyDescent="0.4">
      <c r="B14925" s="3" t="s">
        <v>7</v>
      </c>
      <c r="C14925" s="3" t="s">
        <v>2354</v>
      </c>
      <c r="D14925" s="4">
        <f>DATE(2009,3,4)</f>
        <v>39876</v>
      </c>
      <c r="E14925" s="5">
        <f t="shared" si="246"/>
        <v>2009</v>
      </c>
      <c r="F14925" s="3" t="s">
        <v>2362</v>
      </c>
      <c r="G14925" s="6">
        <v>7810</v>
      </c>
      <c r="H14925" s="5">
        <v>11952</v>
      </c>
    </row>
    <row r="14926" spans="2:8" x14ac:dyDescent="0.4">
      <c r="B14926" t="s">
        <v>7</v>
      </c>
      <c r="C14926" t="s">
        <v>2354</v>
      </c>
      <c r="D14926" s="7">
        <f>DATE(2006,4,16)</f>
        <v>38823</v>
      </c>
      <c r="E14926" s="8">
        <f t="shared" si="246"/>
        <v>2006</v>
      </c>
      <c r="F14926" t="s">
        <v>2362</v>
      </c>
      <c r="G14926" s="9">
        <v>18075</v>
      </c>
      <c r="H14926" s="8">
        <v>115</v>
      </c>
    </row>
    <row r="14927" spans="2:8" x14ac:dyDescent="0.4">
      <c r="B14927" t="s">
        <v>7</v>
      </c>
      <c r="C14927" t="s">
        <v>2354</v>
      </c>
      <c r="D14927" s="7">
        <f>DATE(2007,4,14)</f>
        <v>39186</v>
      </c>
      <c r="E14927" s="8">
        <f t="shared" si="246"/>
        <v>2007</v>
      </c>
      <c r="F14927" t="s">
        <v>2362</v>
      </c>
      <c r="G14927" s="9">
        <v>45556.27</v>
      </c>
      <c r="H14927" s="8">
        <v>128</v>
      </c>
    </row>
    <row r="14928" spans="2:8" x14ac:dyDescent="0.4">
      <c r="B14928" t="s">
        <v>7</v>
      </c>
      <c r="C14928" t="s">
        <v>2354</v>
      </c>
      <c r="D14928" s="7">
        <f>DATE(2008,4,11)</f>
        <v>39549</v>
      </c>
      <c r="E14928" s="8">
        <f t="shared" si="246"/>
        <v>2008</v>
      </c>
      <c r="F14928" t="s">
        <v>2362</v>
      </c>
      <c r="G14928" s="9">
        <v>47532.67</v>
      </c>
      <c r="H14928" s="8">
        <v>161</v>
      </c>
    </row>
    <row r="14929" spans="2:8" x14ac:dyDescent="0.4">
      <c r="B14929" t="s">
        <v>7</v>
      </c>
      <c r="C14929" t="s">
        <v>2354</v>
      </c>
      <c r="D14929" s="7">
        <f>DATE(2008,5,1)</f>
        <v>39569</v>
      </c>
      <c r="E14929" s="8">
        <f t="shared" si="246"/>
        <v>2008</v>
      </c>
      <c r="F14929" t="s">
        <v>2362</v>
      </c>
      <c r="G14929" s="9">
        <v>47954.2</v>
      </c>
      <c r="H14929" s="8">
        <v>162</v>
      </c>
    </row>
    <row r="14930" spans="2:8" x14ac:dyDescent="0.4">
      <c r="B14930" t="s">
        <v>7</v>
      </c>
      <c r="C14930" t="s">
        <v>2354</v>
      </c>
      <c r="D14930" s="7">
        <f>DATE(2009,3,4)</f>
        <v>39876</v>
      </c>
      <c r="E14930" s="8">
        <f t="shared" si="246"/>
        <v>2009</v>
      </c>
      <c r="F14930" t="s">
        <v>2362</v>
      </c>
      <c r="G14930" s="9">
        <v>9118.59</v>
      </c>
      <c r="H14930" s="8">
        <v>198</v>
      </c>
    </row>
    <row r="14931" spans="2:8" x14ac:dyDescent="0.4">
      <c r="B14931" t="s">
        <v>7</v>
      </c>
      <c r="C14931" t="s">
        <v>2354</v>
      </c>
      <c r="D14931" s="7">
        <f>DATE(2009,4,3)</f>
        <v>39906</v>
      </c>
      <c r="E14931" s="8">
        <f t="shared" si="246"/>
        <v>2009</v>
      </c>
      <c r="F14931" t="s">
        <v>2362</v>
      </c>
      <c r="G14931" s="9">
        <v>48734.080000000002</v>
      </c>
      <c r="H14931" s="8">
        <v>205</v>
      </c>
    </row>
    <row r="14932" spans="2:8" x14ac:dyDescent="0.4">
      <c r="B14932" t="s">
        <v>7</v>
      </c>
      <c r="C14932" t="s">
        <v>2354</v>
      </c>
      <c r="D14932" s="7">
        <f>DATE(2010,4,27)</f>
        <v>40295</v>
      </c>
      <c r="E14932" s="8">
        <f t="shared" si="246"/>
        <v>2010</v>
      </c>
      <c r="F14932" t="s">
        <v>2362</v>
      </c>
      <c r="G14932" s="9">
        <v>60684.19</v>
      </c>
      <c r="H14932" s="8">
        <v>254</v>
      </c>
    </row>
    <row r="14933" spans="2:8" x14ac:dyDescent="0.4">
      <c r="B14933" t="s">
        <v>7</v>
      </c>
      <c r="C14933" t="s">
        <v>2363</v>
      </c>
      <c r="D14933" s="7">
        <f>DATE(2008,3,21)</f>
        <v>39528</v>
      </c>
      <c r="E14933" s="8">
        <f t="shared" si="246"/>
        <v>2008</v>
      </c>
      <c r="F14933" t="s">
        <v>2364</v>
      </c>
      <c r="G14933" s="9">
        <v>1750</v>
      </c>
      <c r="H14933" s="8">
        <v>7223</v>
      </c>
    </row>
    <row r="14934" spans="2:8" x14ac:dyDescent="0.4">
      <c r="B14934" t="s">
        <v>7</v>
      </c>
      <c r="C14934" t="s">
        <v>1454</v>
      </c>
      <c r="D14934" s="7">
        <f>DATE(2018,3,7)</f>
        <v>43166</v>
      </c>
      <c r="E14934" s="8">
        <f t="shared" si="246"/>
        <v>2018</v>
      </c>
      <c r="F14934" t="s">
        <v>2365</v>
      </c>
      <c r="G14934" s="9">
        <v>1487</v>
      </c>
      <c r="H14934" s="8">
        <v>26486</v>
      </c>
    </row>
    <row r="14935" spans="2:8" x14ac:dyDescent="0.4">
      <c r="B14935" t="s">
        <v>7</v>
      </c>
      <c r="C14935" t="s">
        <v>1454</v>
      </c>
      <c r="D14935" s="7">
        <f>DATE(2007,1,3)</f>
        <v>39085</v>
      </c>
      <c r="E14935" s="8">
        <f t="shared" si="246"/>
        <v>2007</v>
      </c>
      <c r="F14935" t="s">
        <v>2365</v>
      </c>
      <c r="G14935" s="9">
        <v>866.68</v>
      </c>
      <c r="H14935" s="8">
        <v>5296</v>
      </c>
    </row>
    <row r="14936" spans="2:8" x14ac:dyDescent="0.4">
      <c r="B14936" s="3" t="s">
        <v>7</v>
      </c>
      <c r="C14936" s="3" t="s">
        <v>1454</v>
      </c>
      <c r="D14936" s="4">
        <f>DATE(2006,9,13)</f>
        <v>38973</v>
      </c>
      <c r="E14936" s="5">
        <f t="shared" si="246"/>
        <v>2006</v>
      </c>
      <c r="F14936" s="3" t="s">
        <v>2365</v>
      </c>
      <c r="G14936" s="6">
        <v>228.5</v>
      </c>
      <c r="H14936" s="5">
        <v>7227</v>
      </c>
    </row>
    <row r="14937" spans="2:8" x14ac:dyDescent="0.4">
      <c r="B14937" s="3" t="s">
        <v>7</v>
      </c>
      <c r="C14937" s="3" t="s">
        <v>1454</v>
      </c>
      <c r="D14937" s="4">
        <f>DATE(2007,4,10)</f>
        <v>39182</v>
      </c>
      <c r="E14937" s="5">
        <f t="shared" si="246"/>
        <v>2007</v>
      </c>
      <c r="F14937" s="3" t="s">
        <v>2365</v>
      </c>
      <c r="G14937" s="6">
        <v>1104</v>
      </c>
      <c r="H14937" s="5">
        <v>8306</v>
      </c>
    </row>
    <row r="14938" spans="2:8" x14ac:dyDescent="0.4">
      <c r="B14938" s="3" t="s">
        <v>7</v>
      </c>
      <c r="C14938" s="3" t="s">
        <v>1454</v>
      </c>
      <c r="D14938" s="4">
        <f>DATE(2012,8,15)</f>
        <v>41136</v>
      </c>
      <c r="E14938" s="5">
        <f t="shared" si="246"/>
        <v>2012</v>
      </c>
      <c r="F14938" s="3" t="s">
        <v>2365</v>
      </c>
      <c r="G14938" s="6">
        <v>232.5</v>
      </c>
      <c r="H14938" s="5">
        <v>17458</v>
      </c>
    </row>
    <row r="14939" spans="2:8" x14ac:dyDescent="0.4">
      <c r="B14939" s="3" t="s">
        <v>7</v>
      </c>
      <c r="C14939" s="3" t="s">
        <v>1454</v>
      </c>
      <c r="D14939" s="4">
        <f>DATE(2014,11,3)</f>
        <v>41946</v>
      </c>
      <c r="E14939" s="5">
        <f t="shared" si="246"/>
        <v>2014</v>
      </c>
      <c r="F14939" s="3" t="s">
        <v>2365</v>
      </c>
      <c r="G14939" s="6">
        <v>1587.75</v>
      </c>
      <c r="H14939" s="5">
        <v>20575</v>
      </c>
    </row>
    <row r="14940" spans="2:8" x14ac:dyDescent="0.4">
      <c r="B14940" s="3" t="s">
        <v>7</v>
      </c>
      <c r="C14940" s="3" t="s">
        <v>2366</v>
      </c>
      <c r="D14940" s="4">
        <f>DATE(2013,4,9)</f>
        <v>41373</v>
      </c>
      <c r="E14940" s="5">
        <f t="shared" si="246"/>
        <v>2013</v>
      </c>
      <c r="F14940" s="3" t="s">
        <v>2367</v>
      </c>
      <c r="G14940" s="6">
        <v>12780</v>
      </c>
      <c r="H14940" s="5">
        <v>18376</v>
      </c>
    </row>
    <row r="14941" spans="2:8" x14ac:dyDescent="0.4">
      <c r="B14941" s="3" t="s">
        <v>7</v>
      </c>
      <c r="C14941" s="3" t="s">
        <v>2366</v>
      </c>
      <c r="D14941" s="4">
        <f>DATE(2013,6,10)</f>
        <v>41435</v>
      </c>
      <c r="E14941" s="5">
        <f t="shared" si="246"/>
        <v>2013</v>
      </c>
      <c r="F14941" s="3" t="s">
        <v>2367</v>
      </c>
      <c r="G14941" s="6">
        <v>52338</v>
      </c>
      <c r="H14941" s="5">
        <v>18509</v>
      </c>
    </row>
    <row r="14942" spans="2:8" x14ac:dyDescent="0.4">
      <c r="B14942" t="s">
        <v>7</v>
      </c>
      <c r="C14942" t="s">
        <v>2368</v>
      </c>
      <c r="D14942" s="7">
        <f>DATE(2010,1,22)</f>
        <v>40200</v>
      </c>
      <c r="E14942" s="8">
        <f t="shared" si="246"/>
        <v>2010</v>
      </c>
      <c r="F14942" t="s">
        <v>2369</v>
      </c>
      <c r="G14942" s="9">
        <v>4523</v>
      </c>
      <c r="H14942" s="8">
        <v>9374</v>
      </c>
    </row>
    <row r="14943" spans="2:8" x14ac:dyDescent="0.4">
      <c r="B14943" t="s">
        <v>7</v>
      </c>
      <c r="C14943" t="s">
        <v>1493</v>
      </c>
      <c r="D14943" s="7">
        <f>DATE(2012,12,20)</f>
        <v>41263</v>
      </c>
      <c r="E14943" s="8">
        <f t="shared" si="246"/>
        <v>2012</v>
      </c>
      <c r="F14943" t="s">
        <v>2370</v>
      </c>
      <c r="G14943" s="9">
        <v>6528.91</v>
      </c>
      <c r="H14943" s="8">
        <v>12051</v>
      </c>
    </row>
    <row r="14944" spans="2:8" x14ac:dyDescent="0.4">
      <c r="B14944" s="3" t="s">
        <v>7</v>
      </c>
      <c r="C14944" s="3" t="s">
        <v>1679</v>
      </c>
      <c r="D14944" s="4">
        <f>DATE(2005,3,24)</f>
        <v>38435</v>
      </c>
      <c r="E14944" s="5">
        <f t="shared" si="246"/>
        <v>2005</v>
      </c>
      <c r="F14944" s="3" t="s">
        <v>2371</v>
      </c>
      <c r="G14944" s="6">
        <v>254</v>
      </c>
      <c r="H14944" s="5">
        <v>4407</v>
      </c>
    </row>
    <row r="14945" spans="2:8" x14ac:dyDescent="0.4">
      <c r="B14945" s="3" t="s">
        <v>7</v>
      </c>
      <c r="C14945" s="3" t="s">
        <v>1679</v>
      </c>
      <c r="D14945" s="4">
        <f>DATE(2005,3,15)</f>
        <v>38426</v>
      </c>
      <c r="E14945" s="5">
        <f t="shared" si="246"/>
        <v>2005</v>
      </c>
      <c r="F14945" s="3" t="s">
        <v>2371</v>
      </c>
      <c r="G14945" s="6">
        <v>1578.65</v>
      </c>
      <c r="H14945" s="5">
        <v>4399</v>
      </c>
    </row>
    <row r="14946" spans="2:8" x14ac:dyDescent="0.4">
      <c r="B14946" s="3" t="s">
        <v>7</v>
      </c>
      <c r="C14946" s="3" t="s">
        <v>1679</v>
      </c>
      <c r="D14946" s="4">
        <f>DATE(2005,3,24)</f>
        <v>38435</v>
      </c>
      <c r="E14946" s="5">
        <f t="shared" si="246"/>
        <v>2005</v>
      </c>
      <c r="F14946" s="3" t="s">
        <v>2371</v>
      </c>
      <c r="G14946" s="6">
        <v>49.68</v>
      </c>
      <c r="H14946" s="5">
        <v>4616</v>
      </c>
    </row>
    <row r="14947" spans="2:8" x14ac:dyDescent="0.4">
      <c r="B14947" s="3" t="s">
        <v>7</v>
      </c>
      <c r="C14947" s="3" t="s">
        <v>1679</v>
      </c>
      <c r="D14947" s="4">
        <f>DATE(2005,9,20)</f>
        <v>38615</v>
      </c>
      <c r="E14947" s="5">
        <f t="shared" si="246"/>
        <v>2005</v>
      </c>
      <c r="F14947" s="3" t="s">
        <v>2371</v>
      </c>
      <c r="G14947" s="6">
        <v>1900</v>
      </c>
      <c r="H14947" s="5">
        <v>5296</v>
      </c>
    </row>
    <row r="14948" spans="2:8" x14ac:dyDescent="0.4">
      <c r="B14948" s="3" t="s">
        <v>7</v>
      </c>
      <c r="C14948" s="3" t="s">
        <v>2372</v>
      </c>
      <c r="D14948" s="4">
        <f>DATE(2014,3,21)</f>
        <v>41719</v>
      </c>
      <c r="E14948" s="5">
        <f t="shared" si="246"/>
        <v>2014</v>
      </c>
      <c r="F14948" s="3" t="s">
        <v>2373</v>
      </c>
      <c r="G14948" s="6">
        <v>318</v>
      </c>
      <c r="H14948" s="5">
        <v>6125</v>
      </c>
    </row>
    <row r="14949" spans="2:8" x14ac:dyDescent="0.4">
      <c r="B14949" t="s">
        <v>7</v>
      </c>
      <c r="C14949" t="s">
        <v>2374</v>
      </c>
      <c r="D14949" s="7">
        <f>DATE(2016,8,31)</f>
        <v>42613</v>
      </c>
      <c r="E14949" s="8">
        <f t="shared" si="246"/>
        <v>2016</v>
      </c>
      <c r="F14949" t="s">
        <v>2375</v>
      </c>
      <c r="G14949" s="9">
        <v>37285.07</v>
      </c>
      <c r="H14949" s="8">
        <v>22484</v>
      </c>
    </row>
    <row r="14950" spans="2:8" x14ac:dyDescent="0.4">
      <c r="B14950" t="s">
        <v>7</v>
      </c>
      <c r="C14950" t="s">
        <v>2374</v>
      </c>
      <c r="D14950" s="7">
        <f>DATE(2019,4,5)</f>
        <v>43560</v>
      </c>
      <c r="E14950" s="8">
        <f t="shared" si="246"/>
        <v>2019</v>
      </c>
      <c r="F14950" t="s">
        <v>2375</v>
      </c>
      <c r="G14950" s="9">
        <v>94449.16</v>
      </c>
      <c r="H14950" s="8">
        <v>27698</v>
      </c>
    </row>
    <row r="14951" spans="2:8" x14ac:dyDescent="0.4">
      <c r="B14951" s="3" t="s">
        <v>7</v>
      </c>
      <c r="C14951" s="3" t="s">
        <v>2374</v>
      </c>
      <c r="D14951" s="4">
        <f>DATE(2004,11,24)</f>
        <v>38315</v>
      </c>
      <c r="E14951" s="5">
        <f t="shared" si="246"/>
        <v>2004</v>
      </c>
      <c r="F14951" s="3" t="s">
        <v>2375</v>
      </c>
      <c r="G14951" s="6">
        <v>1596.62</v>
      </c>
      <c r="H14951" s="5">
        <v>2686</v>
      </c>
    </row>
    <row r="14952" spans="2:8" x14ac:dyDescent="0.4">
      <c r="B14952" s="3" t="s">
        <v>7</v>
      </c>
      <c r="C14952" s="3" t="s">
        <v>2374</v>
      </c>
      <c r="D14952" s="4">
        <f>DATE(2006,10,18)</f>
        <v>39008</v>
      </c>
      <c r="E14952" s="5">
        <f t="shared" si="246"/>
        <v>2006</v>
      </c>
      <c r="F14952" s="3" t="s">
        <v>2375</v>
      </c>
      <c r="G14952" s="6">
        <v>6265</v>
      </c>
      <c r="H14952" s="5">
        <v>6450</v>
      </c>
    </row>
    <row r="14953" spans="2:8" x14ac:dyDescent="0.4">
      <c r="B14953" s="3" t="s">
        <v>7</v>
      </c>
      <c r="C14953" s="3" t="s">
        <v>2374</v>
      </c>
      <c r="D14953" s="4">
        <f>DATE(2007,7,12)</f>
        <v>39275</v>
      </c>
      <c r="E14953" s="5">
        <f t="shared" si="246"/>
        <v>2007</v>
      </c>
      <c r="F14953" s="3" t="s">
        <v>2375</v>
      </c>
      <c r="G14953" s="6">
        <v>19655</v>
      </c>
      <c r="H14953" s="5">
        <v>7465</v>
      </c>
    </row>
    <row r="14954" spans="2:8" x14ac:dyDescent="0.4">
      <c r="B14954" s="3" t="s">
        <v>7</v>
      </c>
      <c r="C14954" s="3" t="s">
        <v>2374</v>
      </c>
      <c r="D14954" s="4">
        <f>DATE(2007,12,5)</f>
        <v>39421</v>
      </c>
      <c r="E14954" s="5">
        <f t="shared" si="246"/>
        <v>2007</v>
      </c>
      <c r="F14954" s="3" t="s">
        <v>2375</v>
      </c>
      <c r="G14954" s="6">
        <v>19873</v>
      </c>
      <c r="H14954" s="5">
        <v>7873</v>
      </c>
    </row>
    <row r="14955" spans="2:8" x14ac:dyDescent="0.4">
      <c r="B14955" s="3" t="s">
        <v>7</v>
      </c>
      <c r="C14955" s="3" t="s">
        <v>2374</v>
      </c>
      <c r="D14955" s="4">
        <f>DATE(2009,12,1)</f>
        <v>40148</v>
      </c>
      <c r="E14955" s="5">
        <f t="shared" si="246"/>
        <v>2009</v>
      </c>
      <c r="F14955" s="3" t="s">
        <v>2375</v>
      </c>
      <c r="G14955" s="6">
        <v>18047.75</v>
      </c>
      <c r="H14955" s="5">
        <v>11960</v>
      </c>
    </row>
    <row r="14956" spans="2:8" x14ac:dyDescent="0.4">
      <c r="B14956" s="3" t="s">
        <v>7</v>
      </c>
      <c r="C14956" s="3" t="s">
        <v>2374</v>
      </c>
      <c r="D14956" s="4">
        <f>DATE(2011,1,21)</f>
        <v>40564</v>
      </c>
      <c r="E14956" s="5">
        <f t="shared" si="246"/>
        <v>2011</v>
      </c>
      <c r="F14956" s="3" t="s">
        <v>2375</v>
      </c>
      <c r="G14956" s="6">
        <v>16579.080000000002</v>
      </c>
      <c r="H14956" s="5">
        <v>13567</v>
      </c>
    </row>
    <row r="14957" spans="2:8" x14ac:dyDescent="0.4">
      <c r="B14957" s="3" t="s">
        <v>7</v>
      </c>
      <c r="C14957" s="3" t="s">
        <v>2374</v>
      </c>
      <c r="D14957" s="4">
        <f>DATE(2012,12,20)</f>
        <v>41263</v>
      </c>
      <c r="E14957" s="5">
        <f t="shared" si="246"/>
        <v>2012</v>
      </c>
      <c r="F14957" s="3" t="s">
        <v>2375</v>
      </c>
      <c r="G14957" s="6">
        <v>34881.18</v>
      </c>
      <c r="H14957" s="5">
        <v>16767</v>
      </c>
    </row>
    <row r="14958" spans="2:8" x14ac:dyDescent="0.4">
      <c r="B14958" t="s">
        <v>7</v>
      </c>
      <c r="C14958" t="s">
        <v>2376</v>
      </c>
      <c r="D14958" s="7">
        <f>DATE(2015,2,9)</f>
        <v>42044</v>
      </c>
      <c r="E14958" s="8">
        <f t="shared" si="246"/>
        <v>2015</v>
      </c>
      <c r="F14958" t="s">
        <v>2377</v>
      </c>
      <c r="G14958" s="9">
        <v>2522.33</v>
      </c>
      <c r="H14958" s="8">
        <v>272</v>
      </c>
    </row>
    <row r="14959" spans="2:8" x14ac:dyDescent="0.4">
      <c r="B14959" t="s">
        <v>7</v>
      </c>
      <c r="C14959" t="s">
        <v>2376</v>
      </c>
      <c r="D14959" s="7">
        <f>DATE(2015,4,14)</f>
        <v>42108</v>
      </c>
      <c r="E14959" s="8">
        <f t="shared" si="246"/>
        <v>2015</v>
      </c>
      <c r="F14959" t="s">
        <v>2377</v>
      </c>
      <c r="G14959" s="9">
        <v>5372.06</v>
      </c>
      <c r="H14959" s="8">
        <v>20156</v>
      </c>
    </row>
    <row r="14960" spans="2:8" x14ac:dyDescent="0.4">
      <c r="B14960" t="s">
        <v>7</v>
      </c>
      <c r="C14960" t="s">
        <v>2376</v>
      </c>
      <c r="D14960" s="7">
        <f>DATE(2015,4,17)</f>
        <v>42111</v>
      </c>
      <c r="E14960" s="8">
        <f t="shared" si="246"/>
        <v>2015</v>
      </c>
      <c r="F14960" t="s">
        <v>2377</v>
      </c>
      <c r="G14960" s="9">
        <v>8370.93</v>
      </c>
      <c r="H14960" s="8">
        <v>20389</v>
      </c>
    </row>
    <row r="14961" spans="2:8" x14ac:dyDescent="0.4">
      <c r="B14961" t="s">
        <v>7</v>
      </c>
      <c r="C14961" t="s">
        <v>2376</v>
      </c>
      <c r="D14961" s="7">
        <f>DATE(2015,5,1)</f>
        <v>42125</v>
      </c>
      <c r="E14961" s="8">
        <f t="shared" si="246"/>
        <v>2015</v>
      </c>
      <c r="F14961" t="s">
        <v>2377</v>
      </c>
      <c r="G14961" s="9">
        <v>6015.9</v>
      </c>
      <c r="H14961" s="8">
        <v>20428</v>
      </c>
    </row>
    <row r="14962" spans="2:8" x14ac:dyDescent="0.4">
      <c r="B14962" t="s">
        <v>7</v>
      </c>
      <c r="C14962" t="s">
        <v>2376</v>
      </c>
      <c r="D14962" s="7">
        <f>DATE(2015,5,12)</f>
        <v>42136</v>
      </c>
      <c r="E14962" s="8">
        <f t="shared" si="246"/>
        <v>2015</v>
      </c>
      <c r="F14962" t="s">
        <v>2377</v>
      </c>
      <c r="G14962" s="9">
        <v>5369.33</v>
      </c>
      <c r="H14962" s="8">
        <v>20524</v>
      </c>
    </row>
    <row r="14963" spans="2:8" x14ac:dyDescent="0.4">
      <c r="B14963" t="s">
        <v>7</v>
      </c>
      <c r="C14963" t="s">
        <v>2376</v>
      </c>
      <c r="D14963" s="7">
        <f>DATE(2015,6,17)</f>
        <v>42172</v>
      </c>
      <c r="E14963" s="8">
        <f t="shared" si="246"/>
        <v>2015</v>
      </c>
      <c r="F14963" t="s">
        <v>2377</v>
      </c>
      <c r="G14963" s="9">
        <v>2816.54</v>
      </c>
      <c r="H14963" s="8">
        <v>20772</v>
      </c>
    </row>
    <row r="14964" spans="2:8" x14ac:dyDescent="0.4">
      <c r="B14964" t="s">
        <v>7</v>
      </c>
      <c r="C14964" t="s">
        <v>2376</v>
      </c>
      <c r="D14964" s="7">
        <f>DATE(2015,8,19)</f>
        <v>42235</v>
      </c>
      <c r="E14964" s="8">
        <f t="shared" si="246"/>
        <v>2015</v>
      </c>
      <c r="F14964" t="s">
        <v>2377</v>
      </c>
      <c r="G14964" s="9">
        <v>5237.58</v>
      </c>
      <c r="H14964" s="8">
        <v>21048</v>
      </c>
    </row>
    <row r="14965" spans="2:8" x14ac:dyDescent="0.4">
      <c r="B14965" t="s">
        <v>7</v>
      </c>
      <c r="C14965" t="s">
        <v>2376</v>
      </c>
      <c r="D14965" s="7">
        <f>DATE(2015,9,4)</f>
        <v>42251</v>
      </c>
      <c r="E14965" s="8">
        <f t="shared" si="246"/>
        <v>2015</v>
      </c>
      <c r="F14965" t="s">
        <v>2377</v>
      </c>
      <c r="G14965" s="9">
        <v>8478.6200000000008</v>
      </c>
      <c r="H14965" s="8">
        <v>21073</v>
      </c>
    </row>
    <row r="14966" spans="2:8" x14ac:dyDescent="0.4">
      <c r="B14966" t="s">
        <v>7</v>
      </c>
      <c r="C14966" t="s">
        <v>2376</v>
      </c>
      <c r="D14966" s="7">
        <f>DATE(2015,9,24)</f>
        <v>42271</v>
      </c>
      <c r="E14966" s="8">
        <f t="shared" si="246"/>
        <v>2015</v>
      </c>
      <c r="F14966" t="s">
        <v>2377</v>
      </c>
      <c r="G14966" s="9">
        <v>9033.82</v>
      </c>
      <c r="H14966" s="8">
        <v>21218</v>
      </c>
    </row>
    <row r="14967" spans="2:8" x14ac:dyDescent="0.4">
      <c r="B14967" t="s">
        <v>7</v>
      </c>
      <c r="C14967" t="s">
        <v>2376</v>
      </c>
      <c r="D14967" s="7">
        <f>DATE(2015,12,9)</f>
        <v>42347</v>
      </c>
      <c r="E14967" s="8">
        <f t="shared" si="246"/>
        <v>2015</v>
      </c>
      <c r="F14967" t="s">
        <v>2377</v>
      </c>
      <c r="G14967" s="9">
        <v>4652.72</v>
      </c>
      <c r="H14967" s="8">
        <v>21702</v>
      </c>
    </row>
    <row r="14968" spans="2:8" x14ac:dyDescent="0.4">
      <c r="B14968" t="s">
        <v>7</v>
      </c>
      <c r="C14968" t="s">
        <v>2376</v>
      </c>
      <c r="D14968" s="7">
        <f>DATE(2016,2,5)</f>
        <v>42405</v>
      </c>
      <c r="E14968" s="8">
        <f t="shared" si="246"/>
        <v>2016</v>
      </c>
      <c r="F14968" t="s">
        <v>2377</v>
      </c>
      <c r="G14968" s="9">
        <v>5282.81</v>
      </c>
      <c r="H14968" s="8">
        <v>22044</v>
      </c>
    </row>
    <row r="14969" spans="2:8" x14ac:dyDescent="0.4">
      <c r="B14969" t="s">
        <v>7</v>
      </c>
      <c r="C14969" t="s">
        <v>2376</v>
      </c>
      <c r="D14969" s="7">
        <f>DATE(2016,3,23)</f>
        <v>42452</v>
      </c>
      <c r="E14969" s="8">
        <f t="shared" si="246"/>
        <v>2016</v>
      </c>
      <c r="F14969" t="s">
        <v>2377</v>
      </c>
      <c r="G14969" s="9">
        <v>2811.05</v>
      </c>
      <c r="H14969" s="8">
        <v>22419</v>
      </c>
    </row>
    <row r="14970" spans="2:8" x14ac:dyDescent="0.4">
      <c r="B14970" t="s">
        <v>7</v>
      </c>
      <c r="C14970" t="s">
        <v>2376</v>
      </c>
      <c r="D14970" s="7">
        <f>DATE(2016,3,23)</f>
        <v>42452</v>
      </c>
      <c r="E14970" s="8">
        <f t="shared" si="246"/>
        <v>2016</v>
      </c>
      <c r="F14970" t="s">
        <v>2377</v>
      </c>
      <c r="G14970" s="9">
        <v>5424.79</v>
      </c>
      <c r="H14970" s="8">
        <v>22304</v>
      </c>
    </row>
    <row r="14971" spans="2:8" x14ac:dyDescent="0.4">
      <c r="B14971" t="s">
        <v>7</v>
      </c>
      <c r="C14971" t="s">
        <v>2376</v>
      </c>
      <c r="D14971" s="7">
        <f>DATE(2016,6,15)</f>
        <v>42536</v>
      </c>
      <c r="E14971" s="8">
        <f t="shared" si="246"/>
        <v>2016</v>
      </c>
      <c r="F14971" t="s">
        <v>2377</v>
      </c>
      <c r="G14971" s="9">
        <v>5280.51</v>
      </c>
      <c r="H14971" s="8">
        <v>22902</v>
      </c>
    </row>
    <row r="14972" spans="2:8" x14ac:dyDescent="0.4">
      <c r="B14972" t="s">
        <v>7</v>
      </c>
      <c r="C14972" t="s">
        <v>2376</v>
      </c>
      <c r="D14972" s="7">
        <f>DATE(2016,10,14)</f>
        <v>42657</v>
      </c>
      <c r="E14972" s="8">
        <f t="shared" si="246"/>
        <v>2016</v>
      </c>
      <c r="F14972" t="s">
        <v>2377</v>
      </c>
      <c r="G14972" s="9">
        <v>2818.08</v>
      </c>
      <c r="H14972" s="8">
        <v>23598</v>
      </c>
    </row>
    <row r="14973" spans="2:8" x14ac:dyDescent="0.4">
      <c r="B14973" t="s">
        <v>7</v>
      </c>
      <c r="C14973" t="s">
        <v>2376</v>
      </c>
      <c r="D14973" s="7">
        <f>DATE(2016,12,30)</f>
        <v>42734</v>
      </c>
      <c r="E14973" s="8">
        <f t="shared" si="246"/>
        <v>2016</v>
      </c>
      <c r="F14973" t="s">
        <v>2377</v>
      </c>
      <c r="G14973" s="9">
        <v>2843.09</v>
      </c>
      <c r="H14973" s="8">
        <v>23983</v>
      </c>
    </row>
    <row r="14974" spans="2:8" x14ac:dyDescent="0.4">
      <c r="B14974" t="s">
        <v>7</v>
      </c>
      <c r="C14974" t="s">
        <v>2376</v>
      </c>
      <c r="D14974" s="7">
        <f>DATE(2017,2,20)</f>
        <v>42786</v>
      </c>
      <c r="E14974" s="8">
        <f t="shared" si="246"/>
        <v>2017</v>
      </c>
      <c r="F14974" t="s">
        <v>2377</v>
      </c>
      <c r="G14974" s="9">
        <v>8310.64</v>
      </c>
      <c r="H14974" s="8">
        <v>24321</v>
      </c>
    </row>
    <row r="14975" spans="2:8" x14ac:dyDescent="0.4">
      <c r="B14975" t="s">
        <v>7</v>
      </c>
      <c r="C14975" t="s">
        <v>2376</v>
      </c>
      <c r="D14975" s="7">
        <f>DATE(2017,3,23)</f>
        <v>42817</v>
      </c>
      <c r="E14975" s="8">
        <f t="shared" si="246"/>
        <v>2017</v>
      </c>
      <c r="F14975" t="s">
        <v>2377</v>
      </c>
      <c r="G14975" s="9">
        <v>2533.15</v>
      </c>
      <c r="H14975" s="8">
        <v>24474</v>
      </c>
    </row>
    <row r="14976" spans="2:8" x14ac:dyDescent="0.4">
      <c r="B14976" t="s">
        <v>7</v>
      </c>
      <c r="C14976" t="s">
        <v>2376</v>
      </c>
      <c r="D14976" s="7">
        <f>DATE(2017,4,6)</f>
        <v>42831</v>
      </c>
      <c r="E14976" s="8">
        <f t="shared" si="246"/>
        <v>2017</v>
      </c>
      <c r="F14976" t="s">
        <v>2377</v>
      </c>
      <c r="G14976" s="9">
        <v>10775.81</v>
      </c>
      <c r="H14976" s="8">
        <v>24571</v>
      </c>
    </row>
    <row r="14977" spans="2:8" x14ac:dyDescent="0.4">
      <c r="B14977" t="s">
        <v>7</v>
      </c>
      <c r="C14977" t="s">
        <v>2376</v>
      </c>
      <c r="D14977" s="7">
        <f>DATE(2017,6,14)</f>
        <v>42900</v>
      </c>
      <c r="E14977" s="8">
        <f t="shared" si="246"/>
        <v>2017</v>
      </c>
      <c r="F14977" t="s">
        <v>2377</v>
      </c>
      <c r="G14977" s="9">
        <v>7719.08</v>
      </c>
      <c r="H14977" s="8">
        <v>25017</v>
      </c>
    </row>
    <row r="14978" spans="2:8" x14ac:dyDescent="0.4">
      <c r="B14978" t="s">
        <v>7</v>
      </c>
      <c r="C14978" t="s">
        <v>2376</v>
      </c>
      <c r="D14978" s="7">
        <f>DATE(2017,9,20)</f>
        <v>42998</v>
      </c>
      <c r="E14978" s="8">
        <f t="shared" si="246"/>
        <v>2017</v>
      </c>
      <c r="F14978" t="s">
        <v>2377</v>
      </c>
      <c r="G14978" s="9">
        <v>10333.67</v>
      </c>
      <c r="H14978" s="8">
        <v>25528</v>
      </c>
    </row>
    <row r="14979" spans="2:8" x14ac:dyDescent="0.4">
      <c r="B14979" t="s">
        <v>7</v>
      </c>
      <c r="C14979" t="s">
        <v>2376</v>
      </c>
      <c r="D14979" s="7">
        <f>DATE(2017,10,26)</f>
        <v>43034</v>
      </c>
      <c r="E14979" s="8">
        <f t="shared" ref="E14979:E15042" si="247">YEAR(D14979)</f>
        <v>2017</v>
      </c>
      <c r="F14979" t="s">
        <v>2377</v>
      </c>
      <c r="G14979" s="9">
        <v>2847.32</v>
      </c>
      <c r="H14979" s="8">
        <v>25777</v>
      </c>
    </row>
    <row r="14980" spans="2:8" x14ac:dyDescent="0.4">
      <c r="B14980" t="s">
        <v>7</v>
      </c>
      <c r="C14980" t="s">
        <v>2376</v>
      </c>
      <c r="D14980" s="7">
        <f>DATE(2017,10,27)</f>
        <v>43035</v>
      </c>
      <c r="E14980" s="8">
        <f t="shared" si="247"/>
        <v>2017</v>
      </c>
      <c r="F14980" t="s">
        <v>2377</v>
      </c>
      <c r="G14980" s="9">
        <v>7824.82</v>
      </c>
      <c r="H14980" s="8">
        <v>25672</v>
      </c>
    </row>
    <row r="14981" spans="2:8" x14ac:dyDescent="0.4">
      <c r="B14981" t="s">
        <v>7</v>
      </c>
      <c r="C14981" t="s">
        <v>2376</v>
      </c>
      <c r="D14981" s="7">
        <f>DATE(2018,1,30)</f>
        <v>43130</v>
      </c>
      <c r="E14981" s="8">
        <f t="shared" si="247"/>
        <v>2018</v>
      </c>
      <c r="F14981" t="s">
        <v>2377</v>
      </c>
      <c r="G14981" s="9">
        <v>2705.54</v>
      </c>
      <c r="H14981" s="8">
        <v>26285</v>
      </c>
    </row>
    <row r="14982" spans="2:8" x14ac:dyDescent="0.4">
      <c r="B14982" t="s">
        <v>7</v>
      </c>
      <c r="C14982" t="s">
        <v>2376</v>
      </c>
      <c r="D14982" s="7">
        <f>DATE(2018,3,2)</f>
        <v>43161</v>
      </c>
      <c r="E14982" s="8">
        <f t="shared" si="247"/>
        <v>2018</v>
      </c>
      <c r="F14982" t="s">
        <v>2377</v>
      </c>
      <c r="G14982" s="9">
        <v>17</v>
      </c>
      <c r="H14982" s="8">
        <v>26587</v>
      </c>
    </row>
    <row r="14983" spans="2:8" x14ac:dyDescent="0.4">
      <c r="B14983" t="s">
        <v>7</v>
      </c>
      <c r="C14983" t="s">
        <v>2376</v>
      </c>
      <c r="D14983" s="7">
        <f>DATE(2018,3,8)</f>
        <v>43167</v>
      </c>
      <c r="E14983" s="8">
        <f t="shared" si="247"/>
        <v>2018</v>
      </c>
      <c r="F14983" t="s">
        <v>2377</v>
      </c>
      <c r="G14983" s="9">
        <v>87.97</v>
      </c>
      <c r="H14983" s="8">
        <v>26615</v>
      </c>
    </row>
    <row r="14984" spans="2:8" x14ac:dyDescent="0.4">
      <c r="B14984" t="s">
        <v>7</v>
      </c>
      <c r="C14984" t="s">
        <v>2376</v>
      </c>
      <c r="D14984" s="7">
        <f>DATE(2018,3,9)</f>
        <v>43168</v>
      </c>
      <c r="E14984" s="8">
        <f t="shared" si="247"/>
        <v>2018</v>
      </c>
      <c r="F14984" t="s">
        <v>2377</v>
      </c>
      <c r="G14984" s="9">
        <v>1890.5</v>
      </c>
      <c r="H14984" s="8">
        <v>26620</v>
      </c>
    </row>
    <row r="14985" spans="2:8" x14ac:dyDescent="0.4">
      <c r="B14985" t="s">
        <v>7</v>
      </c>
      <c r="C14985" t="s">
        <v>2376</v>
      </c>
      <c r="D14985" s="7">
        <f>DATE(2018,5,10)</f>
        <v>43230</v>
      </c>
      <c r="E14985" s="8">
        <f t="shared" si="247"/>
        <v>2018</v>
      </c>
      <c r="F14985" t="s">
        <v>2377</v>
      </c>
      <c r="G14985" s="9">
        <v>5520.79</v>
      </c>
      <c r="H14985" s="8">
        <v>26998</v>
      </c>
    </row>
    <row r="14986" spans="2:8" x14ac:dyDescent="0.4">
      <c r="B14986" t="s">
        <v>7</v>
      </c>
      <c r="C14986" t="s">
        <v>2376</v>
      </c>
      <c r="D14986" s="7">
        <f>DATE(2018,6,13)</f>
        <v>43264</v>
      </c>
      <c r="E14986" s="8">
        <f t="shared" si="247"/>
        <v>2018</v>
      </c>
      <c r="F14986" t="s">
        <v>2377</v>
      </c>
      <c r="G14986" s="9">
        <v>4050.5</v>
      </c>
      <c r="H14986" s="8">
        <v>27175</v>
      </c>
    </row>
    <row r="14987" spans="2:8" x14ac:dyDescent="0.4">
      <c r="B14987" t="s">
        <v>7</v>
      </c>
      <c r="C14987" t="s">
        <v>2376</v>
      </c>
      <c r="D14987" s="7">
        <f>DATE(2018,6,18)</f>
        <v>43269</v>
      </c>
      <c r="E14987" s="8">
        <f t="shared" si="247"/>
        <v>2018</v>
      </c>
      <c r="F14987" t="s">
        <v>2377</v>
      </c>
      <c r="G14987" s="9">
        <v>5484.75</v>
      </c>
      <c r="H14987" s="8">
        <v>27216</v>
      </c>
    </row>
    <row r="14988" spans="2:8" x14ac:dyDescent="0.4">
      <c r="B14988" t="s">
        <v>7</v>
      </c>
      <c r="C14988" t="s">
        <v>2376</v>
      </c>
      <c r="D14988" s="7">
        <f>DATE(2018,6,28)</f>
        <v>43279</v>
      </c>
      <c r="E14988" s="8">
        <f t="shared" si="247"/>
        <v>2018</v>
      </c>
      <c r="F14988" t="s">
        <v>2377</v>
      </c>
      <c r="G14988" s="9">
        <v>138.97</v>
      </c>
      <c r="H14988" s="8">
        <v>27306</v>
      </c>
    </row>
    <row r="14989" spans="2:8" x14ac:dyDescent="0.4">
      <c r="B14989" t="s">
        <v>7</v>
      </c>
      <c r="C14989" t="s">
        <v>2376</v>
      </c>
      <c r="D14989" s="7">
        <f>DATE(2018,7,10)</f>
        <v>43291</v>
      </c>
      <c r="E14989" s="8">
        <f t="shared" si="247"/>
        <v>2018</v>
      </c>
      <c r="F14989" t="s">
        <v>2377</v>
      </c>
      <c r="G14989" s="9">
        <v>138.97</v>
      </c>
      <c r="H14989" s="8">
        <v>27311</v>
      </c>
    </row>
    <row r="14990" spans="2:8" x14ac:dyDescent="0.4">
      <c r="B14990" t="s">
        <v>7</v>
      </c>
      <c r="C14990" t="s">
        <v>2376</v>
      </c>
      <c r="D14990" s="7">
        <f>DATE(2018,7,18)</f>
        <v>43299</v>
      </c>
      <c r="E14990" s="8">
        <f t="shared" si="247"/>
        <v>2018</v>
      </c>
      <c r="F14990" t="s">
        <v>2377</v>
      </c>
      <c r="G14990" s="9">
        <v>9396.83</v>
      </c>
      <c r="H14990" s="8">
        <v>27361</v>
      </c>
    </row>
    <row r="14991" spans="2:8" x14ac:dyDescent="0.4">
      <c r="B14991" t="s">
        <v>7</v>
      </c>
      <c r="C14991" t="s">
        <v>2376</v>
      </c>
      <c r="D14991" s="7">
        <f>DATE(2018,8,22)</f>
        <v>43334</v>
      </c>
      <c r="E14991" s="8">
        <f t="shared" si="247"/>
        <v>2018</v>
      </c>
      <c r="F14991" t="s">
        <v>2377</v>
      </c>
      <c r="G14991" s="9">
        <v>138.97</v>
      </c>
      <c r="H14991" s="8">
        <v>27460</v>
      </c>
    </row>
    <row r="14992" spans="2:8" x14ac:dyDescent="0.4">
      <c r="B14992" t="s">
        <v>7</v>
      </c>
      <c r="C14992" t="s">
        <v>2376</v>
      </c>
      <c r="D14992" s="7">
        <f>DATE(2018,12,13)</f>
        <v>43447</v>
      </c>
      <c r="E14992" s="8">
        <f t="shared" si="247"/>
        <v>2018</v>
      </c>
      <c r="F14992" t="s">
        <v>2377</v>
      </c>
      <c r="G14992" s="9">
        <v>13255.61</v>
      </c>
      <c r="H14992" s="8">
        <v>27994</v>
      </c>
    </row>
    <row r="14993" spans="2:8" x14ac:dyDescent="0.4">
      <c r="B14993" t="s">
        <v>7</v>
      </c>
      <c r="C14993" t="s">
        <v>2376</v>
      </c>
      <c r="D14993" s="7">
        <f>DATE(2006,9,13)</f>
        <v>38973</v>
      </c>
      <c r="E14993" s="8">
        <f t="shared" si="247"/>
        <v>2006</v>
      </c>
      <c r="F14993" t="s">
        <v>2377</v>
      </c>
      <c r="G14993" s="9">
        <v>4145.47</v>
      </c>
      <c r="H14993" s="8">
        <v>5002</v>
      </c>
    </row>
    <row r="14994" spans="2:8" x14ac:dyDescent="0.4">
      <c r="B14994" t="s">
        <v>7</v>
      </c>
      <c r="C14994" t="s">
        <v>2376</v>
      </c>
      <c r="D14994" s="7">
        <f>DATE(2008,9,21)</f>
        <v>39712</v>
      </c>
      <c r="E14994" s="8">
        <f t="shared" si="247"/>
        <v>2008</v>
      </c>
      <c r="F14994" t="s">
        <v>2377</v>
      </c>
      <c r="G14994" s="9">
        <v>5929.4</v>
      </c>
      <c r="H14994" s="8">
        <v>7807</v>
      </c>
    </row>
    <row r="14995" spans="2:8" x14ac:dyDescent="0.4">
      <c r="B14995" s="3" t="s">
        <v>7</v>
      </c>
      <c r="C14995" s="3" t="s">
        <v>2376</v>
      </c>
      <c r="D14995" s="4">
        <f>DATE(2003,12,1)</f>
        <v>37956</v>
      </c>
      <c r="E14995" s="5">
        <f t="shared" si="247"/>
        <v>2003</v>
      </c>
      <c r="F14995" s="3" t="s">
        <v>2377</v>
      </c>
      <c r="G14995" s="6">
        <v>4216.5</v>
      </c>
      <c r="H14995" s="5">
        <v>1840</v>
      </c>
    </row>
    <row r="14996" spans="2:8" x14ac:dyDescent="0.4">
      <c r="B14996" s="3" t="s">
        <v>7</v>
      </c>
      <c r="C14996" s="3" t="s">
        <v>2376</v>
      </c>
      <c r="D14996" s="4">
        <f>DATE(2003,12,8)</f>
        <v>37963</v>
      </c>
      <c r="E14996" s="5">
        <f t="shared" si="247"/>
        <v>2003</v>
      </c>
      <c r="F14996" s="3" t="s">
        <v>2377</v>
      </c>
      <c r="G14996" s="6">
        <v>15028.6</v>
      </c>
      <c r="H14996" s="5">
        <v>1878</v>
      </c>
    </row>
    <row r="14997" spans="2:8" x14ac:dyDescent="0.4">
      <c r="B14997" s="3" t="s">
        <v>7</v>
      </c>
      <c r="C14997" s="3" t="s">
        <v>2376</v>
      </c>
      <c r="D14997" s="4">
        <f>DATE(2003,12,5)</f>
        <v>37960</v>
      </c>
      <c r="E14997" s="5">
        <f t="shared" si="247"/>
        <v>2003</v>
      </c>
      <c r="F14997" s="3" t="s">
        <v>2377</v>
      </c>
      <c r="G14997" s="6">
        <v>1476.6</v>
      </c>
      <c r="H14997" s="5">
        <v>1873</v>
      </c>
    </row>
    <row r="14998" spans="2:8" x14ac:dyDescent="0.4">
      <c r="B14998" s="3" t="s">
        <v>7</v>
      </c>
      <c r="C14998" s="3" t="s">
        <v>2376</v>
      </c>
      <c r="D14998" s="4">
        <f>DATE(2004,2,5)</f>
        <v>38022</v>
      </c>
      <c r="E14998" s="5">
        <f t="shared" si="247"/>
        <v>2004</v>
      </c>
      <c r="F14998" s="3" t="s">
        <v>2377</v>
      </c>
      <c r="G14998" s="6">
        <v>6383.8</v>
      </c>
      <c r="H14998" s="5">
        <v>2076</v>
      </c>
    </row>
    <row r="14999" spans="2:8" x14ac:dyDescent="0.4">
      <c r="B14999" s="3" t="s">
        <v>7</v>
      </c>
      <c r="C14999" s="3" t="s">
        <v>2376</v>
      </c>
      <c r="D14999" s="4">
        <f>DATE(2004,6,30)</f>
        <v>38168</v>
      </c>
      <c r="E14999" s="5">
        <f t="shared" si="247"/>
        <v>2004</v>
      </c>
      <c r="F14999" s="3" t="s">
        <v>2377</v>
      </c>
      <c r="G14999" s="6">
        <v>4771.6000000000004</v>
      </c>
      <c r="H14999" s="5">
        <v>2877</v>
      </c>
    </row>
    <row r="15000" spans="2:8" x14ac:dyDescent="0.4">
      <c r="B15000" s="3" t="s">
        <v>7</v>
      </c>
      <c r="C15000" s="3" t="s">
        <v>2376</v>
      </c>
      <c r="D15000" s="4">
        <f>DATE(2004,6,30)</f>
        <v>38168</v>
      </c>
      <c r="E15000" s="5">
        <f t="shared" si="247"/>
        <v>2004</v>
      </c>
      <c r="F15000" s="3" t="s">
        <v>2377</v>
      </c>
      <c r="G15000" s="6">
        <v>31846.400000000001</v>
      </c>
      <c r="H15000" s="5">
        <v>2840</v>
      </c>
    </row>
    <row r="15001" spans="2:8" x14ac:dyDescent="0.4">
      <c r="B15001" s="3" t="s">
        <v>7</v>
      </c>
      <c r="C15001" s="3" t="s">
        <v>2376</v>
      </c>
      <c r="D15001" s="4">
        <f>DATE(2004,7,12)</f>
        <v>38180</v>
      </c>
      <c r="E15001" s="5">
        <f t="shared" si="247"/>
        <v>2004</v>
      </c>
      <c r="F15001" s="3" t="s">
        <v>2377</v>
      </c>
      <c r="G15001" s="6">
        <v>12209.5</v>
      </c>
      <c r="H15001" s="5">
        <v>3091</v>
      </c>
    </row>
    <row r="15002" spans="2:8" x14ac:dyDescent="0.4">
      <c r="B15002" s="3" t="s">
        <v>7</v>
      </c>
      <c r="C15002" s="3" t="s">
        <v>2376</v>
      </c>
      <c r="D15002" s="4">
        <f>DATE(2004,7,14)</f>
        <v>38182</v>
      </c>
      <c r="E15002" s="5">
        <f t="shared" si="247"/>
        <v>2004</v>
      </c>
      <c r="F15002" s="3" t="s">
        <v>2377</v>
      </c>
      <c r="G15002" s="6">
        <v>4887.3999999999996</v>
      </c>
      <c r="H15002" s="5">
        <v>3092</v>
      </c>
    </row>
    <row r="15003" spans="2:8" x14ac:dyDescent="0.4">
      <c r="B15003" s="3" t="s">
        <v>7</v>
      </c>
      <c r="C15003" s="3" t="s">
        <v>2376</v>
      </c>
      <c r="D15003" s="4">
        <f>DATE(2004,10,21)</f>
        <v>38281</v>
      </c>
      <c r="E15003" s="5">
        <f t="shared" si="247"/>
        <v>2004</v>
      </c>
      <c r="F15003" s="3" t="s">
        <v>2377</v>
      </c>
      <c r="G15003" s="6">
        <v>19912</v>
      </c>
      <c r="H15003" s="5">
        <v>3289</v>
      </c>
    </row>
    <row r="15004" spans="2:8" x14ac:dyDescent="0.4">
      <c r="B15004" s="3" t="s">
        <v>7</v>
      </c>
      <c r="C15004" s="3" t="s">
        <v>2376</v>
      </c>
      <c r="D15004" s="4">
        <f>DATE(2005,1,18)</f>
        <v>38370</v>
      </c>
      <c r="E15004" s="5">
        <f t="shared" si="247"/>
        <v>2005</v>
      </c>
      <c r="F15004" s="3" t="s">
        <v>2377</v>
      </c>
      <c r="G15004" s="6">
        <v>3819.78</v>
      </c>
      <c r="H15004" s="5">
        <v>3893</v>
      </c>
    </row>
    <row r="15005" spans="2:8" x14ac:dyDescent="0.4">
      <c r="B15005" s="3" t="s">
        <v>7</v>
      </c>
      <c r="C15005" s="3" t="s">
        <v>2376</v>
      </c>
      <c r="D15005" s="4">
        <f>DATE(2005,3,18)</f>
        <v>38429</v>
      </c>
      <c r="E15005" s="5">
        <f t="shared" si="247"/>
        <v>2005</v>
      </c>
      <c r="F15005" s="3" t="s">
        <v>2377</v>
      </c>
      <c r="G15005" s="6">
        <v>2603.6</v>
      </c>
      <c r="H15005" s="5">
        <v>4256</v>
      </c>
    </row>
    <row r="15006" spans="2:8" x14ac:dyDescent="0.4">
      <c r="B15006" s="3" t="s">
        <v>7</v>
      </c>
      <c r="C15006" s="3" t="s">
        <v>2376</v>
      </c>
      <c r="D15006" s="4">
        <f>DATE(2005,3,24)</f>
        <v>38435</v>
      </c>
      <c r="E15006" s="5">
        <f t="shared" si="247"/>
        <v>2005</v>
      </c>
      <c r="F15006" s="3" t="s">
        <v>2377</v>
      </c>
      <c r="G15006" s="6">
        <v>3864.6</v>
      </c>
      <c r="H15006" s="5">
        <v>4310</v>
      </c>
    </row>
    <row r="15007" spans="2:8" x14ac:dyDescent="0.4">
      <c r="B15007" s="3" t="s">
        <v>7</v>
      </c>
      <c r="C15007" s="3" t="s">
        <v>2376</v>
      </c>
      <c r="D15007" s="4">
        <f>DATE(2005,5,2)</f>
        <v>38474</v>
      </c>
      <c r="E15007" s="5">
        <f t="shared" si="247"/>
        <v>2005</v>
      </c>
      <c r="F15007" s="3" t="s">
        <v>2377</v>
      </c>
      <c r="G15007" s="6">
        <v>15675.2</v>
      </c>
      <c r="H15007" s="5">
        <v>4429</v>
      </c>
    </row>
    <row r="15008" spans="2:8" x14ac:dyDescent="0.4">
      <c r="B15008" s="3" t="s">
        <v>7</v>
      </c>
      <c r="C15008" s="3" t="s">
        <v>2376</v>
      </c>
      <c r="D15008" s="4">
        <f>DATE(2005,5,3)</f>
        <v>38475</v>
      </c>
      <c r="E15008" s="5">
        <f t="shared" si="247"/>
        <v>2005</v>
      </c>
      <c r="F15008" s="3" t="s">
        <v>2377</v>
      </c>
      <c r="G15008" s="6">
        <v>1944.1</v>
      </c>
      <c r="H15008" s="5">
        <v>4621</v>
      </c>
    </row>
    <row r="15009" spans="2:8" x14ac:dyDescent="0.4">
      <c r="B15009" s="3" t="s">
        <v>7</v>
      </c>
      <c r="C15009" s="3" t="s">
        <v>2376</v>
      </c>
      <c r="D15009" s="4">
        <f>DATE(2005,5,18)</f>
        <v>38490</v>
      </c>
      <c r="E15009" s="5">
        <f t="shared" si="247"/>
        <v>2005</v>
      </c>
      <c r="F15009" s="3" t="s">
        <v>2377</v>
      </c>
      <c r="G15009" s="6">
        <v>11985.54</v>
      </c>
      <c r="H15009" s="5">
        <v>4760</v>
      </c>
    </row>
    <row r="15010" spans="2:8" x14ac:dyDescent="0.4">
      <c r="B15010" s="3" t="s">
        <v>7</v>
      </c>
      <c r="C15010" s="3" t="s">
        <v>2376</v>
      </c>
      <c r="D15010" s="4">
        <f>DATE(2005,6,1)</f>
        <v>38504</v>
      </c>
      <c r="E15010" s="5">
        <f t="shared" si="247"/>
        <v>2005</v>
      </c>
      <c r="F15010" s="3" t="s">
        <v>2377</v>
      </c>
      <c r="G15010" s="6">
        <v>11756.4</v>
      </c>
      <c r="H15010" s="5">
        <v>4813</v>
      </c>
    </row>
    <row r="15011" spans="2:8" x14ac:dyDescent="0.4">
      <c r="B15011" s="3" t="s">
        <v>7</v>
      </c>
      <c r="C15011" s="3" t="s">
        <v>2376</v>
      </c>
      <c r="D15011" s="4">
        <f>DATE(2005,7,26)</f>
        <v>38559</v>
      </c>
      <c r="E15011" s="5">
        <f t="shared" si="247"/>
        <v>2005</v>
      </c>
      <c r="F15011" s="3" t="s">
        <v>2377</v>
      </c>
      <c r="G15011" s="6">
        <v>3869.9</v>
      </c>
      <c r="H15011" s="5">
        <v>5019</v>
      </c>
    </row>
    <row r="15012" spans="2:8" x14ac:dyDescent="0.4">
      <c r="B15012" s="3" t="s">
        <v>7</v>
      </c>
      <c r="C15012" s="3" t="s">
        <v>2376</v>
      </c>
      <c r="D15012" s="4">
        <f>DATE(2005,9,15)</f>
        <v>38610</v>
      </c>
      <c r="E15012" s="5">
        <f t="shared" si="247"/>
        <v>2005</v>
      </c>
      <c r="F15012" s="3" t="s">
        <v>2377</v>
      </c>
      <c r="G15012" s="6">
        <v>6356.4</v>
      </c>
      <c r="H15012" s="5">
        <v>5224</v>
      </c>
    </row>
    <row r="15013" spans="2:8" x14ac:dyDescent="0.4">
      <c r="B15013" s="3" t="s">
        <v>7</v>
      </c>
      <c r="C15013" s="3" t="s">
        <v>2376</v>
      </c>
      <c r="D15013" s="4">
        <f>DATE(2006,2,21)</f>
        <v>38769</v>
      </c>
      <c r="E15013" s="5">
        <f t="shared" si="247"/>
        <v>2006</v>
      </c>
      <c r="F15013" s="3" t="s">
        <v>2377</v>
      </c>
      <c r="G15013" s="6">
        <v>57014.78</v>
      </c>
      <c r="H15013" s="5">
        <v>5770</v>
      </c>
    </row>
    <row r="15014" spans="2:8" x14ac:dyDescent="0.4">
      <c r="B15014" s="3" t="s">
        <v>7</v>
      </c>
      <c r="C15014" s="3" t="s">
        <v>2376</v>
      </c>
      <c r="D15014" s="4">
        <f>DATE(2006,4,28)</f>
        <v>38835</v>
      </c>
      <c r="E15014" s="5">
        <f t="shared" si="247"/>
        <v>2006</v>
      </c>
      <c r="F15014" s="3" t="s">
        <v>2377</v>
      </c>
      <c r="G15014" s="6">
        <v>9442.8799999999992</v>
      </c>
      <c r="H15014" s="5">
        <v>6512</v>
      </c>
    </row>
    <row r="15015" spans="2:8" x14ac:dyDescent="0.4">
      <c r="B15015" s="3" t="s">
        <v>7</v>
      </c>
      <c r="C15015" s="3" t="s">
        <v>2376</v>
      </c>
      <c r="D15015" s="4">
        <f>DATE(2006,5,19)</f>
        <v>38856</v>
      </c>
      <c r="E15015" s="5">
        <f t="shared" si="247"/>
        <v>2006</v>
      </c>
      <c r="F15015" s="3" t="s">
        <v>2377</v>
      </c>
      <c r="G15015" s="6">
        <v>14239.5</v>
      </c>
      <c r="H15015" s="5">
        <v>6701</v>
      </c>
    </row>
    <row r="15016" spans="2:8" x14ac:dyDescent="0.4">
      <c r="B15016" s="3" t="s">
        <v>7</v>
      </c>
      <c r="C15016" s="3" t="s">
        <v>2376</v>
      </c>
      <c r="D15016" s="4">
        <f>DATE(2006,7,21)</f>
        <v>38919</v>
      </c>
      <c r="E15016" s="5">
        <f t="shared" si="247"/>
        <v>2006</v>
      </c>
      <c r="F15016" s="3" t="s">
        <v>2377</v>
      </c>
      <c r="G15016" s="6">
        <v>6683.36</v>
      </c>
      <c r="H15016" s="5">
        <v>6936</v>
      </c>
    </row>
    <row r="15017" spans="2:8" x14ac:dyDescent="0.4">
      <c r="B15017" s="3" t="s">
        <v>7</v>
      </c>
      <c r="C15017" s="3" t="s">
        <v>2376</v>
      </c>
      <c r="D15017" s="4">
        <f>DATE(2006,7,25)</f>
        <v>38923</v>
      </c>
      <c r="E15017" s="5">
        <f t="shared" si="247"/>
        <v>2006</v>
      </c>
      <c r="F15017" s="3" t="s">
        <v>2377</v>
      </c>
      <c r="G15017" s="6">
        <v>5228.74</v>
      </c>
      <c r="H15017" s="5">
        <v>6984</v>
      </c>
    </row>
    <row r="15018" spans="2:8" x14ac:dyDescent="0.4">
      <c r="B15018" s="3" t="s">
        <v>7</v>
      </c>
      <c r="C15018" s="3" t="s">
        <v>2376</v>
      </c>
      <c r="D15018" s="4">
        <f>DATE(2006,10,10)</f>
        <v>39000</v>
      </c>
      <c r="E15018" s="5">
        <f t="shared" si="247"/>
        <v>2006</v>
      </c>
      <c r="F15018" s="3" t="s">
        <v>2377</v>
      </c>
      <c r="G15018" s="6">
        <v>13367.6</v>
      </c>
      <c r="H15018" s="5">
        <v>7288</v>
      </c>
    </row>
    <row r="15019" spans="2:8" x14ac:dyDescent="0.4">
      <c r="B15019" s="3" t="s">
        <v>7</v>
      </c>
      <c r="C15019" s="3" t="s">
        <v>2376</v>
      </c>
      <c r="D15019" s="4">
        <f>DATE(2006,11,3)</f>
        <v>39024</v>
      </c>
      <c r="E15019" s="5">
        <f t="shared" si="247"/>
        <v>2006</v>
      </c>
      <c r="F15019" s="3" t="s">
        <v>2377</v>
      </c>
      <c r="G15019" s="6">
        <v>6464.84</v>
      </c>
      <c r="H15019" s="5">
        <v>7437</v>
      </c>
    </row>
    <row r="15020" spans="2:8" x14ac:dyDescent="0.4">
      <c r="B15020" s="3" t="s">
        <v>7</v>
      </c>
      <c r="C15020" s="3" t="s">
        <v>2376</v>
      </c>
      <c r="D15020" s="4">
        <f>DATE(2006,11,8)</f>
        <v>39029</v>
      </c>
      <c r="E15020" s="5">
        <f t="shared" si="247"/>
        <v>2006</v>
      </c>
      <c r="F15020" s="3" t="s">
        <v>2377</v>
      </c>
      <c r="G15020" s="6">
        <v>6460.69</v>
      </c>
      <c r="H15020" s="5">
        <v>7486</v>
      </c>
    </row>
    <row r="15021" spans="2:8" x14ac:dyDescent="0.4">
      <c r="B15021" s="3" t="s">
        <v>7</v>
      </c>
      <c r="C15021" s="3" t="s">
        <v>2376</v>
      </c>
      <c r="D15021" s="4">
        <f>DATE(2007,2,16)</f>
        <v>39129</v>
      </c>
      <c r="E15021" s="5">
        <f t="shared" si="247"/>
        <v>2007</v>
      </c>
      <c r="F15021" s="3" t="s">
        <v>2377</v>
      </c>
      <c r="G15021" s="6">
        <v>9739.2800000000007</v>
      </c>
      <c r="H15021" s="5">
        <v>7883</v>
      </c>
    </row>
    <row r="15022" spans="2:8" x14ac:dyDescent="0.4">
      <c r="B15022" s="3" t="s">
        <v>7</v>
      </c>
      <c r="C15022" s="3" t="s">
        <v>2376</v>
      </c>
      <c r="D15022" s="4">
        <f>DATE(2007,2,27)</f>
        <v>39140</v>
      </c>
      <c r="E15022" s="5">
        <f t="shared" si="247"/>
        <v>2007</v>
      </c>
      <c r="F15022" s="3" t="s">
        <v>2377</v>
      </c>
      <c r="G15022" s="6">
        <v>63011.3</v>
      </c>
      <c r="H15022" s="5">
        <v>7966</v>
      </c>
    </row>
    <row r="15023" spans="2:8" x14ac:dyDescent="0.4">
      <c r="B15023" s="3" t="s">
        <v>7</v>
      </c>
      <c r="C15023" s="3" t="s">
        <v>2376</v>
      </c>
      <c r="D15023" s="4">
        <f>DATE(2007,8,9)</f>
        <v>39303</v>
      </c>
      <c r="E15023" s="5">
        <f t="shared" si="247"/>
        <v>2007</v>
      </c>
      <c r="F15023" s="3" t="s">
        <v>2377</v>
      </c>
      <c r="G15023" s="6">
        <v>6489.52</v>
      </c>
      <c r="H15023" s="5">
        <v>8910</v>
      </c>
    </row>
    <row r="15024" spans="2:8" x14ac:dyDescent="0.4">
      <c r="B15024" s="3" t="s">
        <v>7</v>
      </c>
      <c r="C15024" s="3" t="s">
        <v>2376</v>
      </c>
      <c r="D15024" s="4">
        <f>DATE(2007,8,31)</f>
        <v>39325</v>
      </c>
      <c r="E15024" s="5">
        <f t="shared" si="247"/>
        <v>2007</v>
      </c>
      <c r="F15024" s="3" t="s">
        <v>2377</v>
      </c>
      <c r="G15024" s="6">
        <v>4545.24</v>
      </c>
      <c r="H15024" s="5">
        <v>9040</v>
      </c>
    </row>
    <row r="15025" spans="2:8" x14ac:dyDescent="0.4">
      <c r="B15025" s="3" t="s">
        <v>7</v>
      </c>
      <c r="C15025" s="3" t="s">
        <v>2376</v>
      </c>
      <c r="D15025" s="4">
        <f>DATE(2008,2,27)</f>
        <v>39505</v>
      </c>
      <c r="E15025" s="5">
        <f t="shared" si="247"/>
        <v>2008</v>
      </c>
      <c r="F15025" s="3" t="s">
        <v>2377</v>
      </c>
      <c r="G15025" s="6">
        <v>1897</v>
      </c>
      <c r="H15025" s="5">
        <v>9939</v>
      </c>
    </row>
    <row r="15026" spans="2:8" x14ac:dyDescent="0.4">
      <c r="B15026" s="3" t="s">
        <v>7</v>
      </c>
      <c r="C15026" s="3" t="s">
        <v>2376</v>
      </c>
      <c r="D15026" s="4">
        <f>DATE(2008,3,12)</f>
        <v>39519</v>
      </c>
      <c r="E15026" s="5">
        <f t="shared" si="247"/>
        <v>2008</v>
      </c>
      <c r="F15026" s="3" t="s">
        <v>2377</v>
      </c>
      <c r="G15026" s="6">
        <v>8388.77</v>
      </c>
      <c r="H15026" s="5">
        <v>9778</v>
      </c>
    </row>
    <row r="15027" spans="2:8" x14ac:dyDescent="0.4">
      <c r="B15027" s="3" t="s">
        <v>7</v>
      </c>
      <c r="C15027" s="3" t="s">
        <v>2376</v>
      </c>
      <c r="D15027" s="4">
        <f>DATE(2008,3,27)</f>
        <v>39534</v>
      </c>
      <c r="E15027" s="5">
        <f t="shared" si="247"/>
        <v>2008</v>
      </c>
      <c r="F15027" s="3" t="s">
        <v>2377</v>
      </c>
      <c r="G15027" s="6">
        <v>6155.21</v>
      </c>
      <c r="H15027" s="5">
        <v>10265</v>
      </c>
    </row>
    <row r="15028" spans="2:8" x14ac:dyDescent="0.4">
      <c r="B15028" s="3" t="s">
        <v>7</v>
      </c>
      <c r="C15028" s="3" t="s">
        <v>2376</v>
      </c>
      <c r="D15028" s="4">
        <f>DATE(2008,4,7)</f>
        <v>39545</v>
      </c>
      <c r="E15028" s="5">
        <f t="shared" si="247"/>
        <v>2008</v>
      </c>
      <c r="F15028" s="3" t="s">
        <v>2377</v>
      </c>
      <c r="G15028" s="6">
        <v>7227.26</v>
      </c>
      <c r="H15028" s="5">
        <v>10014</v>
      </c>
    </row>
    <row r="15029" spans="2:8" x14ac:dyDescent="0.4">
      <c r="B15029" s="3" t="s">
        <v>7</v>
      </c>
      <c r="C15029" s="3" t="s">
        <v>2376</v>
      </c>
      <c r="D15029" s="4">
        <f>DATE(2008,4,11)</f>
        <v>39549</v>
      </c>
      <c r="E15029" s="5">
        <f t="shared" si="247"/>
        <v>2008</v>
      </c>
      <c r="F15029" s="3" t="s">
        <v>2377</v>
      </c>
      <c r="G15029" s="6">
        <v>18284.41</v>
      </c>
      <c r="H15029" s="5">
        <v>10376</v>
      </c>
    </row>
    <row r="15030" spans="2:8" x14ac:dyDescent="0.4">
      <c r="B15030" s="3" t="s">
        <v>7</v>
      </c>
      <c r="C15030" s="3" t="s">
        <v>2376</v>
      </c>
      <c r="D15030" s="4">
        <f>DATE(2008,8,8)</f>
        <v>39668</v>
      </c>
      <c r="E15030" s="5">
        <f t="shared" si="247"/>
        <v>2008</v>
      </c>
      <c r="F15030" s="3" t="s">
        <v>2377</v>
      </c>
      <c r="G15030" s="6">
        <v>4000.35</v>
      </c>
      <c r="H15030" s="5">
        <v>11062</v>
      </c>
    </row>
    <row r="15031" spans="2:8" x14ac:dyDescent="0.4">
      <c r="B15031" s="3" t="s">
        <v>7</v>
      </c>
      <c r="C15031" s="3" t="s">
        <v>2376</v>
      </c>
      <c r="D15031" s="4">
        <f>DATE(2008,8,13)</f>
        <v>39673</v>
      </c>
      <c r="E15031" s="5">
        <f t="shared" si="247"/>
        <v>2008</v>
      </c>
      <c r="F15031" s="3" t="s">
        <v>2377</v>
      </c>
      <c r="G15031" s="6">
        <v>7569.1</v>
      </c>
      <c r="H15031" s="5">
        <v>11037</v>
      </c>
    </row>
    <row r="15032" spans="2:8" x14ac:dyDescent="0.4">
      <c r="B15032" s="3" t="s">
        <v>7</v>
      </c>
      <c r="C15032" s="3" t="s">
        <v>2376</v>
      </c>
      <c r="D15032" s="4">
        <f>DATE(2008,10,10)</f>
        <v>39731</v>
      </c>
      <c r="E15032" s="5">
        <f t="shared" si="247"/>
        <v>2008</v>
      </c>
      <c r="F15032" s="3" t="s">
        <v>2377</v>
      </c>
      <c r="G15032" s="6">
        <v>5961.18</v>
      </c>
      <c r="H15032" s="5">
        <v>11400</v>
      </c>
    </row>
    <row r="15033" spans="2:8" x14ac:dyDescent="0.4">
      <c r="B15033" s="3" t="s">
        <v>7</v>
      </c>
      <c r="C15033" s="3" t="s">
        <v>2376</v>
      </c>
      <c r="D15033" s="4">
        <f>DATE(2008,10,16)</f>
        <v>39737</v>
      </c>
      <c r="E15033" s="5">
        <f t="shared" si="247"/>
        <v>2008</v>
      </c>
      <c r="F15033" s="3" t="s">
        <v>2377</v>
      </c>
      <c r="G15033" s="6">
        <v>6708.54</v>
      </c>
      <c r="H15033" s="5">
        <v>11401</v>
      </c>
    </row>
    <row r="15034" spans="2:8" x14ac:dyDescent="0.4">
      <c r="B15034" s="3" t="s">
        <v>7</v>
      </c>
      <c r="C15034" s="3" t="s">
        <v>2376</v>
      </c>
      <c r="D15034" s="4">
        <f>DATE(2008,10,31)</f>
        <v>39752</v>
      </c>
      <c r="E15034" s="5">
        <f t="shared" si="247"/>
        <v>2008</v>
      </c>
      <c r="F15034" s="3" t="s">
        <v>2377</v>
      </c>
      <c r="G15034" s="6">
        <v>7919.18</v>
      </c>
      <c r="H15034" s="5">
        <v>11487</v>
      </c>
    </row>
    <row r="15035" spans="2:8" x14ac:dyDescent="0.4">
      <c r="B15035" s="3" t="s">
        <v>7</v>
      </c>
      <c r="C15035" s="3" t="s">
        <v>2376</v>
      </c>
      <c r="D15035" s="4">
        <f>DATE(2009,2,4)</f>
        <v>39848</v>
      </c>
      <c r="E15035" s="5">
        <f t="shared" si="247"/>
        <v>2009</v>
      </c>
      <c r="F15035" s="3" t="s">
        <v>2377</v>
      </c>
      <c r="G15035" s="6">
        <v>6575.18</v>
      </c>
      <c r="H15035" s="5">
        <v>11857</v>
      </c>
    </row>
    <row r="15036" spans="2:8" x14ac:dyDescent="0.4">
      <c r="B15036" s="3" t="s">
        <v>7</v>
      </c>
      <c r="C15036" s="3" t="s">
        <v>2376</v>
      </c>
      <c r="D15036" s="4">
        <f>DATE(2009,2,4)</f>
        <v>39848</v>
      </c>
      <c r="E15036" s="5">
        <f t="shared" si="247"/>
        <v>2009</v>
      </c>
      <c r="F15036" s="3" t="s">
        <v>2377</v>
      </c>
      <c r="G15036" s="6">
        <v>10520.29</v>
      </c>
      <c r="H15036" s="5">
        <v>11766</v>
      </c>
    </row>
    <row r="15037" spans="2:8" x14ac:dyDescent="0.4">
      <c r="B15037" s="3" t="s">
        <v>7</v>
      </c>
      <c r="C15037" s="3" t="s">
        <v>2376</v>
      </c>
      <c r="D15037" s="4">
        <f>DATE(2009,2,10)</f>
        <v>39854</v>
      </c>
      <c r="E15037" s="5">
        <f t="shared" si="247"/>
        <v>2009</v>
      </c>
      <c r="F15037" s="3" t="s">
        <v>2377</v>
      </c>
      <c r="G15037" s="6">
        <v>560.77</v>
      </c>
      <c r="H15037" s="5">
        <v>11958</v>
      </c>
    </row>
    <row r="15038" spans="2:8" x14ac:dyDescent="0.4">
      <c r="B15038" s="3" t="s">
        <v>7</v>
      </c>
      <c r="C15038" s="3" t="s">
        <v>2376</v>
      </c>
      <c r="D15038" s="4">
        <f>DATE(2009,2,10)</f>
        <v>39854</v>
      </c>
      <c r="E15038" s="5">
        <f t="shared" si="247"/>
        <v>2009</v>
      </c>
      <c r="F15038" s="3" t="s">
        <v>2377</v>
      </c>
      <c r="G15038" s="6">
        <v>5211.2299999999996</v>
      </c>
      <c r="H15038" s="5">
        <v>11875</v>
      </c>
    </row>
    <row r="15039" spans="2:8" x14ac:dyDescent="0.4">
      <c r="B15039" s="3" t="s">
        <v>7</v>
      </c>
      <c r="C15039" s="3" t="s">
        <v>2376</v>
      </c>
      <c r="D15039" s="4">
        <f>DATE(2009,2,10)</f>
        <v>39854</v>
      </c>
      <c r="E15039" s="5">
        <f t="shared" si="247"/>
        <v>2009</v>
      </c>
      <c r="F15039" s="3" t="s">
        <v>2377</v>
      </c>
      <c r="G15039" s="6">
        <v>6514.04</v>
      </c>
      <c r="H15039" s="5">
        <v>11845</v>
      </c>
    </row>
    <row r="15040" spans="2:8" x14ac:dyDescent="0.4">
      <c r="B15040" s="3" t="s">
        <v>7</v>
      </c>
      <c r="C15040" s="3" t="s">
        <v>2376</v>
      </c>
      <c r="D15040" s="4">
        <f>DATE(2009,2,24)</f>
        <v>39868</v>
      </c>
      <c r="E15040" s="5">
        <f t="shared" si="247"/>
        <v>2009</v>
      </c>
      <c r="F15040" s="3" t="s">
        <v>2377</v>
      </c>
      <c r="G15040" s="6">
        <v>1219.54</v>
      </c>
      <c r="H15040" s="5">
        <v>12045</v>
      </c>
    </row>
    <row r="15041" spans="2:8" x14ac:dyDescent="0.4">
      <c r="B15041" s="3" t="s">
        <v>7</v>
      </c>
      <c r="C15041" s="3" t="s">
        <v>2376</v>
      </c>
      <c r="D15041" s="4">
        <f>DATE(2009,2,24)</f>
        <v>39868</v>
      </c>
      <c r="E15041" s="5">
        <f t="shared" si="247"/>
        <v>2009</v>
      </c>
      <c r="F15041" s="3" t="s">
        <v>2377</v>
      </c>
      <c r="G15041" s="6">
        <v>565.5</v>
      </c>
      <c r="H15041" s="5">
        <v>12046</v>
      </c>
    </row>
    <row r="15042" spans="2:8" x14ac:dyDescent="0.4">
      <c r="B15042" s="3" t="s">
        <v>7</v>
      </c>
      <c r="C15042" s="3" t="s">
        <v>2376</v>
      </c>
      <c r="D15042" s="4">
        <f>DATE(2009,3,5)</f>
        <v>39877</v>
      </c>
      <c r="E15042" s="5">
        <f t="shared" si="247"/>
        <v>2009</v>
      </c>
      <c r="F15042" s="3" t="s">
        <v>2377</v>
      </c>
      <c r="G15042" s="6">
        <v>2741.86</v>
      </c>
      <c r="H15042" s="5">
        <v>11985</v>
      </c>
    </row>
    <row r="15043" spans="2:8" x14ac:dyDescent="0.4">
      <c r="B15043" s="3" t="s">
        <v>7</v>
      </c>
      <c r="C15043" s="3" t="s">
        <v>2376</v>
      </c>
      <c r="D15043" s="4">
        <f>DATE(2009,4,15)</f>
        <v>39918</v>
      </c>
      <c r="E15043" s="5">
        <f t="shared" ref="E15043:E15106" si="248">YEAR(D15043)</f>
        <v>2009</v>
      </c>
      <c r="F15043" s="3" t="s">
        <v>2377</v>
      </c>
      <c r="G15043" s="6">
        <v>6508.95</v>
      </c>
      <c r="H15043" s="5">
        <v>12309</v>
      </c>
    </row>
    <row r="15044" spans="2:8" x14ac:dyDescent="0.4">
      <c r="B15044" s="3" t="s">
        <v>7</v>
      </c>
      <c r="C15044" s="3" t="s">
        <v>2376</v>
      </c>
      <c r="D15044" s="4">
        <f>DATE(2009,6,17)</f>
        <v>39981</v>
      </c>
      <c r="E15044" s="5">
        <f t="shared" si="248"/>
        <v>2009</v>
      </c>
      <c r="F15044" s="3" t="s">
        <v>2377</v>
      </c>
      <c r="G15044" s="6">
        <v>4787.26</v>
      </c>
      <c r="H15044" s="5">
        <v>12678</v>
      </c>
    </row>
    <row r="15045" spans="2:8" x14ac:dyDescent="0.4">
      <c r="B15045" s="3" t="s">
        <v>7</v>
      </c>
      <c r="C15045" s="3" t="s">
        <v>2376</v>
      </c>
      <c r="D15045" s="4">
        <f>DATE(2009,6,30)</f>
        <v>39994</v>
      </c>
      <c r="E15045" s="5">
        <f t="shared" si="248"/>
        <v>2009</v>
      </c>
      <c r="F15045" s="3" t="s">
        <v>2377</v>
      </c>
      <c r="G15045" s="6">
        <v>7069.12</v>
      </c>
      <c r="H15045" s="5">
        <v>12747</v>
      </c>
    </row>
    <row r="15046" spans="2:8" x14ac:dyDescent="0.4">
      <c r="B15046" s="3" t="s">
        <v>7</v>
      </c>
      <c r="C15046" s="3" t="s">
        <v>2376</v>
      </c>
      <c r="D15046" s="4">
        <f>DATE(2009,6,30)</f>
        <v>39994</v>
      </c>
      <c r="E15046" s="5">
        <f t="shared" si="248"/>
        <v>2009</v>
      </c>
      <c r="F15046" s="3" t="s">
        <v>2377</v>
      </c>
      <c r="G15046" s="6">
        <v>7587.84</v>
      </c>
      <c r="H15046" s="5">
        <v>12691</v>
      </c>
    </row>
    <row r="15047" spans="2:8" x14ac:dyDescent="0.4">
      <c r="B15047" s="3" t="s">
        <v>7</v>
      </c>
      <c r="C15047" s="3" t="s">
        <v>2376</v>
      </c>
      <c r="D15047" s="4">
        <f>DATE(2010,1,11)</f>
        <v>40189</v>
      </c>
      <c r="E15047" s="5">
        <f t="shared" si="248"/>
        <v>2010</v>
      </c>
      <c r="F15047" s="3" t="s">
        <v>2377</v>
      </c>
      <c r="G15047" s="6">
        <v>1032.78</v>
      </c>
      <c r="H15047" s="5">
        <v>13377</v>
      </c>
    </row>
    <row r="15048" spans="2:8" x14ac:dyDescent="0.4">
      <c r="B15048" s="3" t="s">
        <v>7</v>
      </c>
      <c r="C15048" s="3" t="s">
        <v>2376</v>
      </c>
      <c r="D15048" s="4">
        <f>DATE(2010,1,25)</f>
        <v>40203</v>
      </c>
      <c r="E15048" s="5">
        <f t="shared" si="248"/>
        <v>2010</v>
      </c>
      <c r="F15048" s="3" t="s">
        <v>2377</v>
      </c>
      <c r="G15048" s="6">
        <v>7885.53</v>
      </c>
      <c r="H15048" s="5">
        <v>13345</v>
      </c>
    </row>
    <row r="15049" spans="2:8" x14ac:dyDescent="0.4">
      <c r="B15049" s="3" t="s">
        <v>7</v>
      </c>
      <c r="C15049" s="3" t="s">
        <v>2376</v>
      </c>
      <c r="D15049" s="4">
        <f>DATE(2010,6,11)</f>
        <v>40340</v>
      </c>
      <c r="E15049" s="5">
        <f t="shared" si="248"/>
        <v>2010</v>
      </c>
      <c r="F15049" s="3" t="s">
        <v>2377</v>
      </c>
      <c r="G15049" s="6">
        <v>7974.01</v>
      </c>
      <c r="H15049" s="5">
        <v>14133</v>
      </c>
    </row>
    <row r="15050" spans="2:8" x14ac:dyDescent="0.4">
      <c r="B15050" s="3" t="s">
        <v>7</v>
      </c>
      <c r="C15050" s="3" t="s">
        <v>2376</v>
      </c>
      <c r="D15050" s="4">
        <f>DATE(2010,6,17)</f>
        <v>40346</v>
      </c>
      <c r="E15050" s="5">
        <f t="shared" si="248"/>
        <v>2010</v>
      </c>
      <c r="F15050" s="3" t="s">
        <v>2377</v>
      </c>
      <c r="G15050" s="6">
        <v>5282.2</v>
      </c>
      <c r="H15050" s="5">
        <v>13966</v>
      </c>
    </row>
    <row r="15051" spans="2:8" x14ac:dyDescent="0.4">
      <c r="B15051" s="3" t="s">
        <v>7</v>
      </c>
      <c r="C15051" s="3" t="s">
        <v>2376</v>
      </c>
      <c r="D15051" s="4">
        <f>DATE(2010,8,9)</f>
        <v>40399</v>
      </c>
      <c r="E15051" s="5">
        <f t="shared" si="248"/>
        <v>2010</v>
      </c>
      <c r="F15051" s="3" t="s">
        <v>2377</v>
      </c>
      <c r="G15051" s="6">
        <v>6604.15</v>
      </c>
      <c r="H15051" s="5">
        <v>14192</v>
      </c>
    </row>
    <row r="15052" spans="2:8" x14ac:dyDescent="0.4">
      <c r="B15052" s="3" t="s">
        <v>7</v>
      </c>
      <c r="C15052" s="3" t="s">
        <v>2376</v>
      </c>
      <c r="D15052" s="4">
        <f>DATE(2010,8,27)</f>
        <v>40417</v>
      </c>
      <c r="E15052" s="5">
        <f t="shared" si="248"/>
        <v>2010</v>
      </c>
      <c r="F15052" s="3" t="s">
        <v>2377</v>
      </c>
      <c r="G15052" s="6">
        <v>6020.25</v>
      </c>
      <c r="H15052" s="5">
        <v>14384</v>
      </c>
    </row>
    <row r="15053" spans="2:8" x14ac:dyDescent="0.4">
      <c r="B15053" s="3" t="s">
        <v>7</v>
      </c>
      <c r="C15053" s="3" t="s">
        <v>2376</v>
      </c>
      <c r="D15053" s="4">
        <f>DATE(2010,10,4)</f>
        <v>40455</v>
      </c>
      <c r="E15053" s="5">
        <f t="shared" si="248"/>
        <v>2010</v>
      </c>
      <c r="F15053" s="3" t="s">
        <v>2377</v>
      </c>
      <c r="G15053" s="6">
        <v>10772.61</v>
      </c>
      <c r="H15053" s="5">
        <v>14476</v>
      </c>
    </row>
    <row r="15054" spans="2:8" x14ac:dyDescent="0.4">
      <c r="B15054" s="3" t="s">
        <v>7</v>
      </c>
      <c r="C15054" s="3" t="s">
        <v>2376</v>
      </c>
      <c r="D15054" s="4">
        <f>DATE(2010,12,14)</f>
        <v>40526</v>
      </c>
      <c r="E15054" s="5">
        <f t="shared" si="248"/>
        <v>2010</v>
      </c>
      <c r="F15054" s="3" t="s">
        <v>2377</v>
      </c>
      <c r="G15054" s="6">
        <v>6602.75</v>
      </c>
      <c r="H15054" s="5">
        <v>14721</v>
      </c>
    </row>
    <row r="15055" spans="2:8" x14ac:dyDescent="0.4">
      <c r="B15055" s="3" t="s">
        <v>7</v>
      </c>
      <c r="C15055" s="3" t="s">
        <v>2376</v>
      </c>
      <c r="D15055" s="4">
        <f>DATE(2011,5,12)</f>
        <v>40675</v>
      </c>
      <c r="E15055" s="5">
        <f t="shared" si="248"/>
        <v>2011</v>
      </c>
      <c r="F15055" s="3" t="s">
        <v>2377</v>
      </c>
      <c r="G15055" s="6">
        <v>1355.88</v>
      </c>
      <c r="H15055" s="5">
        <v>15412</v>
      </c>
    </row>
    <row r="15056" spans="2:8" x14ac:dyDescent="0.4">
      <c r="B15056" s="3" t="s">
        <v>7</v>
      </c>
      <c r="C15056" s="3" t="s">
        <v>2376</v>
      </c>
      <c r="D15056" s="4">
        <f>DATE(2011,6,23)</f>
        <v>40717</v>
      </c>
      <c r="E15056" s="5">
        <f t="shared" si="248"/>
        <v>2011</v>
      </c>
      <c r="F15056" s="3" t="s">
        <v>2377</v>
      </c>
      <c r="G15056" s="6">
        <v>3979.6</v>
      </c>
      <c r="H15056" s="5">
        <v>15558</v>
      </c>
    </row>
    <row r="15057" spans="2:8" x14ac:dyDescent="0.4">
      <c r="B15057" s="3" t="s">
        <v>7</v>
      </c>
      <c r="C15057" s="3" t="s">
        <v>2376</v>
      </c>
      <c r="D15057" s="4">
        <f>DATE(2011,8,31)</f>
        <v>40786</v>
      </c>
      <c r="E15057" s="5">
        <f t="shared" si="248"/>
        <v>2011</v>
      </c>
      <c r="F15057" s="3" t="s">
        <v>2377</v>
      </c>
      <c r="G15057" s="6">
        <v>6262.85</v>
      </c>
      <c r="H15057" s="5">
        <v>15778</v>
      </c>
    </row>
    <row r="15058" spans="2:8" x14ac:dyDescent="0.4">
      <c r="B15058" s="3" t="s">
        <v>7</v>
      </c>
      <c r="C15058" s="3" t="s">
        <v>2376</v>
      </c>
      <c r="D15058" s="4">
        <f>DATE(2011,9,1)</f>
        <v>40787</v>
      </c>
      <c r="E15058" s="5">
        <f t="shared" si="248"/>
        <v>2011</v>
      </c>
      <c r="F15058" s="3" t="s">
        <v>2377</v>
      </c>
      <c r="G15058" s="6">
        <v>7828.56</v>
      </c>
      <c r="H15058" s="5">
        <v>15790</v>
      </c>
    </row>
    <row r="15059" spans="2:8" x14ac:dyDescent="0.4">
      <c r="B15059" s="3" t="s">
        <v>7</v>
      </c>
      <c r="C15059" s="3" t="s">
        <v>2376</v>
      </c>
      <c r="D15059" s="4">
        <f>DATE(2012,2,9)</f>
        <v>40948</v>
      </c>
      <c r="E15059" s="5">
        <f t="shared" si="248"/>
        <v>2012</v>
      </c>
      <c r="F15059" s="3" t="s">
        <v>2377</v>
      </c>
      <c r="G15059" s="6">
        <v>5414.14</v>
      </c>
      <c r="H15059" s="5">
        <v>16406</v>
      </c>
    </row>
    <row r="15060" spans="2:8" x14ac:dyDescent="0.4">
      <c r="B15060" s="3" t="s">
        <v>7</v>
      </c>
      <c r="C15060" s="3" t="s">
        <v>2376</v>
      </c>
      <c r="D15060" s="4">
        <f>DATE(2012,2,29)</f>
        <v>40968</v>
      </c>
      <c r="E15060" s="5">
        <f t="shared" si="248"/>
        <v>2012</v>
      </c>
      <c r="F15060" s="3" t="s">
        <v>2377</v>
      </c>
      <c r="G15060" s="6">
        <v>5219.04</v>
      </c>
      <c r="H15060" s="5">
        <v>16491</v>
      </c>
    </row>
    <row r="15061" spans="2:8" x14ac:dyDescent="0.4">
      <c r="B15061" s="3" t="s">
        <v>7</v>
      </c>
      <c r="C15061" s="3" t="s">
        <v>2376</v>
      </c>
      <c r="D15061" s="4">
        <f>DATE(2012,6,6)</f>
        <v>41066</v>
      </c>
      <c r="E15061" s="5">
        <f t="shared" si="248"/>
        <v>2012</v>
      </c>
      <c r="F15061" s="3" t="s">
        <v>2377</v>
      </c>
      <c r="G15061" s="6">
        <v>12235.94</v>
      </c>
      <c r="H15061" s="5">
        <v>17169</v>
      </c>
    </row>
    <row r="15062" spans="2:8" x14ac:dyDescent="0.4">
      <c r="B15062" s="3" t="s">
        <v>7</v>
      </c>
      <c r="C15062" s="3" t="s">
        <v>2376</v>
      </c>
      <c r="D15062" s="4">
        <f>DATE(2012,6,12)</f>
        <v>41072</v>
      </c>
      <c r="E15062" s="5">
        <f t="shared" si="248"/>
        <v>2012</v>
      </c>
      <c r="F15062" s="3" t="s">
        <v>2377</v>
      </c>
      <c r="G15062" s="6">
        <v>10235.94</v>
      </c>
      <c r="H15062" s="5">
        <v>17247</v>
      </c>
    </row>
    <row r="15063" spans="2:8" x14ac:dyDescent="0.4">
      <c r="B15063" s="3" t="s">
        <v>7</v>
      </c>
      <c r="C15063" s="3" t="s">
        <v>2376</v>
      </c>
      <c r="D15063" s="4">
        <f>DATE(2012,8,20)</f>
        <v>41141</v>
      </c>
      <c r="E15063" s="5">
        <f t="shared" si="248"/>
        <v>2012</v>
      </c>
      <c r="F15063" s="3" t="s">
        <v>2377</v>
      </c>
      <c r="G15063" s="6">
        <v>7221.24</v>
      </c>
      <c r="H15063" s="5">
        <v>17449</v>
      </c>
    </row>
    <row r="15064" spans="2:8" x14ac:dyDescent="0.4">
      <c r="B15064" s="3" t="s">
        <v>7</v>
      </c>
      <c r="C15064" s="3" t="s">
        <v>2376</v>
      </c>
      <c r="D15064" s="4">
        <f>DATE(2012,9,21)</f>
        <v>41173</v>
      </c>
      <c r="E15064" s="5">
        <f t="shared" si="248"/>
        <v>2012</v>
      </c>
      <c r="F15064" s="3" t="s">
        <v>2377</v>
      </c>
      <c r="G15064" s="6">
        <v>17045.349999999999</v>
      </c>
      <c r="H15064" s="5">
        <v>17503</v>
      </c>
    </row>
    <row r="15065" spans="2:8" x14ac:dyDescent="0.4">
      <c r="B15065" s="3" t="s">
        <v>7</v>
      </c>
      <c r="C15065" s="3" t="s">
        <v>2376</v>
      </c>
      <c r="D15065" s="4">
        <f>DATE(2012,11,14)</f>
        <v>41227</v>
      </c>
      <c r="E15065" s="5">
        <f t="shared" si="248"/>
        <v>2012</v>
      </c>
      <c r="F15065" s="3" t="s">
        <v>2377</v>
      </c>
      <c r="G15065" s="6">
        <v>3686.59</v>
      </c>
      <c r="H15065" s="5">
        <v>17793</v>
      </c>
    </row>
    <row r="15066" spans="2:8" x14ac:dyDescent="0.4">
      <c r="B15066" s="3" t="s">
        <v>7</v>
      </c>
      <c r="C15066" s="3" t="s">
        <v>2376</v>
      </c>
      <c r="D15066" s="4">
        <f>DATE(2013,1,23)</f>
        <v>41297</v>
      </c>
      <c r="E15066" s="5">
        <f t="shared" si="248"/>
        <v>2013</v>
      </c>
      <c r="F15066" s="3" t="s">
        <v>2377</v>
      </c>
      <c r="G15066" s="6">
        <v>4068.98</v>
      </c>
      <c r="H15066" s="5">
        <v>17959</v>
      </c>
    </row>
    <row r="15067" spans="2:8" x14ac:dyDescent="0.4">
      <c r="B15067" s="3" t="s">
        <v>7</v>
      </c>
      <c r="C15067" s="3" t="s">
        <v>2376</v>
      </c>
      <c r="D15067" s="4">
        <f>DATE(2013,2,13)</f>
        <v>41318</v>
      </c>
      <c r="E15067" s="5">
        <f t="shared" si="248"/>
        <v>2013</v>
      </c>
      <c r="F15067" s="3" t="s">
        <v>2377</v>
      </c>
      <c r="G15067" s="6">
        <v>1275.3800000000001</v>
      </c>
      <c r="H15067" s="5">
        <v>18140</v>
      </c>
    </row>
    <row r="15068" spans="2:8" x14ac:dyDescent="0.4">
      <c r="B15068" s="3" t="s">
        <v>7</v>
      </c>
      <c r="C15068" s="3" t="s">
        <v>2376</v>
      </c>
      <c r="D15068" s="4">
        <f>DATE(2013,2,20)</f>
        <v>41325</v>
      </c>
      <c r="E15068" s="5">
        <f t="shared" si="248"/>
        <v>2013</v>
      </c>
      <c r="F15068" s="3" t="s">
        <v>2377</v>
      </c>
      <c r="G15068" s="6">
        <v>6451.12</v>
      </c>
      <c r="H15068" s="5">
        <v>18053</v>
      </c>
    </row>
    <row r="15069" spans="2:8" x14ac:dyDescent="0.4">
      <c r="B15069" s="3" t="s">
        <v>7</v>
      </c>
      <c r="C15069" s="3" t="s">
        <v>2376</v>
      </c>
      <c r="D15069" s="4">
        <f>DATE(2013,2,21)</f>
        <v>41326</v>
      </c>
      <c r="E15069" s="5">
        <f t="shared" si="248"/>
        <v>2013</v>
      </c>
      <c r="F15069" s="3" t="s">
        <v>2377</v>
      </c>
      <c r="G15069" s="6">
        <v>649.29</v>
      </c>
      <c r="H15069" s="5">
        <v>18198</v>
      </c>
    </row>
    <row r="15070" spans="2:8" x14ac:dyDescent="0.4">
      <c r="B15070" s="3" t="s">
        <v>7</v>
      </c>
      <c r="C15070" s="3" t="s">
        <v>2376</v>
      </c>
      <c r="D15070" s="4">
        <f>DATE(2013,6,28)</f>
        <v>41453</v>
      </c>
      <c r="E15070" s="5">
        <f t="shared" si="248"/>
        <v>2013</v>
      </c>
      <c r="F15070" s="3" t="s">
        <v>2377</v>
      </c>
      <c r="G15070" s="6">
        <v>12972.4</v>
      </c>
      <c r="H15070" s="5">
        <v>18664</v>
      </c>
    </row>
    <row r="15071" spans="2:8" x14ac:dyDescent="0.4">
      <c r="B15071" s="3" t="s">
        <v>7</v>
      </c>
      <c r="C15071" s="3" t="s">
        <v>2376</v>
      </c>
      <c r="D15071" s="4">
        <f>DATE(2013,8,29)</f>
        <v>41515</v>
      </c>
      <c r="E15071" s="5">
        <f t="shared" si="248"/>
        <v>2013</v>
      </c>
      <c r="F15071" s="3" t="s">
        <v>2377</v>
      </c>
      <c r="G15071" s="6">
        <v>2581.7800000000002</v>
      </c>
      <c r="H15071" s="5">
        <v>18873</v>
      </c>
    </row>
    <row r="15072" spans="2:8" x14ac:dyDescent="0.4">
      <c r="B15072" s="3" t="s">
        <v>7</v>
      </c>
      <c r="C15072" s="3" t="s">
        <v>2376</v>
      </c>
      <c r="D15072" s="4">
        <f>DATE(2013,9,11)</f>
        <v>41528</v>
      </c>
      <c r="E15072" s="5">
        <f t="shared" si="248"/>
        <v>2013</v>
      </c>
      <c r="F15072" s="3" t="s">
        <v>2377</v>
      </c>
      <c r="G15072" s="6">
        <v>1317.07</v>
      </c>
      <c r="H15072" s="5">
        <v>18929</v>
      </c>
    </row>
    <row r="15073" spans="2:8" x14ac:dyDescent="0.4">
      <c r="B15073" s="3" t="s">
        <v>7</v>
      </c>
      <c r="C15073" s="3" t="s">
        <v>2376</v>
      </c>
      <c r="D15073" s="4">
        <f>DATE(2013,9,18)</f>
        <v>41535</v>
      </c>
      <c r="E15073" s="5">
        <f t="shared" si="248"/>
        <v>2013</v>
      </c>
      <c r="F15073" s="3" t="s">
        <v>2377</v>
      </c>
      <c r="G15073" s="6">
        <v>674.75</v>
      </c>
      <c r="H15073" s="5">
        <v>18967</v>
      </c>
    </row>
    <row r="15074" spans="2:8" x14ac:dyDescent="0.4">
      <c r="B15074" s="3" t="s">
        <v>7</v>
      </c>
      <c r="C15074" s="3" t="s">
        <v>2376</v>
      </c>
      <c r="D15074" s="4">
        <f>DATE(2013,10,11)</f>
        <v>41558</v>
      </c>
      <c r="E15074" s="5">
        <f t="shared" si="248"/>
        <v>2013</v>
      </c>
      <c r="F15074" s="3" t="s">
        <v>2377</v>
      </c>
      <c r="G15074" s="6">
        <v>7025.69</v>
      </c>
      <c r="H15074" s="5">
        <v>19027</v>
      </c>
    </row>
    <row r="15075" spans="2:8" x14ac:dyDescent="0.4">
      <c r="B15075" s="3" t="s">
        <v>7</v>
      </c>
      <c r="C15075" s="3" t="s">
        <v>2376</v>
      </c>
      <c r="D15075" s="4">
        <f>DATE(2014,1,15)</f>
        <v>41654</v>
      </c>
      <c r="E15075" s="5">
        <f t="shared" si="248"/>
        <v>2014</v>
      </c>
      <c r="F15075" s="3" t="s">
        <v>2377</v>
      </c>
      <c r="G15075" s="6">
        <v>6412.24</v>
      </c>
      <c r="H15075" s="5">
        <v>19341</v>
      </c>
    </row>
    <row r="15076" spans="2:8" x14ac:dyDescent="0.4">
      <c r="B15076" s="3" t="s">
        <v>7</v>
      </c>
      <c r="C15076" s="3" t="s">
        <v>2376</v>
      </c>
      <c r="D15076" s="4">
        <f>DATE(2014,1,28)</f>
        <v>41667</v>
      </c>
      <c r="E15076" s="5">
        <f t="shared" si="248"/>
        <v>2014</v>
      </c>
      <c r="F15076" s="3" t="s">
        <v>2377</v>
      </c>
      <c r="G15076" s="6">
        <v>4058.04</v>
      </c>
      <c r="H15076" s="5">
        <v>19393</v>
      </c>
    </row>
    <row r="15077" spans="2:8" x14ac:dyDescent="0.4">
      <c r="B15077" s="3" t="s">
        <v>7</v>
      </c>
      <c r="C15077" s="3" t="s">
        <v>2376</v>
      </c>
      <c r="D15077" s="4">
        <f>DATE(2014,3,18)</f>
        <v>41716</v>
      </c>
      <c r="E15077" s="5">
        <f t="shared" si="248"/>
        <v>2014</v>
      </c>
      <c r="F15077" s="3" t="s">
        <v>2377</v>
      </c>
      <c r="G15077" s="6">
        <v>2400</v>
      </c>
      <c r="H15077" s="5">
        <v>19618</v>
      </c>
    </row>
    <row r="15078" spans="2:8" x14ac:dyDescent="0.4">
      <c r="B15078" s="3" t="s">
        <v>7</v>
      </c>
      <c r="C15078" s="3" t="s">
        <v>2376</v>
      </c>
      <c r="D15078" s="4">
        <f>DATE(2014,4,23)</f>
        <v>41752</v>
      </c>
      <c r="E15078" s="5">
        <f t="shared" si="248"/>
        <v>2014</v>
      </c>
      <c r="F15078" s="3" t="s">
        <v>2377</v>
      </c>
      <c r="G15078" s="6">
        <v>8046.27</v>
      </c>
      <c r="H15078" s="5">
        <v>19824</v>
      </c>
    </row>
    <row r="15079" spans="2:8" x14ac:dyDescent="0.4">
      <c r="B15079" s="3" t="s">
        <v>7</v>
      </c>
      <c r="C15079" s="3" t="s">
        <v>2376</v>
      </c>
      <c r="D15079" s="4">
        <f>DATE(2014,4,24)</f>
        <v>41753</v>
      </c>
      <c r="E15079" s="5">
        <f t="shared" si="248"/>
        <v>2014</v>
      </c>
      <c r="F15079" s="3" t="s">
        <v>2377</v>
      </c>
      <c r="G15079" s="6">
        <v>3985.17</v>
      </c>
      <c r="H15079" s="5">
        <v>19808</v>
      </c>
    </row>
    <row r="15080" spans="2:8" x14ac:dyDescent="0.4">
      <c r="B15080" s="3" t="s">
        <v>7</v>
      </c>
      <c r="C15080" s="3" t="s">
        <v>2376</v>
      </c>
      <c r="D15080" s="4">
        <f>DATE(2014,7,31)</f>
        <v>41851</v>
      </c>
      <c r="E15080" s="5">
        <f t="shared" si="248"/>
        <v>2014</v>
      </c>
      <c r="F15080" s="3" t="s">
        <v>2377</v>
      </c>
      <c r="G15080" s="6">
        <v>4583.4399999999996</v>
      </c>
      <c r="H15080" s="5">
        <v>20153</v>
      </c>
    </row>
    <row r="15081" spans="2:8" x14ac:dyDescent="0.4">
      <c r="B15081" s="3" t="s">
        <v>7</v>
      </c>
      <c r="C15081" s="3" t="s">
        <v>2376</v>
      </c>
      <c r="D15081" s="4">
        <f>DATE(2014,8,13)</f>
        <v>41864</v>
      </c>
      <c r="E15081" s="5">
        <f t="shared" si="248"/>
        <v>2014</v>
      </c>
      <c r="F15081" s="3" t="s">
        <v>2377</v>
      </c>
      <c r="G15081" s="6">
        <v>1902.93</v>
      </c>
      <c r="H15081" s="5">
        <v>20276</v>
      </c>
    </row>
    <row r="15082" spans="2:8" x14ac:dyDescent="0.4">
      <c r="B15082" s="3" t="s">
        <v>7</v>
      </c>
      <c r="C15082" s="3" t="s">
        <v>2376</v>
      </c>
      <c r="D15082" s="4">
        <f>DATE(2014,8,25)</f>
        <v>41876</v>
      </c>
      <c r="E15082" s="5">
        <f t="shared" si="248"/>
        <v>2014</v>
      </c>
      <c r="F15082" s="3" t="s">
        <v>2377</v>
      </c>
      <c r="G15082" s="6">
        <v>2881.78</v>
      </c>
      <c r="H15082" s="5">
        <v>20297</v>
      </c>
    </row>
    <row r="15083" spans="2:8" x14ac:dyDescent="0.4">
      <c r="B15083" s="3" t="s">
        <v>7</v>
      </c>
      <c r="C15083" s="3" t="s">
        <v>2376</v>
      </c>
      <c r="D15083" s="4">
        <f>DATE(2014,9,2)</f>
        <v>41884</v>
      </c>
      <c r="E15083" s="5">
        <f t="shared" si="248"/>
        <v>2014</v>
      </c>
      <c r="F15083" s="3" t="s">
        <v>2377</v>
      </c>
      <c r="G15083" s="6">
        <v>10078.99</v>
      </c>
      <c r="H15083" s="5">
        <v>20344</v>
      </c>
    </row>
    <row r="15084" spans="2:8" x14ac:dyDescent="0.4">
      <c r="B15084" s="3" t="s">
        <v>7</v>
      </c>
      <c r="C15084" s="3" t="s">
        <v>2376</v>
      </c>
      <c r="D15084" s="4">
        <f>DATE(2014,9,2)</f>
        <v>41884</v>
      </c>
      <c r="E15084" s="5">
        <f t="shared" si="248"/>
        <v>2014</v>
      </c>
      <c r="F15084" s="3" t="s">
        <v>2377</v>
      </c>
      <c r="G15084" s="6">
        <v>3983.44</v>
      </c>
      <c r="H15084" s="5">
        <v>20357</v>
      </c>
    </row>
    <row r="15085" spans="2:8" x14ac:dyDescent="0.4">
      <c r="B15085" s="3" t="s">
        <v>7</v>
      </c>
      <c r="C15085" s="3" t="s">
        <v>2376</v>
      </c>
      <c r="D15085" s="4">
        <f>DATE(2014,10,29)</f>
        <v>41941</v>
      </c>
      <c r="E15085" s="5">
        <f t="shared" si="248"/>
        <v>2014</v>
      </c>
      <c r="F15085" s="3" t="s">
        <v>2377</v>
      </c>
      <c r="G15085" s="6">
        <v>5258.04</v>
      </c>
      <c r="H15085" s="5">
        <v>20538</v>
      </c>
    </row>
    <row r="15086" spans="2:8" x14ac:dyDescent="0.4">
      <c r="B15086" s="3" t="s">
        <v>16</v>
      </c>
      <c r="C15086" s="3" t="s">
        <v>2376</v>
      </c>
      <c r="D15086" s="4">
        <f>DATE(2012,6,12)</f>
        <v>41072</v>
      </c>
      <c r="E15086" s="5">
        <f t="shared" si="248"/>
        <v>2012</v>
      </c>
      <c r="F15086" s="3" t="s">
        <v>2377</v>
      </c>
      <c r="G15086" s="6">
        <v>12235.94</v>
      </c>
      <c r="H15086" s="5">
        <v>17246</v>
      </c>
    </row>
    <row r="15087" spans="2:8" x14ac:dyDescent="0.4">
      <c r="B15087" t="s">
        <v>7</v>
      </c>
      <c r="C15087" t="s">
        <v>2376</v>
      </c>
      <c r="D15087" s="7">
        <f>DATE(2003,7,29)</f>
        <v>37831</v>
      </c>
      <c r="E15087" s="8">
        <f t="shared" si="248"/>
        <v>2003</v>
      </c>
      <c r="F15087" t="s">
        <v>2378</v>
      </c>
      <c r="G15087" s="9">
        <v>4611.32</v>
      </c>
      <c r="H15087" s="8">
        <v>735</v>
      </c>
    </row>
    <row r="15088" spans="2:8" x14ac:dyDescent="0.4">
      <c r="B15088" t="s">
        <v>7</v>
      </c>
      <c r="C15088" t="s">
        <v>2376</v>
      </c>
      <c r="D15088" s="7">
        <f>DATE(2003,8,1)</f>
        <v>37834</v>
      </c>
      <c r="E15088" s="8">
        <f t="shared" si="248"/>
        <v>2003</v>
      </c>
      <c r="F15088" t="s">
        <v>2378</v>
      </c>
      <c r="G15088" s="9">
        <v>3771.32</v>
      </c>
      <c r="H15088" s="8">
        <v>866</v>
      </c>
    </row>
    <row r="15089" spans="2:8" x14ac:dyDescent="0.4">
      <c r="B15089" t="s">
        <v>16</v>
      </c>
      <c r="C15089" t="s">
        <v>2376</v>
      </c>
      <c r="D15089" s="7">
        <f>DATE(2003,8,1)</f>
        <v>37834</v>
      </c>
      <c r="E15089" s="8">
        <f t="shared" si="248"/>
        <v>2003</v>
      </c>
      <c r="F15089" t="s">
        <v>2378</v>
      </c>
      <c r="G15089" s="9">
        <v>4611.32</v>
      </c>
      <c r="H15089" s="8">
        <v>863</v>
      </c>
    </row>
    <row r="15090" spans="2:8" x14ac:dyDescent="0.4">
      <c r="B15090" s="3" t="s">
        <v>7</v>
      </c>
      <c r="C15090" s="3" t="s">
        <v>2376</v>
      </c>
      <c r="D15090" s="4">
        <f>DATE(2003,4,14)</f>
        <v>37725</v>
      </c>
      <c r="E15090" s="5">
        <f t="shared" si="248"/>
        <v>2003</v>
      </c>
      <c r="F15090" s="3" t="s">
        <v>2378</v>
      </c>
      <c r="G15090" s="6">
        <v>11266</v>
      </c>
      <c r="H15090" s="5">
        <v>694</v>
      </c>
    </row>
    <row r="15091" spans="2:8" x14ac:dyDescent="0.4">
      <c r="B15091" s="3" t="s">
        <v>7</v>
      </c>
      <c r="C15091" s="3" t="s">
        <v>2376</v>
      </c>
      <c r="D15091" s="4">
        <f>DATE(2003,7,31)</f>
        <v>37833</v>
      </c>
      <c r="E15091" s="5">
        <f t="shared" si="248"/>
        <v>2003</v>
      </c>
      <c r="F15091" s="3" t="s">
        <v>2378</v>
      </c>
      <c r="G15091" s="6">
        <v>7820.4</v>
      </c>
      <c r="H15091" s="5">
        <v>1280</v>
      </c>
    </row>
    <row r="15092" spans="2:8" x14ac:dyDescent="0.4">
      <c r="B15092" s="3" t="s">
        <v>7</v>
      </c>
      <c r="C15092" s="3" t="s">
        <v>2376</v>
      </c>
      <c r="D15092" s="4">
        <f>DATE(2003,11,20)</f>
        <v>37945</v>
      </c>
      <c r="E15092" s="5">
        <f t="shared" si="248"/>
        <v>2003</v>
      </c>
      <c r="F15092" s="3" t="s">
        <v>2378</v>
      </c>
      <c r="G15092" s="6">
        <v>8516.5</v>
      </c>
      <c r="H15092" s="5">
        <v>1808</v>
      </c>
    </row>
    <row r="15093" spans="2:8" x14ac:dyDescent="0.4">
      <c r="B15093" t="s">
        <v>7</v>
      </c>
      <c r="C15093" t="s">
        <v>2379</v>
      </c>
      <c r="D15093" s="7">
        <f>DATE(2015,2,19)</f>
        <v>42054</v>
      </c>
      <c r="E15093" s="8">
        <f t="shared" si="248"/>
        <v>2015</v>
      </c>
      <c r="F15093" t="s">
        <v>2380</v>
      </c>
      <c r="G15093" s="9">
        <v>3632.12</v>
      </c>
      <c r="H15093" s="8">
        <v>371</v>
      </c>
    </row>
    <row r="15094" spans="2:8" x14ac:dyDescent="0.4">
      <c r="B15094" t="s">
        <v>7</v>
      </c>
      <c r="C15094" t="s">
        <v>2379</v>
      </c>
      <c r="D15094" s="7">
        <f>DATE(2016,9,7)</f>
        <v>42620</v>
      </c>
      <c r="E15094" s="8">
        <f t="shared" si="248"/>
        <v>2016</v>
      </c>
      <c r="F15094" t="s">
        <v>2380</v>
      </c>
      <c r="G15094" s="9">
        <v>1839.62</v>
      </c>
      <c r="H15094" s="8">
        <v>23254</v>
      </c>
    </row>
    <row r="15095" spans="2:8" x14ac:dyDescent="0.4">
      <c r="B15095" t="s">
        <v>7</v>
      </c>
      <c r="C15095" t="s">
        <v>2379</v>
      </c>
      <c r="D15095" s="7">
        <f>DATE(2018,1,31)</f>
        <v>43131</v>
      </c>
      <c r="E15095" s="8">
        <f t="shared" si="248"/>
        <v>2018</v>
      </c>
      <c r="F15095" t="s">
        <v>2380</v>
      </c>
      <c r="G15095" s="9">
        <v>3903.88</v>
      </c>
      <c r="H15095" s="8">
        <v>26289</v>
      </c>
    </row>
    <row r="15096" spans="2:8" x14ac:dyDescent="0.4">
      <c r="B15096" t="s">
        <v>7</v>
      </c>
      <c r="C15096" t="s">
        <v>2379</v>
      </c>
      <c r="D15096" s="7">
        <f>DATE(2004,7,21)</f>
        <v>38189</v>
      </c>
      <c r="E15096" s="8">
        <f t="shared" si="248"/>
        <v>2004</v>
      </c>
      <c r="F15096" t="s">
        <v>2380</v>
      </c>
      <c r="G15096" s="9">
        <v>3854.92</v>
      </c>
      <c r="H15096" s="8">
        <v>1970</v>
      </c>
    </row>
    <row r="15097" spans="2:8" x14ac:dyDescent="0.4">
      <c r="B15097" t="s">
        <v>7</v>
      </c>
      <c r="C15097" t="s">
        <v>2379</v>
      </c>
      <c r="D15097" s="7">
        <f>DATE(2005,6,24)</f>
        <v>38527</v>
      </c>
      <c r="E15097" s="8">
        <f t="shared" si="248"/>
        <v>2005</v>
      </c>
      <c r="F15097" t="s">
        <v>2380</v>
      </c>
      <c r="G15097" s="9">
        <v>2432.37</v>
      </c>
      <c r="H15097" s="8">
        <v>3322</v>
      </c>
    </row>
    <row r="15098" spans="2:8" x14ac:dyDescent="0.4">
      <c r="B15098" t="s">
        <v>7</v>
      </c>
      <c r="C15098" t="s">
        <v>2379</v>
      </c>
      <c r="D15098" s="7">
        <f>DATE(2005,12,15)</f>
        <v>38701</v>
      </c>
      <c r="E15098" s="8">
        <f t="shared" si="248"/>
        <v>2005</v>
      </c>
      <c r="F15098" t="s">
        <v>2380</v>
      </c>
      <c r="G15098" s="9">
        <v>3681.25</v>
      </c>
      <c r="H15098" s="8">
        <v>3847</v>
      </c>
    </row>
    <row r="15099" spans="2:8" x14ac:dyDescent="0.4">
      <c r="B15099" t="s">
        <v>7</v>
      </c>
      <c r="C15099" t="s">
        <v>2379</v>
      </c>
      <c r="D15099" s="7">
        <f>DATE(2006,4,29)</f>
        <v>38836</v>
      </c>
      <c r="E15099" s="8">
        <f t="shared" si="248"/>
        <v>2006</v>
      </c>
      <c r="F15099" t="s">
        <v>2380</v>
      </c>
      <c r="G15099" s="9">
        <v>3377.98</v>
      </c>
      <c r="H15099" s="8">
        <v>4544</v>
      </c>
    </row>
    <row r="15100" spans="2:8" x14ac:dyDescent="0.4">
      <c r="B15100" t="s">
        <v>7</v>
      </c>
      <c r="C15100" t="s">
        <v>2379</v>
      </c>
      <c r="D15100" s="7">
        <f>DATE(2006,9,10)</f>
        <v>38970</v>
      </c>
      <c r="E15100" s="8">
        <f t="shared" si="248"/>
        <v>2006</v>
      </c>
      <c r="F15100" t="s">
        <v>2380</v>
      </c>
      <c r="G15100" s="9">
        <v>4642.29</v>
      </c>
      <c r="H15100" s="8">
        <v>5004</v>
      </c>
    </row>
    <row r="15101" spans="2:8" x14ac:dyDescent="0.4">
      <c r="B15101" t="s">
        <v>7</v>
      </c>
      <c r="C15101" t="s">
        <v>2379</v>
      </c>
      <c r="D15101" s="7">
        <f>DATE(2007,12,11)</f>
        <v>39427</v>
      </c>
      <c r="E15101" s="8">
        <f t="shared" si="248"/>
        <v>2007</v>
      </c>
      <c r="F15101" t="s">
        <v>2380</v>
      </c>
      <c r="G15101" s="9">
        <v>4288.07</v>
      </c>
      <c r="H15101" s="8">
        <v>6666</v>
      </c>
    </row>
    <row r="15102" spans="2:8" x14ac:dyDescent="0.4">
      <c r="B15102" t="s">
        <v>7</v>
      </c>
      <c r="C15102" t="s">
        <v>2379</v>
      </c>
      <c r="D15102" s="7">
        <f>DATE(2011,5,11)</f>
        <v>40674</v>
      </c>
      <c r="E15102" s="8">
        <f t="shared" si="248"/>
        <v>2011</v>
      </c>
      <c r="F15102" t="s">
        <v>2380</v>
      </c>
      <c r="G15102" s="9">
        <v>3850.71</v>
      </c>
      <c r="H15102" s="8">
        <v>10678</v>
      </c>
    </row>
    <row r="15103" spans="2:8" x14ac:dyDescent="0.4">
      <c r="B15103" t="s">
        <v>7</v>
      </c>
      <c r="C15103" t="s">
        <v>2379</v>
      </c>
      <c r="D15103" s="7">
        <f>DATE(2012,2,14)</f>
        <v>40953</v>
      </c>
      <c r="E15103" s="8">
        <f t="shared" si="248"/>
        <v>2012</v>
      </c>
      <c r="F15103" t="s">
        <v>2380</v>
      </c>
      <c r="G15103" s="9">
        <v>3706.37</v>
      </c>
      <c r="H15103" s="8">
        <v>11256</v>
      </c>
    </row>
    <row r="15104" spans="2:8" x14ac:dyDescent="0.4">
      <c r="B15104" t="s">
        <v>7</v>
      </c>
      <c r="C15104" t="s">
        <v>2379</v>
      </c>
      <c r="D15104" s="7">
        <f>DATE(2012,5,2)</f>
        <v>41031</v>
      </c>
      <c r="E15104" s="8">
        <f t="shared" si="248"/>
        <v>2012</v>
      </c>
      <c r="F15104" t="s">
        <v>2380</v>
      </c>
      <c r="G15104" s="9">
        <v>4408.07</v>
      </c>
      <c r="H15104" s="8">
        <v>11581</v>
      </c>
    </row>
    <row r="15105" spans="2:8" x14ac:dyDescent="0.4">
      <c r="B15105" t="s">
        <v>7</v>
      </c>
      <c r="C15105" t="s">
        <v>2379</v>
      </c>
      <c r="D15105" s="7">
        <f>DATE(2013,1,31)</f>
        <v>41305</v>
      </c>
      <c r="E15105" s="8">
        <f t="shared" si="248"/>
        <v>2013</v>
      </c>
      <c r="F15105" t="s">
        <v>2380</v>
      </c>
      <c r="G15105" s="9">
        <v>3183.43</v>
      </c>
      <c r="H15105" s="8">
        <v>12083</v>
      </c>
    </row>
    <row r="15106" spans="2:8" x14ac:dyDescent="0.4">
      <c r="B15106" t="s">
        <v>7</v>
      </c>
      <c r="C15106" t="s">
        <v>2381</v>
      </c>
      <c r="D15106" s="7">
        <f>DATE(2004,7,1)</f>
        <v>38169</v>
      </c>
      <c r="E15106" s="8">
        <f t="shared" si="248"/>
        <v>2004</v>
      </c>
      <c r="F15106" t="s">
        <v>2382</v>
      </c>
      <c r="G15106" s="9">
        <v>1500</v>
      </c>
      <c r="H15106" s="8">
        <v>1912</v>
      </c>
    </row>
    <row r="15107" spans="2:8" x14ac:dyDescent="0.4">
      <c r="B15107" t="s">
        <v>7</v>
      </c>
      <c r="C15107" t="s">
        <v>2383</v>
      </c>
      <c r="D15107" s="7">
        <f>DATE(2016,6,16)</f>
        <v>42537</v>
      </c>
      <c r="E15107" s="8">
        <f t="shared" ref="E15107:E15170" si="249">YEAR(D15107)</f>
        <v>2016</v>
      </c>
      <c r="F15107" t="s">
        <v>2384</v>
      </c>
      <c r="G15107" s="9">
        <v>4660.8999999999996</v>
      </c>
      <c r="H15107" s="8">
        <v>22503</v>
      </c>
    </row>
    <row r="15108" spans="2:8" x14ac:dyDescent="0.4">
      <c r="B15108" t="s">
        <v>7</v>
      </c>
      <c r="C15108" t="s">
        <v>2385</v>
      </c>
      <c r="D15108" s="7">
        <f>DATE(2016,1,15)</f>
        <v>42384</v>
      </c>
      <c r="E15108" s="8">
        <f t="shared" si="249"/>
        <v>2016</v>
      </c>
      <c r="F15108" t="s">
        <v>2386</v>
      </c>
      <c r="G15108" s="9">
        <v>308.25</v>
      </c>
      <c r="H15108" s="8">
        <v>21966</v>
      </c>
    </row>
    <row r="15109" spans="2:8" x14ac:dyDescent="0.4">
      <c r="B15109" t="s">
        <v>7</v>
      </c>
      <c r="C15109" t="s">
        <v>2387</v>
      </c>
      <c r="D15109" s="7">
        <f>DATE(2003,3,16)</f>
        <v>37696</v>
      </c>
      <c r="E15109" s="8">
        <f t="shared" si="249"/>
        <v>2003</v>
      </c>
      <c r="F15109" t="s">
        <v>2388</v>
      </c>
      <c r="G15109" s="9">
        <v>10564.15</v>
      </c>
      <c r="H15109" s="8">
        <v>373</v>
      </c>
    </row>
    <row r="15110" spans="2:8" x14ac:dyDescent="0.4">
      <c r="B15110" t="s">
        <v>7</v>
      </c>
      <c r="C15110" t="s">
        <v>2387</v>
      </c>
      <c r="D15110" s="7">
        <f>DATE(2005,3,20)</f>
        <v>38431</v>
      </c>
      <c r="E15110" s="8">
        <f t="shared" si="249"/>
        <v>2005</v>
      </c>
      <c r="F15110" t="s">
        <v>2388</v>
      </c>
      <c r="G15110" s="9">
        <v>13490</v>
      </c>
      <c r="H15110" s="8">
        <v>2805</v>
      </c>
    </row>
    <row r="15111" spans="2:8" x14ac:dyDescent="0.4">
      <c r="B15111" t="s">
        <v>7</v>
      </c>
      <c r="C15111" t="s">
        <v>2387</v>
      </c>
      <c r="D15111" s="7">
        <f>DATE(2006,2,17)</f>
        <v>38765</v>
      </c>
      <c r="E15111" s="8">
        <f t="shared" si="249"/>
        <v>2006</v>
      </c>
      <c r="F15111" t="s">
        <v>2388</v>
      </c>
      <c r="G15111" s="9">
        <v>12295.19</v>
      </c>
      <c r="H15111" s="8">
        <v>3974</v>
      </c>
    </row>
    <row r="15112" spans="2:8" x14ac:dyDescent="0.4">
      <c r="B15112" t="s">
        <v>7</v>
      </c>
      <c r="C15112" t="s">
        <v>2387</v>
      </c>
      <c r="D15112" s="7">
        <f>DATE(2006,4,2)</f>
        <v>38809</v>
      </c>
      <c r="E15112" s="8">
        <f t="shared" si="249"/>
        <v>2006</v>
      </c>
      <c r="F15112" t="s">
        <v>2388</v>
      </c>
      <c r="G15112" s="9">
        <v>12168.6</v>
      </c>
      <c r="H15112" s="8">
        <v>4417</v>
      </c>
    </row>
    <row r="15113" spans="2:8" x14ac:dyDescent="0.4">
      <c r="B15113" t="s">
        <v>7</v>
      </c>
      <c r="C15113" t="s">
        <v>2387</v>
      </c>
      <c r="D15113" s="7">
        <f>DATE(2006,3,31)</f>
        <v>38807</v>
      </c>
      <c r="E15113" s="8">
        <f t="shared" si="249"/>
        <v>2006</v>
      </c>
      <c r="F15113" t="s">
        <v>2388</v>
      </c>
      <c r="G15113" s="9">
        <v>4525.84</v>
      </c>
      <c r="H15113" s="8">
        <v>4399</v>
      </c>
    </row>
    <row r="15114" spans="2:8" x14ac:dyDescent="0.4">
      <c r="B15114" t="s">
        <v>7</v>
      </c>
      <c r="C15114" t="s">
        <v>2387</v>
      </c>
      <c r="D15114" s="7">
        <f>DATE(2006,5,12)</f>
        <v>38849</v>
      </c>
      <c r="E15114" s="8">
        <f t="shared" si="249"/>
        <v>2006</v>
      </c>
      <c r="F15114" t="s">
        <v>2388</v>
      </c>
      <c r="G15114" s="9">
        <v>515</v>
      </c>
      <c r="H15114" s="8">
        <v>4619</v>
      </c>
    </row>
    <row r="15115" spans="2:8" x14ac:dyDescent="0.4">
      <c r="B15115" t="s">
        <v>7</v>
      </c>
      <c r="C15115" t="s">
        <v>2387</v>
      </c>
      <c r="D15115" s="7">
        <f>DATE(2006,5,12)</f>
        <v>38849</v>
      </c>
      <c r="E15115" s="8">
        <f t="shared" si="249"/>
        <v>2006</v>
      </c>
      <c r="F15115" t="s">
        <v>2388</v>
      </c>
      <c r="G15115" s="9">
        <v>2857.83</v>
      </c>
      <c r="H15115" s="8">
        <v>4614</v>
      </c>
    </row>
    <row r="15116" spans="2:8" x14ac:dyDescent="0.4">
      <c r="B15116" t="s">
        <v>7</v>
      </c>
      <c r="C15116" t="s">
        <v>2387</v>
      </c>
      <c r="D15116" s="7">
        <f>DATE(2007,3,30)</f>
        <v>39171</v>
      </c>
      <c r="E15116" s="8">
        <f t="shared" si="249"/>
        <v>2007</v>
      </c>
      <c r="F15116" t="s">
        <v>2388</v>
      </c>
      <c r="G15116" s="9">
        <v>14554</v>
      </c>
      <c r="H15116" s="8">
        <v>5799</v>
      </c>
    </row>
    <row r="15117" spans="2:8" x14ac:dyDescent="0.4">
      <c r="B15117" t="s">
        <v>7</v>
      </c>
      <c r="C15117" t="s">
        <v>2387</v>
      </c>
      <c r="D15117" s="7">
        <f>DATE(2007,5,6)</f>
        <v>39208</v>
      </c>
      <c r="E15117" s="8">
        <f t="shared" si="249"/>
        <v>2007</v>
      </c>
      <c r="F15117" t="s">
        <v>2388</v>
      </c>
      <c r="G15117" s="9">
        <v>14554</v>
      </c>
      <c r="H15117" s="8">
        <v>5949</v>
      </c>
    </row>
    <row r="15118" spans="2:8" x14ac:dyDescent="0.4">
      <c r="B15118" t="s">
        <v>7</v>
      </c>
      <c r="C15118" t="s">
        <v>2387</v>
      </c>
      <c r="D15118" s="7">
        <f>DATE(2007,5,27)</f>
        <v>39229</v>
      </c>
      <c r="E15118" s="8">
        <f t="shared" si="249"/>
        <v>2007</v>
      </c>
      <c r="F15118" t="s">
        <v>2388</v>
      </c>
      <c r="G15118" s="9">
        <v>14554</v>
      </c>
      <c r="H15118" s="8">
        <v>6028</v>
      </c>
    </row>
    <row r="15119" spans="2:8" x14ac:dyDescent="0.4">
      <c r="B15119" t="s">
        <v>7</v>
      </c>
      <c r="C15119" t="s">
        <v>2387</v>
      </c>
      <c r="D15119" s="7">
        <f>DATE(2007,6,1)</f>
        <v>39234</v>
      </c>
      <c r="E15119" s="8">
        <f t="shared" si="249"/>
        <v>2007</v>
      </c>
      <c r="F15119" t="s">
        <v>2388</v>
      </c>
      <c r="G15119" s="9">
        <v>12317.76</v>
      </c>
      <c r="H15119" s="8">
        <v>6131</v>
      </c>
    </row>
    <row r="15120" spans="2:8" x14ac:dyDescent="0.4">
      <c r="B15120" t="s">
        <v>7</v>
      </c>
      <c r="C15120" t="s">
        <v>2387</v>
      </c>
      <c r="D15120" s="7">
        <f>DATE(2008,4,1)</f>
        <v>39539</v>
      </c>
      <c r="E15120" s="8">
        <f t="shared" si="249"/>
        <v>2008</v>
      </c>
      <c r="F15120" t="s">
        <v>2388</v>
      </c>
      <c r="G15120" s="9">
        <v>13100</v>
      </c>
      <c r="H15120" s="8">
        <v>6976</v>
      </c>
    </row>
    <row r="15121" spans="2:8" x14ac:dyDescent="0.4">
      <c r="B15121" t="s">
        <v>7</v>
      </c>
      <c r="C15121" t="s">
        <v>2387</v>
      </c>
      <c r="D15121" s="7">
        <f>DATE(2008,4,1)</f>
        <v>39539</v>
      </c>
      <c r="E15121" s="8">
        <f t="shared" si="249"/>
        <v>2008</v>
      </c>
      <c r="F15121" t="s">
        <v>2388</v>
      </c>
      <c r="G15121" s="9">
        <v>13896.2</v>
      </c>
      <c r="H15121" s="8">
        <v>6841</v>
      </c>
    </row>
    <row r="15122" spans="2:8" x14ac:dyDescent="0.4">
      <c r="B15122" t="s">
        <v>7</v>
      </c>
      <c r="C15122" t="s">
        <v>2387</v>
      </c>
      <c r="D15122" s="7">
        <f>DATE(2008,5,14)</f>
        <v>39582</v>
      </c>
      <c r="E15122" s="8">
        <f t="shared" si="249"/>
        <v>2008</v>
      </c>
      <c r="F15122" t="s">
        <v>2388</v>
      </c>
      <c r="G15122" s="9">
        <v>10800</v>
      </c>
      <c r="H15122" s="8">
        <v>6975</v>
      </c>
    </row>
    <row r="15123" spans="2:8" x14ac:dyDescent="0.4">
      <c r="B15123" t="s">
        <v>7</v>
      </c>
      <c r="C15123" t="s">
        <v>2387</v>
      </c>
      <c r="D15123" s="7">
        <f>DATE(2011,1,26)</f>
        <v>40569</v>
      </c>
      <c r="E15123" s="8">
        <f t="shared" si="249"/>
        <v>2011</v>
      </c>
      <c r="F15123" t="s">
        <v>2388</v>
      </c>
      <c r="G15123" s="9">
        <v>2050.7600000000002</v>
      </c>
      <c r="H15123" s="8">
        <v>10401</v>
      </c>
    </row>
    <row r="15124" spans="2:8" x14ac:dyDescent="0.4">
      <c r="B15124" t="s">
        <v>7</v>
      </c>
      <c r="C15124" t="s">
        <v>2387</v>
      </c>
      <c r="D15124" s="7">
        <f>DATE(2011,2,8)</f>
        <v>40582</v>
      </c>
      <c r="E15124" s="8">
        <f t="shared" si="249"/>
        <v>2011</v>
      </c>
      <c r="F15124" t="s">
        <v>2388</v>
      </c>
      <c r="G15124" s="9">
        <v>21905.47</v>
      </c>
      <c r="H15124" s="8">
        <v>10402</v>
      </c>
    </row>
    <row r="15125" spans="2:8" x14ac:dyDescent="0.4">
      <c r="B15125" t="s">
        <v>7</v>
      </c>
      <c r="C15125" t="s">
        <v>2387</v>
      </c>
      <c r="D15125" s="7">
        <f>DATE(2011,5,3)</f>
        <v>40666</v>
      </c>
      <c r="E15125" s="8">
        <f t="shared" si="249"/>
        <v>2011</v>
      </c>
      <c r="F15125" t="s">
        <v>2388</v>
      </c>
      <c r="G15125" s="9">
        <v>20206.82</v>
      </c>
      <c r="H15125" s="8">
        <v>10607</v>
      </c>
    </row>
    <row r="15126" spans="2:8" x14ac:dyDescent="0.4">
      <c r="B15126" t="s">
        <v>7</v>
      </c>
      <c r="C15126" t="s">
        <v>2387</v>
      </c>
      <c r="D15126" s="7">
        <f>DATE(2012,7,5)</f>
        <v>41095</v>
      </c>
      <c r="E15126" s="8">
        <f t="shared" si="249"/>
        <v>2012</v>
      </c>
      <c r="F15126" t="s">
        <v>2388</v>
      </c>
      <c r="G15126" s="9">
        <v>13049.74</v>
      </c>
      <c r="H15126" s="8">
        <v>11720</v>
      </c>
    </row>
    <row r="15127" spans="2:8" x14ac:dyDescent="0.4">
      <c r="B15127" t="s">
        <v>7</v>
      </c>
      <c r="C15127" t="s">
        <v>2387</v>
      </c>
      <c r="D15127" s="7">
        <f>DATE(2012,7,31)</f>
        <v>41121</v>
      </c>
      <c r="E15127" s="8">
        <f t="shared" si="249"/>
        <v>2012</v>
      </c>
      <c r="F15127" t="s">
        <v>2388</v>
      </c>
      <c r="G15127" s="9">
        <v>16118.35</v>
      </c>
      <c r="H15127" s="8">
        <v>11764</v>
      </c>
    </row>
    <row r="15128" spans="2:8" x14ac:dyDescent="0.4">
      <c r="B15128" t="s">
        <v>7</v>
      </c>
      <c r="C15128" t="s">
        <v>2387</v>
      </c>
      <c r="D15128" s="7">
        <f>DATE(2013,1,25)</f>
        <v>41299</v>
      </c>
      <c r="E15128" s="8">
        <f t="shared" si="249"/>
        <v>2013</v>
      </c>
      <c r="F15128" t="s">
        <v>2388</v>
      </c>
      <c r="G15128" s="9">
        <v>16990.88</v>
      </c>
      <c r="H15128" s="8">
        <v>12065</v>
      </c>
    </row>
    <row r="15129" spans="2:8" x14ac:dyDescent="0.4">
      <c r="B15129" t="s">
        <v>7</v>
      </c>
      <c r="C15129" t="s">
        <v>2387</v>
      </c>
      <c r="D15129" s="7">
        <f>DATE(2013,3,19)</f>
        <v>41352</v>
      </c>
      <c r="E15129" s="8">
        <f t="shared" si="249"/>
        <v>2013</v>
      </c>
      <c r="F15129" t="s">
        <v>2388</v>
      </c>
      <c r="G15129" s="9">
        <v>12316.83</v>
      </c>
      <c r="H15129" s="8">
        <v>12066</v>
      </c>
    </row>
    <row r="15130" spans="2:8" x14ac:dyDescent="0.4">
      <c r="B15130" t="s">
        <v>7</v>
      </c>
      <c r="C15130" t="s">
        <v>2387</v>
      </c>
      <c r="D15130" s="7">
        <f>DATE(2013,5,9)</f>
        <v>41403</v>
      </c>
      <c r="E15130" s="8">
        <f t="shared" si="249"/>
        <v>2013</v>
      </c>
      <c r="F15130" t="s">
        <v>2388</v>
      </c>
      <c r="G15130" s="9">
        <v>12741.35</v>
      </c>
      <c r="H15130" s="8">
        <v>12064</v>
      </c>
    </row>
    <row r="15131" spans="2:8" x14ac:dyDescent="0.4">
      <c r="B15131" t="s">
        <v>7</v>
      </c>
      <c r="C15131" t="s">
        <v>2387</v>
      </c>
      <c r="D15131" s="7">
        <f>DATE(2014,8,1)</f>
        <v>41852</v>
      </c>
      <c r="E15131" s="8">
        <f t="shared" si="249"/>
        <v>2014</v>
      </c>
      <c r="F15131" t="s">
        <v>2388</v>
      </c>
      <c r="G15131" s="9">
        <v>13243.75</v>
      </c>
      <c r="H15131" s="8">
        <v>13334</v>
      </c>
    </row>
    <row r="15132" spans="2:8" x14ac:dyDescent="0.4">
      <c r="B15132" t="s">
        <v>16</v>
      </c>
      <c r="C15132" t="s">
        <v>2387</v>
      </c>
      <c r="D15132" s="7">
        <f>DATE(2007,6,1)</f>
        <v>39234</v>
      </c>
      <c r="E15132" s="8">
        <f t="shared" si="249"/>
        <v>2007</v>
      </c>
      <c r="F15132" t="s">
        <v>2388</v>
      </c>
      <c r="G15132" s="9">
        <v>14554</v>
      </c>
      <c r="H15132" s="8">
        <v>6130</v>
      </c>
    </row>
    <row r="15133" spans="2:8" x14ac:dyDescent="0.4">
      <c r="B15133" s="3" t="s">
        <v>7</v>
      </c>
      <c r="C15133" s="3" t="s">
        <v>2387</v>
      </c>
      <c r="D15133" s="4">
        <f>DATE(2006,2,15)</f>
        <v>38763</v>
      </c>
      <c r="E15133" s="5">
        <f t="shared" si="249"/>
        <v>2006</v>
      </c>
      <c r="F15133" s="3" t="s">
        <v>2388</v>
      </c>
      <c r="G15133" s="6">
        <v>9790</v>
      </c>
      <c r="H15133" s="5">
        <v>5975</v>
      </c>
    </row>
    <row r="15134" spans="2:8" x14ac:dyDescent="0.4">
      <c r="B15134" s="3" t="s">
        <v>7</v>
      </c>
      <c r="C15134" s="3" t="s">
        <v>2387</v>
      </c>
      <c r="D15134" s="4">
        <f>DATE(2007,3,30)</f>
        <v>39171</v>
      </c>
      <c r="E15134" s="5">
        <f t="shared" si="249"/>
        <v>2007</v>
      </c>
      <c r="F15134" s="3" t="s">
        <v>2388</v>
      </c>
      <c r="G15134" s="6">
        <v>6675</v>
      </c>
      <c r="H15134" s="5">
        <v>8266</v>
      </c>
    </row>
    <row r="15135" spans="2:8" x14ac:dyDescent="0.4">
      <c r="B15135" s="3" t="s">
        <v>7</v>
      </c>
      <c r="C15135" s="3" t="s">
        <v>2387</v>
      </c>
      <c r="D15135" s="4">
        <f>DATE(2008,2,5)</f>
        <v>39483</v>
      </c>
      <c r="E15135" s="5">
        <f t="shared" si="249"/>
        <v>2008</v>
      </c>
      <c r="F15135" s="3" t="s">
        <v>2388</v>
      </c>
      <c r="G15135" s="6">
        <v>14685</v>
      </c>
      <c r="H15135" s="5">
        <v>9865</v>
      </c>
    </row>
    <row r="15136" spans="2:8" x14ac:dyDescent="0.4">
      <c r="B15136" s="3" t="s">
        <v>7</v>
      </c>
      <c r="C15136" s="3" t="s">
        <v>2387</v>
      </c>
      <c r="D15136" s="4">
        <f>DATE(2011,7,8)</f>
        <v>40732</v>
      </c>
      <c r="E15136" s="5">
        <f t="shared" si="249"/>
        <v>2011</v>
      </c>
      <c r="F15136" s="3" t="s">
        <v>2388</v>
      </c>
      <c r="G15136" s="6">
        <v>482.06</v>
      </c>
      <c r="H15136" s="5">
        <v>15756</v>
      </c>
    </row>
    <row r="15137" spans="2:8" x14ac:dyDescent="0.4">
      <c r="B15137" s="3" t="s">
        <v>7</v>
      </c>
      <c r="C15137" s="3" t="s">
        <v>2389</v>
      </c>
      <c r="D15137" s="4">
        <f>DATE(2003,1,16)</f>
        <v>37637</v>
      </c>
      <c r="E15137" s="5">
        <f t="shared" si="249"/>
        <v>2003</v>
      </c>
      <c r="F15137" s="3" t="s">
        <v>2390</v>
      </c>
      <c r="G15137" s="6">
        <v>702.4</v>
      </c>
      <c r="H15137" s="5">
        <v>89</v>
      </c>
    </row>
    <row r="15138" spans="2:8" x14ac:dyDescent="0.4">
      <c r="B15138" t="s">
        <v>7</v>
      </c>
      <c r="C15138" t="s">
        <v>2391</v>
      </c>
      <c r="D15138" s="7">
        <f>DATE(2005,9,15)</f>
        <v>38610</v>
      </c>
      <c r="E15138" s="8">
        <f t="shared" si="249"/>
        <v>2005</v>
      </c>
      <c r="F15138" t="s">
        <v>2392</v>
      </c>
      <c r="G15138" s="9">
        <v>3843.68</v>
      </c>
      <c r="H15138" s="8">
        <v>3577</v>
      </c>
    </row>
    <row r="15139" spans="2:8" x14ac:dyDescent="0.4">
      <c r="B15139" t="s">
        <v>7</v>
      </c>
      <c r="C15139" t="s">
        <v>2391</v>
      </c>
      <c r="D15139" s="7">
        <f>DATE(2008,1,24)</f>
        <v>39471</v>
      </c>
      <c r="E15139" s="8">
        <f t="shared" si="249"/>
        <v>2008</v>
      </c>
      <c r="F15139" t="s">
        <v>2392</v>
      </c>
      <c r="G15139" s="9">
        <v>6668.52</v>
      </c>
      <c r="H15139" s="8">
        <v>6867</v>
      </c>
    </row>
    <row r="15140" spans="2:8" x14ac:dyDescent="0.4">
      <c r="B15140" t="s">
        <v>7</v>
      </c>
      <c r="C15140" t="s">
        <v>2391</v>
      </c>
      <c r="D15140" s="7">
        <f>DATE(2009,3,19)</f>
        <v>39891</v>
      </c>
      <c r="E15140" s="8">
        <f t="shared" si="249"/>
        <v>2009</v>
      </c>
      <c r="F15140" t="s">
        <v>2392</v>
      </c>
      <c r="G15140" s="9">
        <v>6430.36</v>
      </c>
      <c r="H15140" s="8">
        <v>8383</v>
      </c>
    </row>
    <row r="15141" spans="2:8" x14ac:dyDescent="0.4">
      <c r="B15141" t="s">
        <v>7</v>
      </c>
      <c r="C15141" t="s">
        <v>2391</v>
      </c>
      <c r="D15141" s="7">
        <f>DATE(2009,5,1)</f>
        <v>39934</v>
      </c>
      <c r="E15141" s="8">
        <f t="shared" si="249"/>
        <v>2009</v>
      </c>
      <c r="F15141" t="s">
        <v>2392</v>
      </c>
      <c r="G15141" s="9">
        <v>999.82</v>
      </c>
      <c r="H15141" s="8">
        <v>8612</v>
      </c>
    </row>
    <row r="15142" spans="2:8" x14ac:dyDescent="0.4">
      <c r="B15142" t="s">
        <v>7</v>
      </c>
      <c r="C15142" t="s">
        <v>2391</v>
      </c>
      <c r="D15142" s="7">
        <f>DATE(2009,10,5)</f>
        <v>40091</v>
      </c>
      <c r="E15142" s="8">
        <f t="shared" si="249"/>
        <v>2009</v>
      </c>
      <c r="F15142" t="s">
        <v>2392</v>
      </c>
      <c r="G15142" s="9">
        <v>2514.33</v>
      </c>
      <c r="H15142" s="8">
        <v>9110</v>
      </c>
    </row>
    <row r="15143" spans="2:8" x14ac:dyDescent="0.4">
      <c r="B15143" t="s">
        <v>7</v>
      </c>
      <c r="C15143" t="s">
        <v>2391</v>
      </c>
      <c r="D15143" s="7">
        <f>DATE(2011,3,25)</f>
        <v>40627</v>
      </c>
      <c r="E15143" s="8">
        <f t="shared" si="249"/>
        <v>2011</v>
      </c>
      <c r="F15143" t="s">
        <v>2392</v>
      </c>
      <c r="G15143" s="9">
        <v>6919.95</v>
      </c>
      <c r="H15143" s="8">
        <v>10600</v>
      </c>
    </row>
    <row r="15144" spans="2:8" x14ac:dyDescent="0.4">
      <c r="B15144" t="s">
        <v>7</v>
      </c>
      <c r="C15144" t="s">
        <v>2391</v>
      </c>
      <c r="D15144" s="7">
        <f>DATE(2014,7,7)</f>
        <v>41827</v>
      </c>
      <c r="E15144" s="8">
        <f t="shared" si="249"/>
        <v>2014</v>
      </c>
      <c r="F15144" t="s">
        <v>2392</v>
      </c>
      <c r="G15144" s="9">
        <v>2876.01</v>
      </c>
      <c r="H15144" s="8">
        <v>13307</v>
      </c>
    </row>
    <row r="15145" spans="2:8" x14ac:dyDescent="0.4">
      <c r="B15145" t="s">
        <v>16</v>
      </c>
      <c r="C15145" t="s">
        <v>2391</v>
      </c>
      <c r="D15145" s="7">
        <f>DATE(2014,7,16)</f>
        <v>41836</v>
      </c>
      <c r="E15145" s="8">
        <f t="shared" si="249"/>
        <v>2014</v>
      </c>
      <c r="F15145" t="s">
        <v>2392</v>
      </c>
      <c r="G15145" s="9">
        <v>26.75</v>
      </c>
      <c r="H15145" s="8">
        <v>13344</v>
      </c>
    </row>
    <row r="15146" spans="2:8" x14ac:dyDescent="0.4">
      <c r="B15146" t="s">
        <v>7</v>
      </c>
      <c r="C15146" t="s">
        <v>2393</v>
      </c>
      <c r="D15146" s="7">
        <f>DATE(2011,3,30)</f>
        <v>40632</v>
      </c>
      <c r="E15146" s="8">
        <f t="shared" si="249"/>
        <v>2011</v>
      </c>
      <c r="F15146" t="s">
        <v>2394</v>
      </c>
      <c r="G15146" s="9">
        <v>21661.48</v>
      </c>
      <c r="H15146" s="8">
        <v>10616</v>
      </c>
    </row>
    <row r="15147" spans="2:8" x14ac:dyDescent="0.4">
      <c r="B15147" t="s">
        <v>7</v>
      </c>
      <c r="C15147" t="s">
        <v>2393</v>
      </c>
      <c r="D15147" s="7">
        <f>DATE(2011,5,27)</f>
        <v>40690</v>
      </c>
      <c r="E15147" s="8">
        <f t="shared" si="249"/>
        <v>2011</v>
      </c>
      <c r="F15147" t="s">
        <v>2394</v>
      </c>
      <c r="G15147" s="9">
        <v>12547.42</v>
      </c>
      <c r="H15147" s="8">
        <v>10764</v>
      </c>
    </row>
    <row r="15148" spans="2:8" x14ac:dyDescent="0.4">
      <c r="B15148" t="s">
        <v>7</v>
      </c>
      <c r="C15148" t="s">
        <v>2393</v>
      </c>
      <c r="D15148" s="7">
        <f>DATE(2011,6,9)</f>
        <v>40703</v>
      </c>
      <c r="E15148" s="8">
        <f t="shared" si="249"/>
        <v>2011</v>
      </c>
      <c r="F15148" t="s">
        <v>2394</v>
      </c>
      <c r="G15148" s="9">
        <v>250</v>
      </c>
      <c r="H15148" s="8">
        <v>10783</v>
      </c>
    </row>
    <row r="15149" spans="2:8" x14ac:dyDescent="0.4">
      <c r="B15149" s="3" t="s">
        <v>7</v>
      </c>
      <c r="C15149" s="3" t="s">
        <v>2393</v>
      </c>
      <c r="D15149" s="4">
        <f>DATE(2011,4,29)</f>
        <v>40662</v>
      </c>
      <c r="E15149" s="5">
        <f t="shared" si="249"/>
        <v>2011</v>
      </c>
      <c r="F15149" s="3" t="s">
        <v>2394</v>
      </c>
      <c r="G15149" s="6">
        <v>972.88</v>
      </c>
      <c r="H15149" s="5">
        <v>15496</v>
      </c>
    </row>
    <row r="15150" spans="2:8" x14ac:dyDescent="0.4">
      <c r="B15150" s="3" t="s">
        <v>7</v>
      </c>
      <c r="C15150" s="3" t="s">
        <v>2395</v>
      </c>
      <c r="D15150" s="4">
        <f>DATE(2004,4,16)</f>
        <v>38093</v>
      </c>
      <c r="E15150" s="5">
        <f t="shared" si="249"/>
        <v>2004</v>
      </c>
      <c r="F15150" s="3" t="s">
        <v>2396</v>
      </c>
      <c r="G15150" s="6">
        <v>2928.44</v>
      </c>
      <c r="H15150" s="5">
        <v>615</v>
      </c>
    </row>
    <row r="15151" spans="2:8" x14ac:dyDescent="0.4">
      <c r="B15151" s="3" t="s">
        <v>7</v>
      </c>
      <c r="C15151" s="3" t="s">
        <v>2395</v>
      </c>
      <c r="D15151" s="4">
        <f>DATE(2005,3,15)</f>
        <v>38426</v>
      </c>
      <c r="E15151" s="5">
        <f t="shared" si="249"/>
        <v>2005</v>
      </c>
      <c r="F15151" s="3" t="s">
        <v>2396</v>
      </c>
      <c r="G15151" s="6">
        <v>243.76</v>
      </c>
      <c r="H15151" s="5">
        <v>1006</v>
      </c>
    </row>
    <row r="15152" spans="2:8" x14ac:dyDescent="0.4">
      <c r="B15152" s="3" t="s">
        <v>7</v>
      </c>
      <c r="C15152" s="3" t="s">
        <v>2395</v>
      </c>
      <c r="D15152" s="4">
        <f>DATE(2009,4,23)</f>
        <v>39926</v>
      </c>
      <c r="E15152" s="5">
        <f t="shared" si="249"/>
        <v>2009</v>
      </c>
      <c r="F15152" s="3" t="s">
        <v>2396</v>
      </c>
      <c r="G15152" s="6">
        <v>686.7</v>
      </c>
      <c r="H15152" s="5">
        <v>3393</v>
      </c>
    </row>
    <row r="15153" spans="2:8" x14ac:dyDescent="0.4">
      <c r="B15153" s="3" t="s">
        <v>7</v>
      </c>
      <c r="C15153" s="3" t="s">
        <v>2395</v>
      </c>
      <c r="D15153" s="4">
        <f>DATE(2010,5,3)</f>
        <v>40301</v>
      </c>
      <c r="E15153" s="5">
        <f t="shared" si="249"/>
        <v>2010</v>
      </c>
      <c r="F15153" s="3" t="s">
        <v>2396</v>
      </c>
      <c r="G15153" s="6">
        <v>546.52</v>
      </c>
      <c r="H15153" s="5">
        <v>3887</v>
      </c>
    </row>
    <row r="15154" spans="2:8" x14ac:dyDescent="0.4">
      <c r="B15154" s="3" t="s">
        <v>7</v>
      </c>
      <c r="C15154" s="3" t="s">
        <v>2395</v>
      </c>
      <c r="D15154" s="4">
        <f>DATE(2010,9,29)</f>
        <v>40450</v>
      </c>
      <c r="E15154" s="5">
        <f t="shared" si="249"/>
        <v>2010</v>
      </c>
      <c r="F15154" s="3" t="s">
        <v>2396</v>
      </c>
      <c r="G15154" s="6">
        <v>160.1</v>
      </c>
      <c r="H15154" s="5">
        <v>4115</v>
      </c>
    </row>
    <row r="15155" spans="2:8" x14ac:dyDescent="0.4">
      <c r="B15155" s="3" t="s">
        <v>7</v>
      </c>
      <c r="C15155" s="3" t="s">
        <v>2397</v>
      </c>
      <c r="D15155" s="4">
        <f>DATE(2003,3,21)</f>
        <v>37701</v>
      </c>
      <c r="E15155" s="5">
        <f t="shared" si="249"/>
        <v>2003</v>
      </c>
      <c r="F15155" s="3" t="s">
        <v>2398</v>
      </c>
      <c r="G15155" s="6">
        <v>5910.68</v>
      </c>
      <c r="H15155" s="5">
        <v>68</v>
      </c>
    </row>
    <row r="15156" spans="2:8" x14ac:dyDescent="0.4">
      <c r="B15156" s="3" t="s">
        <v>7</v>
      </c>
      <c r="C15156" s="3" t="s">
        <v>2397</v>
      </c>
      <c r="D15156" s="4">
        <f>DATE(2003,4,4)</f>
        <v>37715</v>
      </c>
      <c r="E15156" s="5">
        <f t="shared" si="249"/>
        <v>2003</v>
      </c>
      <c r="F15156" s="3" t="s">
        <v>2398</v>
      </c>
      <c r="G15156" s="6">
        <v>5224.18</v>
      </c>
      <c r="H15156" s="5">
        <v>99</v>
      </c>
    </row>
    <row r="15157" spans="2:8" x14ac:dyDescent="0.4">
      <c r="B15157" s="3" t="s">
        <v>7</v>
      </c>
      <c r="C15157" s="3" t="s">
        <v>2397</v>
      </c>
      <c r="D15157" s="4">
        <f>DATE(2003,4,18)</f>
        <v>37729</v>
      </c>
      <c r="E15157" s="5">
        <f t="shared" si="249"/>
        <v>2003</v>
      </c>
      <c r="F15157" s="3" t="s">
        <v>2398</v>
      </c>
      <c r="G15157" s="6">
        <v>6647.45</v>
      </c>
      <c r="H15157" s="5">
        <v>138</v>
      </c>
    </row>
    <row r="15158" spans="2:8" x14ac:dyDescent="0.4">
      <c r="B15158" s="3" t="s">
        <v>7</v>
      </c>
      <c r="C15158" s="3" t="s">
        <v>2397</v>
      </c>
      <c r="D15158" s="4">
        <f>DATE(2004,8,7)</f>
        <v>38206</v>
      </c>
      <c r="E15158" s="5">
        <f t="shared" si="249"/>
        <v>2004</v>
      </c>
      <c r="F15158" s="3" t="s">
        <v>2398</v>
      </c>
      <c r="G15158" s="6">
        <v>15612.2</v>
      </c>
      <c r="H15158" s="5">
        <v>723</v>
      </c>
    </row>
    <row r="15159" spans="2:8" x14ac:dyDescent="0.4">
      <c r="B15159" s="3" t="s">
        <v>7</v>
      </c>
      <c r="C15159" s="3" t="s">
        <v>2399</v>
      </c>
      <c r="D15159" s="4">
        <f>DATE(2004,2,19)</f>
        <v>38036</v>
      </c>
      <c r="E15159" s="5">
        <f t="shared" si="249"/>
        <v>2004</v>
      </c>
      <c r="F15159" s="3" t="s">
        <v>2400</v>
      </c>
      <c r="G15159" s="6">
        <v>3200</v>
      </c>
      <c r="H15159" s="5">
        <v>536</v>
      </c>
    </row>
    <row r="15160" spans="2:8" x14ac:dyDescent="0.4">
      <c r="B15160" t="s">
        <v>7</v>
      </c>
      <c r="C15160" t="s">
        <v>2401</v>
      </c>
      <c r="D15160" s="7">
        <f>DATE(2006,10,5)</f>
        <v>38995</v>
      </c>
      <c r="E15160" s="8">
        <f t="shared" si="249"/>
        <v>2006</v>
      </c>
      <c r="F15160" t="s">
        <v>2402</v>
      </c>
      <c r="G15160" s="9">
        <v>9291.7199999999993</v>
      </c>
      <c r="H15160" s="8">
        <v>4909</v>
      </c>
    </row>
    <row r="15161" spans="2:8" x14ac:dyDescent="0.4">
      <c r="B15161" t="s">
        <v>7</v>
      </c>
      <c r="C15161" t="s">
        <v>2401</v>
      </c>
      <c r="D15161" s="7">
        <f>DATE(2013,7,12)</f>
        <v>41467</v>
      </c>
      <c r="E15161" s="8">
        <f t="shared" si="249"/>
        <v>2013</v>
      </c>
      <c r="F15161" t="s">
        <v>2402</v>
      </c>
      <c r="G15161" s="9">
        <v>12970</v>
      </c>
      <c r="H15161" s="8">
        <v>12548</v>
      </c>
    </row>
    <row r="15162" spans="2:8" x14ac:dyDescent="0.4">
      <c r="B15162" s="3" t="s">
        <v>7</v>
      </c>
      <c r="C15162" s="3" t="s">
        <v>2401</v>
      </c>
      <c r="D15162" s="4">
        <f>DATE(2006,8,8)</f>
        <v>38937</v>
      </c>
      <c r="E15162" s="5">
        <f t="shared" si="249"/>
        <v>2006</v>
      </c>
      <c r="F15162" s="3" t="s">
        <v>2402</v>
      </c>
      <c r="G15162" s="6">
        <v>1141.49</v>
      </c>
      <c r="H15162" s="5">
        <v>7058</v>
      </c>
    </row>
    <row r="15163" spans="2:8" x14ac:dyDescent="0.4">
      <c r="B15163" t="s">
        <v>7</v>
      </c>
      <c r="C15163" t="s">
        <v>2403</v>
      </c>
      <c r="D15163" s="7">
        <f>DATE(2016,5,12)</f>
        <v>42502</v>
      </c>
      <c r="E15163" s="8">
        <f t="shared" si="249"/>
        <v>2016</v>
      </c>
      <c r="F15163" t="s">
        <v>2404</v>
      </c>
      <c r="G15163" s="9">
        <v>13318</v>
      </c>
      <c r="H15163" s="8">
        <v>22507</v>
      </c>
    </row>
    <row r="15164" spans="2:8" x14ac:dyDescent="0.4">
      <c r="B15164" t="s">
        <v>7</v>
      </c>
      <c r="C15164" t="s">
        <v>2403</v>
      </c>
      <c r="D15164" s="7">
        <f>DATE(2016,6,2)</f>
        <v>42523</v>
      </c>
      <c r="E15164" s="8">
        <f t="shared" si="249"/>
        <v>2016</v>
      </c>
      <c r="F15164" t="s">
        <v>2404</v>
      </c>
      <c r="G15164" s="9">
        <v>15739.65</v>
      </c>
      <c r="H15164" s="8">
        <v>22770</v>
      </c>
    </row>
    <row r="15165" spans="2:8" x14ac:dyDescent="0.4">
      <c r="B15165" t="s">
        <v>7</v>
      </c>
      <c r="C15165" t="s">
        <v>2403</v>
      </c>
      <c r="D15165" s="7">
        <f>DATE(2016,6,23)</f>
        <v>42544</v>
      </c>
      <c r="E15165" s="8">
        <f t="shared" si="249"/>
        <v>2016</v>
      </c>
      <c r="F15165" t="s">
        <v>2404</v>
      </c>
      <c r="G15165" s="9">
        <v>6636.6</v>
      </c>
      <c r="H15165" s="8">
        <v>22883</v>
      </c>
    </row>
    <row r="15166" spans="2:8" x14ac:dyDescent="0.4">
      <c r="B15166" t="s">
        <v>7</v>
      </c>
      <c r="C15166" t="s">
        <v>2403</v>
      </c>
      <c r="D15166" s="7">
        <f>DATE(2015,7,22)</f>
        <v>42207</v>
      </c>
      <c r="E15166" s="8">
        <f t="shared" si="249"/>
        <v>2015</v>
      </c>
      <c r="F15166" t="s">
        <v>2404</v>
      </c>
      <c r="G15166" s="9">
        <v>5054.67</v>
      </c>
      <c r="H15166" s="8">
        <v>20906</v>
      </c>
    </row>
    <row r="15167" spans="2:8" x14ac:dyDescent="0.4">
      <c r="B15167" t="s">
        <v>7</v>
      </c>
      <c r="C15167" t="s">
        <v>2403</v>
      </c>
      <c r="D15167" s="7">
        <f>DATE(2011,3,28)</f>
        <v>40630</v>
      </c>
      <c r="E15167" s="8">
        <f t="shared" si="249"/>
        <v>2011</v>
      </c>
      <c r="F15167" t="s">
        <v>2404</v>
      </c>
      <c r="G15167" s="9">
        <v>7500</v>
      </c>
      <c r="H15167" s="8">
        <v>10428</v>
      </c>
    </row>
    <row r="15168" spans="2:8" x14ac:dyDescent="0.4">
      <c r="B15168" t="s">
        <v>7</v>
      </c>
      <c r="C15168" t="s">
        <v>2403</v>
      </c>
      <c r="D15168" s="7">
        <f>DATE(2011,3,28)</f>
        <v>40630</v>
      </c>
      <c r="E15168" s="8">
        <f t="shared" si="249"/>
        <v>2011</v>
      </c>
      <c r="F15168" t="s">
        <v>2404</v>
      </c>
      <c r="G15168" s="9">
        <v>7500</v>
      </c>
      <c r="H15168" s="8">
        <v>10584</v>
      </c>
    </row>
    <row r="15169" spans="2:8" x14ac:dyDescent="0.4">
      <c r="B15169" t="s">
        <v>7</v>
      </c>
      <c r="C15169" t="s">
        <v>2403</v>
      </c>
      <c r="D15169" s="7">
        <f>DATE(2006,5,4)</f>
        <v>38841</v>
      </c>
      <c r="E15169" s="8">
        <f t="shared" si="249"/>
        <v>2006</v>
      </c>
      <c r="F15169" t="s">
        <v>2404</v>
      </c>
      <c r="G15169" s="9">
        <v>3361.48</v>
      </c>
      <c r="H15169" s="8">
        <v>4584</v>
      </c>
    </row>
    <row r="15170" spans="2:8" x14ac:dyDescent="0.4">
      <c r="B15170" t="s">
        <v>7</v>
      </c>
      <c r="C15170" t="s">
        <v>2403</v>
      </c>
      <c r="D15170" s="7">
        <f>DATE(2006,11,22)</f>
        <v>39043</v>
      </c>
      <c r="E15170" s="8">
        <f t="shared" si="249"/>
        <v>2006</v>
      </c>
      <c r="F15170" t="s">
        <v>2404</v>
      </c>
      <c r="G15170" s="9">
        <v>4503.38</v>
      </c>
      <c r="H15170" s="8">
        <v>5196</v>
      </c>
    </row>
    <row r="15171" spans="2:8" x14ac:dyDescent="0.4">
      <c r="B15171" t="s">
        <v>7</v>
      </c>
      <c r="C15171" t="s">
        <v>2403</v>
      </c>
      <c r="D15171" s="7">
        <f>DATE(2007,11,10)</f>
        <v>39396</v>
      </c>
      <c r="E15171" s="8">
        <f t="shared" ref="E15171:E15234" si="250">YEAR(D15171)</f>
        <v>2007</v>
      </c>
      <c r="F15171" t="s">
        <v>2404</v>
      </c>
      <c r="G15171" s="9">
        <v>3834.23</v>
      </c>
      <c r="H15171" s="8">
        <v>6589</v>
      </c>
    </row>
    <row r="15172" spans="2:8" x14ac:dyDescent="0.4">
      <c r="B15172" t="s">
        <v>7</v>
      </c>
      <c r="C15172" t="s">
        <v>2403</v>
      </c>
      <c r="D15172" s="7">
        <f>DATE(2009,2,24)</f>
        <v>39868</v>
      </c>
      <c r="E15172" s="8">
        <f t="shared" si="250"/>
        <v>2009</v>
      </c>
      <c r="F15172" t="s">
        <v>2404</v>
      </c>
      <c r="G15172" s="9">
        <v>1430</v>
      </c>
      <c r="H15172" s="8">
        <v>8386</v>
      </c>
    </row>
    <row r="15173" spans="2:8" x14ac:dyDescent="0.4">
      <c r="B15173" s="3" t="s">
        <v>7</v>
      </c>
      <c r="C15173" s="3" t="s">
        <v>2403</v>
      </c>
      <c r="D15173" s="4">
        <f>DATE(2005,10,18)</f>
        <v>38643</v>
      </c>
      <c r="E15173" s="5">
        <f t="shared" si="250"/>
        <v>2005</v>
      </c>
      <c r="F15173" s="3" t="s">
        <v>2404</v>
      </c>
      <c r="G15173" s="6">
        <v>58137.599999999999</v>
      </c>
      <c r="H15173" s="5">
        <v>5334</v>
      </c>
    </row>
    <row r="15174" spans="2:8" x14ac:dyDescent="0.4">
      <c r="B15174" s="3" t="s">
        <v>7</v>
      </c>
      <c r="C15174" s="3" t="s">
        <v>2403</v>
      </c>
      <c r="D15174" s="4">
        <f>DATE(2005,10,21)</f>
        <v>38646</v>
      </c>
      <c r="E15174" s="5">
        <f t="shared" si="250"/>
        <v>2005</v>
      </c>
      <c r="F15174" s="3" t="s">
        <v>2404</v>
      </c>
      <c r="G15174" s="6">
        <v>514.29</v>
      </c>
      <c r="H15174" s="5">
        <v>5538</v>
      </c>
    </row>
    <row r="15175" spans="2:8" x14ac:dyDescent="0.4">
      <c r="B15175" s="3" t="s">
        <v>7</v>
      </c>
      <c r="C15175" s="3" t="s">
        <v>2403</v>
      </c>
      <c r="D15175" s="4">
        <f>DATE(2008,4,1)</f>
        <v>39539</v>
      </c>
      <c r="E15175" s="5">
        <f t="shared" si="250"/>
        <v>2008</v>
      </c>
      <c r="F15175" s="3" t="s">
        <v>2404</v>
      </c>
      <c r="G15175" s="6">
        <v>40760</v>
      </c>
      <c r="H15175" s="5">
        <v>10293</v>
      </c>
    </row>
    <row r="15176" spans="2:8" x14ac:dyDescent="0.4">
      <c r="B15176" t="s">
        <v>7</v>
      </c>
      <c r="C15176" t="s">
        <v>2403</v>
      </c>
      <c r="D15176" s="7">
        <f>DATE(2005,10,26)</f>
        <v>38651</v>
      </c>
      <c r="E15176" s="8">
        <f t="shared" si="250"/>
        <v>2005</v>
      </c>
      <c r="F15176" t="s">
        <v>2404</v>
      </c>
      <c r="G15176" s="9">
        <v>57781.65</v>
      </c>
      <c r="H15176" s="8">
        <v>93</v>
      </c>
    </row>
    <row r="15177" spans="2:8" x14ac:dyDescent="0.4">
      <c r="B15177" t="s">
        <v>7</v>
      </c>
      <c r="C15177" t="s">
        <v>2403</v>
      </c>
      <c r="D15177" s="7">
        <f>DATE(2008,4,1)</f>
        <v>39539</v>
      </c>
      <c r="E15177" s="8">
        <f t="shared" si="250"/>
        <v>2008</v>
      </c>
      <c r="F15177" t="s">
        <v>2404</v>
      </c>
      <c r="G15177" s="9">
        <v>67824.649999999994</v>
      </c>
      <c r="H15177" s="8">
        <v>166</v>
      </c>
    </row>
    <row r="15178" spans="2:8" x14ac:dyDescent="0.4">
      <c r="B15178" t="s">
        <v>7</v>
      </c>
      <c r="C15178" t="s">
        <v>2403</v>
      </c>
      <c r="D15178" s="7">
        <f>DATE(2003,8,27)</f>
        <v>37860</v>
      </c>
      <c r="E15178" s="8">
        <f t="shared" si="250"/>
        <v>2003</v>
      </c>
      <c r="F15178" t="s">
        <v>2405</v>
      </c>
      <c r="G15178" s="9">
        <v>6270.23</v>
      </c>
      <c r="H15178" s="8">
        <v>836</v>
      </c>
    </row>
    <row r="15179" spans="2:8" x14ac:dyDescent="0.4">
      <c r="B15179" s="3" t="s">
        <v>7</v>
      </c>
      <c r="C15179" s="3" t="s">
        <v>2406</v>
      </c>
      <c r="D15179" s="4">
        <f>DATE(2003,8,1)</f>
        <v>37834</v>
      </c>
      <c r="E15179" s="5">
        <f t="shared" si="250"/>
        <v>2003</v>
      </c>
      <c r="F15179" s="3" t="s">
        <v>2407</v>
      </c>
      <c r="G15179" s="6">
        <v>3617</v>
      </c>
      <c r="H15179" s="5">
        <v>1302</v>
      </c>
    </row>
    <row r="15180" spans="2:8" x14ac:dyDescent="0.4">
      <c r="B15180" s="3" t="s">
        <v>7</v>
      </c>
      <c r="C15180" s="3" t="s">
        <v>2406</v>
      </c>
      <c r="D15180" s="4">
        <f>DATE(2004,4,20)</f>
        <v>38097</v>
      </c>
      <c r="E15180" s="5">
        <f t="shared" si="250"/>
        <v>2004</v>
      </c>
      <c r="F15180" s="3" t="s">
        <v>2407</v>
      </c>
      <c r="G15180" s="6">
        <v>3618</v>
      </c>
      <c r="H15180" s="5">
        <v>2692</v>
      </c>
    </row>
    <row r="15181" spans="2:8" x14ac:dyDescent="0.4">
      <c r="B15181" s="3" t="s">
        <v>7</v>
      </c>
      <c r="C15181" s="3" t="s">
        <v>2406</v>
      </c>
      <c r="D15181" s="4">
        <f>DATE(2004,4,28)</f>
        <v>38105</v>
      </c>
      <c r="E15181" s="5">
        <f t="shared" si="250"/>
        <v>2004</v>
      </c>
      <c r="F15181" s="3" t="s">
        <v>2407</v>
      </c>
      <c r="G15181" s="6">
        <v>3618</v>
      </c>
      <c r="H15181" s="5">
        <v>2709</v>
      </c>
    </row>
    <row r="15182" spans="2:8" x14ac:dyDescent="0.4">
      <c r="B15182" s="3" t="s">
        <v>7</v>
      </c>
      <c r="C15182" s="3" t="s">
        <v>2406</v>
      </c>
      <c r="D15182" s="4">
        <f>DATE(2005,11,1)</f>
        <v>38657</v>
      </c>
      <c r="E15182" s="5">
        <f t="shared" si="250"/>
        <v>2005</v>
      </c>
      <c r="F15182" s="3" t="s">
        <v>2407</v>
      </c>
      <c r="G15182" s="6">
        <v>7629.22</v>
      </c>
      <c r="H15182" s="5">
        <v>5505</v>
      </c>
    </row>
    <row r="15183" spans="2:8" x14ac:dyDescent="0.4">
      <c r="B15183" s="3" t="s">
        <v>7</v>
      </c>
      <c r="C15183" s="3" t="s">
        <v>2406</v>
      </c>
      <c r="D15183" s="4">
        <f>DATE(2006,7,11)</f>
        <v>38909</v>
      </c>
      <c r="E15183" s="5">
        <f t="shared" si="250"/>
        <v>2006</v>
      </c>
      <c r="F15183" s="3" t="s">
        <v>2407</v>
      </c>
      <c r="G15183" s="6">
        <v>27659.07</v>
      </c>
      <c r="H15183" s="5">
        <v>6905</v>
      </c>
    </row>
    <row r="15184" spans="2:8" x14ac:dyDescent="0.4">
      <c r="B15184" s="3" t="s">
        <v>7</v>
      </c>
      <c r="C15184" s="3" t="s">
        <v>564</v>
      </c>
      <c r="D15184" s="4">
        <f>DATE(2013,11,15)</f>
        <v>41593</v>
      </c>
      <c r="E15184" s="5">
        <f t="shared" si="250"/>
        <v>2013</v>
      </c>
      <c r="F15184" s="3" t="s">
        <v>2408</v>
      </c>
      <c r="G15184" s="6">
        <v>10925</v>
      </c>
      <c r="H15184" s="5">
        <v>19219</v>
      </c>
    </row>
    <row r="15185" spans="2:8" x14ac:dyDescent="0.4">
      <c r="B15185" t="s">
        <v>7</v>
      </c>
      <c r="C15185" t="s">
        <v>2409</v>
      </c>
      <c r="D15185" s="7">
        <f>DATE(2015,8,19)</f>
        <v>42235</v>
      </c>
      <c r="E15185" s="8">
        <f t="shared" si="250"/>
        <v>2015</v>
      </c>
      <c r="F15185" t="s">
        <v>2410</v>
      </c>
      <c r="G15185" s="9">
        <v>1953.14</v>
      </c>
      <c r="H15185" s="8">
        <v>20862</v>
      </c>
    </row>
    <row r="15186" spans="2:8" x14ac:dyDescent="0.4">
      <c r="B15186" t="s">
        <v>7</v>
      </c>
      <c r="C15186" t="s">
        <v>2409</v>
      </c>
      <c r="D15186" s="7">
        <f>DATE(2015,8,25)</f>
        <v>42241</v>
      </c>
      <c r="E15186" s="8">
        <f t="shared" si="250"/>
        <v>2015</v>
      </c>
      <c r="F15186" t="s">
        <v>2410</v>
      </c>
      <c r="G15186" s="9">
        <v>2333.7199999999998</v>
      </c>
      <c r="H15186" s="8">
        <v>20568</v>
      </c>
    </row>
    <row r="15187" spans="2:8" x14ac:dyDescent="0.4">
      <c r="B15187" t="s">
        <v>7</v>
      </c>
      <c r="C15187" t="s">
        <v>2409</v>
      </c>
      <c r="D15187" s="7">
        <f>DATE(2015,12,18)</f>
        <v>42356</v>
      </c>
      <c r="E15187" s="8">
        <f t="shared" si="250"/>
        <v>2015</v>
      </c>
      <c r="F15187" t="s">
        <v>2410</v>
      </c>
      <c r="G15187" s="9">
        <v>15575</v>
      </c>
      <c r="H15187" s="8">
        <v>21785</v>
      </c>
    </row>
    <row r="15188" spans="2:8" x14ac:dyDescent="0.4">
      <c r="B15188" t="s">
        <v>7</v>
      </c>
      <c r="C15188" t="s">
        <v>2409</v>
      </c>
      <c r="D15188" s="7">
        <f>DATE(2016,11,22)</f>
        <v>42696</v>
      </c>
      <c r="E15188" s="8">
        <f t="shared" si="250"/>
        <v>2016</v>
      </c>
      <c r="F15188" t="s">
        <v>2410</v>
      </c>
      <c r="G15188" s="9">
        <v>6675</v>
      </c>
      <c r="H15188" s="8">
        <v>23850</v>
      </c>
    </row>
    <row r="15189" spans="2:8" x14ac:dyDescent="0.4">
      <c r="B15189" t="s">
        <v>7</v>
      </c>
      <c r="C15189" t="s">
        <v>2409</v>
      </c>
      <c r="D15189" s="7">
        <f>DATE(2017,11,13)</f>
        <v>43052</v>
      </c>
      <c r="E15189" s="8">
        <f t="shared" si="250"/>
        <v>2017</v>
      </c>
      <c r="F15189" t="s">
        <v>2410</v>
      </c>
      <c r="G15189" s="9">
        <v>957.13</v>
      </c>
      <c r="H15189" s="8">
        <v>25898</v>
      </c>
    </row>
    <row r="15190" spans="2:8" x14ac:dyDescent="0.4">
      <c r="B15190" t="s">
        <v>7</v>
      </c>
      <c r="C15190" t="s">
        <v>2409</v>
      </c>
      <c r="D15190" s="7">
        <f>DATE(2018,1,17)</f>
        <v>43117</v>
      </c>
      <c r="E15190" s="8">
        <f t="shared" si="250"/>
        <v>2018</v>
      </c>
      <c r="F15190" t="s">
        <v>2410</v>
      </c>
      <c r="G15190" s="9">
        <v>6675</v>
      </c>
      <c r="H15190" s="8">
        <v>26230</v>
      </c>
    </row>
    <row r="15191" spans="2:8" x14ac:dyDescent="0.4">
      <c r="B15191" t="s">
        <v>7</v>
      </c>
      <c r="C15191" t="s">
        <v>2409</v>
      </c>
      <c r="D15191" s="7">
        <f>DATE(2005,12,16)</f>
        <v>38702</v>
      </c>
      <c r="E15191" s="8">
        <f t="shared" si="250"/>
        <v>2005</v>
      </c>
      <c r="F15191" t="s">
        <v>2410</v>
      </c>
      <c r="G15191" s="9">
        <v>57814.15</v>
      </c>
      <c r="H15191" s="8">
        <v>3752</v>
      </c>
    </row>
    <row r="15192" spans="2:8" x14ac:dyDescent="0.4">
      <c r="B15192" t="s">
        <v>7</v>
      </c>
      <c r="C15192" t="s">
        <v>2409</v>
      </c>
      <c r="D15192" s="7">
        <f>DATE(2005,12,10)</f>
        <v>38696</v>
      </c>
      <c r="E15192" s="8">
        <f t="shared" si="250"/>
        <v>2005</v>
      </c>
      <c r="F15192" t="s">
        <v>2410</v>
      </c>
      <c r="G15192" s="9">
        <v>7863</v>
      </c>
      <c r="H15192" s="8">
        <v>3772</v>
      </c>
    </row>
    <row r="15193" spans="2:8" x14ac:dyDescent="0.4">
      <c r="B15193" t="s">
        <v>7</v>
      </c>
      <c r="C15193" t="s">
        <v>2409</v>
      </c>
      <c r="D15193" s="7">
        <f>DATE(2007,1,13)</f>
        <v>39095</v>
      </c>
      <c r="E15193" s="8">
        <f t="shared" si="250"/>
        <v>2007</v>
      </c>
      <c r="F15193" t="s">
        <v>2410</v>
      </c>
      <c r="G15193" s="9">
        <v>21284.18</v>
      </c>
      <c r="H15193" s="8">
        <v>5220</v>
      </c>
    </row>
    <row r="15194" spans="2:8" x14ac:dyDescent="0.4">
      <c r="B15194" t="s">
        <v>7</v>
      </c>
      <c r="C15194" t="s">
        <v>2409</v>
      </c>
      <c r="D15194" s="7">
        <f>DATE(2007,6,19)</f>
        <v>39252</v>
      </c>
      <c r="E15194" s="8">
        <f t="shared" si="250"/>
        <v>2007</v>
      </c>
      <c r="F15194" t="s">
        <v>2410</v>
      </c>
      <c r="G15194" s="9">
        <v>4651.6000000000004</v>
      </c>
      <c r="H15194" s="8">
        <v>6091</v>
      </c>
    </row>
    <row r="15195" spans="2:8" x14ac:dyDescent="0.4">
      <c r="B15195" t="s">
        <v>7</v>
      </c>
      <c r="C15195" t="s">
        <v>2409</v>
      </c>
      <c r="D15195" s="7">
        <f>DATE(2007,12,12)</f>
        <v>39428</v>
      </c>
      <c r="E15195" s="8">
        <f t="shared" si="250"/>
        <v>2007</v>
      </c>
      <c r="F15195" t="s">
        <v>2410</v>
      </c>
      <c r="G15195" s="9">
        <v>30359.4</v>
      </c>
      <c r="H15195" s="8">
        <v>6560</v>
      </c>
    </row>
    <row r="15196" spans="2:8" x14ac:dyDescent="0.4">
      <c r="B15196" t="s">
        <v>7</v>
      </c>
      <c r="C15196" t="s">
        <v>2409</v>
      </c>
      <c r="D15196" s="7">
        <f>DATE(2008,2,15)</f>
        <v>39493</v>
      </c>
      <c r="E15196" s="8">
        <f t="shared" si="250"/>
        <v>2008</v>
      </c>
      <c r="F15196" t="s">
        <v>2410</v>
      </c>
      <c r="G15196" s="9">
        <v>26425.74</v>
      </c>
      <c r="H15196" s="8">
        <v>7004</v>
      </c>
    </row>
    <row r="15197" spans="2:8" x14ac:dyDescent="0.4">
      <c r="B15197" t="s">
        <v>7</v>
      </c>
      <c r="C15197" t="s">
        <v>2409</v>
      </c>
      <c r="D15197" s="7">
        <f>DATE(2008,3,11)</f>
        <v>39518</v>
      </c>
      <c r="E15197" s="8">
        <f t="shared" si="250"/>
        <v>2008</v>
      </c>
      <c r="F15197" t="s">
        <v>2410</v>
      </c>
      <c r="G15197" s="9">
        <v>5878.08</v>
      </c>
      <c r="H15197" s="8">
        <v>7158</v>
      </c>
    </row>
    <row r="15198" spans="2:8" x14ac:dyDescent="0.4">
      <c r="B15198" t="s">
        <v>7</v>
      </c>
      <c r="C15198" t="s">
        <v>2409</v>
      </c>
      <c r="D15198" s="7">
        <f>DATE(2008,12,14)</f>
        <v>39796</v>
      </c>
      <c r="E15198" s="8">
        <f t="shared" si="250"/>
        <v>2008</v>
      </c>
      <c r="F15198" t="s">
        <v>2410</v>
      </c>
      <c r="G15198" s="9">
        <v>38678.75</v>
      </c>
      <c r="H15198" s="8">
        <v>8033</v>
      </c>
    </row>
    <row r="15199" spans="2:8" x14ac:dyDescent="0.4">
      <c r="B15199" t="s">
        <v>7</v>
      </c>
      <c r="C15199" t="s">
        <v>2409</v>
      </c>
      <c r="D15199" s="7">
        <f>DATE(2010,3,24)</f>
        <v>40261</v>
      </c>
      <c r="E15199" s="8">
        <f t="shared" si="250"/>
        <v>2010</v>
      </c>
      <c r="F15199" t="s">
        <v>2410</v>
      </c>
      <c r="G15199" s="9">
        <v>6245.4</v>
      </c>
      <c r="H15199" s="8">
        <v>9641</v>
      </c>
    </row>
    <row r="15200" spans="2:8" x14ac:dyDescent="0.4">
      <c r="B15200" t="s">
        <v>7</v>
      </c>
      <c r="C15200" t="s">
        <v>2409</v>
      </c>
      <c r="D15200" s="7">
        <f>DATE(2010,7,1)</f>
        <v>40360</v>
      </c>
      <c r="E15200" s="8">
        <f t="shared" si="250"/>
        <v>2010</v>
      </c>
      <c r="F15200" t="s">
        <v>2410</v>
      </c>
      <c r="G15200" s="9">
        <v>5254.23</v>
      </c>
      <c r="H15200" s="8">
        <v>9939</v>
      </c>
    </row>
    <row r="15201" spans="2:8" x14ac:dyDescent="0.4">
      <c r="B15201" t="s">
        <v>7</v>
      </c>
      <c r="C15201" t="s">
        <v>2409</v>
      </c>
      <c r="D15201" s="7">
        <f>DATE(2012,11,13)</f>
        <v>41226</v>
      </c>
      <c r="E15201" s="8">
        <f t="shared" si="250"/>
        <v>2012</v>
      </c>
      <c r="F15201" t="s">
        <v>2410</v>
      </c>
      <c r="G15201" s="9">
        <v>5446.69</v>
      </c>
      <c r="H15201" s="8">
        <v>11929</v>
      </c>
    </row>
    <row r="15202" spans="2:8" x14ac:dyDescent="0.4">
      <c r="B15202" s="3" t="s">
        <v>7</v>
      </c>
      <c r="C15202" s="3" t="s">
        <v>2409</v>
      </c>
      <c r="D15202" s="4">
        <f>DATE(2005,12,29)</f>
        <v>38715</v>
      </c>
      <c r="E15202" s="5">
        <f t="shared" si="250"/>
        <v>2005</v>
      </c>
      <c r="F15202" s="3" t="s">
        <v>2410</v>
      </c>
      <c r="G15202" s="6">
        <v>631</v>
      </c>
      <c r="H15202" s="5">
        <v>3881</v>
      </c>
    </row>
    <row r="15203" spans="2:8" x14ac:dyDescent="0.4">
      <c r="B15203" s="3" t="s">
        <v>7</v>
      </c>
      <c r="C15203" s="3" t="s">
        <v>2409</v>
      </c>
      <c r="D15203" s="4">
        <f>DATE(2005,11,28)</f>
        <v>38684</v>
      </c>
      <c r="E15203" s="5">
        <f t="shared" si="250"/>
        <v>2005</v>
      </c>
      <c r="F15203" s="3" t="s">
        <v>2410</v>
      </c>
      <c r="G15203" s="6">
        <v>1548.4</v>
      </c>
      <c r="H15203" s="5">
        <v>5627</v>
      </c>
    </row>
    <row r="15204" spans="2:8" x14ac:dyDescent="0.4">
      <c r="B15204" s="3" t="s">
        <v>7</v>
      </c>
      <c r="C15204" s="3" t="s">
        <v>2409</v>
      </c>
      <c r="D15204" s="4">
        <f>DATE(2005,11,30)</f>
        <v>38686</v>
      </c>
      <c r="E15204" s="5">
        <f t="shared" si="250"/>
        <v>2005</v>
      </c>
      <c r="F15204" s="3" t="s">
        <v>2410</v>
      </c>
      <c r="G15204" s="6">
        <v>4571.5</v>
      </c>
      <c r="H15204" s="5">
        <v>5657</v>
      </c>
    </row>
    <row r="15205" spans="2:8" x14ac:dyDescent="0.4">
      <c r="B15205" s="3" t="s">
        <v>7</v>
      </c>
      <c r="C15205" s="3" t="s">
        <v>2409</v>
      </c>
      <c r="D15205" s="4">
        <f>DATE(2006,11,8)</f>
        <v>39029</v>
      </c>
      <c r="E15205" s="5">
        <f t="shared" si="250"/>
        <v>2006</v>
      </c>
      <c r="F15205" s="3" t="s">
        <v>2410</v>
      </c>
      <c r="G15205" s="6">
        <v>6505.19</v>
      </c>
      <c r="H15205" s="5">
        <v>7492</v>
      </c>
    </row>
    <row r="15206" spans="2:8" x14ac:dyDescent="0.4">
      <c r="B15206" s="3" t="s">
        <v>7</v>
      </c>
      <c r="C15206" s="3" t="s">
        <v>2409</v>
      </c>
      <c r="D15206" s="4">
        <f>DATE(2006,11,14)</f>
        <v>39035</v>
      </c>
      <c r="E15206" s="5">
        <f t="shared" si="250"/>
        <v>2006</v>
      </c>
      <c r="F15206" s="3" t="s">
        <v>2410</v>
      </c>
      <c r="G15206" s="6">
        <v>4592.2</v>
      </c>
      <c r="H15206" s="5">
        <v>7507</v>
      </c>
    </row>
    <row r="15207" spans="2:8" x14ac:dyDescent="0.4">
      <c r="B15207" s="3" t="s">
        <v>7</v>
      </c>
      <c r="C15207" s="3" t="s">
        <v>2409</v>
      </c>
      <c r="D15207" s="4">
        <f>DATE(2006,12,7)</f>
        <v>39058</v>
      </c>
      <c r="E15207" s="5">
        <f t="shared" si="250"/>
        <v>2006</v>
      </c>
      <c r="F15207" s="3" t="s">
        <v>2410</v>
      </c>
      <c r="G15207" s="6">
        <v>5870.03</v>
      </c>
      <c r="H15207" s="5">
        <v>7625</v>
      </c>
    </row>
    <row r="15208" spans="2:8" x14ac:dyDescent="0.4">
      <c r="B15208" s="3" t="s">
        <v>7</v>
      </c>
      <c r="C15208" s="3" t="s">
        <v>2409</v>
      </c>
      <c r="D15208" s="4">
        <f>DATE(2007,10,22)</f>
        <v>39377</v>
      </c>
      <c r="E15208" s="5">
        <f t="shared" si="250"/>
        <v>2007</v>
      </c>
      <c r="F15208" s="3" t="s">
        <v>2410</v>
      </c>
      <c r="G15208" s="6">
        <v>3055.14</v>
      </c>
      <c r="H15208" s="5">
        <v>9324</v>
      </c>
    </row>
    <row r="15209" spans="2:8" x14ac:dyDescent="0.4">
      <c r="B15209" s="3" t="s">
        <v>7</v>
      </c>
      <c r="C15209" s="3" t="s">
        <v>2409</v>
      </c>
      <c r="D15209" s="4">
        <f>DATE(2007,10,22)</f>
        <v>39377</v>
      </c>
      <c r="E15209" s="5">
        <f t="shared" si="250"/>
        <v>2007</v>
      </c>
      <c r="F15209" s="3" t="s">
        <v>2410</v>
      </c>
      <c r="G15209" s="6">
        <v>4485.68</v>
      </c>
      <c r="H15209" s="5">
        <v>9354</v>
      </c>
    </row>
    <row r="15210" spans="2:8" x14ac:dyDescent="0.4">
      <c r="B15210" s="3" t="s">
        <v>7</v>
      </c>
      <c r="C15210" s="3" t="s">
        <v>2409</v>
      </c>
      <c r="D15210" s="4">
        <f>DATE(2007,11,14)</f>
        <v>39400</v>
      </c>
      <c r="E15210" s="5">
        <f t="shared" si="250"/>
        <v>2007</v>
      </c>
      <c r="F15210" s="3" t="s">
        <v>2410</v>
      </c>
      <c r="G15210" s="6">
        <v>982.96</v>
      </c>
      <c r="H15210" s="5">
        <v>9474</v>
      </c>
    </row>
    <row r="15211" spans="2:8" x14ac:dyDescent="0.4">
      <c r="B15211" s="3" t="s">
        <v>7</v>
      </c>
      <c r="C15211" s="3" t="s">
        <v>2409</v>
      </c>
      <c r="D15211" s="4">
        <f>DATE(2008,10,16)</f>
        <v>39737</v>
      </c>
      <c r="E15211" s="5">
        <f t="shared" si="250"/>
        <v>2008</v>
      </c>
      <c r="F15211" s="3" t="s">
        <v>2410</v>
      </c>
      <c r="G15211" s="6">
        <v>4450</v>
      </c>
      <c r="H15211" s="5">
        <v>11413</v>
      </c>
    </row>
    <row r="15212" spans="2:8" x14ac:dyDescent="0.4">
      <c r="B15212" s="3" t="s">
        <v>7</v>
      </c>
      <c r="C15212" s="3" t="s">
        <v>2409</v>
      </c>
      <c r="D15212" s="4">
        <f>DATE(2008,10,30)</f>
        <v>39751</v>
      </c>
      <c r="E15212" s="5">
        <f t="shared" si="250"/>
        <v>2008</v>
      </c>
      <c r="F15212" s="3" t="s">
        <v>2410</v>
      </c>
      <c r="G15212" s="6">
        <v>13750.3</v>
      </c>
      <c r="H15212" s="5">
        <v>11513</v>
      </c>
    </row>
    <row r="15213" spans="2:8" x14ac:dyDescent="0.4">
      <c r="B15213" s="3" t="s">
        <v>7</v>
      </c>
      <c r="C15213" s="3" t="s">
        <v>2409</v>
      </c>
      <c r="D15213" s="4">
        <f>DATE(2008,11,20)</f>
        <v>39772</v>
      </c>
      <c r="E15213" s="5">
        <f t="shared" si="250"/>
        <v>2008</v>
      </c>
      <c r="F15213" s="3" t="s">
        <v>2410</v>
      </c>
      <c r="G15213" s="6">
        <v>690</v>
      </c>
      <c r="H15213" s="5">
        <v>11615</v>
      </c>
    </row>
    <row r="15214" spans="2:8" x14ac:dyDescent="0.4">
      <c r="B15214" s="3" t="s">
        <v>7</v>
      </c>
      <c r="C15214" s="3" t="s">
        <v>2409</v>
      </c>
      <c r="D15214" s="4">
        <f>DATE(2009,10,29)</f>
        <v>40115</v>
      </c>
      <c r="E15214" s="5">
        <f t="shared" si="250"/>
        <v>2009</v>
      </c>
      <c r="F15214" s="3" t="s">
        <v>2410</v>
      </c>
      <c r="G15214" s="6">
        <v>13300</v>
      </c>
      <c r="H15214" s="5">
        <v>13206</v>
      </c>
    </row>
    <row r="15215" spans="2:8" x14ac:dyDescent="0.4">
      <c r="B15215" s="3" t="s">
        <v>7</v>
      </c>
      <c r="C15215" s="3" t="s">
        <v>2409</v>
      </c>
      <c r="D15215" s="4">
        <f>DATE(2009,11,3)</f>
        <v>40120</v>
      </c>
      <c r="E15215" s="5">
        <f t="shared" si="250"/>
        <v>2009</v>
      </c>
      <c r="F15215" s="3" t="s">
        <v>2410</v>
      </c>
      <c r="G15215" s="6">
        <v>4450</v>
      </c>
      <c r="H15215" s="5">
        <v>13207</v>
      </c>
    </row>
    <row r="15216" spans="2:8" x14ac:dyDescent="0.4">
      <c r="B15216" s="3" t="s">
        <v>7</v>
      </c>
      <c r="C15216" s="3" t="s">
        <v>2409</v>
      </c>
      <c r="D15216" s="4">
        <f>DATE(2010,1,21)</f>
        <v>40199</v>
      </c>
      <c r="E15216" s="5">
        <f t="shared" si="250"/>
        <v>2010</v>
      </c>
      <c r="F15216" s="3" t="s">
        <v>2410</v>
      </c>
      <c r="G15216" s="6">
        <v>230</v>
      </c>
      <c r="H15216" s="5">
        <v>13438</v>
      </c>
    </row>
    <row r="15217" spans="2:8" x14ac:dyDescent="0.4">
      <c r="B15217" s="3" t="s">
        <v>7</v>
      </c>
      <c r="C15217" s="3" t="s">
        <v>2409</v>
      </c>
      <c r="D15217" s="4">
        <f>DATE(2010,11,17)</f>
        <v>40499</v>
      </c>
      <c r="E15217" s="5">
        <f t="shared" si="250"/>
        <v>2010</v>
      </c>
      <c r="F15217" s="3" t="s">
        <v>2410</v>
      </c>
      <c r="G15217" s="6">
        <v>4450</v>
      </c>
      <c r="H15217" s="5">
        <v>14749</v>
      </c>
    </row>
    <row r="15218" spans="2:8" x14ac:dyDescent="0.4">
      <c r="B15218" s="3" t="s">
        <v>7</v>
      </c>
      <c r="C15218" s="3" t="s">
        <v>2409</v>
      </c>
      <c r="D15218" s="4">
        <f>DATE(2010,11,19)</f>
        <v>40501</v>
      </c>
      <c r="E15218" s="5">
        <f t="shared" si="250"/>
        <v>2010</v>
      </c>
      <c r="F15218" s="3" t="s">
        <v>2410</v>
      </c>
      <c r="G15218" s="6">
        <v>13416.47</v>
      </c>
      <c r="H15218" s="5">
        <v>14754</v>
      </c>
    </row>
    <row r="15219" spans="2:8" x14ac:dyDescent="0.4">
      <c r="B15219" s="3" t="s">
        <v>7</v>
      </c>
      <c r="C15219" s="3" t="s">
        <v>2409</v>
      </c>
      <c r="D15219" s="4">
        <f>DATE(2011,11,16)</f>
        <v>40863</v>
      </c>
      <c r="E15219" s="5">
        <f t="shared" si="250"/>
        <v>2011</v>
      </c>
      <c r="F15219" s="3" t="s">
        <v>2410</v>
      </c>
      <c r="G15219" s="6">
        <v>1150</v>
      </c>
      <c r="H15219" s="5">
        <v>16218</v>
      </c>
    </row>
    <row r="15220" spans="2:8" x14ac:dyDescent="0.4">
      <c r="B15220" s="3" t="s">
        <v>7</v>
      </c>
      <c r="C15220" s="3" t="s">
        <v>2409</v>
      </c>
      <c r="D15220" s="4">
        <f>DATE(2011,12,7)</f>
        <v>40884</v>
      </c>
      <c r="E15220" s="5">
        <f t="shared" si="250"/>
        <v>2011</v>
      </c>
      <c r="F15220" s="3" t="s">
        <v>2410</v>
      </c>
      <c r="G15220" s="6">
        <v>450</v>
      </c>
      <c r="H15220" s="5">
        <v>16280</v>
      </c>
    </row>
    <row r="15221" spans="2:8" x14ac:dyDescent="0.4">
      <c r="B15221" s="3" t="s">
        <v>7</v>
      </c>
      <c r="C15221" s="3" t="s">
        <v>2409</v>
      </c>
      <c r="D15221" s="4">
        <f>DATE(2012,1,11)</f>
        <v>40919</v>
      </c>
      <c r="E15221" s="5">
        <f t="shared" si="250"/>
        <v>2012</v>
      </c>
      <c r="F15221" s="3" t="s">
        <v>2410</v>
      </c>
      <c r="G15221" s="6">
        <v>4450</v>
      </c>
      <c r="H15221" s="5">
        <v>16360</v>
      </c>
    </row>
    <row r="15222" spans="2:8" x14ac:dyDescent="0.4">
      <c r="B15222" s="3" t="s">
        <v>7</v>
      </c>
      <c r="C15222" s="3" t="s">
        <v>2409</v>
      </c>
      <c r="D15222" s="4">
        <f>DATE(2012,1,11)</f>
        <v>40919</v>
      </c>
      <c r="E15222" s="5">
        <f t="shared" si="250"/>
        <v>2012</v>
      </c>
      <c r="F15222" s="3" t="s">
        <v>2410</v>
      </c>
      <c r="G15222" s="6">
        <v>9500</v>
      </c>
      <c r="H15222" s="5">
        <v>16361</v>
      </c>
    </row>
    <row r="15223" spans="2:8" x14ac:dyDescent="0.4">
      <c r="B15223" s="3" t="s">
        <v>7</v>
      </c>
      <c r="C15223" s="3" t="s">
        <v>2409</v>
      </c>
      <c r="D15223" s="4">
        <f>DATE(2013,1,10)</f>
        <v>41284</v>
      </c>
      <c r="E15223" s="5">
        <f t="shared" si="250"/>
        <v>2013</v>
      </c>
      <c r="F15223" s="3" t="s">
        <v>2410</v>
      </c>
      <c r="G15223" s="6">
        <v>6810.88</v>
      </c>
      <c r="H15223" s="5">
        <v>17945</v>
      </c>
    </row>
    <row r="15224" spans="2:8" x14ac:dyDescent="0.4">
      <c r="B15224" s="3" t="s">
        <v>7</v>
      </c>
      <c r="C15224" s="3" t="s">
        <v>2409</v>
      </c>
      <c r="D15224" s="4">
        <f>DATE(2013,11,21)</f>
        <v>41599</v>
      </c>
      <c r="E15224" s="5">
        <f t="shared" si="250"/>
        <v>2013</v>
      </c>
      <c r="F15224" s="3" t="s">
        <v>2410</v>
      </c>
      <c r="G15224" s="6">
        <v>6675</v>
      </c>
      <c r="H15224" s="5">
        <v>19215</v>
      </c>
    </row>
    <row r="15225" spans="2:8" x14ac:dyDescent="0.4">
      <c r="B15225" s="3" t="s">
        <v>7</v>
      </c>
      <c r="C15225" s="3" t="s">
        <v>2409</v>
      </c>
      <c r="D15225" s="4">
        <f>DATE(2014,11,26)</f>
        <v>41969</v>
      </c>
      <c r="E15225" s="5">
        <f t="shared" si="250"/>
        <v>2014</v>
      </c>
      <c r="F15225" s="3" t="s">
        <v>2410</v>
      </c>
      <c r="G15225" s="6">
        <v>6675</v>
      </c>
      <c r="H15225" s="5">
        <v>20663</v>
      </c>
    </row>
    <row r="15226" spans="2:8" x14ac:dyDescent="0.4">
      <c r="B15226" s="3" t="s">
        <v>7</v>
      </c>
      <c r="C15226" s="3" t="s">
        <v>2411</v>
      </c>
      <c r="D15226" s="4">
        <f>DATE(2011,2,8)</f>
        <v>40582</v>
      </c>
      <c r="E15226" s="5">
        <f t="shared" si="250"/>
        <v>2011</v>
      </c>
      <c r="F15226" s="3" t="s">
        <v>2412</v>
      </c>
      <c r="G15226" s="6">
        <v>481</v>
      </c>
      <c r="H15226" s="5">
        <v>15030</v>
      </c>
    </row>
    <row r="15227" spans="2:8" x14ac:dyDescent="0.4">
      <c r="B15227" s="3" t="s">
        <v>7</v>
      </c>
      <c r="C15227" s="3" t="s">
        <v>2411</v>
      </c>
      <c r="D15227" s="4">
        <f>DATE(2011,9,2)</f>
        <v>40788</v>
      </c>
      <c r="E15227" s="5">
        <f t="shared" si="250"/>
        <v>2011</v>
      </c>
      <c r="F15227" s="3" t="s">
        <v>2413</v>
      </c>
      <c r="G15227" s="6">
        <v>214</v>
      </c>
      <c r="H15227" s="5">
        <v>15931</v>
      </c>
    </row>
    <row r="15228" spans="2:8" x14ac:dyDescent="0.4">
      <c r="B15228" s="3" t="s">
        <v>7</v>
      </c>
      <c r="C15228" s="3" t="s">
        <v>2414</v>
      </c>
      <c r="D15228" s="4">
        <f>DATE(2012,5,10)</f>
        <v>41039</v>
      </c>
      <c r="E15228" s="5">
        <f t="shared" si="250"/>
        <v>2012</v>
      </c>
      <c r="F15228" s="3" t="s">
        <v>2415</v>
      </c>
      <c r="G15228" s="6">
        <v>99.24</v>
      </c>
      <c r="H15228" s="5">
        <v>5077</v>
      </c>
    </row>
    <row r="15229" spans="2:8" x14ac:dyDescent="0.4">
      <c r="B15229" t="s">
        <v>7</v>
      </c>
      <c r="C15229" t="s">
        <v>2416</v>
      </c>
      <c r="D15229" s="7">
        <f>DATE(2015,1,22)</f>
        <v>42026</v>
      </c>
      <c r="E15229" s="8">
        <f t="shared" si="250"/>
        <v>2015</v>
      </c>
      <c r="F15229" t="s">
        <v>2417</v>
      </c>
      <c r="G15229" s="9">
        <v>2600</v>
      </c>
      <c r="H15229" s="8">
        <v>207</v>
      </c>
    </row>
    <row r="15230" spans="2:8" x14ac:dyDescent="0.4">
      <c r="B15230" t="s">
        <v>7</v>
      </c>
      <c r="C15230" t="s">
        <v>2416</v>
      </c>
      <c r="D15230" s="7">
        <f>DATE(2016,2,17)</f>
        <v>42417</v>
      </c>
      <c r="E15230" s="8">
        <f t="shared" si="250"/>
        <v>2016</v>
      </c>
      <c r="F15230" t="s">
        <v>2417</v>
      </c>
      <c r="G15230" s="9">
        <v>2600</v>
      </c>
      <c r="H15230" s="8">
        <v>21999</v>
      </c>
    </row>
    <row r="15231" spans="2:8" x14ac:dyDescent="0.4">
      <c r="B15231" t="s">
        <v>7</v>
      </c>
      <c r="C15231" t="s">
        <v>2416</v>
      </c>
      <c r="D15231" s="7">
        <f>DATE(2018,4,5)</f>
        <v>43195</v>
      </c>
      <c r="E15231" s="8">
        <f t="shared" si="250"/>
        <v>2018</v>
      </c>
      <c r="F15231" t="s">
        <v>2417</v>
      </c>
      <c r="G15231" s="9">
        <v>2585</v>
      </c>
      <c r="H15231" s="8">
        <v>26761</v>
      </c>
    </row>
    <row r="15232" spans="2:8" x14ac:dyDescent="0.4">
      <c r="B15232" t="s">
        <v>7</v>
      </c>
      <c r="C15232" t="s">
        <v>2416</v>
      </c>
      <c r="D15232" s="7">
        <f>DATE(2019,2,26)</f>
        <v>43522</v>
      </c>
      <c r="E15232" s="8">
        <f t="shared" si="250"/>
        <v>2019</v>
      </c>
      <c r="F15232" t="s">
        <v>2417</v>
      </c>
      <c r="G15232" s="9">
        <v>2800</v>
      </c>
      <c r="H15232" s="8">
        <v>28390</v>
      </c>
    </row>
    <row r="15233" spans="2:8" x14ac:dyDescent="0.4">
      <c r="B15233" t="s">
        <v>7</v>
      </c>
      <c r="C15233" t="s">
        <v>2416</v>
      </c>
      <c r="D15233" s="7">
        <f>DATE(2018,4,5)</f>
        <v>43195</v>
      </c>
      <c r="E15233" s="8">
        <f t="shared" si="250"/>
        <v>2018</v>
      </c>
      <c r="F15233" t="s">
        <v>2417</v>
      </c>
      <c r="G15233" s="9">
        <v>3300</v>
      </c>
      <c r="H15233" s="8">
        <v>26762</v>
      </c>
    </row>
    <row r="15234" spans="2:8" x14ac:dyDescent="0.4">
      <c r="B15234" t="s">
        <v>7</v>
      </c>
      <c r="C15234" t="s">
        <v>2416</v>
      </c>
      <c r="D15234" s="7">
        <f>DATE(2013,3,18)</f>
        <v>41351</v>
      </c>
      <c r="E15234" s="8">
        <f t="shared" si="250"/>
        <v>2013</v>
      </c>
      <c r="F15234" t="s">
        <v>2417</v>
      </c>
      <c r="G15234" s="9">
        <v>1921.69</v>
      </c>
      <c r="H15234" s="8">
        <v>12284</v>
      </c>
    </row>
    <row r="15235" spans="2:8" x14ac:dyDescent="0.4">
      <c r="B15235" t="s">
        <v>7</v>
      </c>
      <c r="C15235" t="s">
        <v>2416</v>
      </c>
      <c r="D15235" s="7">
        <f>DATE(2014,4,22)</f>
        <v>41751</v>
      </c>
      <c r="E15235" s="8">
        <f t="shared" ref="E15235:E15298" si="251">YEAR(D15235)</f>
        <v>2014</v>
      </c>
      <c r="F15235" t="s">
        <v>2417</v>
      </c>
      <c r="G15235" s="9">
        <v>3792.05</v>
      </c>
      <c r="H15235" s="8">
        <v>13106</v>
      </c>
    </row>
    <row r="15236" spans="2:8" x14ac:dyDescent="0.4">
      <c r="B15236" t="s">
        <v>16</v>
      </c>
      <c r="C15236" t="s">
        <v>2416</v>
      </c>
      <c r="D15236" s="7">
        <f>DATE(2014,4,22)</f>
        <v>41751</v>
      </c>
      <c r="E15236" s="8">
        <f t="shared" si="251"/>
        <v>2014</v>
      </c>
      <c r="F15236" t="s">
        <v>2417</v>
      </c>
      <c r="G15236" s="9">
        <v>844</v>
      </c>
      <c r="H15236" s="8">
        <v>13195</v>
      </c>
    </row>
    <row r="15237" spans="2:8" x14ac:dyDescent="0.4">
      <c r="B15237" s="3" t="s">
        <v>7</v>
      </c>
      <c r="C15237" s="3" t="s">
        <v>2416</v>
      </c>
      <c r="D15237" s="4">
        <f>DATE(2011,4,27)</f>
        <v>40660</v>
      </c>
      <c r="E15237" s="5">
        <f t="shared" si="251"/>
        <v>2011</v>
      </c>
      <c r="F15237" s="3" t="s">
        <v>2417</v>
      </c>
      <c r="G15237" s="6">
        <v>2922.89</v>
      </c>
      <c r="H15237" s="5">
        <v>4423</v>
      </c>
    </row>
    <row r="15238" spans="2:8" x14ac:dyDescent="0.4">
      <c r="B15238" t="s">
        <v>7</v>
      </c>
      <c r="C15238" t="s">
        <v>2418</v>
      </c>
      <c r="D15238" s="7">
        <f>DATE(2003,4,5)</f>
        <v>37716</v>
      </c>
      <c r="E15238" s="8">
        <f t="shared" si="251"/>
        <v>2003</v>
      </c>
      <c r="F15238" t="s">
        <v>2419</v>
      </c>
      <c r="G15238" s="9">
        <v>13379.1</v>
      </c>
      <c r="H15238" s="8">
        <v>380</v>
      </c>
    </row>
    <row r="15239" spans="2:8" x14ac:dyDescent="0.4">
      <c r="B15239" s="3" t="s">
        <v>7</v>
      </c>
      <c r="C15239" s="3" t="s">
        <v>2418</v>
      </c>
      <c r="D15239" s="4">
        <f>DATE(2003,3,28)</f>
        <v>37708</v>
      </c>
      <c r="E15239" s="5">
        <f t="shared" si="251"/>
        <v>2003</v>
      </c>
      <c r="F15239" s="3" t="s">
        <v>2419</v>
      </c>
      <c r="G15239" s="6">
        <v>5793</v>
      </c>
      <c r="H15239" s="5">
        <v>623</v>
      </c>
    </row>
    <row r="15240" spans="2:8" x14ac:dyDescent="0.4">
      <c r="B15240" s="3" t="s">
        <v>7</v>
      </c>
      <c r="C15240" s="3" t="s">
        <v>2418</v>
      </c>
      <c r="D15240" s="4">
        <f>DATE(2003,4,22)</f>
        <v>37733</v>
      </c>
      <c r="E15240" s="5">
        <f t="shared" si="251"/>
        <v>2003</v>
      </c>
      <c r="F15240" s="3" t="s">
        <v>2419</v>
      </c>
      <c r="G15240" s="6">
        <v>7084.25</v>
      </c>
      <c r="H15240" s="5">
        <v>785</v>
      </c>
    </row>
    <row r="15241" spans="2:8" x14ac:dyDescent="0.4">
      <c r="B15241" s="3" t="s">
        <v>7</v>
      </c>
      <c r="C15241" s="3" t="s">
        <v>2418</v>
      </c>
      <c r="D15241" s="4">
        <f>DATE(2006,5,17)</f>
        <v>38854</v>
      </c>
      <c r="E15241" s="5">
        <f t="shared" si="251"/>
        <v>2006</v>
      </c>
      <c r="F15241" s="3" t="s">
        <v>2419</v>
      </c>
      <c r="G15241" s="6">
        <v>7737.75</v>
      </c>
      <c r="H15241" s="5">
        <v>6546</v>
      </c>
    </row>
    <row r="15242" spans="2:8" x14ac:dyDescent="0.4">
      <c r="B15242" s="3" t="s">
        <v>7</v>
      </c>
      <c r="C15242" s="3" t="s">
        <v>2418</v>
      </c>
      <c r="D15242" s="4">
        <f>DATE(2007,3,1)</f>
        <v>39142</v>
      </c>
      <c r="E15242" s="5">
        <f t="shared" si="251"/>
        <v>2007</v>
      </c>
      <c r="F15242" s="3" t="s">
        <v>2419</v>
      </c>
      <c r="G15242" s="6">
        <v>2351.25</v>
      </c>
      <c r="H15242" s="5">
        <v>7988</v>
      </c>
    </row>
    <row r="15243" spans="2:8" x14ac:dyDescent="0.4">
      <c r="B15243" s="3" t="s">
        <v>7</v>
      </c>
      <c r="C15243" s="3" t="s">
        <v>2418</v>
      </c>
      <c r="D15243" s="4">
        <f>DATE(2009,8,25)</f>
        <v>40050</v>
      </c>
      <c r="E15243" s="5">
        <f t="shared" si="251"/>
        <v>2009</v>
      </c>
      <c r="F15243" s="3" t="s">
        <v>2419</v>
      </c>
      <c r="G15243" s="6">
        <v>3968</v>
      </c>
      <c r="H15243" s="5">
        <v>12868</v>
      </c>
    </row>
    <row r="15244" spans="2:8" x14ac:dyDescent="0.4">
      <c r="B15244" t="s">
        <v>7</v>
      </c>
      <c r="C15244" t="s">
        <v>2420</v>
      </c>
      <c r="D15244" s="7">
        <f>DATE(2019,3,25)</f>
        <v>43549</v>
      </c>
      <c r="E15244" s="8">
        <f t="shared" si="251"/>
        <v>2019</v>
      </c>
      <c r="F15244" t="s">
        <v>2421</v>
      </c>
      <c r="G15244" s="9">
        <v>11279.71</v>
      </c>
      <c r="H15244" s="8">
        <v>28568</v>
      </c>
    </row>
    <row r="15245" spans="2:8" x14ac:dyDescent="0.4">
      <c r="B15245" t="s">
        <v>7</v>
      </c>
      <c r="C15245" t="s">
        <v>2422</v>
      </c>
      <c r="D15245" s="7">
        <f>DATE(2006,4,28)</f>
        <v>38835</v>
      </c>
      <c r="E15245" s="8">
        <f t="shared" si="251"/>
        <v>2006</v>
      </c>
      <c r="F15245" t="s">
        <v>2423</v>
      </c>
      <c r="G15245" s="9">
        <v>4681</v>
      </c>
      <c r="H15245" s="8">
        <v>4515</v>
      </c>
    </row>
    <row r="15246" spans="2:8" x14ac:dyDescent="0.4">
      <c r="B15246" t="s">
        <v>7</v>
      </c>
      <c r="C15246" t="s">
        <v>2424</v>
      </c>
      <c r="D15246" s="7">
        <f>DATE(2015,5,28)</f>
        <v>42152</v>
      </c>
      <c r="E15246" s="8">
        <f t="shared" si="251"/>
        <v>2015</v>
      </c>
      <c r="F15246" t="s">
        <v>2425</v>
      </c>
      <c r="G15246" s="9">
        <v>7648</v>
      </c>
      <c r="H15246" s="8">
        <v>20631</v>
      </c>
    </row>
    <row r="15247" spans="2:8" x14ac:dyDescent="0.4">
      <c r="B15247" t="s">
        <v>7</v>
      </c>
      <c r="C15247" t="s">
        <v>2424</v>
      </c>
      <c r="D15247" s="7">
        <f>DATE(2015,9,28)</f>
        <v>42275</v>
      </c>
      <c r="E15247" s="8">
        <f t="shared" si="251"/>
        <v>2015</v>
      </c>
      <c r="F15247" t="s">
        <v>2425</v>
      </c>
      <c r="G15247" s="9">
        <v>47044</v>
      </c>
      <c r="H15247" s="8">
        <v>20791</v>
      </c>
    </row>
    <row r="15248" spans="2:8" x14ac:dyDescent="0.4">
      <c r="B15248" t="s">
        <v>7</v>
      </c>
      <c r="C15248" t="s">
        <v>2424</v>
      </c>
      <c r="D15248" s="7">
        <f>DATE(2015,10,1)</f>
        <v>42278</v>
      </c>
      <c r="E15248" s="8">
        <f t="shared" si="251"/>
        <v>2015</v>
      </c>
      <c r="F15248" t="s">
        <v>2425</v>
      </c>
      <c r="G15248" s="9">
        <v>6778.25</v>
      </c>
      <c r="H15248" s="8">
        <v>20936</v>
      </c>
    </row>
    <row r="15249" spans="2:8" x14ac:dyDescent="0.4">
      <c r="B15249" t="s">
        <v>7</v>
      </c>
      <c r="C15249" t="s">
        <v>2424</v>
      </c>
      <c r="D15249" s="7">
        <f>DATE(2017,4,13)</f>
        <v>42838</v>
      </c>
      <c r="E15249" s="8">
        <f t="shared" si="251"/>
        <v>2017</v>
      </c>
      <c r="F15249" t="s">
        <v>2425</v>
      </c>
      <c r="G15249" s="9">
        <v>8404.2000000000007</v>
      </c>
      <c r="H15249" s="8">
        <v>24728</v>
      </c>
    </row>
    <row r="15250" spans="2:8" x14ac:dyDescent="0.4">
      <c r="B15250" t="s">
        <v>7</v>
      </c>
      <c r="C15250" t="s">
        <v>2424</v>
      </c>
      <c r="D15250" s="7">
        <f>DATE(2017,9,28)</f>
        <v>43006</v>
      </c>
      <c r="E15250" s="8">
        <f t="shared" si="251"/>
        <v>2017</v>
      </c>
      <c r="F15250" t="s">
        <v>2425</v>
      </c>
      <c r="G15250" s="9">
        <v>48922</v>
      </c>
      <c r="H15250" s="8">
        <v>25167</v>
      </c>
    </row>
    <row r="15251" spans="2:8" x14ac:dyDescent="0.4">
      <c r="B15251" t="s">
        <v>7</v>
      </c>
      <c r="C15251" t="s">
        <v>2424</v>
      </c>
      <c r="D15251" s="7">
        <f>DATE(2017,9,27)</f>
        <v>43005</v>
      </c>
      <c r="E15251" s="8">
        <f t="shared" si="251"/>
        <v>2017</v>
      </c>
      <c r="F15251" t="s">
        <v>2425</v>
      </c>
      <c r="G15251" s="9">
        <v>8338.7999999999993</v>
      </c>
      <c r="H15251" s="8">
        <v>25236</v>
      </c>
    </row>
    <row r="15252" spans="2:8" x14ac:dyDescent="0.4">
      <c r="B15252" t="s">
        <v>7</v>
      </c>
      <c r="C15252" t="s">
        <v>2424</v>
      </c>
      <c r="D15252" s="7">
        <f>DATE(2018,4,23)</f>
        <v>43213</v>
      </c>
      <c r="E15252" s="8">
        <f t="shared" si="251"/>
        <v>2018</v>
      </c>
      <c r="F15252" t="s">
        <v>2425</v>
      </c>
      <c r="G15252" s="9">
        <v>6264</v>
      </c>
      <c r="H15252" s="8">
        <v>26495</v>
      </c>
    </row>
    <row r="15253" spans="2:8" x14ac:dyDescent="0.4">
      <c r="B15253" t="s">
        <v>7</v>
      </c>
      <c r="C15253" t="s">
        <v>2424</v>
      </c>
      <c r="D15253" s="7">
        <f>DATE(2018,4,24)</f>
        <v>43214</v>
      </c>
      <c r="E15253" s="8">
        <f t="shared" si="251"/>
        <v>2018</v>
      </c>
      <c r="F15253" t="s">
        <v>2425</v>
      </c>
      <c r="G15253" s="9">
        <v>7187.7</v>
      </c>
      <c r="H15253" s="8">
        <v>26951</v>
      </c>
    </row>
    <row r="15254" spans="2:8" x14ac:dyDescent="0.4">
      <c r="B15254" t="s">
        <v>7</v>
      </c>
      <c r="C15254" t="s">
        <v>2424</v>
      </c>
      <c r="D15254" s="7">
        <f>DATE(2019,3,19)</f>
        <v>43543</v>
      </c>
      <c r="E15254" s="8">
        <f t="shared" si="251"/>
        <v>2019</v>
      </c>
      <c r="F15254" t="s">
        <v>2425</v>
      </c>
      <c r="G15254" s="9">
        <v>10697.55</v>
      </c>
      <c r="H15254" s="8">
        <v>28598</v>
      </c>
    </row>
    <row r="15255" spans="2:8" x14ac:dyDescent="0.4">
      <c r="B15255" t="s">
        <v>7</v>
      </c>
      <c r="C15255" t="s">
        <v>2424</v>
      </c>
      <c r="D15255" s="7">
        <f>DATE(2019,4,3)</f>
        <v>43558</v>
      </c>
      <c r="E15255" s="8">
        <f t="shared" si="251"/>
        <v>2019</v>
      </c>
      <c r="F15255" t="s">
        <v>2425</v>
      </c>
      <c r="G15255" s="9">
        <v>7419.25</v>
      </c>
      <c r="H15255" s="8">
        <v>28707</v>
      </c>
    </row>
    <row r="15256" spans="2:8" x14ac:dyDescent="0.4">
      <c r="B15256" t="s">
        <v>7</v>
      </c>
      <c r="C15256" t="s">
        <v>2424</v>
      </c>
      <c r="D15256" s="7">
        <f>DATE(2015,10,1)</f>
        <v>42278</v>
      </c>
      <c r="E15256" s="8">
        <f t="shared" si="251"/>
        <v>2015</v>
      </c>
      <c r="F15256" t="s">
        <v>2425</v>
      </c>
      <c r="G15256" s="9">
        <v>5814.35</v>
      </c>
      <c r="H15256" s="8">
        <v>20938</v>
      </c>
    </row>
    <row r="15257" spans="2:8" x14ac:dyDescent="0.4">
      <c r="B15257" t="s">
        <v>7</v>
      </c>
      <c r="C15257" t="s">
        <v>2424</v>
      </c>
      <c r="D15257" s="7">
        <f>DATE(2015,10,1)</f>
        <v>42278</v>
      </c>
      <c r="E15257" s="8">
        <f t="shared" si="251"/>
        <v>2015</v>
      </c>
      <c r="F15257" t="s">
        <v>2425</v>
      </c>
      <c r="G15257" s="9">
        <v>89336</v>
      </c>
      <c r="H15257" s="8">
        <v>20792</v>
      </c>
    </row>
    <row r="15258" spans="2:8" x14ac:dyDescent="0.4">
      <c r="B15258" t="s">
        <v>7</v>
      </c>
      <c r="C15258" t="s">
        <v>2424</v>
      </c>
      <c r="D15258" s="7">
        <f>DATE(2017,9,26)</f>
        <v>43004</v>
      </c>
      <c r="E15258" s="8">
        <f t="shared" si="251"/>
        <v>2017</v>
      </c>
      <c r="F15258" t="s">
        <v>2425</v>
      </c>
      <c r="G15258" s="9">
        <v>84500</v>
      </c>
      <c r="H15258" s="8">
        <v>25237</v>
      </c>
    </row>
    <row r="15259" spans="2:8" x14ac:dyDescent="0.4">
      <c r="B15259" t="s">
        <v>7</v>
      </c>
      <c r="C15259" t="s">
        <v>2424</v>
      </c>
      <c r="D15259" s="7">
        <f>DATE(2017,9,27)</f>
        <v>43005</v>
      </c>
      <c r="E15259" s="8">
        <f t="shared" si="251"/>
        <v>2017</v>
      </c>
      <c r="F15259" t="s">
        <v>2425</v>
      </c>
      <c r="G15259" s="9">
        <v>32500</v>
      </c>
      <c r="H15259" s="8">
        <v>25238</v>
      </c>
    </row>
    <row r="15260" spans="2:8" x14ac:dyDescent="0.4">
      <c r="B15260" t="s">
        <v>7</v>
      </c>
      <c r="C15260" t="s">
        <v>2424</v>
      </c>
      <c r="D15260" s="7">
        <f>DATE(2018,4,23)</f>
        <v>43213</v>
      </c>
      <c r="E15260" s="8">
        <f t="shared" si="251"/>
        <v>2018</v>
      </c>
      <c r="F15260" t="s">
        <v>2425</v>
      </c>
      <c r="G15260" s="9">
        <v>12900</v>
      </c>
      <c r="H15260" s="8">
        <v>26496</v>
      </c>
    </row>
    <row r="15261" spans="2:8" x14ac:dyDescent="0.4">
      <c r="B15261" t="s">
        <v>7</v>
      </c>
      <c r="C15261" t="s">
        <v>2424</v>
      </c>
      <c r="D15261" s="7">
        <f>DATE(2015,10,13)</f>
        <v>42290</v>
      </c>
      <c r="E15261" s="8">
        <f t="shared" si="251"/>
        <v>2015</v>
      </c>
      <c r="F15261" t="s">
        <v>2425</v>
      </c>
      <c r="G15261" s="9">
        <v>11000</v>
      </c>
      <c r="H15261" s="8">
        <v>21281</v>
      </c>
    </row>
    <row r="15262" spans="2:8" x14ac:dyDescent="0.4">
      <c r="B15262" t="s">
        <v>7</v>
      </c>
      <c r="C15262" t="s">
        <v>2424</v>
      </c>
      <c r="D15262" s="7">
        <f>DATE(2016,9,1)</f>
        <v>42614</v>
      </c>
      <c r="E15262" s="8">
        <f t="shared" si="251"/>
        <v>2016</v>
      </c>
      <c r="F15262" t="s">
        <v>2425</v>
      </c>
      <c r="G15262" s="9">
        <v>9515</v>
      </c>
      <c r="H15262" s="8">
        <v>23348</v>
      </c>
    </row>
    <row r="15263" spans="2:8" x14ac:dyDescent="0.4">
      <c r="B15263" t="s">
        <v>7</v>
      </c>
      <c r="C15263" t="s">
        <v>2424</v>
      </c>
      <c r="D15263" s="7">
        <f>DATE(2017,6,23)</f>
        <v>42909</v>
      </c>
      <c r="E15263" s="8">
        <f t="shared" si="251"/>
        <v>2017</v>
      </c>
      <c r="F15263" t="s">
        <v>2425</v>
      </c>
      <c r="G15263" s="9">
        <v>3025</v>
      </c>
      <c r="H15263" s="8">
        <v>25117</v>
      </c>
    </row>
    <row r="15264" spans="2:8" x14ac:dyDescent="0.4">
      <c r="B15264" t="s">
        <v>7</v>
      </c>
      <c r="C15264" t="s">
        <v>2424</v>
      </c>
      <c r="D15264" s="7">
        <f>DATE(2015,12,1)</f>
        <v>42339</v>
      </c>
      <c r="E15264" s="8">
        <f t="shared" si="251"/>
        <v>2015</v>
      </c>
      <c r="F15264" t="s">
        <v>2425</v>
      </c>
      <c r="G15264" s="9">
        <v>3105.53</v>
      </c>
      <c r="H15264" s="8">
        <v>21659</v>
      </c>
    </row>
    <row r="15265" spans="2:8" x14ac:dyDescent="0.4">
      <c r="B15265" t="s">
        <v>7</v>
      </c>
      <c r="C15265" t="s">
        <v>2424</v>
      </c>
      <c r="D15265" s="7">
        <f>DATE(2016,11,23)</f>
        <v>42697</v>
      </c>
      <c r="E15265" s="8">
        <f t="shared" si="251"/>
        <v>2016</v>
      </c>
      <c r="F15265" t="s">
        <v>2425</v>
      </c>
      <c r="G15265" s="9">
        <v>4487.6400000000003</v>
      </c>
      <c r="H15265" s="8">
        <v>23789</v>
      </c>
    </row>
    <row r="15266" spans="2:8" x14ac:dyDescent="0.4">
      <c r="B15266" t="s">
        <v>7</v>
      </c>
      <c r="C15266" t="s">
        <v>2424</v>
      </c>
      <c r="D15266" s="7">
        <f>DATE(2017,9,21)</f>
        <v>42999</v>
      </c>
      <c r="E15266" s="8">
        <f t="shared" si="251"/>
        <v>2017</v>
      </c>
      <c r="F15266" t="s">
        <v>2425</v>
      </c>
      <c r="G15266" s="9">
        <v>5963.12</v>
      </c>
      <c r="H15266" s="8">
        <v>25535</v>
      </c>
    </row>
    <row r="15267" spans="2:8" x14ac:dyDescent="0.4">
      <c r="B15267" t="s">
        <v>7</v>
      </c>
      <c r="C15267" t="s">
        <v>2424</v>
      </c>
      <c r="D15267" s="7">
        <f>DATE(2017,11,9)</f>
        <v>43048</v>
      </c>
      <c r="E15267" s="8">
        <f t="shared" si="251"/>
        <v>2017</v>
      </c>
      <c r="F15267" t="s">
        <v>2425</v>
      </c>
      <c r="G15267" s="9">
        <v>3975.38</v>
      </c>
      <c r="H15267" s="8">
        <v>25872</v>
      </c>
    </row>
    <row r="15268" spans="2:8" x14ac:dyDescent="0.4">
      <c r="B15268" t="s">
        <v>16</v>
      </c>
      <c r="C15268" t="s">
        <v>2424</v>
      </c>
      <c r="D15268" s="7">
        <f>DATE(2018,4,23)</f>
        <v>43213</v>
      </c>
      <c r="E15268" s="8">
        <f t="shared" si="251"/>
        <v>2018</v>
      </c>
      <c r="F15268" t="s">
        <v>2425</v>
      </c>
      <c r="G15268" s="9">
        <v>6264</v>
      </c>
      <c r="H15268" s="8">
        <v>26940</v>
      </c>
    </row>
    <row r="15269" spans="2:8" x14ac:dyDescent="0.4">
      <c r="B15269" t="s">
        <v>7</v>
      </c>
      <c r="C15269" t="s">
        <v>2424</v>
      </c>
      <c r="D15269" s="7">
        <f>DATE(2011,4,19)</f>
        <v>40652</v>
      </c>
      <c r="E15269" s="8">
        <f t="shared" si="251"/>
        <v>2011</v>
      </c>
      <c r="F15269" t="s">
        <v>2425</v>
      </c>
      <c r="G15269" s="9">
        <v>19000</v>
      </c>
      <c r="H15269" s="8">
        <v>10418</v>
      </c>
    </row>
    <row r="15270" spans="2:8" x14ac:dyDescent="0.4">
      <c r="B15270" t="s">
        <v>7</v>
      </c>
      <c r="C15270" t="s">
        <v>2424</v>
      </c>
      <c r="D15270" s="7">
        <f>DATE(2011,4,25)</f>
        <v>40658</v>
      </c>
      <c r="E15270" s="8">
        <f t="shared" si="251"/>
        <v>2011</v>
      </c>
      <c r="F15270" t="s">
        <v>2425</v>
      </c>
      <c r="G15270" s="9">
        <v>70412</v>
      </c>
      <c r="H15270" s="8">
        <v>10417</v>
      </c>
    </row>
    <row r="15271" spans="2:8" x14ac:dyDescent="0.4">
      <c r="B15271" t="s">
        <v>7</v>
      </c>
      <c r="C15271" t="s">
        <v>2424</v>
      </c>
      <c r="D15271" s="7">
        <f>DATE(2012,2,27)</f>
        <v>40966</v>
      </c>
      <c r="E15271" s="8">
        <f t="shared" si="251"/>
        <v>2012</v>
      </c>
      <c r="F15271" t="s">
        <v>2425</v>
      </c>
      <c r="G15271" s="9">
        <v>12405.03</v>
      </c>
      <c r="H15271" s="8">
        <v>11354</v>
      </c>
    </row>
    <row r="15272" spans="2:8" ht="15" customHeight="1" x14ac:dyDescent="0.4">
      <c r="B15272" t="s">
        <v>7</v>
      </c>
      <c r="C15272" t="s">
        <v>2424</v>
      </c>
      <c r="D15272" s="7">
        <f>DATE(2012,9,28)</f>
        <v>41180</v>
      </c>
      <c r="E15272" s="8">
        <f t="shared" si="251"/>
        <v>2012</v>
      </c>
      <c r="F15272" t="s">
        <v>2425</v>
      </c>
      <c r="G15272" s="9">
        <v>10520</v>
      </c>
      <c r="H15272" s="8">
        <v>11776</v>
      </c>
    </row>
    <row r="15273" spans="2:8" ht="15" customHeight="1" x14ac:dyDescent="0.4">
      <c r="B15273" t="s">
        <v>7</v>
      </c>
      <c r="C15273" t="s">
        <v>2424</v>
      </c>
      <c r="D15273" s="7">
        <f>DATE(2012,9,28)</f>
        <v>41180</v>
      </c>
      <c r="E15273" s="8">
        <f t="shared" si="251"/>
        <v>2012</v>
      </c>
      <c r="F15273" t="s">
        <v>2425</v>
      </c>
      <c r="G15273" s="9">
        <v>56661</v>
      </c>
      <c r="H15273" s="8">
        <v>11687</v>
      </c>
    </row>
    <row r="15274" spans="2:8" ht="15" customHeight="1" x14ac:dyDescent="0.4">
      <c r="B15274" t="s">
        <v>7</v>
      </c>
      <c r="C15274" t="s">
        <v>2424</v>
      </c>
      <c r="D15274" s="7">
        <f>DATE(2012,11,14)</f>
        <v>41227</v>
      </c>
      <c r="E15274" s="8">
        <f t="shared" si="251"/>
        <v>2012</v>
      </c>
      <c r="F15274" t="s">
        <v>2425</v>
      </c>
      <c r="G15274" s="9">
        <v>5125</v>
      </c>
      <c r="H15274" s="8">
        <v>11990</v>
      </c>
    </row>
    <row r="15275" spans="2:8" ht="15" customHeight="1" x14ac:dyDescent="0.4">
      <c r="B15275" t="s">
        <v>7</v>
      </c>
      <c r="C15275" t="s">
        <v>2424</v>
      </c>
      <c r="D15275" s="7">
        <f>DATE(2014,4,10)</f>
        <v>41739</v>
      </c>
      <c r="E15275" s="8">
        <f t="shared" si="251"/>
        <v>2014</v>
      </c>
      <c r="F15275" t="s">
        <v>2425</v>
      </c>
      <c r="G15275" s="9">
        <v>82535.17</v>
      </c>
      <c r="H15275" s="8">
        <v>12821</v>
      </c>
    </row>
    <row r="15276" spans="2:8" ht="15" customHeight="1" x14ac:dyDescent="0.4">
      <c r="B15276" t="s">
        <v>7</v>
      </c>
      <c r="C15276" t="s">
        <v>2424</v>
      </c>
      <c r="D15276" s="7">
        <f>DATE(2003,2,8)</f>
        <v>37660</v>
      </c>
      <c r="E15276" s="8">
        <f t="shared" si="251"/>
        <v>2003</v>
      </c>
      <c r="F15276" t="s">
        <v>2425</v>
      </c>
      <c r="G15276" s="9">
        <v>3021</v>
      </c>
      <c r="H15276" s="8">
        <v>211</v>
      </c>
    </row>
    <row r="15277" spans="2:8" ht="15" customHeight="1" x14ac:dyDescent="0.4">
      <c r="B15277" t="s">
        <v>7</v>
      </c>
      <c r="C15277" t="s">
        <v>2424</v>
      </c>
      <c r="D15277" s="7">
        <f>DATE(2003,2,21)</f>
        <v>37673</v>
      </c>
      <c r="E15277" s="8">
        <f t="shared" si="251"/>
        <v>2003</v>
      </c>
      <c r="F15277" t="s">
        <v>2425</v>
      </c>
      <c r="G15277" s="9">
        <v>18782.96</v>
      </c>
      <c r="H15277" s="8">
        <v>170</v>
      </c>
    </row>
    <row r="15278" spans="2:8" ht="15" customHeight="1" x14ac:dyDescent="0.4">
      <c r="B15278" t="s">
        <v>7</v>
      </c>
      <c r="C15278" t="s">
        <v>2424</v>
      </c>
      <c r="D15278" s="7">
        <f>DATE(2003,2,28)</f>
        <v>37680</v>
      </c>
      <c r="E15278" s="8">
        <f t="shared" si="251"/>
        <v>2003</v>
      </c>
      <c r="F15278" t="s">
        <v>2425</v>
      </c>
      <c r="G15278" s="9">
        <v>919</v>
      </c>
      <c r="H15278" s="8">
        <v>298</v>
      </c>
    </row>
    <row r="15279" spans="2:8" ht="15" customHeight="1" x14ac:dyDescent="0.4">
      <c r="B15279" t="s">
        <v>7</v>
      </c>
      <c r="C15279" t="s">
        <v>2424</v>
      </c>
      <c r="D15279" s="7">
        <f>DATE(2003,4,30)</f>
        <v>37741</v>
      </c>
      <c r="E15279" s="8">
        <f t="shared" si="251"/>
        <v>2003</v>
      </c>
      <c r="F15279" t="s">
        <v>2425</v>
      </c>
      <c r="G15279" s="9">
        <v>1943.04</v>
      </c>
      <c r="H15279" s="8">
        <v>209</v>
      </c>
    </row>
    <row r="15280" spans="2:8" ht="15" customHeight="1" x14ac:dyDescent="0.4">
      <c r="B15280" t="s">
        <v>7</v>
      </c>
      <c r="C15280" t="s">
        <v>2424</v>
      </c>
      <c r="D15280" s="7">
        <f>DATE(2003,4,30)</f>
        <v>37741</v>
      </c>
      <c r="E15280" s="8">
        <f t="shared" si="251"/>
        <v>2003</v>
      </c>
      <c r="F15280" t="s">
        <v>2425</v>
      </c>
      <c r="G15280" s="9">
        <v>3193.42</v>
      </c>
      <c r="H15280" s="8">
        <v>238</v>
      </c>
    </row>
    <row r="15281" spans="2:8" ht="15" customHeight="1" x14ac:dyDescent="0.4">
      <c r="B15281" t="s">
        <v>7</v>
      </c>
      <c r="C15281" t="s">
        <v>2424</v>
      </c>
      <c r="D15281" s="7">
        <f>DATE(2003,5,14)</f>
        <v>37755</v>
      </c>
      <c r="E15281" s="8">
        <f t="shared" si="251"/>
        <v>2003</v>
      </c>
      <c r="F15281" t="s">
        <v>2425</v>
      </c>
      <c r="G15281" s="9">
        <v>4962</v>
      </c>
      <c r="H15281" s="8">
        <v>597</v>
      </c>
    </row>
    <row r="15282" spans="2:8" ht="15" customHeight="1" x14ac:dyDescent="0.4">
      <c r="B15282" t="s">
        <v>7</v>
      </c>
      <c r="C15282" t="s">
        <v>2424</v>
      </c>
      <c r="D15282" s="7">
        <f>DATE(2004,9,27)</f>
        <v>38257</v>
      </c>
      <c r="E15282" s="8">
        <f t="shared" si="251"/>
        <v>2004</v>
      </c>
      <c r="F15282" t="s">
        <v>2425</v>
      </c>
      <c r="G15282" s="9">
        <v>42842.03</v>
      </c>
      <c r="H15282" s="8">
        <v>2036</v>
      </c>
    </row>
    <row r="15283" spans="2:8" ht="15" customHeight="1" x14ac:dyDescent="0.4">
      <c r="B15283" t="s">
        <v>7</v>
      </c>
      <c r="C15283" t="s">
        <v>2424</v>
      </c>
      <c r="D15283" s="7">
        <f>DATE(2005,4,16)</f>
        <v>38458</v>
      </c>
      <c r="E15283" s="8">
        <f t="shared" si="251"/>
        <v>2005</v>
      </c>
      <c r="F15283" t="s">
        <v>2425</v>
      </c>
      <c r="G15283" s="9">
        <v>1550.85</v>
      </c>
      <c r="H15283" s="8">
        <v>3051</v>
      </c>
    </row>
    <row r="15284" spans="2:8" ht="15" customHeight="1" x14ac:dyDescent="0.4">
      <c r="B15284" t="s">
        <v>7</v>
      </c>
      <c r="C15284" t="s">
        <v>2424</v>
      </c>
      <c r="D15284" s="7">
        <f>DATE(2006,3,5)</f>
        <v>38781</v>
      </c>
      <c r="E15284" s="8">
        <f t="shared" si="251"/>
        <v>2006</v>
      </c>
      <c r="F15284" t="s">
        <v>2425</v>
      </c>
      <c r="G15284" s="9">
        <v>5730.09</v>
      </c>
      <c r="H15284" s="8">
        <v>4266</v>
      </c>
    </row>
    <row r="15285" spans="2:8" ht="15" customHeight="1" x14ac:dyDescent="0.4">
      <c r="B15285" t="s">
        <v>7</v>
      </c>
      <c r="C15285" t="s">
        <v>2424</v>
      </c>
      <c r="D15285" s="7">
        <f>DATE(2006,3,25)</f>
        <v>38801</v>
      </c>
      <c r="E15285" s="8">
        <f t="shared" si="251"/>
        <v>2006</v>
      </c>
      <c r="F15285" t="s">
        <v>2425</v>
      </c>
      <c r="G15285" s="9">
        <v>43187.58</v>
      </c>
      <c r="H15285" s="8">
        <v>4139</v>
      </c>
    </row>
    <row r="15286" spans="2:8" ht="15" customHeight="1" x14ac:dyDescent="0.4">
      <c r="B15286" t="s">
        <v>7</v>
      </c>
      <c r="C15286" t="s">
        <v>2424</v>
      </c>
      <c r="D15286" s="7">
        <f>DATE(2006,4,28)</f>
        <v>38835</v>
      </c>
      <c r="E15286" s="8">
        <f t="shared" si="251"/>
        <v>2006</v>
      </c>
      <c r="F15286" t="s">
        <v>2425</v>
      </c>
      <c r="G15286" s="9">
        <v>1643.42</v>
      </c>
      <c r="H15286" s="8">
        <v>4531</v>
      </c>
    </row>
    <row r="15287" spans="2:8" ht="15" customHeight="1" x14ac:dyDescent="0.4">
      <c r="B15287" t="s">
        <v>7</v>
      </c>
      <c r="C15287" t="s">
        <v>2424</v>
      </c>
      <c r="D15287" s="7">
        <f>DATE(2007,2,15)</f>
        <v>39128</v>
      </c>
      <c r="E15287" s="8">
        <f t="shared" si="251"/>
        <v>2007</v>
      </c>
      <c r="F15287" t="s">
        <v>2425</v>
      </c>
      <c r="G15287" s="9">
        <v>44351</v>
      </c>
      <c r="H15287" s="8">
        <v>5213</v>
      </c>
    </row>
    <row r="15288" spans="2:8" ht="15" customHeight="1" x14ac:dyDescent="0.4">
      <c r="B15288" t="s">
        <v>7</v>
      </c>
      <c r="C15288" t="s">
        <v>2424</v>
      </c>
      <c r="D15288" s="7">
        <f>DATE(2007,2,15)</f>
        <v>39128</v>
      </c>
      <c r="E15288" s="8">
        <f t="shared" si="251"/>
        <v>2007</v>
      </c>
      <c r="F15288" t="s">
        <v>2425</v>
      </c>
      <c r="G15288" s="9">
        <v>6692.86</v>
      </c>
      <c r="H15288" s="8">
        <v>5295</v>
      </c>
    </row>
    <row r="15289" spans="2:8" ht="15" customHeight="1" x14ac:dyDescent="0.4">
      <c r="B15289" t="s">
        <v>7</v>
      </c>
      <c r="C15289" t="s">
        <v>2424</v>
      </c>
      <c r="D15289" s="7">
        <f>DATE(2007,3,10)</f>
        <v>39151</v>
      </c>
      <c r="E15289" s="8">
        <f t="shared" si="251"/>
        <v>2007</v>
      </c>
      <c r="F15289" t="s">
        <v>2425</v>
      </c>
      <c r="G15289" s="9">
        <v>6050</v>
      </c>
      <c r="H15289" s="8">
        <v>5680</v>
      </c>
    </row>
    <row r="15290" spans="2:8" ht="15" customHeight="1" x14ac:dyDescent="0.4">
      <c r="B15290" t="s">
        <v>7</v>
      </c>
      <c r="C15290" t="s">
        <v>2424</v>
      </c>
      <c r="D15290" s="7">
        <f>DATE(2009,3,30)</f>
        <v>39902</v>
      </c>
      <c r="E15290" s="8">
        <f t="shared" si="251"/>
        <v>2009</v>
      </c>
      <c r="F15290" t="s">
        <v>2425</v>
      </c>
      <c r="G15290" s="9">
        <v>7188.34</v>
      </c>
      <c r="H15290" s="8">
        <v>8214</v>
      </c>
    </row>
    <row r="15291" spans="2:8" ht="15" customHeight="1" x14ac:dyDescent="0.4">
      <c r="B15291" t="s">
        <v>7</v>
      </c>
      <c r="C15291" t="s">
        <v>2424</v>
      </c>
      <c r="D15291" s="7">
        <f>DATE(2009,4,1)</f>
        <v>39904</v>
      </c>
      <c r="E15291" s="8">
        <f t="shared" si="251"/>
        <v>2009</v>
      </c>
      <c r="F15291" t="s">
        <v>2425</v>
      </c>
      <c r="G15291" s="9">
        <v>131500</v>
      </c>
      <c r="H15291" s="8">
        <v>8192</v>
      </c>
    </row>
    <row r="15292" spans="2:8" ht="15" customHeight="1" x14ac:dyDescent="0.4">
      <c r="B15292" t="s">
        <v>7</v>
      </c>
      <c r="C15292" t="s">
        <v>2424</v>
      </c>
      <c r="D15292" s="7">
        <f>DATE(2009,4,16)</f>
        <v>39919</v>
      </c>
      <c r="E15292" s="8">
        <f t="shared" si="251"/>
        <v>2009</v>
      </c>
      <c r="F15292" t="s">
        <v>2425</v>
      </c>
      <c r="G15292" s="9">
        <v>4358.08</v>
      </c>
      <c r="H15292" s="8">
        <v>8196</v>
      </c>
    </row>
    <row r="15293" spans="2:8" ht="15" customHeight="1" x14ac:dyDescent="0.4">
      <c r="B15293" t="s">
        <v>7</v>
      </c>
      <c r="C15293" t="s">
        <v>2424</v>
      </c>
      <c r="D15293" s="7">
        <f>DATE(2009,4,3)</f>
        <v>39906</v>
      </c>
      <c r="E15293" s="8">
        <f t="shared" si="251"/>
        <v>2009</v>
      </c>
      <c r="F15293" t="s">
        <v>2425</v>
      </c>
      <c r="G15293" s="9">
        <v>44200</v>
      </c>
      <c r="H15293" s="8">
        <v>8193</v>
      </c>
    </row>
    <row r="15294" spans="2:8" ht="15" customHeight="1" x14ac:dyDescent="0.4">
      <c r="B15294" t="s">
        <v>7</v>
      </c>
      <c r="C15294" t="s">
        <v>2424</v>
      </c>
      <c r="D15294" s="7">
        <f>DATE(2009,5,19)</f>
        <v>39952</v>
      </c>
      <c r="E15294" s="8">
        <f t="shared" si="251"/>
        <v>2009</v>
      </c>
      <c r="F15294" t="s">
        <v>2425</v>
      </c>
      <c r="G15294" s="9">
        <v>4348.66</v>
      </c>
      <c r="H15294" s="8">
        <v>8658</v>
      </c>
    </row>
    <row r="15295" spans="2:8" ht="15" customHeight="1" x14ac:dyDescent="0.4">
      <c r="B15295" t="s">
        <v>7</v>
      </c>
      <c r="C15295" t="s">
        <v>2424</v>
      </c>
      <c r="D15295" s="7">
        <f>DATE(2009,7,1)</f>
        <v>39995</v>
      </c>
      <c r="E15295" s="8">
        <f t="shared" si="251"/>
        <v>2009</v>
      </c>
      <c r="F15295" t="s">
        <v>2425</v>
      </c>
      <c r="G15295" s="9">
        <v>7921.89</v>
      </c>
      <c r="H15295" s="8">
        <v>8684</v>
      </c>
    </row>
    <row r="15296" spans="2:8" ht="15" customHeight="1" x14ac:dyDescent="0.4">
      <c r="B15296" t="s">
        <v>7</v>
      </c>
      <c r="C15296" t="s">
        <v>2424</v>
      </c>
      <c r="D15296" s="7">
        <f>DATE(2009,10,15)</f>
        <v>40101</v>
      </c>
      <c r="E15296" s="8">
        <f t="shared" si="251"/>
        <v>2009</v>
      </c>
      <c r="F15296" t="s">
        <v>2425</v>
      </c>
      <c r="G15296" s="9">
        <v>44200</v>
      </c>
      <c r="H15296" s="8">
        <v>8986</v>
      </c>
    </row>
    <row r="15297" spans="2:8" ht="15" customHeight="1" x14ac:dyDescent="0.4">
      <c r="B15297" t="s">
        <v>7</v>
      </c>
      <c r="C15297" t="s">
        <v>2424</v>
      </c>
      <c r="D15297" s="7">
        <f>DATE(2009,10,23)</f>
        <v>40109</v>
      </c>
      <c r="E15297" s="8">
        <f t="shared" si="251"/>
        <v>2009</v>
      </c>
      <c r="F15297" t="s">
        <v>2425</v>
      </c>
      <c r="G15297" s="9">
        <v>9671.4500000000007</v>
      </c>
      <c r="H15297" s="8">
        <v>9129</v>
      </c>
    </row>
    <row r="15298" spans="2:8" ht="15" customHeight="1" x14ac:dyDescent="0.4">
      <c r="B15298" t="s">
        <v>7</v>
      </c>
      <c r="C15298" t="s">
        <v>2424</v>
      </c>
      <c r="D15298" s="7">
        <f>DATE(2009,10,21)</f>
        <v>40107</v>
      </c>
      <c r="E15298" s="8">
        <f t="shared" si="251"/>
        <v>2009</v>
      </c>
      <c r="F15298" t="s">
        <v>2425</v>
      </c>
      <c r="G15298" s="9">
        <v>108358.36</v>
      </c>
      <c r="H15298" s="8">
        <v>8976</v>
      </c>
    </row>
    <row r="15299" spans="2:8" ht="15" customHeight="1" x14ac:dyDescent="0.4">
      <c r="B15299" t="s">
        <v>7</v>
      </c>
      <c r="C15299" t="s">
        <v>2424</v>
      </c>
      <c r="D15299" s="7">
        <f>DATE(2009,11,10)</f>
        <v>40127</v>
      </c>
      <c r="E15299" s="8">
        <f t="shared" ref="E15299:E15362" si="252">YEAR(D15299)</f>
        <v>2009</v>
      </c>
      <c r="F15299" t="s">
        <v>2425</v>
      </c>
      <c r="G15299" s="9">
        <v>2500</v>
      </c>
      <c r="H15299" s="8">
        <v>8197</v>
      </c>
    </row>
    <row r="15300" spans="2:8" ht="15" customHeight="1" x14ac:dyDescent="0.4">
      <c r="B15300" t="s">
        <v>7</v>
      </c>
      <c r="C15300" t="s">
        <v>2424</v>
      </c>
      <c r="D15300" s="7">
        <f>DATE(2009,11,10)</f>
        <v>40127</v>
      </c>
      <c r="E15300" s="8">
        <f t="shared" si="252"/>
        <v>2009</v>
      </c>
      <c r="F15300" t="s">
        <v>2425</v>
      </c>
      <c r="G15300" s="9">
        <v>2363.12</v>
      </c>
      <c r="H15300" s="8">
        <v>8988</v>
      </c>
    </row>
    <row r="15301" spans="2:8" ht="15" customHeight="1" x14ac:dyDescent="0.4">
      <c r="B15301" t="s">
        <v>7</v>
      </c>
      <c r="C15301" t="s">
        <v>2424</v>
      </c>
      <c r="D15301" s="7">
        <f>DATE(2011,3,18)</f>
        <v>40620</v>
      </c>
      <c r="E15301" s="8">
        <f t="shared" si="252"/>
        <v>2011</v>
      </c>
      <c r="F15301" t="s">
        <v>2425</v>
      </c>
      <c r="G15301" s="9">
        <v>45377</v>
      </c>
      <c r="H15301" s="8">
        <v>10392</v>
      </c>
    </row>
    <row r="15302" spans="2:8" ht="15" customHeight="1" x14ac:dyDescent="0.4">
      <c r="B15302" t="s">
        <v>7</v>
      </c>
      <c r="C15302" t="s">
        <v>2424</v>
      </c>
      <c r="D15302" s="7">
        <f>DATE(2011,4,19)</f>
        <v>40652</v>
      </c>
      <c r="E15302" s="8">
        <f t="shared" si="252"/>
        <v>2011</v>
      </c>
      <c r="F15302" t="s">
        <v>2425</v>
      </c>
      <c r="G15302" s="9">
        <v>8482.86</v>
      </c>
      <c r="H15302" s="8">
        <v>10415</v>
      </c>
    </row>
    <row r="15303" spans="2:8" ht="15" customHeight="1" x14ac:dyDescent="0.4">
      <c r="B15303" t="s">
        <v>7</v>
      </c>
      <c r="C15303" t="s">
        <v>2424</v>
      </c>
      <c r="D15303" s="7">
        <f>DATE(2011,4,19)</f>
        <v>40652</v>
      </c>
      <c r="E15303" s="8">
        <f t="shared" si="252"/>
        <v>2011</v>
      </c>
      <c r="F15303" t="s">
        <v>2425</v>
      </c>
      <c r="G15303" s="9">
        <v>1308.5999999999999</v>
      </c>
      <c r="H15303" s="8">
        <v>10657</v>
      </c>
    </row>
    <row r="15304" spans="2:8" ht="15" customHeight="1" x14ac:dyDescent="0.4">
      <c r="B15304" t="s">
        <v>7</v>
      </c>
      <c r="C15304" t="s">
        <v>2424</v>
      </c>
      <c r="D15304" s="7">
        <f>DATE(2011,8,26)</f>
        <v>40781</v>
      </c>
      <c r="E15304" s="8">
        <f t="shared" si="252"/>
        <v>2011</v>
      </c>
      <c r="F15304" t="s">
        <v>2425</v>
      </c>
      <c r="G15304" s="9">
        <v>1800</v>
      </c>
      <c r="H15304" s="8">
        <v>10741</v>
      </c>
    </row>
    <row r="15305" spans="2:8" ht="15" customHeight="1" x14ac:dyDescent="0.4">
      <c r="B15305" t="s">
        <v>7</v>
      </c>
      <c r="C15305" t="s">
        <v>2424</v>
      </c>
      <c r="D15305" s="7">
        <f>DATE(2011,12,29)</f>
        <v>40906</v>
      </c>
      <c r="E15305" s="8">
        <f t="shared" si="252"/>
        <v>2011</v>
      </c>
      <c r="F15305" t="s">
        <v>2425</v>
      </c>
      <c r="G15305" s="9">
        <v>6350.5</v>
      </c>
      <c r="H15305" s="8">
        <v>11185</v>
      </c>
    </row>
    <row r="15306" spans="2:8" ht="15" customHeight="1" x14ac:dyDescent="0.4">
      <c r="B15306" t="s">
        <v>7</v>
      </c>
      <c r="C15306" t="s">
        <v>2424</v>
      </c>
      <c r="D15306" s="7">
        <f>DATE(2012,2,21)</f>
        <v>40960</v>
      </c>
      <c r="E15306" s="8">
        <f t="shared" si="252"/>
        <v>2012</v>
      </c>
      <c r="F15306" t="s">
        <v>2425</v>
      </c>
      <c r="G15306" s="9">
        <v>6675.9</v>
      </c>
      <c r="H15306" s="8">
        <v>11338</v>
      </c>
    </row>
    <row r="15307" spans="2:8" ht="15" customHeight="1" x14ac:dyDescent="0.4">
      <c r="B15307" t="s">
        <v>7</v>
      </c>
      <c r="C15307" t="s">
        <v>2424</v>
      </c>
      <c r="D15307" s="7">
        <f>DATE(2012,2,21)</f>
        <v>40960</v>
      </c>
      <c r="E15307" s="8">
        <f t="shared" si="252"/>
        <v>2012</v>
      </c>
      <c r="F15307" t="s">
        <v>2425</v>
      </c>
      <c r="G15307" s="9">
        <v>917.7</v>
      </c>
      <c r="H15307" s="8">
        <v>11369</v>
      </c>
    </row>
    <row r="15308" spans="2:8" ht="15" customHeight="1" x14ac:dyDescent="0.4">
      <c r="B15308" t="s">
        <v>7</v>
      </c>
      <c r="C15308" t="s">
        <v>2424</v>
      </c>
      <c r="D15308" s="7">
        <f>DATE(2012,9,6)</f>
        <v>41158</v>
      </c>
      <c r="E15308" s="8">
        <f t="shared" si="252"/>
        <v>2012</v>
      </c>
      <c r="F15308" t="s">
        <v>2425</v>
      </c>
      <c r="G15308" s="9">
        <v>1890</v>
      </c>
      <c r="H15308" s="8">
        <v>11369</v>
      </c>
    </row>
    <row r="15309" spans="2:8" ht="15" customHeight="1" x14ac:dyDescent="0.4">
      <c r="B15309" t="s">
        <v>7</v>
      </c>
      <c r="C15309" t="s">
        <v>2424</v>
      </c>
      <c r="D15309" s="7">
        <f>DATE(2012,9,28)</f>
        <v>41180</v>
      </c>
      <c r="E15309" s="8">
        <f t="shared" si="252"/>
        <v>2012</v>
      </c>
      <c r="F15309" t="s">
        <v>2425</v>
      </c>
      <c r="G15309" s="9">
        <v>2510.5</v>
      </c>
      <c r="H15309" s="8">
        <v>11775</v>
      </c>
    </row>
    <row r="15310" spans="2:8" ht="15" customHeight="1" x14ac:dyDescent="0.4">
      <c r="B15310" t="s">
        <v>7</v>
      </c>
      <c r="C15310" t="s">
        <v>2424</v>
      </c>
      <c r="D15310" s="7">
        <f>DATE(2012,9,28)</f>
        <v>41180</v>
      </c>
      <c r="E15310" s="8">
        <f t="shared" si="252"/>
        <v>2012</v>
      </c>
      <c r="F15310" t="s">
        <v>2425</v>
      </c>
      <c r="G15310" s="9">
        <v>48538</v>
      </c>
      <c r="H15310" s="8">
        <v>11683</v>
      </c>
    </row>
    <row r="15311" spans="2:8" ht="15" customHeight="1" x14ac:dyDescent="0.4">
      <c r="B15311" t="s">
        <v>7</v>
      </c>
      <c r="C15311" t="s">
        <v>2424</v>
      </c>
      <c r="D15311" s="7">
        <f>DATE(2012,11,14)</f>
        <v>41227</v>
      </c>
      <c r="E15311" s="8">
        <f t="shared" si="252"/>
        <v>2012</v>
      </c>
      <c r="F15311" t="s">
        <v>2425</v>
      </c>
      <c r="G15311" s="9">
        <v>1549</v>
      </c>
      <c r="H15311" s="8">
        <v>11989</v>
      </c>
    </row>
    <row r="15312" spans="2:8" ht="15" customHeight="1" x14ac:dyDescent="0.4">
      <c r="B15312" t="s">
        <v>7</v>
      </c>
      <c r="C15312" t="s">
        <v>2424</v>
      </c>
      <c r="D15312" s="7">
        <f>DATE(2012,11,28)</f>
        <v>41241</v>
      </c>
      <c r="E15312" s="8">
        <f t="shared" si="252"/>
        <v>2012</v>
      </c>
      <c r="F15312" t="s">
        <v>2425</v>
      </c>
      <c r="G15312" s="9">
        <v>53931.59</v>
      </c>
      <c r="H15312" s="8">
        <v>12015</v>
      </c>
    </row>
    <row r="15313" spans="2:8" ht="15" customHeight="1" x14ac:dyDescent="0.4">
      <c r="B15313" t="s">
        <v>7</v>
      </c>
      <c r="C15313" t="s">
        <v>2424</v>
      </c>
      <c r="D15313" s="7">
        <f>DATE(2013,5,21)</f>
        <v>41415</v>
      </c>
      <c r="E15313" s="8">
        <f t="shared" si="252"/>
        <v>2013</v>
      </c>
      <c r="F15313" t="s">
        <v>2425</v>
      </c>
      <c r="G15313" s="9">
        <v>6268.35</v>
      </c>
      <c r="H15313" s="8">
        <v>12433</v>
      </c>
    </row>
    <row r="15314" spans="2:8" ht="15" customHeight="1" x14ac:dyDescent="0.4">
      <c r="B15314" t="s">
        <v>7</v>
      </c>
      <c r="C15314" t="s">
        <v>2424</v>
      </c>
      <c r="D15314" s="7">
        <f>DATE(2013,6,17)</f>
        <v>41442</v>
      </c>
      <c r="E15314" s="8">
        <f t="shared" si="252"/>
        <v>2013</v>
      </c>
      <c r="F15314" t="s">
        <v>2425</v>
      </c>
      <c r="G15314" s="9">
        <v>6338.11</v>
      </c>
      <c r="H15314" s="8">
        <v>12503</v>
      </c>
    </row>
    <row r="15315" spans="2:8" ht="15" customHeight="1" x14ac:dyDescent="0.4">
      <c r="B15315" t="s">
        <v>7</v>
      </c>
      <c r="C15315" t="s">
        <v>2424</v>
      </c>
      <c r="D15315" s="7">
        <f>DATE(2014,4,3)</f>
        <v>41732</v>
      </c>
      <c r="E15315" s="8">
        <f t="shared" si="252"/>
        <v>2014</v>
      </c>
      <c r="F15315" t="s">
        <v>2425</v>
      </c>
      <c r="G15315" s="9">
        <v>6958.12</v>
      </c>
      <c r="H15315" s="8">
        <v>13017</v>
      </c>
    </row>
    <row r="15316" spans="2:8" ht="15" customHeight="1" x14ac:dyDescent="0.4">
      <c r="B15316" t="s">
        <v>7</v>
      </c>
      <c r="C15316" t="s">
        <v>2424</v>
      </c>
      <c r="D15316" s="7">
        <f>DATE(2014,4,10)</f>
        <v>41739</v>
      </c>
      <c r="E15316" s="8">
        <f t="shared" si="252"/>
        <v>2014</v>
      </c>
      <c r="F15316" t="s">
        <v>2425</v>
      </c>
      <c r="G15316" s="9">
        <v>78758</v>
      </c>
      <c r="H15316" s="8">
        <v>12820</v>
      </c>
    </row>
    <row r="15317" spans="2:8" ht="15" customHeight="1" x14ac:dyDescent="0.4">
      <c r="B15317" t="s">
        <v>7</v>
      </c>
      <c r="C15317" t="s">
        <v>2424</v>
      </c>
      <c r="D15317" s="7">
        <f>DATE(2014,8,8)</f>
        <v>41859</v>
      </c>
      <c r="E15317" s="8">
        <f t="shared" si="252"/>
        <v>2014</v>
      </c>
      <c r="F15317" t="s">
        <v>2425</v>
      </c>
      <c r="G15317" s="9">
        <v>7683.38</v>
      </c>
      <c r="H15317" s="8">
        <v>13280</v>
      </c>
    </row>
    <row r="15318" spans="2:8" ht="15" customHeight="1" x14ac:dyDescent="0.4">
      <c r="B15318" t="s">
        <v>7</v>
      </c>
      <c r="C15318" t="s">
        <v>2424</v>
      </c>
      <c r="D15318" s="7">
        <f>DATE(2011,6,9)</f>
        <v>40703</v>
      </c>
      <c r="E15318" s="8">
        <f t="shared" si="252"/>
        <v>2011</v>
      </c>
      <c r="F15318" t="s">
        <v>2425</v>
      </c>
      <c r="G15318" s="9">
        <v>3091.78</v>
      </c>
      <c r="H15318" s="8">
        <v>10708</v>
      </c>
    </row>
    <row r="15319" spans="2:8" ht="15" customHeight="1" x14ac:dyDescent="0.4">
      <c r="B15319" s="3" t="s">
        <v>7</v>
      </c>
      <c r="C15319" s="3" t="s">
        <v>2424</v>
      </c>
      <c r="D15319" s="4">
        <f>DATE(2003,2,25)</f>
        <v>37677</v>
      </c>
      <c r="E15319" s="5">
        <f t="shared" si="252"/>
        <v>2003</v>
      </c>
      <c r="F15319" s="3" t="s">
        <v>2425</v>
      </c>
      <c r="G15319" s="6">
        <v>27625</v>
      </c>
      <c r="H15319" s="5">
        <v>301</v>
      </c>
    </row>
    <row r="15320" spans="2:8" ht="15" customHeight="1" x14ac:dyDescent="0.4">
      <c r="B15320" s="3" t="s">
        <v>7</v>
      </c>
      <c r="C15320" s="3" t="s">
        <v>2424</v>
      </c>
      <c r="D15320" s="4">
        <f>DATE(2003,3,17)</f>
        <v>37697</v>
      </c>
      <c r="E15320" s="5">
        <f t="shared" si="252"/>
        <v>2003</v>
      </c>
      <c r="F15320" s="3" t="s">
        <v>2425</v>
      </c>
      <c r="G15320" s="6">
        <v>975</v>
      </c>
      <c r="H15320" s="5">
        <v>521</v>
      </c>
    </row>
    <row r="15321" spans="2:8" ht="15" customHeight="1" x14ac:dyDescent="0.4">
      <c r="B15321" s="3" t="s">
        <v>7</v>
      </c>
      <c r="C15321" s="3" t="s">
        <v>2424</v>
      </c>
      <c r="D15321" s="4">
        <f>DATE(2003,4,11)</f>
        <v>37722</v>
      </c>
      <c r="E15321" s="5">
        <f t="shared" si="252"/>
        <v>2003</v>
      </c>
      <c r="F15321" s="3" t="s">
        <v>2425</v>
      </c>
      <c r="G15321" s="6">
        <v>232.2</v>
      </c>
      <c r="H15321" s="5">
        <v>713</v>
      </c>
    </row>
    <row r="15322" spans="2:8" ht="15" customHeight="1" x14ac:dyDescent="0.4">
      <c r="B15322" s="3" t="s">
        <v>7</v>
      </c>
      <c r="C15322" s="3" t="s">
        <v>2424</v>
      </c>
      <c r="D15322" s="4">
        <f>DATE(2004,7,16)</f>
        <v>38184</v>
      </c>
      <c r="E15322" s="5">
        <f t="shared" si="252"/>
        <v>2004</v>
      </c>
      <c r="F15322" s="3" t="s">
        <v>2425</v>
      </c>
      <c r="G15322" s="6">
        <v>1210</v>
      </c>
      <c r="H15322" s="5">
        <v>3156</v>
      </c>
    </row>
    <row r="15323" spans="2:8" ht="15" customHeight="1" x14ac:dyDescent="0.4">
      <c r="B15323" s="3" t="s">
        <v>7</v>
      </c>
      <c r="C15323" s="3" t="s">
        <v>2424</v>
      </c>
      <c r="D15323" s="4">
        <f>DATE(2006,4,26)</f>
        <v>38833</v>
      </c>
      <c r="E15323" s="5">
        <f t="shared" si="252"/>
        <v>2006</v>
      </c>
      <c r="F15323" s="3" t="s">
        <v>2425</v>
      </c>
      <c r="G15323" s="6">
        <v>614.67999999999995</v>
      </c>
      <c r="H15323" s="5">
        <v>6602</v>
      </c>
    </row>
    <row r="15324" spans="2:8" ht="15" customHeight="1" x14ac:dyDescent="0.4">
      <c r="B15324" s="3" t="s">
        <v>7</v>
      </c>
      <c r="C15324" s="3" t="s">
        <v>2424</v>
      </c>
      <c r="D15324" s="4">
        <f>DATE(2006,6,28)</f>
        <v>38896</v>
      </c>
      <c r="E15324" s="5">
        <f t="shared" si="252"/>
        <v>2006</v>
      </c>
      <c r="F15324" s="3" t="s">
        <v>2425</v>
      </c>
      <c r="G15324" s="6">
        <v>31.5</v>
      </c>
      <c r="H15324" s="5">
        <v>6903</v>
      </c>
    </row>
    <row r="15325" spans="2:8" ht="15" customHeight="1" x14ac:dyDescent="0.4">
      <c r="B15325" s="3" t="s">
        <v>7</v>
      </c>
      <c r="C15325" s="3" t="s">
        <v>2424</v>
      </c>
      <c r="D15325" s="4">
        <f>DATE(2007,3,13)</f>
        <v>39154</v>
      </c>
      <c r="E15325" s="5">
        <f t="shared" si="252"/>
        <v>2007</v>
      </c>
      <c r="F15325" s="3" t="s">
        <v>2425</v>
      </c>
      <c r="G15325" s="6">
        <v>139.26</v>
      </c>
      <c r="H15325" s="5">
        <v>8141</v>
      </c>
    </row>
    <row r="15326" spans="2:8" ht="15" customHeight="1" x14ac:dyDescent="0.4">
      <c r="B15326" s="3" t="s">
        <v>7</v>
      </c>
      <c r="C15326" s="3" t="s">
        <v>2424</v>
      </c>
      <c r="D15326" s="4">
        <f>DATE(2007,8,1)</f>
        <v>39295</v>
      </c>
      <c r="E15326" s="5">
        <f t="shared" si="252"/>
        <v>2007</v>
      </c>
      <c r="F15326" s="3" t="s">
        <v>2425</v>
      </c>
      <c r="G15326" s="6">
        <v>10000</v>
      </c>
      <c r="H15326" s="5">
        <v>8778</v>
      </c>
    </row>
    <row r="15327" spans="2:8" ht="15" customHeight="1" x14ac:dyDescent="0.4">
      <c r="B15327" s="3" t="s">
        <v>7</v>
      </c>
      <c r="C15327" s="3" t="s">
        <v>2424</v>
      </c>
      <c r="D15327" s="4">
        <f>DATE(2009,3,18)</f>
        <v>39890</v>
      </c>
      <c r="E15327" s="5">
        <f t="shared" si="252"/>
        <v>2009</v>
      </c>
      <c r="F15327" s="3" t="s">
        <v>2425</v>
      </c>
      <c r="G15327" s="6">
        <v>1016</v>
      </c>
      <c r="H15327" s="5">
        <v>12209</v>
      </c>
    </row>
    <row r="15328" spans="2:8" ht="15" customHeight="1" x14ac:dyDescent="0.4">
      <c r="B15328" s="3" t="s">
        <v>7</v>
      </c>
      <c r="C15328" s="3" t="s">
        <v>2424</v>
      </c>
      <c r="D15328" s="4">
        <f>DATE(2010,3,12)</f>
        <v>40249</v>
      </c>
      <c r="E15328" s="5">
        <f t="shared" si="252"/>
        <v>2010</v>
      </c>
      <c r="F15328" s="3" t="s">
        <v>2425</v>
      </c>
      <c r="G15328" s="6">
        <v>558.79999999999995</v>
      </c>
      <c r="H15328" s="5">
        <v>13725</v>
      </c>
    </row>
    <row r="15329" spans="2:8" ht="15" customHeight="1" x14ac:dyDescent="0.4">
      <c r="B15329" s="3" t="s">
        <v>7</v>
      </c>
      <c r="C15329" s="3" t="s">
        <v>2424</v>
      </c>
      <c r="D15329" s="4">
        <f>DATE(2012,9,25)</f>
        <v>41177</v>
      </c>
      <c r="E15329" s="5">
        <f t="shared" si="252"/>
        <v>2012</v>
      </c>
      <c r="F15329" s="3" t="s">
        <v>2425</v>
      </c>
      <c r="G15329" s="6">
        <v>1016</v>
      </c>
      <c r="H15329" s="5">
        <v>17617</v>
      </c>
    </row>
    <row r="15330" spans="2:8" ht="15" customHeight="1" x14ac:dyDescent="0.4">
      <c r="B15330" s="3" t="s">
        <v>7</v>
      </c>
      <c r="C15330" s="3" t="s">
        <v>2424</v>
      </c>
      <c r="D15330" s="4">
        <f>DATE(2012,11,21)</f>
        <v>41234</v>
      </c>
      <c r="E15330" s="5">
        <f t="shared" si="252"/>
        <v>2012</v>
      </c>
      <c r="F15330" s="3" t="s">
        <v>2425</v>
      </c>
      <c r="G15330" s="6">
        <v>1016</v>
      </c>
      <c r="H15330" s="5">
        <v>17849</v>
      </c>
    </row>
    <row r="15331" spans="2:8" ht="15" customHeight="1" x14ac:dyDescent="0.4">
      <c r="B15331" t="s">
        <v>7</v>
      </c>
      <c r="C15331" t="s">
        <v>2426</v>
      </c>
      <c r="D15331" s="7">
        <f>DATE(2016,11,8)</f>
        <v>42682</v>
      </c>
      <c r="E15331" s="8">
        <f t="shared" si="252"/>
        <v>2016</v>
      </c>
      <c r="F15331" t="s">
        <v>2427</v>
      </c>
      <c r="G15331" s="9">
        <v>4471.41</v>
      </c>
      <c r="H15331" s="8">
        <v>23724</v>
      </c>
    </row>
    <row r="15332" spans="2:8" ht="15" customHeight="1" x14ac:dyDescent="0.4">
      <c r="B15332" t="s">
        <v>7</v>
      </c>
      <c r="C15332" t="s">
        <v>2426</v>
      </c>
      <c r="D15332" s="7">
        <f>DATE(2017,2,13)</f>
        <v>42779</v>
      </c>
      <c r="E15332" s="8">
        <f t="shared" si="252"/>
        <v>2017</v>
      </c>
      <c r="F15332" t="s">
        <v>2427</v>
      </c>
      <c r="G15332" s="9">
        <v>8840.1</v>
      </c>
      <c r="H15332" s="8">
        <v>24227</v>
      </c>
    </row>
    <row r="15333" spans="2:8" ht="15" customHeight="1" x14ac:dyDescent="0.4">
      <c r="B15333" t="s">
        <v>7</v>
      </c>
      <c r="C15333" t="s">
        <v>2426</v>
      </c>
      <c r="D15333" s="7">
        <f>DATE(2017,5,4)</f>
        <v>42859</v>
      </c>
      <c r="E15333" s="8">
        <f t="shared" si="252"/>
        <v>2017</v>
      </c>
      <c r="F15333" t="s">
        <v>2427</v>
      </c>
      <c r="G15333" s="9">
        <v>2433.9499999999998</v>
      </c>
      <c r="H15333" s="8">
        <v>24822</v>
      </c>
    </row>
    <row r="15334" spans="2:8" ht="15" customHeight="1" x14ac:dyDescent="0.4">
      <c r="B15334" t="s">
        <v>7</v>
      </c>
      <c r="C15334" t="s">
        <v>2426</v>
      </c>
      <c r="D15334" s="7">
        <f>DATE(2017,10,17)</f>
        <v>43025</v>
      </c>
      <c r="E15334" s="8">
        <f t="shared" si="252"/>
        <v>2017</v>
      </c>
      <c r="F15334" t="s">
        <v>2427</v>
      </c>
      <c r="G15334" s="9">
        <v>26828.55</v>
      </c>
      <c r="H15334" s="8">
        <v>25708</v>
      </c>
    </row>
    <row r="15335" spans="2:8" ht="15" customHeight="1" x14ac:dyDescent="0.4">
      <c r="B15335" t="s">
        <v>7</v>
      </c>
      <c r="C15335" t="s">
        <v>2426</v>
      </c>
      <c r="D15335" s="7">
        <f>DATE(2018,3,23)</f>
        <v>43182</v>
      </c>
      <c r="E15335" s="8">
        <f t="shared" si="252"/>
        <v>2018</v>
      </c>
      <c r="F15335" t="s">
        <v>2427</v>
      </c>
      <c r="G15335" s="9">
        <v>26516.67</v>
      </c>
      <c r="H15335" s="8">
        <v>26446</v>
      </c>
    </row>
    <row r="15336" spans="2:8" ht="15" customHeight="1" x14ac:dyDescent="0.4">
      <c r="B15336" t="s">
        <v>7</v>
      </c>
      <c r="C15336" t="s">
        <v>2426</v>
      </c>
      <c r="D15336" s="7">
        <f>DATE(2016,10,19)</f>
        <v>42662</v>
      </c>
      <c r="E15336" s="8">
        <f t="shared" si="252"/>
        <v>2016</v>
      </c>
      <c r="F15336" t="s">
        <v>2427</v>
      </c>
      <c r="G15336" s="9">
        <v>7181.21</v>
      </c>
      <c r="H15336" s="8">
        <v>23649</v>
      </c>
    </row>
    <row r="15337" spans="2:8" ht="15" customHeight="1" x14ac:dyDescent="0.4">
      <c r="B15337" t="s">
        <v>7</v>
      </c>
      <c r="C15337" t="s">
        <v>2426</v>
      </c>
      <c r="D15337" s="7">
        <f>DATE(2017,4,26)</f>
        <v>42851</v>
      </c>
      <c r="E15337" s="8">
        <f t="shared" si="252"/>
        <v>2017</v>
      </c>
      <c r="F15337" t="s">
        <v>2427</v>
      </c>
      <c r="G15337" s="9">
        <v>9393.56</v>
      </c>
      <c r="H15337" s="8">
        <v>24785</v>
      </c>
    </row>
    <row r="15338" spans="2:8" ht="15" customHeight="1" x14ac:dyDescent="0.4">
      <c r="B15338" t="s">
        <v>7</v>
      </c>
      <c r="C15338" t="s">
        <v>2426</v>
      </c>
      <c r="D15338" s="7">
        <f>DATE(2017,5,10)</f>
        <v>42865</v>
      </c>
      <c r="E15338" s="8">
        <f t="shared" si="252"/>
        <v>2017</v>
      </c>
      <c r="F15338" t="s">
        <v>2427</v>
      </c>
      <c r="G15338" s="9">
        <v>17104.91</v>
      </c>
      <c r="H15338" s="8">
        <v>24886</v>
      </c>
    </row>
    <row r="15339" spans="2:8" ht="15" customHeight="1" x14ac:dyDescent="0.4">
      <c r="B15339" t="s">
        <v>7</v>
      </c>
      <c r="C15339" t="s">
        <v>2426</v>
      </c>
      <c r="D15339" s="7">
        <f>DATE(2017,7,7)</f>
        <v>42923</v>
      </c>
      <c r="E15339" s="8">
        <f t="shared" si="252"/>
        <v>2017</v>
      </c>
      <c r="F15339" t="s">
        <v>2427</v>
      </c>
      <c r="G15339" s="9">
        <v>2178.64</v>
      </c>
      <c r="H15339" s="8">
        <v>25046</v>
      </c>
    </row>
    <row r="15340" spans="2:8" ht="15" customHeight="1" x14ac:dyDescent="0.4">
      <c r="B15340" t="s">
        <v>7</v>
      </c>
      <c r="C15340" t="s">
        <v>2426</v>
      </c>
      <c r="D15340" s="7">
        <f>DATE(2017,7,27)</f>
        <v>42943</v>
      </c>
      <c r="E15340" s="8">
        <f t="shared" si="252"/>
        <v>2017</v>
      </c>
      <c r="F15340" t="s">
        <v>2427</v>
      </c>
      <c r="G15340" s="9">
        <v>11239.39</v>
      </c>
      <c r="H15340" s="8">
        <v>25234</v>
      </c>
    </row>
    <row r="15341" spans="2:8" ht="15" customHeight="1" x14ac:dyDescent="0.4">
      <c r="B15341" t="s">
        <v>7</v>
      </c>
      <c r="C15341" t="s">
        <v>2426</v>
      </c>
      <c r="D15341" s="7">
        <f>DATE(2018,3,19)</f>
        <v>43178</v>
      </c>
      <c r="E15341" s="8">
        <f t="shared" si="252"/>
        <v>2018</v>
      </c>
      <c r="F15341" t="s">
        <v>2427</v>
      </c>
      <c r="G15341" s="9">
        <v>7398.67</v>
      </c>
      <c r="H15341" s="8">
        <v>26652</v>
      </c>
    </row>
    <row r="15342" spans="2:8" ht="15" customHeight="1" x14ac:dyDescent="0.4">
      <c r="B15342" t="s">
        <v>7</v>
      </c>
      <c r="C15342" t="s">
        <v>2426</v>
      </c>
      <c r="D15342" s="7">
        <f>DATE(2018,4,13)</f>
        <v>43203</v>
      </c>
      <c r="E15342" s="8">
        <f t="shared" si="252"/>
        <v>2018</v>
      </c>
      <c r="F15342" t="s">
        <v>2427</v>
      </c>
      <c r="G15342" s="9">
        <v>12108.36</v>
      </c>
      <c r="H15342" s="8">
        <v>26849</v>
      </c>
    </row>
    <row r="15343" spans="2:8" ht="15" customHeight="1" x14ac:dyDescent="0.4">
      <c r="B15343" t="s">
        <v>7</v>
      </c>
      <c r="C15343" t="s">
        <v>2426</v>
      </c>
      <c r="D15343" s="7">
        <f>DATE(2018,7,11)</f>
        <v>43292</v>
      </c>
      <c r="E15343" s="8">
        <f t="shared" si="252"/>
        <v>2018</v>
      </c>
      <c r="F15343" t="s">
        <v>2427</v>
      </c>
      <c r="G15343" s="9">
        <v>13679.09</v>
      </c>
      <c r="H15343" s="8">
        <v>27066</v>
      </c>
    </row>
    <row r="15344" spans="2:8" ht="15" customHeight="1" x14ac:dyDescent="0.4">
      <c r="B15344" t="s">
        <v>7</v>
      </c>
      <c r="C15344" t="s">
        <v>2426</v>
      </c>
      <c r="D15344" s="7">
        <f>DATE(2018,8,30)</f>
        <v>43342</v>
      </c>
      <c r="E15344" s="8">
        <f t="shared" si="252"/>
        <v>2018</v>
      </c>
      <c r="F15344" t="s">
        <v>2427</v>
      </c>
      <c r="G15344" s="9">
        <v>7011.25</v>
      </c>
      <c r="H15344" s="8">
        <v>27386</v>
      </c>
    </row>
    <row r="15345" spans="2:8" ht="15" customHeight="1" x14ac:dyDescent="0.4">
      <c r="B15345" t="s">
        <v>7</v>
      </c>
      <c r="C15345" t="s">
        <v>2426</v>
      </c>
      <c r="D15345" s="7">
        <f>DATE(2018,11,6)</f>
        <v>43410</v>
      </c>
      <c r="E15345" s="8">
        <f t="shared" si="252"/>
        <v>2018</v>
      </c>
      <c r="F15345" t="s">
        <v>2427</v>
      </c>
      <c r="G15345" s="9">
        <v>7973.98</v>
      </c>
      <c r="H15345" s="8">
        <v>27895</v>
      </c>
    </row>
    <row r="15346" spans="2:8" ht="15" customHeight="1" x14ac:dyDescent="0.4">
      <c r="B15346" t="s">
        <v>7</v>
      </c>
      <c r="C15346" t="s">
        <v>2426</v>
      </c>
      <c r="D15346" s="7">
        <f>DATE(2019,3,27)</f>
        <v>43551</v>
      </c>
      <c r="E15346" s="8">
        <f t="shared" si="252"/>
        <v>2019</v>
      </c>
      <c r="F15346" t="s">
        <v>2427</v>
      </c>
      <c r="G15346" s="9">
        <v>9188.89</v>
      </c>
      <c r="H15346" s="8">
        <v>28645</v>
      </c>
    </row>
    <row r="15347" spans="2:8" ht="15" customHeight="1" x14ac:dyDescent="0.4">
      <c r="B15347" t="s">
        <v>7</v>
      </c>
      <c r="C15347" t="s">
        <v>2426</v>
      </c>
      <c r="D15347" s="7">
        <f>DATE(2019,5,6)</f>
        <v>43591</v>
      </c>
      <c r="E15347" s="8">
        <f t="shared" si="252"/>
        <v>2019</v>
      </c>
      <c r="F15347" t="s">
        <v>2427</v>
      </c>
      <c r="G15347" s="9">
        <v>3744.86</v>
      </c>
      <c r="H15347" s="8">
        <v>28940</v>
      </c>
    </row>
    <row r="15348" spans="2:8" ht="15" customHeight="1" x14ac:dyDescent="0.4">
      <c r="B15348" t="s">
        <v>7</v>
      </c>
      <c r="C15348" t="s">
        <v>2426</v>
      </c>
      <c r="D15348" s="7">
        <f>DATE(2009,6,25)</f>
        <v>39989</v>
      </c>
      <c r="E15348" s="8">
        <f t="shared" si="252"/>
        <v>2009</v>
      </c>
      <c r="F15348" t="s">
        <v>2427</v>
      </c>
      <c r="G15348" s="9">
        <v>9788.9699999999993</v>
      </c>
      <c r="H15348" s="8">
        <v>8842</v>
      </c>
    </row>
    <row r="15349" spans="2:8" ht="15" customHeight="1" x14ac:dyDescent="0.4">
      <c r="B15349" t="s">
        <v>7</v>
      </c>
      <c r="C15349" t="s">
        <v>2428</v>
      </c>
      <c r="D15349" s="7">
        <f>DATE(2003,11,20)</f>
        <v>37945</v>
      </c>
      <c r="E15349" s="8">
        <f t="shared" si="252"/>
        <v>2003</v>
      </c>
      <c r="F15349" t="s">
        <v>2429</v>
      </c>
      <c r="G15349" s="9">
        <v>7304.73</v>
      </c>
      <c r="H15349" s="8">
        <v>1017</v>
      </c>
    </row>
    <row r="15350" spans="2:8" ht="15" customHeight="1" x14ac:dyDescent="0.4">
      <c r="B15350" t="s">
        <v>7</v>
      </c>
      <c r="C15350" t="s">
        <v>2428</v>
      </c>
      <c r="D15350" s="7">
        <f>DATE(2005,11,16)</f>
        <v>38672</v>
      </c>
      <c r="E15350" s="8">
        <f t="shared" si="252"/>
        <v>2005</v>
      </c>
      <c r="F15350" t="s">
        <v>2429</v>
      </c>
      <c r="G15350" s="9">
        <v>4973.34</v>
      </c>
      <c r="H15350" s="8">
        <v>3757</v>
      </c>
    </row>
    <row r="15351" spans="2:8" ht="15" customHeight="1" x14ac:dyDescent="0.4">
      <c r="B15351" s="3" t="s">
        <v>7</v>
      </c>
      <c r="C15351" s="3" t="s">
        <v>2428</v>
      </c>
      <c r="D15351" s="4">
        <f>DATE(2004,10,11)</f>
        <v>38271</v>
      </c>
      <c r="E15351" s="5">
        <f t="shared" si="252"/>
        <v>2004</v>
      </c>
      <c r="F15351" s="3" t="s">
        <v>2429</v>
      </c>
      <c r="G15351" s="6">
        <v>15</v>
      </c>
      <c r="H15351" s="5">
        <v>3556</v>
      </c>
    </row>
    <row r="15352" spans="2:8" ht="15" customHeight="1" x14ac:dyDescent="0.4">
      <c r="B15352" s="3" t="s">
        <v>7</v>
      </c>
      <c r="C15352" s="3" t="s">
        <v>2428</v>
      </c>
      <c r="D15352" s="4">
        <f>DATE(2010,4,30)</f>
        <v>40298</v>
      </c>
      <c r="E15352" s="5">
        <f t="shared" si="252"/>
        <v>2010</v>
      </c>
      <c r="F15352" s="3" t="s">
        <v>2429</v>
      </c>
      <c r="G15352" s="6">
        <v>210</v>
      </c>
      <c r="H15352" s="5">
        <v>13970</v>
      </c>
    </row>
    <row r="15353" spans="2:8" ht="15" customHeight="1" x14ac:dyDescent="0.4">
      <c r="B15353" s="3" t="s">
        <v>7</v>
      </c>
      <c r="C15353" s="3" t="s">
        <v>2430</v>
      </c>
      <c r="D15353" s="4">
        <f>DATE(2013,5,9)</f>
        <v>41403</v>
      </c>
      <c r="E15353" s="5">
        <f t="shared" si="252"/>
        <v>2013</v>
      </c>
      <c r="F15353" s="3" t="s">
        <v>2431</v>
      </c>
      <c r="G15353" s="6">
        <v>3761.26</v>
      </c>
      <c r="H15353" s="5">
        <v>5480</v>
      </c>
    </row>
    <row r="15354" spans="2:8" ht="15" customHeight="1" x14ac:dyDescent="0.4">
      <c r="B15354" s="3" t="s">
        <v>7</v>
      </c>
      <c r="C15354" s="3" t="s">
        <v>2430</v>
      </c>
      <c r="D15354" s="4">
        <f>DATE(2011,12,31)</f>
        <v>40908</v>
      </c>
      <c r="E15354" s="5">
        <f t="shared" si="252"/>
        <v>2011</v>
      </c>
      <c r="F15354" s="3" t="s">
        <v>2432</v>
      </c>
      <c r="G15354" s="6">
        <v>2916.5</v>
      </c>
      <c r="H15354" s="5">
        <v>4755</v>
      </c>
    </row>
    <row r="15355" spans="2:8" ht="15" customHeight="1" x14ac:dyDescent="0.4">
      <c r="B15355" s="3" t="s">
        <v>7</v>
      </c>
      <c r="C15355" s="3" t="s">
        <v>2430</v>
      </c>
      <c r="D15355" s="4">
        <f>DATE(2011,12,31)</f>
        <v>40908</v>
      </c>
      <c r="E15355" s="5">
        <f t="shared" si="252"/>
        <v>2011</v>
      </c>
      <c r="F15355" s="3" t="s">
        <v>2432</v>
      </c>
      <c r="G15355" s="6">
        <v>2121.1</v>
      </c>
      <c r="H15355" s="5">
        <v>4742</v>
      </c>
    </row>
    <row r="15356" spans="2:8" ht="15" customHeight="1" x14ac:dyDescent="0.4">
      <c r="B15356" s="3" t="s">
        <v>7</v>
      </c>
      <c r="C15356" s="3" t="s">
        <v>2430</v>
      </c>
      <c r="D15356" s="4">
        <f>DATE(2011,12,31)</f>
        <v>40908</v>
      </c>
      <c r="E15356" s="5">
        <f t="shared" si="252"/>
        <v>2011</v>
      </c>
      <c r="F15356" s="3" t="s">
        <v>2432</v>
      </c>
      <c r="G15356" s="6">
        <v>2679.2</v>
      </c>
      <c r="H15356" s="5">
        <v>4756</v>
      </c>
    </row>
    <row r="15357" spans="2:8" ht="15" customHeight="1" x14ac:dyDescent="0.4">
      <c r="B15357" s="3" t="s">
        <v>7</v>
      </c>
      <c r="C15357" s="3" t="s">
        <v>2430</v>
      </c>
      <c r="D15357" s="4">
        <f>DATE(2012,12,20)</f>
        <v>41263</v>
      </c>
      <c r="E15357" s="5">
        <f t="shared" si="252"/>
        <v>2012</v>
      </c>
      <c r="F15357" s="3" t="s">
        <v>2432</v>
      </c>
      <c r="G15357" s="6">
        <v>7415.25</v>
      </c>
      <c r="H15357" s="5">
        <v>5335</v>
      </c>
    </row>
    <row r="15358" spans="2:8" ht="15" customHeight="1" x14ac:dyDescent="0.4">
      <c r="B15358" t="s">
        <v>7</v>
      </c>
      <c r="C15358" t="s">
        <v>2433</v>
      </c>
      <c r="D15358" s="7">
        <f>DATE(2015,10,16)</f>
        <v>42293</v>
      </c>
      <c r="E15358" s="8">
        <f t="shared" si="252"/>
        <v>2015</v>
      </c>
      <c r="F15358" t="s">
        <v>2434</v>
      </c>
      <c r="G15358" s="9">
        <v>816.22</v>
      </c>
      <c r="H15358" s="8">
        <v>21375</v>
      </c>
    </row>
    <row r="15359" spans="2:8" ht="15" customHeight="1" x14ac:dyDescent="0.4">
      <c r="B15359" t="s">
        <v>7</v>
      </c>
      <c r="C15359" t="s">
        <v>2433</v>
      </c>
      <c r="D15359" s="7">
        <f>DATE(2016,2,2)</f>
        <v>42402</v>
      </c>
      <c r="E15359" s="8">
        <f t="shared" si="252"/>
        <v>2016</v>
      </c>
      <c r="F15359" t="s">
        <v>2434</v>
      </c>
      <c r="G15359" s="9">
        <v>1774.08</v>
      </c>
      <c r="H15359" s="8">
        <v>22097</v>
      </c>
    </row>
    <row r="15360" spans="2:8" ht="15" customHeight="1" x14ac:dyDescent="0.4">
      <c r="B15360" t="s">
        <v>7</v>
      </c>
      <c r="C15360" t="s">
        <v>2433</v>
      </c>
      <c r="D15360" s="7">
        <f>DATE(2016,12,1)</f>
        <v>42705</v>
      </c>
      <c r="E15360" s="8">
        <f t="shared" si="252"/>
        <v>2016</v>
      </c>
      <c r="F15360" t="s">
        <v>2435</v>
      </c>
      <c r="G15360" s="9">
        <v>47509</v>
      </c>
      <c r="H15360" s="8">
        <v>23334</v>
      </c>
    </row>
    <row r="15361" spans="2:8" ht="15" customHeight="1" x14ac:dyDescent="0.4">
      <c r="B15361" t="s">
        <v>7</v>
      </c>
      <c r="C15361" t="s">
        <v>2433</v>
      </c>
      <c r="D15361" s="7">
        <f>DATE(2017,11,28)</f>
        <v>43067</v>
      </c>
      <c r="E15361" s="8">
        <f t="shared" si="252"/>
        <v>2017</v>
      </c>
      <c r="F15361" t="s">
        <v>2435</v>
      </c>
      <c r="G15361" s="9">
        <v>28163</v>
      </c>
      <c r="H15361" s="8">
        <v>24774</v>
      </c>
    </row>
    <row r="15362" spans="2:8" ht="15" customHeight="1" x14ac:dyDescent="0.4">
      <c r="B15362" t="s">
        <v>7</v>
      </c>
      <c r="C15362" t="s">
        <v>2433</v>
      </c>
      <c r="D15362" s="7">
        <f>DATE(2016,7,7)</f>
        <v>42558</v>
      </c>
      <c r="E15362" s="8">
        <f t="shared" si="252"/>
        <v>2016</v>
      </c>
      <c r="F15362" t="s">
        <v>2435</v>
      </c>
      <c r="G15362" s="9">
        <v>985.6</v>
      </c>
      <c r="H15362" s="8">
        <v>23120</v>
      </c>
    </row>
    <row r="15363" spans="2:8" ht="15" customHeight="1" x14ac:dyDescent="0.4">
      <c r="B15363" t="s">
        <v>7</v>
      </c>
      <c r="C15363" t="s">
        <v>2433</v>
      </c>
      <c r="D15363" s="7">
        <f>DATE(2016,8,25)</f>
        <v>42607</v>
      </c>
      <c r="E15363" s="8">
        <f t="shared" ref="E15363:E15426" si="253">YEAR(D15363)</f>
        <v>2016</v>
      </c>
      <c r="F15363" t="s">
        <v>2435</v>
      </c>
      <c r="G15363" s="9">
        <v>147.08000000000001</v>
      </c>
      <c r="H15363" s="8">
        <v>23355</v>
      </c>
    </row>
    <row r="15364" spans="2:8" ht="15" customHeight="1" x14ac:dyDescent="0.4">
      <c r="B15364" t="s">
        <v>7</v>
      </c>
      <c r="C15364" t="s">
        <v>2433</v>
      </c>
      <c r="D15364" s="7">
        <f>DATE(2016,10,18)</f>
        <v>42661</v>
      </c>
      <c r="E15364" s="8">
        <f t="shared" si="253"/>
        <v>2016</v>
      </c>
      <c r="F15364" t="s">
        <v>2435</v>
      </c>
      <c r="G15364" s="9">
        <v>480.14</v>
      </c>
      <c r="H15364" s="8">
        <v>23674</v>
      </c>
    </row>
    <row r="15365" spans="2:8" ht="15" customHeight="1" x14ac:dyDescent="0.4">
      <c r="B15365" t="s">
        <v>7</v>
      </c>
      <c r="C15365" t="s">
        <v>2433</v>
      </c>
      <c r="D15365" s="7">
        <f>DATE(2017,4,17)</f>
        <v>42842</v>
      </c>
      <c r="E15365" s="8">
        <f t="shared" si="253"/>
        <v>2017</v>
      </c>
      <c r="F15365" t="s">
        <v>2435</v>
      </c>
      <c r="G15365" s="9">
        <v>1900</v>
      </c>
      <c r="H15365" s="8">
        <v>24772</v>
      </c>
    </row>
    <row r="15366" spans="2:8" ht="15" customHeight="1" x14ac:dyDescent="0.4">
      <c r="B15366" t="s">
        <v>7</v>
      </c>
      <c r="C15366" t="s">
        <v>2433</v>
      </c>
      <c r="D15366" s="7">
        <f>DATE(2017,9,5)</f>
        <v>42983</v>
      </c>
      <c r="E15366" s="8">
        <f t="shared" si="253"/>
        <v>2017</v>
      </c>
      <c r="F15366" t="s">
        <v>2435</v>
      </c>
      <c r="G15366" s="9">
        <v>811</v>
      </c>
      <c r="H15366" s="8">
        <v>24794</v>
      </c>
    </row>
    <row r="15367" spans="2:8" ht="15" customHeight="1" x14ac:dyDescent="0.4">
      <c r="B15367" t="s">
        <v>7</v>
      </c>
      <c r="C15367" t="s">
        <v>2433</v>
      </c>
      <c r="D15367" s="7">
        <f>DATE(2018,2,13)</f>
        <v>43144</v>
      </c>
      <c r="E15367" s="8">
        <f t="shared" si="253"/>
        <v>2018</v>
      </c>
      <c r="F15367" t="s">
        <v>2435</v>
      </c>
      <c r="G15367" s="9">
        <v>1561.75</v>
      </c>
      <c r="H15367" s="8">
        <v>26473</v>
      </c>
    </row>
    <row r="15368" spans="2:8" ht="15" customHeight="1" x14ac:dyDescent="0.4">
      <c r="B15368" t="s">
        <v>7</v>
      </c>
      <c r="C15368" t="s">
        <v>2433</v>
      </c>
      <c r="D15368" s="7">
        <f>DATE(2018,2,23)</f>
        <v>43154</v>
      </c>
      <c r="E15368" s="8">
        <f t="shared" si="253"/>
        <v>2018</v>
      </c>
      <c r="F15368" t="s">
        <v>2435</v>
      </c>
      <c r="G15368" s="9">
        <v>997.7</v>
      </c>
      <c r="H15368" s="8">
        <v>26538</v>
      </c>
    </row>
    <row r="15369" spans="2:8" ht="15" customHeight="1" x14ac:dyDescent="0.4">
      <c r="B15369" t="s">
        <v>7</v>
      </c>
      <c r="C15369" t="s">
        <v>2433</v>
      </c>
      <c r="D15369" s="7">
        <f>DATE(2018,2,26)</f>
        <v>43157</v>
      </c>
      <c r="E15369" s="8">
        <f t="shared" si="253"/>
        <v>2018</v>
      </c>
      <c r="F15369" t="s">
        <v>2435</v>
      </c>
      <c r="G15369" s="9">
        <v>950</v>
      </c>
      <c r="H15369" s="8">
        <v>26547</v>
      </c>
    </row>
    <row r="15370" spans="2:8" ht="15" customHeight="1" x14ac:dyDescent="0.4">
      <c r="B15370" t="s">
        <v>7</v>
      </c>
      <c r="C15370" t="s">
        <v>2433</v>
      </c>
      <c r="D15370" s="7">
        <f>DATE(2018,2,27)</f>
        <v>43158</v>
      </c>
      <c r="E15370" s="8">
        <f t="shared" si="253"/>
        <v>2018</v>
      </c>
      <c r="F15370" t="s">
        <v>2435</v>
      </c>
      <c r="G15370" s="9">
        <v>998.2</v>
      </c>
      <c r="H15370" s="8">
        <v>26548</v>
      </c>
    </row>
    <row r="15371" spans="2:8" ht="15" customHeight="1" x14ac:dyDescent="0.4">
      <c r="B15371" t="s">
        <v>7</v>
      </c>
      <c r="C15371" t="s">
        <v>2433</v>
      </c>
      <c r="D15371" s="7">
        <f>DATE(2018,4,18)</f>
        <v>43208</v>
      </c>
      <c r="E15371" s="8">
        <f t="shared" si="253"/>
        <v>2018</v>
      </c>
      <c r="F15371" t="s">
        <v>2435</v>
      </c>
      <c r="G15371" s="9">
        <v>718</v>
      </c>
      <c r="H15371" s="8">
        <v>26898</v>
      </c>
    </row>
    <row r="15372" spans="2:8" ht="15" customHeight="1" x14ac:dyDescent="0.4">
      <c r="B15372" t="s">
        <v>7</v>
      </c>
      <c r="C15372" t="s">
        <v>2433</v>
      </c>
      <c r="D15372" s="7">
        <f>DATE(2018,4,20)</f>
        <v>43210</v>
      </c>
      <c r="E15372" s="8">
        <f t="shared" si="253"/>
        <v>2018</v>
      </c>
      <c r="F15372" t="s">
        <v>2435</v>
      </c>
      <c r="G15372" s="9">
        <v>988</v>
      </c>
      <c r="H15372" s="8">
        <v>26899</v>
      </c>
    </row>
    <row r="15373" spans="2:8" ht="15" customHeight="1" x14ac:dyDescent="0.4">
      <c r="B15373" t="s">
        <v>7</v>
      </c>
      <c r="C15373" t="s">
        <v>2433</v>
      </c>
      <c r="D15373" s="7">
        <f>DATE(2018,4,30)</f>
        <v>43220</v>
      </c>
      <c r="E15373" s="8">
        <f t="shared" si="253"/>
        <v>2018</v>
      </c>
      <c r="F15373" t="s">
        <v>2435</v>
      </c>
      <c r="G15373" s="9">
        <v>149.18</v>
      </c>
      <c r="H15373" s="8">
        <v>26981</v>
      </c>
    </row>
    <row r="15374" spans="2:8" ht="15" customHeight="1" x14ac:dyDescent="0.4">
      <c r="B15374" t="s">
        <v>7</v>
      </c>
      <c r="C15374" t="s">
        <v>2433</v>
      </c>
      <c r="D15374" s="7">
        <f>DATE(2018,10,1)</f>
        <v>43374</v>
      </c>
      <c r="E15374" s="8">
        <f t="shared" si="253"/>
        <v>2018</v>
      </c>
      <c r="F15374" t="s">
        <v>2435</v>
      </c>
      <c r="G15374" s="9">
        <v>2050</v>
      </c>
      <c r="H15374" s="8">
        <v>27716</v>
      </c>
    </row>
    <row r="15375" spans="2:8" ht="15" customHeight="1" x14ac:dyDescent="0.4">
      <c r="B15375" t="s">
        <v>7</v>
      </c>
      <c r="C15375" t="s">
        <v>2433</v>
      </c>
      <c r="D15375" s="7">
        <f>DATE(2018,10,2)</f>
        <v>43375</v>
      </c>
      <c r="E15375" s="8">
        <f t="shared" si="253"/>
        <v>2018</v>
      </c>
      <c r="F15375" t="s">
        <v>2435</v>
      </c>
      <c r="G15375" s="9">
        <v>2890.5</v>
      </c>
      <c r="H15375" s="8">
        <v>27715</v>
      </c>
    </row>
    <row r="15376" spans="2:8" ht="15" customHeight="1" x14ac:dyDescent="0.4">
      <c r="B15376" t="s">
        <v>7</v>
      </c>
      <c r="C15376" t="s">
        <v>2433</v>
      </c>
      <c r="D15376" s="7">
        <f>DATE(2019,3,20)</f>
        <v>43544</v>
      </c>
      <c r="E15376" s="8">
        <f t="shared" si="253"/>
        <v>2019</v>
      </c>
      <c r="F15376" t="s">
        <v>2435</v>
      </c>
      <c r="G15376" s="9">
        <v>1968</v>
      </c>
      <c r="H15376" s="8">
        <v>28594</v>
      </c>
    </row>
    <row r="15377" spans="2:8" ht="15" customHeight="1" x14ac:dyDescent="0.4">
      <c r="B15377" t="s">
        <v>7</v>
      </c>
      <c r="C15377" t="s">
        <v>2433</v>
      </c>
      <c r="D15377" s="7">
        <f>DATE(2019,3,26)</f>
        <v>43550</v>
      </c>
      <c r="E15377" s="8">
        <f t="shared" si="253"/>
        <v>2019</v>
      </c>
      <c r="F15377" t="s">
        <v>2435</v>
      </c>
      <c r="G15377" s="9">
        <v>866.2</v>
      </c>
      <c r="H15377" s="8">
        <v>28685</v>
      </c>
    </row>
    <row r="15378" spans="2:8" ht="15" customHeight="1" x14ac:dyDescent="0.4">
      <c r="B15378" t="s">
        <v>7</v>
      </c>
      <c r="C15378" t="s">
        <v>2433</v>
      </c>
      <c r="D15378" s="7">
        <f>DATE(2019,4,1)</f>
        <v>43556</v>
      </c>
      <c r="E15378" s="8">
        <f t="shared" si="253"/>
        <v>2019</v>
      </c>
      <c r="F15378" t="s">
        <v>2435</v>
      </c>
      <c r="G15378" s="9">
        <v>2896.8</v>
      </c>
      <c r="H15378" s="8">
        <v>28686</v>
      </c>
    </row>
    <row r="15379" spans="2:8" ht="15" customHeight="1" x14ac:dyDescent="0.4">
      <c r="B15379" t="s">
        <v>7</v>
      </c>
      <c r="C15379" t="s">
        <v>2433</v>
      </c>
      <c r="D15379" s="7">
        <f>DATE(2019,4,15)</f>
        <v>43570</v>
      </c>
      <c r="E15379" s="8">
        <f t="shared" si="253"/>
        <v>2019</v>
      </c>
      <c r="F15379" t="s">
        <v>2435</v>
      </c>
      <c r="G15379" s="9">
        <v>2896.8</v>
      </c>
      <c r="H15379" s="8">
        <v>28687</v>
      </c>
    </row>
    <row r="15380" spans="2:8" ht="15" customHeight="1" x14ac:dyDescent="0.4">
      <c r="B15380" t="s">
        <v>7</v>
      </c>
      <c r="C15380" t="s">
        <v>2433</v>
      </c>
      <c r="D15380" s="7">
        <f>DATE(2019,4,23)</f>
        <v>43578</v>
      </c>
      <c r="E15380" s="8">
        <f t="shared" si="253"/>
        <v>2019</v>
      </c>
      <c r="F15380" t="s">
        <v>2435</v>
      </c>
      <c r="G15380" s="9">
        <v>2911</v>
      </c>
      <c r="H15380" s="8">
        <v>28688</v>
      </c>
    </row>
    <row r="15381" spans="2:8" ht="15" customHeight="1" x14ac:dyDescent="0.4">
      <c r="B15381" t="s">
        <v>7</v>
      </c>
      <c r="C15381" t="s">
        <v>2433</v>
      </c>
      <c r="D15381" s="7">
        <f>DATE(2019,4,23)</f>
        <v>43578</v>
      </c>
      <c r="E15381" s="8">
        <f t="shared" si="253"/>
        <v>2019</v>
      </c>
      <c r="F15381" t="s">
        <v>2435</v>
      </c>
      <c r="G15381" s="9">
        <v>165</v>
      </c>
      <c r="H15381" s="8">
        <v>28848</v>
      </c>
    </row>
    <row r="15382" spans="2:8" ht="15" customHeight="1" x14ac:dyDescent="0.4">
      <c r="B15382" t="s">
        <v>7</v>
      </c>
      <c r="C15382" t="s">
        <v>2436</v>
      </c>
      <c r="D15382" s="7">
        <f>DATE(2007,4,12)</f>
        <v>39184</v>
      </c>
      <c r="E15382" s="8">
        <f t="shared" si="253"/>
        <v>2007</v>
      </c>
      <c r="F15382" t="s">
        <v>2437</v>
      </c>
      <c r="G15382" s="9">
        <v>700</v>
      </c>
      <c r="H15382" s="8">
        <v>5697</v>
      </c>
    </row>
    <row r="15383" spans="2:8" ht="15" customHeight="1" x14ac:dyDescent="0.4">
      <c r="B15383" t="s">
        <v>7</v>
      </c>
      <c r="C15383" t="s">
        <v>2436</v>
      </c>
      <c r="D15383" s="7">
        <f>DATE(2007,12,18)</f>
        <v>39434</v>
      </c>
      <c r="E15383" s="8">
        <f t="shared" si="253"/>
        <v>2007</v>
      </c>
      <c r="F15383" t="s">
        <v>2437</v>
      </c>
      <c r="G15383" s="9">
        <v>900</v>
      </c>
      <c r="H15383" s="8">
        <v>6677</v>
      </c>
    </row>
    <row r="15384" spans="2:8" ht="15" customHeight="1" x14ac:dyDescent="0.4">
      <c r="B15384" t="s">
        <v>7</v>
      </c>
      <c r="C15384" t="s">
        <v>2436</v>
      </c>
      <c r="D15384" s="7">
        <f>DATE(2010,8,5)</f>
        <v>40395</v>
      </c>
      <c r="E15384" s="8">
        <f t="shared" si="253"/>
        <v>2010</v>
      </c>
      <c r="F15384" t="s">
        <v>2437</v>
      </c>
      <c r="G15384" s="9">
        <v>1455</v>
      </c>
      <c r="H15384" s="8">
        <v>9999</v>
      </c>
    </row>
    <row r="15385" spans="2:8" ht="15" customHeight="1" x14ac:dyDescent="0.4">
      <c r="B15385" t="s">
        <v>7</v>
      </c>
      <c r="C15385" t="s">
        <v>2436</v>
      </c>
      <c r="D15385" s="7">
        <f>DATE(2011,9,6)</f>
        <v>40792</v>
      </c>
      <c r="E15385" s="8">
        <f t="shared" si="253"/>
        <v>2011</v>
      </c>
      <c r="F15385" t="s">
        <v>2437</v>
      </c>
      <c r="G15385" s="9">
        <v>725</v>
      </c>
      <c r="H15385" s="8">
        <v>10896</v>
      </c>
    </row>
    <row r="15386" spans="2:8" ht="15" customHeight="1" x14ac:dyDescent="0.4">
      <c r="B15386" t="s">
        <v>7</v>
      </c>
      <c r="C15386" t="s">
        <v>2436</v>
      </c>
      <c r="D15386" s="7">
        <f>DATE(2012,2,1)</f>
        <v>40940</v>
      </c>
      <c r="E15386" s="8">
        <f t="shared" si="253"/>
        <v>2012</v>
      </c>
      <c r="F15386" t="s">
        <v>2437</v>
      </c>
      <c r="G15386" s="9">
        <v>3550</v>
      </c>
      <c r="H15386" s="8">
        <v>11078</v>
      </c>
    </row>
    <row r="15387" spans="2:8" ht="15" customHeight="1" x14ac:dyDescent="0.4">
      <c r="B15387" t="s">
        <v>7</v>
      </c>
      <c r="C15387" t="s">
        <v>2436</v>
      </c>
      <c r="D15387" s="7">
        <f>DATE(2007,12,15)</f>
        <v>39431</v>
      </c>
      <c r="E15387" s="8">
        <f t="shared" si="253"/>
        <v>2007</v>
      </c>
      <c r="F15387" t="s">
        <v>2437</v>
      </c>
      <c r="G15387" s="9">
        <v>8031.31</v>
      </c>
      <c r="H15387" s="8">
        <v>6688</v>
      </c>
    </row>
    <row r="15388" spans="2:8" ht="15" customHeight="1" x14ac:dyDescent="0.4">
      <c r="B15388" t="s">
        <v>7</v>
      </c>
      <c r="C15388" t="s">
        <v>1712</v>
      </c>
      <c r="D15388" s="7">
        <f>DATE(2005,12,20)</f>
        <v>38706</v>
      </c>
      <c r="E15388" s="8">
        <f t="shared" si="253"/>
        <v>2005</v>
      </c>
      <c r="F15388" t="s">
        <v>2438</v>
      </c>
      <c r="G15388" s="9">
        <v>27377.31</v>
      </c>
      <c r="H15388" s="8">
        <v>3836</v>
      </c>
    </row>
    <row r="15389" spans="2:8" ht="15" customHeight="1" x14ac:dyDescent="0.4">
      <c r="B15389" t="s">
        <v>7</v>
      </c>
      <c r="C15389" t="s">
        <v>1712</v>
      </c>
      <c r="D15389" s="7">
        <f>DATE(2005,12,20)</f>
        <v>38706</v>
      </c>
      <c r="E15389" s="8">
        <f t="shared" si="253"/>
        <v>2005</v>
      </c>
      <c r="F15389" t="s">
        <v>2438</v>
      </c>
      <c r="G15389" s="9">
        <v>19636.45</v>
      </c>
      <c r="H15389" s="8">
        <v>4228</v>
      </c>
    </row>
    <row r="15390" spans="2:8" ht="15" customHeight="1" x14ac:dyDescent="0.4">
      <c r="B15390" t="s">
        <v>7</v>
      </c>
      <c r="C15390" t="s">
        <v>1712</v>
      </c>
      <c r="D15390" s="7">
        <f>DATE(2005,12,20)</f>
        <v>38706</v>
      </c>
      <c r="E15390" s="8">
        <f t="shared" si="253"/>
        <v>2005</v>
      </c>
      <c r="F15390" t="s">
        <v>2438</v>
      </c>
      <c r="G15390" s="9">
        <v>4049.05</v>
      </c>
      <c r="H15390" s="8">
        <v>4229</v>
      </c>
    </row>
    <row r="15391" spans="2:8" ht="15" customHeight="1" x14ac:dyDescent="0.4">
      <c r="B15391" t="s">
        <v>7</v>
      </c>
      <c r="C15391" t="s">
        <v>1712</v>
      </c>
      <c r="D15391" s="7">
        <f>DATE(2005,12,20)</f>
        <v>38706</v>
      </c>
      <c r="E15391" s="8">
        <f t="shared" si="253"/>
        <v>2005</v>
      </c>
      <c r="F15391" t="s">
        <v>2438</v>
      </c>
      <c r="G15391" s="9">
        <v>3691.82</v>
      </c>
      <c r="H15391" s="8">
        <v>4230</v>
      </c>
    </row>
    <row r="15392" spans="2:8" ht="15" customHeight="1" x14ac:dyDescent="0.4">
      <c r="B15392" t="s">
        <v>7</v>
      </c>
      <c r="C15392" t="s">
        <v>1712</v>
      </c>
      <c r="D15392" s="7">
        <f>DATE(2006,12,14)</f>
        <v>39065</v>
      </c>
      <c r="E15392" s="8">
        <f t="shared" si="253"/>
        <v>2006</v>
      </c>
      <c r="F15392" t="s">
        <v>2438</v>
      </c>
      <c r="G15392" s="9">
        <v>6429.22</v>
      </c>
      <c r="H15392" s="8">
        <v>5233</v>
      </c>
    </row>
    <row r="15393" spans="2:8" ht="15" customHeight="1" x14ac:dyDescent="0.4">
      <c r="B15393" t="s">
        <v>7</v>
      </c>
      <c r="C15393" t="s">
        <v>1712</v>
      </c>
      <c r="D15393" s="7">
        <f>DATE(2006,12,12)</f>
        <v>39063</v>
      </c>
      <c r="E15393" s="8">
        <f t="shared" si="253"/>
        <v>2006</v>
      </c>
      <c r="F15393" t="s">
        <v>2438</v>
      </c>
      <c r="G15393" s="9">
        <v>4387.6000000000004</v>
      </c>
      <c r="H15393" s="8">
        <v>5402</v>
      </c>
    </row>
    <row r="15394" spans="2:8" ht="15" customHeight="1" x14ac:dyDescent="0.4">
      <c r="B15394" t="s">
        <v>7</v>
      </c>
      <c r="C15394" t="s">
        <v>1712</v>
      </c>
      <c r="D15394" s="7">
        <f>DATE(2006,12,13)</f>
        <v>39064</v>
      </c>
      <c r="E15394" s="8">
        <f t="shared" si="253"/>
        <v>2006</v>
      </c>
      <c r="F15394" t="s">
        <v>2438</v>
      </c>
      <c r="G15394" s="9">
        <v>3835.42</v>
      </c>
      <c r="H15394" s="8">
        <v>5403</v>
      </c>
    </row>
    <row r="15395" spans="2:8" ht="15" customHeight="1" x14ac:dyDescent="0.4">
      <c r="B15395" t="s">
        <v>7</v>
      </c>
      <c r="C15395" t="s">
        <v>1712</v>
      </c>
      <c r="D15395" s="7">
        <f>DATE(2007,1,19)</f>
        <v>39101</v>
      </c>
      <c r="E15395" s="8">
        <f t="shared" si="253"/>
        <v>2007</v>
      </c>
      <c r="F15395" t="s">
        <v>2438</v>
      </c>
      <c r="G15395" s="9">
        <v>3418.5</v>
      </c>
      <c r="H15395" s="8">
        <v>5357</v>
      </c>
    </row>
    <row r="15396" spans="2:8" ht="15" customHeight="1" x14ac:dyDescent="0.4">
      <c r="B15396" t="s">
        <v>7</v>
      </c>
      <c r="C15396" t="s">
        <v>1712</v>
      </c>
      <c r="D15396" s="7">
        <f>DATE(2007,12,23)</f>
        <v>39439</v>
      </c>
      <c r="E15396" s="8">
        <f t="shared" si="253"/>
        <v>2007</v>
      </c>
      <c r="F15396" t="s">
        <v>2438</v>
      </c>
      <c r="G15396" s="9">
        <v>18076.060000000001</v>
      </c>
      <c r="H15396" s="8">
        <v>6702</v>
      </c>
    </row>
    <row r="15397" spans="2:8" ht="15" customHeight="1" x14ac:dyDescent="0.4">
      <c r="B15397" t="s">
        <v>7</v>
      </c>
      <c r="C15397" t="s">
        <v>1712</v>
      </c>
      <c r="D15397" s="7">
        <f>DATE(2007,12,23)</f>
        <v>39439</v>
      </c>
      <c r="E15397" s="8">
        <f t="shared" si="253"/>
        <v>2007</v>
      </c>
      <c r="F15397" t="s">
        <v>2438</v>
      </c>
      <c r="G15397" s="9">
        <v>18076.05</v>
      </c>
      <c r="H15397" s="8">
        <v>6767</v>
      </c>
    </row>
    <row r="15398" spans="2:8" ht="15" customHeight="1" x14ac:dyDescent="0.4">
      <c r="B15398" t="s">
        <v>7</v>
      </c>
      <c r="C15398" t="s">
        <v>1712</v>
      </c>
      <c r="D15398" s="7">
        <f>DATE(2007,12,23)</f>
        <v>39439</v>
      </c>
      <c r="E15398" s="8">
        <f t="shared" si="253"/>
        <v>2007</v>
      </c>
      <c r="F15398" t="s">
        <v>2438</v>
      </c>
      <c r="G15398" s="9">
        <v>9113.2800000000007</v>
      </c>
      <c r="H15398" s="8">
        <v>6769</v>
      </c>
    </row>
    <row r="15399" spans="2:8" ht="15" customHeight="1" x14ac:dyDescent="0.4">
      <c r="B15399" t="s">
        <v>7</v>
      </c>
      <c r="C15399" t="s">
        <v>1712</v>
      </c>
      <c r="D15399" s="7">
        <f>DATE(2007,12,23)</f>
        <v>39439</v>
      </c>
      <c r="E15399" s="8">
        <f t="shared" si="253"/>
        <v>2007</v>
      </c>
      <c r="F15399" t="s">
        <v>2438</v>
      </c>
      <c r="G15399" s="9">
        <v>9114.2800000000007</v>
      </c>
      <c r="H15399" s="8">
        <v>6770</v>
      </c>
    </row>
    <row r="15400" spans="2:8" ht="15" customHeight="1" x14ac:dyDescent="0.4">
      <c r="B15400" t="s">
        <v>7</v>
      </c>
      <c r="C15400" t="s">
        <v>1712</v>
      </c>
      <c r="D15400" s="7">
        <f>DATE(2009,1,17)</f>
        <v>39830</v>
      </c>
      <c r="E15400" s="8">
        <f t="shared" si="253"/>
        <v>2009</v>
      </c>
      <c r="F15400" t="s">
        <v>2438</v>
      </c>
      <c r="G15400" s="9">
        <v>14973</v>
      </c>
      <c r="H15400" s="8">
        <v>8058</v>
      </c>
    </row>
    <row r="15401" spans="2:8" ht="15" customHeight="1" x14ac:dyDescent="0.4">
      <c r="B15401" t="s">
        <v>7</v>
      </c>
      <c r="C15401" t="s">
        <v>1712</v>
      </c>
      <c r="D15401" s="7">
        <f>DATE(2009,1,16)</f>
        <v>39829</v>
      </c>
      <c r="E15401" s="8">
        <f t="shared" si="253"/>
        <v>2009</v>
      </c>
      <c r="F15401" t="s">
        <v>2438</v>
      </c>
      <c r="G15401" s="9">
        <v>15590.16</v>
      </c>
      <c r="H15401" s="8">
        <v>8057</v>
      </c>
    </row>
    <row r="15402" spans="2:8" ht="15" customHeight="1" x14ac:dyDescent="0.4">
      <c r="B15402" t="s">
        <v>7</v>
      </c>
      <c r="C15402" t="s">
        <v>1712</v>
      </c>
      <c r="D15402" s="7">
        <f>DATE(2009,1,21)</f>
        <v>39834</v>
      </c>
      <c r="E15402" s="8">
        <f t="shared" si="253"/>
        <v>2009</v>
      </c>
      <c r="F15402" t="s">
        <v>2438</v>
      </c>
      <c r="G15402" s="9">
        <v>14973</v>
      </c>
      <c r="H15402" s="8">
        <v>7939</v>
      </c>
    </row>
    <row r="15403" spans="2:8" ht="15" customHeight="1" x14ac:dyDescent="0.4">
      <c r="B15403" t="s">
        <v>7</v>
      </c>
      <c r="C15403" t="s">
        <v>1712</v>
      </c>
      <c r="D15403" s="7">
        <f>DATE(2009,1,20)</f>
        <v>39833</v>
      </c>
      <c r="E15403" s="8">
        <f t="shared" si="253"/>
        <v>2009</v>
      </c>
      <c r="F15403" t="s">
        <v>2438</v>
      </c>
      <c r="G15403" s="9">
        <v>6877</v>
      </c>
      <c r="H15403" s="8">
        <v>8059</v>
      </c>
    </row>
    <row r="15404" spans="2:8" ht="15" customHeight="1" x14ac:dyDescent="0.4">
      <c r="B15404" t="s">
        <v>7</v>
      </c>
      <c r="C15404" t="s">
        <v>1712</v>
      </c>
      <c r="D15404" s="7">
        <f>DATE(2009,1,20)</f>
        <v>39833</v>
      </c>
      <c r="E15404" s="8">
        <f t="shared" si="253"/>
        <v>2009</v>
      </c>
      <c r="F15404" t="s">
        <v>2438</v>
      </c>
      <c r="G15404" s="9">
        <v>6877</v>
      </c>
      <c r="H15404" s="8">
        <v>8060</v>
      </c>
    </row>
    <row r="15405" spans="2:8" ht="15" customHeight="1" x14ac:dyDescent="0.4">
      <c r="B15405" t="s">
        <v>7</v>
      </c>
      <c r="C15405" t="s">
        <v>1712</v>
      </c>
      <c r="D15405" s="7">
        <f>DATE(2010,1,27)</f>
        <v>40205</v>
      </c>
      <c r="E15405" s="8">
        <f t="shared" si="253"/>
        <v>2010</v>
      </c>
      <c r="F15405" t="s">
        <v>2438</v>
      </c>
      <c r="G15405" s="9">
        <v>15383.96</v>
      </c>
      <c r="H15405" s="8">
        <v>9294</v>
      </c>
    </row>
    <row r="15406" spans="2:8" ht="15" customHeight="1" x14ac:dyDescent="0.4">
      <c r="B15406" t="s">
        <v>7</v>
      </c>
      <c r="C15406" t="s">
        <v>1712</v>
      </c>
      <c r="D15406" s="7">
        <f>DATE(2010,2,1)</f>
        <v>40210</v>
      </c>
      <c r="E15406" s="8">
        <f t="shared" si="253"/>
        <v>2010</v>
      </c>
      <c r="F15406" t="s">
        <v>2438</v>
      </c>
      <c r="G15406" s="9">
        <v>7732.95</v>
      </c>
      <c r="H15406" s="8">
        <v>9299</v>
      </c>
    </row>
    <row r="15407" spans="2:8" ht="15" customHeight="1" x14ac:dyDescent="0.4">
      <c r="B15407" t="s">
        <v>7</v>
      </c>
      <c r="C15407" t="s">
        <v>1712</v>
      </c>
      <c r="D15407" s="7">
        <f>DATE(2010,2,1)</f>
        <v>40210</v>
      </c>
      <c r="E15407" s="8">
        <f t="shared" si="253"/>
        <v>2010</v>
      </c>
      <c r="F15407" t="s">
        <v>2438</v>
      </c>
      <c r="G15407" s="9">
        <v>7732.95</v>
      </c>
      <c r="H15407" s="8">
        <v>9300</v>
      </c>
    </row>
    <row r="15408" spans="2:8" ht="15" customHeight="1" x14ac:dyDescent="0.4">
      <c r="B15408" t="s">
        <v>7</v>
      </c>
      <c r="C15408" t="s">
        <v>1712</v>
      </c>
      <c r="D15408" s="7">
        <f>DATE(2010,2,1)</f>
        <v>40210</v>
      </c>
      <c r="E15408" s="8">
        <f t="shared" si="253"/>
        <v>2010</v>
      </c>
      <c r="F15408" t="s">
        <v>2438</v>
      </c>
      <c r="G15408" s="9">
        <v>18316.78</v>
      </c>
      <c r="H15408" s="8">
        <v>9009</v>
      </c>
    </row>
    <row r="15409" spans="2:8" ht="15" customHeight="1" x14ac:dyDescent="0.4">
      <c r="B15409" t="s">
        <v>7</v>
      </c>
      <c r="C15409" t="s">
        <v>1712</v>
      </c>
      <c r="D15409" s="7">
        <f>DATE(2010,2,1)</f>
        <v>40210</v>
      </c>
      <c r="E15409" s="8">
        <f t="shared" si="253"/>
        <v>2010</v>
      </c>
      <c r="F15409" t="s">
        <v>2438</v>
      </c>
      <c r="G15409" s="9">
        <v>15843.96</v>
      </c>
      <c r="H15409" s="8">
        <v>9298</v>
      </c>
    </row>
    <row r="15410" spans="2:8" ht="15" customHeight="1" x14ac:dyDescent="0.4">
      <c r="B15410" t="s">
        <v>7</v>
      </c>
      <c r="C15410" t="s">
        <v>1712</v>
      </c>
      <c r="D15410" s="7">
        <f>DATE(2010,1,28)</f>
        <v>40206</v>
      </c>
      <c r="E15410" s="8">
        <f t="shared" si="253"/>
        <v>2010</v>
      </c>
      <c r="F15410" t="s">
        <v>2438</v>
      </c>
      <c r="G15410" s="9">
        <v>7825</v>
      </c>
      <c r="H15410" s="8">
        <v>9301</v>
      </c>
    </row>
    <row r="15411" spans="2:8" ht="15" customHeight="1" x14ac:dyDescent="0.4">
      <c r="B15411" t="s">
        <v>7</v>
      </c>
      <c r="C15411" t="s">
        <v>1712</v>
      </c>
      <c r="D15411" s="7">
        <f>DATE(2010,1,28)</f>
        <v>40206</v>
      </c>
      <c r="E15411" s="8">
        <f t="shared" si="253"/>
        <v>2010</v>
      </c>
      <c r="F15411" t="s">
        <v>2438</v>
      </c>
      <c r="G15411" s="9">
        <v>7825</v>
      </c>
      <c r="H15411" s="8">
        <v>9302</v>
      </c>
    </row>
    <row r="15412" spans="2:8" ht="15" customHeight="1" x14ac:dyDescent="0.4">
      <c r="B15412" t="s">
        <v>7</v>
      </c>
      <c r="C15412" t="s">
        <v>1712</v>
      </c>
      <c r="D15412" s="7">
        <f>DATE(2010,1,28)</f>
        <v>40206</v>
      </c>
      <c r="E15412" s="8">
        <f t="shared" si="253"/>
        <v>2010</v>
      </c>
      <c r="F15412" t="s">
        <v>2438</v>
      </c>
      <c r="G15412" s="9">
        <v>3912</v>
      </c>
      <c r="H15412" s="8">
        <v>9303</v>
      </c>
    </row>
    <row r="15413" spans="2:8" ht="15" customHeight="1" x14ac:dyDescent="0.4">
      <c r="B15413" t="s">
        <v>7</v>
      </c>
      <c r="C15413" t="s">
        <v>1712</v>
      </c>
      <c r="D15413" s="7">
        <f>DATE(2010,1,28)</f>
        <v>40206</v>
      </c>
      <c r="E15413" s="8">
        <f t="shared" si="253"/>
        <v>2010</v>
      </c>
      <c r="F15413" t="s">
        <v>2438</v>
      </c>
      <c r="G15413" s="9">
        <v>3912</v>
      </c>
      <c r="H15413" s="8">
        <v>9304</v>
      </c>
    </row>
    <row r="15414" spans="2:8" ht="15" customHeight="1" x14ac:dyDescent="0.4">
      <c r="B15414" t="s">
        <v>7</v>
      </c>
      <c r="C15414" t="s">
        <v>1712</v>
      </c>
      <c r="D15414" s="7">
        <f>DATE(2010,2,1)</f>
        <v>40210</v>
      </c>
      <c r="E15414" s="8">
        <f t="shared" si="253"/>
        <v>2010</v>
      </c>
      <c r="F15414" t="s">
        <v>2438</v>
      </c>
      <c r="G15414" s="9">
        <v>9663.17</v>
      </c>
      <c r="H15414" s="8">
        <v>9305</v>
      </c>
    </row>
    <row r="15415" spans="2:8" ht="15" customHeight="1" x14ac:dyDescent="0.4">
      <c r="B15415" t="s">
        <v>7</v>
      </c>
      <c r="C15415" t="s">
        <v>1712</v>
      </c>
      <c r="D15415" s="7">
        <f>DATE(2011,2,10)</f>
        <v>40584</v>
      </c>
      <c r="E15415" s="8">
        <f t="shared" si="253"/>
        <v>2011</v>
      </c>
      <c r="F15415" t="s">
        <v>2438</v>
      </c>
      <c r="G15415" s="9">
        <v>14801.5</v>
      </c>
      <c r="H15415" s="8">
        <v>10470</v>
      </c>
    </row>
    <row r="15416" spans="2:8" ht="15" customHeight="1" x14ac:dyDescent="0.4">
      <c r="B15416" t="s">
        <v>7</v>
      </c>
      <c r="C15416" t="s">
        <v>1712</v>
      </c>
      <c r="D15416" s="7">
        <f>DATE(2011,2,10)</f>
        <v>40584</v>
      </c>
      <c r="E15416" s="8">
        <f t="shared" si="253"/>
        <v>2011</v>
      </c>
      <c r="F15416" t="s">
        <v>2438</v>
      </c>
      <c r="G15416" s="9">
        <v>15302</v>
      </c>
      <c r="H15416" s="8">
        <v>10471</v>
      </c>
    </row>
    <row r="15417" spans="2:8" ht="15" customHeight="1" x14ac:dyDescent="0.4">
      <c r="B15417" t="s">
        <v>7</v>
      </c>
      <c r="C15417" t="s">
        <v>1712</v>
      </c>
      <c r="D15417" s="7">
        <f>DATE(2011,2,10)</f>
        <v>40584</v>
      </c>
      <c r="E15417" s="8">
        <f t="shared" si="253"/>
        <v>2011</v>
      </c>
      <c r="F15417" t="s">
        <v>2438</v>
      </c>
      <c r="G15417" s="9">
        <v>7205.5</v>
      </c>
      <c r="H15417" s="8">
        <v>10472</v>
      </c>
    </row>
    <row r="15418" spans="2:8" ht="15" customHeight="1" x14ac:dyDescent="0.4">
      <c r="B15418" t="s">
        <v>7</v>
      </c>
      <c r="C15418" t="s">
        <v>1712</v>
      </c>
      <c r="D15418" s="7">
        <f>DATE(2011,2,10)</f>
        <v>40584</v>
      </c>
      <c r="E15418" s="8">
        <f t="shared" si="253"/>
        <v>2011</v>
      </c>
      <c r="F15418" t="s">
        <v>2438</v>
      </c>
      <c r="G15418" s="9">
        <v>7205.5</v>
      </c>
      <c r="H15418" s="8">
        <v>10473</v>
      </c>
    </row>
    <row r="15419" spans="2:8" ht="15" customHeight="1" x14ac:dyDescent="0.4">
      <c r="B15419" t="s">
        <v>16</v>
      </c>
      <c r="C15419" t="s">
        <v>1712</v>
      </c>
      <c r="D15419" s="7">
        <f>DATE(2005,12,20)</f>
        <v>38706</v>
      </c>
      <c r="E15419" s="8">
        <f t="shared" si="253"/>
        <v>2005</v>
      </c>
      <c r="F15419" t="s">
        <v>2438</v>
      </c>
      <c r="G15419" s="9">
        <v>27377.31</v>
      </c>
      <c r="H15419" s="8">
        <v>4226</v>
      </c>
    </row>
    <row r="15420" spans="2:8" ht="15" customHeight="1" x14ac:dyDescent="0.4">
      <c r="B15420" s="3" t="s">
        <v>7</v>
      </c>
      <c r="C15420" s="3" t="s">
        <v>1712</v>
      </c>
      <c r="D15420" s="4">
        <f>DATE(2003,1,29)</f>
        <v>37650</v>
      </c>
      <c r="E15420" s="5">
        <f t="shared" si="253"/>
        <v>2003</v>
      </c>
      <c r="F15420" s="3" t="s">
        <v>2438</v>
      </c>
      <c r="G15420" s="6">
        <v>2015.65</v>
      </c>
      <c r="H15420" s="5">
        <v>128</v>
      </c>
    </row>
    <row r="15421" spans="2:8" ht="15" customHeight="1" x14ac:dyDescent="0.4">
      <c r="B15421" s="3" t="s">
        <v>7</v>
      </c>
      <c r="C15421" s="3" t="s">
        <v>1712</v>
      </c>
      <c r="D15421" s="4">
        <f>DATE(2003,2,28)</f>
        <v>37680</v>
      </c>
      <c r="E15421" s="5">
        <f t="shared" si="253"/>
        <v>2003</v>
      </c>
      <c r="F15421" s="3" t="s">
        <v>2438</v>
      </c>
      <c r="G15421" s="6">
        <v>784</v>
      </c>
      <c r="H15421" s="5">
        <v>284</v>
      </c>
    </row>
    <row r="15422" spans="2:8" ht="15" customHeight="1" x14ac:dyDescent="0.4">
      <c r="B15422" s="3" t="s">
        <v>7</v>
      </c>
      <c r="C15422" s="3" t="s">
        <v>1712</v>
      </c>
      <c r="D15422" s="4">
        <f>DATE(2003,4,4)</f>
        <v>37715</v>
      </c>
      <c r="E15422" s="5">
        <f t="shared" si="253"/>
        <v>2003</v>
      </c>
      <c r="F15422" s="3" t="s">
        <v>2438</v>
      </c>
      <c r="G15422" s="6">
        <v>1043.54</v>
      </c>
      <c r="H15422" s="5">
        <v>39</v>
      </c>
    </row>
    <row r="15423" spans="2:8" ht="15" customHeight="1" x14ac:dyDescent="0.4">
      <c r="B15423" s="3" t="s">
        <v>7</v>
      </c>
      <c r="C15423" s="3" t="s">
        <v>1712</v>
      </c>
      <c r="D15423" s="4">
        <f>DATE(2003,12,15)</f>
        <v>37970</v>
      </c>
      <c r="E15423" s="5">
        <f t="shared" si="253"/>
        <v>2003</v>
      </c>
      <c r="F15423" s="3" t="s">
        <v>2438</v>
      </c>
      <c r="G15423" s="6">
        <v>5854.48</v>
      </c>
      <c r="H15423" s="5">
        <v>1897</v>
      </c>
    </row>
    <row r="15424" spans="2:8" ht="15" customHeight="1" x14ac:dyDescent="0.4">
      <c r="B15424" s="3" t="s">
        <v>7</v>
      </c>
      <c r="C15424" s="3" t="s">
        <v>1712</v>
      </c>
      <c r="D15424" s="4">
        <f>DATE(2005,12,16)</f>
        <v>38702</v>
      </c>
      <c r="E15424" s="5">
        <f t="shared" si="253"/>
        <v>2005</v>
      </c>
      <c r="F15424" s="3" t="s">
        <v>2438</v>
      </c>
      <c r="G15424" s="6">
        <v>352.63</v>
      </c>
      <c r="H15424" s="5">
        <v>5738</v>
      </c>
    </row>
    <row r="15425" spans="2:8" ht="15" customHeight="1" x14ac:dyDescent="0.4">
      <c r="B15425" s="3" t="s">
        <v>7</v>
      </c>
      <c r="C15425" s="3" t="s">
        <v>1712</v>
      </c>
      <c r="D15425" s="4">
        <f>DATE(2005,12,20)</f>
        <v>38706</v>
      </c>
      <c r="E15425" s="5">
        <f t="shared" si="253"/>
        <v>2005</v>
      </c>
      <c r="F15425" s="3" t="s">
        <v>2438</v>
      </c>
      <c r="G15425" s="6">
        <v>453.68</v>
      </c>
      <c r="H15425" s="5">
        <v>5750</v>
      </c>
    </row>
    <row r="15426" spans="2:8" ht="15" customHeight="1" x14ac:dyDescent="0.4">
      <c r="B15426" s="3" t="s">
        <v>7</v>
      </c>
      <c r="C15426" s="3" t="s">
        <v>1712</v>
      </c>
      <c r="D15426" s="4">
        <f>DATE(2006,1,30)</f>
        <v>38747</v>
      </c>
      <c r="E15426" s="5">
        <f t="shared" si="253"/>
        <v>2006</v>
      </c>
      <c r="F15426" s="3" t="s">
        <v>2438</v>
      </c>
      <c r="G15426" s="6">
        <v>113.28</v>
      </c>
      <c r="H15426" s="5">
        <v>5936</v>
      </c>
    </row>
    <row r="15427" spans="2:8" ht="15" customHeight="1" x14ac:dyDescent="0.4">
      <c r="B15427" s="3" t="s">
        <v>7</v>
      </c>
      <c r="C15427" s="3" t="s">
        <v>1712</v>
      </c>
      <c r="D15427" s="4">
        <f>DATE(2006,12,20)</f>
        <v>39071</v>
      </c>
      <c r="E15427" s="5">
        <f t="shared" ref="E15427:E15490" si="254">YEAR(D15427)</f>
        <v>2006</v>
      </c>
      <c r="F15427" s="3" t="s">
        <v>2438</v>
      </c>
      <c r="G15427" s="6">
        <v>944.47</v>
      </c>
      <c r="H15427" s="5">
        <v>7674</v>
      </c>
    </row>
    <row r="15428" spans="2:8" ht="15" customHeight="1" x14ac:dyDescent="0.4">
      <c r="B15428" s="3" t="s">
        <v>7</v>
      </c>
      <c r="C15428" s="3" t="s">
        <v>1712</v>
      </c>
      <c r="D15428" s="4">
        <f>DATE(2010,1,29)</f>
        <v>40207</v>
      </c>
      <c r="E15428" s="5">
        <f t="shared" si="254"/>
        <v>2010</v>
      </c>
      <c r="F15428" s="3" t="s">
        <v>2438</v>
      </c>
      <c r="G15428" s="6">
        <v>1854.32</v>
      </c>
      <c r="H15428" s="5">
        <v>13504</v>
      </c>
    </row>
    <row r="15429" spans="2:8" ht="15" customHeight="1" x14ac:dyDescent="0.4">
      <c r="B15429" s="3" t="s">
        <v>7</v>
      </c>
      <c r="C15429" s="3" t="s">
        <v>1712</v>
      </c>
      <c r="D15429" s="4">
        <f>DATE(2010,1,29)</f>
        <v>40207</v>
      </c>
      <c r="E15429" s="5">
        <f t="shared" si="254"/>
        <v>2010</v>
      </c>
      <c r="F15429" s="3" t="s">
        <v>2438</v>
      </c>
      <c r="G15429" s="6">
        <v>1682.22</v>
      </c>
      <c r="H15429" s="5">
        <v>13465</v>
      </c>
    </row>
    <row r="15430" spans="2:8" ht="15" customHeight="1" x14ac:dyDescent="0.4">
      <c r="B15430" s="3" t="s">
        <v>7</v>
      </c>
      <c r="C15430" s="3" t="s">
        <v>1712</v>
      </c>
      <c r="D15430" s="4">
        <f>DATE(2011,5,17)</f>
        <v>40680</v>
      </c>
      <c r="E15430" s="5">
        <f t="shared" si="254"/>
        <v>2011</v>
      </c>
      <c r="F15430" s="3" t="s">
        <v>2438</v>
      </c>
      <c r="G15430" s="6">
        <v>2098.91</v>
      </c>
      <c r="H15430" s="5">
        <v>15563</v>
      </c>
    </row>
    <row r="15431" spans="2:8" ht="15" customHeight="1" x14ac:dyDescent="0.4">
      <c r="B15431" s="3" t="s">
        <v>7</v>
      </c>
      <c r="C15431" s="3" t="s">
        <v>1712</v>
      </c>
      <c r="D15431" s="4">
        <f>DATE(2011,5,17)</f>
        <v>40680</v>
      </c>
      <c r="E15431" s="5">
        <f t="shared" si="254"/>
        <v>2011</v>
      </c>
      <c r="F15431" s="3" t="s">
        <v>2438</v>
      </c>
      <c r="G15431" s="6">
        <v>660.73</v>
      </c>
      <c r="H15431" s="5">
        <v>15563</v>
      </c>
    </row>
    <row r="15432" spans="2:8" ht="15" customHeight="1" x14ac:dyDescent="0.4">
      <c r="B15432" s="3" t="s">
        <v>7</v>
      </c>
      <c r="C15432" s="3" t="s">
        <v>1712</v>
      </c>
      <c r="D15432" s="4">
        <f>DATE(2011,12,2)</f>
        <v>40879</v>
      </c>
      <c r="E15432" s="5">
        <f t="shared" si="254"/>
        <v>2011</v>
      </c>
      <c r="F15432" s="3" t="s">
        <v>2438</v>
      </c>
      <c r="G15432" s="6">
        <v>16694.64</v>
      </c>
      <c r="H15432" s="5">
        <v>15979</v>
      </c>
    </row>
    <row r="15433" spans="2:8" ht="15" customHeight="1" x14ac:dyDescent="0.4">
      <c r="B15433" s="3" t="s">
        <v>7</v>
      </c>
      <c r="C15433" s="3" t="s">
        <v>1712</v>
      </c>
      <c r="D15433" s="4">
        <f>DATE(2011,12,19)</f>
        <v>40896</v>
      </c>
      <c r="E15433" s="5">
        <f t="shared" si="254"/>
        <v>2011</v>
      </c>
      <c r="F15433" s="3" t="s">
        <v>2438</v>
      </c>
      <c r="G15433" s="6">
        <v>410.45</v>
      </c>
      <c r="H15433" s="5">
        <v>16318</v>
      </c>
    </row>
    <row r="15434" spans="2:8" ht="15" customHeight="1" x14ac:dyDescent="0.4">
      <c r="B15434" t="s">
        <v>7</v>
      </c>
      <c r="C15434" t="s">
        <v>2439</v>
      </c>
      <c r="D15434" s="7">
        <f>DATE(2016,7,21)</f>
        <v>42572</v>
      </c>
      <c r="E15434" s="8">
        <f t="shared" si="254"/>
        <v>2016</v>
      </c>
      <c r="F15434" t="s">
        <v>2440</v>
      </c>
      <c r="G15434" s="9">
        <v>7375.21</v>
      </c>
      <c r="H15434" s="8">
        <v>23129</v>
      </c>
    </row>
    <row r="15435" spans="2:8" ht="15" customHeight="1" x14ac:dyDescent="0.4">
      <c r="B15435" t="s">
        <v>7</v>
      </c>
      <c r="C15435" t="s">
        <v>2439</v>
      </c>
      <c r="D15435" s="7">
        <f>DATE(2011,5,12)</f>
        <v>40675</v>
      </c>
      <c r="E15435" s="8">
        <f t="shared" si="254"/>
        <v>2011</v>
      </c>
      <c r="F15435" t="s">
        <v>2440</v>
      </c>
      <c r="G15435" s="9">
        <v>9808.9</v>
      </c>
      <c r="H15435" s="8">
        <v>10742</v>
      </c>
    </row>
    <row r="15436" spans="2:8" ht="15" customHeight="1" x14ac:dyDescent="0.4">
      <c r="B15436" t="s">
        <v>7</v>
      </c>
      <c r="C15436" t="s">
        <v>2439</v>
      </c>
      <c r="D15436" s="7">
        <f>DATE(2011,7,28)</f>
        <v>40752</v>
      </c>
      <c r="E15436" s="8">
        <f t="shared" si="254"/>
        <v>2011</v>
      </c>
      <c r="F15436" t="s">
        <v>2440</v>
      </c>
      <c r="G15436" s="9">
        <v>11347.11</v>
      </c>
      <c r="H15436" s="8">
        <v>10923</v>
      </c>
    </row>
    <row r="15437" spans="2:8" ht="15" customHeight="1" x14ac:dyDescent="0.4">
      <c r="B15437" t="s">
        <v>7</v>
      </c>
      <c r="C15437" t="s">
        <v>2439</v>
      </c>
      <c r="D15437" s="7">
        <f>DATE(2011,12,7)</f>
        <v>40884</v>
      </c>
      <c r="E15437" s="8">
        <f t="shared" si="254"/>
        <v>2011</v>
      </c>
      <c r="F15437" t="s">
        <v>2440</v>
      </c>
      <c r="G15437" s="9">
        <v>7136.68</v>
      </c>
      <c r="H15437" s="8">
        <v>11160</v>
      </c>
    </row>
    <row r="15438" spans="2:8" ht="15" customHeight="1" x14ac:dyDescent="0.4">
      <c r="B15438" t="s">
        <v>7</v>
      </c>
      <c r="C15438" t="s">
        <v>2439</v>
      </c>
      <c r="D15438" s="7">
        <f>DATE(2013,3,1)</f>
        <v>41334</v>
      </c>
      <c r="E15438" s="8">
        <f t="shared" si="254"/>
        <v>2013</v>
      </c>
      <c r="F15438" t="s">
        <v>2440</v>
      </c>
      <c r="G15438" s="9">
        <v>4990.3100000000004</v>
      </c>
      <c r="H15438" s="8">
        <v>12178</v>
      </c>
    </row>
    <row r="15439" spans="2:8" ht="15" customHeight="1" x14ac:dyDescent="0.4">
      <c r="B15439" t="s">
        <v>7</v>
      </c>
      <c r="C15439" t="s">
        <v>2439</v>
      </c>
      <c r="D15439" s="7">
        <f>DATE(2014,2,14)</f>
        <v>41684</v>
      </c>
      <c r="E15439" s="8">
        <f t="shared" si="254"/>
        <v>2014</v>
      </c>
      <c r="F15439" t="s">
        <v>2440</v>
      </c>
      <c r="G15439" s="9">
        <v>7338.47</v>
      </c>
      <c r="H15439" s="8">
        <v>12935</v>
      </c>
    </row>
    <row r="15440" spans="2:8" ht="15" customHeight="1" x14ac:dyDescent="0.4">
      <c r="B15440" s="3" t="s">
        <v>7</v>
      </c>
      <c r="C15440" s="3" t="s">
        <v>2441</v>
      </c>
      <c r="D15440" s="4">
        <f>DATE(2013,3,8)</f>
        <v>41341</v>
      </c>
      <c r="E15440" s="5">
        <f t="shared" si="254"/>
        <v>2013</v>
      </c>
      <c r="F15440" s="3" t="s">
        <v>2442</v>
      </c>
      <c r="G15440" s="6">
        <v>21476.639999999999</v>
      </c>
      <c r="H15440" s="5">
        <v>5329</v>
      </c>
    </row>
    <row r="15441" spans="2:8" ht="15" customHeight="1" x14ac:dyDescent="0.4">
      <c r="B15441" s="3" t="s">
        <v>7</v>
      </c>
      <c r="C15441" s="3" t="s">
        <v>2441</v>
      </c>
      <c r="D15441" s="4">
        <f>DATE(2014,2,10)</f>
        <v>41680</v>
      </c>
      <c r="E15441" s="5">
        <f t="shared" si="254"/>
        <v>2014</v>
      </c>
      <c r="F15441" s="3" t="s">
        <v>2442</v>
      </c>
      <c r="G15441" s="6">
        <v>12930</v>
      </c>
      <c r="H15441" s="5">
        <v>5936</v>
      </c>
    </row>
    <row r="15442" spans="2:8" ht="15" customHeight="1" x14ac:dyDescent="0.4">
      <c r="B15442" s="3" t="s">
        <v>7</v>
      </c>
      <c r="C15442" s="3" t="s">
        <v>2441</v>
      </c>
      <c r="D15442" s="4">
        <f>DATE(2012,11,5)</f>
        <v>41218</v>
      </c>
      <c r="E15442" s="5">
        <f t="shared" si="254"/>
        <v>2012</v>
      </c>
      <c r="F15442" s="3" t="s">
        <v>2442</v>
      </c>
      <c r="G15442" s="6">
        <v>12930</v>
      </c>
      <c r="H15442" s="5">
        <v>5235</v>
      </c>
    </row>
    <row r="15443" spans="2:8" ht="15" customHeight="1" x14ac:dyDescent="0.4">
      <c r="B15443" t="s">
        <v>7</v>
      </c>
      <c r="C15443" t="s">
        <v>2443</v>
      </c>
      <c r="D15443" s="7">
        <f>DATE(2005,9,6)</f>
        <v>38601</v>
      </c>
      <c r="E15443" s="8">
        <f t="shared" si="254"/>
        <v>2005</v>
      </c>
      <c r="F15443" t="s">
        <v>2444</v>
      </c>
      <c r="G15443" s="9">
        <v>12659.38</v>
      </c>
      <c r="H15443" s="8">
        <v>3559</v>
      </c>
    </row>
    <row r="15444" spans="2:8" ht="15" customHeight="1" x14ac:dyDescent="0.4">
      <c r="B15444" s="3" t="s">
        <v>7</v>
      </c>
      <c r="C15444" s="3" t="s">
        <v>2443</v>
      </c>
      <c r="D15444" s="4">
        <f>DATE(2003,11,26)</f>
        <v>37951</v>
      </c>
      <c r="E15444" s="5">
        <f t="shared" si="254"/>
        <v>2003</v>
      </c>
      <c r="F15444" s="3" t="s">
        <v>2444</v>
      </c>
      <c r="G15444" s="6">
        <v>6800</v>
      </c>
      <c r="H15444" s="5">
        <v>1795</v>
      </c>
    </row>
    <row r="15445" spans="2:8" ht="15" customHeight="1" x14ac:dyDescent="0.4">
      <c r="B15445" s="3" t="s">
        <v>7</v>
      </c>
      <c r="C15445" s="3" t="s">
        <v>2443</v>
      </c>
      <c r="D15445" s="4">
        <f>DATE(2005,2,7)</f>
        <v>38390</v>
      </c>
      <c r="E15445" s="5">
        <f t="shared" si="254"/>
        <v>2005</v>
      </c>
      <c r="F15445" s="3" t="s">
        <v>2444</v>
      </c>
      <c r="G15445" s="6">
        <v>4450</v>
      </c>
      <c r="H15445" s="5">
        <v>4060</v>
      </c>
    </row>
    <row r="15446" spans="2:8" ht="15" customHeight="1" x14ac:dyDescent="0.4">
      <c r="B15446" s="3" t="s">
        <v>7</v>
      </c>
      <c r="C15446" s="3" t="s">
        <v>2443</v>
      </c>
      <c r="D15446" s="4">
        <f>DATE(2005,3,11)</f>
        <v>38422</v>
      </c>
      <c r="E15446" s="5">
        <f t="shared" si="254"/>
        <v>2005</v>
      </c>
      <c r="F15446" s="3" t="s">
        <v>2444</v>
      </c>
      <c r="G15446" s="6">
        <v>380</v>
      </c>
      <c r="H15446" s="5">
        <v>4325</v>
      </c>
    </row>
    <row r="15447" spans="2:8" ht="15" customHeight="1" x14ac:dyDescent="0.4">
      <c r="B15447" s="3" t="s">
        <v>7</v>
      </c>
      <c r="C15447" s="3" t="s">
        <v>2443</v>
      </c>
      <c r="D15447" s="4">
        <f>DATE(2005,9,2)</f>
        <v>38597</v>
      </c>
      <c r="E15447" s="5">
        <f t="shared" si="254"/>
        <v>2005</v>
      </c>
      <c r="F15447" s="3" t="s">
        <v>2444</v>
      </c>
      <c r="G15447" s="6">
        <v>11449.37</v>
      </c>
      <c r="H15447" s="5">
        <v>5217</v>
      </c>
    </row>
    <row r="15448" spans="2:8" ht="15" customHeight="1" x14ac:dyDescent="0.4">
      <c r="B15448" s="3" t="s">
        <v>7</v>
      </c>
      <c r="C15448" s="3" t="s">
        <v>2443</v>
      </c>
      <c r="D15448" s="4">
        <f>DATE(2005,10,24)</f>
        <v>38649</v>
      </c>
      <c r="E15448" s="5">
        <f t="shared" si="254"/>
        <v>2005</v>
      </c>
      <c r="F15448" s="3" t="s">
        <v>2444</v>
      </c>
      <c r="G15448" s="6">
        <v>11125</v>
      </c>
      <c r="H15448" s="5">
        <v>5426</v>
      </c>
    </row>
    <row r="15449" spans="2:8" ht="15" customHeight="1" x14ac:dyDescent="0.4">
      <c r="B15449" t="s">
        <v>7</v>
      </c>
      <c r="C15449" t="s">
        <v>2443</v>
      </c>
      <c r="D15449" s="7">
        <f>DATE(2015,6,10)</f>
        <v>42165</v>
      </c>
      <c r="E15449" s="8">
        <f t="shared" si="254"/>
        <v>2015</v>
      </c>
      <c r="F15449" t="s">
        <v>2445</v>
      </c>
      <c r="G15449" s="9">
        <v>26453.86</v>
      </c>
      <c r="H15449" s="8">
        <v>20622</v>
      </c>
    </row>
    <row r="15450" spans="2:8" ht="15" customHeight="1" x14ac:dyDescent="0.4">
      <c r="B15450" t="s">
        <v>7</v>
      </c>
      <c r="C15450" t="s">
        <v>2443</v>
      </c>
      <c r="D15450" s="7">
        <f>DATE(2015,11,23)</f>
        <v>42331</v>
      </c>
      <c r="E15450" s="8">
        <f t="shared" si="254"/>
        <v>2015</v>
      </c>
      <c r="F15450" t="s">
        <v>2445</v>
      </c>
      <c r="G15450" s="9">
        <v>21229.32</v>
      </c>
      <c r="H15450" s="8">
        <v>21448</v>
      </c>
    </row>
    <row r="15451" spans="2:8" ht="15" customHeight="1" x14ac:dyDescent="0.4">
      <c r="B15451" t="s">
        <v>7</v>
      </c>
      <c r="C15451" t="s">
        <v>2443</v>
      </c>
      <c r="D15451" s="7">
        <f>DATE(2015,10,28)</f>
        <v>42305</v>
      </c>
      <c r="E15451" s="8">
        <f t="shared" si="254"/>
        <v>2015</v>
      </c>
      <c r="F15451" t="s">
        <v>2445</v>
      </c>
      <c r="G15451" s="9">
        <v>4450</v>
      </c>
      <c r="H15451" s="8">
        <v>21447</v>
      </c>
    </row>
    <row r="15452" spans="2:8" ht="15" customHeight="1" x14ac:dyDescent="0.4">
      <c r="B15452" t="s">
        <v>7</v>
      </c>
      <c r="C15452" t="s">
        <v>2443</v>
      </c>
      <c r="D15452" s="7">
        <f>DATE(2017,4,3)</f>
        <v>42828</v>
      </c>
      <c r="E15452" s="8">
        <f t="shared" si="254"/>
        <v>2017</v>
      </c>
      <c r="F15452" t="s">
        <v>2445</v>
      </c>
      <c r="G15452" s="9">
        <v>11125</v>
      </c>
      <c r="H15452" s="8">
        <v>24409</v>
      </c>
    </row>
    <row r="15453" spans="2:8" ht="15" customHeight="1" x14ac:dyDescent="0.4">
      <c r="B15453" t="s">
        <v>7</v>
      </c>
      <c r="C15453" t="s">
        <v>2443</v>
      </c>
      <c r="D15453" s="7">
        <f>DATE(2017,4,3)</f>
        <v>42828</v>
      </c>
      <c r="E15453" s="8">
        <f t="shared" si="254"/>
        <v>2017</v>
      </c>
      <c r="F15453" t="s">
        <v>2445</v>
      </c>
      <c r="G15453" s="9">
        <v>890</v>
      </c>
      <c r="H15453" s="8">
        <v>24412</v>
      </c>
    </row>
    <row r="15454" spans="2:8" ht="15" customHeight="1" x14ac:dyDescent="0.4">
      <c r="B15454" t="s">
        <v>7</v>
      </c>
      <c r="C15454" t="s">
        <v>2443</v>
      </c>
      <c r="D15454" s="7">
        <f>DATE(2018,8,28)</f>
        <v>43340</v>
      </c>
      <c r="E15454" s="8">
        <f t="shared" si="254"/>
        <v>2018</v>
      </c>
      <c r="F15454" t="s">
        <v>2445</v>
      </c>
      <c r="G15454" s="9">
        <v>102</v>
      </c>
      <c r="H15454" s="8">
        <v>27549</v>
      </c>
    </row>
    <row r="15455" spans="2:8" ht="15" customHeight="1" x14ac:dyDescent="0.4">
      <c r="B15455" t="s">
        <v>7</v>
      </c>
      <c r="C15455" t="s">
        <v>2443</v>
      </c>
      <c r="D15455" s="7">
        <f>DATE(2018,8,28)</f>
        <v>43340</v>
      </c>
      <c r="E15455" s="8">
        <f t="shared" si="254"/>
        <v>2018</v>
      </c>
      <c r="F15455" t="s">
        <v>2445</v>
      </c>
      <c r="G15455" s="9">
        <v>12015</v>
      </c>
      <c r="H15455" s="8">
        <v>27552</v>
      </c>
    </row>
    <row r="15456" spans="2:8" ht="15" customHeight="1" x14ac:dyDescent="0.4">
      <c r="B15456" t="s">
        <v>7</v>
      </c>
      <c r="C15456" t="s">
        <v>2443</v>
      </c>
      <c r="D15456" s="7">
        <f>DATE(2008,6,19)</f>
        <v>39618</v>
      </c>
      <c r="E15456" s="8">
        <f t="shared" si="254"/>
        <v>2008</v>
      </c>
      <c r="F15456" t="s">
        <v>2445</v>
      </c>
      <c r="G15456" s="9">
        <v>37439</v>
      </c>
      <c r="H15456" s="8">
        <v>7446</v>
      </c>
    </row>
    <row r="15457" spans="2:8" ht="15" customHeight="1" x14ac:dyDescent="0.4">
      <c r="B15457" s="3" t="s">
        <v>7</v>
      </c>
      <c r="C15457" s="3" t="s">
        <v>2443</v>
      </c>
      <c r="D15457" s="4">
        <f>DATE(2006,5,2)</f>
        <v>38839</v>
      </c>
      <c r="E15457" s="5">
        <f t="shared" si="254"/>
        <v>2006</v>
      </c>
      <c r="F15457" s="3" t="s">
        <v>2445</v>
      </c>
      <c r="G15457" s="6">
        <v>8900</v>
      </c>
      <c r="H15457" s="5">
        <v>6627</v>
      </c>
    </row>
    <row r="15458" spans="2:8" ht="15" customHeight="1" x14ac:dyDescent="0.4">
      <c r="B15458" s="3" t="s">
        <v>7</v>
      </c>
      <c r="C15458" s="3" t="s">
        <v>2443</v>
      </c>
      <c r="D15458" s="4">
        <f>DATE(2006,12,28)</f>
        <v>39079</v>
      </c>
      <c r="E15458" s="5">
        <f t="shared" si="254"/>
        <v>2006</v>
      </c>
      <c r="F15458" s="3" t="s">
        <v>2445</v>
      </c>
      <c r="G15458" s="6">
        <v>950</v>
      </c>
      <c r="H15458" s="5">
        <v>7680</v>
      </c>
    </row>
    <row r="15459" spans="2:8" ht="15" customHeight="1" x14ac:dyDescent="0.4">
      <c r="B15459" s="3" t="s">
        <v>7</v>
      </c>
      <c r="C15459" s="3" t="s">
        <v>2443</v>
      </c>
      <c r="D15459" s="4">
        <f>DATE(2007,11,27)</f>
        <v>39413</v>
      </c>
      <c r="E15459" s="5">
        <f t="shared" si="254"/>
        <v>2007</v>
      </c>
      <c r="F15459" s="3" t="s">
        <v>2445</v>
      </c>
      <c r="G15459" s="6">
        <v>8956.1200000000008</v>
      </c>
      <c r="H15459" s="5">
        <v>9518</v>
      </c>
    </row>
    <row r="15460" spans="2:8" ht="15" customHeight="1" x14ac:dyDescent="0.4">
      <c r="B15460" s="3" t="s">
        <v>7</v>
      </c>
      <c r="C15460" s="3" t="s">
        <v>2443</v>
      </c>
      <c r="D15460" s="4">
        <f>DATE(2007,12,13)</f>
        <v>39429</v>
      </c>
      <c r="E15460" s="5">
        <f t="shared" si="254"/>
        <v>2007</v>
      </c>
      <c r="F15460" s="3" t="s">
        <v>2445</v>
      </c>
      <c r="G15460" s="6">
        <v>211</v>
      </c>
      <c r="H15460" s="5">
        <v>9593</v>
      </c>
    </row>
    <row r="15461" spans="2:8" ht="15" customHeight="1" x14ac:dyDescent="0.4">
      <c r="B15461" s="3" t="s">
        <v>7</v>
      </c>
      <c r="C15461" s="3" t="s">
        <v>2443</v>
      </c>
      <c r="D15461" s="4">
        <f>DATE(2007,12,19)</f>
        <v>39435</v>
      </c>
      <c r="E15461" s="5">
        <f t="shared" si="254"/>
        <v>2007</v>
      </c>
      <c r="F15461" s="3" t="s">
        <v>2445</v>
      </c>
      <c r="G15461" s="6">
        <v>69</v>
      </c>
      <c r="H15461" s="5">
        <v>9616</v>
      </c>
    </row>
    <row r="15462" spans="2:8" ht="15" customHeight="1" x14ac:dyDescent="0.4">
      <c r="B15462" s="3" t="s">
        <v>7</v>
      </c>
      <c r="C15462" s="3" t="s">
        <v>2443</v>
      </c>
      <c r="D15462" s="4">
        <f>DATE(2008,1,24)</f>
        <v>39471</v>
      </c>
      <c r="E15462" s="5">
        <f t="shared" si="254"/>
        <v>2008</v>
      </c>
      <c r="F15462" s="3" t="s">
        <v>2445</v>
      </c>
      <c r="G15462" s="6">
        <v>950</v>
      </c>
      <c r="H15462" s="5">
        <v>9791</v>
      </c>
    </row>
    <row r="15463" spans="2:8" ht="15" customHeight="1" x14ac:dyDescent="0.4">
      <c r="B15463" s="3" t="s">
        <v>7</v>
      </c>
      <c r="C15463" s="3" t="s">
        <v>2443</v>
      </c>
      <c r="D15463" s="4">
        <f>DATE(2008,5,16)</f>
        <v>39584</v>
      </c>
      <c r="E15463" s="5">
        <f t="shared" si="254"/>
        <v>2008</v>
      </c>
      <c r="F15463" s="3" t="s">
        <v>2445</v>
      </c>
      <c r="G15463" s="6">
        <v>6360.09</v>
      </c>
      <c r="H15463" s="5">
        <v>10244</v>
      </c>
    </row>
    <row r="15464" spans="2:8" ht="15" customHeight="1" x14ac:dyDescent="0.4">
      <c r="B15464" s="3" t="s">
        <v>7</v>
      </c>
      <c r="C15464" s="3" t="s">
        <v>2443</v>
      </c>
      <c r="D15464" s="4">
        <f>DATE(2008,8,4)</f>
        <v>39664</v>
      </c>
      <c r="E15464" s="5">
        <f t="shared" si="254"/>
        <v>2008</v>
      </c>
      <c r="F15464" s="3" t="s">
        <v>2445</v>
      </c>
      <c r="G15464" s="6">
        <v>950</v>
      </c>
      <c r="H15464" s="5">
        <v>11057</v>
      </c>
    </row>
    <row r="15465" spans="2:8" ht="15" customHeight="1" x14ac:dyDescent="0.4">
      <c r="B15465" s="3" t="s">
        <v>7</v>
      </c>
      <c r="C15465" s="3" t="s">
        <v>2443</v>
      </c>
      <c r="D15465" s="4">
        <f>DATE(2008,12,12)</f>
        <v>39794</v>
      </c>
      <c r="E15465" s="5">
        <f t="shared" si="254"/>
        <v>2008</v>
      </c>
      <c r="F15465" s="3" t="s">
        <v>2445</v>
      </c>
      <c r="G15465" s="6">
        <v>8900</v>
      </c>
      <c r="H15465" s="5">
        <v>11683</v>
      </c>
    </row>
    <row r="15466" spans="2:8" ht="15" customHeight="1" x14ac:dyDescent="0.4">
      <c r="B15466" s="3" t="s">
        <v>7</v>
      </c>
      <c r="C15466" s="3" t="s">
        <v>2443</v>
      </c>
      <c r="D15466" s="4">
        <f>DATE(2009,6,26)</f>
        <v>39990</v>
      </c>
      <c r="E15466" s="5">
        <f t="shared" si="254"/>
        <v>2009</v>
      </c>
      <c r="F15466" s="3" t="s">
        <v>2445</v>
      </c>
      <c r="G15466" s="6">
        <v>950</v>
      </c>
      <c r="H15466" s="5">
        <v>12735</v>
      </c>
    </row>
    <row r="15467" spans="2:8" ht="15" customHeight="1" x14ac:dyDescent="0.4">
      <c r="B15467" s="3" t="s">
        <v>7</v>
      </c>
      <c r="C15467" s="3" t="s">
        <v>2443</v>
      </c>
      <c r="D15467" s="4">
        <f>DATE(2010,4,30)</f>
        <v>40298</v>
      </c>
      <c r="E15467" s="5">
        <f t="shared" si="254"/>
        <v>2010</v>
      </c>
      <c r="F15467" s="3" t="s">
        <v>2445</v>
      </c>
      <c r="G15467" s="6">
        <v>8900</v>
      </c>
      <c r="H15467" s="5">
        <v>13880</v>
      </c>
    </row>
    <row r="15468" spans="2:8" ht="15" customHeight="1" x14ac:dyDescent="0.4">
      <c r="B15468" s="3" t="s">
        <v>7</v>
      </c>
      <c r="C15468" s="3" t="s">
        <v>2443</v>
      </c>
      <c r="D15468" s="4">
        <f>DATE(2011,3,18)</f>
        <v>40620</v>
      </c>
      <c r="E15468" s="5">
        <f t="shared" si="254"/>
        <v>2011</v>
      </c>
      <c r="F15468" s="3" t="s">
        <v>2445</v>
      </c>
      <c r="G15468" s="6">
        <v>950</v>
      </c>
      <c r="H15468" s="5">
        <v>15260</v>
      </c>
    </row>
    <row r="15469" spans="2:8" ht="15" customHeight="1" x14ac:dyDescent="0.4">
      <c r="B15469" s="3" t="s">
        <v>7</v>
      </c>
      <c r="C15469" s="3" t="s">
        <v>2443</v>
      </c>
      <c r="D15469" s="4">
        <f>DATE(2011,3,31)</f>
        <v>40633</v>
      </c>
      <c r="E15469" s="5">
        <f t="shared" si="254"/>
        <v>2011</v>
      </c>
      <c r="F15469" s="3" t="s">
        <v>2445</v>
      </c>
      <c r="G15469" s="6">
        <v>8900</v>
      </c>
      <c r="H15469" s="5">
        <v>15259</v>
      </c>
    </row>
    <row r="15470" spans="2:8" ht="15" customHeight="1" x14ac:dyDescent="0.4">
      <c r="B15470" s="3" t="s">
        <v>7</v>
      </c>
      <c r="C15470" s="3" t="s">
        <v>2443</v>
      </c>
      <c r="D15470" s="4">
        <f>DATE(2013,3,6)</f>
        <v>41339</v>
      </c>
      <c r="E15470" s="5">
        <f t="shared" si="254"/>
        <v>2013</v>
      </c>
      <c r="F15470" s="3" t="s">
        <v>2445</v>
      </c>
      <c r="G15470" s="6">
        <v>1150</v>
      </c>
      <c r="H15470" s="5">
        <v>18251</v>
      </c>
    </row>
    <row r="15471" spans="2:8" ht="15" customHeight="1" x14ac:dyDescent="0.4">
      <c r="B15471" s="3" t="s">
        <v>7</v>
      </c>
      <c r="C15471" s="3" t="s">
        <v>2443</v>
      </c>
      <c r="D15471" s="4">
        <f>DATE(2013,4,29)</f>
        <v>41393</v>
      </c>
      <c r="E15471" s="5">
        <f t="shared" si="254"/>
        <v>2013</v>
      </c>
      <c r="F15471" s="3" t="s">
        <v>2445</v>
      </c>
      <c r="G15471" s="6">
        <v>8900</v>
      </c>
      <c r="H15471" s="5">
        <v>18400</v>
      </c>
    </row>
    <row r="15472" spans="2:8" ht="15" customHeight="1" x14ac:dyDescent="0.4">
      <c r="B15472" s="3" t="s">
        <v>7</v>
      </c>
      <c r="C15472" s="3" t="s">
        <v>2443</v>
      </c>
      <c r="D15472" s="4">
        <f>DATE(2014,4,24)</f>
        <v>41753</v>
      </c>
      <c r="E15472" s="5">
        <f t="shared" si="254"/>
        <v>2014</v>
      </c>
      <c r="F15472" s="3" t="s">
        <v>2445</v>
      </c>
      <c r="G15472" s="6">
        <v>8900</v>
      </c>
      <c r="H15472" s="5">
        <v>19850</v>
      </c>
    </row>
    <row r="15473" spans="2:8" ht="15" customHeight="1" x14ac:dyDescent="0.4">
      <c r="B15473" t="s">
        <v>7</v>
      </c>
      <c r="C15473" t="s">
        <v>2443</v>
      </c>
      <c r="D15473" s="7">
        <f>DATE(2006,8,21)</f>
        <v>38950</v>
      </c>
      <c r="E15473" s="8">
        <f t="shared" si="254"/>
        <v>2006</v>
      </c>
      <c r="F15473" t="s">
        <v>2446</v>
      </c>
      <c r="G15473" s="9">
        <v>25355.75</v>
      </c>
      <c r="H15473" s="8">
        <v>4922</v>
      </c>
    </row>
    <row r="15474" spans="2:8" ht="15" customHeight="1" x14ac:dyDescent="0.4">
      <c r="B15474" t="s">
        <v>7</v>
      </c>
      <c r="C15474" t="s">
        <v>2443</v>
      </c>
      <c r="D15474" s="7">
        <f>DATE(2007,4,18)</f>
        <v>39190</v>
      </c>
      <c r="E15474" s="8">
        <f t="shared" si="254"/>
        <v>2007</v>
      </c>
      <c r="F15474" t="s">
        <v>2446</v>
      </c>
      <c r="G15474" s="9">
        <v>36921.480000000003</v>
      </c>
      <c r="H15474" s="8">
        <v>5691</v>
      </c>
    </row>
    <row r="15475" spans="2:8" ht="15" customHeight="1" x14ac:dyDescent="0.4">
      <c r="B15475" s="3" t="s">
        <v>7</v>
      </c>
      <c r="C15475" s="3" t="s">
        <v>2443</v>
      </c>
      <c r="D15475" s="4">
        <f>DATE(2006,9,14)</f>
        <v>38974</v>
      </c>
      <c r="E15475" s="5">
        <f t="shared" si="254"/>
        <v>2006</v>
      </c>
      <c r="F15475" s="3" t="s">
        <v>2446</v>
      </c>
      <c r="G15475" s="6">
        <v>6230</v>
      </c>
      <c r="H15475" s="5">
        <v>7158</v>
      </c>
    </row>
    <row r="15476" spans="2:8" ht="15" customHeight="1" x14ac:dyDescent="0.4">
      <c r="B15476" t="s">
        <v>7</v>
      </c>
      <c r="C15476" t="s">
        <v>2447</v>
      </c>
      <c r="D15476" s="7">
        <f>DATE(2015,6,10)</f>
        <v>42165</v>
      </c>
      <c r="E15476" s="8">
        <f t="shared" si="254"/>
        <v>2015</v>
      </c>
      <c r="F15476" t="s">
        <v>2448</v>
      </c>
      <c r="G15476" s="9">
        <v>8521.7199999999993</v>
      </c>
      <c r="H15476" s="8">
        <v>20725</v>
      </c>
    </row>
    <row r="15477" spans="2:8" ht="15" customHeight="1" x14ac:dyDescent="0.4">
      <c r="B15477" t="s">
        <v>7</v>
      </c>
      <c r="C15477" t="s">
        <v>2447</v>
      </c>
      <c r="D15477" s="7">
        <f>DATE(2015,6,17)</f>
        <v>42172</v>
      </c>
      <c r="E15477" s="8">
        <f t="shared" si="254"/>
        <v>2015</v>
      </c>
      <c r="F15477" t="s">
        <v>2448</v>
      </c>
      <c r="G15477" s="9">
        <v>3925.7</v>
      </c>
      <c r="H15477" s="8">
        <v>20724</v>
      </c>
    </row>
    <row r="15478" spans="2:8" ht="15" customHeight="1" x14ac:dyDescent="0.4">
      <c r="B15478" t="s">
        <v>7</v>
      </c>
      <c r="C15478" t="s">
        <v>2447</v>
      </c>
      <c r="D15478" s="7">
        <f>DATE(2016,3,1)</f>
        <v>42430</v>
      </c>
      <c r="E15478" s="8">
        <f t="shared" si="254"/>
        <v>2016</v>
      </c>
      <c r="F15478" t="s">
        <v>2448</v>
      </c>
      <c r="G15478" s="9">
        <v>13809.77</v>
      </c>
      <c r="H15478" s="8">
        <v>22039</v>
      </c>
    </row>
    <row r="15479" spans="2:8" ht="15" customHeight="1" x14ac:dyDescent="0.4">
      <c r="B15479" t="s">
        <v>7</v>
      </c>
      <c r="C15479" t="s">
        <v>2447</v>
      </c>
      <c r="D15479" s="7">
        <f>DATE(2016,3,9)</f>
        <v>42438</v>
      </c>
      <c r="E15479" s="8">
        <f t="shared" si="254"/>
        <v>2016</v>
      </c>
      <c r="F15479" t="s">
        <v>2448</v>
      </c>
      <c r="G15479" s="9">
        <v>3578.27</v>
      </c>
      <c r="H15479" s="8">
        <v>22246</v>
      </c>
    </row>
    <row r="15480" spans="2:8" ht="15" customHeight="1" x14ac:dyDescent="0.4">
      <c r="B15480" t="s">
        <v>7</v>
      </c>
      <c r="C15480" t="s">
        <v>2447</v>
      </c>
      <c r="D15480" s="7">
        <f>DATE(2017,9,1)</f>
        <v>42979</v>
      </c>
      <c r="E15480" s="8">
        <f t="shared" si="254"/>
        <v>2017</v>
      </c>
      <c r="F15480" t="s">
        <v>2448</v>
      </c>
      <c r="G15480" s="9">
        <v>9713.1</v>
      </c>
      <c r="H15480" s="8">
        <v>25419</v>
      </c>
    </row>
    <row r="15481" spans="2:8" ht="15" customHeight="1" x14ac:dyDescent="0.4">
      <c r="B15481" s="3" t="s">
        <v>7</v>
      </c>
      <c r="C15481" s="3" t="s">
        <v>2447</v>
      </c>
      <c r="D15481" s="4">
        <f>DATE(2010,11,17)</f>
        <v>40499</v>
      </c>
      <c r="E15481" s="5">
        <f t="shared" si="254"/>
        <v>2010</v>
      </c>
      <c r="F15481" s="3" t="s">
        <v>2448</v>
      </c>
      <c r="G15481" s="6">
        <v>9213.2800000000007</v>
      </c>
      <c r="H15481" s="5">
        <v>4205</v>
      </c>
    </row>
    <row r="15482" spans="2:8" ht="15" customHeight="1" x14ac:dyDescent="0.4">
      <c r="B15482" s="3" t="s">
        <v>7</v>
      </c>
      <c r="C15482" s="3" t="s">
        <v>2447</v>
      </c>
      <c r="D15482" s="4">
        <f>DATE(2013,7,17)</f>
        <v>41472</v>
      </c>
      <c r="E15482" s="5">
        <f t="shared" si="254"/>
        <v>2013</v>
      </c>
      <c r="F15482" s="3" t="s">
        <v>2448</v>
      </c>
      <c r="G15482" s="6">
        <v>3525.23</v>
      </c>
      <c r="H15482" s="5">
        <v>5702</v>
      </c>
    </row>
    <row r="15483" spans="2:8" ht="15" customHeight="1" x14ac:dyDescent="0.4">
      <c r="B15483" s="3" t="s">
        <v>7</v>
      </c>
      <c r="C15483" s="3" t="s">
        <v>2447</v>
      </c>
      <c r="D15483" s="4">
        <f>DATE(2013,7,17)</f>
        <v>41472</v>
      </c>
      <c r="E15483" s="5">
        <f t="shared" si="254"/>
        <v>2013</v>
      </c>
      <c r="F15483" s="3" t="s">
        <v>2448</v>
      </c>
      <c r="G15483" s="6">
        <v>2833.05</v>
      </c>
      <c r="H15483" s="5">
        <v>5703</v>
      </c>
    </row>
    <row r="15484" spans="2:8" ht="15" customHeight="1" x14ac:dyDescent="0.4">
      <c r="B15484" s="3" t="s">
        <v>7</v>
      </c>
      <c r="C15484" s="3" t="s">
        <v>2447</v>
      </c>
      <c r="D15484" s="4">
        <f>DATE(2013,7,17)</f>
        <v>41472</v>
      </c>
      <c r="E15484" s="5">
        <f t="shared" si="254"/>
        <v>2013</v>
      </c>
      <c r="F15484" s="3" t="s">
        <v>2448</v>
      </c>
      <c r="G15484" s="6">
        <v>6949.14</v>
      </c>
      <c r="H15484" s="5">
        <v>5715</v>
      </c>
    </row>
    <row r="15485" spans="2:8" ht="15" customHeight="1" x14ac:dyDescent="0.4">
      <c r="B15485" s="3" t="s">
        <v>7</v>
      </c>
      <c r="C15485" s="3" t="s">
        <v>2447</v>
      </c>
      <c r="D15485" s="4">
        <f>DATE(2013,7,17)</f>
        <v>41472</v>
      </c>
      <c r="E15485" s="5">
        <f t="shared" si="254"/>
        <v>2013</v>
      </c>
      <c r="F15485" s="3" t="s">
        <v>2448</v>
      </c>
      <c r="G15485" s="6">
        <v>1187.3399999999999</v>
      </c>
      <c r="H15485" s="5">
        <v>5719</v>
      </c>
    </row>
    <row r="15486" spans="2:8" ht="15" customHeight="1" x14ac:dyDescent="0.4">
      <c r="B15486" s="3" t="s">
        <v>7</v>
      </c>
      <c r="C15486" s="3" t="s">
        <v>2447</v>
      </c>
      <c r="D15486" s="4">
        <f>DATE(2013,8,7)</f>
        <v>41493</v>
      </c>
      <c r="E15486" s="5">
        <f t="shared" si="254"/>
        <v>2013</v>
      </c>
      <c r="F15486" s="3" t="s">
        <v>2448</v>
      </c>
      <c r="G15486" s="6">
        <v>5732.46</v>
      </c>
      <c r="H15486" s="5">
        <v>5711</v>
      </c>
    </row>
    <row r="15487" spans="2:8" ht="15" customHeight="1" x14ac:dyDescent="0.4">
      <c r="B15487" s="3" t="s">
        <v>7</v>
      </c>
      <c r="C15487" s="3" t="s">
        <v>2447</v>
      </c>
      <c r="D15487" s="4">
        <f>DATE(2014,5,13)</f>
        <v>41772</v>
      </c>
      <c r="E15487" s="5">
        <f t="shared" si="254"/>
        <v>2014</v>
      </c>
      <c r="F15487" s="3" t="s">
        <v>2448</v>
      </c>
      <c r="G15487" s="6">
        <v>2241.0500000000002</v>
      </c>
      <c r="H15487" s="5">
        <v>6190</v>
      </c>
    </row>
    <row r="15488" spans="2:8" ht="15" customHeight="1" x14ac:dyDescent="0.4">
      <c r="B15488" s="3" t="s">
        <v>7</v>
      </c>
      <c r="C15488" s="3" t="s">
        <v>2449</v>
      </c>
      <c r="D15488" s="4">
        <f>DATE(2012,9,11)</f>
        <v>41163</v>
      </c>
      <c r="E15488" s="5">
        <f t="shared" si="254"/>
        <v>2012</v>
      </c>
      <c r="F15488" s="3" t="s">
        <v>2450</v>
      </c>
      <c r="G15488" s="6">
        <v>131.87</v>
      </c>
      <c r="H15488" s="5">
        <v>17581</v>
      </c>
    </row>
    <row r="15489" spans="2:8" ht="15" customHeight="1" x14ac:dyDescent="0.4">
      <c r="B15489" s="3" t="s">
        <v>7</v>
      </c>
      <c r="C15489" s="3" t="s">
        <v>2449</v>
      </c>
      <c r="D15489" s="4">
        <f>DATE(2012,9,14)</f>
        <v>41166</v>
      </c>
      <c r="E15489" s="5">
        <f t="shared" si="254"/>
        <v>2012</v>
      </c>
      <c r="F15489" s="3" t="s">
        <v>2450</v>
      </c>
      <c r="G15489" s="6">
        <v>172.72</v>
      </c>
      <c r="H15489" s="5">
        <v>17594</v>
      </c>
    </row>
    <row r="15490" spans="2:8" ht="15" customHeight="1" x14ac:dyDescent="0.4">
      <c r="B15490" s="3" t="s">
        <v>7</v>
      </c>
      <c r="C15490" s="3" t="s">
        <v>2449</v>
      </c>
      <c r="D15490" s="4">
        <f>DATE(2012,9,26)</f>
        <v>41178</v>
      </c>
      <c r="E15490" s="5">
        <f t="shared" si="254"/>
        <v>2012</v>
      </c>
      <c r="F15490" s="3" t="s">
        <v>2450</v>
      </c>
      <c r="G15490" s="6">
        <v>186.95</v>
      </c>
      <c r="H15490" s="5">
        <v>17581</v>
      </c>
    </row>
    <row r="15491" spans="2:8" ht="15" customHeight="1" x14ac:dyDescent="0.4">
      <c r="B15491" s="3" t="s">
        <v>7</v>
      </c>
      <c r="C15491" s="3" t="s">
        <v>2449</v>
      </c>
      <c r="D15491" s="4">
        <f>DATE(2012,9,26)</f>
        <v>41178</v>
      </c>
      <c r="E15491" s="5">
        <f t="shared" ref="E15491:E15554" si="255">YEAR(D15491)</f>
        <v>2012</v>
      </c>
      <c r="F15491" s="3" t="s">
        <v>2450</v>
      </c>
      <c r="G15491" s="6">
        <v>139.78</v>
      </c>
      <c r="H15491" s="5">
        <v>17658</v>
      </c>
    </row>
    <row r="15492" spans="2:8" ht="15" customHeight="1" x14ac:dyDescent="0.4">
      <c r="B15492" s="3" t="s">
        <v>16</v>
      </c>
      <c r="C15492" s="3" t="s">
        <v>2449</v>
      </c>
      <c r="D15492" s="4">
        <f>DATE(2012,9,11)</f>
        <v>41163</v>
      </c>
      <c r="E15492" s="5">
        <f t="shared" si="255"/>
        <v>2012</v>
      </c>
      <c r="F15492" s="3" t="s">
        <v>2450</v>
      </c>
      <c r="G15492" s="6">
        <v>131.87</v>
      </c>
      <c r="H15492" s="5">
        <v>17657</v>
      </c>
    </row>
    <row r="15493" spans="2:8" ht="15" customHeight="1" x14ac:dyDescent="0.4">
      <c r="B15493" s="3" t="s">
        <v>7</v>
      </c>
      <c r="C15493" s="3" t="s">
        <v>2447</v>
      </c>
      <c r="D15493" s="4">
        <f>DATE(2007,9,17)</f>
        <v>39342</v>
      </c>
      <c r="E15493" s="5">
        <f t="shared" si="255"/>
        <v>2007</v>
      </c>
      <c r="F15493" s="3" t="s">
        <v>2451</v>
      </c>
      <c r="G15493" s="6">
        <v>8140.95</v>
      </c>
      <c r="H15493" s="5">
        <v>2523</v>
      </c>
    </row>
    <row r="15494" spans="2:8" ht="15" customHeight="1" x14ac:dyDescent="0.4">
      <c r="B15494" s="3" t="s">
        <v>7</v>
      </c>
      <c r="C15494" s="3" t="s">
        <v>2447</v>
      </c>
      <c r="D15494" s="4">
        <f>DATE(2003,4,2)</f>
        <v>37713</v>
      </c>
      <c r="E15494" s="5">
        <f t="shared" si="255"/>
        <v>2003</v>
      </c>
      <c r="F15494" s="3" t="s">
        <v>2452</v>
      </c>
      <c r="G15494" s="6">
        <v>388.75</v>
      </c>
      <c r="H15494" s="5">
        <v>103</v>
      </c>
    </row>
    <row r="15495" spans="2:8" ht="15" customHeight="1" x14ac:dyDescent="0.4">
      <c r="B15495" s="3" t="s">
        <v>7</v>
      </c>
      <c r="C15495" s="3" t="s">
        <v>2447</v>
      </c>
      <c r="D15495" s="4">
        <f>DATE(2003,9,25)</f>
        <v>37889</v>
      </c>
      <c r="E15495" s="5">
        <f t="shared" si="255"/>
        <v>2003</v>
      </c>
      <c r="F15495" s="3" t="s">
        <v>2452</v>
      </c>
      <c r="G15495" s="6">
        <v>1954.22</v>
      </c>
      <c r="H15495" s="5">
        <v>334</v>
      </c>
    </row>
    <row r="15496" spans="2:8" ht="15" customHeight="1" x14ac:dyDescent="0.4">
      <c r="B15496" s="3" t="s">
        <v>7</v>
      </c>
      <c r="C15496" s="3" t="s">
        <v>2447</v>
      </c>
      <c r="D15496" s="4">
        <f>DATE(2003,9,25)</f>
        <v>37889</v>
      </c>
      <c r="E15496" s="5">
        <f t="shared" si="255"/>
        <v>2003</v>
      </c>
      <c r="F15496" s="3" t="s">
        <v>2452</v>
      </c>
      <c r="G15496" s="6">
        <v>1261.8900000000001</v>
      </c>
      <c r="H15496" s="5">
        <v>338</v>
      </c>
    </row>
    <row r="15497" spans="2:8" ht="15" customHeight="1" x14ac:dyDescent="0.4">
      <c r="B15497" s="3" t="s">
        <v>7</v>
      </c>
      <c r="C15497" s="3" t="s">
        <v>2447</v>
      </c>
      <c r="D15497" s="4">
        <f>DATE(2003,10,2)</f>
        <v>37896</v>
      </c>
      <c r="E15497" s="5">
        <f t="shared" si="255"/>
        <v>2003</v>
      </c>
      <c r="F15497" s="3" t="s">
        <v>2452</v>
      </c>
      <c r="G15497" s="6">
        <v>1624.45</v>
      </c>
      <c r="H15497" s="5">
        <v>348</v>
      </c>
    </row>
    <row r="15498" spans="2:8" ht="15" customHeight="1" x14ac:dyDescent="0.4">
      <c r="B15498" s="3" t="s">
        <v>7</v>
      </c>
      <c r="C15498" s="3" t="s">
        <v>2447</v>
      </c>
      <c r="D15498" s="4">
        <f>DATE(2003,10,1)</f>
        <v>37895</v>
      </c>
      <c r="E15498" s="5">
        <f t="shared" si="255"/>
        <v>2003</v>
      </c>
      <c r="F15498" s="3" t="s">
        <v>2452</v>
      </c>
      <c r="G15498" s="6">
        <v>705.89</v>
      </c>
      <c r="H15498" s="5">
        <v>346</v>
      </c>
    </row>
    <row r="15499" spans="2:8" ht="15" customHeight="1" x14ac:dyDescent="0.4">
      <c r="B15499" s="3" t="s">
        <v>7</v>
      </c>
      <c r="C15499" s="3" t="s">
        <v>2447</v>
      </c>
      <c r="D15499" s="4">
        <f>DATE(2003,10,2)</f>
        <v>37896</v>
      </c>
      <c r="E15499" s="5">
        <f t="shared" si="255"/>
        <v>2003</v>
      </c>
      <c r="F15499" s="3" t="s">
        <v>2452</v>
      </c>
      <c r="G15499" s="6">
        <v>1361.37</v>
      </c>
      <c r="H15499" s="5">
        <v>352</v>
      </c>
    </row>
    <row r="15500" spans="2:8" ht="15" customHeight="1" x14ac:dyDescent="0.4">
      <c r="B15500" s="3" t="s">
        <v>7</v>
      </c>
      <c r="C15500" s="3" t="s">
        <v>2447</v>
      </c>
      <c r="D15500" s="4">
        <f>DATE(2003,10,10)</f>
        <v>37904</v>
      </c>
      <c r="E15500" s="5">
        <f t="shared" si="255"/>
        <v>2003</v>
      </c>
      <c r="F15500" s="3" t="s">
        <v>2452</v>
      </c>
      <c r="G15500" s="6">
        <v>150.46</v>
      </c>
      <c r="H15500" s="5">
        <v>363</v>
      </c>
    </row>
    <row r="15501" spans="2:8" ht="15" customHeight="1" x14ac:dyDescent="0.4">
      <c r="B15501" s="3" t="s">
        <v>7</v>
      </c>
      <c r="C15501" s="3" t="s">
        <v>2447</v>
      </c>
      <c r="D15501" s="4">
        <f>DATE(2003,10,8)</f>
        <v>37902</v>
      </c>
      <c r="E15501" s="5">
        <f t="shared" si="255"/>
        <v>2003</v>
      </c>
      <c r="F15501" s="3" t="s">
        <v>2452</v>
      </c>
      <c r="G15501" s="6">
        <v>2148.1</v>
      </c>
      <c r="H15501" s="5">
        <v>357</v>
      </c>
    </row>
    <row r="15502" spans="2:8" ht="15" customHeight="1" x14ac:dyDescent="0.4">
      <c r="B15502" s="3" t="s">
        <v>7</v>
      </c>
      <c r="C15502" s="3" t="s">
        <v>2447</v>
      </c>
      <c r="D15502" s="4">
        <f>DATE(2003,10,23)</f>
        <v>37917</v>
      </c>
      <c r="E15502" s="5">
        <f t="shared" si="255"/>
        <v>2003</v>
      </c>
      <c r="F15502" s="3" t="s">
        <v>2452</v>
      </c>
      <c r="G15502" s="6">
        <v>516.66</v>
      </c>
      <c r="H15502" s="5">
        <v>401</v>
      </c>
    </row>
    <row r="15503" spans="2:8" ht="15" customHeight="1" x14ac:dyDescent="0.4">
      <c r="B15503" s="3" t="s">
        <v>7</v>
      </c>
      <c r="C15503" s="3" t="s">
        <v>2447</v>
      </c>
      <c r="D15503" s="4">
        <f>DATE(2004,10,12)</f>
        <v>38272</v>
      </c>
      <c r="E15503" s="5">
        <f t="shared" si="255"/>
        <v>2004</v>
      </c>
      <c r="F15503" s="3" t="s">
        <v>2452</v>
      </c>
      <c r="G15503" s="6">
        <v>993.73</v>
      </c>
      <c r="H15503" s="5">
        <v>807</v>
      </c>
    </row>
    <row r="15504" spans="2:8" ht="15" customHeight="1" x14ac:dyDescent="0.4">
      <c r="B15504" s="3" t="s">
        <v>7</v>
      </c>
      <c r="C15504" s="3" t="s">
        <v>2447</v>
      </c>
      <c r="D15504" s="4">
        <f>DATE(2004,9,30)</f>
        <v>38260</v>
      </c>
      <c r="E15504" s="5">
        <f t="shared" si="255"/>
        <v>2004</v>
      </c>
      <c r="F15504" s="3" t="s">
        <v>2452</v>
      </c>
      <c r="G15504" s="6">
        <v>2487.85</v>
      </c>
      <c r="H15504" s="5">
        <v>800</v>
      </c>
    </row>
    <row r="15505" spans="2:8" ht="15" customHeight="1" x14ac:dyDescent="0.4">
      <c r="B15505" s="3" t="s">
        <v>7</v>
      </c>
      <c r="C15505" s="3" t="s">
        <v>2447</v>
      </c>
      <c r="D15505" s="4">
        <f>DATE(2004,12,15)</f>
        <v>38336</v>
      </c>
      <c r="E15505" s="5">
        <f t="shared" si="255"/>
        <v>2004</v>
      </c>
      <c r="F15505" s="3" t="s">
        <v>2452</v>
      </c>
      <c r="G15505" s="6">
        <v>673.06</v>
      </c>
      <c r="H15505" s="5">
        <v>882</v>
      </c>
    </row>
    <row r="15506" spans="2:8" ht="15" customHeight="1" x14ac:dyDescent="0.4">
      <c r="B15506" s="3" t="s">
        <v>7</v>
      </c>
      <c r="C15506" s="3" t="s">
        <v>2447</v>
      </c>
      <c r="D15506" s="4">
        <f>DATE(2005,1,24)</f>
        <v>38376</v>
      </c>
      <c r="E15506" s="5">
        <f t="shared" si="255"/>
        <v>2005</v>
      </c>
      <c r="F15506" s="3" t="s">
        <v>2452</v>
      </c>
      <c r="G15506" s="6">
        <v>5004.6000000000004</v>
      </c>
      <c r="H15506" s="5">
        <v>930</v>
      </c>
    </row>
    <row r="15507" spans="2:8" ht="15" customHeight="1" x14ac:dyDescent="0.4">
      <c r="B15507" s="3" t="s">
        <v>7</v>
      </c>
      <c r="C15507" s="3" t="s">
        <v>2447</v>
      </c>
      <c r="D15507" s="4">
        <f>DATE(2005,4,28)</f>
        <v>38470</v>
      </c>
      <c r="E15507" s="5">
        <f t="shared" si="255"/>
        <v>2005</v>
      </c>
      <c r="F15507" s="3" t="s">
        <v>2452</v>
      </c>
      <c r="G15507" s="6">
        <v>4194.6499999999996</v>
      </c>
      <c r="H15507" s="5">
        <v>1051</v>
      </c>
    </row>
    <row r="15508" spans="2:8" ht="15" customHeight="1" x14ac:dyDescent="0.4">
      <c r="B15508" s="3" t="s">
        <v>7</v>
      </c>
      <c r="C15508" s="3" t="s">
        <v>2447</v>
      </c>
      <c r="D15508" s="4">
        <f>DATE(2005,6,23)</f>
        <v>38526</v>
      </c>
      <c r="E15508" s="5">
        <f t="shared" si="255"/>
        <v>2005</v>
      </c>
      <c r="F15508" s="3" t="s">
        <v>2452</v>
      </c>
      <c r="G15508" s="6">
        <v>754.76</v>
      </c>
      <c r="H15508" s="5">
        <v>1130</v>
      </c>
    </row>
    <row r="15509" spans="2:8" ht="15" customHeight="1" x14ac:dyDescent="0.4">
      <c r="B15509" s="3" t="s">
        <v>7</v>
      </c>
      <c r="C15509" s="3" t="s">
        <v>2447</v>
      </c>
      <c r="D15509" s="4">
        <f>DATE(2005,9,29)</f>
        <v>38624</v>
      </c>
      <c r="E15509" s="5">
        <f t="shared" si="255"/>
        <v>2005</v>
      </c>
      <c r="F15509" s="3" t="s">
        <v>2452</v>
      </c>
      <c r="G15509" s="6">
        <v>6774.23</v>
      </c>
      <c r="H15509" s="5">
        <v>1206</v>
      </c>
    </row>
    <row r="15510" spans="2:8" ht="15" customHeight="1" x14ac:dyDescent="0.4">
      <c r="B15510" s="3" t="s">
        <v>7</v>
      </c>
      <c r="C15510" s="3" t="s">
        <v>2447</v>
      </c>
      <c r="D15510" s="4">
        <f>DATE(2006,3,29)</f>
        <v>38805</v>
      </c>
      <c r="E15510" s="5">
        <f t="shared" si="255"/>
        <v>2006</v>
      </c>
      <c r="F15510" s="3" t="s">
        <v>2452</v>
      </c>
      <c r="G15510" s="6">
        <v>2344.1</v>
      </c>
      <c r="H15510" s="5">
        <v>1510</v>
      </c>
    </row>
    <row r="15511" spans="2:8" ht="15" customHeight="1" x14ac:dyDescent="0.4">
      <c r="B15511" s="3" t="s">
        <v>7</v>
      </c>
      <c r="C15511" s="3" t="s">
        <v>2447</v>
      </c>
      <c r="D15511" s="4">
        <f>DATE(2006,8,10)</f>
        <v>38939</v>
      </c>
      <c r="E15511" s="5">
        <f t="shared" si="255"/>
        <v>2006</v>
      </c>
      <c r="F15511" s="3" t="s">
        <v>2452</v>
      </c>
      <c r="G15511" s="6">
        <v>4254</v>
      </c>
      <c r="H15511" s="5">
        <v>1693</v>
      </c>
    </row>
    <row r="15512" spans="2:8" ht="15" customHeight="1" x14ac:dyDescent="0.4">
      <c r="B15512" s="3" t="s">
        <v>7</v>
      </c>
      <c r="C15512" s="3" t="s">
        <v>2447</v>
      </c>
      <c r="D15512" s="4">
        <f>DATE(2006,8,10)</f>
        <v>38939</v>
      </c>
      <c r="E15512" s="5">
        <f t="shared" si="255"/>
        <v>2006</v>
      </c>
      <c r="F15512" s="3" t="s">
        <v>2452</v>
      </c>
      <c r="G15512" s="6">
        <v>4796.3999999999996</v>
      </c>
      <c r="H15512" s="5">
        <v>1722</v>
      </c>
    </row>
    <row r="15513" spans="2:8" ht="15" customHeight="1" x14ac:dyDescent="0.4">
      <c r="B15513" s="3" t="s">
        <v>7</v>
      </c>
      <c r="C15513" s="3" t="s">
        <v>2447</v>
      </c>
      <c r="D15513" s="4">
        <f>DATE(2006,9,15)</f>
        <v>38975</v>
      </c>
      <c r="E15513" s="5">
        <f t="shared" si="255"/>
        <v>2006</v>
      </c>
      <c r="F15513" s="3" t="s">
        <v>2452</v>
      </c>
      <c r="G15513" s="6">
        <v>1177</v>
      </c>
      <c r="H15513" s="5">
        <v>1790</v>
      </c>
    </row>
    <row r="15514" spans="2:8" ht="15" customHeight="1" x14ac:dyDescent="0.4">
      <c r="B15514" s="3" t="s">
        <v>7</v>
      </c>
      <c r="C15514" s="3" t="s">
        <v>2447</v>
      </c>
      <c r="D15514" s="4">
        <f>DATE(2006,10,13)</f>
        <v>39003</v>
      </c>
      <c r="E15514" s="5">
        <f t="shared" si="255"/>
        <v>2006</v>
      </c>
      <c r="F15514" s="3" t="s">
        <v>2452</v>
      </c>
      <c r="G15514" s="6">
        <v>209.04</v>
      </c>
      <c r="H15514" s="5">
        <v>1832</v>
      </c>
    </row>
    <row r="15515" spans="2:8" ht="15" customHeight="1" x14ac:dyDescent="0.4">
      <c r="B15515" s="3" t="s">
        <v>7</v>
      </c>
      <c r="C15515" s="3" t="s">
        <v>2447</v>
      </c>
      <c r="D15515" s="4">
        <f>DATE(2007,2,12)</f>
        <v>39125</v>
      </c>
      <c r="E15515" s="5">
        <f t="shared" si="255"/>
        <v>2007</v>
      </c>
      <c r="F15515" s="3" t="s">
        <v>2452</v>
      </c>
      <c r="G15515" s="6">
        <v>1689.41</v>
      </c>
      <c r="H15515" s="5">
        <v>2048</v>
      </c>
    </row>
    <row r="15516" spans="2:8" ht="15" customHeight="1" x14ac:dyDescent="0.4">
      <c r="B15516" s="3" t="s">
        <v>7</v>
      </c>
      <c r="C15516" s="3" t="s">
        <v>2447</v>
      </c>
      <c r="D15516" s="4">
        <f>DATE(2007,3,23)</f>
        <v>39164</v>
      </c>
      <c r="E15516" s="5">
        <f t="shared" si="255"/>
        <v>2007</v>
      </c>
      <c r="F15516" s="3" t="s">
        <v>2452</v>
      </c>
      <c r="G15516" s="6">
        <v>2914.38</v>
      </c>
      <c r="H15516" s="5">
        <v>2138</v>
      </c>
    </row>
    <row r="15517" spans="2:8" ht="15" customHeight="1" x14ac:dyDescent="0.4">
      <c r="B15517" s="3" t="s">
        <v>7</v>
      </c>
      <c r="C15517" s="3" t="s">
        <v>2447</v>
      </c>
      <c r="D15517" s="4">
        <f>DATE(2007,7,13)</f>
        <v>39276</v>
      </c>
      <c r="E15517" s="5">
        <f t="shared" si="255"/>
        <v>2007</v>
      </c>
      <c r="F15517" s="3" t="s">
        <v>2452</v>
      </c>
      <c r="G15517" s="6">
        <v>1914.99</v>
      </c>
      <c r="H15517" s="5">
        <v>2324</v>
      </c>
    </row>
    <row r="15518" spans="2:8" ht="15" customHeight="1" x14ac:dyDescent="0.4">
      <c r="B15518" s="3" t="s">
        <v>7</v>
      </c>
      <c r="C15518" s="3" t="s">
        <v>2447</v>
      </c>
      <c r="D15518" s="4">
        <f>DATE(2007,8,7)</f>
        <v>39301</v>
      </c>
      <c r="E15518" s="5">
        <f t="shared" si="255"/>
        <v>2007</v>
      </c>
      <c r="F15518" s="3" t="s">
        <v>2452</v>
      </c>
      <c r="G15518" s="6">
        <v>3901.3</v>
      </c>
      <c r="H15518" s="5">
        <v>2354</v>
      </c>
    </row>
    <row r="15519" spans="2:8" ht="15" customHeight="1" x14ac:dyDescent="0.4">
      <c r="B15519" s="3" t="s">
        <v>7</v>
      </c>
      <c r="C15519" s="3" t="s">
        <v>2447</v>
      </c>
      <c r="D15519" s="4">
        <f>DATE(2007,9,17)</f>
        <v>39342</v>
      </c>
      <c r="E15519" s="5">
        <f t="shared" si="255"/>
        <v>2007</v>
      </c>
      <c r="F15519" s="3" t="s">
        <v>2452</v>
      </c>
      <c r="G15519" s="6">
        <v>8140.95</v>
      </c>
      <c r="H15519" s="5">
        <v>2393</v>
      </c>
    </row>
    <row r="15520" spans="2:8" ht="15" customHeight="1" x14ac:dyDescent="0.4">
      <c r="B15520" s="3" t="s">
        <v>7</v>
      </c>
      <c r="C15520" s="3" t="s">
        <v>2447</v>
      </c>
      <c r="D15520" s="4">
        <f>DATE(2007,9,17)</f>
        <v>39342</v>
      </c>
      <c r="E15520" s="5">
        <f t="shared" si="255"/>
        <v>2007</v>
      </c>
      <c r="F15520" s="3" t="s">
        <v>2452</v>
      </c>
      <c r="G15520" s="6">
        <v>360.21</v>
      </c>
      <c r="H15520" s="5">
        <v>2418</v>
      </c>
    </row>
    <row r="15521" spans="2:8" ht="15" customHeight="1" x14ac:dyDescent="0.4">
      <c r="B15521" s="3" t="s">
        <v>7</v>
      </c>
      <c r="C15521" s="3" t="s">
        <v>2447</v>
      </c>
      <c r="D15521" s="4">
        <f>DATE(2007,10,5)</f>
        <v>39360</v>
      </c>
      <c r="E15521" s="5">
        <f t="shared" si="255"/>
        <v>2007</v>
      </c>
      <c r="F15521" s="3" t="s">
        <v>2452</v>
      </c>
      <c r="G15521" s="6">
        <v>1524.46</v>
      </c>
      <c r="H15521" s="5">
        <v>2431</v>
      </c>
    </row>
    <row r="15522" spans="2:8" ht="15" customHeight="1" x14ac:dyDescent="0.4">
      <c r="B15522" s="3" t="s">
        <v>7</v>
      </c>
      <c r="C15522" s="3" t="s">
        <v>2447</v>
      </c>
      <c r="D15522" s="4">
        <f>DATE(2007,10,24)</f>
        <v>39379</v>
      </c>
      <c r="E15522" s="5">
        <f t="shared" si="255"/>
        <v>2007</v>
      </c>
      <c r="F15522" s="3" t="s">
        <v>2452</v>
      </c>
      <c r="G15522" s="6">
        <v>776.35</v>
      </c>
      <c r="H15522" s="5">
        <v>2459</v>
      </c>
    </row>
    <row r="15523" spans="2:8" ht="15" customHeight="1" x14ac:dyDescent="0.4">
      <c r="B15523" s="3" t="s">
        <v>7</v>
      </c>
      <c r="C15523" s="3" t="s">
        <v>2447</v>
      </c>
      <c r="D15523" s="4">
        <f>DATE(2007,11,1)</f>
        <v>39387</v>
      </c>
      <c r="E15523" s="5">
        <f t="shared" si="255"/>
        <v>2007</v>
      </c>
      <c r="F15523" s="3" t="s">
        <v>2452</v>
      </c>
      <c r="G15523" s="6">
        <v>1914.99</v>
      </c>
      <c r="H15523" s="5">
        <v>2515</v>
      </c>
    </row>
    <row r="15524" spans="2:8" ht="15" customHeight="1" x14ac:dyDescent="0.4">
      <c r="B15524" s="3" t="s">
        <v>7</v>
      </c>
      <c r="C15524" s="3" t="s">
        <v>2447</v>
      </c>
      <c r="D15524" s="4">
        <f>DATE(2007,11,1)</f>
        <v>39387</v>
      </c>
      <c r="E15524" s="5">
        <f t="shared" si="255"/>
        <v>2007</v>
      </c>
      <c r="F15524" s="3" t="s">
        <v>2452</v>
      </c>
      <c r="G15524" s="6">
        <v>3901.3</v>
      </c>
      <c r="H15524" s="5">
        <v>2516</v>
      </c>
    </row>
    <row r="15525" spans="2:8" ht="15" customHeight="1" x14ac:dyDescent="0.4">
      <c r="B15525" s="3" t="s">
        <v>7</v>
      </c>
      <c r="C15525" s="3" t="s">
        <v>2447</v>
      </c>
      <c r="D15525" s="4">
        <f>DATE(2007,11,1)</f>
        <v>39387</v>
      </c>
      <c r="E15525" s="5">
        <f t="shared" si="255"/>
        <v>2007</v>
      </c>
      <c r="F15525" s="3" t="s">
        <v>2452</v>
      </c>
      <c r="G15525" s="6">
        <v>360.21</v>
      </c>
      <c r="H15525" s="5">
        <v>2517</v>
      </c>
    </row>
    <row r="15526" spans="2:8" ht="15" customHeight="1" x14ac:dyDescent="0.4">
      <c r="B15526" s="3" t="s">
        <v>7</v>
      </c>
      <c r="C15526" s="3" t="s">
        <v>2447</v>
      </c>
      <c r="D15526" s="4">
        <f>DATE(2007,11,1)</f>
        <v>39387</v>
      </c>
      <c r="E15526" s="5">
        <f t="shared" si="255"/>
        <v>2007</v>
      </c>
      <c r="F15526" s="3" t="s">
        <v>2452</v>
      </c>
      <c r="G15526" s="6">
        <v>8140.95</v>
      </c>
      <c r="H15526" s="5">
        <v>2518</v>
      </c>
    </row>
    <row r="15527" spans="2:8" ht="15" customHeight="1" x14ac:dyDescent="0.4">
      <c r="B15527" s="3" t="s">
        <v>7</v>
      </c>
      <c r="C15527" s="3" t="s">
        <v>2447</v>
      </c>
      <c r="D15527" s="4">
        <f>DATE(2007,11,1)</f>
        <v>39387</v>
      </c>
      <c r="E15527" s="5">
        <f t="shared" si="255"/>
        <v>2007</v>
      </c>
      <c r="F15527" s="3" t="s">
        <v>2452</v>
      </c>
      <c r="G15527" s="6">
        <v>1524.46</v>
      </c>
      <c r="H15527" s="5">
        <v>2519</v>
      </c>
    </row>
    <row r="15528" spans="2:8" ht="15" customHeight="1" x14ac:dyDescent="0.4">
      <c r="B15528" s="3" t="s">
        <v>7</v>
      </c>
      <c r="C15528" s="3" t="s">
        <v>2447</v>
      </c>
      <c r="D15528" s="4">
        <f>DATE(2008,7,1)</f>
        <v>39630</v>
      </c>
      <c r="E15528" s="5">
        <f t="shared" si="255"/>
        <v>2008</v>
      </c>
      <c r="F15528" s="3" t="s">
        <v>2452</v>
      </c>
      <c r="G15528" s="6">
        <v>6035.14</v>
      </c>
      <c r="H15528" s="5">
        <v>2856</v>
      </c>
    </row>
    <row r="15529" spans="2:8" ht="15" customHeight="1" x14ac:dyDescent="0.4">
      <c r="B15529" s="3" t="s">
        <v>7</v>
      </c>
      <c r="C15529" s="3" t="s">
        <v>2447</v>
      </c>
      <c r="D15529" s="4">
        <f>DATE(2008,7,11)</f>
        <v>39640</v>
      </c>
      <c r="E15529" s="5">
        <f t="shared" si="255"/>
        <v>2008</v>
      </c>
      <c r="F15529" s="3" t="s">
        <v>2452</v>
      </c>
      <c r="G15529" s="6">
        <v>742.54</v>
      </c>
      <c r="H15529" s="5">
        <v>2924</v>
      </c>
    </row>
    <row r="15530" spans="2:8" ht="15" customHeight="1" x14ac:dyDescent="0.4">
      <c r="B15530" s="3" t="s">
        <v>7</v>
      </c>
      <c r="C15530" s="3" t="s">
        <v>2447</v>
      </c>
      <c r="D15530" s="4">
        <f>DATE(2008,7,14)</f>
        <v>39643</v>
      </c>
      <c r="E15530" s="5">
        <f t="shared" si="255"/>
        <v>2008</v>
      </c>
      <c r="F15530" s="3" t="s">
        <v>2452</v>
      </c>
      <c r="G15530" s="6">
        <v>9410.0400000000009</v>
      </c>
      <c r="H15530" s="5">
        <v>2855</v>
      </c>
    </row>
    <row r="15531" spans="2:8" ht="15" customHeight="1" x14ac:dyDescent="0.4">
      <c r="B15531" s="3" t="s">
        <v>7</v>
      </c>
      <c r="C15531" s="3" t="s">
        <v>2447</v>
      </c>
      <c r="D15531" s="4">
        <f>DATE(2008,9,25)</f>
        <v>39716</v>
      </c>
      <c r="E15531" s="5">
        <f t="shared" si="255"/>
        <v>2008</v>
      </c>
      <c r="F15531" s="3" t="s">
        <v>2452</v>
      </c>
      <c r="G15531" s="6">
        <v>10253.620000000001</v>
      </c>
      <c r="H15531" s="5">
        <v>3030</v>
      </c>
    </row>
    <row r="15532" spans="2:8" ht="15" customHeight="1" x14ac:dyDescent="0.4">
      <c r="B15532" s="3" t="s">
        <v>7</v>
      </c>
      <c r="C15532" s="3" t="s">
        <v>2447</v>
      </c>
      <c r="D15532" s="4">
        <f>DATE(2008,11,5)</f>
        <v>39757</v>
      </c>
      <c r="E15532" s="5">
        <f t="shared" si="255"/>
        <v>2008</v>
      </c>
      <c r="F15532" s="3" t="s">
        <v>2452</v>
      </c>
      <c r="G15532" s="6">
        <v>1849.19</v>
      </c>
      <c r="H15532" s="5">
        <v>3142</v>
      </c>
    </row>
    <row r="15533" spans="2:8" ht="15" customHeight="1" x14ac:dyDescent="0.4">
      <c r="B15533" s="3" t="s">
        <v>7</v>
      </c>
      <c r="C15533" s="3" t="s">
        <v>2447</v>
      </c>
      <c r="D15533" s="4">
        <f>DATE(2008,1,10)</f>
        <v>39457</v>
      </c>
      <c r="E15533" s="5">
        <f t="shared" si="255"/>
        <v>2008</v>
      </c>
      <c r="F15533" s="3" t="s">
        <v>2452</v>
      </c>
      <c r="G15533" s="6">
        <v>1726.79</v>
      </c>
      <c r="H15533" s="5">
        <v>3150</v>
      </c>
    </row>
    <row r="15534" spans="2:8" ht="15" customHeight="1" x14ac:dyDescent="0.4">
      <c r="B15534" s="3" t="s">
        <v>7</v>
      </c>
      <c r="C15534" s="3" t="s">
        <v>2447</v>
      </c>
      <c r="D15534" s="4">
        <f>DATE(2009,8,7)</f>
        <v>40032</v>
      </c>
      <c r="E15534" s="5">
        <f t="shared" si="255"/>
        <v>2009</v>
      </c>
      <c r="F15534" s="3" t="s">
        <v>2452</v>
      </c>
      <c r="G15534" s="6">
        <v>3399.28</v>
      </c>
      <c r="H15534" s="5">
        <v>3533</v>
      </c>
    </row>
    <row r="15535" spans="2:8" ht="15" customHeight="1" x14ac:dyDescent="0.4">
      <c r="B15535" s="3" t="s">
        <v>7</v>
      </c>
      <c r="C15535" s="3" t="s">
        <v>2447</v>
      </c>
      <c r="D15535" s="4">
        <f>DATE(2009,9,30)</f>
        <v>40086</v>
      </c>
      <c r="E15535" s="5">
        <f t="shared" si="255"/>
        <v>2009</v>
      </c>
      <c r="F15535" s="3" t="s">
        <v>2452</v>
      </c>
      <c r="G15535" s="6">
        <v>3214.87</v>
      </c>
      <c r="H15535" s="5">
        <v>3607</v>
      </c>
    </row>
    <row r="15536" spans="2:8" ht="15" customHeight="1" x14ac:dyDescent="0.4">
      <c r="B15536" s="3" t="s">
        <v>7</v>
      </c>
      <c r="C15536" s="3" t="s">
        <v>2447</v>
      </c>
      <c r="D15536" s="4">
        <f>DATE(2009,9,30)</f>
        <v>40086</v>
      </c>
      <c r="E15536" s="5">
        <f t="shared" si="255"/>
        <v>2009</v>
      </c>
      <c r="F15536" s="3" t="s">
        <v>2452</v>
      </c>
      <c r="G15536" s="6">
        <v>1085</v>
      </c>
      <c r="H15536" s="5">
        <v>3592</v>
      </c>
    </row>
    <row r="15537" spans="2:8" ht="15" customHeight="1" x14ac:dyDescent="0.4">
      <c r="B15537" s="3" t="s">
        <v>16</v>
      </c>
      <c r="C15537" s="3" t="s">
        <v>2447</v>
      </c>
      <c r="D15537" s="4">
        <f>DATE(2005,7,5)</f>
        <v>38538</v>
      </c>
      <c r="E15537" s="5">
        <f t="shared" si="255"/>
        <v>2005</v>
      </c>
      <c r="F15537" s="3" t="s">
        <v>2452</v>
      </c>
      <c r="G15537" s="6">
        <v>1211.9000000000001</v>
      </c>
      <c r="H15537" s="5">
        <v>1138</v>
      </c>
    </row>
    <row r="15538" spans="2:8" ht="15" customHeight="1" x14ac:dyDescent="0.4">
      <c r="B15538" s="3" t="s">
        <v>16</v>
      </c>
      <c r="C15538" s="3" t="s">
        <v>2447</v>
      </c>
      <c r="D15538" s="4">
        <f>DATE(2007,11,1)</f>
        <v>39387</v>
      </c>
      <c r="E15538" s="5">
        <f t="shared" si="255"/>
        <v>2007</v>
      </c>
      <c r="F15538" s="3" t="s">
        <v>2452</v>
      </c>
      <c r="G15538" s="6">
        <v>1914.99</v>
      </c>
      <c r="H15538" s="5">
        <v>2510</v>
      </c>
    </row>
    <row r="15539" spans="2:8" ht="15" customHeight="1" x14ac:dyDescent="0.4">
      <c r="B15539" s="3" t="s">
        <v>16</v>
      </c>
      <c r="C15539" s="3" t="s">
        <v>2447</v>
      </c>
      <c r="D15539" s="4">
        <f>DATE(2007,11,1)</f>
        <v>39387</v>
      </c>
      <c r="E15539" s="5">
        <f t="shared" si="255"/>
        <v>2007</v>
      </c>
      <c r="F15539" s="3" t="s">
        <v>2452</v>
      </c>
      <c r="G15539" s="6">
        <v>3901.3</v>
      </c>
      <c r="H15539" s="5">
        <v>2511</v>
      </c>
    </row>
    <row r="15540" spans="2:8" ht="15" customHeight="1" x14ac:dyDescent="0.4">
      <c r="B15540" s="3" t="s">
        <v>16</v>
      </c>
      <c r="C15540" s="3" t="s">
        <v>2447</v>
      </c>
      <c r="D15540" s="4">
        <f>DATE(2007,11,1)</f>
        <v>39387</v>
      </c>
      <c r="E15540" s="5">
        <f t="shared" si="255"/>
        <v>2007</v>
      </c>
      <c r="F15540" s="3" t="s">
        <v>2452</v>
      </c>
      <c r="G15540" s="6">
        <v>360.21</v>
      </c>
      <c r="H15540" s="5">
        <v>2512</v>
      </c>
    </row>
    <row r="15541" spans="2:8" ht="15" customHeight="1" x14ac:dyDescent="0.4">
      <c r="B15541" s="3" t="s">
        <v>16</v>
      </c>
      <c r="C15541" s="3" t="s">
        <v>2447</v>
      </c>
      <c r="D15541" s="4">
        <f>DATE(2007,9,17)</f>
        <v>39342</v>
      </c>
      <c r="E15541" s="5">
        <f t="shared" si="255"/>
        <v>2007</v>
      </c>
      <c r="F15541" s="3" t="s">
        <v>2452</v>
      </c>
      <c r="G15541" s="6">
        <v>8140.95</v>
      </c>
      <c r="H15541" s="5">
        <v>2513</v>
      </c>
    </row>
    <row r="15542" spans="2:8" ht="15" customHeight="1" x14ac:dyDescent="0.4">
      <c r="B15542" s="3" t="s">
        <v>16</v>
      </c>
      <c r="C15542" s="3" t="s">
        <v>2447</v>
      </c>
      <c r="D15542" s="4">
        <f>DATE(2007,11,1)</f>
        <v>39387</v>
      </c>
      <c r="E15542" s="5">
        <f t="shared" si="255"/>
        <v>2007</v>
      </c>
      <c r="F15542" s="3" t="s">
        <v>2452</v>
      </c>
      <c r="G15542" s="6">
        <v>1524.46</v>
      </c>
      <c r="H15542" s="5">
        <v>2514</v>
      </c>
    </row>
    <row r="15543" spans="2:8" ht="15" customHeight="1" x14ac:dyDescent="0.4">
      <c r="B15543" s="3" t="s">
        <v>16</v>
      </c>
      <c r="C15543" s="3" t="s">
        <v>2447</v>
      </c>
      <c r="D15543" s="4">
        <f>DATE(2007,11,1)</f>
        <v>39387</v>
      </c>
      <c r="E15543" s="5">
        <f t="shared" si="255"/>
        <v>2007</v>
      </c>
      <c r="F15543" s="3" t="s">
        <v>2452</v>
      </c>
      <c r="G15543" s="6">
        <v>8140.95</v>
      </c>
      <c r="H15543" s="5">
        <v>2525</v>
      </c>
    </row>
    <row r="15544" spans="2:8" ht="15" customHeight="1" x14ac:dyDescent="0.4">
      <c r="B15544" t="s">
        <v>7</v>
      </c>
      <c r="C15544" t="s">
        <v>2453</v>
      </c>
      <c r="D15544" s="7">
        <f>DATE(2016,4,19)</f>
        <v>42479</v>
      </c>
      <c r="E15544" s="8">
        <f t="shared" si="255"/>
        <v>2016</v>
      </c>
      <c r="F15544" t="s">
        <v>2454</v>
      </c>
      <c r="G15544" s="9">
        <v>10218.379999999999</v>
      </c>
      <c r="H15544" s="8">
        <v>22649</v>
      </c>
    </row>
    <row r="15545" spans="2:8" ht="15" customHeight="1" x14ac:dyDescent="0.4">
      <c r="B15545" t="s">
        <v>7</v>
      </c>
      <c r="C15545" t="s">
        <v>2455</v>
      </c>
      <c r="D15545" s="7">
        <f>DATE(2019,1,2)</f>
        <v>43467</v>
      </c>
      <c r="E15545" s="8">
        <f t="shared" si="255"/>
        <v>2019</v>
      </c>
      <c r="F15545" t="s">
        <v>2456</v>
      </c>
      <c r="G15545" s="9">
        <v>56455</v>
      </c>
      <c r="H15545" s="8">
        <v>26718</v>
      </c>
    </row>
    <row r="15546" spans="2:8" ht="15" customHeight="1" x14ac:dyDescent="0.4">
      <c r="B15546" s="3" t="s">
        <v>7</v>
      </c>
      <c r="C15546" s="3" t="s">
        <v>2455</v>
      </c>
      <c r="D15546" s="4">
        <f>DATE(2003,12,22)</f>
        <v>37977</v>
      </c>
      <c r="E15546" s="5">
        <f t="shared" si="255"/>
        <v>2003</v>
      </c>
      <c r="F15546" s="3" t="s">
        <v>2456</v>
      </c>
      <c r="G15546" s="6">
        <v>15246.2</v>
      </c>
      <c r="H15546" s="5">
        <v>1557</v>
      </c>
    </row>
    <row r="15547" spans="2:8" ht="15" customHeight="1" x14ac:dyDescent="0.4">
      <c r="B15547" s="3" t="s">
        <v>7</v>
      </c>
      <c r="C15547" s="3" t="s">
        <v>2455</v>
      </c>
      <c r="D15547" s="4">
        <f>DATE(2005,12,9)</f>
        <v>38695</v>
      </c>
      <c r="E15547" s="5">
        <f t="shared" si="255"/>
        <v>2005</v>
      </c>
      <c r="F15547" s="3" t="s">
        <v>2456</v>
      </c>
      <c r="G15547" s="6">
        <v>15915.26</v>
      </c>
      <c r="H15547" s="5">
        <v>5182</v>
      </c>
    </row>
    <row r="15548" spans="2:8" ht="15" customHeight="1" x14ac:dyDescent="0.4">
      <c r="B15548" s="3" t="s">
        <v>7</v>
      </c>
      <c r="C15548" s="3" t="s">
        <v>2455</v>
      </c>
      <c r="D15548" s="4">
        <f>DATE(2006,12,7)</f>
        <v>39058</v>
      </c>
      <c r="E15548" s="5">
        <f t="shared" si="255"/>
        <v>2006</v>
      </c>
      <c r="F15548" s="3" t="s">
        <v>2456</v>
      </c>
      <c r="G15548" s="6">
        <v>12700</v>
      </c>
      <c r="H15548" s="5">
        <v>7130</v>
      </c>
    </row>
    <row r="15549" spans="2:8" ht="15" customHeight="1" x14ac:dyDescent="0.4">
      <c r="B15549" s="3" t="s">
        <v>7</v>
      </c>
      <c r="C15549" s="3" t="s">
        <v>2455</v>
      </c>
      <c r="D15549" s="4">
        <f>DATE(2009,2,12)</f>
        <v>39856</v>
      </c>
      <c r="E15549" s="5">
        <f t="shared" si="255"/>
        <v>2009</v>
      </c>
      <c r="F15549" s="3" t="s">
        <v>2456</v>
      </c>
      <c r="G15549" s="6">
        <v>18717.39</v>
      </c>
      <c r="H15549" s="5">
        <v>11103</v>
      </c>
    </row>
    <row r="15550" spans="2:8" ht="15" customHeight="1" x14ac:dyDescent="0.4">
      <c r="B15550" s="3" t="s">
        <v>7</v>
      </c>
      <c r="C15550" s="3" t="s">
        <v>2455</v>
      </c>
      <c r="D15550" s="4">
        <f>DATE(2009,7,8)</f>
        <v>40002</v>
      </c>
      <c r="E15550" s="5">
        <f t="shared" si="255"/>
        <v>2009</v>
      </c>
      <c r="F15550" s="3" t="s">
        <v>2456</v>
      </c>
      <c r="G15550" s="6">
        <v>22815</v>
      </c>
      <c r="H15550" s="5">
        <v>12133</v>
      </c>
    </row>
    <row r="15551" spans="2:8" ht="15" customHeight="1" x14ac:dyDescent="0.4">
      <c r="B15551" s="3" t="s">
        <v>7</v>
      </c>
      <c r="C15551" s="3" t="s">
        <v>2455</v>
      </c>
      <c r="D15551" s="4">
        <f>DATE(2009,10,20)</f>
        <v>40106</v>
      </c>
      <c r="E15551" s="5">
        <f t="shared" si="255"/>
        <v>2009</v>
      </c>
      <c r="F15551" s="3" t="s">
        <v>2456</v>
      </c>
      <c r="G15551" s="6">
        <v>13905.21</v>
      </c>
      <c r="H15551" s="5">
        <v>12615</v>
      </c>
    </row>
    <row r="15552" spans="2:8" ht="15" customHeight="1" x14ac:dyDescent="0.4">
      <c r="B15552" s="3" t="s">
        <v>7</v>
      </c>
      <c r="C15552" s="3" t="s">
        <v>2455</v>
      </c>
      <c r="D15552" s="4">
        <f>DATE(2011,11,15)</f>
        <v>40862</v>
      </c>
      <c r="E15552" s="5">
        <f t="shared" si="255"/>
        <v>2011</v>
      </c>
      <c r="F15552" s="3" t="s">
        <v>2456</v>
      </c>
      <c r="G15552" s="6">
        <v>38175</v>
      </c>
      <c r="H15552" s="5">
        <v>15223</v>
      </c>
    </row>
    <row r="15553" spans="2:8" ht="15" customHeight="1" x14ac:dyDescent="0.4">
      <c r="B15553" s="3" t="s">
        <v>7</v>
      </c>
      <c r="C15553" s="3" t="s">
        <v>2457</v>
      </c>
      <c r="D15553" s="4">
        <f>DATE(2004,4,23)</f>
        <v>38100</v>
      </c>
      <c r="E15553" s="5">
        <f t="shared" si="255"/>
        <v>2004</v>
      </c>
      <c r="F15553" s="3" t="s">
        <v>2458</v>
      </c>
      <c r="G15553" s="6">
        <v>368.48</v>
      </c>
      <c r="H15553" s="5">
        <v>635</v>
      </c>
    </row>
    <row r="15554" spans="2:8" ht="15" customHeight="1" x14ac:dyDescent="0.4">
      <c r="B15554" s="3" t="s">
        <v>7</v>
      </c>
      <c r="C15554" s="3" t="s">
        <v>2459</v>
      </c>
      <c r="D15554" s="4">
        <f>DATE(2007,8,2)</f>
        <v>39296</v>
      </c>
      <c r="E15554" s="5">
        <f t="shared" si="255"/>
        <v>2007</v>
      </c>
      <c r="F15554" s="3" t="s">
        <v>2460</v>
      </c>
      <c r="G15554" s="6">
        <v>1815</v>
      </c>
      <c r="H15554" s="5">
        <v>8978</v>
      </c>
    </row>
    <row r="15555" spans="2:8" ht="15" customHeight="1" x14ac:dyDescent="0.4">
      <c r="B15555" s="3" t="s">
        <v>7</v>
      </c>
      <c r="C15555" s="3" t="s">
        <v>2459</v>
      </c>
      <c r="D15555" s="4">
        <f>DATE(2008,6,19)</f>
        <v>39618</v>
      </c>
      <c r="E15555" s="5">
        <f t="shared" ref="E15555:E15618" si="256">YEAR(D15555)</f>
        <v>2008</v>
      </c>
      <c r="F15555" s="3" t="s">
        <v>2460</v>
      </c>
      <c r="G15555" s="6">
        <v>3025</v>
      </c>
      <c r="H15555" s="5">
        <v>10869</v>
      </c>
    </row>
    <row r="15556" spans="2:8" ht="15" customHeight="1" x14ac:dyDescent="0.4">
      <c r="B15556" s="3" t="s">
        <v>7</v>
      </c>
      <c r="C15556" s="3" t="s">
        <v>2459</v>
      </c>
      <c r="D15556" s="4">
        <f>DATE(2009,7,9)</f>
        <v>40003</v>
      </c>
      <c r="E15556" s="5">
        <f t="shared" si="256"/>
        <v>2009</v>
      </c>
      <c r="F15556" s="3" t="s">
        <v>2460</v>
      </c>
      <c r="G15556" s="6">
        <v>2225</v>
      </c>
      <c r="H15556" s="5">
        <v>12777</v>
      </c>
    </row>
    <row r="15557" spans="2:8" ht="15" customHeight="1" x14ac:dyDescent="0.4">
      <c r="B15557" s="3" t="s">
        <v>7</v>
      </c>
      <c r="C15557" s="3" t="s">
        <v>2459</v>
      </c>
      <c r="D15557" s="4">
        <f>DATE(2009,8,3)</f>
        <v>40028</v>
      </c>
      <c r="E15557" s="5">
        <f t="shared" si="256"/>
        <v>2009</v>
      </c>
      <c r="F15557" s="3" t="s">
        <v>2460</v>
      </c>
      <c r="G15557" s="6">
        <v>4476</v>
      </c>
      <c r="H15557" s="5">
        <v>12854</v>
      </c>
    </row>
    <row r="15558" spans="2:8" ht="15" customHeight="1" x14ac:dyDescent="0.4">
      <c r="B15558" s="3" t="s">
        <v>7</v>
      </c>
      <c r="C15558" s="3" t="s">
        <v>2459</v>
      </c>
      <c r="D15558" s="4">
        <f>DATE(2010,6,11)</f>
        <v>40340</v>
      </c>
      <c r="E15558" s="5">
        <f t="shared" si="256"/>
        <v>2010</v>
      </c>
      <c r="F15558" s="3" t="s">
        <v>2460</v>
      </c>
      <c r="G15558" s="6">
        <v>1210</v>
      </c>
      <c r="H15558" s="5">
        <v>14157</v>
      </c>
    </row>
    <row r="15559" spans="2:8" ht="15" customHeight="1" x14ac:dyDescent="0.4">
      <c r="B15559" s="3" t="s">
        <v>7</v>
      </c>
      <c r="C15559" s="3" t="s">
        <v>2459</v>
      </c>
      <c r="D15559" s="4">
        <f>DATE(2011,1,17)</f>
        <v>40560</v>
      </c>
      <c r="E15559" s="5">
        <f t="shared" si="256"/>
        <v>2011</v>
      </c>
      <c r="F15559" s="3" t="s">
        <v>2460</v>
      </c>
      <c r="G15559" s="6">
        <v>2420</v>
      </c>
      <c r="H15559" s="5">
        <v>14920</v>
      </c>
    </row>
    <row r="15560" spans="2:8" ht="15" customHeight="1" x14ac:dyDescent="0.4">
      <c r="B15560" s="3" t="s">
        <v>7</v>
      </c>
      <c r="C15560" s="3" t="s">
        <v>2459</v>
      </c>
      <c r="D15560" s="4">
        <f>DATE(2011,10,13)</f>
        <v>40829</v>
      </c>
      <c r="E15560" s="5">
        <f t="shared" si="256"/>
        <v>2011</v>
      </c>
      <c r="F15560" s="3" t="s">
        <v>2460</v>
      </c>
      <c r="G15560" s="6">
        <v>3025</v>
      </c>
      <c r="H15560" s="5">
        <v>16074</v>
      </c>
    </row>
    <row r="15561" spans="2:8" ht="15" customHeight="1" x14ac:dyDescent="0.4">
      <c r="B15561" s="3" t="s">
        <v>7</v>
      </c>
      <c r="C15561" s="3" t="s">
        <v>2459</v>
      </c>
      <c r="D15561" s="4">
        <f>DATE(2013,5,29)</f>
        <v>41423</v>
      </c>
      <c r="E15561" s="5">
        <f t="shared" si="256"/>
        <v>2013</v>
      </c>
      <c r="F15561" s="3" t="s">
        <v>2460</v>
      </c>
      <c r="G15561" s="6">
        <v>4840</v>
      </c>
      <c r="H15561" s="5">
        <v>18613</v>
      </c>
    </row>
    <row r="15562" spans="2:8" ht="15" customHeight="1" x14ac:dyDescent="0.4">
      <c r="B15562" s="3" t="s">
        <v>7</v>
      </c>
      <c r="C15562" s="3" t="s">
        <v>2459</v>
      </c>
      <c r="D15562" s="4">
        <f>DATE(2014,4,24)</f>
        <v>41753</v>
      </c>
      <c r="E15562" s="5">
        <f t="shared" si="256"/>
        <v>2014</v>
      </c>
      <c r="F15562" s="3" t="s">
        <v>2460</v>
      </c>
      <c r="G15562" s="6">
        <v>4840</v>
      </c>
      <c r="H15562" s="5">
        <v>19878</v>
      </c>
    </row>
    <row r="15563" spans="2:8" ht="15" customHeight="1" x14ac:dyDescent="0.4">
      <c r="B15563" s="3" t="s">
        <v>7</v>
      </c>
      <c r="C15563" s="3" t="s">
        <v>1712</v>
      </c>
      <c r="D15563" s="4">
        <f>DATE(2004,12,13)</f>
        <v>38334</v>
      </c>
      <c r="E15563" s="5">
        <f t="shared" si="256"/>
        <v>2004</v>
      </c>
      <c r="F15563" s="3" t="s">
        <v>2461</v>
      </c>
      <c r="G15563" s="6">
        <v>982.25</v>
      </c>
      <c r="H15563" s="5">
        <v>3806</v>
      </c>
    </row>
    <row r="15564" spans="2:8" ht="15" customHeight="1" x14ac:dyDescent="0.4">
      <c r="B15564" t="s">
        <v>7</v>
      </c>
      <c r="C15564" t="s">
        <v>1712</v>
      </c>
      <c r="D15564" s="7">
        <f>DATE(2015,2,10)</f>
        <v>42045</v>
      </c>
      <c r="E15564" s="8">
        <f t="shared" si="256"/>
        <v>2015</v>
      </c>
      <c r="F15564" t="s">
        <v>2462</v>
      </c>
      <c r="G15564" s="9">
        <v>49400.41</v>
      </c>
      <c r="H15564" s="8">
        <v>27</v>
      </c>
    </row>
    <row r="15565" spans="2:8" ht="15" customHeight="1" x14ac:dyDescent="0.4">
      <c r="B15565" t="s">
        <v>7</v>
      </c>
      <c r="C15565" t="s">
        <v>1712</v>
      </c>
      <c r="D15565" s="7">
        <f>DATE(2015,3,17)</f>
        <v>42080</v>
      </c>
      <c r="E15565" s="8">
        <f t="shared" si="256"/>
        <v>2015</v>
      </c>
      <c r="F15565" t="s">
        <v>2462</v>
      </c>
      <c r="G15565" s="9">
        <v>41000</v>
      </c>
      <c r="H15565" s="8">
        <v>20202</v>
      </c>
    </row>
    <row r="15566" spans="2:8" ht="15" customHeight="1" x14ac:dyDescent="0.4">
      <c r="B15566" t="s">
        <v>16</v>
      </c>
      <c r="C15566" t="s">
        <v>1712</v>
      </c>
      <c r="D15566" s="7">
        <f>DATE(2015,3,1)</f>
        <v>42064</v>
      </c>
      <c r="E15566" s="8">
        <f t="shared" si="256"/>
        <v>2015</v>
      </c>
      <c r="F15566" t="s">
        <v>2462</v>
      </c>
      <c r="G15566" s="9">
        <v>49400.41</v>
      </c>
      <c r="H15566" s="8">
        <v>20201</v>
      </c>
    </row>
    <row r="15567" spans="2:8" ht="15" customHeight="1" x14ac:dyDescent="0.4">
      <c r="B15567" t="s">
        <v>7</v>
      </c>
      <c r="C15567" t="s">
        <v>1712</v>
      </c>
      <c r="D15567" s="7">
        <f>DATE(2011,2,10)</f>
        <v>40584</v>
      </c>
      <c r="E15567" s="8">
        <f t="shared" si="256"/>
        <v>2011</v>
      </c>
      <c r="F15567" t="s">
        <v>2462</v>
      </c>
      <c r="G15567" s="9">
        <v>16426.29</v>
      </c>
      <c r="H15567" s="8">
        <v>10326</v>
      </c>
    </row>
    <row r="15568" spans="2:8" ht="15" customHeight="1" x14ac:dyDescent="0.4">
      <c r="B15568" t="s">
        <v>7</v>
      </c>
      <c r="C15568" t="s">
        <v>1712</v>
      </c>
      <c r="D15568" s="7">
        <f>DATE(2013,1,23)</f>
        <v>41297</v>
      </c>
      <c r="E15568" s="8">
        <f t="shared" si="256"/>
        <v>2013</v>
      </c>
      <c r="F15568" t="s">
        <v>2462</v>
      </c>
      <c r="G15568" s="9">
        <v>7305.5</v>
      </c>
      <c r="H15568" s="8">
        <v>12070</v>
      </c>
    </row>
    <row r="15569" spans="2:8" ht="15" customHeight="1" x14ac:dyDescent="0.4">
      <c r="B15569" t="s">
        <v>7</v>
      </c>
      <c r="C15569" t="s">
        <v>1712</v>
      </c>
      <c r="D15569" s="7">
        <f>DATE(2013,1,23)</f>
        <v>41297</v>
      </c>
      <c r="E15569" s="8">
        <f t="shared" si="256"/>
        <v>2013</v>
      </c>
      <c r="F15569" t="s">
        <v>2462</v>
      </c>
      <c r="G15569" s="9">
        <v>7205.5</v>
      </c>
      <c r="H15569" s="8">
        <v>12071</v>
      </c>
    </row>
    <row r="15570" spans="2:8" ht="15" customHeight="1" x14ac:dyDescent="0.4">
      <c r="B15570" t="s">
        <v>7</v>
      </c>
      <c r="C15570" t="s">
        <v>1712</v>
      </c>
      <c r="D15570" s="7">
        <f>DATE(2013,1,23)</f>
        <v>41297</v>
      </c>
      <c r="E15570" s="8">
        <f t="shared" si="256"/>
        <v>2013</v>
      </c>
      <c r="F15570" t="s">
        <v>2462</v>
      </c>
      <c r="G15570" s="9">
        <v>15302</v>
      </c>
      <c r="H15570" s="8">
        <v>12068</v>
      </c>
    </row>
    <row r="15571" spans="2:8" ht="15" customHeight="1" x14ac:dyDescent="0.4">
      <c r="B15571" t="s">
        <v>7</v>
      </c>
      <c r="C15571" t="s">
        <v>1712</v>
      </c>
      <c r="D15571" s="7">
        <f>DATE(2013,1,24)</f>
        <v>41298</v>
      </c>
      <c r="E15571" s="8">
        <f t="shared" si="256"/>
        <v>2013</v>
      </c>
      <c r="F15571" t="s">
        <v>2462</v>
      </c>
      <c r="G15571" s="9">
        <v>14052</v>
      </c>
      <c r="H15571" s="8">
        <v>12069</v>
      </c>
    </row>
    <row r="15572" spans="2:8" ht="15" customHeight="1" x14ac:dyDescent="0.4">
      <c r="B15572" t="s">
        <v>7</v>
      </c>
      <c r="C15572" t="s">
        <v>1712</v>
      </c>
      <c r="D15572" s="7">
        <f>DATE(2013,1,24)</f>
        <v>41298</v>
      </c>
      <c r="E15572" s="8">
        <f t="shared" si="256"/>
        <v>2013</v>
      </c>
      <c r="F15572" t="s">
        <v>2462</v>
      </c>
      <c r="G15572" s="9">
        <v>15712</v>
      </c>
      <c r="H15572" s="8">
        <v>12067</v>
      </c>
    </row>
    <row r="15573" spans="2:8" ht="15" customHeight="1" x14ac:dyDescent="0.4">
      <c r="B15573" t="s">
        <v>7</v>
      </c>
      <c r="C15573" t="s">
        <v>1712</v>
      </c>
      <c r="D15573" s="7">
        <f>DATE(2013,4,18)</f>
        <v>41382</v>
      </c>
      <c r="E15573" s="8">
        <f t="shared" si="256"/>
        <v>2013</v>
      </c>
      <c r="F15573" t="s">
        <v>2462</v>
      </c>
      <c r="G15573" s="9">
        <v>6521.13</v>
      </c>
      <c r="H15573" s="8">
        <v>12361</v>
      </c>
    </row>
    <row r="15574" spans="2:8" ht="15" customHeight="1" x14ac:dyDescent="0.4">
      <c r="B15574" s="3" t="s">
        <v>7</v>
      </c>
      <c r="C15574" s="3" t="s">
        <v>1712</v>
      </c>
      <c r="D15574" s="4">
        <f>DATE(2013,1,17)</f>
        <v>41291</v>
      </c>
      <c r="E15574" s="5">
        <f t="shared" si="256"/>
        <v>2013</v>
      </c>
      <c r="F15574" s="3" t="s">
        <v>2462</v>
      </c>
      <c r="G15574" s="6">
        <v>595.20000000000005</v>
      </c>
      <c r="H15574" s="5">
        <v>17992</v>
      </c>
    </row>
    <row r="15575" spans="2:8" ht="15" customHeight="1" x14ac:dyDescent="0.4">
      <c r="B15575" s="3" t="s">
        <v>7</v>
      </c>
      <c r="C15575" s="3" t="s">
        <v>1712</v>
      </c>
      <c r="D15575" s="4">
        <f>DATE(2013,1,30)</f>
        <v>41304</v>
      </c>
      <c r="E15575" s="5">
        <f t="shared" si="256"/>
        <v>2013</v>
      </c>
      <c r="F15575" s="3" t="s">
        <v>2462</v>
      </c>
      <c r="G15575" s="6">
        <v>1002.33</v>
      </c>
      <c r="H15575" s="5">
        <v>18016</v>
      </c>
    </row>
    <row r="15576" spans="2:8" ht="15" customHeight="1" x14ac:dyDescent="0.4">
      <c r="B15576" t="s">
        <v>7</v>
      </c>
      <c r="C15576" t="s">
        <v>2463</v>
      </c>
      <c r="D15576" s="7">
        <f>DATE(2015,12,9)</f>
        <v>42347</v>
      </c>
      <c r="E15576" s="8">
        <f t="shared" si="256"/>
        <v>2015</v>
      </c>
      <c r="F15576" t="s">
        <v>2464</v>
      </c>
      <c r="G15576" s="9">
        <v>169.26</v>
      </c>
      <c r="H15576" s="8">
        <v>21732</v>
      </c>
    </row>
    <row r="15577" spans="2:8" ht="15" customHeight="1" x14ac:dyDescent="0.4">
      <c r="B15577" t="s">
        <v>7</v>
      </c>
      <c r="C15577" t="s">
        <v>2463</v>
      </c>
      <c r="D15577" s="7">
        <f>DATE(2018,11,1)</f>
        <v>43405</v>
      </c>
      <c r="E15577" s="8">
        <f t="shared" si="256"/>
        <v>2018</v>
      </c>
      <c r="F15577" t="s">
        <v>2464</v>
      </c>
      <c r="G15577" s="9">
        <v>1019.56</v>
      </c>
      <c r="H15577" s="8">
        <v>27903</v>
      </c>
    </row>
    <row r="15578" spans="2:8" ht="15" customHeight="1" x14ac:dyDescent="0.4">
      <c r="B15578" t="s">
        <v>7</v>
      </c>
      <c r="C15578" t="s">
        <v>2463</v>
      </c>
      <c r="D15578" s="7">
        <f>DATE(2019,1,22)</f>
        <v>43487</v>
      </c>
      <c r="E15578" s="8">
        <f t="shared" si="256"/>
        <v>2019</v>
      </c>
      <c r="F15578" t="s">
        <v>2464</v>
      </c>
      <c r="G15578" s="9">
        <v>170.26</v>
      </c>
      <c r="H15578" s="8">
        <v>28239</v>
      </c>
    </row>
    <row r="15579" spans="2:8" ht="15" customHeight="1" x14ac:dyDescent="0.4">
      <c r="B15579" t="s">
        <v>7</v>
      </c>
      <c r="C15579" t="s">
        <v>2465</v>
      </c>
      <c r="D15579" s="7">
        <f>DATE(2005,6,29)</f>
        <v>38532</v>
      </c>
      <c r="E15579" s="8">
        <f t="shared" si="256"/>
        <v>2005</v>
      </c>
      <c r="F15579" t="s">
        <v>2466</v>
      </c>
      <c r="G15579" s="9">
        <v>500</v>
      </c>
      <c r="H15579" s="8">
        <v>3340</v>
      </c>
    </row>
    <row r="15580" spans="2:8" ht="15" customHeight="1" x14ac:dyDescent="0.4">
      <c r="B15580" t="s">
        <v>7</v>
      </c>
      <c r="C15580" t="s">
        <v>2467</v>
      </c>
      <c r="D15580" s="7">
        <f>DATE(2015,4,17)</f>
        <v>42111</v>
      </c>
      <c r="E15580" s="8">
        <f t="shared" si="256"/>
        <v>2015</v>
      </c>
      <c r="F15580" t="s">
        <v>2468</v>
      </c>
      <c r="G15580" s="9">
        <v>20798</v>
      </c>
      <c r="H15580" s="8">
        <v>177</v>
      </c>
    </row>
    <row r="15581" spans="2:8" ht="15" customHeight="1" x14ac:dyDescent="0.4">
      <c r="B15581" t="s">
        <v>7</v>
      </c>
      <c r="C15581" t="s">
        <v>2467</v>
      </c>
      <c r="D15581" s="7">
        <f>DATE(2015,4,17)</f>
        <v>42111</v>
      </c>
      <c r="E15581" s="8">
        <f t="shared" si="256"/>
        <v>2015</v>
      </c>
      <c r="F15581" t="s">
        <v>2468</v>
      </c>
      <c r="G15581" s="9">
        <v>4747</v>
      </c>
      <c r="H15581" s="8">
        <v>179</v>
      </c>
    </row>
    <row r="15582" spans="2:8" ht="15" customHeight="1" x14ac:dyDescent="0.4">
      <c r="B15582" t="s">
        <v>7</v>
      </c>
      <c r="C15582" t="s">
        <v>2467</v>
      </c>
      <c r="D15582" s="7">
        <f>DATE(2015,6,2)</f>
        <v>42157</v>
      </c>
      <c r="E15582" s="8">
        <f t="shared" si="256"/>
        <v>2015</v>
      </c>
      <c r="F15582" t="s">
        <v>2468</v>
      </c>
      <c r="G15582" s="9">
        <v>3306</v>
      </c>
      <c r="H15582" s="8">
        <v>20612</v>
      </c>
    </row>
    <row r="15583" spans="2:8" ht="15" customHeight="1" x14ac:dyDescent="0.4">
      <c r="B15583" t="s">
        <v>7</v>
      </c>
      <c r="C15583" t="s">
        <v>2467</v>
      </c>
      <c r="D15583" s="7">
        <f>DATE(2015,6,2)</f>
        <v>42157</v>
      </c>
      <c r="E15583" s="8">
        <f t="shared" si="256"/>
        <v>2015</v>
      </c>
      <c r="F15583" t="s">
        <v>2468</v>
      </c>
      <c r="G15583" s="9">
        <v>16727</v>
      </c>
      <c r="H15583" s="8">
        <v>20611</v>
      </c>
    </row>
    <row r="15584" spans="2:8" ht="15" customHeight="1" x14ac:dyDescent="0.4">
      <c r="B15584" t="s">
        <v>7</v>
      </c>
      <c r="C15584" t="s">
        <v>2467</v>
      </c>
      <c r="D15584" s="7">
        <f>DATE(2015,5,14)</f>
        <v>42138</v>
      </c>
      <c r="E15584" s="8">
        <f t="shared" si="256"/>
        <v>2015</v>
      </c>
      <c r="F15584" t="s">
        <v>2468</v>
      </c>
      <c r="G15584" s="9">
        <v>897</v>
      </c>
      <c r="H15584" s="8">
        <v>20474</v>
      </c>
    </row>
    <row r="15585" spans="2:8" ht="15" customHeight="1" x14ac:dyDescent="0.4">
      <c r="B15585" t="s">
        <v>7</v>
      </c>
      <c r="C15585" t="s">
        <v>2467</v>
      </c>
      <c r="D15585" s="7">
        <f>DATE(2010,10,27)</f>
        <v>40478</v>
      </c>
      <c r="E15585" s="8">
        <f t="shared" si="256"/>
        <v>2010</v>
      </c>
      <c r="F15585" t="s">
        <v>2468</v>
      </c>
      <c r="G15585" s="9">
        <v>14820</v>
      </c>
      <c r="H15585" s="8">
        <v>10107</v>
      </c>
    </row>
    <row r="15586" spans="2:8" ht="15" customHeight="1" x14ac:dyDescent="0.4">
      <c r="B15586" t="s">
        <v>7</v>
      </c>
      <c r="C15586" t="s">
        <v>2467</v>
      </c>
      <c r="D15586" s="7">
        <f>DATE(2011,10,7)</f>
        <v>40823</v>
      </c>
      <c r="E15586" s="8">
        <f t="shared" si="256"/>
        <v>2011</v>
      </c>
      <c r="F15586" t="s">
        <v>2468</v>
      </c>
      <c r="G15586" s="9">
        <v>14820</v>
      </c>
      <c r="H15586" s="8">
        <v>10849</v>
      </c>
    </row>
    <row r="15587" spans="2:8" ht="15" customHeight="1" x14ac:dyDescent="0.4">
      <c r="B15587" t="s">
        <v>7</v>
      </c>
      <c r="C15587" t="s">
        <v>2467</v>
      </c>
      <c r="D15587" s="7">
        <f>DATE(2011,10,17)</f>
        <v>40833</v>
      </c>
      <c r="E15587" s="8">
        <f t="shared" si="256"/>
        <v>2011</v>
      </c>
      <c r="F15587" t="s">
        <v>2468</v>
      </c>
      <c r="G15587" s="9">
        <v>14820</v>
      </c>
      <c r="H15587" s="8">
        <v>10850</v>
      </c>
    </row>
    <row r="15588" spans="2:8" ht="15" customHeight="1" x14ac:dyDescent="0.4">
      <c r="B15588" t="s">
        <v>7</v>
      </c>
      <c r="C15588" t="s">
        <v>2467</v>
      </c>
      <c r="D15588" s="7">
        <f>DATE(2011,10,18)</f>
        <v>40834</v>
      </c>
      <c r="E15588" s="8">
        <f t="shared" si="256"/>
        <v>2011</v>
      </c>
      <c r="F15588" t="s">
        <v>2468</v>
      </c>
      <c r="G15588" s="9">
        <v>4765.01</v>
      </c>
      <c r="H15588" s="8">
        <v>10936</v>
      </c>
    </row>
    <row r="15589" spans="2:8" ht="15" customHeight="1" x14ac:dyDescent="0.4">
      <c r="B15589" t="s">
        <v>7</v>
      </c>
      <c r="C15589" t="s">
        <v>2467</v>
      </c>
      <c r="D15589" s="7">
        <f>DATE(2011,10,18)</f>
        <v>40834</v>
      </c>
      <c r="E15589" s="8">
        <f t="shared" si="256"/>
        <v>2011</v>
      </c>
      <c r="F15589" t="s">
        <v>2468</v>
      </c>
      <c r="G15589" s="9">
        <v>3145.54</v>
      </c>
      <c r="H15589" s="8">
        <v>10849</v>
      </c>
    </row>
    <row r="15590" spans="2:8" ht="15" customHeight="1" x14ac:dyDescent="0.4">
      <c r="B15590" t="s">
        <v>7</v>
      </c>
      <c r="C15590" t="s">
        <v>2467</v>
      </c>
      <c r="D15590" s="7">
        <f>DATE(2011,10,25)</f>
        <v>40841</v>
      </c>
      <c r="E15590" s="8">
        <f t="shared" si="256"/>
        <v>2011</v>
      </c>
      <c r="F15590" t="s">
        <v>2468</v>
      </c>
      <c r="G15590" s="9">
        <v>14820</v>
      </c>
      <c r="H15590" s="8">
        <v>11064</v>
      </c>
    </row>
    <row r="15591" spans="2:8" ht="15" customHeight="1" x14ac:dyDescent="0.4">
      <c r="B15591" t="s">
        <v>7</v>
      </c>
      <c r="C15591" t="s">
        <v>2467</v>
      </c>
      <c r="D15591" s="7">
        <f>DATE(2011,11,4)</f>
        <v>40851</v>
      </c>
      <c r="E15591" s="8">
        <f t="shared" si="256"/>
        <v>2011</v>
      </c>
      <c r="F15591" t="s">
        <v>2468</v>
      </c>
      <c r="G15591" s="9">
        <v>3604.01</v>
      </c>
      <c r="H15591" s="8">
        <v>10937</v>
      </c>
    </row>
    <row r="15592" spans="2:8" ht="15" customHeight="1" x14ac:dyDescent="0.4">
      <c r="B15592" t="s">
        <v>7</v>
      </c>
      <c r="C15592" t="s">
        <v>2467</v>
      </c>
      <c r="D15592" s="7">
        <f>DATE(2012,1,23)</f>
        <v>40931</v>
      </c>
      <c r="E15592" s="8">
        <f t="shared" si="256"/>
        <v>2012</v>
      </c>
      <c r="F15592" t="s">
        <v>2468</v>
      </c>
      <c r="G15592" s="9">
        <v>3944.01</v>
      </c>
      <c r="H15592" s="8">
        <v>11155</v>
      </c>
    </row>
    <row r="15593" spans="2:8" ht="15" customHeight="1" x14ac:dyDescent="0.4">
      <c r="B15593" t="s">
        <v>7</v>
      </c>
      <c r="C15593" t="s">
        <v>2467</v>
      </c>
      <c r="D15593" s="7">
        <f>DATE(2012,1,23)</f>
        <v>40931</v>
      </c>
      <c r="E15593" s="8">
        <f t="shared" si="256"/>
        <v>2012</v>
      </c>
      <c r="F15593" t="s">
        <v>2468</v>
      </c>
      <c r="G15593" s="9">
        <v>18959</v>
      </c>
      <c r="H15593" s="8">
        <v>11154</v>
      </c>
    </row>
    <row r="15594" spans="2:8" ht="15" customHeight="1" x14ac:dyDescent="0.4">
      <c r="B15594" t="s">
        <v>7</v>
      </c>
      <c r="C15594" t="s">
        <v>2467</v>
      </c>
      <c r="D15594" s="7">
        <f>DATE(2012,2,14)</f>
        <v>40953</v>
      </c>
      <c r="E15594" s="8">
        <f t="shared" si="256"/>
        <v>2012</v>
      </c>
      <c r="F15594" t="s">
        <v>2468</v>
      </c>
      <c r="G15594" s="9">
        <v>18959</v>
      </c>
      <c r="H15594" s="8">
        <v>11152</v>
      </c>
    </row>
    <row r="15595" spans="2:8" ht="15" customHeight="1" x14ac:dyDescent="0.4">
      <c r="B15595" t="s">
        <v>7</v>
      </c>
      <c r="C15595" t="s">
        <v>2467</v>
      </c>
      <c r="D15595" s="7">
        <f>DATE(2012,2,14)</f>
        <v>40953</v>
      </c>
      <c r="E15595" s="8">
        <f t="shared" si="256"/>
        <v>2012</v>
      </c>
      <c r="F15595" t="s">
        <v>2468</v>
      </c>
      <c r="G15595" s="9">
        <v>4400.2</v>
      </c>
      <c r="H15595" s="8">
        <v>11153</v>
      </c>
    </row>
    <row r="15596" spans="2:8" ht="15" customHeight="1" x14ac:dyDescent="0.4">
      <c r="B15596" t="s">
        <v>7</v>
      </c>
      <c r="C15596" t="s">
        <v>2467</v>
      </c>
      <c r="D15596" s="7">
        <f>DATE(2012,4,20)</f>
        <v>41019</v>
      </c>
      <c r="E15596" s="8">
        <f t="shared" si="256"/>
        <v>2012</v>
      </c>
      <c r="F15596" t="s">
        <v>2468</v>
      </c>
      <c r="G15596" s="9">
        <v>20937</v>
      </c>
      <c r="H15596" s="8">
        <v>11536</v>
      </c>
    </row>
    <row r="15597" spans="2:8" ht="15" customHeight="1" x14ac:dyDescent="0.4">
      <c r="B15597" t="s">
        <v>7</v>
      </c>
      <c r="C15597" t="s">
        <v>2467</v>
      </c>
      <c r="D15597" s="7">
        <f>DATE(2013,2,20)</f>
        <v>41325</v>
      </c>
      <c r="E15597" s="8">
        <f t="shared" si="256"/>
        <v>2013</v>
      </c>
      <c r="F15597" t="s">
        <v>2468</v>
      </c>
      <c r="G15597" s="9">
        <v>17890</v>
      </c>
      <c r="H15597" s="8">
        <v>12174</v>
      </c>
    </row>
    <row r="15598" spans="2:8" ht="15" customHeight="1" x14ac:dyDescent="0.4">
      <c r="B15598" t="s">
        <v>7</v>
      </c>
      <c r="C15598" t="s">
        <v>2467</v>
      </c>
      <c r="D15598" s="7">
        <f>DATE(2013,2,20)</f>
        <v>41325</v>
      </c>
      <c r="E15598" s="8">
        <f t="shared" si="256"/>
        <v>2013</v>
      </c>
      <c r="F15598" t="s">
        <v>2468</v>
      </c>
      <c r="G15598" s="9">
        <v>2097</v>
      </c>
      <c r="H15598" s="8">
        <v>12175</v>
      </c>
    </row>
    <row r="15599" spans="2:8" ht="15" customHeight="1" x14ac:dyDescent="0.4">
      <c r="B15599" t="s">
        <v>7</v>
      </c>
      <c r="C15599" t="s">
        <v>2467</v>
      </c>
      <c r="D15599" s="7">
        <f>DATE(2013,4,3)</f>
        <v>41367</v>
      </c>
      <c r="E15599" s="8">
        <f t="shared" si="256"/>
        <v>2013</v>
      </c>
      <c r="F15599" t="s">
        <v>2468</v>
      </c>
      <c r="G15599" s="9">
        <v>17890</v>
      </c>
      <c r="H15599" s="8">
        <v>12171</v>
      </c>
    </row>
    <row r="15600" spans="2:8" ht="15" customHeight="1" x14ac:dyDescent="0.4">
      <c r="B15600" t="s">
        <v>7</v>
      </c>
      <c r="C15600" t="s">
        <v>2467</v>
      </c>
      <c r="D15600" s="7">
        <f>DATE(2013,4,3)</f>
        <v>41367</v>
      </c>
      <c r="E15600" s="8">
        <f t="shared" si="256"/>
        <v>2013</v>
      </c>
      <c r="F15600" t="s">
        <v>2468</v>
      </c>
      <c r="G15600" s="9">
        <v>1525</v>
      </c>
      <c r="H15600" s="8">
        <v>12168</v>
      </c>
    </row>
    <row r="15601" spans="2:8" ht="15" customHeight="1" x14ac:dyDescent="0.4">
      <c r="B15601" t="s">
        <v>7</v>
      </c>
      <c r="C15601" t="s">
        <v>2467</v>
      </c>
      <c r="D15601" s="7">
        <f>DATE(2013,4,30)</f>
        <v>41394</v>
      </c>
      <c r="E15601" s="8">
        <f t="shared" si="256"/>
        <v>2013</v>
      </c>
      <c r="F15601" t="s">
        <v>2468</v>
      </c>
      <c r="G15601" s="9">
        <v>14803</v>
      </c>
      <c r="H15601" s="8">
        <v>12344</v>
      </c>
    </row>
    <row r="15602" spans="2:8" ht="15" customHeight="1" x14ac:dyDescent="0.4">
      <c r="B15602" t="s">
        <v>7</v>
      </c>
      <c r="C15602" t="s">
        <v>2467</v>
      </c>
      <c r="D15602" s="7">
        <f>DATE(2013,4,30)</f>
        <v>41394</v>
      </c>
      <c r="E15602" s="8">
        <f t="shared" si="256"/>
        <v>2013</v>
      </c>
      <c r="F15602" t="s">
        <v>2468</v>
      </c>
      <c r="G15602" s="9">
        <v>17890</v>
      </c>
      <c r="H15602" s="8">
        <v>12172</v>
      </c>
    </row>
    <row r="15603" spans="2:8" ht="15" customHeight="1" x14ac:dyDescent="0.4">
      <c r="B15603" t="s">
        <v>7</v>
      </c>
      <c r="C15603" t="s">
        <v>2467</v>
      </c>
      <c r="D15603" s="7">
        <f>DATE(2013,4,30)</f>
        <v>41394</v>
      </c>
      <c r="E15603" s="8">
        <f t="shared" si="256"/>
        <v>2013</v>
      </c>
      <c r="F15603" t="s">
        <v>2468</v>
      </c>
      <c r="G15603" s="9">
        <v>2808.46</v>
      </c>
      <c r="H15603" s="8">
        <v>12169</v>
      </c>
    </row>
    <row r="15604" spans="2:8" ht="15" customHeight="1" x14ac:dyDescent="0.4">
      <c r="B15604" t="s">
        <v>7</v>
      </c>
      <c r="C15604" t="s">
        <v>2467</v>
      </c>
      <c r="D15604" s="7">
        <f>DATE(2013,4,30)</f>
        <v>41394</v>
      </c>
      <c r="E15604" s="8">
        <f t="shared" si="256"/>
        <v>2013</v>
      </c>
      <c r="F15604" t="s">
        <v>2468</v>
      </c>
      <c r="G15604" s="9">
        <v>2257</v>
      </c>
      <c r="H15604" s="8">
        <v>12345</v>
      </c>
    </row>
    <row r="15605" spans="2:8" ht="15" customHeight="1" x14ac:dyDescent="0.4">
      <c r="B15605" t="s">
        <v>7</v>
      </c>
      <c r="C15605" t="s">
        <v>2467</v>
      </c>
      <c r="D15605" s="7">
        <f>DATE(2013,9,24)</f>
        <v>41541</v>
      </c>
      <c r="E15605" s="8">
        <f t="shared" si="256"/>
        <v>2013</v>
      </c>
      <c r="F15605" t="s">
        <v>2468</v>
      </c>
      <c r="G15605" s="9">
        <v>2863</v>
      </c>
      <c r="H15605" s="8">
        <v>12170</v>
      </c>
    </row>
    <row r="15606" spans="2:8" ht="15" customHeight="1" x14ac:dyDescent="0.4">
      <c r="B15606" t="s">
        <v>7</v>
      </c>
      <c r="C15606" t="s">
        <v>2467</v>
      </c>
      <c r="D15606" s="7">
        <f>DATE(2013,9,24)</f>
        <v>41541</v>
      </c>
      <c r="E15606" s="8">
        <f t="shared" si="256"/>
        <v>2013</v>
      </c>
      <c r="F15606" t="s">
        <v>2468</v>
      </c>
      <c r="G15606" s="9">
        <v>17890</v>
      </c>
      <c r="H15606" s="8">
        <v>12173</v>
      </c>
    </row>
    <row r="15607" spans="2:8" ht="15" customHeight="1" x14ac:dyDescent="0.4">
      <c r="B15607" t="s">
        <v>7</v>
      </c>
      <c r="C15607" t="s">
        <v>2467</v>
      </c>
      <c r="D15607" s="7">
        <f>DATE(2014,4,3)</f>
        <v>41732</v>
      </c>
      <c r="E15607" s="8">
        <f t="shared" si="256"/>
        <v>2014</v>
      </c>
      <c r="F15607" t="s">
        <v>2468</v>
      </c>
      <c r="G15607" s="9">
        <v>17890</v>
      </c>
      <c r="H15607" s="8">
        <v>12971</v>
      </c>
    </row>
    <row r="15608" spans="2:8" ht="15" customHeight="1" x14ac:dyDescent="0.4">
      <c r="B15608" t="s">
        <v>7</v>
      </c>
      <c r="C15608" t="s">
        <v>2467</v>
      </c>
      <c r="D15608" s="7">
        <f>DATE(2014,4,3)</f>
        <v>41732</v>
      </c>
      <c r="E15608" s="8">
        <f t="shared" si="256"/>
        <v>2014</v>
      </c>
      <c r="F15608" t="s">
        <v>2468</v>
      </c>
      <c r="G15608" s="9">
        <v>2512</v>
      </c>
      <c r="H15608" s="8">
        <v>12974</v>
      </c>
    </row>
    <row r="15609" spans="2:8" ht="15" customHeight="1" x14ac:dyDescent="0.4">
      <c r="B15609" t="s">
        <v>7</v>
      </c>
      <c r="C15609" t="s">
        <v>2467</v>
      </c>
      <c r="D15609" s="7">
        <f>DATE(2014,4,23)</f>
        <v>41752</v>
      </c>
      <c r="E15609" s="8">
        <f t="shared" si="256"/>
        <v>2014</v>
      </c>
      <c r="F15609" t="s">
        <v>2468</v>
      </c>
      <c r="G15609" s="9">
        <v>17890</v>
      </c>
      <c r="H15609" s="8">
        <v>12982</v>
      </c>
    </row>
    <row r="15610" spans="2:8" ht="15" customHeight="1" x14ac:dyDescent="0.4">
      <c r="B15610" t="s">
        <v>7</v>
      </c>
      <c r="C15610" t="s">
        <v>2467</v>
      </c>
      <c r="D15610" s="7">
        <f>DATE(2014,4,23)</f>
        <v>41752</v>
      </c>
      <c r="E15610" s="8">
        <f t="shared" si="256"/>
        <v>2014</v>
      </c>
      <c r="F15610" t="s">
        <v>2468</v>
      </c>
      <c r="G15610" s="9">
        <v>3096</v>
      </c>
      <c r="H15610" s="8">
        <v>12981</v>
      </c>
    </row>
    <row r="15611" spans="2:8" ht="15" customHeight="1" x14ac:dyDescent="0.4">
      <c r="B15611" t="s">
        <v>7</v>
      </c>
      <c r="C15611" t="s">
        <v>2467</v>
      </c>
      <c r="D15611" s="7">
        <f>DATE(2014,5,28)</f>
        <v>41787</v>
      </c>
      <c r="E15611" s="8">
        <f t="shared" si="256"/>
        <v>2014</v>
      </c>
      <c r="F15611" t="s">
        <v>2468</v>
      </c>
      <c r="G15611" s="9">
        <v>17890</v>
      </c>
      <c r="H15611" s="8">
        <v>13170</v>
      </c>
    </row>
    <row r="15612" spans="2:8" ht="15" customHeight="1" x14ac:dyDescent="0.4">
      <c r="B15612" t="s">
        <v>7</v>
      </c>
      <c r="C15612" t="s">
        <v>2467</v>
      </c>
      <c r="D15612" s="7">
        <f>DATE(2014,5,28)</f>
        <v>41787</v>
      </c>
      <c r="E15612" s="8">
        <f t="shared" si="256"/>
        <v>2014</v>
      </c>
      <c r="F15612" t="s">
        <v>2468</v>
      </c>
      <c r="G15612" s="9">
        <v>2896</v>
      </c>
      <c r="H15612" s="8">
        <v>13171</v>
      </c>
    </row>
    <row r="15613" spans="2:8" ht="15" customHeight="1" x14ac:dyDescent="0.4">
      <c r="B15613" t="s">
        <v>7</v>
      </c>
      <c r="C15613" t="s">
        <v>2467</v>
      </c>
      <c r="D15613" s="7">
        <f>DATE(2014,10,29)</f>
        <v>41941</v>
      </c>
      <c r="E15613" s="8">
        <f t="shared" si="256"/>
        <v>2014</v>
      </c>
      <c r="F15613" t="s">
        <v>2468</v>
      </c>
      <c r="G15613" s="9">
        <v>16727</v>
      </c>
      <c r="H15613" s="8">
        <v>13480</v>
      </c>
    </row>
    <row r="15614" spans="2:8" ht="15" customHeight="1" x14ac:dyDescent="0.4">
      <c r="B15614" t="s">
        <v>7</v>
      </c>
      <c r="C15614" t="s">
        <v>2467</v>
      </c>
      <c r="D15614" s="7">
        <f>DATE(2014,10,29)</f>
        <v>41941</v>
      </c>
      <c r="E15614" s="8">
        <f t="shared" si="256"/>
        <v>2014</v>
      </c>
      <c r="F15614" t="s">
        <v>2468</v>
      </c>
      <c r="G15614" s="9">
        <v>3274</v>
      </c>
      <c r="H15614" s="8">
        <v>13479</v>
      </c>
    </row>
    <row r="15615" spans="2:8" ht="15" customHeight="1" x14ac:dyDescent="0.4">
      <c r="B15615" t="s">
        <v>7</v>
      </c>
      <c r="C15615" t="s">
        <v>2467</v>
      </c>
      <c r="D15615" s="7">
        <f>DATE(2013,4,12)</f>
        <v>41376</v>
      </c>
      <c r="E15615" s="8">
        <f t="shared" si="256"/>
        <v>2013</v>
      </c>
      <c r="F15615" t="s">
        <v>2468</v>
      </c>
      <c r="G15615" s="9">
        <v>5330.62</v>
      </c>
      <c r="H15615" s="8">
        <v>12372</v>
      </c>
    </row>
    <row r="15616" spans="2:8" ht="15" customHeight="1" x14ac:dyDescent="0.4">
      <c r="B15616" s="3" t="s">
        <v>7</v>
      </c>
      <c r="C15616" s="3" t="s">
        <v>2467</v>
      </c>
      <c r="D15616" s="4">
        <f>DATE(2003,1,13)</f>
        <v>37634</v>
      </c>
      <c r="E15616" s="5">
        <f t="shared" si="256"/>
        <v>2003</v>
      </c>
      <c r="F15616" s="3" t="s">
        <v>2468</v>
      </c>
      <c r="G15616" s="6">
        <v>2111</v>
      </c>
      <c r="H15616" s="5">
        <v>63</v>
      </c>
    </row>
    <row r="15617" spans="2:8" ht="15" customHeight="1" x14ac:dyDescent="0.4">
      <c r="B15617" s="3" t="s">
        <v>7</v>
      </c>
      <c r="C15617" s="3" t="s">
        <v>2467</v>
      </c>
      <c r="D15617" s="4">
        <f>DATE(2003,1,29)</f>
        <v>37650</v>
      </c>
      <c r="E15617" s="5">
        <f t="shared" si="256"/>
        <v>2003</v>
      </c>
      <c r="F15617" s="3" t="s">
        <v>2468</v>
      </c>
      <c r="G15617" s="6">
        <v>2156.75</v>
      </c>
      <c r="H15617" s="5">
        <v>160</v>
      </c>
    </row>
    <row r="15618" spans="2:8" ht="15" customHeight="1" x14ac:dyDescent="0.4">
      <c r="B15618" s="3" t="s">
        <v>7</v>
      </c>
      <c r="C15618" s="3" t="s">
        <v>2467</v>
      </c>
      <c r="D15618" s="4">
        <f>DATE(2003,2,4)</f>
        <v>37656</v>
      </c>
      <c r="E15618" s="5">
        <f t="shared" si="256"/>
        <v>2003</v>
      </c>
      <c r="F15618" s="3" t="s">
        <v>2468</v>
      </c>
      <c r="G15618" s="6">
        <v>3027.5</v>
      </c>
      <c r="H15618" s="5">
        <v>185</v>
      </c>
    </row>
    <row r="15619" spans="2:8" ht="15" customHeight="1" x14ac:dyDescent="0.4">
      <c r="B15619" s="3" t="s">
        <v>7</v>
      </c>
      <c r="C15619" s="3" t="s">
        <v>2467</v>
      </c>
      <c r="D15619" s="4">
        <f>DATE(2003,4,16)</f>
        <v>37727</v>
      </c>
      <c r="E15619" s="5">
        <f t="shared" ref="E15619:E15682" si="257">YEAR(D15619)</f>
        <v>2003</v>
      </c>
      <c r="F15619" s="3" t="s">
        <v>2468</v>
      </c>
      <c r="G15619" s="6">
        <v>484.8</v>
      </c>
      <c r="H15619" s="5">
        <v>754</v>
      </c>
    </row>
    <row r="15620" spans="2:8" ht="15" customHeight="1" x14ac:dyDescent="0.4">
      <c r="B15620" s="3" t="s">
        <v>7</v>
      </c>
      <c r="C15620" s="3" t="s">
        <v>2467</v>
      </c>
      <c r="D15620" s="4">
        <f>DATE(2004,4,1)</f>
        <v>38078</v>
      </c>
      <c r="E15620" s="5">
        <f t="shared" si="257"/>
        <v>2004</v>
      </c>
      <c r="F15620" s="3" t="s">
        <v>2468</v>
      </c>
      <c r="G15620" s="6">
        <v>872.5</v>
      </c>
      <c r="H15620" s="5">
        <v>2556</v>
      </c>
    </row>
    <row r="15621" spans="2:8" ht="15" customHeight="1" x14ac:dyDescent="0.4">
      <c r="B15621" s="3" t="s">
        <v>7</v>
      </c>
      <c r="C15621" s="3" t="s">
        <v>2467</v>
      </c>
      <c r="D15621" s="4">
        <f>DATE(2005,2,1)</f>
        <v>38384</v>
      </c>
      <c r="E15621" s="5">
        <f t="shared" si="257"/>
        <v>2005</v>
      </c>
      <c r="F15621" s="3" t="s">
        <v>2468</v>
      </c>
      <c r="G15621" s="6">
        <v>849</v>
      </c>
      <c r="H15621" s="5">
        <v>4047</v>
      </c>
    </row>
    <row r="15622" spans="2:8" ht="15" customHeight="1" x14ac:dyDescent="0.4">
      <c r="B15622" s="3" t="s">
        <v>7</v>
      </c>
      <c r="C15622" s="3" t="s">
        <v>2467</v>
      </c>
      <c r="D15622" s="4">
        <f>DATE(2005,11,30)</f>
        <v>38686</v>
      </c>
      <c r="E15622" s="5">
        <f t="shared" si="257"/>
        <v>2005</v>
      </c>
      <c r="F15622" s="3" t="s">
        <v>2468</v>
      </c>
      <c r="G15622" s="6">
        <v>1776</v>
      </c>
      <c r="H15622" s="5">
        <v>5613</v>
      </c>
    </row>
    <row r="15623" spans="2:8" ht="15" customHeight="1" x14ac:dyDescent="0.4">
      <c r="B15623" s="3" t="s">
        <v>7</v>
      </c>
      <c r="C15623" s="3" t="s">
        <v>2467</v>
      </c>
      <c r="D15623" s="4">
        <f>DATE(2006,3,9)</f>
        <v>38785</v>
      </c>
      <c r="E15623" s="5">
        <f t="shared" si="257"/>
        <v>2006</v>
      </c>
      <c r="F15623" s="3" t="s">
        <v>2468</v>
      </c>
      <c r="G15623" s="6">
        <v>1764</v>
      </c>
      <c r="H15623" s="5">
        <v>6245</v>
      </c>
    </row>
    <row r="15624" spans="2:8" ht="15" customHeight="1" x14ac:dyDescent="0.4">
      <c r="B15624" s="3" t="s">
        <v>7</v>
      </c>
      <c r="C15624" s="3" t="s">
        <v>2467</v>
      </c>
      <c r="D15624" s="4">
        <f>DATE(2007,5,9)</f>
        <v>39211</v>
      </c>
      <c r="E15624" s="5">
        <f t="shared" si="257"/>
        <v>2007</v>
      </c>
      <c r="F15624" s="3" t="s">
        <v>2468</v>
      </c>
      <c r="G15624" s="6">
        <v>1777</v>
      </c>
      <c r="H15624" s="5">
        <v>8503</v>
      </c>
    </row>
    <row r="15625" spans="2:8" ht="15" customHeight="1" x14ac:dyDescent="0.4">
      <c r="B15625" s="3" t="s">
        <v>7</v>
      </c>
      <c r="C15625" s="3" t="s">
        <v>2467</v>
      </c>
      <c r="D15625" s="4">
        <f>DATE(2007,11,14)</f>
        <v>39400</v>
      </c>
      <c r="E15625" s="5">
        <f t="shared" si="257"/>
        <v>2007</v>
      </c>
      <c r="F15625" s="3" t="s">
        <v>2468</v>
      </c>
      <c r="G15625" s="6">
        <v>1778</v>
      </c>
      <c r="H15625" s="5">
        <v>9482</v>
      </c>
    </row>
    <row r="15626" spans="2:8" ht="15" customHeight="1" x14ac:dyDescent="0.4">
      <c r="B15626" s="3" t="s">
        <v>7</v>
      </c>
      <c r="C15626" s="3" t="s">
        <v>2467</v>
      </c>
      <c r="D15626" s="4">
        <f>DATE(2009,1,22)</f>
        <v>39835</v>
      </c>
      <c r="E15626" s="5">
        <f t="shared" si="257"/>
        <v>2009</v>
      </c>
      <c r="F15626" s="3" t="s">
        <v>2468</v>
      </c>
      <c r="G15626" s="6">
        <v>893</v>
      </c>
      <c r="H15626" s="5">
        <v>11812</v>
      </c>
    </row>
    <row r="15627" spans="2:8" ht="15" customHeight="1" x14ac:dyDescent="0.4">
      <c r="B15627" s="3" t="s">
        <v>7</v>
      </c>
      <c r="C15627" s="3" t="s">
        <v>2467</v>
      </c>
      <c r="D15627" s="4">
        <f>DATE(2009,9,17)</f>
        <v>40073</v>
      </c>
      <c r="E15627" s="5">
        <f t="shared" si="257"/>
        <v>2009</v>
      </c>
      <c r="F15627" s="3" t="s">
        <v>2468</v>
      </c>
      <c r="G15627" s="6">
        <v>893</v>
      </c>
      <c r="H15627" s="5">
        <v>12994</v>
      </c>
    </row>
    <row r="15628" spans="2:8" ht="15" customHeight="1" x14ac:dyDescent="0.4">
      <c r="B15628" s="3" t="s">
        <v>7</v>
      </c>
      <c r="C15628" s="3" t="s">
        <v>2467</v>
      </c>
      <c r="D15628" s="4">
        <f>DATE(2010,10,14)</f>
        <v>40465</v>
      </c>
      <c r="E15628" s="5">
        <f t="shared" si="257"/>
        <v>2010</v>
      </c>
      <c r="F15628" s="3" t="s">
        <v>2468</v>
      </c>
      <c r="G15628" s="6">
        <v>894</v>
      </c>
      <c r="H15628" s="5">
        <v>14574</v>
      </c>
    </row>
    <row r="15629" spans="2:8" ht="15" customHeight="1" x14ac:dyDescent="0.4">
      <c r="B15629" s="3" t="s">
        <v>7</v>
      </c>
      <c r="C15629" s="3" t="s">
        <v>2467</v>
      </c>
      <c r="D15629" s="4">
        <f>DATE(2010,11,8)</f>
        <v>40490</v>
      </c>
      <c r="E15629" s="5">
        <f t="shared" si="257"/>
        <v>2010</v>
      </c>
      <c r="F15629" s="3" t="s">
        <v>2468</v>
      </c>
      <c r="G15629" s="6">
        <v>409</v>
      </c>
      <c r="H15629" s="5">
        <v>14705</v>
      </c>
    </row>
    <row r="15630" spans="2:8" ht="15" customHeight="1" x14ac:dyDescent="0.4">
      <c r="B15630" s="3" t="s">
        <v>7</v>
      </c>
      <c r="C15630" s="3" t="s">
        <v>2467</v>
      </c>
      <c r="D15630" s="4">
        <f>DATE(2012,3,6)</f>
        <v>40974</v>
      </c>
      <c r="E15630" s="5">
        <f t="shared" si="257"/>
        <v>2012</v>
      </c>
      <c r="F15630" s="3" t="s">
        <v>2468</v>
      </c>
      <c r="G15630" s="6">
        <v>1216.2</v>
      </c>
      <c r="H15630" s="5">
        <v>16673</v>
      </c>
    </row>
    <row r="15631" spans="2:8" ht="15" customHeight="1" x14ac:dyDescent="0.4">
      <c r="B15631" t="s">
        <v>7</v>
      </c>
      <c r="C15631" t="s">
        <v>2469</v>
      </c>
      <c r="D15631" s="7">
        <f>DATE(2018,2,15)</f>
        <v>43146</v>
      </c>
      <c r="E15631" s="8">
        <f t="shared" si="257"/>
        <v>2018</v>
      </c>
      <c r="F15631" t="s">
        <v>2470</v>
      </c>
      <c r="G15631" s="9">
        <v>15599.83</v>
      </c>
      <c r="H15631" s="8">
        <v>26175</v>
      </c>
    </row>
    <row r="15632" spans="2:8" ht="15" customHeight="1" x14ac:dyDescent="0.4">
      <c r="B15632" t="s">
        <v>7</v>
      </c>
      <c r="C15632" t="s">
        <v>2469</v>
      </c>
      <c r="D15632" s="7">
        <f>DATE(2003,4,30)</f>
        <v>37741</v>
      </c>
      <c r="E15632" s="8">
        <f t="shared" si="257"/>
        <v>2003</v>
      </c>
      <c r="F15632" t="s">
        <v>2470</v>
      </c>
      <c r="G15632" s="9">
        <v>10605.5</v>
      </c>
      <c r="H15632" s="8">
        <v>401</v>
      </c>
    </row>
    <row r="15633" spans="2:8" ht="15" customHeight="1" x14ac:dyDescent="0.4">
      <c r="B15633" t="s">
        <v>7</v>
      </c>
      <c r="C15633" t="s">
        <v>2469</v>
      </c>
      <c r="D15633" s="7">
        <f>DATE(2012,12,17)</f>
        <v>41260</v>
      </c>
      <c r="E15633" s="8">
        <f t="shared" si="257"/>
        <v>2012</v>
      </c>
      <c r="F15633" t="s">
        <v>2470</v>
      </c>
      <c r="G15633" s="9">
        <v>15650.87</v>
      </c>
      <c r="H15633" s="8">
        <v>11936</v>
      </c>
    </row>
    <row r="15634" spans="2:8" ht="15" customHeight="1" x14ac:dyDescent="0.4">
      <c r="B15634" t="s">
        <v>7</v>
      </c>
      <c r="C15634" t="s">
        <v>2471</v>
      </c>
      <c r="D15634" s="7">
        <f>DATE(2003,8,22)</f>
        <v>37855</v>
      </c>
      <c r="E15634" s="8">
        <f t="shared" si="257"/>
        <v>2003</v>
      </c>
      <c r="F15634" t="s">
        <v>2472</v>
      </c>
      <c r="G15634" s="9">
        <v>28208.63</v>
      </c>
      <c r="H15634" s="8">
        <v>555</v>
      </c>
    </row>
    <row r="15635" spans="2:8" ht="15" customHeight="1" x14ac:dyDescent="0.4">
      <c r="B15635" t="s">
        <v>7</v>
      </c>
      <c r="C15635" t="s">
        <v>2471</v>
      </c>
      <c r="D15635" s="7">
        <f>DATE(2004,4,18)</f>
        <v>38095</v>
      </c>
      <c r="E15635" s="8">
        <f t="shared" si="257"/>
        <v>2004</v>
      </c>
      <c r="F15635" t="s">
        <v>2472</v>
      </c>
      <c r="G15635" s="9">
        <v>26838.240000000002</v>
      </c>
      <c r="H15635" s="8">
        <v>1759</v>
      </c>
    </row>
    <row r="15636" spans="2:8" ht="15" customHeight="1" x14ac:dyDescent="0.4">
      <c r="B15636" s="3" t="s">
        <v>7</v>
      </c>
      <c r="C15636" s="3" t="s">
        <v>2473</v>
      </c>
      <c r="D15636" s="4">
        <f>DATE(2004,11,12)</f>
        <v>38303</v>
      </c>
      <c r="E15636" s="5">
        <f t="shared" si="257"/>
        <v>2004</v>
      </c>
      <c r="F15636" s="3" t="s">
        <v>2474</v>
      </c>
      <c r="G15636" s="6">
        <v>570</v>
      </c>
      <c r="H15636" s="5">
        <v>3704</v>
      </c>
    </row>
    <row r="15637" spans="2:8" ht="15" customHeight="1" x14ac:dyDescent="0.4">
      <c r="B15637" s="3" t="s">
        <v>7</v>
      </c>
      <c r="C15637" s="3" t="s">
        <v>2475</v>
      </c>
      <c r="D15637" s="4">
        <f>DATE(2003,7,29)</f>
        <v>37831</v>
      </c>
      <c r="E15637" s="5">
        <f t="shared" si="257"/>
        <v>2003</v>
      </c>
      <c r="F15637" s="3" t="s">
        <v>2476</v>
      </c>
      <c r="G15637" s="6">
        <v>2462.0300000000002</v>
      </c>
      <c r="H15637" s="5">
        <v>238</v>
      </c>
    </row>
    <row r="15638" spans="2:8" ht="15" customHeight="1" x14ac:dyDescent="0.4">
      <c r="B15638" s="3" t="s">
        <v>7</v>
      </c>
      <c r="C15638" s="3" t="s">
        <v>2477</v>
      </c>
      <c r="D15638" s="4">
        <f>DATE(2011,10,17)</f>
        <v>40833</v>
      </c>
      <c r="E15638" s="5">
        <f t="shared" si="257"/>
        <v>2011</v>
      </c>
      <c r="F15638" s="3" t="s">
        <v>2478</v>
      </c>
      <c r="G15638" s="6">
        <v>2622</v>
      </c>
      <c r="H15638" s="5">
        <v>4663</v>
      </c>
    </row>
    <row r="15639" spans="2:8" ht="15" customHeight="1" x14ac:dyDescent="0.4">
      <c r="B15639" t="s">
        <v>7</v>
      </c>
      <c r="C15639" t="s">
        <v>2479</v>
      </c>
      <c r="D15639" s="7">
        <f>DATE(2018,2,14)</f>
        <v>43145</v>
      </c>
      <c r="E15639" s="8">
        <f t="shared" si="257"/>
        <v>2018</v>
      </c>
      <c r="F15639" t="s">
        <v>2480</v>
      </c>
      <c r="G15639" s="9">
        <v>4639.6499999999996</v>
      </c>
      <c r="H15639" s="8">
        <v>26122</v>
      </c>
    </row>
    <row r="15640" spans="2:8" ht="15" customHeight="1" x14ac:dyDescent="0.4">
      <c r="B15640" t="s">
        <v>7</v>
      </c>
      <c r="C15640" t="s">
        <v>2479</v>
      </c>
      <c r="D15640" s="7">
        <f>DATE(2018,2,14)</f>
        <v>43145</v>
      </c>
      <c r="E15640" s="8">
        <f t="shared" si="257"/>
        <v>2018</v>
      </c>
      <c r="F15640" t="s">
        <v>2480</v>
      </c>
      <c r="G15640" s="9">
        <v>94637.87</v>
      </c>
      <c r="H15640" s="8">
        <v>26058</v>
      </c>
    </row>
    <row r="15641" spans="2:8" ht="15" customHeight="1" x14ac:dyDescent="0.4">
      <c r="B15641" t="s">
        <v>7</v>
      </c>
      <c r="C15641" t="s">
        <v>2481</v>
      </c>
      <c r="D15641" s="7">
        <f>DATE(2015,2,26)</f>
        <v>42061</v>
      </c>
      <c r="E15641" s="8">
        <f t="shared" si="257"/>
        <v>2015</v>
      </c>
      <c r="F15641" t="s">
        <v>2482</v>
      </c>
      <c r="G15641" s="9">
        <v>1617</v>
      </c>
      <c r="H15641" s="8">
        <v>20007</v>
      </c>
    </row>
    <row r="15642" spans="2:8" ht="15" customHeight="1" x14ac:dyDescent="0.4">
      <c r="B15642" t="s">
        <v>7</v>
      </c>
      <c r="C15642" t="s">
        <v>2481</v>
      </c>
      <c r="D15642" s="7">
        <f>DATE(2015,3,26)</f>
        <v>42089</v>
      </c>
      <c r="E15642" s="8">
        <f t="shared" si="257"/>
        <v>2015</v>
      </c>
      <c r="F15642" t="s">
        <v>2482</v>
      </c>
      <c r="G15642" s="9">
        <v>1960</v>
      </c>
      <c r="H15642" s="8">
        <v>20132</v>
      </c>
    </row>
    <row r="15643" spans="2:8" ht="15" customHeight="1" x14ac:dyDescent="0.4">
      <c r="B15643" t="s">
        <v>7</v>
      </c>
      <c r="C15643" t="s">
        <v>2481</v>
      </c>
      <c r="D15643" s="7">
        <f>DATE(2015,12,18)</f>
        <v>42356</v>
      </c>
      <c r="E15643" s="8">
        <f t="shared" si="257"/>
        <v>2015</v>
      </c>
      <c r="F15643" t="s">
        <v>2482</v>
      </c>
      <c r="G15643" s="9">
        <v>1715</v>
      </c>
      <c r="H15643" s="8">
        <v>21596</v>
      </c>
    </row>
    <row r="15644" spans="2:8" ht="15" customHeight="1" x14ac:dyDescent="0.4">
      <c r="B15644" t="s">
        <v>7</v>
      </c>
      <c r="C15644" t="s">
        <v>2481</v>
      </c>
      <c r="D15644" s="7">
        <f>DATE(2016,3,4)</f>
        <v>42433</v>
      </c>
      <c r="E15644" s="8">
        <f t="shared" si="257"/>
        <v>2016</v>
      </c>
      <c r="F15644" t="s">
        <v>2482</v>
      </c>
      <c r="G15644" s="9">
        <v>490</v>
      </c>
      <c r="H15644" s="8">
        <v>22290</v>
      </c>
    </row>
    <row r="15645" spans="2:8" ht="15" customHeight="1" x14ac:dyDescent="0.4">
      <c r="B15645" t="s">
        <v>7</v>
      </c>
      <c r="C15645" t="s">
        <v>2481</v>
      </c>
      <c r="D15645" s="7">
        <f>DATE(2016,4,1)</f>
        <v>42461</v>
      </c>
      <c r="E15645" s="8">
        <f t="shared" si="257"/>
        <v>2016</v>
      </c>
      <c r="F15645" t="s">
        <v>2482</v>
      </c>
      <c r="G15645" s="9">
        <v>82208</v>
      </c>
      <c r="H15645" s="8">
        <v>22393</v>
      </c>
    </row>
    <row r="15646" spans="2:8" ht="15" customHeight="1" x14ac:dyDescent="0.4">
      <c r="B15646" t="s">
        <v>7</v>
      </c>
      <c r="C15646" t="s">
        <v>2481</v>
      </c>
      <c r="D15646" s="7">
        <f>DATE(2018,2,21)</f>
        <v>43152</v>
      </c>
      <c r="E15646" s="8">
        <f t="shared" si="257"/>
        <v>2018</v>
      </c>
      <c r="F15646" t="s">
        <v>2482</v>
      </c>
      <c r="G15646" s="9">
        <v>45767.8</v>
      </c>
      <c r="H15646" s="8">
        <v>26418</v>
      </c>
    </row>
    <row r="15647" spans="2:8" ht="15" customHeight="1" x14ac:dyDescent="0.4">
      <c r="B15647" t="s">
        <v>7</v>
      </c>
      <c r="C15647" t="s">
        <v>2481</v>
      </c>
      <c r="D15647" s="7">
        <f>DATE(2018,4,24)</f>
        <v>43214</v>
      </c>
      <c r="E15647" s="8">
        <f t="shared" si="257"/>
        <v>2018</v>
      </c>
      <c r="F15647" t="s">
        <v>2482</v>
      </c>
      <c r="G15647" s="9">
        <v>3920</v>
      </c>
      <c r="H15647" s="8">
        <v>26873</v>
      </c>
    </row>
    <row r="15648" spans="2:8" ht="15" customHeight="1" x14ac:dyDescent="0.4">
      <c r="B15648" t="s">
        <v>7</v>
      </c>
      <c r="C15648" t="s">
        <v>2481</v>
      </c>
      <c r="D15648" s="7">
        <f>DATE(2018,12,28)</f>
        <v>43462</v>
      </c>
      <c r="E15648" s="8">
        <f t="shared" si="257"/>
        <v>2018</v>
      </c>
      <c r="F15648" t="s">
        <v>2482</v>
      </c>
      <c r="G15648" s="9">
        <v>28168.799999999999</v>
      </c>
      <c r="H15648" s="8">
        <v>28141</v>
      </c>
    </row>
    <row r="15649" spans="2:8" ht="15" customHeight="1" x14ac:dyDescent="0.4">
      <c r="B15649" t="s">
        <v>7</v>
      </c>
      <c r="C15649" t="s">
        <v>2481</v>
      </c>
      <c r="D15649" s="7">
        <f>DATE(2019,2,5)</f>
        <v>43501</v>
      </c>
      <c r="E15649" s="8">
        <f t="shared" si="257"/>
        <v>2019</v>
      </c>
      <c r="F15649" t="s">
        <v>2482</v>
      </c>
      <c r="G15649" s="9">
        <v>27160</v>
      </c>
      <c r="H15649" s="8">
        <v>28322</v>
      </c>
    </row>
    <row r="15650" spans="2:8" ht="15" customHeight="1" x14ac:dyDescent="0.4">
      <c r="B15650" t="s">
        <v>7</v>
      </c>
      <c r="C15650" t="s">
        <v>2481</v>
      </c>
      <c r="D15650" s="7">
        <f>DATE(2019,3,4)</f>
        <v>43528</v>
      </c>
      <c r="E15650" s="8">
        <f t="shared" si="257"/>
        <v>2019</v>
      </c>
      <c r="F15650" t="s">
        <v>2482</v>
      </c>
      <c r="G15650" s="9">
        <v>26384</v>
      </c>
      <c r="H15650" s="8">
        <v>28526</v>
      </c>
    </row>
    <row r="15651" spans="2:8" ht="15" customHeight="1" x14ac:dyDescent="0.4">
      <c r="B15651" t="s">
        <v>7</v>
      </c>
      <c r="C15651" t="s">
        <v>2481</v>
      </c>
      <c r="D15651" s="7">
        <f>DATE(2019,4,18)</f>
        <v>43573</v>
      </c>
      <c r="E15651" s="8">
        <f t="shared" si="257"/>
        <v>2019</v>
      </c>
      <c r="F15651" t="s">
        <v>2482</v>
      </c>
      <c r="G15651" s="9">
        <v>3920</v>
      </c>
      <c r="H15651" s="8">
        <v>28819</v>
      </c>
    </row>
    <row r="15652" spans="2:8" ht="15" customHeight="1" x14ac:dyDescent="0.4">
      <c r="B15652" t="s">
        <v>7</v>
      </c>
      <c r="C15652" t="s">
        <v>2481</v>
      </c>
      <c r="D15652" s="7">
        <f>DATE(2015,9,4)</f>
        <v>42251</v>
      </c>
      <c r="E15652" s="8">
        <f t="shared" si="257"/>
        <v>2015</v>
      </c>
      <c r="F15652" t="s">
        <v>2482</v>
      </c>
      <c r="G15652" s="9">
        <v>6100</v>
      </c>
      <c r="H15652" s="8">
        <v>375</v>
      </c>
    </row>
    <row r="15653" spans="2:8" ht="15" customHeight="1" x14ac:dyDescent="0.4">
      <c r="B15653" t="s">
        <v>7</v>
      </c>
      <c r="C15653" t="s">
        <v>2481</v>
      </c>
      <c r="D15653" s="7">
        <f>DATE(2016,3,10)</f>
        <v>42439</v>
      </c>
      <c r="E15653" s="8">
        <f t="shared" si="257"/>
        <v>2016</v>
      </c>
      <c r="F15653" t="s">
        <v>2482</v>
      </c>
      <c r="G15653" s="9">
        <v>450</v>
      </c>
      <c r="H15653" s="8">
        <v>22353</v>
      </c>
    </row>
    <row r="15654" spans="2:8" ht="15" customHeight="1" x14ac:dyDescent="0.4">
      <c r="B15654" t="s">
        <v>7</v>
      </c>
      <c r="C15654" t="s">
        <v>2481</v>
      </c>
      <c r="D15654" s="7">
        <f>DATE(2017,4,18)</f>
        <v>42843</v>
      </c>
      <c r="E15654" s="8">
        <f t="shared" si="257"/>
        <v>2017</v>
      </c>
      <c r="F15654" t="s">
        <v>2482</v>
      </c>
      <c r="G15654" s="9">
        <v>900</v>
      </c>
      <c r="H15654" s="8">
        <v>24676</v>
      </c>
    </row>
    <row r="15655" spans="2:8" ht="15" customHeight="1" x14ac:dyDescent="0.4">
      <c r="B15655" t="s">
        <v>7</v>
      </c>
      <c r="C15655" t="s">
        <v>2481</v>
      </c>
      <c r="D15655" s="7">
        <f>DATE(2018,5,17)</f>
        <v>43237</v>
      </c>
      <c r="E15655" s="8">
        <f t="shared" si="257"/>
        <v>2018</v>
      </c>
      <c r="F15655" t="s">
        <v>2482</v>
      </c>
      <c r="G15655" s="9">
        <v>900</v>
      </c>
      <c r="H15655" s="8">
        <v>27075</v>
      </c>
    </row>
    <row r="15656" spans="2:8" ht="15" customHeight="1" x14ac:dyDescent="0.4">
      <c r="B15656" t="s">
        <v>7</v>
      </c>
      <c r="C15656" t="s">
        <v>2481</v>
      </c>
      <c r="D15656" s="7">
        <f>DATE(2004,3,16)</f>
        <v>38062</v>
      </c>
      <c r="E15656" s="8">
        <f t="shared" si="257"/>
        <v>2004</v>
      </c>
      <c r="F15656" t="s">
        <v>2482</v>
      </c>
      <c r="G15656" s="9">
        <v>468.49</v>
      </c>
      <c r="H15656" s="8">
        <v>1519</v>
      </c>
    </row>
    <row r="15657" spans="2:8" ht="15" customHeight="1" x14ac:dyDescent="0.4">
      <c r="B15657" t="s">
        <v>7</v>
      </c>
      <c r="C15657" t="s">
        <v>2481</v>
      </c>
      <c r="D15657" s="7">
        <f>DATE(2004,7,26)</f>
        <v>38194</v>
      </c>
      <c r="E15657" s="8">
        <f t="shared" si="257"/>
        <v>2004</v>
      </c>
      <c r="F15657" t="s">
        <v>2482</v>
      </c>
      <c r="G15657" s="9">
        <v>647</v>
      </c>
      <c r="H15657" s="8">
        <v>2008</v>
      </c>
    </row>
    <row r="15658" spans="2:8" ht="15" customHeight="1" x14ac:dyDescent="0.4">
      <c r="B15658" t="s">
        <v>7</v>
      </c>
      <c r="C15658" t="s">
        <v>2481</v>
      </c>
      <c r="D15658" s="7">
        <f>DATE(2004,9,15)</f>
        <v>38245</v>
      </c>
      <c r="E15658" s="8">
        <f t="shared" si="257"/>
        <v>2004</v>
      </c>
      <c r="F15658" t="s">
        <v>2482</v>
      </c>
      <c r="G15658" s="9">
        <v>57</v>
      </c>
      <c r="H15658" s="8">
        <v>2205</v>
      </c>
    </row>
    <row r="15659" spans="2:8" ht="15" customHeight="1" x14ac:dyDescent="0.4">
      <c r="B15659" t="s">
        <v>7</v>
      </c>
      <c r="C15659" t="s">
        <v>2481</v>
      </c>
      <c r="D15659" s="7">
        <f>DATE(2005,5,5)</f>
        <v>38477</v>
      </c>
      <c r="E15659" s="8">
        <f t="shared" si="257"/>
        <v>2005</v>
      </c>
      <c r="F15659" t="s">
        <v>2482</v>
      </c>
      <c r="G15659" s="9">
        <v>1511</v>
      </c>
      <c r="H15659" s="8">
        <v>3174</v>
      </c>
    </row>
    <row r="15660" spans="2:8" ht="15" customHeight="1" x14ac:dyDescent="0.4">
      <c r="B15660" t="s">
        <v>7</v>
      </c>
      <c r="C15660" t="s">
        <v>2481</v>
      </c>
      <c r="D15660" s="7">
        <f>DATE(2005,9,19)</f>
        <v>38614</v>
      </c>
      <c r="E15660" s="8">
        <f t="shared" si="257"/>
        <v>2005</v>
      </c>
      <c r="F15660" t="s">
        <v>2482</v>
      </c>
      <c r="G15660" s="9">
        <v>57</v>
      </c>
      <c r="H15660" s="8">
        <v>3605</v>
      </c>
    </row>
    <row r="15661" spans="2:8" ht="15" customHeight="1" x14ac:dyDescent="0.4">
      <c r="B15661" t="s">
        <v>7</v>
      </c>
      <c r="C15661" t="s">
        <v>2481</v>
      </c>
      <c r="D15661" s="7">
        <f>DATE(2005,12,5)</f>
        <v>38691</v>
      </c>
      <c r="E15661" s="8">
        <f t="shared" si="257"/>
        <v>2005</v>
      </c>
      <c r="F15661" t="s">
        <v>2482</v>
      </c>
      <c r="G15661" s="9">
        <v>297</v>
      </c>
      <c r="H15661" s="8">
        <v>3823</v>
      </c>
    </row>
    <row r="15662" spans="2:8" ht="15" customHeight="1" x14ac:dyDescent="0.4">
      <c r="B15662" t="s">
        <v>7</v>
      </c>
      <c r="C15662" t="s">
        <v>2481</v>
      </c>
      <c r="D15662" s="7">
        <f>DATE(2007,6,21)</f>
        <v>39254</v>
      </c>
      <c r="E15662" s="8">
        <f t="shared" si="257"/>
        <v>2007</v>
      </c>
      <c r="F15662" t="s">
        <v>2482</v>
      </c>
      <c r="G15662" s="9">
        <v>1056.78</v>
      </c>
      <c r="H15662" s="8">
        <v>6103</v>
      </c>
    </row>
    <row r="15663" spans="2:8" ht="15" customHeight="1" x14ac:dyDescent="0.4">
      <c r="B15663" t="s">
        <v>7</v>
      </c>
      <c r="C15663" t="s">
        <v>2481</v>
      </c>
      <c r="D15663" s="7">
        <f>DATE(2007,9,10)</f>
        <v>39335</v>
      </c>
      <c r="E15663" s="8">
        <f t="shared" si="257"/>
        <v>2007</v>
      </c>
      <c r="F15663" t="s">
        <v>2482</v>
      </c>
      <c r="G15663" s="9">
        <v>58</v>
      </c>
      <c r="H15663" s="8">
        <v>6345</v>
      </c>
    </row>
    <row r="15664" spans="2:8" ht="15" customHeight="1" x14ac:dyDescent="0.4">
      <c r="B15664" t="s">
        <v>7</v>
      </c>
      <c r="C15664" t="s">
        <v>2481</v>
      </c>
      <c r="D15664" s="7">
        <f>DATE(2008,4,1)</f>
        <v>39539</v>
      </c>
      <c r="E15664" s="8">
        <f t="shared" si="257"/>
        <v>2008</v>
      </c>
      <c r="F15664" t="s">
        <v>2482</v>
      </c>
      <c r="G15664" s="9">
        <v>58</v>
      </c>
      <c r="H15664" s="8">
        <v>7272</v>
      </c>
    </row>
    <row r="15665" spans="2:8" ht="15" customHeight="1" x14ac:dyDescent="0.4">
      <c r="B15665" t="s">
        <v>7</v>
      </c>
      <c r="C15665" t="s">
        <v>2481</v>
      </c>
      <c r="D15665" s="7">
        <f>DATE(2008,8,11)</f>
        <v>39671</v>
      </c>
      <c r="E15665" s="8">
        <f t="shared" si="257"/>
        <v>2008</v>
      </c>
      <c r="F15665" t="s">
        <v>2482</v>
      </c>
      <c r="G15665" s="9">
        <v>22500</v>
      </c>
      <c r="H15665" s="8">
        <v>7520</v>
      </c>
    </row>
    <row r="15666" spans="2:8" ht="15" customHeight="1" x14ac:dyDescent="0.4">
      <c r="B15666" t="s">
        <v>7</v>
      </c>
      <c r="C15666" t="s">
        <v>2481</v>
      </c>
      <c r="D15666" s="7">
        <f>DATE(2009,3,17)</f>
        <v>39889</v>
      </c>
      <c r="E15666" s="8">
        <f t="shared" si="257"/>
        <v>2009</v>
      </c>
      <c r="F15666" t="s">
        <v>2482</v>
      </c>
      <c r="G15666" s="9">
        <v>1350</v>
      </c>
      <c r="H15666" s="8">
        <v>8468</v>
      </c>
    </row>
    <row r="15667" spans="2:8" ht="15" customHeight="1" x14ac:dyDescent="0.4">
      <c r="B15667" t="s">
        <v>7</v>
      </c>
      <c r="C15667" t="s">
        <v>2481</v>
      </c>
      <c r="D15667" s="7">
        <f>DATE(2009,10,30)</f>
        <v>40116</v>
      </c>
      <c r="E15667" s="8">
        <f t="shared" si="257"/>
        <v>2009</v>
      </c>
      <c r="F15667" t="s">
        <v>2482</v>
      </c>
      <c r="G15667" s="9">
        <v>58</v>
      </c>
      <c r="H15667" s="8">
        <v>9167</v>
      </c>
    </row>
    <row r="15668" spans="2:8" ht="15" customHeight="1" x14ac:dyDescent="0.4">
      <c r="B15668" t="s">
        <v>7</v>
      </c>
      <c r="C15668" t="s">
        <v>2481</v>
      </c>
      <c r="D15668" s="7">
        <f>DATE(2013,4,30)</f>
        <v>41394</v>
      </c>
      <c r="E15668" s="8">
        <f t="shared" si="257"/>
        <v>2013</v>
      </c>
      <c r="F15668" t="s">
        <v>2482</v>
      </c>
      <c r="G15668" s="9">
        <v>835</v>
      </c>
      <c r="H15668" s="8">
        <v>12428</v>
      </c>
    </row>
    <row r="15669" spans="2:8" ht="15" customHeight="1" x14ac:dyDescent="0.4">
      <c r="B15669" t="s">
        <v>7</v>
      </c>
      <c r="C15669" t="s">
        <v>2481</v>
      </c>
      <c r="D15669" s="7">
        <f>DATE(2013,5,8)</f>
        <v>41402</v>
      </c>
      <c r="E15669" s="8">
        <f t="shared" si="257"/>
        <v>2013</v>
      </c>
      <c r="F15669" t="s">
        <v>2482</v>
      </c>
      <c r="G15669" s="9">
        <v>60</v>
      </c>
      <c r="H15669" s="8">
        <v>12441</v>
      </c>
    </row>
    <row r="15670" spans="2:8" ht="15" customHeight="1" x14ac:dyDescent="0.4">
      <c r="B15670" t="s">
        <v>7</v>
      </c>
      <c r="C15670" t="s">
        <v>2481</v>
      </c>
      <c r="D15670" s="7">
        <f>DATE(2013,6,19)</f>
        <v>41444</v>
      </c>
      <c r="E15670" s="8">
        <f t="shared" si="257"/>
        <v>2013</v>
      </c>
      <c r="F15670" t="s">
        <v>2482</v>
      </c>
      <c r="G15670" s="9">
        <v>1025</v>
      </c>
      <c r="H15670" s="8">
        <v>12474</v>
      </c>
    </row>
    <row r="15671" spans="2:8" ht="15" customHeight="1" x14ac:dyDescent="0.4">
      <c r="B15671" t="s">
        <v>7</v>
      </c>
      <c r="C15671" t="s">
        <v>2481</v>
      </c>
      <c r="D15671" s="7">
        <f>DATE(2003,2,10)</f>
        <v>37662</v>
      </c>
      <c r="E15671" s="8">
        <f t="shared" si="257"/>
        <v>2003</v>
      </c>
      <c r="F15671" t="s">
        <v>2482</v>
      </c>
      <c r="G15671" s="9">
        <v>972.75</v>
      </c>
      <c r="H15671" s="8">
        <v>191</v>
      </c>
    </row>
    <row r="15672" spans="2:8" ht="15" customHeight="1" x14ac:dyDescent="0.4">
      <c r="B15672" t="s">
        <v>7</v>
      </c>
      <c r="C15672" t="s">
        <v>2481</v>
      </c>
      <c r="D15672" s="7">
        <f>DATE(2003,2,28)</f>
        <v>37680</v>
      </c>
      <c r="E15672" s="8">
        <f t="shared" si="257"/>
        <v>2003</v>
      </c>
      <c r="F15672" t="s">
        <v>2482</v>
      </c>
      <c r="G15672" s="9">
        <v>407.25</v>
      </c>
      <c r="H15672" s="8">
        <v>232</v>
      </c>
    </row>
    <row r="15673" spans="2:8" ht="15" customHeight="1" x14ac:dyDescent="0.4">
      <c r="B15673" t="s">
        <v>7</v>
      </c>
      <c r="C15673" t="s">
        <v>2481</v>
      </c>
      <c r="D15673" s="7">
        <f>DATE(2003,3,20)</f>
        <v>37700</v>
      </c>
      <c r="E15673" s="8">
        <f t="shared" si="257"/>
        <v>2003</v>
      </c>
      <c r="F15673" t="s">
        <v>2482</v>
      </c>
      <c r="G15673" s="9">
        <v>7213.19</v>
      </c>
      <c r="H15673" s="8">
        <v>305</v>
      </c>
    </row>
    <row r="15674" spans="2:8" ht="15" customHeight="1" x14ac:dyDescent="0.4">
      <c r="B15674" t="s">
        <v>7</v>
      </c>
      <c r="C15674" t="s">
        <v>2481</v>
      </c>
      <c r="D15674" s="7">
        <f>DATE(2004,3,23)</f>
        <v>38069</v>
      </c>
      <c r="E15674" s="8">
        <f t="shared" si="257"/>
        <v>2004</v>
      </c>
      <c r="F15674" t="s">
        <v>2482</v>
      </c>
      <c r="G15674" s="9">
        <v>1276.5999999999999</v>
      </c>
      <c r="H15674" s="8">
        <v>1542</v>
      </c>
    </row>
    <row r="15675" spans="2:8" ht="15" customHeight="1" x14ac:dyDescent="0.4">
      <c r="B15675" t="s">
        <v>7</v>
      </c>
      <c r="C15675" t="s">
        <v>2481</v>
      </c>
      <c r="D15675" s="7">
        <f>DATE(2004,5,31)</f>
        <v>38138</v>
      </c>
      <c r="E15675" s="8">
        <f t="shared" si="257"/>
        <v>2004</v>
      </c>
      <c r="F15675" t="s">
        <v>2482</v>
      </c>
      <c r="G15675" s="9">
        <v>62420.41</v>
      </c>
      <c r="H15675" s="8">
        <v>1820</v>
      </c>
    </row>
    <row r="15676" spans="2:8" ht="15" customHeight="1" x14ac:dyDescent="0.4">
      <c r="B15676" t="s">
        <v>7</v>
      </c>
      <c r="C15676" t="s">
        <v>2481</v>
      </c>
      <c r="D15676" s="7">
        <f>DATE(2004,8,1)</f>
        <v>38200</v>
      </c>
      <c r="E15676" s="8">
        <f t="shared" si="257"/>
        <v>2004</v>
      </c>
      <c r="F15676" t="s">
        <v>2482</v>
      </c>
      <c r="G15676" s="9">
        <v>6317.64</v>
      </c>
      <c r="H15676" s="8">
        <v>2013</v>
      </c>
    </row>
    <row r="15677" spans="2:8" ht="15" customHeight="1" x14ac:dyDescent="0.4">
      <c r="B15677" t="s">
        <v>7</v>
      </c>
      <c r="C15677" t="s">
        <v>2481</v>
      </c>
      <c r="D15677" s="7">
        <f>DATE(2005,4,24)</f>
        <v>38466</v>
      </c>
      <c r="E15677" s="8">
        <f t="shared" si="257"/>
        <v>2005</v>
      </c>
      <c r="F15677" t="s">
        <v>2482</v>
      </c>
      <c r="G15677" s="9">
        <v>57957.21</v>
      </c>
      <c r="H15677" s="8">
        <v>3080</v>
      </c>
    </row>
    <row r="15678" spans="2:8" ht="15" customHeight="1" x14ac:dyDescent="0.4">
      <c r="B15678" t="s">
        <v>7</v>
      </c>
      <c r="C15678" t="s">
        <v>2481</v>
      </c>
      <c r="D15678" s="7">
        <f>DATE(2005,5,16)</f>
        <v>38488</v>
      </c>
      <c r="E15678" s="8">
        <f t="shared" si="257"/>
        <v>2005</v>
      </c>
      <c r="F15678" t="s">
        <v>2482</v>
      </c>
      <c r="G15678" s="9">
        <v>54793.25</v>
      </c>
      <c r="H15678" s="8">
        <v>3187</v>
      </c>
    </row>
    <row r="15679" spans="2:8" ht="15" customHeight="1" x14ac:dyDescent="0.4">
      <c r="B15679" t="s">
        <v>7</v>
      </c>
      <c r="C15679" t="s">
        <v>2481</v>
      </c>
      <c r="D15679" s="7">
        <f>DATE(2006,2,5)</f>
        <v>38753</v>
      </c>
      <c r="E15679" s="8">
        <f t="shared" si="257"/>
        <v>2006</v>
      </c>
      <c r="F15679" t="s">
        <v>2482</v>
      </c>
      <c r="G15679" s="9">
        <v>26077.56</v>
      </c>
      <c r="H15679" s="8">
        <v>4010</v>
      </c>
    </row>
    <row r="15680" spans="2:8" ht="15" customHeight="1" x14ac:dyDescent="0.4">
      <c r="B15680" t="s">
        <v>7</v>
      </c>
      <c r="C15680" t="s">
        <v>2481</v>
      </c>
      <c r="D15680" s="7">
        <f>DATE(2006,2,4)</f>
        <v>38752</v>
      </c>
      <c r="E15680" s="8">
        <f t="shared" si="257"/>
        <v>2006</v>
      </c>
      <c r="F15680" t="s">
        <v>2482</v>
      </c>
      <c r="G15680" s="9">
        <v>3145.78</v>
      </c>
      <c r="H15680" s="8">
        <v>3951</v>
      </c>
    </row>
    <row r="15681" spans="2:8" ht="15" customHeight="1" x14ac:dyDescent="0.4">
      <c r="B15681" t="s">
        <v>7</v>
      </c>
      <c r="C15681" t="s">
        <v>2481</v>
      </c>
      <c r="D15681" s="7">
        <f>DATE(2006,3,26)</f>
        <v>38802</v>
      </c>
      <c r="E15681" s="8">
        <f t="shared" si="257"/>
        <v>2006</v>
      </c>
      <c r="F15681" t="s">
        <v>2482</v>
      </c>
      <c r="G15681" s="9">
        <v>37617.86</v>
      </c>
      <c r="H15681" s="8">
        <v>4300</v>
      </c>
    </row>
    <row r="15682" spans="2:8" ht="15" customHeight="1" x14ac:dyDescent="0.4">
      <c r="B15682" t="s">
        <v>7</v>
      </c>
      <c r="C15682" t="s">
        <v>2481</v>
      </c>
      <c r="D15682" s="7">
        <f>DATE(2006,8,7)</f>
        <v>38936</v>
      </c>
      <c r="E15682" s="8">
        <f t="shared" si="257"/>
        <v>2006</v>
      </c>
      <c r="F15682" t="s">
        <v>2482</v>
      </c>
      <c r="G15682" s="9">
        <v>77772.59</v>
      </c>
      <c r="H15682" s="8">
        <v>4843</v>
      </c>
    </row>
    <row r="15683" spans="2:8" ht="15" customHeight="1" x14ac:dyDescent="0.4">
      <c r="B15683" t="s">
        <v>7</v>
      </c>
      <c r="C15683" t="s">
        <v>2481</v>
      </c>
      <c r="D15683" s="7">
        <f>DATE(2007,5,20)</f>
        <v>39222</v>
      </c>
      <c r="E15683" s="8">
        <f t="shared" ref="E15683:E15746" si="258">YEAR(D15683)</f>
        <v>2007</v>
      </c>
      <c r="F15683" t="s">
        <v>2482</v>
      </c>
      <c r="G15683" s="9">
        <v>7285</v>
      </c>
      <c r="H15683" s="8">
        <v>5614</v>
      </c>
    </row>
    <row r="15684" spans="2:8" ht="15" customHeight="1" x14ac:dyDescent="0.4">
      <c r="B15684" t="s">
        <v>7</v>
      </c>
      <c r="C15684" t="s">
        <v>2481</v>
      </c>
      <c r="D15684" s="7">
        <f>DATE(2007,8,24)</f>
        <v>39318</v>
      </c>
      <c r="E15684" s="8">
        <f t="shared" si="258"/>
        <v>2007</v>
      </c>
      <c r="F15684" t="s">
        <v>2482</v>
      </c>
      <c r="G15684" s="9">
        <v>11342.64</v>
      </c>
      <c r="H15684" s="8">
        <v>6291</v>
      </c>
    </row>
    <row r="15685" spans="2:8" ht="15" customHeight="1" x14ac:dyDescent="0.4">
      <c r="B15685" t="s">
        <v>7</v>
      </c>
      <c r="C15685" t="s">
        <v>2481</v>
      </c>
      <c r="D15685" s="7">
        <f>DATE(2007,11,1)</f>
        <v>39387</v>
      </c>
      <c r="E15685" s="8">
        <f t="shared" si="258"/>
        <v>2007</v>
      </c>
      <c r="F15685" t="s">
        <v>2482</v>
      </c>
      <c r="G15685" s="9">
        <v>7719.32</v>
      </c>
      <c r="H15685" s="8">
        <v>6521</v>
      </c>
    </row>
    <row r="15686" spans="2:8" ht="15" customHeight="1" x14ac:dyDescent="0.4">
      <c r="B15686" t="s">
        <v>7</v>
      </c>
      <c r="C15686" t="s">
        <v>2481</v>
      </c>
      <c r="D15686" s="7">
        <f>DATE(2007,11,1)</f>
        <v>39387</v>
      </c>
      <c r="E15686" s="8">
        <f t="shared" si="258"/>
        <v>2007</v>
      </c>
      <c r="F15686" t="s">
        <v>2482</v>
      </c>
      <c r="G15686" s="9">
        <v>11321.58</v>
      </c>
      <c r="H15686" s="8">
        <v>6531</v>
      </c>
    </row>
    <row r="15687" spans="2:8" ht="15" customHeight="1" x14ac:dyDescent="0.4">
      <c r="B15687" t="s">
        <v>7</v>
      </c>
      <c r="C15687" t="s">
        <v>2481</v>
      </c>
      <c r="D15687" s="7">
        <f>DATE(2009,3,6)</f>
        <v>39878</v>
      </c>
      <c r="E15687" s="8">
        <f t="shared" si="258"/>
        <v>2009</v>
      </c>
      <c r="F15687" t="s">
        <v>2482</v>
      </c>
      <c r="G15687" s="9">
        <v>6657.43</v>
      </c>
      <c r="H15687" s="8">
        <v>8416</v>
      </c>
    </row>
    <row r="15688" spans="2:8" ht="15" customHeight="1" x14ac:dyDescent="0.4">
      <c r="B15688" t="s">
        <v>7</v>
      </c>
      <c r="C15688" t="s">
        <v>2481</v>
      </c>
      <c r="D15688" s="7">
        <f>DATE(2009,7,24)</f>
        <v>40018</v>
      </c>
      <c r="E15688" s="8">
        <f t="shared" si="258"/>
        <v>2009</v>
      </c>
      <c r="F15688" t="s">
        <v>2482</v>
      </c>
      <c r="G15688" s="9">
        <v>11764.28</v>
      </c>
      <c r="H15688" s="8">
        <v>8816</v>
      </c>
    </row>
    <row r="15689" spans="2:8" ht="15" customHeight="1" x14ac:dyDescent="0.4">
      <c r="B15689" t="s">
        <v>7</v>
      </c>
      <c r="C15689" t="s">
        <v>2481</v>
      </c>
      <c r="D15689" s="7">
        <f>DATE(2009,7,24)</f>
        <v>40018</v>
      </c>
      <c r="E15689" s="8">
        <f t="shared" si="258"/>
        <v>2009</v>
      </c>
      <c r="F15689" t="s">
        <v>2482</v>
      </c>
      <c r="G15689" s="9">
        <v>14778.36</v>
      </c>
      <c r="H15689" s="8">
        <v>7816</v>
      </c>
    </row>
    <row r="15690" spans="2:8" ht="15" customHeight="1" x14ac:dyDescent="0.4">
      <c r="B15690" t="s">
        <v>7</v>
      </c>
      <c r="C15690" t="s">
        <v>2481</v>
      </c>
      <c r="D15690" s="7">
        <f>DATE(2010,11,16)</f>
        <v>40498</v>
      </c>
      <c r="E15690" s="8">
        <f t="shared" si="258"/>
        <v>2010</v>
      </c>
      <c r="F15690" t="s">
        <v>2482</v>
      </c>
      <c r="G15690" s="9">
        <v>13152.14</v>
      </c>
      <c r="H15690" s="8">
        <v>10185</v>
      </c>
    </row>
    <row r="15691" spans="2:8" ht="15" customHeight="1" x14ac:dyDescent="0.4">
      <c r="B15691" s="3" t="s">
        <v>7</v>
      </c>
      <c r="C15691" s="3" t="s">
        <v>2481</v>
      </c>
      <c r="D15691" s="4">
        <f>DATE(2006,7,7)</f>
        <v>38905</v>
      </c>
      <c r="E15691" s="5">
        <f t="shared" si="258"/>
        <v>2006</v>
      </c>
      <c r="F15691" s="3" t="s">
        <v>2482</v>
      </c>
      <c r="G15691" s="6">
        <v>1585.42</v>
      </c>
      <c r="H15691" s="5">
        <v>6931</v>
      </c>
    </row>
    <row r="15692" spans="2:8" ht="15" customHeight="1" x14ac:dyDescent="0.4">
      <c r="B15692" s="3" t="s">
        <v>7</v>
      </c>
      <c r="C15692" s="3" t="s">
        <v>2481</v>
      </c>
      <c r="D15692" s="4">
        <f>DATE(2006,10,13)</f>
        <v>39003</v>
      </c>
      <c r="E15692" s="5">
        <f t="shared" si="258"/>
        <v>2006</v>
      </c>
      <c r="F15692" s="3" t="s">
        <v>2482</v>
      </c>
      <c r="G15692" s="6">
        <v>32682.77</v>
      </c>
      <c r="H15692" s="5">
        <v>7271</v>
      </c>
    </row>
    <row r="15693" spans="2:8" ht="15" customHeight="1" x14ac:dyDescent="0.4">
      <c r="B15693" s="3" t="s">
        <v>7</v>
      </c>
      <c r="C15693" s="3" t="s">
        <v>2481</v>
      </c>
      <c r="D15693" s="4">
        <f>DATE(2006,11,29)</f>
        <v>39050</v>
      </c>
      <c r="E15693" s="5">
        <f t="shared" si="258"/>
        <v>2006</v>
      </c>
      <c r="F15693" s="3" t="s">
        <v>2482</v>
      </c>
      <c r="G15693" s="6">
        <v>19400</v>
      </c>
      <c r="H15693" s="5">
        <v>7584</v>
      </c>
    </row>
    <row r="15694" spans="2:8" ht="15" customHeight="1" x14ac:dyDescent="0.4">
      <c r="B15694" s="3" t="s">
        <v>7</v>
      </c>
      <c r="C15694" s="3" t="s">
        <v>2481</v>
      </c>
      <c r="D15694" s="4">
        <f>DATE(2007,3,14)</f>
        <v>39155</v>
      </c>
      <c r="E15694" s="5">
        <f t="shared" si="258"/>
        <v>2007</v>
      </c>
      <c r="F15694" s="3" t="s">
        <v>2482</v>
      </c>
      <c r="G15694" s="6">
        <v>30250</v>
      </c>
      <c r="H15694" s="5">
        <v>8125</v>
      </c>
    </row>
    <row r="15695" spans="2:8" ht="15" customHeight="1" x14ac:dyDescent="0.4">
      <c r="B15695" s="3" t="s">
        <v>7</v>
      </c>
      <c r="C15695" s="3" t="s">
        <v>2481</v>
      </c>
      <c r="D15695" s="4">
        <f>DATE(2007,4,12)</f>
        <v>39184</v>
      </c>
      <c r="E15695" s="5">
        <f t="shared" si="258"/>
        <v>2007</v>
      </c>
      <c r="F15695" s="3" t="s">
        <v>2482</v>
      </c>
      <c r="G15695" s="6">
        <v>8820</v>
      </c>
      <c r="H15695" s="5">
        <v>8249</v>
      </c>
    </row>
    <row r="15696" spans="2:8" ht="15" customHeight="1" x14ac:dyDescent="0.4">
      <c r="B15696" s="3" t="s">
        <v>7</v>
      </c>
      <c r="C15696" s="3" t="s">
        <v>2481</v>
      </c>
      <c r="D15696" s="4">
        <f>DATE(2007,6,12)</f>
        <v>39245</v>
      </c>
      <c r="E15696" s="5">
        <f t="shared" si="258"/>
        <v>2007</v>
      </c>
      <c r="F15696" s="3" t="s">
        <v>2482</v>
      </c>
      <c r="G15696" s="6">
        <v>2045.75</v>
      </c>
      <c r="H15696" s="5">
        <v>8601</v>
      </c>
    </row>
    <row r="15697" spans="2:8" ht="15" customHeight="1" x14ac:dyDescent="0.4">
      <c r="B15697" s="3" t="s">
        <v>7</v>
      </c>
      <c r="C15697" s="3" t="s">
        <v>2481</v>
      </c>
      <c r="D15697" s="4">
        <f>DATE(2008,3,20)</f>
        <v>39527</v>
      </c>
      <c r="E15697" s="5">
        <f t="shared" si="258"/>
        <v>2008</v>
      </c>
      <c r="F15697" s="3" t="s">
        <v>2482</v>
      </c>
      <c r="G15697" s="6">
        <v>2940</v>
      </c>
      <c r="H15697" s="5">
        <v>10220</v>
      </c>
    </row>
    <row r="15698" spans="2:8" ht="15" customHeight="1" x14ac:dyDescent="0.4">
      <c r="B15698" s="3" t="s">
        <v>7</v>
      </c>
      <c r="C15698" s="3" t="s">
        <v>2481</v>
      </c>
      <c r="D15698" s="4">
        <f>DATE(2008,4,3)</f>
        <v>39541</v>
      </c>
      <c r="E15698" s="5">
        <f t="shared" si="258"/>
        <v>2008</v>
      </c>
      <c r="F15698" s="3" t="s">
        <v>2482</v>
      </c>
      <c r="G15698" s="6">
        <v>8820</v>
      </c>
      <c r="H15698" s="5">
        <v>10284</v>
      </c>
    </row>
    <row r="15699" spans="2:8" ht="15" customHeight="1" x14ac:dyDescent="0.4">
      <c r="B15699" s="3" t="s">
        <v>7</v>
      </c>
      <c r="C15699" s="3" t="s">
        <v>2481</v>
      </c>
      <c r="D15699" s="4">
        <f>DATE(2008,4,15)</f>
        <v>39553</v>
      </c>
      <c r="E15699" s="5">
        <f t="shared" si="258"/>
        <v>2008</v>
      </c>
      <c r="F15699" s="3" t="s">
        <v>2482</v>
      </c>
      <c r="G15699" s="6">
        <v>23817.279999999999</v>
      </c>
      <c r="H15699" s="5">
        <v>10402</v>
      </c>
    </row>
    <row r="15700" spans="2:8" ht="15" customHeight="1" x14ac:dyDescent="0.4">
      <c r="B15700" s="3" t="s">
        <v>7</v>
      </c>
      <c r="C15700" s="3" t="s">
        <v>2481</v>
      </c>
      <c r="D15700" s="4">
        <f>DATE(2008,5,7)</f>
        <v>39575</v>
      </c>
      <c r="E15700" s="5">
        <f t="shared" si="258"/>
        <v>2008</v>
      </c>
      <c r="F15700" s="3" t="s">
        <v>2482</v>
      </c>
      <c r="G15700" s="6">
        <v>20952</v>
      </c>
      <c r="H15700" s="5">
        <v>10620</v>
      </c>
    </row>
    <row r="15701" spans="2:8" ht="15" customHeight="1" x14ac:dyDescent="0.4">
      <c r="B15701" s="3" t="s">
        <v>7</v>
      </c>
      <c r="C15701" s="3" t="s">
        <v>2481</v>
      </c>
      <c r="D15701" s="4">
        <f>DATE(2008,5,8)</f>
        <v>39576</v>
      </c>
      <c r="E15701" s="5">
        <f t="shared" si="258"/>
        <v>2008</v>
      </c>
      <c r="F15701" s="3" t="s">
        <v>2482</v>
      </c>
      <c r="G15701" s="6">
        <v>6208</v>
      </c>
      <c r="H15701" s="5">
        <v>10620</v>
      </c>
    </row>
    <row r="15702" spans="2:8" ht="15" customHeight="1" x14ac:dyDescent="0.4">
      <c r="B15702" s="3" t="s">
        <v>7</v>
      </c>
      <c r="C15702" s="3" t="s">
        <v>2481</v>
      </c>
      <c r="D15702" s="4">
        <f>DATE(2008,5,14)</f>
        <v>39582</v>
      </c>
      <c r="E15702" s="5">
        <f t="shared" si="258"/>
        <v>2008</v>
      </c>
      <c r="F15702" s="3" t="s">
        <v>2482</v>
      </c>
      <c r="G15702" s="6">
        <v>1840</v>
      </c>
      <c r="H15702" s="5">
        <v>10670</v>
      </c>
    </row>
    <row r="15703" spans="2:8" ht="15" customHeight="1" x14ac:dyDescent="0.4">
      <c r="B15703" s="3" t="s">
        <v>7</v>
      </c>
      <c r="C15703" s="3" t="s">
        <v>2481</v>
      </c>
      <c r="D15703" s="4">
        <f>DATE(2008,5,16)</f>
        <v>39584</v>
      </c>
      <c r="E15703" s="5">
        <f t="shared" si="258"/>
        <v>2008</v>
      </c>
      <c r="F15703" s="3" t="s">
        <v>2482</v>
      </c>
      <c r="G15703" s="6">
        <v>2892</v>
      </c>
      <c r="H15703" s="5">
        <v>10662</v>
      </c>
    </row>
    <row r="15704" spans="2:8" ht="15" customHeight="1" x14ac:dyDescent="0.4">
      <c r="B15704" s="3" t="s">
        <v>7</v>
      </c>
      <c r="C15704" s="3" t="s">
        <v>2481</v>
      </c>
      <c r="D15704" s="4">
        <f>DATE(2008,12,19)</f>
        <v>39801</v>
      </c>
      <c r="E15704" s="5">
        <f t="shared" si="258"/>
        <v>2008</v>
      </c>
      <c r="F15704" s="3" t="s">
        <v>2482</v>
      </c>
      <c r="G15704" s="6">
        <v>27160</v>
      </c>
      <c r="H15704" s="5">
        <v>11715</v>
      </c>
    </row>
    <row r="15705" spans="2:8" ht="15" customHeight="1" x14ac:dyDescent="0.4">
      <c r="B15705" s="3" t="s">
        <v>7</v>
      </c>
      <c r="C15705" s="3" t="s">
        <v>2481</v>
      </c>
      <c r="D15705" s="4">
        <f>DATE(2009,1,13)</f>
        <v>39826</v>
      </c>
      <c r="E15705" s="5">
        <f t="shared" si="258"/>
        <v>2009</v>
      </c>
      <c r="F15705" s="3" t="s">
        <v>2482</v>
      </c>
      <c r="G15705" s="6">
        <v>27160</v>
      </c>
      <c r="H15705" s="5">
        <v>11815</v>
      </c>
    </row>
    <row r="15706" spans="2:8" ht="15" customHeight="1" x14ac:dyDescent="0.4">
      <c r="B15706" s="3" t="s">
        <v>7</v>
      </c>
      <c r="C15706" s="3" t="s">
        <v>2481</v>
      </c>
      <c r="D15706" s="4">
        <f>DATE(2009,3,11)</f>
        <v>39883</v>
      </c>
      <c r="E15706" s="5">
        <f t="shared" si="258"/>
        <v>2009</v>
      </c>
      <c r="F15706" s="3" t="s">
        <v>2482</v>
      </c>
      <c r="G15706" s="6">
        <v>758</v>
      </c>
      <c r="H15706" s="5">
        <v>12124</v>
      </c>
    </row>
    <row r="15707" spans="2:8" ht="15" customHeight="1" x14ac:dyDescent="0.4">
      <c r="B15707" s="3" t="s">
        <v>7</v>
      </c>
      <c r="C15707" s="3" t="s">
        <v>2481</v>
      </c>
      <c r="D15707" s="4">
        <f>DATE(2009,4,23)</f>
        <v>39926</v>
      </c>
      <c r="E15707" s="5">
        <f t="shared" si="258"/>
        <v>2009</v>
      </c>
      <c r="F15707" s="3" t="s">
        <v>2482</v>
      </c>
      <c r="G15707" s="6">
        <v>2428</v>
      </c>
      <c r="H15707" s="5">
        <v>12398</v>
      </c>
    </row>
    <row r="15708" spans="2:8" ht="15" customHeight="1" x14ac:dyDescent="0.4">
      <c r="B15708" s="3" t="s">
        <v>7</v>
      </c>
      <c r="C15708" s="3" t="s">
        <v>2481</v>
      </c>
      <c r="D15708" s="4">
        <f>DATE(2009,5,1)</f>
        <v>39934</v>
      </c>
      <c r="E15708" s="5">
        <f t="shared" si="258"/>
        <v>2009</v>
      </c>
      <c r="F15708" s="3" t="s">
        <v>2482</v>
      </c>
      <c r="G15708" s="6">
        <v>64225</v>
      </c>
      <c r="H15708" s="5">
        <v>12464</v>
      </c>
    </row>
    <row r="15709" spans="2:8" ht="15" customHeight="1" x14ac:dyDescent="0.4">
      <c r="B15709" s="3" t="s">
        <v>7</v>
      </c>
      <c r="C15709" s="3" t="s">
        <v>2481</v>
      </c>
      <c r="D15709" s="4">
        <f>DATE(2010,4,8)</f>
        <v>40276</v>
      </c>
      <c r="E15709" s="5">
        <f t="shared" si="258"/>
        <v>2010</v>
      </c>
      <c r="F15709" s="3" t="s">
        <v>2482</v>
      </c>
      <c r="G15709" s="6">
        <v>7.35</v>
      </c>
      <c r="H15709" s="5">
        <v>13820</v>
      </c>
    </row>
    <row r="15710" spans="2:8" ht="15" customHeight="1" x14ac:dyDescent="0.4">
      <c r="B15710" s="3" t="s">
        <v>7</v>
      </c>
      <c r="C15710" s="3" t="s">
        <v>2481</v>
      </c>
      <c r="D15710" s="4">
        <f>DATE(2011,1,14)</f>
        <v>40557</v>
      </c>
      <c r="E15710" s="5">
        <f t="shared" si="258"/>
        <v>2011</v>
      </c>
      <c r="F15710" s="3" t="s">
        <v>2482</v>
      </c>
      <c r="G15710" s="6">
        <v>1582.5</v>
      </c>
      <c r="H15710" s="5">
        <v>14788</v>
      </c>
    </row>
    <row r="15711" spans="2:8" ht="15" customHeight="1" x14ac:dyDescent="0.4">
      <c r="B15711" s="3" t="s">
        <v>7</v>
      </c>
      <c r="C15711" s="3" t="s">
        <v>2481</v>
      </c>
      <c r="D15711" s="4">
        <f>DATE(2011,2,17)</f>
        <v>40591</v>
      </c>
      <c r="E15711" s="5">
        <f t="shared" si="258"/>
        <v>2011</v>
      </c>
      <c r="F15711" s="3" t="s">
        <v>2482</v>
      </c>
      <c r="G15711" s="6">
        <v>1960</v>
      </c>
      <c r="H15711" s="5">
        <v>15038</v>
      </c>
    </row>
    <row r="15712" spans="2:8" ht="15" customHeight="1" x14ac:dyDescent="0.4">
      <c r="B15712" s="3" t="s">
        <v>7</v>
      </c>
      <c r="C15712" s="3" t="s">
        <v>2481</v>
      </c>
      <c r="D15712" s="4">
        <f>DATE(2011,3,9)</f>
        <v>40611</v>
      </c>
      <c r="E15712" s="5">
        <f t="shared" si="258"/>
        <v>2011</v>
      </c>
      <c r="F15712" s="3" t="s">
        <v>2482</v>
      </c>
      <c r="G15712" s="6">
        <v>2695</v>
      </c>
      <c r="H15712" s="5">
        <v>15035</v>
      </c>
    </row>
    <row r="15713" spans="2:8" ht="15" customHeight="1" x14ac:dyDescent="0.4">
      <c r="B15713" s="3" t="s">
        <v>7</v>
      </c>
      <c r="C15713" s="3" t="s">
        <v>2481</v>
      </c>
      <c r="D15713" s="4">
        <f>DATE(2011,5,13)</f>
        <v>40676</v>
      </c>
      <c r="E15713" s="5">
        <f t="shared" si="258"/>
        <v>2011</v>
      </c>
      <c r="F15713" s="3" t="s">
        <v>2482</v>
      </c>
      <c r="G15713" s="6">
        <v>586</v>
      </c>
      <c r="H15713" s="5">
        <v>15495</v>
      </c>
    </row>
    <row r="15714" spans="2:8" ht="15" customHeight="1" x14ac:dyDescent="0.4">
      <c r="B15714" s="3" t="s">
        <v>7</v>
      </c>
      <c r="C15714" s="3" t="s">
        <v>2481</v>
      </c>
      <c r="D15714" s="4">
        <f>DATE(2012,1,30)</f>
        <v>40938</v>
      </c>
      <c r="E15714" s="5">
        <f t="shared" si="258"/>
        <v>2012</v>
      </c>
      <c r="F15714" s="3" t="s">
        <v>2482</v>
      </c>
      <c r="G15714" s="6">
        <v>101.25</v>
      </c>
      <c r="H15714" s="5">
        <v>16463</v>
      </c>
    </row>
    <row r="15715" spans="2:8" ht="15" customHeight="1" x14ac:dyDescent="0.4">
      <c r="B15715" s="3" t="s">
        <v>7</v>
      </c>
      <c r="C15715" s="3" t="s">
        <v>2481</v>
      </c>
      <c r="D15715" s="4">
        <f>DATE(2012,1,30)</f>
        <v>40938</v>
      </c>
      <c r="E15715" s="5">
        <f t="shared" si="258"/>
        <v>2012</v>
      </c>
      <c r="F15715" s="3" t="s">
        <v>2482</v>
      </c>
      <c r="G15715" s="6">
        <v>1537</v>
      </c>
      <c r="H15715" s="5">
        <v>16464</v>
      </c>
    </row>
    <row r="15716" spans="2:8" ht="15" customHeight="1" x14ac:dyDescent="0.4">
      <c r="B15716" s="3" t="s">
        <v>7</v>
      </c>
      <c r="C15716" s="3" t="s">
        <v>2481</v>
      </c>
      <c r="D15716" s="4">
        <f>DATE(2012,1,30)</f>
        <v>40938</v>
      </c>
      <c r="E15716" s="5">
        <f t="shared" si="258"/>
        <v>2012</v>
      </c>
      <c r="F15716" s="3" t="s">
        <v>2482</v>
      </c>
      <c r="G15716" s="6">
        <v>31816</v>
      </c>
      <c r="H15716" s="5">
        <v>16410</v>
      </c>
    </row>
    <row r="15717" spans="2:8" ht="15" customHeight="1" x14ac:dyDescent="0.4">
      <c r="B15717" s="3" t="s">
        <v>7</v>
      </c>
      <c r="C15717" s="3" t="s">
        <v>2481</v>
      </c>
      <c r="D15717" s="4">
        <f>DATE(2012,2,9)</f>
        <v>40948</v>
      </c>
      <c r="E15717" s="5">
        <f t="shared" si="258"/>
        <v>2012</v>
      </c>
      <c r="F15717" s="3" t="s">
        <v>2482</v>
      </c>
      <c r="G15717" s="6">
        <v>1960</v>
      </c>
      <c r="H15717" s="5">
        <v>16475</v>
      </c>
    </row>
    <row r="15718" spans="2:8" ht="15" customHeight="1" x14ac:dyDescent="0.4">
      <c r="B15718" s="3" t="s">
        <v>7</v>
      </c>
      <c r="C15718" s="3" t="s">
        <v>2481</v>
      </c>
      <c r="D15718" s="4">
        <f>DATE(2012,4,23)</f>
        <v>41022</v>
      </c>
      <c r="E15718" s="5">
        <f t="shared" si="258"/>
        <v>2012</v>
      </c>
      <c r="F15718" s="3" t="s">
        <v>2482</v>
      </c>
      <c r="G15718" s="6">
        <v>980</v>
      </c>
      <c r="H15718" s="5">
        <v>17010</v>
      </c>
    </row>
    <row r="15719" spans="2:8" ht="15" customHeight="1" x14ac:dyDescent="0.4">
      <c r="B15719" s="3" t="s">
        <v>7</v>
      </c>
      <c r="C15719" s="3" t="s">
        <v>2481</v>
      </c>
      <c r="D15719" s="4">
        <f>DATE(2012,4,27)</f>
        <v>41026</v>
      </c>
      <c r="E15719" s="5">
        <f t="shared" si="258"/>
        <v>2012</v>
      </c>
      <c r="F15719" s="3" t="s">
        <v>2482</v>
      </c>
      <c r="G15719" s="6">
        <v>16400</v>
      </c>
      <c r="H15719" s="5">
        <v>17035</v>
      </c>
    </row>
    <row r="15720" spans="2:8" ht="15" customHeight="1" x14ac:dyDescent="0.4">
      <c r="B15720" s="3" t="s">
        <v>7</v>
      </c>
      <c r="C15720" s="3" t="s">
        <v>2481</v>
      </c>
      <c r="D15720" s="4">
        <f>DATE(2013,7,1)</f>
        <v>41456</v>
      </c>
      <c r="E15720" s="5">
        <f t="shared" si="258"/>
        <v>2013</v>
      </c>
      <c r="F15720" s="3" t="s">
        <v>2482</v>
      </c>
      <c r="G15720" s="6">
        <v>1960</v>
      </c>
      <c r="H15720" s="5">
        <v>18694</v>
      </c>
    </row>
    <row r="15721" spans="2:8" ht="15" customHeight="1" x14ac:dyDescent="0.4">
      <c r="B15721" s="3" t="s">
        <v>7</v>
      </c>
      <c r="C15721" s="3" t="s">
        <v>2481</v>
      </c>
      <c r="D15721" s="4">
        <f>DATE(2014,1,24)</f>
        <v>41663</v>
      </c>
      <c r="E15721" s="5">
        <f t="shared" si="258"/>
        <v>2014</v>
      </c>
      <c r="F15721" s="3" t="s">
        <v>2482</v>
      </c>
      <c r="G15721" s="6">
        <v>2.4500000000000002</v>
      </c>
      <c r="H15721" s="5">
        <v>19375</v>
      </c>
    </row>
    <row r="15722" spans="2:8" ht="15" customHeight="1" x14ac:dyDescent="0.4">
      <c r="B15722" s="3" t="s">
        <v>7</v>
      </c>
      <c r="C15722" s="3" t="s">
        <v>2481</v>
      </c>
      <c r="D15722" s="4">
        <f>DATE(2014,2,5)</f>
        <v>41675</v>
      </c>
      <c r="E15722" s="5">
        <f t="shared" si="258"/>
        <v>2014</v>
      </c>
      <c r="F15722" s="3" t="s">
        <v>2482</v>
      </c>
      <c r="G15722" s="6">
        <v>490</v>
      </c>
      <c r="H15722" s="5">
        <v>19430</v>
      </c>
    </row>
    <row r="15723" spans="2:8" ht="15" customHeight="1" x14ac:dyDescent="0.4">
      <c r="B15723" s="3" t="s">
        <v>7</v>
      </c>
      <c r="C15723" s="3" t="s">
        <v>2481</v>
      </c>
      <c r="D15723" s="4">
        <f>DATE(2014,4,2)</f>
        <v>41731</v>
      </c>
      <c r="E15723" s="5">
        <f t="shared" si="258"/>
        <v>2014</v>
      </c>
      <c r="F15723" s="3" t="s">
        <v>2482</v>
      </c>
      <c r="G15723" s="6">
        <v>34144</v>
      </c>
      <c r="H15723" s="5">
        <v>19754</v>
      </c>
    </row>
    <row r="15724" spans="2:8" ht="15" customHeight="1" x14ac:dyDescent="0.4">
      <c r="B15724" s="3" t="s">
        <v>7</v>
      </c>
      <c r="C15724" s="3" t="s">
        <v>2481</v>
      </c>
      <c r="D15724" s="4">
        <f>DATE(2014,4,15)</f>
        <v>41744</v>
      </c>
      <c r="E15724" s="5">
        <f t="shared" si="258"/>
        <v>2014</v>
      </c>
      <c r="F15724" s="3" t="s">
        <v>2482</v>
      </c>
      <c r="G15724" s="6">
        <v>242</v>
      </c>
      <c r="H15724" s="5">
        <v>19758</v>
      </c>
    </row>
    <row r="15725" spans="2:8" ht="15" customHeight="1" x14ac:dyDescent="0.4">
      <c r="B15725" s="3" t="s">
        <v>7</v>
      </c>
      <c r="C15725" s="3" t="s">
        <v>2481</v>
      </c>
      <c r="D15725" s="4">
        <f>DATE(2014,5,30)</f>
        <v>41789</v>
      </c>
      <c r="E15725" s="5">
        <f t="shared" si="258"/>
        <v>2014</v>
      </c>
      <c r="F15725" s="3" t="s">
        <v>2482</v>
      </c>
      <c r="G15725" s="6">
        <v>27160</v>
      </c>
      <c r="H15725" s="5">
        <v>19992</v>
      </c>
    </row>
    <row r="15726" spans="2:8" ht="15" customHeight="1" x14ac:dyDescent="0.4">
      <c r="B15726" s="3" t="s">
        <v>7</v>
      </c>
      <c r="C15726" s="3" t="s">
        <v>2481</v>
      </c>
      <c r="D15726" s="4">
        <f>DATE(2014,10,24)</f>
        <v>41936</v>
      </c>
      <c r="E15726" s="5">
        <f t="shared" si="258"/>
        <v>2014</v>
      </c>
      <c r="F15726" s="3" t="s">
        <v>2482</v>
      </c>
      <c r="G15726" s="6">
        <v>29488</v>
      </c>
      <c r="H15726" s="5">
        <v>20474</v>
      </c>
    </row>
    <row r="15727" spans="2:8" ht="15" customHeight="1" x14ac:dyDescent="0.4">
      <c r="B15727" t="s">
        <v>7</v>
      </c>
      <c r="C15727" t="s">
        <v>2481</v>
      </c>
      <c r="D15727" s="7">
        <f>DATE(2003,5,7)</f>
        <v>37748</v>
      </c>
      <c r="E15727" s="8">
        <f t="shared" si="258"/>
        <v>2003</v>
      </c>
      <c r="F15727" t="s">
        <v>2482</v>
      </c>
      <c r="G15727" s="9">
        <v>48731.47</v>
      </c>
      <c r="H15727" s="8">
        <v>8</v>
      </c>
    </row>
    <row r="15728" spans="2:8" ht="15" customHeight="1" x14ac:dyDescent="0.4">
      <c r="B15728" t="s">
        <v>7</v>
      </c>
      <c r="C15728" t="s">
        <v>2481</v>
      </c>
      <c r="D15728" s="7">
        <f>DATE(2003,9,28)</f>
        <v>37892</v>
      </c>
      <c r="E15728" s="8">
        <f t="shared" si="258"/>
        <v>2003</v>
      </c>
      <c r="F15728" t="s">
        <v>2482</v>
      </c>
      <c r="G15728" s="9">
        <v>2917</v>
      </c>
      <c r="H15728" s="8">
        <v>13</v>
      </c>
    </row>
    <row r="15729" spans="2:8" ht="15" customHeight="1" x14ac:dyDescent="0.4">
      <c r="B15729" t="s">
        <v>7</v>
      </c>
      <c r="C15729" t="s">
        <v>2481</v>
      </c>
      <c r="D15729" s="7">
        <f>DATE(2003,9,30)</f>
        <v>37894</v>
      </c>
      <c r="E15729" s="8">
        <f t="shared" si="258"/>
        <v>2003</v>
      </c>
      <c r="F15729" t="s">
        <v>2482</v>
      </c>
      <c r="G15729" s="9">
        <v>78453.759999999995</v>
      </c>
      <c r="H15729" s="8">
        <v>12</v>
      </c>
    </row>
    <row r="15730" spans="2:8" ht="15" customHeight="1" x14ac:dyDescent="0.4">
      <c r="B15730" t="s">
        <v>7</v>
      </c>
      <c r="C15730" t="s">
        <v>2481</v>
      </c>
      <c r="D15730" s="7">
        <f>DATE(2004,10,9)</f>
        <v>38269</v>
      </c>
      <c r="E15730" s="8">
        <f t="shared" si="258"/>
        <v>2004</v>
      </c>
      <c r="F15730" t="s">
        <v>2482</v>
      </c>
      <c r="G15730" s="9">
        <v>45781</v>
      </c>
      <c r="H15730" s="8">
        <v>46</v>
      </c>
    </row>
    <row r="15731" spans="2:8" ht="15" customHeight="1" x14ac:dyDescent="0.4">
      <c r="B15731" t="s">
        <v>7</v>
      </c>
      <c r="C15731" t="s">
        <v>2481</v>
      </c>
      <c r="D15731" s="7">
        <f>DATE(2004,10,8)</f>
        <v>38268</v>
      </c>
      <c r="E15731" s="8">
        <f t="shared" si="258"/>
        <v>2004</v>
      </c>
      <c r="F15731" t="s">
        <v>2482</v>
      </c>
      <c r="G15731" s="9">
        <v>12438.42</v>
      </c>
      <c r="H15731" s="8">
        <v>51</v>
      </c>
    </row>
    <row r="15732" spans="2:8" ht="15" customHeight="1" x14ac:dyDescent="0.4">
      <c r="B15732" t="s">
        <v>16</v>
      </c>
      <c r="C15732" t="s">
        <v>2481</v>
      </c>
      <c r="D15732" s="7">
        <f>DATE(2003,7,29)</f>
        <v>37831</v>
      </c>
      <c r="E15732" s="8">
        <f t="shared" si="258"/>
        <v>2003</v>
      </c>
      <c r="F15732" t="s">
        <v>2482</v>
      </c>
      <c r="G15732" s="9">
        <v>13000</v>
      </c>
      <c r="H15732" s="8">
        <v>11</v>
      </c>
    </row>
    <row r="15733" spans="2:8" ht="15" customHeight="1" x14ac:dyDescent="0.4">
      <c r="B15733" t="s">
        <v>7</v>
      </c>
      <c r="C15733" t="s">
        <v>2483</v>
      </c>
      <c r="D15733" s="7">
        <f>DATE(2015,3,26)</f>
        <v>42089</v>
      </c>
      <c r="E15733" s="8">
        <f t="shared" si="258"/>
        <v>2015</v>
      </c>
      <c r="F15733" t="s">
        <v>2484</v>
      </c>
      <c r="G15733" s="9">
        <v>331</v>
      </c>
      <c r="H15733" s="8">
        <v>20254</v>
      </c>
    </row>
    <row r="15734" spans="2:8" ht="15" customHeight="1" x14ac:dyDescent="0.4">
      <c r="B15734" t="s">
        <v>7</v>
      </c>
      <c r="C15734" t="s">
        <v>2483</v>
      </c>
      <c r="D15734" s="7">
        <f>DATE(2015,11,9)</f>
        <v>42317</v>
      </c>
      <c r="E15734" s="8">
        <f t="shared" si="258"/>
        <v>2015</v>
      </c>
      <c r="F15734" t="s">
        <v>2484</v>
      </c>
      <c r="G15734" s="9">
        <v>331</v>
      </c>
      <c r="H15734" s="8">
        <v>21553</v>
      </c>
    </row>
    <row r="15735" spans="2:8" ht="15" customHeight="1" x14ac:dyDescent="0.4">
      <c r="B15735" t="s">
        <v>7</v>
      </c>
      <c r="C15735" t="s">
        <v>2483</v>
      </c>
      <c r="D15735" s="7">
        <f>DATE(2015,12,11)</f>
        <v>42349</v>
      </c>
      <c r="E15735" s="8">
        <f t="shared" si="258"/>
        <v>2015</v>
      </c>
      <c r="F15735" t="s">
        <v>2484</v>
      </c>
      <c r="G15735" s="9">
        <v>139</v>
      </c>
      <c r="H15735" s="8">
        <v>21776</v>
      </c>
    </row>
    <row r="15736" spans="2:8" ht="15" customHeight="1" x14ac:dyDescent="0.4">
      <c r="B15736" t="s">
        <v>7</v>
      </c>
      <c r="C15736" t="s">
        <v>2483</v>
      </c>
      <c r="D15736" s="7">
        <f>DATE(2016,4,26)</f>
        <v>42486</v>
      </c>
      <c r="E15736" s="8">
        <f t="shared" si="258"/>
        <v>2016</v>
      </c>
      <c r="F15736" t="s">
        <v>2484</v>
      </c>
      <c r="G15736" s="9">
        <v>331</v>
      </c>
      <c r="H15736" s="8">
        <v>22693</v>
      </c>
    </row>
    <row r="15737" spans="2:8" ht="15" customHeight="1" x14ac:dyDescent="0.4">
      <c r="B15737" t="s">
        <v>7</v>
      </c>
      <c r="C15737" t="s">
        <v>2483</v>
      </c>
      <c r="D15737" s="7">
        <f>DATE(2016,11,23)</f>
        <v>42697</v>
      </c>
      <c r="E15737" s="8">
        <f t="shared" si="258"/>
        <v>2016</v>
      </c>
      <c r="F15737" t="s">
        <v>2484</v>
      </c>
      <c r="G15737" s="9">
        <v>278</v>
      </c>
      <c r="H15737" s="8">
        <v>23862</v>
      </c>
    </row>
    <row r="15738" spans="2:8" ht="15" customHeight="1" x14ac:dyDescent="0.4">
      <c r="B15738" t="s">
        <v>7</v>
      </c>
      <c r="C15738" t="s">
        <v>2483</v>
      </c>
      <c r="D15738" s="7">
        <f>DATE(2017,1,24)</f>
        <v>42759</v>
      </c>
      <c r="E15738" s="8">
        <f t="shared" si="258"/>
        <v>2017</v>
      </c>
      <c r="F15738" t="s">
        <v>2484</v>
      </c>
      <c r="G15738" s="9">
        <v>993</v>
      </c>
      <c r="H15738" s="8">
        <v>24116</v>
      </c>
    </row>
    <row r="15739" spans="2:8" ht="15" customHeight="1" x14ac:dyDescent="0.4">
      <c r="B15739" t="s">
        <v>7</v>
      </c>
      <c r="C15739" t="s">
        <v>2483</v>
      </c>
      <c r="D15739" s="7">
        <f>DATE(2017,4,13)</f>
        <v>42838</v>
      </c>
      <c r="E15739" s="8">
        <f t="shared" si="258"/>
        <v>2017</v>
      </c>
      <c r="F15739" t="s">
        <v>2484</v>
      </c>
      <c r="G15739" s="9">
        <v>165.5</v>
      </c>
      <c r="H15739" s="8">
        <v>24520</v>
      </c>
    </row>
    <row r="15740" spans="2:8" ht="15" customHeight="1" x14ac:dyDescent="0.4">
      <c r="B15740" t="s">
        <v>7</v>
      </c>
      <c r="C15740" t="s">
        <v>2483</v>
      </c>
      <c r="D15740" s="7">
        <f>DATE(2017,5,30)</f>
        <v>42885</v>
      </c>
      <c r="E15740" s="8">
        <f t="shared" si="258"/>
        <v>2017</v>
      </c>
      <c r="F15740" t="s">
        <v>2484</v>
      </c>
      <c r="G15740" s="9">
        <v>333.6</v>
      </c>
      <c r="H15740" s="8">
        <v>25014</v>
      </c>
    </row>
    <row r="15741" spans="2:8" ht="15" customHeight="1" x14ac:dyDescent="0.4">
      <c r="B15741" t="s">
        <v>7</v>
      </c>
      <c r="C15741" t="s">
        <v>2483</v>
      </c>
      <c r="D15741" s="7">
        <f>DATE(2017,11,22)</f>
        <v>43061</v>
      </c>
      <c r="E15741" s="8">
        <f t="shared" si="258"/>
        <v>2017</v>
      </c>
      <c r="F15741" t="s">
        <v>2484</v>
      </c>
      <c r="G15741" s="9">
        <v>331</v>
      </c>
      <c r="H15741" s="8">
        <v>25928</v>
      </c>
    </row>
    <row r="15742" spans="2:8" ht="15" customHeight="1" x14ac:dyDescent="0.4">
      <c r="B15742" t="s">
        <v>7</v>
      </c>
      <c r="C15742" t="s">
        <v>2483</v>
      </c>
      <c r="D15742" s="7">
        <f>DATE(2015,7,28)</f>
        <v>42213</v>
      </c>
      <c r="E15742" s="8">
        <f t="shared" si="258"/>
        <v>2015</v>
      </c>
      <c r="F15742" t="s">
        <v>2484</v>
      </c>
      <c r="G15742" s="9">
        <v>11954.65</v>
      </c>
      <c r="H15742" s="8">
        <v>20907</v>
      </c>
    </row>
    <row r="15743" spans="2:8" ht="15" customHeight="1" x14ac:dyDescent="0.4">
      <c r="B15743" t="s">
        <v>7</v>
      </c>
      <c r="C15743" t="s">
        <v>2483</v>
      </c>
      <c r="D15743" s="7">
        <f>DATE(2016,11,2)</f>
        <v>42676</v>
      </c>
      <c r="E15743" s="8">
        <f t="shared" si="258"/>
        <v>2016</v>
      </c>
      <c r="F15743" t="s">
        <v>2484</v>
      </c>
      <c r="G15743" s="9">
        <v>11473.7</v>
      </c>
      <c r="H15743" s="8">
        <v>23679</v>
      </c>
    </row>
    <row r="15744" spans="2:8" ht="15" customHeight="1" x14ac:dyDescent="0.4">
      <c r="B15744" t="s">
        <v>7</v>
      </c>
      <c r="C15744" t="s">
        <v>2483</v>
      </c>
      <c r="D15744" s="7">
        <f>DATE(2016,12,29)</f>
        <v>42733</v>
      </c>
      <c r="E15744" s="8">
        <f t="shared" si="258"/>
        <v>2016</v>
      </c>
      <c r="F15744" t="s">
        <v>2484</v>
      </c>
      <c r="G15744" s="9">
        <v>9169.1</v>
      </c>
      <c r="H15744" s="8">
        <v>24007</v>
      </c>
    </row>
    <row r="15745" spans="2:8" ht="15" customHeight="1" x14ac:dyDescent="0.4">
      <c r="B15745" t="s">
        <v>7</v>
      </c>
      <c r="C15745" t="s">
        <v>2483</v>
      </c>
      <c r="D15745" s="7">
        <f>DATE(2017,10,10)</f>
        <v>43018</v>
      </c>
      <c r="E15745" s="8">
        <f t="shared" si="258"/>
        <v>2017</v>
      </c>
      <c r="F15745" t="s">
        <v>2484</v>
      </c>
      <c r="G15745" s="9">
        <v>9672.3799999999992</v>
      </c>
      <c r="H15745" s="8">
        <v>25688</v>
      </c>
    </row>
    <row r="15746" spans="2:8" ht="15" customHeight="1" x14ac:dyDescent="0.4">
      <c r="B15746" t="s">
        <v>7</v>
      </c>
      <c r="C15746" t="s">
        <v>2483</v>
      </c>
      <c r="D15746" s="7">
        <f>DATE(2018,2,12)</f>
        <v>43143</v>
      </c>
      <c r="E15746" s="8">
        <f t="shared" si="258"/>
        <v>2018</v>
      </c>
      <c r="F15746" t="s">
        <v>2484</v>
      </c>
      <c r="G15746" s="9">
        <v>8488.3700000000008</v>
      </c>
      <c r="H15746" s="8">
        <v>26388</v>
      </c>
    </row>
    <row r="15747" spans="2:8" ht="15" customHeight="1" x14ac:dyDescent="0.4">
      <c r="B15747" t="s">
        <v>7</v>
      </c>
      <c r="C15747" t="s">
        <v>2483</v>
      </c>
      <c r="D15747" s="7">
        <f>DATE(2018,12,31)</f>
        <v>43465</v>
      </c>
      <c r="E15747" s="8">
        <f t="shared" ref="E15747:E15810" si="259">YEAR(D15747)</f>
        <v>2018</v>
      </c>
      <c r="F15747" t="s">
        <v>2484</v>
      </c>
      <c r="G15747" s="9">
        <v>10746.77</v>
      </c>
      <c r="H15747" s="8">
        <v>28154</v>
      </c>
    </row>
    <row r="15748" spans="2:8" ht="15" customHeight="1" x14ac:dyDescent="0.4">
      <c r="B15748" t="s">
        <v>7</v>
      </c>
      <c r="C15748" t="s">
        <v>2483</v>
      </c>
      <c r="D15748" s="7">
        <f>DATE(2019,4,7)</f>
        <v>43562</v>
      </c>
      <c r="E15748" s="8">
        <f t="shared" si="259"/>
        <v>2019</v>
      </c>
      <c r="F15748" t="s">
        <v>2484</v>
      </c>
      <c r="G15748" s="9">
        <v>9008.2000000000007</v>
      </c>
      <c r="H15748" s="8">
        <v>28697</v>
      </c>
    </row>
    <row r="15749" spans="2:8" ht="15" customHeight="1" x14ac:dyDescent="0.4">
      <c r="B15749" t="s">
        <v>7</v>
      </c>
      <c r="C15749" t="s">
        <v>2483</v>
      </c>
      <c r="D15749" s="7">
        <f>DATE(2003,2,2)</f>
        <v>37654</v>
      </c>
      <c r="E15749" s="8">
        <f t="shared" si="259"/>
        <v>2003</v>
      </c>
      <c r="F15749" t="s">
        <v>2484</v>
      </c>
      <c r="G15749" s="9">
        <v>18114.400000000001</v>
      </c>
      <c r="H15749" s="8">
        <v>161</v>
      </c>
    </row>
    <row r="15750" spans="2:8" ht="15" customHeight="1" x14ac:dyDescent="0.4">
      <c r="B15750" t="s">
        <v>7</v>
      </c>
      <c r="C15750" t="s">
        <v>2483</v>
      </c>
      <c r="D15750" s="7">
        <f>DATE(2003,2,7)</f>
        <v>37659</v>
      </c>
      <c r="E15750" s="8">
        <f t="shared" si="259"/>
        <v>2003</v>
      </c>
      <c r="F15750" t="s">
        <v>2484</v>
      </c>
      <c r="G15750" s="9">
        <v>19542</v>
      </c>
      <c r="H15750" s="8">
        <v>87</v>
      </c>
    </row>
    <row r="15751" spans="2:8" ht="15" customHeight="1" x14ac:dyDescent="0.4">
      <c r="B15751" t="s">
        <v>7</v>
      </c>
      <c r="C15751" t="s">
        <v>2483</v>
      </c>
      <c r="D15751" s="7">
        <f>DATE(2003,5,10)</f>
        <v>37751</v>
      </c>
      <c r="E15751" s="8">
        <f t="shared" si="259"/>
        <v>2003</v>
      </c>
      <c r="F15751" t="s">
        <v>2484</v>
      </c>
      <c r="G15751" s="9">
        <v>22450</v>
      </c>
      <c r="H15751" s="8">
        <v>441</v>
      </c>
    </row>
    <row r="15752" spans="2:8" ht="15" customHeight="1" x14ac:dyDescent="0.4">
      <c r="B15752" t="s">
        <v>7</v>
      </c>
      <c r="C15752" t="s">
        <v>2483</v>
      </c>
      <c r="D15752" s="7">
        <f>DATE(2003,12,5)</f>
        <v>37960</v>
      </c>
      <c r="E15752" s="8">
        <f t="shared" si="259"/>
        <v>2003</v>
      </c>
      <c r="F15752" t="s">
        <v>2484</v>
      </c>
      <c r="G15752" s="9">
        <v>5368.65</v>
      </c>
      <c r="H15752" s="8">
        <v>1066</v>
      </c>
    </row>
    <row r="15753" spans="2:8" ht="15" customHeight="1" x14ac:dyDescent="0.4">
      <c r="B15753" t="s">
        <v>7</v>
      </c>
      <c r="C15753" t="s">
        <v>2483</v>
      </c>
      <c r="D15753" s="7">
        <f>DATE(2004,3,16)</f>
        <v>38062</v>
      </c>
      <c r="E15753" s="8">
        <f t="shared" si="259"/>
        <v>2004</v>
      </c>
      <c r="F15753" t="s">
        <v>2484</v>
      </c>
      <c r="G15753" s="9">
        <v>29034</v>
      </c>
      <c r="H15753" s="8">
        <v>1506</v>
      </c>
    </row>
    <row r="15754" spans="2:8" ht="15" customHeight="1" x14ac:dyDescent="0.4">
      <c r="B15754" t="s">
        <v>7</v>
      </c>
      <c r="C15754" t="s">
        <v>2483</v>
      </c>
      <c r="D15754" s="7">
        <f>DATE(2004,4,21)</f>
        <v>38098</v>
      </c>
      <c r="E15754" s="8">
        <f t="shared" si="259"/>
        <v>2004</v>
      </c>
      <c r="F15754" t="s">
        <v>2484</v>
      </c>
      <c r="G15754" s="9">
        <v>19592</v>
      </c>
      <c r="H15754" s="8">
        <v>1148</v>
      </c>
    </row>
    <row r="15755" spans="2:8" ht="15" customHeight="1" x14ac:dyDescent="0.4">
      <c r="B15755" t="s">
        <v>7</v>
      </c>
      <c r="C15755" t="s">
        <v>2483</v>
      </c>
      <c r="D15755" s="7">
        <f>DATE(2004,5,29)</f>
        <v>38136</v>
      </c>
      <c r="E15755" s="8">
        <f t="shared" si="259"/>
        <v>2004</v>
      </c>
      <c r="F15755" t="s">
        <v>2484</v>
      </c>
      <c r="G15755" s="9">
        <v>8046.31</v>
      </c>
      <c r="H15755" s="8">
        <v>1827</v>
      </c>
    </row>
    <row r="15756" spans="2:8" ht="15" customHeight="1" x14ac:dyDescent="0.4">
      <c r="B15756" t="s">
        <v>7</v>
      </c>
      <c r="C15756" t="s">
        <v>2483</v>
      </c>
      <c r="D15756" s="7">
        <f>DATE(2005,3,19)</f>
        <v>38430</v>
      </c>
      <c r="E15756" s="8">
        <f t="shared" si="259"/>
        <v>2005</v>
      </c>
      <c r="F15756" t="s">
        <v>2484</v>
      </c>
      <c r="G15756" s="9">
        <v>18792</v>
      </c>
      <c r="H15756" s="8">
        <v>2501</v>
      </c>
    </row>
    <row r="15757" spans="2:8" ht="15" customHeight="1" x14ac:dyDescent="0.4">
      <c r="B15757" t="s">
        <v>7</v>
      </c>
      <c r="C15757" t="s">
        <v>2483</v>
      </c>
      <c r="D15757" s="7">
        <f>DATE(2005,3,30)</f>
        <v>38441</v>
      </c>
      <c r="E15757" s="8">
        <f t="shared" si="259"/>
        <v>2005</v>
      </c>
      <c r="F15757" t="s">
        <v>2484</v>
      </c>
      <c r="G15757" s="9">
        <v>4533.2</v>
      </c>
      <c r="H15757" s="8">
        <v>2989</v>
      </c>
    </row>
    <row r="15758" spans="2:8" ht="15" customHeight="1" x14ac:dyDescent="0.4">
      <c r="B15758" t="s">
        <v>7</v>
      </c>
      <c r="C15758" t="s">
        <v>2483</v>
      </c>
      <c r="D15758" s="7">
        <f>DATE(2005,5,4)</f>
        <v>38476</v>
      </c>
      <c r="E15758" s="8">
        <f t="shared" si="259"/>
        <v>2005</v>
      </c>
      <c r="F15758" t="s">
        <v>2484</v>
      </c>
      <c r="G15758" s="9">
        <v>7818.34</v>
      </c>
      <c r="H15758" s="8">
        <v>2916</v>
      </c>
    </row>
    <row r="15759" spans="2:8" ht="15" customHeight="1" x14ac:dyDescent="0.4">
      <c r="B15759" t="s">
        <v>7</v>
      </c>
      <c r="C15759" t="s">
        <v>2483</v>
      </c>
      <c r="D15759" s="7">
        <f>DATE(2005,7,24)</f>
        <v>38557</v>
      </c>
      <c r="E15759" s="8">
        <f t="shared" si="259"/>
        <v>2005</v>
      </c>
      <c r="F15759" t="s">
        <v>2484</v>
      </c>
      <c r="G15759" s="9">
        <v>21154.54</v>
      </c>
      <c r="H15759" s="8">
        <v>3400</v>
      </c>
    </row>
    <row r="15760" spans="2:8" ht="15" customHeight="1" x14ac:dyDescent="0.4">
      <c r="B15760" t="s">
        <v>7</v>
      </c>
      <c r="C15760" t="s">
        <v>2483</v>
      </c>
      <c r="D15760" s="7">
        <f>DATE(2005,8,15)</f>
        <v>38579</v>
      </c>
      <c r="E15760" s="8">
        <f t="shared" si="259"/>
        <v>2005</v>
      </c>
      <c r="F15760" t="s">
        <v>2484</v>
      </c>
      <c r="G15760" s="9">
        <v>22279.02</v>
      </c>
      <c r="H15760" s="8">
        <v>3452</v>
      </c>
    </row>
    <row r="15761" spans="2:8" ht="15" customHeight="1" x14ac:dyDescent="0.4">
      <c r="B15761" t="s">
        <v>7</v>
      </c>
      <c r="C15761" t="s">
        <v>2483</v>
      </c>
      <c r="D15761" s="7">
        <f>DATE(2005,9,17)</f>
        <v>38612</v>
      </c>
      <c r="E15761" s="8">
        <f t="shared" si="259"/>
        <v>2005</v>
      </c>
      <c r="F15761" t="s">
        <v>2484</v>
      </c>
      <c r="G15761" s="9">
        <v>14134.23</v>
      </c>
      <c r="H15761" s="8">
        <v>3576</v>
      </c>
    </row>
    <row r="15762" spans="2:8" ht="15" customHeight="1" x14ac:dyDescent="0.4">
      <c r="B15762" t="s">
        <v>7</v>
      </c>
      <c r="C15762" t="s">
        <v>2483</v>
      </c>
      <c r="D15762" s="7">
        <f>DATE(2006,2,18)</f>
        <v>38766</v>
      </c>
      <c r="E15762" s="8">
        <f t="shared" si="259"/>
        <v>2006</v>
      </c>
      <c r="F15762" t="s">
        <v>2484</v>
      </c>
      <c r="G15762" s="9">
        <v>29731.56</v>
      </c>
      <c r="H15762" s="8">
        <v>4089</v>
      </c>
    </row>
    <row r="15763" spans="2:8" ht="15" customHeight="1" x14ac:dyDescent="0.4">
      <c r="B15763" t="s">
        <v>7</v>
      </c>
      <c r="C15763" t="s">
        <v>2483</v>
      </c>
      <c r="D15763" s="7">
        <f>DATE(2006,4,27)</f>
        <v>38834</v>
      </c>
      <c r="E15763" s="8">
        <f t="shared" si="259"/>
        <v>2006</v>
      </c>
      <c r="F15763" t="s">
        <v>2484</v>
      </c>
      <c r="G15763" s="9">
        <v>27527.8</v>
      </c>
      <c r="H15763" s="8">
        <v>4297</v>
      </c>
    </row>
    <row r="15764" spans="2:8" ht="15" customHeight="1" x14ac:dyDescent="0.4">
      <c r="B15764" t="s">
        <v>7</v>
      </c>
      <c r="C15764" t="s">
        <v>2483</v>
      </c>
      <c r="D15764" s="7">
        <f>DATE(2007,2,28)</f>
        <v>39141</v>
      </c>
      <c r="E15764" s="8">
        <f t="shared" si="259"/>
        <v>2007</v>
      </c>
      <c r="F15764" t="s">
        <v>2484</v>
      </c>
      <c r="G15764" s="9">
        <v>8032.78</v>
      </c>
      <c r="H15764" s="8">
        <v>5557</v>
      </c>
    </row>
    <row r="15765" spans="2:8" ht="15" customHeight="1" x14ac:dyDescent="0.4">
      <c r="B15765" t="s">
        <v>7</v>
      </c>
      <c r="C15765" t="s">
        <v>2483</v>
      </c>
      <c r="D15765" s="7">
        <f>DATE(2007,3,8)</f>
        <v>39149</v>
      </c>
      <c r="E15765" s="8">
        <f t="shared" si="259"/>
        <v>2007</v>
      </c>
      <c r="F15765" t="s">
        <v>2484</v>
      </c>
      <c r="G15765" s="9">
        <v>27872.98</v>
      </c>
      <c r="H15765" s="8">
        <v>5672</v>
      </c>
    </row>
    <row r="15766" spans="2:8" ht="15" customHeight="1" x14ac:dyDescent="0.4">
      <c r="B15766" t="s">
        <v>7</v>
      </c>
      <c r="C15766" t="s">
        <v>2483</v>
      </c>
      <c r="D15766" s="7">
        <f>DATE(2007,3,22)</f>
        <v>39163</v>
      </c>
      <c r="E15766" s="8">
        <f t="shared" si="259"/>
        <v>2007</v>
      </c>
      <c r="F15766" t="s">
        <v>2484</v>
      </c>
      <c r="G15766" s="9">
        <v>29786.66</v>
      </c>
      <c r="H15766" s="8">
        <v>4886</v>
      </c>
    </row>
    <row r="15767" spans="2:8" ht="15" customHeight="1" x14ac:dyDescent="0.4">
      <c r="B15767" t="s">
        <v>7</v>
      </c>
      <c r="C15767" t="s">
        <v>2483</v>
      </c>
      <c r="D15767" s="7">
        <f>DATE(2007,5,2)</f>
        <v>39204</v>
      </c>
      <c r="E15767" s="8">
        <f t="shared" si="259"/>
        <v>2007</v>
      </c>
      <c r="F15767" t="s">
        <v>2484</v>
      </c>
      <c r="G15767" s="9">
        <v>6810.26</v>
      </c>
      <c r="H15767" s="8">
        <v>5933</v>
      </c>
    </row>
    <row r="15768" spans="2:8" ht="15" customHeight="1" x14ac:dyDescent="0.4">
      <c r="B15768" t="s">
        <v>7</v>
      </c>
      <c r="C15768" t="s">
        <v>2483</v>
      </c>
      <c r="D15768" s="7">
        <f>DATE(2007,6,23)</f>
        <v>39256</v>
      </c>
      <c r="E15768" s="8">
        <f t="shared" si="259"/>
        <v>2007</v>
      </c>
      <c r="F15768" t="s">
        <v>2484</v>
      </c>
      <c r="G15768" s="9">
        <v>23087.47</v>
      </c>
      <c r="H15768" s="8">
        <v>6102</v>
      </c>
    </row>
    <row r="15769" spans="2:8" ht="15" customHeight="1" x14ac:dyDescent="0.4">
      <c r="B15769" t="s">
        <v>7</v>
      </c>
      <c r="C15769" t="s">
        <v>2483</v>
      </c>
      <c r="D15769" s="7">
        <f>DATE(2007,6,25)</f>
        <v>39258</v>
      </c>
      <c r="E15769" s="8">
        <f t="shared" si="259"/>
        <v>2007</v>
      </c>
      <c r="F15769" t="s">
        <v>2484</v>
      </c>
      <c r="G15769" s="9">
        <v>17752.400000000001</v>
      </c>
      <c r="H15769" s="8">
        <v>6119</v>
      </c>
    </row>
    <row r="15770" spans="2:8" ht="15" customHeight="1" x14ac:dyDescent="0.4">
      <c r="B15770" t="s">
        <v>7</v>
      </c>
      <c r="C15770" t="s">
        <v>2483</v>
      </c>
      <c r="D15770" s="7">
        <f>DATE(2007,8,18)</f>
        <v>39312</v>
      </c>
      <c r="E15770" s="8">
        <f t="shared" si="259"/>
        <v>2007</v>
      </c>
      <c r="F15770" t="s">
        <v>2484</v>
      </c>
      <c r="G15770" s="9">
        <v>22454.75</v>
      </c>
      <c r="H15770" s="8">
        <v>6279</v>
      </c>
    </row>
    <row r="15771" spans="2:8" ht="15" customHeight="1" x14ac:dyDescent="0.4">
      <c r="B15771" t="s">
        <v>7</v>
      </c>
      <c r="C15771" t="s">
        <v>2483</v>
      </c>
      <c r="D15771" s="7">
        <f>DATE(2007,8,6)</f>
        <v>39300</v>
      </c>
      <c r="E15771" s="8">
        <f t="shared" si="259"/>
        <v>2007</v>
      </c>
      <c r="F15771" t="s">
        <v>2484</v>
      </c>
      <c r="G15771" s="9">
        <v>62644.62</v>
      </c>
      <c r="H15771" s="8">
        <v>6247</v>
      </c>
    </row>
    <row r="15772" spans="2:8" ht="15" customHeight="1" x14ac:dyDescent="0.4">
      <c r="B15772" t="s">
        <v>7</v>
      </c>
      <c r="C15772" t="s">
        <v>2483</v>
      </c>
      <c r="D15772" s="7">
        <f>DATE(2008,6,1)</f>
        <v>39600</v>
      </c>
      <c r="E15772" s="8">
        <f t="shared" si="259"/>
        <v>2008</v>
      </c>
      <c r="F15772" t="s">
        <v>2484</v>
      </c>
      <c r="G15772" s="9">
        <v>27837</v>
      </c>
      <c r="H15772" s="8">
        <v>7260</v>
      </c>
    </row>
    <row r="15773" spans="2:8" ht="15" customHeight="1" x14ac:dyDescent="0.4">
      <c r="B15773" t="s">
        <v>7</v>
      </c>
      <c r="C15773" t="s">
        <v>2483</v>
      </c>
      <c r="D15773" s="7">
        <f>DATE(2010,2,9)</f>
        <v>40218</v>
      </c>
      <c r="E15773" s="8">
        <f t="shared" si="259"/>
        <v>2010</v>
      </c>
      <c r="F15773" t="s">
        <v>2484</v>
      </c>
      <c r="G15773" s="9">
        <v>12237.63</v>
      </c>
      <c r="H15773" s="8">
        <v>9429</v>
      </c>
    </row>
    <row r="15774" spans="2:8" ht="15" customHeight="1" x14ac:dyDescent="0.4">
      <c r="B15774" t="s">
        <v>7</v>
      </c>
      <c r="C15774" t="s">
        <v>2483</v>
      </c>
      <c r="D15774" s="7">
        <f>DATE(2010,8,20)</f>
        <v>40410</v>
      </c>
      <c r="E15774" s="8">
        <f t="shared" si="259"/>
        <v>2010</v>
      </c>
      <c r="F15774" t="s">
        <v>2484</v>
      </c>
      <c r="G15774" s="9">
        <v>45564.51</v>
      </c>
      <c r="H15774" s="8">
        <v>7660</v>
      </c>
    </row>
    <row r="15775" spans="2:8" ht="15" customHeight="1" x14ac:dyDescent="0.4">
      <c r="B15775" t="s">
        <v>7</v>
      </c>
      <c r="C15775" t="s">
        <v>2483</v>
      </c>
      <c r="D15775" s="7">
        <f>DATE(2012,4,27)</f>
        <v>41026</v>
      </c>
      <c r="E15775" s="8">
        <f t="shared" si="259"/>
        <v>2012</v>
      </c>
      <c r="F15775" t="s">
        <v>2484</v>
      </c>
      <c r="G15775" s="9">
        <v>19928.400000000001</v>
      </c>
      <c r="H15775" s="8">
        <v>11541</v>
      </c>
    </row>
    <row r="15776" spans="2:8" ht="15" customHeight="1" x14ac:dyDescent="0.4">
      <c r="B15776" t="s">
        <v>7</v>
      </c>
      <c r="C15776" t="s">
        <v>2483</v>
      </c>
      <c r="D15776" s="7">
        <f>DATE(2010,11,29)</f>
        <v>40511</v>
      </c>
      <c r="E15776" s="8">
        <f t="shared" si="259"/>
        <v>2010</v>
      </c>
      <c r="F15776" t="s">
        <v>2484</v>
      </c>
      <c r="G15776" s="9">
        <v>10034.34</v>
      </c>
      <c r="H15776" s="8">
        <v>10257</v>
      </c>
    </row>
    <row r="15777" spans="2:8" ht="15" customHeight="1" x14ac:dyDescent="0.4">
      <c r="B15777" t="s">
        <v>7</v>
      </c>
      <c r="C15777" t="s">
        <v>2483</v>
      </c>
      <c r="D15777" s="7">
        <f>DATE(2011,8,25)</f>
        <v>40780</v>
      </c>
      <c r="E15777" s="8">
        <f t="shared" si="259"/>
        <v>2011</v>
      </c>
      <c r="F15777" t="s">
        <v>2484</v>
      </c>
      <c r="G15777" s="9">
        <v>13321.97</v>
      </c>
      <c r="H15777" s="8">
        <v>10946</v>
      </c>
    </row>
    <row r="15778" spans="2:8" ht="15" customHeight="1" x14ac:dyDescent="0.4">
      <c r="B15778" t="s">
        <v>7</v>
      </c>
      <c r="C15778" t="s">
        <v>2483</v>
      </c>
      <c r="D15778" s="7">
        <f>DATE(2012,9,27)</f>
        <v>41179</v>
      </c>
      <c r="E15778" s="8">
        <f t="shared" si="259"/>
        <v>2012</v>
      </c>
      <c r="F15778" t="s">
        <v>2484</v>
      </c>
      <c r="G15778" s="9">
        <v>10368.209999999999</v>
      </c>
      <c r="H15778" s="8">
        <v>11876</v>
      </c>
    </row>
    <row r="15779" spans="2:8" ht="15" customHeight="1" x14ac:dyDescent="0.4">
      <c r="B15779" t="s">
        <v>7</v>
      </c>
      <c r="C15779" t="s">
        <v>2483</v>
      </c>
      <c r="D15779" s="7">
        <f>DATE(2013,3,14)</f>
        <v>41347</v>
      </c>
      <c r="E15779" s="8">
        <f t="shared" si="259"/>
        <v>2013</v>
      </c>
      <c r="F15779" t="s">
        <v>2484</v>
      </c>
      <c r="G15779" s="9">
        <v>11173.62</v>
      </c>
      <c r="H15779" s="8">
        <v>12259</v>
      </c>
    </row>
    <row r="15780" spans="2:8" ht="15" customHeight="1" x14ac:dyDescent="0.4">
      <c r="B15780" t="s">
        <v>7</v>
      </c>
      <c r="C15780" t="s">
        <v>2483</v>
      </c>
      <c r="D15780" s="7">
        <f>DATE(2013,5,31)</f>
        <v>41425</v>
      </c>
      <c r="E15780" s="8">
        <f t="shared" si="259"/>
        <v>2013</v>
      </c>
      <c r="F15780" t="s">
        <v>2484</v>
      </c>
      <c r="G15780" s="9">
        <v>8514.08</v>
      </c>
      <c r="H15780" s="8">
        <v>12472</v>
      </c>
    </row>
    <row r="15781" spans="2:8" ht="15" customHeight="1" x14ac:dyDescent="0.4">
      <c r="B15781" t="s">
        <v>7</v>
      </c>
      <c r="C15781" t="s">
        <v>2483</v>
      </c>
      <c r="D15781" s="7">
        <f>DATE(2014,9,2)</f>
        <v>41884</v>
      </c>
      <c r="E15781" s="8">
        <f t="shared" si="259"/>
        <v>2014</v>
      </c>
      <c r="F15781" t="s">
        <v>2484</v>
      </c>
      <c r="G15781" s="9">
        <v>12177.78</v>
      </c>
      <c r="H15781" s="8">
        <v>13420</v>
      </c>
    </row>
    <row r="15782" spans="2:8" ht="15" customHeight="1" x14ac:dyDescent="0.4">
      <c r="B15782" t="s">
        <v>16</v>
      </c>
      <c r="C15782" t="s">
        <v>2483</v>
      </c>
      <c r="D15782" s="7">
        <f>DATE(2010,2,22)</f>
        <v>40231</v>
      </c>
      <c r="E15782" s="8">
        <f t="shared" si="259"/>
        <v>2010</v>
      </c>
      <c r="F15782" t="s">
        <v>2484</v>
      </c>
      <c r="G15782" s="9">
        <v>252.5</v>
      </c>
      <c r="H15782" s="8">
        <v>9560</v>
      </c>
    </row>
    <row r="15783" spans="2:8" ht="15" customHeight="1" x14ac:dyDescent="0.4">
      <c r="B15783" s="3" t="s">
        <v>7</v>
      </c>
      <c r="C15783" s="3" t="s">
        <v>2483</v>
      </c>
      <c r="D15783" s="4">
        <f>DATE(2003,2,10)</f>
        <v>37662</v>
      </c>
      <c r="E15783" s="5">
        <f t="shared" si="259"/>
        <v>2003</v>
      </c>
      <c r="F15783" s="3" t="s">
        <v>2484</v>
      </c>
      <c r="G15783" s="6">
        <v>3540</v>
      </c>
      <c r="H15783" s="5">
        <v>85</v>
      </c>
    </row>
    <row r="15784" spans="2:8" ht="15" customHeight="1" x14ac:dyDescent="0.4">
      <c r="B15784" s="3" t="s">
        <v>7</v>
      </c>
      <c r="C15784" s="3" t="s">
        <v>2483</v>
      </c>
      <c r="D15784" s="4">
        <f>DATE(2003,2,10)</f>
        <v>37662</v>
      </c>
      <c r="E15784" s="5">
        <f t="shared" si="259"/>
        <v>2003</v>
      </c>
      <c r="F15784" s="3" t="s">
        <v>2484</v>
      </c>
      <c r="G15784" s="6">
        <v>305.8</v>
      </c>
      <c r="H15784" s="5">
        <v>263</v>
      </c>
    </row>
    <row r="15785" spans="2:8" ht="15" customHeight="1" x14ac:dyDescent="0.4">
      <c r="B15785" s="3" t="s">
        <v>7</v>
      </c>
      <c r="C15785" s="3" t="s">
        <v>2483</v>
      </c>
      <c r="D15785" s="4">
        <f>DATE(2003,2,14)</f>
        <v>37666</v>
      </c>
      <c r="E15785" s="5">
        <f t="shared" si="259"/>
        <v>2003</v>
      </c>
      <c r="F15785" s="3" t="s">
        <v>2484</v>
      </c>
      <c r="G15785" s="6">
        <v>1302.5</v>
      </c>
      <c r="H15785" s="5">
        <v>297</v>
      </c>
    </row>
    <row r="15786" spans="2:8" ht="15" customHeight="1" x14ac:dyDescent="0.4">
      <c r="B15786" s="3" t="s">
        <v>7</v>
      </c>
      <c r="C15786" s="3" t="s">
        <v>2483</v>
      </c>
      <c r="D15786" s="4">
        <f>DATE(2003,2,17)</f>
        <v>37669</v>
      </c>
      <c r="E15786" s="5">
        <f t="shared" si="259"/>
        <v>2003</v>
      </c>
      <c r="F15786" s="3" t="s">
        <v>2484</v>
      </c>
      <c r="G15786" s="6">
        <v>636</v>
      </c>
      <c r="H15786" s="5">
        <v>297</v>
      </c>
    </row>
    <row r="15787" spans="2:8" ht="15" customHeight="1" x14ac:dyDescent="0.4">
      <c r="B15787" s="3" t="s">
        <v>7</v>
      </c>
      <c r="C15787" s="3" t="s">
        <v>2483</v>
      </c>
      <c r="D15787" s="4">
        <f>DATE(2003,3,19)</f>
        <v>37699</v>
      </c>
      <c r="E15787" s="5">
        <f t="shared" si="259"/>
        <v>2003</v>
      </c>
      <c r="F15787" s="3" t="s">
        <v>2484</v>
      </c>
      <c r="G15787" s="6">
        <v>146</v>
      </c>
      <c r="H15787" s="5">
        <v>568</v>
      </c>
    </row>
    <row r="15788" spans="2:8" ht="15" customHeight="1" x14ac:dyDescent="0.4">
      <c r="B15788" s="3" t="s">
        <v>7</v>
      </c>
      <c r="C15788" s="3" t="s">
        <v>2483</v>
      </c>
      <c r="D15788" s="4">
        <f>DATE(2003,3,19)</f>
        <v>37699</v>
      </c>
      <c r="E15788" s="5">
        <f t="shared" si="259"/>
        <v>2003</v>
      </c>
      <c r="F15788" s="3" t="s">
        <v>2484</v>
      </c>
      <c r="G15788" s="6">
        <v>305.8</v>
      </c>
      <c r="H15788" s="5">
        <v>569</v>
      </c>
    </row>
    <row r="15789" spans="2:8" ht="15" customHeight="1" x14ac:dyDescent="0.4">
      <c r="B15789" s="3" t="s">
        <v>7</v>
      </c>
      <c r="C15789" s="3" t="s">
        <v>2483</v>
      </c>
      <c r="D15789" s="4">
        <f>DATE(2004,3,17)</f>
        <v>38063</v>
      </c>
      <c r="E15789" s="5">
        <f t="shared" si="259"/>
        <v>2004</v>
      </c>
      <c r="F15789" s="3" t="s">
        <v>2484</v>
      </c>
      <c r="G15789" s="6">
        <v>8604</v>
      </c>
      <c r="H15789" s="5">
        <v>2351</v>
      </c>
    </row>
    <row r="15790" spans="2:8" ht="15" customHeight="1" x14ac:dyDescent="0.4">
      <c r="B15790" s="3" t="s">
        <v>7</v>
      </c>
      <c r="C15790" s="3" t="s">
        <v>2483</v>
      </c>
      <c r="D15790" s="4">
        <f>DATE(2004,4,14)</f>
        <v>38091</v>
      </c>
      <c r="E15790" s="5">
        <f t="shared" si="259"/>
        <v>2004</v>
      </c>
      <c r="F15790" s="3" t="s">
        <v>2484</v>
      </c>
      <c r="G15790" s="6">
        <v>9720</v>
      </c>
      <c r="H15790" s="5">
        <v>2008</v>
      </c>
    </row>
    <row r="15791" spans="2:8" ht="15" customHeight="1" x14ac:dyDescent="0.4">
      <c r="B15791" s="3" t="s">
        <v>7</v>
      </c>
      <c r="C15791" s="3" t="s">
        <v>2483</v>
      </c>
      <c r="D15791" s="4">
        <f>DATE(2005,3,19)</f>
        <v>38430</v>
      </c>
      <c r="E15791" s="5">
        <f t="shared" si="259"/>
        <v>2005</v>
      </c>
      <c r="F15791" s="3" t="s">
        <v>2484</v>
      </c>
      <c r="G15791" s="6">
        <v>9720</v>
      </c>
      <c r="H15791" s="5">
        <v>4438</v>
      </c>
    </row>
    <row r="15792" spans="2:8" ht="15" customHeight="1" x14ac:dyDescent="0.4">
      <c r="B15792" s="3" t="s">
        <v>7</v>
      </c>
      <c r="C15792" s="3" t="s">
        <v>2483</v>
      </c>
      <c r="D15792" s="4">
        <f>DATE(2005,7,20)</f>
        <v>38553</v>
      </c>
      <c r="E15792" s="5">
        <f t="shared" si="259"/>
        <v>2005</v>
      </c>
      <c r="F15792" s="3" t="s">
        <v>2484</v>
      </c>
      <c r="G15792" s="6">
        <v>10260</v>
      </c>
      <c r="H15792" s="5">
        <v>5008</v>
      </c>
    </row>
    <row r="15793" spans="2:8" ht="15" customHeight="1" x14ac:dyDescent="0.4">
      <c r="B15793" s="3" t="s">
        <v>7</v>
      </c>
      <c r="C15793" s="3" t="s">
        <v>2483</v>
      </c>
      <c r="D15793" s="4">
        <f>DATE(2006,2,13)</f>
        <v>38761</v>
      </c>
      <c r="E15793" s="5">
        <f t="shared" si="259"/>
        <v>2006</v>
      </c>
      <c r="F15793" s="3" t="s">
        <v>2484</v>
      </c>
      <c r="G15793" s="6">
        <v>9948.4</v>
      </c>
      <c r="H15793" s="5">
        <v>5963</v>
      </c>
    </row>
    <row r="15794" spans="2:8" ht="15" customHeight="1" x14ac:dyDescent="0.4">
      <c r="B15794" s="3" t="s">
        <v>7</v>
      </c>
      <c r="C15794" s="3" t="s">
        <v>2483</v>
      </c>
      <c r="D15794" s="4">
        <f>DATE(2006,4,24)</f>
        <v>38831</v>
      </c>
      <c r="E15794" s="5">
        <f t="shared" si="259"/>
        <v>2006</v>
      </c>
      <c r="F15794" s="3" t="s">
        <v>2484</v>
      </c>
      <c r="G15794" s="6">
        <v>10412</v>
      </c>
      <c r="H15794" s="5">
        <v>6266</v>
      </c>
    </row>
    <row r="15795" spans="2:8" ht="15" customHeight="1" x14ac:dyDescent="0.4">
      <c r="B15795" s="3" t="s">
        <v>7</v>
      </c>
      <c r="C15795" s="3" t="s">
        <v>2483</v>
      </c>
      <c r="D15795" s="4">
        <f>DATE(2007,3,5)</f>
        <v>39146</v>
      </c>
      <c r="E15795" s="5">
        <f t="shared" si="259"/>
        <v>2007</v>
      </c>
      <c r="F15795" s="3" t="s">
        <v>2484</v>
      </c>
      <c r="G15795" s="6">
        <v>9070.6</v>
      </c>
      <c r="H15795" s="5">
        <v>8085</v>
      </c>
    </row>
    <row r="15796" spans="2:8" ht="15" customHeight="1" x14ac:dyDescent="0.4">
      <c r="B15796" s="3" t="s">
        <v>7</v>
      </c>
      <c r="C15796" s="3" t="s">
        <v>2483</v>
      </c>
      <c r="D15796" s="4">
        <f>DATE(2007,4,5)</f>
        <v>39177</v>
      </c>
      <c r="E15796" s="5">
        <f t="shared" si="259"/>
        <v>2007</v>
      </c>
      <c r="F15796" s="3" t="s">
        <v>2484</v>
      </c>
      <c r="G15796" s="6">
        <v>941.4</v>
      </c>
      <c r="H15796" s="5">
        <v>8326</v>
      </c>
    </row>
    <row r="15797" spans="2:8" ht="15" customHeight="1" x14ac:dyDescent="0.4">
      <c r="B15797" s="3" t="s">
        <v>7</v>
      </c>
      <c r="C15797" s="3" t="s">
        <v>2483</v>
      </c>
      <c r="D15797" s="4">
        <f>DATE(2007,4,11)</f>
        <v>39183</v>
      </c>
      <c r="E15797" s="5">
        <f t="shared" si="259"/>
        <v>2007</v>
      </c>
      <c r="F15797" s="3" t="s">
        <v>2484</v>
      </c>
      <c r="G15797" s="6">
        <v>662</v>
      </c>
      <c r="H15797" s="5">
        <v>8332</v>
      </c>
    </row>
    <row r="15798" spans="2:8" ht="15" customHeight="1" x14ac:dyDescent="0.4">
      <c r="B15798" s="3" t="s">
        <v>7</v>
      </c>
      <c r="C15798" s="3" t="s">
        <v>2483</v>
      </c>
      <c r="D15798" s="4">
        <f>DATE(2007,5,1)</f>
        <v>39203</v>
      </c>
      <c r="E15798" s="5">
        <f t="shared" si="259"/>
        <v>2007</v>
      </c>
      <c r="F15798" s="3" t="s">
        <v>2484</v>
      </c>
      <c r="G15798" s="6">
        <v>8618.4</v>
      </c>
      <c r="H15798" s="5">
        <v>8541</v>
      </c>
    </row>
    <row r="15799" spans="2:8" ht="15" customHeight="1" x14ac:dyDescent="0.4">
      <c r="B15799" s="3" t="s">
        <v>7</v>
      </c>
      <c r="C15799" s="3" t="s">
        <v>2483</v>
      </c>
      <c r="D15799" s="4">
        <f>DATE(2007,6,20)</f>
        <v>39253</v>
      </c>
      <c r="E15799" s="5">
        <f t="shared" si="259"/>
        <v>2007</v>
      </c>
      <c r="F15799" s="3" t="s">
        <v>2484</v>
      </c>
      <c r="G15799" s="6">
        <v>9070.6</v>
      </c>
      <c r="H15799" s="5">
        <v>8799</v>
      </c>
    </row>
    <row r="15800" spans="2:8" ht="15" customHeight="1" x14ac:dyDescent="0.4">
      <c r="B15800" s="3" t="s">
        <v>7</v>
      </c>
      <c r="C15800" s="3" t="s">
        <v>2483</v>
      </c>
      <c r="D15800" s="4">
        <f>DATE(2008,6,1)</f>
        <v>39600</v>
      </c>
      <c r="E15800" s="5">
        <f t="shared" si="259"/>
        <v>2008</v>
      </c>
      <c r="F15800" s="3" t="s">
        <v>2484</v>
      </c>
      <c r="G15800" s="6">
        <v>10412</v>
      </c>
      <c r="H15800" s="5">
        <v>10357</v>
      </c>
    </row>
    <row r="15801" spans="2:8" ht="15" customHeight="1" x14ac:dyDescent="0.4">
      <c r="B15801" s="3" t="s">
        <v>7</v>
      </c>
      <c r="C15801" s="3" t="s">
        <v>2483</v>
      </c>
      <c r="D15801" s="4">
        <f>DATE(2009,4,9)</f>
        <v>39912</v>
      </c>
      <c r="E15801" s="5">
        <f t="shared" si="259"/>
        <v>2009</v>
      </c>
      <c r="F15801" s="3" t="s">
        <v>2484</v>
      </c>
      <c r="G15801" s="6">
        <v>523</v>
      </c>
      <c r="H15801" s="5">
        <v>12292</v>
      </c>
    </row>
    <row r="15802" spans="2:8" ht="15" customHeight="1" x14ac:dyDescent="0.4">
      <c r="B15802" s="3" t="s">
        <v>7</v>
      </c>
      <c r="C15802" s="3" t="s">
        <v>2483</v>
      </c>
      <c r="D15802" s="4">
        <f>DATE(2009,5,29)</f>
        <v>39962</v>
      </c>
      <c r="E15802" s="5">
        <f t="shared" si="259"/>
        <v>2009</v>
      </c>
      <c r="F15802" s="3" t="s">
        <v>2484</v>
      </c>
      <c r="G15802" s="6">
        <v>556</v>
      </c>
      <c r="H15802" s="5">
        <v>12616</v>
      </c>
    </row>
    <row r="15803" spans="2:8" ht="15" customHeight="1" x14ac:dyDescent="0.4">
      <c r="B15803" s="3" t="s">
        <v>7</v>
      </c>
      <c r="C15803" s="3" t="s">
        <v>2483</v>
      </c>
      <c r="D15803" s="4">
        <f>DATE(2009,9,17)</f>
        <v>40073</v>
      </c>
      <c r="E15803" s="5">
        <f t="shared" si="259"/>
        <v>2009</v>
      </c>
      <c r="F15803" s="3" t="s">
        <v>2484</v>
      </c>
      <c r="G15803" s="6">
        <v>556</v>
      </c>
      <c r="H15803" s="5">
        <v>13024</v>
      </c>
    </row>
    <row r="15804" spans="2:8" ht="15" customHeight="1" x14ac:dyDescent="0.4">
      <c r="B15804" s="3" t="s">
        <v>7</v>
      </c>
      <c r="C15804" s="3" t="s">
        <v>2483</v>
      </c>
      <c r="D15804" s="4">
        <f>DATE(2010,4,23)</f>
        <v>40291</v>
      </c>
      <c r="E15804" s="5">
        <f t="shared" si="259"/>
        <v>2010</v>
      </c>
      <c r="F15804" s="3" t="s">
        <v>2484</v>
      </c>
      <c r="G15804" s="6">
        <v>1112</v>
      </c>
      <c r="H15804" s="5">
        <v>13929</v>
      </c>
    </row>
    <row r="15805" spans="2:8" ht="15" customHeight="1" x14ac:dyDescent="0.4">
      <c r="B15805" s="3" t="s">
        <v>7</v>
      </c>
      <c r="C15805" s="3" t="s">
        <v>2483</v>
      </c>
      <c r="D15805" s="4">
        <f>DATE(2011,10,26)</f>
        <v>40842</v>
      </c>
      <c r="E15805" s="5">
        <f t="shared" si="259"/>
        <v>2011</v>
      </c>
      <c r="F15805" s="3" t="s">
        <v>2484</v>
      </c>
      <c r="G15805" s="6">
        <v>331</v>
      </c>
      <c r="H15805" s="5">
        <v>16120</v>
      </c>
    </row>
    <row r="15806" spans="2:8" ht="15" customHeight="1" x14ac:dyDescent="0.4">
      <c r="B15806" s="3" t="s">
        <v>7</v>
      </c>
      <c r="C15806" s="3" t="s">
        <v>2483</v>
      </c>
      <c r="D15806" s="4">
        <f>DATE(2011,11,11)</f>
        <v>40858</v>
      </c>
      <c r="E15806" s="5">
        <f t="shared" si="259"/>
        <v>2011</v>
      </c>
      <c r="F15806" s="3" t="s">
        <v>2484</v>
      </c>
      <c r="G15806" s="6">
        <v>278</v>
      </c>
      <c r="H15806" s="5">
        <v>16190</v>
      </c>
    </row>
    <row r="15807" spans="2:8" ht="15" customHeight="1" x14ac:dyDescent="0.4">
      <c r="B15807" s="3" t="s">
        <v>7</v>
      </c>
      <c r="C15807" s="3" t="s">
        <v>2483</v>
      </c>
      <c r="D15807" s="4">
        <f>DATE(2011,11,29)</f>
        <v>40876</v>
      </c>
      <c r="E15807" s="5">
        <f t="shared" si="259"/>
        <v>2011</v>
      </c>
      <c r="F15807" s="3" t="s">
        <v>2484</v>
      </c>
      <c r="G15807" s="6">
        <v>278</v>
      </c>
      <c r="H15807" s="5">
        <v>16253</v>
      </c>
    </row>
    <row r="15808" spans="2:8" ht="15" customHeight="1" x14ac:dyDescent="0.4">
      <c r="B15808" s="3" t="s">
        <v>7</v>
      </c>
      <c r="C15808" s="3" t="s">
        <v>2483</v>
      </c>
      <c r="D15808" s="4">
        <f>DATE(2012,5,2)</f>
        <v>41031</v>
      </c>
      <c r="E15808" s="5">
        <f t="shared" si="259"/>
        <v>2012</v>
      </c>
      <c r="F15808" s="3" t="s">
        <v>2484</v>
      </c>
      <c r="G15808" s="6">
        <v>165.5</v>
      </c>
      <c r="H15808" s="5">
        <v>17063</v>
      </c>
    </row>
    <row r="15809" spans="2:8" ht="15" customHeight="1" x14ac:dyDescent="0.4">
      <c r="B15809" s="3" t="s">
        <v>7</v>
      </c>
      <c r="C15809" s="3" t="s">
        <v>2483</v>
      </c>
      <c r="D15809" s="4">
        <f>DATE(2012,10,12)</f>
        <v>41194</v>
      </c>
      <c r="E15809" s="5">
        <f t="shared" si="259"/>
        <v>2012</v>
      </c>
      <c r="F15809" s="3" t="s">
        <v>2484</v>
      </c>
      <c r="G15809" s="6">
        <v>331</v>
      </c>
      <c r="H15809" s="5">
        <v>17718</v>
      </c>
    </row>
    <row r="15810" spans="2:8" ht="15" customHeight="1" x14ac:dyDescent="0.4">
      <c r="B15810" s="3" t="s">
        <v>7</v>
      </c>
      <c r="C15810" s="3" t="s">
        <v>2483</v>
      </c>
      <c r="D15810" s="4">
        <f>DATE(2013,12,10)</f>
        <v>41618</v>
      </c>
      <c r="E15810" s="5">
        <f t="shared" si="259"/>
        <v>2013</v>
      </c>
      <c r="F15810" s="3" t="s">
        <v>2484</v>
      </c>
      <c r="G15810" s="6">
        <v>165.5</v>
      </c>
      <c r="H15810" s="5">
        <v>19298</v>
      </c>
    </row>
    <row r="15811" spans="2:8" ht="15" customHeight="1" x14ac:dyDescent="0.4">
      <c r="B15811" t="s">
        <v>7</v>
      </c>
      <c r="C15811" t="s">
        <v>2485</v>
      </c>
      <c r="D15811" s="7">
        <f>DATE(2010,9,23)</f>
        <v>40444</v>
      </c>
      <c r="E15811" s="8">
        <f t="shared" ref="E15811:E15874" si="260">YEAR(D15811)</f>
        <v>2010</v>
      </c>
      <c r="F15811" t="s">
        <v>2486</v>
      </c>
      <c r="G15811" s="9">
        <v>7292.71</v>
      </c>
      <c r="H15811" s="8">
        <v>10142</v>
      </c>
    </row>
    <row r="15812" spans="2:8" ht="15" customHeight="1" x14ac:dyDescent="0.4">
      <c r="B15812" t="s">
        <v>7</v>
      </c>
      <c r="C15812" t="s">
        <v>2485</v>
      </c>
      <c r="D15812" s="7">
        <f>DATE(2011,4,29)</f>
        <v>40662</v>
      </c>
      <c r="E15812" s="8">
        <f t="shared" si="260"/>
        <v>2011</v>
      </c>
      <c r="F15812" t="s">
        <v>2486</v>
      </c>
      <c r="G15812" s="9">
        <v>7397.44</v>
      </c>
      <c r="H15812" s="8">
        <v>10696</v>
      </c>
    </row>
    <row r="15813" spans="2:8" ht="15" customHeight="1" x14ac:dyDescent="0.4">
      <c r="B15813" s="3" t="s">
        <v>7</v>
      </c>
      <c r="C15813" s="3" t="s">
        <v>2487</v>
      </c>
      <c r="D15813" s="4">
        <f>DATE(2006,2,3)</f>
        <v>38751</v>
      </c>
      <c r="E15813" s="5">
        <f t="shared" si="260"/>
        <v>2006</v>
      </c>
      <c r="F15813" s="3" t="s">
        <v>2488</v>
      </c>
      <c r="G15813" s="6">
        <v>517</v>
      </c>
      <c r="H15813" s="5">
        <v>5957</v>
      </c>
    </row>
    <row r="15814" spans="2:8" ht="15" customHeight="1" x14ac:dyDescent="0.4">
      <c r="B15814" s="3" t="s">
        <v>7</v>
      </c>
      <c r="C15814" s="3" t="s">
        <v>2489</v>
      </c>
      <c r="D15814" s="4">
        <f>DATE(2006,10,30)</f>
        <v>39020</v>
      </c>
      <c r="E15814" s="5">
        <f t="shared" si="260"/>
        <v>2006</v>
      </c>
      <c r="F15814" s="3" t="s">
        <v>2490</v>
      </c>
      <c r="G15814" s="6">
        <v>65.290000000000006</v>
      </c>
      <c r="H15814" s="5">
        <v>7456</v>
      </c>
    </row>
    <row r="15815" spans="2:8" ht="15" customHeight="1" x14ac:dyDescent="0.4">
      <c r="B15815" t="s">
        <v>7</v>
      </c>
      <c r="C15815" t="s">
        <v>1071</v>
      </c>
      <c r="D15815" s="7">
        <f>DATE(2017,6,15)</f>
        <v>42901</v>
      </c>
      <c r="E15815" s="8">
        <f t="shared" si="260"/>
        <v>2017</v>
      </c>
      <c r="F15815" t="s">
        <v>2491</v>
      </c>
      <c r="G15815" s="9">
        <v>8700</v>
      </c>
      <c r="H15815" s="8">
        <v>24982</v>
      </c>
    </row>
    <row r="15816" spans="2:8" ht="15" customHeight="1" x14ac:dyDescent="0.4">
      <c r="B15816" t="s">
        <v>7</v>
      </c>
      <c r="C15816" t="s">
        <v>1071</v>
      </c>
      <c r="D15816" s="7">
        <f>DATE(2017,6,15)</f>
        <v>42901</v>
      </c>
      <c r="E15816" s="8">
        <f t="shared" si="260"/>
        <v>2017</v>
      </c>
      <c r="F15816" t="s">
        <v>2491</v>
      </c>
      <c r="G15816" s="9">
        <v>18500</v>
      </c>
      <c r="H15816" s="8">
        <v>24984</v>
      </c>
    </row>
    <row r="15817" spans="2:8" ht="15" customHeight="1" x14ac:dyDescent="0.4">
      <c r="B15817" t="s">
        <v>7</v>
      </c>
      <c r="C15817" t="s">
        <v>1071</v>
      </c>
      <c r="D15817" s="7">
        <f>DATE(2010,5,31)</f>
        <v>40329</v>
      </c>
      <c r="E15817" s="8">
        <f t="shared" si="260"/>
        <v>2010</v>
      </c>
      <c r="F15817" t="s">
        <v>2491</v>
      </c>
      <c r="G15817" s="9">
        <v>23675.1</v>
      </c>
      <c r="H15817" s="8">
        <v>9898</v>
      </c>
    </row>
    <row r="15818" spans="2:8" ht="15" customHeight="1" x14ac:dyDescent="0.4">
      <c r="B15818" t="s">
        <v>7</v>
      </c>
      <c r="C15818" t="s">
        <v>1071</v>
      </c>
      <c r="D15818" s="7">
        <f>DATE(2010,5,26)</f>
        <v>40324</v>
      </c>
      <c r="E15818" s="8">
        <f t="shared" si="260"/>
        <v>2010</v>
      </c>
      <c r="F15818" t="s">
        <v>2491</v>
      </c>
      <c r="G15818" s="9">
        <v>2478.2800000000002</v>
      </c>
      <c r="H15818" s="8">
        <v>9803</v>
      </c>
    </row>
    <row r="15819" spans="2:8" ht="15" customHeight="1" x14ac:dyDescent="0.4">
      <c r="B15819" t="s">
        <v>7</v>
      </c>
      <c r="C15819" t="s">
        <v>1071</v>
      </c>
      <c r="D15819" s="7">
        <f>DATE(2010,5,27)</f>
        <v>40325</v>
      </c>
      <c r="E15819" s="8">
        <f t="shared" si="260"/>
        <v>2010</v>
      </c>
      <c r="F15819" t="s">
        <v>2491</v>
      </c>
      <c r="G15819" s="9">
        <v>1590</v>
      </c>
      <c r="H15819" s="8">
        <v>9804</v>
      </c>
    </row>
    <row r="15820" spans="2:8" ht="15" customHeight="1" x14ac:dyDescent="0.4">
      <c r="B15820" t="s">
        <v>7</v>
      </c>
      <c r="C15820" t="s">
        <v>1071</v>
      </c>
      <c r="D15820" s="7">
        <f>DATE(2010,5,27)</f>
        <v>40325</v>
      </c>
      <c r="E15820" s="8">
        <f t="shared" si="260"/>
        <v>2010</v>
      </c>
      <c r="F15820" t="s">
        <v>2491</v>
      </c>
      <c r="G15820" s="9">
        <v>2938.17</v>
      </c>
      <c r="H15820" s="8">
        <v>9805</v>
      </c>
    </row>
    <row r="15821" spans="2:8" ht="15" customHeight="1" x14ac:dyDescent="0.4">
      <c r="B15821" t="s">
        <v>7</v>
      </c>
      <c r="C15821" t="s">
        <v>1071</v>
      </c>
      <c r="D15821" s="7">
        <f>DATE(2010,5,27)</f>
        <v>40325</v>
      </c>
      <c r="E15821" s="8">
        <f t="shared" si="260"/>
        <v>2010</v>
      </c>
      <c r="F15821" t="s">
        <v>2491</v>
      </c>
      <c r="G15821" s="9">
        <v>6381.05</v>
      </c>
      <c r="H15821" s="8">
        <v>9802</v>
      </c>
    </row>
    <row r="15822" spans="2:8" ht="15" customHeight="1" x14ac:dyDescent="0.4">
      <c r="B15822" s="3" t="s">
        <v>7</v>
      </c>
      <c r="C15822" s="3" t="s">
        <v>2492</v>
      </c>
      <c r="D15822" s="4">
        <f>DATE(2005,12,27)</f>
        <v>38713</v>
      </c>
      <c r="E15822" s="5">
        <f t="shared" si="260"/>
        <v>2005</v>
      </c>
      <c r="F15822" s="3" t="s">
        <v>2493</v>
      </c>
      <c r="G15822" s="6">
        <v>83</v>
      </c>
      <c r="H15822" s="5">
        <v>5762</v>
      </c>
    </row>
    <row r="15823" spans="2:8" ht="15" customHeight="1" x14ac:dyDescent="0.4">
      <c r="B15823" s="3" t="s">
        <v>7</v>
      </c>
      <c r="C15823" s="3" t="s">
        <v>2494</v>
      </c>
      <c r="D15823" s="4">
        <f>DATE(2006,2,9)</f>
        <v>38757</v>
      </c>
      <c r="E15823" s="5">
        <f t="shared" si="260"/>
        <v>2006</v>
      </c>
      <c r="F15823" s="3" t="s">
        <v>2495</v>
      </c>
      <c r="G15823" s="6">
        <v>485.55</v>
      </c>
      <c r="H15823" s="5">
        <v>6009</v>
      </c>
    </row>
    <row r="15824" spans="2:8" ht="15" customHeight="1" x14ac:dyDescent="0.4">
      <c r="B15824" s="3" t="s">
        <v>7</v>
      </c>
      <c r="C15824" s="3" t="s">
        <v>2496</v>
      </c>
      <c r="D15824" s="4">
        <f>DATE(2008,3,4)</f>
        <v>39511</v>
      </c>
      <c r="E15824" s="5">
        <f t="shared" si="260"/>
        <v>2008</v>
      </c>
      <c r="F15824" s="3" t="s">
        <v>2497</v>
      </c>
      <c r="G15824" s="6">
        <v>1656</v>
      </c>
      <c r="H15824" s="5">
        <v>10081</v>
      </c>
    </row>
    <row r="15825" spans="2:8" ht="15" customHeight="1" x14ac:dyDescent="0.4">
      <c r="B15825" t="s">
        <v>7</v>
      </c>
      <c r="C15825" t="s">
        <v>2496</v>
      </c>
      <c r="D15825" s="7">
        <f>DATE(2015,4,21)</f>
        <v>42115</v>
      </c>
      <c r="E15825" s="8">
        <f t="shared" si="260"/>
        <v>2015</v>
      </c>
      <c r="F15825" t="s">
        <v>2498</v>
      </c>
      <c r="G15825" s="9">
        <v>14450</v>
      </c>
      <c r="H15825" s="8">
        <v>20371</v>
      </c>
    </row>
    <row r="15826" spans="2:8" ht="15" customHeight="1" x14ac:dyDescent="0.4">
      <c r="B15826" t="s">
        <v>7</v>
      </c>
      <c r="C15826" t="s">
        <v>2496</v>
      </c>
      <c r="D15826" s="7">
        <f>DATE(2016,5,5)</f>
        <v>42495</v>
      </c>
      <c r="E15826" s="8">
        <f t="shared" si="260"/>
        <v>2016</v>
      </c>
      <c r="F15826" t="s">
        <v>2498</v>
      </c>
      <c r="G15826" s="9">
        <v>14450</v>
      </c>
      <c r="H15826" s="8">
        <v>22088</v>
      </c>
    </row>
    <row r="15827" spans="2:8" ht="15" customHeight="1" x14ac:dyDescent="0.4">
      <c r="B15827" t="s">
        <v>7</v>
      </c>
      <c r="C15827" t="s">
        <v>2496</v>
      </c>
      <c r="D15827" s="7">
        <f>DATE(2018,3,19)</f>
        <v>43178</v>
      </c>
      <c r="E15827" s="8">
        <f t="shared" si="260"/>
        <v>2018</v>
      </c>
      <c r="F15827" t="s">
        <v>2498</v>
      </c>
      <c r="G15827" s="9">
        <v>28564</v>
      </c>
      <c r="H15827" s="8">
        <v>26474</v>
      </c>
    </row>
    <row r="15828" spans="2:8" ht="15" customHeight="1" x14ac:dyDescent="0.4">
      <c r="B15828" t="s">
        <v>7</v>
      </c>
      <c r="C15828" t="s">
        <v>2496</v>
      </c>
      <c r="D15828" s="7">
        <f>DATE(2018,3,14)</f>
        <v>43173</v>
      </c>
      <c r="E15828" s="8">
        <f t="shared" si="260"/>
        <v>2018</v>
      </c>
      <c r="F15828" t="s">
        <v>2498</v>
      </c>
      <c r="G15828" s="9">
        <v>1054.9000000000001</v>
      </c>
      <c r="H15828" s="8">
        <v>26646</v>
      </c>
    </row>
    <row r="15829" spans="2:8" ht="15" customHeight="1" x14ac:dyDescent="0.4">
      <c r="B15829" t="s">
        <v>7</v>
      </c>
      <c r="C15829" t="s">
        <v>2496</v>
      </c>
      <c r="D15829" s="7">
        <f>DATE(2018,4,2)</f>
        <v>43192</v>
      </c>
      <c r="E15829" s="8">
        <f t="shared" si="260"/>
        <v>2018</v>
      </c>
      <c r="F15829" t="s">
        <v>2498</v>
      </c>
      <c r="G15829" s="9">
        <v>882</v>
      </c>
      <c r="H15829" s="8">
        <v>26760</v>
      </c>
    </row>
    <row r="15830" spans="2:8" ht="15" customHeight="1" x14ac:dyDescent="0.4">
      <c r="B15830" t="s">
        <v>7</v>
      </c>
      <c r="C15830" t="s">
        <v>2496</v>
      </c>
      <c r="D15830" s="7">
        <f>DATE(2013,3,21)</f>
        <v>41354</v>
      </c>
      <c r="E15830" s="8">
        <f t="shared" si="260"/>
        <v>2013</v>
      </c>
      <c r="F15830" t="s">
        <v>2498</v>
      </c>
      <c r="G15830" s="9">
        <v>16766.5</v>
      </c>
      <c r="H15830" s="8">
        <v>12312</v>
      </c>
    </row>
    <row r="15831" spans="2:8" ht="15" customHeight="1" x14ac:dyDescent="0.4">
      <c r="B15831" t="s">
        <v>7</v>
      </c>
      <c r="C15831" t="s">
        <v>2496</v>
      </c>
      <c r="D15831" s="7">
        <f>DATE(2014,5,5)</f>
        <v>41764</v>
      </c>
      <c r="E15831" s="8">
        <f t="shared" si="260"/>
        <v>2014</v>
      </c>
      <c r="F15831" t="s">
        <v>2498</v>
      </c>
      <c r="G15831" s="9">
        <v>14868</v>
      </c>
      <c r="H15831" s="8">
        <v>13139</v>
      </c>
    </row>
    <row r="15832" spans="2:8" ht="15" customHeight="1" x14ac:dyDescent="0.4">
      <c r="B15832" s="3" t="s">
        <v>7</v>
      </c>
      <c r="C15832" s="3" t="s">
        <v>2496</v>
      </c>
      <c r="D15832" s="4">
        <f>DATE(2011,5,24)</f>
        <v>40687</v>
      </c>
      <c r="E15832" s="5">
        <f t="shared" si="260"/>
        <v>2011</v>
      </c>
      <c r="F15832" s="3" t="s">
        <v>2498</v>
      </c>
      <c r="G15832" s="6">
        <v>882</v>
      </c>
      <c r="H15832" s="5">
        <v>15598</v>
      </c>
    </row>
    <row r="15833" spans="2:8" ht="15" customHeight="1" x14ac:dyDescent="0.4">
      <c r="B15833" s="3" t="s">
        <v>7</v>
      </c>
      <c r="C15833" s="3" t="s">
        <v>2496</v>
      </c>
      <c r="D15833" s="4">
        <f>DATE(2011,5,26)</f>
        <v>40689</v>
      </c>
      <c r="E15833" s="5">
        <f t="shared" si="260"/>
        <v>2011</v>
      </c>
      <c r="F15833" s="3" t="s">
        <v>2498</v>
      </c>
      <c r="G15833" s="6">
        <v>882</v>
      </c>
      <c r="H15833" s="5">
        <v>15593</v>
      </c>
    </row>
    <row r="15834" spans="2:8" ht="15" customHeight="1" x14ac:dyDescent="0.4">
      <c r="B15834" s="3" t="s">
        <v>7</v>
      </c>
      <c r="C15834" s="3" t="s">
        <v>2496</v>
      </c>
      <c r="D15834" s="4">
        <f>DATE(2012,3,23)</f>
        <v>40991</v>
      </c>
      <c r="E15834" s="5">
        <f t="shared" si="260"/>
        <v>2012</v>
      </c>
      <c r="F15834" s="3" t="s">
        <v>2498</v>
      </c>
      <c r="G15834" s="6">
        <v>1520</v>
      </c>
      <c r="H15834" s="5">
        <v>16804</v>
      </c>
    </row>
    <row r="15835" spans="2:8" ht="15" customHeight="1" x14ac:dyDescent="0.4">
      <c r="B15835" s="3" t="s">
        <v>7</v>
      </c>
      <c r="C15835" s="3" t="s">
        <v>2496</v>
      </c>
      <c r="D15835" s="4">
        <f>DATE(2003,3,19)</f>
        <v>37699</v>
      </c>
      <c r="E15835" s="5">
        <f t="shared" si="260"/>
        <v>2003</v>
      </c>
      <c r="F15835" s="3" t="s">
        <v>2499</v>
      </c>
      <c r="G15835" s="6">
        <v>788</v>
      </c>
      <c r="H15835" s="5">
        <v>540</v>
      </c>
    </row>
    <row r="15836" spans="2:8" ht="15" customHeight="1" x14ac:dyDescent="0.4">
      <c r="B15836" s="3" t="s">
        <v>7</v>
      </c>
      <c r="C15836" s="3" t="s">
        <v>2496</v>
      </c>
      <c r="D15836" s="4">
        <f>DATE(2003,5,6)</f>
        <v>37747</v>
      </c>
      <c r="E15836" s="5">
        <f t="shared" si="260"/>
        <v>2003</v>
      </c>
      <c r="F15836" s="3" t="s">
        <v>2499</v>
      </c>
      <c r="G15836" s="6">
        <v>728</v>
      </c>
      <c r="H15836" s="5">
        <v>888</v>
      </c>
    </row>
    <row r="15837" spans="2:8" ht="15" customHeight="1" x14ac:dyDescent="0.4">
      <c r="B15837" s="3" t="s">
        <v>7</v>
      </c>
      <c r="C15837" s="3" t="s">
        <v>2496</v>
      </c>
      <c r="D15837" s="4">
        <f>DATE(2003,5,28)</f>
        <v>37769</v>
      </c>
      <c r="E15837" s="5">
        <f t="shared" si="260"/>
        <v>2003</v>
      </c>
      <c r="F15837" s="3" t="s">
        <v>2499</v>
      </c>
      <c r="G15837" s="6">
        <v>473</v>
      </c>
      <c r="H15837" s="5">
        <v>1021</v>
      </c>
    </row>
    <row r="15838" spans="2:8" ht="15" customHeight="1" x14ac:dyDescent="0.4">
      <c r="B15838" s="3" t="s">
        <v>7</v>
      </c>
      <c r="C15838" s="3" t="s">
        <v>2496</v>
      </c>
      <c r="D15838" s="4">
        <f>DATE(2003,9,29)</f>
        <v>37893</v>
      </c>
      <c r="E15838" s="5">
        <f t="shared" si="260"/>
        <v>2003</v>
      </c>
      <c r="F15838" s="3" t="s">
        <v>2499</v>
      </c>
      <c r="G15838" s="6">
        <v>2178</v>
      </c>
      <c r="H15838" s="5">
        <v>1573</v>
      </c>
    </row>
    <row r="15839" spans="2:8" ht="15" customHeight="1" x14ac:dyDescent="0.4">
      <c r="B15839" s="3" t="s">
        <v>7</v>
      </c>
      <c r="C15839" s="3" t="s">
        <v>2496</v>
      </c>
      <c r="D15839" s="4">
        <f>DATE(2004,3,11)</f>
        <v>38057</v>
      </c>
      <c r="E15839" s="5">
        <f t="shared" si="260"/>
        <v>2004</v>
      </c>
      <c r="F15839" s="3" t="s">
        <v>2499</v>
      </c>
      <c r="G15839" s="6">
        <v>1571</v>
      </c>
      <c r="H15839" s="5">
        <v>2374</v>
      </c>
    </row>
    <row r="15840" spans="2:8" ht="15" customHeight="1" x14ac:dyDescent="0.4">
      <c r="B15840" s="3" t="s">
        <v>7</v>
      </c>
      <c r="C15840" s="3" t="s">
        <v>2496</v>
      </c>
      <c r="D15840" s="4">
        <f>DATE(2004,4,27)</f>
        <v>38104</v>
      </c>
      <c r="E15840" s="5">
        <f t="shared" si="260"/>
        <v>2004</v>
      </c>
      <c r="F15840" s="3" t="s">
        <v>2499</v>
      </c>
      <c r="G15840" s="6">
        <v>1453</v>
      </c>
      <c r="H15840" s="5">
        <v>2746</v>
      </c>
    </row>
    <row r="15841" spans="2:8" ht="15" customHeight="1" x14ac:dyDescent="0.4">
      <c r="B15841" s="3" t="s">
        <v>7</v>
      </c>
      <c r="C15841" s="3" t="s">
        <v>2496</v>
      </c>
      <c r="D15841" s="4">
        <f>DATE(2004,5,21)</f>
        <v>38128</v>
      </c>
      <c r="E15841" s="5">
        <f t="shared" si="260"/>
        <v>2004</v>
      </c>
      <c r="F15841" s="3" t="s">
        <v>2499</v>
      </c>
      <c r="G15841" s="6">
        <v>251</v>
      </c>
      <c r="H15841" s="5">
        <v>2902</v>
      </c>
    </row>
    <row r="15842" spans="2:8" ht="15" customHeight="1" x14ac:dyDescent="0.4">
      <c r="B15842" s="3" t="s">
        <v>7</v>
      </c>
      <c r="C15842" s="3" t="s">
        <v>2496</v>
      </c>
      <c r="D15842" s="4">
        <f>DATE(2004,5,21)</f>
        <v>38128</v>
      </c>
      <c r="E15842" s="5">
        <f t="shared" si="260"/>
        <v>2004</v>
      </c>
      <c r="F15842" s="3" t="s">
        <v>2499</v>
      </c>
      <c r="G15842" s="6">
        <v>206.2</v>
      </c>
      <c r="H15842" s="5">
        <v>2926</v>
      </c>
    </row>
    <row r="15843" spans="2:8" ht="15" customHeight="1" x14ac:dyDescent="0.4">
      <c r="B15843" s="3" t="s">
        <v>7</v>
      </c>
      <c r="C15843" s="3" t="s">
        <v>2496</v>
      </c>
      <c r="D15843" s="4">
        <f>DATE(2005,2,9)</f>
        <v>38392</v>
      </c>
      <c r="E15843" s="5">
        <f t="shared" si="260"/>
        <v>2005</v>
      </c>
      <c r="F15843" s="3" t="s">
        <v>2499</v>
      </c>
      <c r="G15843" s="6">
        <v>4785.6000000000004</v>
      </c>
      <c r="H15843" s="5">
        <v>4102</v>
      </c>
    </row>
    <row r="15844" spans="2:8" ht="15" customHeight="1" x14ac:dyDescent="0.4">
      <c r="B15844" s="3" t="s">
        <v>7</v>
      </c>
      <c r="C15844" s="3" t="s">
        <v>2496</v>
      </c>
      <c r="D15844" s="4">
        <f>DATE(2006,9,20)</f>
        <v>38980</v>
      </c>
      <c r="E15844" s="5">
        <f t="shared" si="260"/>
        <v>2006</v>
      </c>
      <c r="F15844" s="3" t="s">
        <v>2499</v>
      </c>
      <c r="G15844" s="6">
        <v>1391.25</v>
      </c>
      <c r="H15844" s="5">
        <v>7266</v>
      </c>
    </row>
    <row r="15845" spans="2:8" ht="15" customHeight="1" x14ac:dyDescent="0.4">
      <c r="B15845" s="3" t="s">
        <v>7</v>
      </c>
      <c r="C15845" s="3" t="s">
        <v>2496</v>
      </c>
      <c r="D15845" s="4">
        <f>DATE(2007,3,21)</f>
        <v>39162</v>
      </c>
      <c r="E15845" s="5">
        <f t="shared" si="260"/>
        <v>2007</v>
      </c>
      <c r="F15845" s="3" t="s">
        <v>2499</v>
      </c>
      <c r="G15845" s="6">
        <v>2300</v>
      </c>
      <c r="H15845" s="5">
        <v>8185</v>
      </c>
    </row>
    <row r="15846" spans="2:8" ht="15" customHeight="1" x14ac:dyDescent="0.4">
      <c r="B15846" s="3" t="s">
        <v>7</v>
      </c>
      <c r="C15846" s="3" t="s">
        <v>2496</v>
      </c>
      <c r="D15846" s="4">
        <f>DATE(2007,3,28)</f>
        <v>39169</v>
      </c>
      <c r="E15846" s="5">
        <f t="shared" si="260"/>
        <v>2007</v>
      </c>
      <c r="F15846" s="3" t="s">
        <v>2499</v>
      </c>
      <c r="G15846" s="6">
        <v>1655</v>
      </c>
      <c r="H15846" s="5">
        <v>8254</v>
      </c>
    </row>
    <row r="15847" spans="2:8" ht="15" customHeight="1" x14ac:dyDescent="0.4">
      <c r="B15847" s="3" t="s">
        <v>7</v>
      </c>
      <c r="C15847" s="3" t="s">
        <v>2496</v>
      </c>
      <c r="D15847" s="4">
        <f>DATE(2007,5,14)</f>
        <v>39216</v>
      </c>
      <c r="E15847" s="5">
        <f t="shared" si="260"/>
        <v>2007</v>
      </c>
      <c r="F15847" s="3" t="s">
        <v>2499</v>
      </c>
      <c r="G15847" s="6">
        <v>450</v>
      </c>
      <c r="H15847" s="5">
        <v>8563</v>
      </c>
    </row>
    <row r="15848" spans="2:8" ht="15" customHeight="1" x14ac:dyDescent="0.4">
      <c r="B15848" t="s">
        <v>7</v>
      </c>
      <c r="C15848" t="s">
        <v>2500</v>
      </c>
      <c r="D15848" s="7">
        <f>DATE(2018,8,9)</f>
        <v>43321</v>
      </c>
      <c r="E15848" s="8">
        <f t="shared" si="260"/>
        <v>2018</v>
      </c>
      <c r="F15848" t="s">
        <v>2501</v>
      </c>
      <c r="G15848" s="9">
        <v>18648.52</v>
      </c>
      <c r="H15848" s="8">
        <v>27401</v>
      </c>
    </row>
    <row r="15849" spans="2:8" ht="15" customHeight="1" x14ac:dyDescent="0.4">
      <c r="B15849" s="3" t="s">
        <v>7</v>
      </c>
      <c r="C15849" s="3" t="s">
        <v>2500</v>
      </c>
      <c r="D15849" s="4">
        <f>DATE(2007,5,7)</f>
        <v>39209</v>
      </c>
      <c r="E15849" s="5">
        <f t="shared" si="260"/>
        <v>2007</v>
      </c>
      <c r="F15849" s="3" t="s">
        <v>2502</v>
      </c>
      <c r="G15849" s="6">
        <v>3091.5</v>
      </c>
      <c r="H15849" s="5">
        <v>8317</v>
      </c>
    </row>
    <row r="15850" spans="2:8" ht="15" customHeight="1" x14ac:dyDescent="0.4">
      <c r="B15850" t="s">
        <v>7</v>
      </c>
      <c r="C15850" t="s">
        <v>2503</v>
      </c>
      <c r="D15850" s="7">
        <f>DATE(2003,5,15)</f>
        <v>37756</v>
      </c>
      <c r="E15850" s="8">
        <f t="shared" si="260"/>
        <v>2003</v>
      </c>
      <c r="F15850" t="s">
        <v>2504</v>
      </c>
      <c r="G15850" s="9">
        <v>13191</v>
      </c>
      <c r="H15850" s="8">
        <v>479</v>
      </c>
    </row>
    <row r="15851" spans="2:8" ht="15" customHeight="1" x14ac:dyDescent="0.4">
      <c r="B15851" t="s">
        <v>7</v>
      </c>
      <c r="C15851" t="s">
        <v>2503</v>
      </c>
      <c r="D15851" s="7">
        <f>DATE(2003,6,28)</f>
        <v>37800</v>
      </c>
      <c r="E15851" s="8">
        <f t="shared" si="260"/>
        <v>2003</v>
      </c>
      <c r="F15851" t="s">
        <v>2504</v>
      </c>
      <c r="G15851" s="9">
        <v>2292.25</v>
      </c>
      <c r="H15851" s="8">
        <v>702</v>
      </c>
    </row>
    <row r="15852" spans="2:8" ht="15" customHeight="1" x14ac:dyDescent="0.4">
      <c r="B15852" t="s">
        <v>7</v>
      </c>
      <c r="C15852" t="s">
        <v>2503</v>
      </c>
      <c r="D15852" s="7">
        <f>DATE(2003,9,24)</f>
        <v>37888</v>
      </c>
      <c r="E15852" s="8">
        <f t="shared" si="260"/>
        <v>2003</v>
      </c>
      <c r="F15852" t="s">
        <v>2504</v>
      </c>
      <c r="G15852" s="9">
        <v>3998.02</v>
      </c>
      <c r="H15852" s="8">
        <v>895</v>
      </c>
    </row>
    <row r="15853" spans="2:8" ht="15" customHeight="1" x14ac:dyDescent="0.4">
      <c r="B15853" t="s">
        <v>7</v>
      </c>
      <c r="C15853" t="s">
        <v>2503</v>
      </c>
      <c r="D15853" s="7">
        <f>DATE(2005,2,17)</f>
        <v>38400</v>
      </c>
      <c r="E15853" s="8">
        <f t="shared" si="260"/>
        <v>2005</v>
      </c>
      <c r="F15853" t="s">
        <v>2504</v>
      </c>
      <c r="G15853" s="9">
        <v>4083.33</v>
      </c>
      <c r="H15853" s="8">
        <v>2760</v>
      </c>
    </row>
    <row r="15854" spans="2:8" ht="15" customHeight="1" x14ac:dyDescent="0.4">
      <c r="B15854" t="s">
        <v>7</v>
      </c>
      <c r="C15854" t="s">
        <v>2503</v>
      </c>
      <c r="D15854" s="7">
        <f>DATE(2005,2,17)</f>
        <v>38400</v>
      </c>
      <c r="E15854" s="8">
        <f t="shared" si="260"/>
        <v>2005</v>
      </c>
      <c r="F15854" t="s">
        <v>2504</v>
      </c>
      <c r="G15854" s="9">
        <v>15760.74</v>
      </c>
      <c r="H15854" s="8">
        <v>2747</v>
      </c>
    </row>
    <row r="15855" spans="2:8" ht="15" customHeight="1" x14ac:dyDescent="0.4">
      <c r="B15855" t="s">
        <v>7</v>
      </c>
      <c r="C15855" t="s">
        <v>2503</v>
      </c>
      <c r="D15855" s="7">
        <f>DATE(2005,8,7)</f>
        <v>38571</v>
      </c>
      <c r="E15855" s="8">
        <f t="shared" si="260"/>
        <v>2005</v>
      </c>
      <c r="F15855" t="s">
        <v>2504</v>
      </c>
      <c r="G15855" s="9">
        <v>17900</v>
      </c>
      <c r="H15855" s="8">
        <v>3447</v>
      </c>
    </row>
    <row r="15856" spans="2:8" ht="15" customHeight="1" x14ac:dyDescent="0.4">
      <c r="B15856" t="s">
        <v>7</v>
      </c>
      <c r="C15856" t="s">
        <v>2503</v>
      </c>
      <c r="D15856" s="7">
        <f>DATE(2006,5,15)</f>
        <v>38852</v>
      </c>
      <c r="E15856" s="8">
        <f t="shared" si="260"/>
        <v>2006</v>
      </c>
      <c r="F15856" t="s">
        <v>2504</v>
      </c>
      <c r="G15856" s="9">
        <v>4500</v>
      </c>
      <c r="H15856" s="8">
        <v>4306</v>
      </c>
    </row>
    <row r="15857" spans="2:8" ht="15" customHeight="1" x14ac:dyDescent="0.4">
      <c r="B15857" t="s">
        <v>7</v>
      </c>
      <c r="C15857" t="s">
        <v>2503</v>
      </c>
      <c r="D15857" s="7">
        <f>DATE(2006,5,19)</f>
        <v>38856</v>
      </c>
      <c r="E15857" s="8">
        <f t="shared" si="260"/>
        <v>2006</v>
      </c>
      <c r="F15857" t="s">
        <v>2504</v>
      </c>
      <c r="G15857" s="9">
        <v>12547</v>
      </c>
      <c r="H15857" s="8">
        <v>4597</v>
      </c>
    </row>
    <row r="15858" spans="2:8" ht="15" customHeight="1" x14ac:dyDescent="0.4">
      <c r="B15858" t="s">
        <v>7</v>
      </c>
      <c r="C15858" t="s">
        <v>2503</v>
      </c>
      <c r="D15858" s="7">
        <f>DATE(2006,5,18)</f>
        <v>38855</v>
      </c>
      <c r="E15858" s="8">
        <f t="shared" si="260"/>
        <v>2006</v>
      </c>
      <c r="F15858" t="s">
        <v>2504</v>
      </c>
      <c r="G15858" s="9">
        <v>6486</v>
      </c>
      <c r="H15858" s="8">
        <v>4304</v>
      </c>
    </row>
    <row r="15859" spans="2:8" ht="15" customHeight="1" x14ac:dyDescent="0.4">
      <c r="B15859" t="s">
        <v>7</v>
      </c>
      <c r="C15859" t="s">
        <v>2503</v>
      </c>
      <c r="D15859" s="7">
        <f>DATE(2006,4,27)</f>
        <v>38834</v>
      </c>
      <c r="E15859" s="8">
        <f t="shared" si="260"/>
        <v>2006</v>
      </c>
      <c r="F15859" t="s">
        <v>2504</v>
      </c>
      <c r="G15859" s="9">
        <v>2437.34</v>
      </c>
      <c r="H15859" s="8">
        <v>4432</v>
      </c>
    </row>
    <row r="15860" spans="2:8" ht="15" customHeight="1" x14ac:dyDescent="0.4">
      <c r="B15860" t="s">
        <v>7</v>
      </c>
      <c r="C15860" t="s">
        <v>2503</v>
      </c>
      <c r="D15860" s="7">
        <f>DATE(2006,4,27)</f>
        <v>38834</v>
      </c>
      <c r="E15860" s="8">
        <f t="shared" si="260"/>
        <v>2006</v>
      </c>
      <c r="F15860" t="s">
        <v>2504</v>
      </c>
      <c r="G15860" s="9">
        <v>2793.77</v>
      </c>
      <c r="H15860" s="8">
        <v>4434</v>
      </c>
    </row>
    <row r="15861" spans="2:8" ht="15" customHeight="1" x14ac:dyDescent="0.4">
      <c r="B15861" t="s">
        <v>7</v>
      </c>
      <c r="C15861" t="s">
        <v>2503</v>
      </c>
      <c r="D15861" s="7">
        <f>DATE(2008,3,22)</f>
        <v>39529</v>
      </c>
      <c r="E15861" s="8">
        <f t="shared" si="260"/>
        <v>2008</v>
      </c>
      <c r="F15861" t="s">
        <v>2504</v>
      </c>
      <c r="G15861" s="9">
        <v>6535.98</v>
      </c>
      <c r="H15861" s="8">
        <v>7241</v>
      </c>
    </row>
    <row r="15862" spans="2:8" ht="15" customHeight="1" x14ac:dyDescent="0.4">
      <c r="B15862" t="s">
        <v>7</v>
      </c>
      <c r="C15862" t="s">
        <v>2503</v>
      </c>
      <c r="D15862" s="7">
        <f>DATE(2008,4,16)</f>
        <v>39554</v>
      </c>
      <c r="E15862" s="8">
        <f t="shared" si="260"/>
        <v>2008</v>
      </c>
      <c r="F15862" t="s">
        <v>2504</v>
      </c>
      <c r="G15862" s="9">
        <v>1307.28</v>
      </c>
      <c r="H15862" s="8">
        <v>7334</v>
      </c>
    </row>
    <row r="15863" spans="2:8" ht="15" customHeight="1" x14ac:dyDescent="0.4">
      <c r="B15863" t="s">
        <v>7</v>
      </c>
      <c r="C15863" t="s">
        <v>2503</v>
      </c>
      <c r="D15863" s="7">
        <f>DATE(2008,7,5)</f>
        <v>39634</v>
      </c>
      <c r="E15863" s="8">
        <f t="shared" si="260"/>
        <v>2008</v>
      </c>
      <c r="F15863" t="s">
        <v>2504</v>
      </c>
      <c r="G15863" s="9">
        <v>4300</v>
      </c>
      <c r="H15863" s="8">
        <v>7114</v>
      </c>
    </row>
    <row r="15864" spans="2:8" ht="15" customHeight="1" x14ac:dyDescent="0.4">
      <c r="B15864" t="s">
        <v>7</v>
      </c>
      <c r="C15864" t="s">
        <v>2503</v>
      </c>
      <c r="D15864" s="7">
        <f>DATE(2010,1,8)</f>
        <v>40186</v>
      </c>
      <c r="E15864" s="8">
        <f t="shared" si="260"/>
        <v>2010</v>
      </c>
      <c r="F15864" t="s">
        <v>2504</v>
      </c>
      <c r="G15864" s="9">
        <v>3556.29</v>
      </c>
      <c r="H15864" s="8">
        <v>9329</v>
      </c>
    </row>
    <row r="15865" spans="2:8" ht="15" customHeight="1" x14ac:dyDescent="0.4">
      <c r="B15865" s="3" t="s">
        <v>7</v>
      </c>
      <c r="C15865" s="3" t="s">
        <v>2503</v>
      </c>
      <c r="D15865" s="4">
        <f>DATE(2003,2,26)</f>
        <v>37678</v>
      </c>
      <c r="E15865" s="5">
        <f t="shared" si="260"/>
        <v>2003</v>
      </c>
      <c r="F15865" s="3" t="s">
        <v>2504</v>
      </c>
      <c r="G15865" s="6">
        <v>209</v>
      </c>
      <c r="H15865" s="5">
        <v>404</v>
      </c>
    </row>
    <row r="15866" spans="2:8" ht="15" customHeight="1" x14ac:dyDescent="0.4">
      <c r="B15866" s="3" t="s">
        <v>7</v>
      </c>
      <c r="C15866" s="3" t="s">
        <v>2503</v>
      </c>
      <c r="D15866" s="4">
        <f>DATE(2005,12,29)</f>
        <v>38715</v>
      </c>
      <c r="E15866" s="5">
        <f t="shared" si="260"/>
        <v>2005</v>
      </c>
      <c r="F15866" s="3" t="s">
        <v>2504</v>
      </c>
      <c r="G15866" s="6">
        <v>976.32</v>
      </c>
      <c r="H15866" s="5">
        <v>5681</v>
      </c>
    </row>
    <row r="15867" spans="2:8" ht="15" customHeight="1" x14ac:dyDescent="0.4">
      <c r="B15867" s="3" t="s">
        <v>7</v>
      </c>
      <c r="C15867" s="3" t="s">
        <v>2503</v>
      </c>
      <c r="D15867" s="4">
        <f>DATE(2007,12,14)</f>
        <v>39430</v>
      </c>
      <c r="E15867" s="5">
        <f t="shared" si="260"/>
        <v>2007</v>
      </c>
      <c r="F15867" s="3" t="s">
        <v>2504</v>
      </c>
      <c r="G15867" s="6">
        <v>488.16</v>
      </c>
      <c r="H15867" s="5">
        <v>9588</v>
      </c>
    </row>
    <row r="15868" spans="2:8" ht="15" customHeight="1" x14ac:dyDescent="0.4">
      <c r="B15868" s="3" t="s">
        <v>7</v>
      </c>
      <c r="C15868" s="3" t="s">
        <v>2503</v>
      </c>
      <c r="D15868" s="4">
        <f>DATE(2008,1,8)</f>
        <v>39455</v>
      </c>
      <c r="E15868" s="5">
        <f t="shared" si="260"/>
        <v>2008</v>
      </c>
      <c r="F15868" s="3" t="s">
        <v>2504</v>
      </c>
      <c r="G15868" s="6">
        <v>113.2</v>
      </c>
      <c r="H15868" s="5">
        <v>9688</v>
      </c>
    </row>
    <row r="15869" spans="2:8" ht="15" customHeight="1" x14ac:dyDescent="0.4">
      <c r="B15869" s="3" t="s">
        <v>7</v>
      </c>
      <c r="C15869" s="3" t="s">
        <v>2503</v>
      </c>
      <c r="D15869" s="4">
        <f>DATE(2009,5,1)</f>
        <v>39934</v>
      </c>
      <c r="E15869" s="5">
        <f t="shared" si="260"/>
        <v>2009</v>
      </c>
      <c r="F15869" s="3" t="s">
        <v>2504</v>
      </c>
      <c r="G15869" s="6">
        <v>406.8</v>
      </c>
      <c r="H15869" s="5">
        <v>12340</v>
      </c>
    </row>
    <row r="15870" spans="2:8" ht="15" customHeight="1" x14ac:dyDescent="0.4">
      <c r="B15870" s="3" t="s">
        <v>7</v>
      </c>
      <c r="C15870" s="3" t="s">
        <v>2503</v>
      </c>
      <c r="D15870" s="4">
        <f>DATE(2010,12,15)</f>
        <v>40527</v>
      </c>
      <c r="E15870" s="5">
        <f t="shared" si="260"/>
        <v>2010</v>
      </c>
      <c r="F15870" s="3" t="s">
        <v>2504</v>
      </c>
      <c r="G15870" s="6">
        <v>406.8</v>
      </c>
      <c r="H15870" s="5">
        <v>14824</v>
      </c>
    </row>
    <row r="15871" spans="2:8" ht="15" customHeight="1" x14ac:dyDescent="0.4">
      <c r="B15871" t="s">
        <v>7</v>
      </c>
      <c r="C15871" t="s">
        <v>2505</v>
      </c>
      <c r="D15871" s="7">
        <f>DATE(2013,5,30)</f>
        <v>41424</v>
      </c>
      <c r="E15871" s="8">
        <f t="shared" si="260"/>
        <v>2013</v>
      </c>
      <c r="F15871" t="s">
        <v>2506</v>
      </c>
      <c r="G15871" s="9">
        <v>12550.67</v>
      </c>
      <c r="H15871" s="8">
        <v>12405</v>
      </c>
    </row>
    <row r="15872" spans="2:8" ht="15" customHeight="1" x14ac:dyDescent="0.4">
      <c r="B15872" s="3" t="s">
        <v>7</v>
      </c>
      <c r="C15872" s="3" t="s">
        <v>2505</v>
      </c>
      <c r="D15872" s="4">
        <f>DATE(2013,4,25)</f>
        <v>41389</v>
      </c>
      <c r="E15872" s="5">
        <f t="shared" si="260"/>
        <v>2013</v>
      </c>
      <c r="F15872" s="3" t="s">
        <v>2506</v>
      </c>
      <c r="G15872" s="6">
        <v>2098.8000000000002</v>
      </c>
      <c r="H15872" s="5">
        <v>18440</v>
      </c>
    </row>
    <row r="15873" spans="2:8" ht="15" customHeight="1" x14ac:dyDescent="0.4">
      <c r="B15873" t="s">
        <v>7</v>
      </c>
      <c r="C15873" t="s">
        <v>2507</v>
      </c>
      <c r="D15873" s="7">
        <f>DATE(2004,5,26)</f>
        <v>38133</v>
      </c>
      <c r="E15873" s="8">
        <f t="shared" si="260"/>
        <v>2004</v>
      </c>
      <c r="F15873" t="s">
        <v>2508</v>
      </c>
      <c r="G15873" s="9">
        <v>12000</v>
      </c>
      <c r="H15873" s="8">
        <v>1781</v>
      </c>
    </row>
    <row r="15874" spans="2:8" ht="15" customHeight="1" x14ac:dyDescent="0.4">
      <c r="B15874" s="3" t="s">
        <v>7</v>
      </c>
      <c r="C15874" s="3" t="s">
        <v>2509</v>
      </c>
      <c r="D15874" s="4">
        <f>DATE(2003,9,18)</f>
        <v>37882</v>
      </c>
      <c r="E15874" s="5">
        <f t="shared" si="260"/>
        <v>2003</v>
      </c>
      <c r="F15874" s="3" t="s">
        <v>2510</v>
      </c>
      <c r="G15874" s="6">
        <v>28</v>
      </c>
      <c r="H15874" s="5">
        <v>1511</v>
      </c>
    </row>
    <row r="15875" spans="2:8" ht="15" customHeight="1" x14ac:dyDescent="0.4">
      <c r="B15875" t="s">
        <v>7</v>
      </c>
      <c r="C15875" t="s">
        <v>2511</v>
      </c>
      <c r="D15875" s="7">
        <f>DATE(2015,8,10)</f>
        <v>42226</v>
      </c>
      <c r="E15875" s="8">
        <f t="shared" ref="E15875:E15938" si="261">YEAR(D15875)</f>
        <v>2015</v>
      </c>
      <c r="F15875" t="s">
        <v>2512</v>
      </c>
      <c r="G15875" s="9">
        <v>2934.85</v>
      </c>
      <c r="H15875" s="8">
        <v>21007</v>
      </c>
    </row>
    <row r="15876" spans="2:8" ht="15" customHeight="1" x14ac:dyDescent="0.4">
      <c r="B15876" t="s">
        <v>7</v>
      </c>
      <c r="C15876" t="s">
        <v>2511</v>
      </c>
      <c r="D15876" s="7">
        <f>DATE(2016,6,10)</f>
        <v>42531</v>
      </c>
      <c r="E15876" s="8">
        <f t="shared" si="261"/>
        <v>2016</v>
      </c>
      <c r="F15876" t="s">
        <v>2512</v>
      </c>
      <c r="G15876" s="9">
        <v>3548.12</v>
      </c>
      <c r="H15876" s="8">
        <v>22917</v>
      </c>
    </row>
    <row r="15877" spans="2:8" ht="15" customHeight="1" x14ac:dyDescent="0.4">
      <c r="B15877" t="s">
        <v>7</v>
      </c>
      <c r="C15877" t="s">
        <v>2511</v>
      </c>
      <c r="D15877" s="7">
        <f>DATE(2017,4,26)</f>
        <v>42851</v>
      </c>
      <c r="E15877" s="8">
        <f t="shared" si="261"/>
        <v>2017</v>
      </c>
      <c r="F15877" t="s">
        <v>2512</v>
      </c>
      <c r="G15877" s="9">
        <v>3303</v>
      </c>
      <c r="H15877" s="8">
        <v>24737</v>
      </c>
    </row>
    <row r="15878" spans="2:8" ht="15" customHeight="1" x14ac:dyDescent="0.4">
      <c r="B15878" t="s">
        <v>7</v>
      </c>
      <c r="C15878" t="s">
        <v>2511</v>
      </c>
      <c r="D15878" s="7">
        <f>DATE(2018,3,12)</f>
        <v>43171</v>
      </c>
      <c r="E15878" s="8">
        <f t="shared" si="261"/>
        <v>2018</v>
      </c>
      <c r="F15878" t="s">
        <v>2512</v>
      </c>
      <c r="G15878" s="9">
        <v>2644.95</v>
      </c>
      <c r="H15878" s="8">
        <v>26537</v>
      </c>
    </row>
    <row r="15879" spans="2:8" ht="15" customHeight="1" x14ac:dyDescent="0.4">
      <c r="B15879" t="s">
        <v>7</v>
      </c>
      <c r="C15879" t="s">
        <v>2511</v>
      </c>
      <c r="D15879" s="7">
        <f>DATE(2003,1,21)</f>
        <v>37642</v>
      </c>
      <c r="E15879" s="8">
        <f t="shared" si="261"/>
        <v>2003</v>
      </c>
      <c r="F15879" t="s">
        <v>2512</v>
      </c>
      <c r="G15879" s="9">
        <v>2712.39</v>
      </c>
      <c r="H15879" s="8">
        <v>29</v>
      </c>
    </row>
    <row r="15880" spans="2:8" ht="15" customHeight="1" x14ac:dyDescent="0.4">
      <c r="B15880" t="s">
        <v>7</v>
      </c>
      <c r="C15880" t="s">
        <v>2511</v>
      </c>
      <c r="D15880" s="7">
        <f>DATE(2003,1,16)</f>
        <v>37637</v>
      </c>
      <c r="E15880" s="8">
        <f t="shared" si="261"/>
        <v>2003</v>
      </c>
      <c r="F15880" t="s">
        <v>2512</v>
      </c>
      <c r="G15880" s="9">
        <v>3665.28</v>
      </c>
      <c r="H15880" s="8">
        <v>108</v>
      </c>
    </row>
    <row r="15881" spans="2:8" ht="15" customHeight="1" x14ac:dyDescent="0.4">
      <c r="B15881" t="s">
        <v>7</v>
      </c>
      <c r="C15881" t="s">
        <v>2511</v>
      </c>
      <c r="D15881" s="7">
        <f>DATE(2003,1,29)</f>
        <v>37650</v>
      </c>
      <c r="E15881" s="8">
        <f t="shared" si="261"/>
        <v>2003</v>
      </c>
      <c r="F15881" t="s">
        <v>2512</v>
      </c>
      <c r="G15881" s="9">
        <v>2261.4499999999998</v>
      </c>
      <c r="H15881" s="8">
        <v>59</v>
      </c>
    </row>
    <row r="15882" spans="2:8" ht="15" customHeight="1" x14ac:dyDescent="0.4">
      <c r="B15882" t="s">
        <v>7</v>
      </c>
      <c r="C15882" t="s">
        <v>2511</v>
      </c>
      <c r="D15882" s="7">
        <f>DATE(2003,2,21)</f>
        <v>37673</v>
      </c>
      <c r="E15882" s="8">
        <f t="shared" si="261"/>
        <v>2003</v>
      </c>
      <c r="F15882" t="s">
        <v>2512</v>
      </c>
      <c r="G15882" s="9">
        <v>2294.6999999999998</v>
      </c>
      <c r="H15882" s="8">
        <v>254</v>
      </c>
    </row>
    <row r="15883" spans="2:8" ht="15" customHeight="1" x14ac:dyDescent="0.4">
      <c r="B15883" t="s">
        <v>7</v>
      </c>
      <c r="C15883" t="s">
        <v>2511</v>
      </c>
      <c r="D15883" s="7">
        <f>DATE(2004,9,29)</f>
        <v>38259</v>
      </c>
      <c r="E15883" s="8">
        <f t="shared" si="261"/>
        <v>2004</v>
      </c>
      <c r="F15883" t="s">
        <v>2512</v>
      </c>
      <c r="G15883" s="9">
        <v>1597.27</v>
      </c>
      <c r="H15883" s="8">
        <v>2257</v>
      </c>
    </row>
    <row r="15884" spans="2:8" ht="15" customHeight="1" x14ac:dyDescent="0.4">
      <c r="B15884" t="s">
        <v>7</v>
      </c>
      <c r="C15884" t="s">
        <v>2511</v>
      </c>
      <c r="D15884" s="7">
        <f>DATE(2010,11,18)</f>
        <v>40500</v>
      </c>
      <c r="E15884" s="8">
        <f t="shared" si="261"/>
        <v>2010</v>
      </c>
      <c r="F15884" t="s">
        <v>2512</v>
      </c>
      <c r="G15884" s="9">
        <v>2588.65</v>
      </c>
      <c r="H15884" s="8">
        <v>10262</v>
      </c>
    </row>
    <row r="15885" spans="2:8" ht="15" customHeight="1" x14ac:dyDescent="0.4">
      <c r="B15885" t="s">
        <v>7</v>
      </c>
      <c r="C15885" t="s">
        <v>2511</v>
      </c>
      <c r="D15885" s="7">
        <f>DATE(2013,8,13)</f>
        <v>41499</v>
      </c>
      <c r="E15885" s="8">
        <f t="shared" si="261"/>
        <v>2013</v>
      </c>
      <c r="F15885" t="s">
        <v>2512</v>
      </c>
      <c r="G15885" s="9">
        <v>2705.12</v>
      </c>
      <c r="H15885" s="8">
        <v>12579</v>
      </c>
    </row>
    <row r="15886" spans="2:8" ht="15" customHeight="1" x14ac:dyDescent="0.4">
      <c r="B15886" s="3" t="s">
        <v>7</v>
      </c>
      <c r="C15886" s="3" t="s">
        <v>2513</v>
      </c>
      <c r="D15886" s="4">
        <f>DATE(2003,1,14)</f>
        <v>37635</v>
      </c>
      <c r="E15886" s="5">
        <f t="shared" si="261"/>
        <v>2003</v>
      </c>
      <c r="F15886" s="3" t="s">
        <v>2514</v>
      </c>
      <c r="G15886" s="6">
        <v>3001.75</v>
      </c>
      <c r="H15886" s="5">
        <v>74</v>
      </c>
    </row>
    <row r="15887" spans="2:8" ht="15" customHeight="1" x14ac:dyDescent="0.4">
      <c r="B15887" t="s">
        <v>7</v>
      </c>
      <c r="C15887" t="s">
        <v>2515</v>
      </c>
      <c r="D15887" s="7">
        <f>DATE(2004,6,7)</f>
        <v>38145</v>
      </c>
      <c r="E15887" s="8">
        <f t="shared" si="261"/>
        <v>2004</v>
      </c>
      <c r="F15887" t="s">
        <v>2516</v>
      </c>
      <c r="G15887" s="9">
        <v>8063.8</v>
      </c>
      <c r="H15887" s="8">
        <v>1883</v>
      </c>
    </row>
    <row r="15888" spans="2:8" ht="15" customHeight="1" x14ac:dyDescent="0.4">
      <c r="B15888" s="3" t="s">
        <v>7</v>
      </c>
      <c r="C15888" s="3" t="s">
        <v>2517</v>
      </c>
      <c r="D15888" s="4">
        <f>DATE(2003,10,7)</f>
        <v>37901</v>
      </c>
      <c r="E15888" s="5">
        <f t="shared" si="261"/>
        <v>2003</v>
      </c>
      <c r="F15888" s="3" t="s">
        <v>2518</v>
      </c>
      <c r="G15888" s="6">
        <v>894</v>
      </c>
      <c r="H15888" s="5">
        <v>1602</v>
      </c>
    </row>
    <row r="15889" spans="2:8" ht="15" customHeight="1" x14ac:dyDescent="0.4">
      <c r="B15889" s="3" t="s">
        <v>7</v>
      </c>
      <c r="C15889" s="3" t="s">
        <v>2517</v>
      </c>
      <c r="D15889" s="4">
        <f>DATE(2003,12,18)</f>
        <v>37973</v>
      </c>
      <c r="E15889" s="5">
        <f t="shared" si="261"/>
        <v>2003</v>
      </c>
      <c r="F15889" s="3" t="s">
        <v>2518</v>
      </c>
      <c r="G15889" s="6">
        <v>7200</v>
      </c>
      <c r="H15889" s="5">
        <v>1903</v>
      </c>
    </row>
    <row r="15890" spans="2:8" ht="15" customHeight="1" x14ac:dyDescent="0.4">
      <c r="B15890" s="3" t="s">
        <v>7</v>
      </c>
      <c r="C15890" s="3" t="s">
        <v>2517</v>
      </c>
      <c r="D15890" s="4">
        <f>DATE(2004,4,13)</f>
        <v>38090</v>
      </c>
      <c r="E15890" s="5">
        <f t="shared" si="261"/>
        <v>2004</v>
      </c>
      <c r="F15890" s="3" t="s">
        <v>2518</v>
      </c>
      <c r="G15890" s="6">
        <v>7200</v>
      </c>
      <c r="H15890" s="5">
        <v>2537</v>
      </c>
    </row>
    <row r="15891" spans="2:8" ht="15" customHeight="1" x14ac:dyDescent="0.4">
      <c r="B15891" s="3" t="s">
        <v>7</v>
      </c>
      <c r="C15891" s="3" t="s">
        <v>2517</v>
      </c>
      <c r="D15891" s="4">
        <f>DATE(2004,10,6)</f>
        <v>38266</v>
      </c>
      <c r="E15891" s="5">
        <f t="shared" si="261"/>
        <v>2004</v>
      </c>
      <c r="F15891" s="3" t="s">
        <v>2518</v>
      </c>
      <c r="G15891" s="6">
        <v>7200</v>
      </c>
      <c r="H15891" s="5">
        <v>3521</v>
      </c>
    </row>
    <row r="15892" spans="2:8" ht="15" customHeight="1" x14ac:dyDescent="0.4">
      <c r="B15892" s="3" t="s">
        <v>7</v>
      </c>
      <c r="C15892" s="3" t="s">
        <v>2517</v>
      </c>
      <c r="D15892" s="4">
        <f>DATE(2005,4,28)</f>
        <v>38470</v>
      </c>
      <c r="E15892" s="5">
        <f t="shared" si="261"/>
        <v>2005</v>
      </c>
      <c r="F15892" s="3" t="s">
        <v>2518</v>
      </c>
      <c r="G15892" s="6">
        <v>7600</v>
      </c>
      <c r="H15892" s="5">
        <v>4622</v>
      </c>
    </row>
    <row r="15893" spans="2:8" ht="15" customHeight="1" x14ac:dyDescent="0.4">
      <c r="B15893" s="3" t="s">
        <v>7</v>
      </c>
      <c r="C15893" s="3" t="s">
        <v>2517</v>
      </c>
      <c r="D15893" s="4">
        <f>DATE(2006,1,19)</f>
        <v>38736</v>
      </c>
      <c r="E15893" s="5">
        <f t="shared" si="261"/>
        <v>2006</v>
      </c>
      <c r="F15893" s="3" t="s">
        <v>2518</v>
      </c>
      <c r="G15893" s="6">
        <v>938</v>
      </c>
      <c r="H15893" s="5">
        <v>5865</v>
      </c>
    </row>
    <row r="15894" spans="2:8" ht="15" customHeight="1" x14ac:dyDescent="0.4">
      <c r="B15894" s="3" t="s">
        <v>7</v>
      </c>
      <c r="C15894" s="3" t="s">
        <v>2517</v>
      </c>
      <c r="D15894" s="4">
        <f>DATE(2006,4,5)</f>
        <v>38812</v>
      </c>
      <c r="E15894" s="5">
        <f t="shared" si="261"/>
        <v>2006</v>
      </c>
      <c r="F15894" s="3" t="s">
        <v>2518</v>
      </c>
      <c r="G15894" s="6">
        <v>938</v>
      </c>
      <c r="H15894" s="5">
        <v>6433</v>
      </c>
    </row>
    <row r="15895" spans="2:8" ht="15" customHeight="1" x14ac:dyDescent="0.4">
      <c r="B15895" s="3" t="s">
        <v>7</v>
      </c>
      <c r="C15895" s="3" t="s">
        <v>2517</v>
      </c>
      <c r="D15895" s="4">
        <f>DATE(2006,9,6)</f>
        <v>38966</v>
      </c>
      <c r="E15895" s="5">
        <f t="shared" si="261"/>
        <v>2006</v>
      </c>
      <c r="F15895" s="3" t="s">
        <v>2518</v>
      </c>
      <c r="G15895" s="6">
        <v>1833</v>
      </c>
      <c r="H15895" s="5">
        <v>6667</v>
      </c>
    </row>
    <row r="15896" spans="2:8" ht="15" customHeight="1" x14ac:dyDescent="0.4">
      <c r="B15896" s="3" t="s">
        <v>7</v>
      </c>
      <c r="C15896" s="3" t="s">
        <v>2517</v>
      </c>
      <c r="D15896" s="4">
        <f>DATE(2006,9,6)</f>
        <v>38966</v>
      </c>
      <c r="E15896" s="5">
        <f t="shared" si="261"/>
        <v>2006</v>
      </c>
      <c r="F15896" s="3" t="s">
        <v>2518</v>
      </c>
      <c r="G15896" s="6">
        <v>938</v>
      </c>
      <c r="H15896" s="5">
        <v>7179</v>
      </c>
    </row>
    <row r="15897" spans="2:8" ht="15" customHeight="1" x14ac:dyDescent="0.4">
      <c r="B15897" s="3" t="s">
        <v>7</v>
      </c>
      <c r="C15897" s="3" t="s">
        <v>2517</v>
      </c>
      <c r="D15897" s="4">
        <f>DATE(2006,9,14)</f>
        <v>38974</v>
      </c>
      <c r="E15897" s="5">
        <f t="shared" si="261"/>
        <v>2006</v>
      </c>
      <c r="F15897" s="3" t="s">
        <v>2518</v>
      </c>
      <c r="G15897" s="6">
        <v>7600</v>
      </c>
      <c r="H15897" s="5">
        <v>7221</v>
      </c>
    </row>
    <row r="15898" spans="2:8" ht="15" customHeight="1" x14ac:dyDescent="0.4">
      <c r="B15898" s="3" t="s">
        <v>7</v>
      </c>
      <c r="C15898" s="3" t="s">
        <v>2517</v>
      </c>
      <c r="D15898" s="4">
        <f>DATE(2007,1,15)</f>
        <v>39097</v>
      </c>
      <c r="E15898" s="5">
        <f t="shared" si="261"/>
        <v>2007</v>
      </c>
      <c r="F15898" s="3" t="s">
        <v>2518</v>
      </c>
      <c r="G15898" s="6">
        <v>938</v>
      </c>
      <c r="H15898" s="5">
        <v>7751</v>
      </c>
    </row>
    <row r="15899" spans="2:8" ht="15" customHeight="1" x14ac:dyDescent="0.4">
      <c r="B15899" s="3" t="s">
        <v>7</v>
      </c>
      <c r="C15899" s="3" t="s">
        <v>2517</v>
      </c>
      <c r="D15899" s="4">
        <f>DATE(2007,4,2)</f>
        <v>39174</v>
      </c>
      <c r="E15899" s="5">
        <f t="shared" si="261"/>
        <v>2007</v>
      </c>
      <c r="F15899" s="3" t="s">
        <v>2518</v>
      </c>
      <c r="G15899" s="6">
        <v>938</v>
      </c>
      <c r="H15899" s="5">
        <v>8242</v>
      </c>
    </row>
    <row r="15900" spans="2:8" ht="15" customHeight="1" x14ac:dyDescent="0.4">
      <c r="B15900" s="3" t="s">
        <v>7</v>
      </c>
      <c r="C15900" s="3" t="s">
        <v>2517</v>
      </c>
      <c r="D15900" s="4">
        <f>DATE(2007,5,16)</f>
        <v>39218</v>
      </c>
      <c r="E15900" s="5">
        <f t="shared" si="261"/>
        <v>2007</v>
      </c>
      <c r="F15900" s="3" t="s">
        <v>2518</v>
      </c>
      <c r="G15900" s="6">
        <v>7600</v>
      </c>
      <c r="H15900" s="5">
        <v>8535</v>
      </c>
    </row>
    <row r="15901" spans="2:8" ht="15" customHeight="1" x14ac:dyDescent="0.4">
      <c r="B15901" s="3" t="s">
        <v>7</v>
      </c>
      <c r="C15901" s="3" t="s">
        <v>2517</v>
      </c>
      <c r="D15901" s="4">
        <f>DATE(2007,7,9)</f>
        <v>39272</v>
      </c>
      <c r="E15901" s="5">
        <f t="shared" si="261"/>
        <v>2007</v>
      </c>
      <c r="F15901" s="3" t="s">
        <v>2518</v>
      </c>
      <c r="G15901" s="6">
        <v>938</v>
      </c>
      <c r="H15901" s="5">
        <v>8791</v>
      </c>
    </row>
    <row r="15902" spans="2:8" ht="15" customHeight="1" x14ac:dyDescent="0.4">
      <c r="B15902" s="3" t="s">
        <v>7</v>
      </c>
      <c r="C15902" s="3" t="s">
        <v>2517</v>
      </c>
      <c r="D15902" s="4">
        <f>DATE(2007,10,12)</f>
        <v>39367</v>
      </c>
      <c r="E15902" s="5">
        <f t="shared" si="261"/>
        <v>2007</v>
      </c>
      <c r="F15902" s="3" t="s">
        <v>2518</v>
      </c>
      <c r="G15902" s="6">
        <v>1876</v>
      </c>
      <c r="H15902" s="5">
        <v>9241</v>
      </c>
    </row>
    <row r="15903" spans="2:8" ht="15" customHeight="1" x14ac:dyDescent="0.4">
      <c r="B15903" s="3" t="s">
        <v>7</v>
      </c>
      <c r="C15903" s="3" t="s">
        <v>2517</v>
      </c>
      <c r="D15903" s="4">
        <f>DATE(2008,5,12)</f>
        <v>39580</v>
      </c>
      <c r="E15903" s="5">
        <f t="shared" si="261"/>
        <v>2008</v>
      </c>
      <c r="F15903" s="3" t="s">
        <v>2518</v>
      </c>
      <c r="G15903" s="6">
        <v>7600</v>
      </c>
      <c r="H15903" s="5">
        <v>10651</v>
      </c>
    </row>
    <row r="15904" spans="2:8" ht="15" customHeight="1" x14ac:dyDescent="0.4">
      <c r="B15904" s="3" t="s">
        <v>7</v>
      </c>
      <c r="C15904" s="3" t="s">
        <v>2517</v>
      </c>
      <c r="D15904" s="4">
        <f>DATE(2008,5,20)</f>
        <v>39588</v>
      </c>
      <c r="E15904" s="5">
        <f t="shared" si="261"/>
        <v>2008</v>
      </c>
      <c r="F15904" s="3" t="s">
        <v>2518</v>
      </c>
      <c r="G15904" s="6">
        <v>938</v>
      </c>
      <c r="H15904" s="5">
        <v>10663</v>
      </c>
    </row>
    <row r="15905" spans="2:8" ht="15" customHeight="1" x14ac:dyDescent="0.4">
      <c r="B15905" s="3" t="s">
        <v>7</v>
      </c>
      <c r="C15905" s="3" t="s">
        <v>2517</v>
      </c>
      <c r="D15905" s="4">
        <f>DATE(2008,11,26)</f>
        <v>39778</v>
      </c>
      <c r="E15905" s="5">
        <f t="shared" si="261"/>
        <v>2008</v>
      </c>
      <c r="F15905" s="3" t="s">
        <v>2518</v>
      </c>
      <c r="G15905" s="6">
        <v>7600</v>
      </c>
      <c r="H15905" s="5">
        <v>11623</v>
      </c>
    </row>
    <row r="15906" spans="2:8" ht="15" customHeight="1" x14ac:dyDescent="0.4">
      <c r="B15906" s="3" t="s">
        <v>7</v>
      </c>
      <c r="C15906" s="3" t="s">
        <v>2517</v>
      </c>
      <c r="D15906" s="4">
        <f>DATE(2008,12,9)</f>
        <v>39791</v>
      </c>
      <c r="E15906" s="5">
        <f t="shared" si="261"/>
        <v>2008</v>
      </c>
      <c r="F15906" s="3" t="s">
        <v>2518</v>
      </c>
      <c r="G15906" s="6">
        <v>938</v>
      </c>
      <c r="H15906" s="5">
        <v>11649</v>
      </c>
    </row>
    <row r="15907" spans="2:8" ht="15" customHeight="1" x14ac:dyDescent="0.4">
      <c r="B15907" s="3" t="s">
        <v>7</v>
      </c>
      <c r="C15907" s="3" t="s">
        <v>2517</v>
      </c>
      <c r="D15907" s="4">
        <f>DATE(2009,2,17)</f>
        <v>39861</v>
      </c>
      <c r="E15907" s="5">
        <f t="shared" si="261"/>
        <v>2009</v>
      </c>
      <c r="F15907" s="3" t="s">
        <v>2518</v>
      </c>
      <c r="G15907" s="6">
        <v>938</v>
      </c>
      <c r="H15907" s="5">
        <v>11992</v>
      </c>
    </row>
    <row r="15908" spans="2:8" ht="15" customHeight="1" x14ac:dyDescent="0.4">
      <c r="B15908" s="3" t="s">
        <v>7</v>
      </c>
      <c r="C15908" s="3" t="s">
        <v>2517</v>
      </c>
      <c r="D15908" s="4">
        <f>DATE(2009,6,24)</f>
        <v>39988</v>
      </c>
      <c r="E15908" s="5">
        <f t="shared" si="261"/>
        <v>2009</v>
      </c>
      <c r="F15908" s="3" t="s">
        <v>2518</v>
      </c>
      <c r="G15908" s="6">
        <v>1059.94</v>
      </c>
      <c r="H15908" s="5">
        <v>12722</v>
      </c>
    </row>
    <row r="15909" spans="2:8" ht="15" customHeight="1" x14ac:dyDescent="0.4">
      <c r="B15909" s="3" t="s">
        <v>7</v>
      </c>
      <c r="C15909" s="3" t="s">
        <v>2517</v>
      </c>
      <c r="D15909" s="4">
        <f>DATE(2009,9,15)</f>
        <v>40071</v>
      </c>
      <c r="E15909" s="5">
        <f t="shared" si="261"/>
        <v>2009</v>
      </c>
      <c r="F15909" s="3" t="s">
        <v>2518</v>
      </c>
      <c r="G15909" s="6">
        <v>1997.94</v>
      </c>
      <c r="H15909" s="5">
        <v>12991</v>
      </c>
    </row>
    <row r="15910" spans="2:8" ht="15" customHeight="1" x14ac:dyDescent="0.4">
      <c r="B15910" s="3" t="s">
        <v>7</v>
      </c>
      <c r="C15910" s="3" t="s">
        <v>2517</v>
      </c>
      <c r="D15910" s="4">
        <f>DATE(2009,9,18)</f>
        <v>40074</v>
      </c>
      <c r="E15910" s="5">
        <f t="shared" si="261"/>
        <v>2009</v>
      </c>
      <c r="F15910" s="3" t="s">
        <v>2518</v>
      </c>
      <c r="G15910" s="6">
        <v>272</v>
      </c>
      <c r="H15910" s="5">
        <v>13032</v>
      </c>
    </row>
    <row r="15911" spans="2:8" ht="15" customHeight="1" x14ac:dyDescent="0.4">
      <c r="B15911" s="3" t="s">
        <v>7</v>
      </c>
      <c r="C15911" s="3" t="s">
        <v>2517</v>
      </c>
      <c r="D15911" s="4">
        <f>DATE(2010,3,19)</f>
        <v>40256</v>
      </c>
      <c r="E15911" s="5">
        <f t="shared" si="261"/>
        <v>2010</v>
      </c>
      <c r="F15911" s="3" t="s">
        <v>2518</v>
      </c>
      <c r="G15911" s="6">
        <v>1997.94</v>
      </c>
      <c r="H15911" s="5">
        <v>13753</v>
      </c>
    </row>
    <row r="15912" spans="2:8" ht="15" customHeight="1" x14ac:dyDescent="0.4">
      <c r="B15912" s="3" t="s">
        <v>7</v>
      </c>
      <c r="C15912" s="3" t="s">
        <v>2517</v>
      </c>
      <c r="D15912" s="4">
        <f>DATE(2011,4,8)</f>
        <v>40641</v>
      </c>
      <c r="E15912" s="5">
        <f t="shared" si="261"/>
        <v>2011</v>
      </c>
      <c r="F15912" s="3" t="s">
        <v>2518</v>
      </c>
      <c r="G15912" s="6">
        <v>7600</v>
      </c>
      <c r="H15912" s="5">
        <v>15406</v>
      </c>
    </row>
    <row r="15913" spans="2:8" ht="15" customHeight="1" x14ac:dyDescent="0.4">
      <c r="B15913" s="3" t="s">
        <v>7</v>
      </c>
      <c r="C15913" s="3" t="s">
        <v>2517</v>
      </c>
      <c r="D15913" s="4">
        <f>DATE(2003,3,6)</f>
        <v>37686</v>
      </c>
      <c r="E15913" s="5">
        <f t="shared" si="261"/>
        <v>2003</v>
      </c>
      <c r="F15913" s="3" t="s">
        <v>2519</v>
      </c>
      <c r="G15913" s="6">
        <v>1452.75</v>
      </c>
      <c r="H15913" s="5">
        <v>475</v>
      </c>
    </row>
    <row r="15914" spans="2:8" ht="15" customHeight="1" x14ac:dyDescent="0.4">
      <c r="B15914" s="3" t="s">
        <v>7</v>
      </c>
      <c r="C15914" s="3" t="s">
        <v>2517</v>
      </c>
      <c r="D15914" s="4">
        <f>DATE(2003,5,5)</f>
        <v>37746</v>
      </c>
      <c r="E15914" s="5">
        <f t="shared" si="261"/>
        <v>2003</v>
      </c>
      <c r="F15914" s="3" t="s">
        <v>2519</v>
      </c>
      <c r="G15914" s="6">
        <v>894</v>
      </c>
      <c r="H15914" s="5">
        <v>396</v>
      </c>
    </row>
    <row r="15915" spans="2:8" ht="15" customHeight="1" x14ac:dyDescent="0.4">
      <c r="B15915" t="s">
        <v>7</v>
      </c>
      <c r="C15915" t="s">
        <v>2520</v>
      </c>
      <c r="D15915" s="7">
        <f>DATE(2010,9,20)</f>
        <v>40441</v>
      </c>
      <c r="E15915" s="8">
        <f t="shared" si="261"/>
        <v>2010</v>
      </c>
      <c r="F15915" t="s">
        <v>2521</v>
      </c>
      <c r="G15915" s="9">
        <v>7875</v>
      </c>
      <c r="H15915" s="8">
        <v>10097</v>
      </c>
    </row>
    <row r="15916" spans="2:8" ht="15" customHeight="1" x14ac:dyDescent="0.4">
      <c r="B15916" t="s">
        <v>7</v>
      </c>
      <c r="C15916" t="s">
        <v>2520</v>
      </c>
      <c r="D15916" s="7">
        <f>DATE(2010,10,20)</f>
        <v>40471</v>
      </c>
      <c r="E15916" s="8">
        <f t="shared" si="261"/>
        <v>2010</v>
      </c>
      <c r="F15916" t="s">
        <v>2521</v>
      </c>
      <c r="G15916" s="9">
        <v>4645</v>
      </c>
      <c r="H15916" s="8">
        <v>10104</v>
      </c>
    </row>
    <row r="15917" spans="2:8" ht="15" customHeight="1" x14ac:dyDescent="0.4">
      <c r="B15917" t="s">
        <v>7</v>
      </c>
      <c r="C15917" t="s">
        <v>2520</v>
      </c>
      <c r="D15917" s="7">
        <f>DATE(2009,6,2)</f>
        <v>39966</v>
      </c>
      <c r="E15917" s="8">
        <f t="shared" si="261"/>
        <v>2009</v>
      </c>
      <c r="F15917" t="s">
        <v>2521</v>
      </c>
      <c r="G15917" s="9">
        <v>5573.09</v>
      </c>
      <c r="H15917" s="8">
        <v>8754</v>
      </c>
    </row>
    <row r="15918" spans="2:8" ht="15" customHeight="1" x14ac:dyDescent="0.4">
      <c r="B15918" t="s">
        <v>7</v>
      </c>
      <c r="C15918" t="s">
        <v>2520</v>
      </c>
      <c r="D15918" s="7">
        <f>DATE(2010,9,20)</f>
        <v>40441</v>
      </c>
      <c r="E15918" s="8">
        <f t="shared" si="261"/>
        <v>2010</v>
      </c>
      <c r="F15918" t="s">
        <v>2521</v>
      </c>
      <c r="G15918" s="9">
        <v>5584.59</v>
      </c>
      <c r="H15918" s="8">
        <v>10096</v>
      </c>
    </row>
    <row r="15919" spans="2:8" ht="15" customHeight="1" x14ac:dyDescent="0.4">
      <c r="B15919" t="s">
        <v>7</v>
      </c>
      <c r="C15919" t="s">
        <v>2520</v>
      </c>
      <c r="D15919" s="7">
        <f>DATE(2010,10,20)</f>
        <v>40471</v>
      </c>
      <c r="E15919" s="8">
        <f t="shared" si="261"/>
        <v>2010</v>
      </c>
      <c r="F15919" t="s">
        <v>2521</v>
      </c>
      <c r="G15919" s="9">
        <v>1109.27</v>
      </c>
      <c r="H15919" s="8">
        <v>10103</v>
      </c>
    </row>
    <row r="15920" spans="2:8" ht="15" customHeight="1" x14ac:dyDescent="0.4">
      <c r="B15920" t="s">
        <v>7</v>
      </c>
      <c r="C15920" t="s">
        <v>2520</v>
      </c>
      <c r="D15920" s="7">
        <f>DATE(2010,11,4)</f>
        <v>40486</v>
      </c>
      <c r="E15920" s="8">
        <f t="shared" si="261"/>
        <v>2010</v>
      </c>
      <c r="F15920" t="s">
        <v>2521</v>
      </c>
      <c r="G15920" s="9">
        <v>2328.02</v>
      </c>
      <c r="H15920" s="8">
        <v>10103</v>
      </c>
    </row>
    <row r="15921" spans="2:8" ht="15" customHeight="1" x14ac:dyDescent="0.4">
      <c r="B15921" s="3" t="s">
        <v>7</v>
      </c>
      <c r="C15921" s="3" t="s">
        <v>2522</v>
      </c>
      <c r="D15921" s="4">
        <f>DATE(2003,1,15)</f>
        <v>37636</v>
      </c>
      <c r="E15921" s="5">
        <f t="shared" si="261"/>
        <v>2003</v>
      </c>
      <c r="F15921" s="3" t="s">
        <v>2523</v>
      </c>
      <c r="G15921" s="6">
        <v>867.5</v>
      </c>
      <c r="H15921" s="5">
        <v>29</v>
      </c>
    </row>
    <row r="15922" spans="2:8" ht="15" customHeight="1" x14ac:dyDescent="0.4">
      <c r="B15922" s="3" t="s">
        <v>7</v>
      </c>
      <c r="C15922" s="3" t="s">
        <v>2522</v>
      </c>
      <c r="D15922" s="4">
        <f>DATE(2003,8,6)</f>
        <v>37839</v>
      </c>
      <c r="E15922" s="5">
        <f t="shared" si="261"/>
        <v>2003</v>
      </c>
      <c r="F15922" s="3" t="s">
        <v>2523</v>
      </c>
      <c r="G15922" s="6">
        <v>1245</v>
      </c>
      <c r="H15922" s="5">
        <v>1325</v>
      </c>
    </row>
    <row r="15923" spans="2:8" ht="15" customHeight="1" x14ac:dyDescent="0.4">
      <c r="B15923" s="3" t="s">
        <v>7</v>
      </c>
      <c r="C15923" s="3" t="s">
        <v>2522</v>
      </c>
      <c r="D15923" s="4">
        <f>DATE(2003,8,8)</f>
        <v>37841</v>
      </c>
      <c r="E15923" s="5">
        <f t="shared" si="261"/>
        <v>2003</v>
      </c>
      <c r="F15923" s="3" t="s">
        <v>2523</v>
      </c>
      <c r="G15923" s="6">
        <v>867.5</v>
      </c>
      <c r="H15923" s="5">
        <v>1345</v>
      </c>
    </row>
    <row r="15924" spans="2:8" ht="15" customHeight="1" x14ac:dyDescent="0.4">
      <c r="B15924" s="3" t="s">
        <v>7</v>
      </c>
      <c r="C15924" s="3" t="s">
        <v>2522</v>
      </c>
      <c r="D15924" s="4">
        <f>DATE(2004,2,17)</f>
        <v>38034</v>
      </c>
      <c r="E15924" s="5">
        <f t="shared" si="261"/>
        <v>2004</v>
      </c>
      <c r="F15924" s="3" t="s">
        <v>2523</v>
      </c>
      <c r="G15924" s="6">
        <v>1669</v>
      </c>
      <c r="H15924" s="5">
        <v>2190</v>
      </c>
    </row>
    <row r="15925" spans="2:8" ht="15" customHeight="1" x14ac:dyDescent="0.4">
      <c r="B15925" t="s">
        <v>7</v>
      </c>
      <c r="C15925" t="s">
        <v>2524</v>
      </c>
      <c r="D15925" s="7">
        <f>DATE(2010,9,1)</f>
        <v>40422</v>
      </c>
      <c r="E15925" s="8">
        <f t="shared" si="261"/>
        <v>2010</v>
      </c>
      <c r="F15925" t="s">
        <v>2525</v>
      </c>
      <c r="G15925" s="9">
        <v>5168.22</v>
      </c>
      <c r="H15925" s="8">
        <v>10074</v>
      </c>
    </row>
    <row r="15926" spans="2:8" ht="15" customHeight="1" x14ac:dyDescent="0.4">
      <c r="B15926" t="s">
        <v>7</v>
      </c>
      <c r="C15926" t="s">
        <v>2524</v>
      </c>
      <c r="D15926" s="7">
        <f>DATE(2016,7,26)</f>
        <v>42577</v>
      </c>
      <c r="E15926" s="8">
        <f t="shared" si="261"/>
        <v>2016</v>
      </c>
      <c r="F15926" t="s">
        <v>2526</v>
      </c>
      <c r="G15926" s="9">
        <v>5900.93</v>
      </c>
      <c r="H15926" s="8">
        <v>23149</v>
      </c>
    </row>
    <row r="15927" spans="2:8" ht="15" customHeight="1" x14ac:dyDescent="0.4">
      <c r="B15927" t="s">
        <v>7</v>
      </c>
      <c r="C15927" t="s">
        <v>2524</v>
      </c>
      <c r="D15927" s="7">
        <f>DATE(2016,12,6)</f>
        <v>42710</v>
      </c>
      <c r="E15927" s="8">
        <f t="shared" si="261"/>
        <v>2016</v>
      </c>
      <c r="F15927" t="s">
        <v>2526</v>
      </c>
      <c r="G15927" s="9">
        <v>5833.22</v>
      </c>
      <c r="H15927" s="8">
        <v>23884</v>
      </c>
    </row>
    <row r="15928" spans="2:8" ht="15" customHeight="1" x14ac:dyDescent="0.4">
      <c r="B15928" t="s">
        <v>7</v>
      </c>
      <c r="C15928" t="s">
        <v>2524</v>
      </c>
      <c r="D15928" s="7">
        <f>DATE(2011,8,17)</f>
        <v>40772</v>
      </c>
      <c r="E15928" s="8">
        <f t="shared" si="261"/>
        <v>2011</v>
      </c>
      <c r="F15928" t="s">
        <v>2526</v>
      </c>
      <c r="G15928" s="9">
        <v>5637.04</v>
      </c>
      <c r="H15928" s="8">
        <v>10929</v>
      </c>
    </row>
    <row r="15929" spans="2:8" ht="15" customHeight="1" x14ac:dyDescent="0.4">
      <c r="B15929" s="3" t="s">
        <v>7</v>
      </c>
      <c r="C15929" s="3" t="s">
        <v>1417</v>
      </c>
      <c r="D15929" s="4">
        <f>DATE(2003,5,28)</f>
        <v>37769</v>
      </c>
      <c r="E15929" s="5">
        <f t="shared" si="261"/>
        <v>2003</v>
      </c>
      <c r="F15929" s="3" t="s">
        <v>2527</v>
      </c>
      <c r="G15929" s="6">
        <v>1561</v>
      </c>
      <c r="H15929" s="5">
        <v>1006</v>
      </c>
    </row>
    <row r="15930" spans="2:8" ht="15" customHeight="1" x14ac:dyDescent="0.4">
      <c r="B15930" s="3" t="s">
        <v>7</v>
      </c>
      <c r="C15930" s="3" t="s">
        <v>1417</v>
      </c>
      <c r="D15930" s="4">
        <f>DATE(2003,5,30)</f>
        <v>37771</v>
      </c>
      <c r="E15930" s="5">
        <f t="shared" si="261"/>
        <v>2003</v>
      </c>
      <c r="F15930" s="3" t="s">
        <v>2527</v>
      </c>
      <c r="G15930" s="6">
        <v>439.25</v>
      </c>
      <c r="H15930" s="5">
        <v>991</v>
      </c>
    </row>
    <row r="15931" spans="2:8" ht="15" customHeight="1" x14ac:dyDescent="0.4">
      <c r="B15931" s="3" t="s">
        <v>7</v>
      </c>
      <c r="C15931" s="3" t="s">
        <v>1417</v>
      </c>
      <c r="D15931" s="4">
        <f>DATE(2005,9,29)</f>
        <v>38624</v>
      </c>
      <c r="E15931" s="5">
        <f t="shared" si="261"/>
        <v>2005</v>
      </c>
      <c r="F15931" s="3" t="s">
        <v>2527</v>
      </c>
      <c r="G15931" s="6">
        <v>1262</v>
      </c>
      <c r="H15931" s="5">
        <v>5345</v>
      </c>
    </row>
    <row r="15932" spans="2:8" ht="15" customHeight="1" x14ac:dyDescent="0.4">
      <c r="B15932" t="s">
        <v>7</v>
      </c>
      <c r="C15932" t="s">
        <v>2528</v>
      </c>
      <c r="D15932" s="7">
        <f>DATE(2010,11,23)</f>
        <v>40505</v>
      </c>
      <c r="E15932" s="8">
        <f t="shared" si="261"/>
        <v>2010</v>
      </c>
      <c r="F15932" t="s">
        <v>2529</v>
      </c>
      <c r="G15932" s="9">
        <v>9978</v>
      </c>
      <c r="H15932" s="8">
        <v>10253</v>
      </c>
    </row>
    <row r="15933" spans="2:8" ht="15" customHeight="1" x14ac:dyDescent="0.4">
      <c r="B15933" t="s">
        <v>7</v>
      </c>
      <c r="C15933" t="s">
        <v>2528</v>
      </c>
      <c r="D15933" s="7">
        <f>DATE(2010,11,23)</f>
        <v>40505</v>
      </c>
      <c r="E15933" s="8">
        <f t="shared" si="261"/>
        <v>2010</v>
      </c>
      <c r="F15933" t="s">
        <v>2529</v>
      </c>
      <c r="G15933" s="9">
        <v>6975</v>
      </c>
      <c r="H15933" s="8">
        <v>10254</v>
      </c>
    </row>
    <row r="15934" spans="2:8" ht="15" customHeight="1" x14ac:dyDescent="0.4">
      <c r="B15934" t="s">
        <v>7</v>
      </c>
      <c r="C15934" t="s">
        <v>2528</v>
      </c>
      <c r="D15934" s="7">
        <f>DATE(2012,4,13)</f>
        <v>41012</v>
      </c>
      <c r="E15934" s="8">
        <f t="shared" si="261"/>
        <v>2012</v>
      </c>
      <c r="F15934" t="s">
        <v>2529</v>
      </c>
      <c r="G15934" s="9">
        <v>9178.41</v>
      </c>
      <c r="H15934" s="8">
        <v>11538</v>
      </c>
    </row>
    <row r="15935" spans="2:8" ht="15" customHeight="1" x14ac:dyDescent="0.4">
      <c r="B15935" s="3" t="s">
        <v>7</v>
      </c>
      <c r="C15935" s="3" t="s">
        <v>2530</v>
      </c>
      <c r="D15935" s="4">
        <f>DATE(2003,9,16)</f>
        <v>37880</v>
      </c>
      <c r="E15935" s="5">
        <f t="shared" si="261"/>
        <v>2003</v>
      </c>
      <c r="F15935" s="3" t="s">
        <v>2531</v>
      </c>
      <c r="G15935" s="6">
        <v>455</v>
      </c>
      <c r="H15935" s="5">
        <v>1489</v>
      </c>
    </row>
    <row r="15936" spans="2:8" ht="15" customHeight="1" x14ac:dyDescent="0.4">
      <c r="B15936" s="3" t="s">
        <v>7</v>
      </c>
      <c r="C15936" s="3" t="s">
        <v>2530</v>
      </c>
      <c r="D15936" s="4">
        <f>DATE(2003,11,10)</f>
        <v>37935</v>
      </c>
      <c r="E15936" s="5">
        <f t="shared" si="261"/>
        <v>2003</v>
      </c>
      <c r="F15936" s="3" t="s">
        <v>2531</v>
      </c>
      <c r="G15936" s="6">
        <v>338</v>
      </c>
      <c r="H15936" s="5">
        <v>1743</v>
      </c>
    </row>
    <row r="15937" spans="2:8" ht="15" customHeight="1" x14ac:dyDescent="0.4">
      <c r="B15937" s="3" t="s">
        <v>7</v>
      </c>
      <c r="C15937" s="3" t="s">
        <v>2530</v>
      </c>
      <c r="D15937" s="4">
        <f>DATE(2003,11,20)</f>
        <v>37945</v>
      </c>
      <c r="E15937" s="5">
        <f t="shared" si="261"/>
        <v>2003</v>
      </c>
      <c r="F15937" s="3" t="s">
        <v>2531</v>
      </c>
      <c r="G15937" s="6">
        <v>1357</v>
      </c>
      <c r="H15937" s="5">
        <v>1793</v>
      </c>
    </row>
    <row r="15938" spans="2:8" ht="15" customHeight="1" x14ac:dyDescent="0.4">
      <c r="B15938" s="3" t="s">
        <v>7</v>
      </c>
      <c r="C15938" s="3" t="s">
        <v>2530</v>
      </c>
      <c r="D15938" s="4">
        <f>DATE(2005,2,24)</f>
        <v>38407</v>
      </c>
      <c r="E15938" s="5">
        <f t="shared" si="261"/>
        <v>2005</v>
      </c>
      <c r="F15938" s="3" t="s">
        <v>2531</v>
      </c>
      <c r="G15938" s="6">
        <v>478</v>
      </c>
      <c r="H15938" s="5">
        <v>4193</v>
      </c>
    </row>
    <row r="15939" spans="2:8" ht="15" customHeight="1" x14ac:dyDescent="0.4">
      <c r="B15939" s="3" t="s">
        <v>7</v>
      </c>
      <c r="C15939" s="3" t="s">
        <v>2530</v>
      </c>
      <c r="D15939" s="4">
        <f>DATE(2005,3,17)</f>
        <v>38428</v>
      </c>
      <c r="E15939" s="5">
        <f t="shared" ref="E15939:E16002" si="262">YEAR(D15939)</f>
        <v>2005</v>
      </c>
      <c r="F15939" s="3" t="s">
        <v>2531</v>
      </c>
      <c r="G15939" s="6">
        <v>1188.5</v>
      </c>
      <c r="H15939" s="5">
        <v>4364</v>
      </c>
    </row>
    <row r="15940" spans="2:8" ht="15" customHeight="1" x14ac:dyDescent="0.4">
      <c r="B15940" s="3" t="s">
        <v>7</v>
      </c>
      <c r="C15940" s="3" t="s">
        <v>2530</v>
      </c>
      <c r="D15940" s="4">
        <f>DATE(2006,3,13)</f>
        <v>38789</v>
      </c>
      <c r="E15940" s="5">
        <f t="shared" si="262"/>
        <v>2006</v>
      </c>
      <c r="F15940" s="3" t="s">
        <v>2531</v>
      </c>
      <c r="G15940" s="6">
        <v>1538.96</v>
      </c>
      <c r="H15940" s="5">
        <v>6277</v>
      </c>
    </row>
    <row r="15941" spans="2:8" ht="15" customHeight="1" x14ac:dyDescent="0.4">
      <c r="B15941" s="3" t="s">
        <v>7</v>
      </c>
      <c r="C15941" s="3" t="s">
        <v>2530</v>
      </c>
      <c r="D15941" s="4">
        <f>DATE(2006,3,16)</f>
        <v>38792</v>
      </c>
      <c r="E15941" s="5">
        <f t="shared" si="262"/>
        <v>2006</v>
      </c>
      <c r="F15941" s="3" t="s">
        <v>2531</v>
      </c>
      <c r="G15941" s="6">
        <v>3569.88</v>
      </c>
      <c r="H15941" s="5">
        <v>6277</v>
      </c>
    </row>
    <row r="15942" spans="2:8" ht="15" customHeight="1" x14ac:dyDescent="0.4">
      <c r="B15942" s="3" t="s">
        <v>7</v>
      </c>
      <c r="C15942" s="3" t="s">
        <v>2530</v>
      </c>
      <c r="D15942" s="4">
        <f>DATE(2009,2,23)</f>
        <v>39867</v>
      </c>
      <c r="E15942" s="5">
        <f t="shared" si="262"/>
        <v>2009</v>
      </c>
      <c r="F15942" s="3" t="s">
        <v>2531</v>
      </c>
      <c r="G15942" s="6">
        <v>2565.13</v>
      </c>
      <c r="H15942" s="5">
        <v>12025</v>
      </c>
    </row>
    <row r="15943" spans="2:8" ht="15" customHeight="1" x14ac:dyDescent="0.4">
      <c r="B15943" s="3" t="s">
        <v>7</v>
      </c>
      <c r="C15943" s="3" t="s">
        <v>2530</v>
      </c>
      <c r="D15943" s="4">
        <f>DATE(2009,2,23)</f>
        <v>39867</v>
      </c>
      <c r="E15943" s="5">
        <f t="shared" si="262"/>
        <v>2009</v>
      </c>
      <c r="F15943" s="3" t="s">
        <v>2531</v>
      </c>
      <c r="G15943" s="6">
        <v>2565.13</v>
      </c>
      <c r="H15943" s="5">
        <v>12009</v>
      </c>
    </row>
    <row r="15944" spans="2:8" ht="15" customHeight="1" x14ac:dyDescent="0.4">
      <c r="B15944" s="3" t="s">
        <v>7</v>
      </c>
      <c r="C15944" s="3" t="s">
        <v>2530</v>
      </c>
      <c r="D15944" s="4">
        <f>DATE(2011,3,23)</f>
        <v>40625</v>
      </c>
      <c r="E15944" s="5">
        <f t="shared" si="262"/>
        <v>2011</v>
      </c>
      <c r="F15944" s="3" t="s">
        <v>2531</v>
      </c>
      <c r="G15944" s="6">
        <v>2646.71</v>
      </c>
      <c r="H15944" s="5">
        <v>15037</v>
      </c>
    </row>
    <row r="15945" spans="2:8" ht="15" customHeight="1" x14ac:dyDescent="0.4">
      <c r="B15945" s="3" t="s">
        <v>16</v>
      </c>
      <c r="C15945" s="3" t="s">
        <v>2530</v>
      </c>
      <c r="D15945" s="4">
        <f>DATE(2011,2,24)</f>
        <v>40598</v>
      </c>
      <c r="E15945" s="5">
        <f t="shared" si="262"/>
        <v>2011</v>
      </c>
      <c r="F15945" s="3" t="s">
        <v>2531</v>
      </c>
      <c r="G15945" s="6">
        <v>2316.86</v>
      </c>
      <c r="H15945" s="5">
        <v>15057</v>
      </c>
    </row>
    <row r="15946" spans="2:8" ht="15" customHeight="1" x14ac:dyDescent="0.4">
      <c r="B15946" s="3" t="s">
        <v>7</v>
      </c>
      <c r="C15946" s="3" t="s">
        <v>2532</v>
      </c>
      <c r="D15946" s="4">
        <f>DATE(2005,2,21)</f>
        <v>38404</v>
      </c>
      <c r="E15946" s="5">
        <f t="shared" si="262"/>
        <v>2005</v>
      </c>
      <c r="F15946" s="3" t="s">
        <v>2533</v>
      </c>
      <c r="G15946" s="6">
        <v>3552.1</v>
      </c>
      <c r="H15946" s="5">
        <v>946</v>
      </c>
    </row>
    <row r="15947" spans="2:8" ht="15" customHeight="1" x14ac:dyDescent="0.4">
      <c r="B15947" s="3" t="s">
        <v>7</v>
      </c>
      <c r="C15947" s="3" t="s">
        <v>2532</v>
      </c>
      <c r="D15947" s="4">
        <f>DATE(2005,3,22)</f>
        <v>38433</v>
      </c>
      <c r="E15947" s="5">
        <f t="shared" si="262"/>
        <v>2005</v>
      </c>
      <c r="F15947" s="3" t="s">
        <v>2533</v>
      </c>
      <c r="G15947" s="6">
        <v>1798.61</v>
      </c>
      <c r="H15947" s="5">
        <v>990</v>
      </c>
    </row>
    <row r="15948" spans="2:8" ht="15" customHeight="1" x14ac:dyDescent="0.4">
      <c r="B15948" s="3" t="s">
        <v>7</v>
      </c>
      <c r="C15948" s="3" t="s">
        <v>2532</v>
      </c>
      <c r="D15948" s="4">
        <f>DATE(2005,3,22)</f>
        <v>38433</v>
      </c>
      <c r="E15948" s="5">
        <f t="shared" si="262"/>
        <v>2005</v>
      </c>
      <c r="F15948" s="3" t="s">
        <v>2533</v>
      </c>
      <c r="G15948" s="6">
        <v>1308.6099999999999</v>
      </c>
      <c r="H15948" s="5">
        <v>1011</v>
      </c>
    </row>
    <row r="15949" spans="2:8" ht="15" customHeight="1" x14ac:dyDescent="0.4">
      <c r="B15949" s="3" t="s">
        <v>7</v>
      </c>
      <c r="C15949" s="3" t="s">
        <v>2532</v>
      </c>
      <c r="D15949" s="4">
        <f>DATE(2005,3,22)</f>
        <v>38433</v>
      </c>
      <c r="E15949" s="5">
        <f t="shared" si="262"/>
        <v>2005</v>
      </c>
      <c r="F15949" s="3" t="s">
        <v>2533</v>
      </c>
      <c r="G15949" s="6">
        <v>1834.61</v>
      </c>
      <c r="H15949" s="5">
        <v>1014</v>
      </c>
    </row>
    <row r="15950" spans="2:8" ht="15" customHeight="1" x14ac:dyDescent="0.4">
      <c r="B15950" s="3" t="s">
        <v>7</v>
      </c>
      <c r="C15950" s="3" t="s">
        <v>2532</v>
      </c>
      <c r="D15950" s="4">
        <f>DATE(2005,3,28)</f>
        <v>38439</v>
      </c>
      <c r="E15950" s="5">
        <f t="shared" si="262"/>
        <v>2005</v>
      </c>
      <c r="F15950" s="3" t="s">
        <v>2533</v>
      </c>
      <c r="G15950" s="6">
        <v>1622.91</v>
      </c>
      <c r="H15950" s="5">
        <v>1012</v>
      </c>
    </row>
    <row r="15951" spans="2:8" ht="15" customHeight="1" x14ac:dyDescent="0.4">
      <c r="B15951" s="3" t="s">
        <v>7</v>
      </c>
      <c r="C15951" s="3" t="s">
        <v>2532</v>
      </c>
      <c r="D15951" s="4">
        <f>DATE(2005,3,28)</f>
        <v>38439</v>
      </c>
      <c r="E15951" s="5">
        <f t="shared" si="262"/>
        <v>2005</v>
      </c>
      <c r="F15951" s="3" t="s">
        <v>2533</v>
      </c>
      <c r="G15951" s="6">
        <v>1622.91</v>
      </c>
      <c r="H15951" s="5">
        <v>1013</v>
      </c>
    </row>
    <row r="15952" spans="2:8" ht="15" customHeight="1" x14ac:dyDescent="0.4">
      <c r="B15952" s="3" t="s">
        <v>7</v>
      </c>
      <c r="C15952" s="3" t="s">
        <v>2532</v>
      </c>
      <c r="D15952" s="4">
        <f>DATE(2005,6,22)</f>
        <v>38525</v>
      </c>
      <c r="E15952" s="5">
        <f t="shared" si="262"/>
        <v>2005</v>
      </c>
      <c r="F15952" s="3" t="s">
        <v>2533</v>
      </c>
      <c r="G15952" s="6">
        <v>2629.35</v>
      </c>
      <c r="H15952" s="5">
        <v>1109</v>
      </c>
    </row>
    <row r="15953" spans="2:8" ht="15" customHeight="1" x14ac:dyDescent="0.4">
      <c r="B15953" s="3" t="s">
        <v>7</v>
      </c>
      <c r="C15953" s="3" t="s">
        <v>2532</v>
      </c>
      <c r="D15953" s="4">
        <f>DATE(2005,6,27)</f>
        <v>38530</v>
      </c>
      <c r="E15953" s="5">
        <f t="shared" si="262"/>
        <v>2005</v>
      </c>
      <c r="F15953" s="3" t="s">
        <v>2533</v>
      </c>
      <c r="G15953" s="6">
        <v>2566.4</v>
      </c>
      <c r="H15953" s="5">
        <v>1111</v>
      </c>
    </row>
    <row r="15954" spans="2:8" ht="15" customHeight="1" x14ac:dyDescent="0.4">
      <c r="B15954" s="3" t="s">
        <v>7</v>
      </c>
      <c r="C15954" s="3" t="s">
        <v>2532</v>
      </c>
      <c r="D15954" s="4">
        <f>DATE(2005,7,18)</f>
        <v>38551</v>
      </c>
      <c r="E15954" s="5">
        <f t="shared" si="262"/>
        <v>2005</v>
      </c>
      <c r="F15954" s="3" t="s">
        <v>2533</v>
      </c>
      <c r="G15954" s="6">
        <v>8895.6</v>
      </c>
      <c r="H15954" s="5">
        <v>1140</v>
      </c>
    </row>
    <row r="15955" spans="2:8" ht="15" customHeight="1" x14ac:dyDescent="0.4">
      <c r="B15955" s="3" t="s">
        <v>7</v>
      </c>
      <c r="C15955" s="3" t="s">
        <v>2532</v>
      </c>
      <c r="D15955" s="4">
        <f>DATE(2005,9,13)</f>
        <v>38608</v>
      </c>
      <c r="E15955" s="5">
        <f t="shared" si="262"/>
        <v>2005</v>
      </c>
      <c r="F15955" s="3" t="s">
        <v>2533</v>
      </c>
      <c r="G15955" s="6">
        <v>3450.32</v>
      </c>
      <c r="H15955" s="5">
        <v>1239</v>
      </c>
    </row>
    <row r="15956" spans="2:8" ht="15" customHeight="1" x14ac:dyDescent="0.4">
      <c r="B15956" t="s">
        <v>7</v>
      </c>
      <c r="C15956" t="s">
        <v>2534</v>
      </c>
      <c r="D15956" s="7">
        <f>DATE(2017,10,3)</f>
        <v>43011</v>
      </c>
      <c r="E15956" s="8">
        <f t="shared" si="262"/>
        <v>2017</v>
      </c>
      <c r="F15956" t="s">
        <v>2535</v>
      </c>
      <c r="G15956" s="9">
        <v>784.6</v>
      </c>
      <c r="H15956" s="8">
        <v>25627</v>
      </c>
    </row>
    <row r="15957" spans="2:8" ht="15" customHeight="1" x14ac:dyDescent="0.4">
      <c r="B15957" t="s">
        <v>7</v>
      </c>
      <c r="C15957" t="s">
        <v>2534</v>
      </c>
      <c r="D15957" s="7">
        <f>DATE(2019,3,12)</f>
        <v>43536</v>
      </c>
      <c r="E15957" s="8">
        <f t="shared" si="262"/>
        <v>2019</v>
      </c>
      <c r="F15957" t="s">
        <v>2535</v>
      </c>
      <c r="G15957" s="9">
        <v>113.84</v>
      </c>
      <c r="H15957" s="8">
        <v>28597</v>
      </c>
    </row>
    <row r="15958" spans="2:8" ht="15" customHeight="1" x14ac:dyDescent="0.4">
      <c r="B15958" t="s">
        <v>7</v>
      </c>
      <c r="C15958" t="s">
        <v>2534</v>
      </c>
      <c r="D15958" s="7">
        <f>DATE(2017,12,18)</f>
        <v>43087</v>
      </c>
      <c r="E15958" s="8">
        <f t="shared" si="262"/>
        <v>2017</v>
      </c>
      <c r="F15958" t="s">
        <v>2535</v>
      </c>
      <c r="G15958" s="9">
        <v>4275</v>
      </c>
      <c r="H15958" s="8">
        <v>26040</v>
      </c>
    </row>
    <row r="15959" spans="2:8" ht="15" customHeight="1" x14ac:dyDescent="0.4">
      <c r="B15959" t="s">
        <v>7</v>
      </c>
      <c r="C15959" t="s">
        <v>2534</v>
      </c>
      <c r="D15959" s="7">
        <f>DATE(2018,5,11)</f>
        <v>43231</v>
      </c>
      <c r="E15959" s="8">
        <f t="shared" si="262"/>
        <v>2018</v>
      </c>
      <c r="F15959" t="s">
        <v>2535</v>
      </c>
      <c r="G15959" s="9">
        <v>165.75</v>
      </c>
      <c r="H15959" s="8">
        <v>27054</v>
      </c>
    </row>
    <row r="15960" spans="2:8" ht="15" customHeight="1" x14ac:dyDescent="0.4">
      <c r="B15960" t="s">
        <v>7</v>
      </c>
      <c r="C15960" t="s">
        <v>2534</v>
      </c>
      <c r="D15960" s="7">
        <f>DATE(2019,4,8)</f>
        <v>43563</v>
      </c>
      <c r="E15960" s="8">
        <f t="shared" si="262"/>
        <v>2019</v>
      </c>
      <c r="F15960" t="s">
        <v>2535</v>
      </c>
      <c r="G15960" s="9">
        <v>493.8</v>
      </c>
      <c r="H15960" s="8">
        <v>28793</v>
      </c>
    </row>
    <row r="15961" spans="2:8" ht="15" customHeight="1" x14ac:dyDescent="0.4">
      <c r="B15961" t="s">
        <v>7</v>
      </c>
      <c r="C15961" t="s">
        <v>2534</v>
      </c>
      <c r="D15961" s="7">
        <f>DATE(2011,9,26)</f>
        <v>40812</v>
      </c>
      <c r="E15961" s="8">
        <f t="shared" si="262"/>
        <v>2011</v>
      </c>
      <c r="F15961" t="s">
        <v>2535</v>
      </c>
      <c r="G15961" s="9">
        <v>10797.95</v>
      </c>
      <c r="H15961" s="8">
        <v>10983</v>
      </c>
    </row>
    <row r="15962" spans="2:8" ht="15" customHeight="1" x14ac:dyDescent="0.4">
      <c r="B15962" s="3" t="s">
        <v>7</v>
      </c>
      <c r="C15962" s="3" t="s">
        <v>2534</v>
      </c>
      <c r="D15962" s="4">
        <f>DATE(2011,8,30)</f>
        <v>40785</v>
      </c>
      <c r="E15962" s="5">
        <f t="shared" si="262"/>
        <v>2011</v>
      </c>
      <c r="F15962" s="3" t="s">
        <v>2535</v>
      </c>
      <c r="G15962" s="6">
        <v>17029.400000000001</v>
      </c>
      <c r="H15962" s="5">
        <v>15671</v>
      </c>
    </row>
    <row r="15963" spans="2:8" ht="15" customHeight="1" x14ac:dyDescent="0.4">
      <c r="B15963" s="3" t="s">
        <v>7</v>
      </c>
      <c r="C15963" s="3" t="s">
        <v>2534</v>
      </c>
      <c r="D15963" s="4">
        <f>DATE(2011,9,29)</f>
        <v>40815</v>
      </c>
      <c r="E15963" s="5">
        <f t="shared" si="262"/>
        <v>2011</v>
      </c>
      <c r="F15963" s="3" t="s">
        <v>2535</v>
      </c>
      <c r="G15963" s="6">
        <v>3799.8</v>
      </c>
      <c r="H15963" s="5">
        <v>16051</v>
      </c>
    </row>
    <row r="15964" spans="2:8" ht="15" customHeight="1" x14ac:dyDescent="0.4">
      <c r="B15964" s="3" t="s">
        <v>7</v>
      </c>
      <c r="C15964" s="3" t="s">
        <v>2534</v>
      </c>
      <c r="D15964" s="4">
        <f>DATE(2012,4,13)</f>
        <v>41012</v>
      </c>
      <c r="E15964" s="5">
        <f t="shared" si="262"/>
        <v>2012</v>
      </c>
      <c r="F15964" s="3" t="s">
        <v>2535</v>
      </c>
      <c r="G15964" s="6">
        <v>2751.54</v>
      </c>
      <c r="H15964" s="5">
        <v>16918</v>
      </c>
    </row>
    <row r="15965" spans="2:8" ht="15" customHeight="1" x14ac:dyDescent="0.4">
      <c r="B15965" s="3" t="s">
        <v>7</v>
      </c>
      <c r="C15965" s="3" t="s">
        <v>2534</v>
      </c>
      <c r="D15965" s="4">
        <f>DATE(2013,1,31)</f>
        <v>41305</v>
      </c>
      <c r="E15965" s="5">
        <f t="shared" si="262"/>
        <v>2013</v>
      </c>
      <c r="F15965" s="3" t="s">
        <v>2535</v>
      </c>
      <c r="G15965" s="6">
        <v>35000</v>
      </c>
      <c r="H15965" s="5">
        <v>17918</v>
      </c>
    </row>
    <row r="15966" spans="2:8" ht="15" customHeight="1" x14ac:dyDescent="0.4">
      <c r="B15966" s="3" t="s">
        <v>7</v>
      </c>
      <c r="C15966" s="3" t="s">
        <v>2534</v>
      </c>
      <c r="D15966" s="4">
        <f>DATE(2013,2,12)</f>
        <v>41317</v>
      </c>
      <c r="E15966" s="5">
        <f t="shared" si="262"/>
        <v>2013</v>
      </c>
      <c r="F15966" s="3" t="s">
        <v>2535</v>
      </c>
      <c r="G15966" s="6">
        <v>110</v>
      </c>
      <c r="H15966" s="5">
        <v>18158</v>
      </c>
    </row>
    <row r="15967" spans="2:8" ht="15" customHeight="1" x14ac:dyDescent="0.4">
      <c r="B15967" s="3" t="s">
        <v>7</v>
      </c>
      <c r="C15967" s="3" t="s">
        <v>2534</v>
      </c>
      <c r="D15967" s="4">
        <f>DATE(2013,2,20)</f>
        <v>41325</v>
      </c>
      <c r="E15967" s="5">
        <f t="shared" si="262"/>
        <v>2013</v>
      </c>
      <c r="F15967" s="3" t="s">
        <v>2535</v>
      </c>
      <c r="G15967" s="6">
        <v>300</v>
      </c>
      <c r="H15967" s="5">
        <v>18162</v>
      </c>
    </row>
    <row r="15968" spans="2:8" ht="15" customHeight="1" x14ac:dyDescent="0.4">
      <c r="B15968" t="s">
        <v>7</v>
      </c>
      <c r="C15968" t="s">
        <v>2536</v>
      </c>
      <c r="D15968" s="7">
        <f>DATE(2015,7,8)</f>
        <v>42193</v>
      </c>
      <c r="E15968" s="8">
        <f t="shared" si="262"/>
        <v>2015</v>
      </c>
      <c r="F15968" t="s">
        <v>2537</v>
      </c>
      <c r="G15968" s="9">
        <v>46586.35</v>
      </c>
      <c r="H15968" s="8">
        <v>20758</v>
      </c>
    </row>
    <row r="15969" spans="2:8" ht="15" customHeight="1" x14ac:dyDescent="0.4">
      <c r="B15969" t="s">
        <v>7</v>
      </c>
      <c r="C15969" t="s">
        <v>2536</v>
      </c>
      <c r="D15969" s="7">
        <f>DATE(2015,7,8)</f>
        <v>42193</v>
      </c>
      <c r="E15969" s="8">
        <f t="shared" si="262"/>
        <v>2015</v>
      </c>
      <c r="F15969" t="s">
        <v>2537</v>
      </c>
      <c r="G15969" s="9">
        <v>38331.03</v>
      </c>
      <c r="H15969" s="8">
        <v>20704</v>
      </c>
    </row>
    <row r="15970" spans="2:8" ht="15" customHeight="1" x14ac:dyDescent="0.4">
      <c r="B15970" t="s">
        <v>7</v>
      </c>
      <c r="C15970" t="s">
        <v>2536</v>
      </c>
      <c r="D15970" s="7">
        <f>DATE(2015,7,8)</f>
        <v>42193</v>
      </c>
      <c r="E15970" s="8">
        <f t="shared" si="262"/>
        <v>2015</v>
      </c>
      <c r="F15970" t="s">
        <v>2537</v>
      </c>
      <c r="G15970" s="9">
        <v>55464.67</v>
      </c>
      <c r="H15970" s="8">
        <v>20912</v>
      </c>
    </row>
    <row r="15971" spans="2:8" ht="15" customHeight="1" x14ac:dyDescent="0.4">
      <c r="B15971" t="s">
        <v>7</v>
      </c>
      <c r="C15971" t="s">
        <v>2536</v>
      </c>
      <c r="D15971" s="7">
        <f>DATE(2015,7,8)</f>
        <v>42193</v>
      </c>
      <c r="E15971" s="8">
        <f t="shared" si="262"/>
        <v>2015</v>
      </c>
      <c r="F15971" t="s">
        <v>2537</v>
      </c>
      <c r="G15971" s="9">
        <v>11962.58</v>
      </c>
      <c r="H15971" s="8">
        <v>20914</v>
      </c>
    </row>
    <row r="15972" spans="2:8" ht="15" customHeight="1" x14ac:dyDescent="0.4">
      <c r="B15972" t="s">
        <v>7</v>
      </c>
      <c r="C15972" t="s">
        <v>2536</v>
      </c>
      <c r="D15972" s="7">
        <f>DATE(2015,7,8)</f>
        <v>42193</v>
      </c>
      <c r="E15972" s="8">
        <f t="shared" si="262"/>
        <v>2015</v>
      </c>
      <c r="F15972" t="s">
        <v>2537</v>
      </c>
      <c r="G15972" s="9">
        <v>10733.66</v>
      </c>
      <c r="H15972" s="8">
        <v>20916</v>
      </c>
    </row>
    <row r="15973" spans="2:8" ht="15" customHeight="1" x14ac:dyDescent="0.4">
      <c r="B15973" t="s">
        <v>7</v>
      </c>
      <c r="C15973" t="s">
        <v>2536</v>
      </c>
      <c r="D15973" s="7">
        <f>DATE(2016,5,20)</f>
        <v>42510</v>
      </c>
      <c r="E15973" s="8">
        <f t="shared" si="262"/>
        <v>2016</v>
      </c>
      <c r="F15973" t="s">
        <v>2537</v>
      </c>
      <c r="G15973" s="9">
        <v>53011.56</v>
      </c>
      <c r="H15973" s="8">
        <v>22297</v>
      </c>
    </row>
    <row r="15974" spans="2:8" ht="15" customHeight="1" x14ac:dyDescent="0.4">
      <c r="B15974" t="s">
        <v>7</v>
      </c>
      <c r="C15974" t="s">
        <v>2536</v>
      </c>
      <c r="D15974" s="7">
        <f>DATE(2017,5,1)</f>
        <v>42856</v>
      </c>
      <c r="E15974" s="8">
        <f t="shared" si="262"/>
        <v>2017</v>
      </c>
      <c r="F15974" t="s">
        <v>2537</v>
      </c>
      <c r="G15974" s="9">
        <v>59646.19</v>
      </c>
      <c r="H15974" s="8">
        <v>24420</v>
      </c>
    </row>
    <row r="15975" spans="2:8" ht="15" customHeight="1" x14ac:dyDescent="0.4">
      <c r="B15975" t="s">
        <v>7</v>
      </c>
      <c r="C15975" t="s">
        <v>2536</v>
      </c>
      <c r="D15975" s="7">
        <f>DATE(2018,5,1)</f>
        <v>43221</v>
      </c>
      <c r="E15975" s="8">
        <f t="shared" si="262"/>
        <v>2018</v>
      </c>
      <c r="F15975" t="s">
        <v>2537</v>
      </c>
      <c r="G15975" s="9">
        <v>50406.12</v>
      </c>
      <c r="H15975" s="8">
        <v>26642</v>
      </c>
    </row>
    <row r="15976" spans="2:8" ht="15" customHeight="1" x14ac:dyDescent="0.4">
      <c r="B15976" t="s">
        <v>7</v>
      </c>
      <c r="C15976" t="s">
        <v>2536</v>
      </c>
      <c r="D15976" s="7">
        <f>DATE(2015,2,27)</f>
        <v>42062</v>
      </c>
      <c r="E15976" s="8">
        <f t="shared" si="262"/>
        <v>2015</v>
      </c>
      <c r="F15976" t="s">
        <v>2537</v>
      </c>
      <c r="G15976" s="9">
        <v>768</v>
      </c>
      <c r="H15976" s="8">
        <v>5028</v>
      </c>
    </row>
    <row r="15977" spans="2:8" ht="15" customHeight="1" x14ac:dyDescent="0.4">
      <c r="B15977" t="s">
        <v>16</v>
      </c>
      <c r="C15977" t="s">
        <v>2536</v>
      </c>
      <c r="D15977" s="7">
        <f>DATE(2016,6,14)</f>
        <v>42535</v>
      </c>
      <c r="E15977" s="8">
        <f t="shared" si="262"/>
        <v>2016</v>
      </c>
      <c r="F15977" t="s">
        <v>2537</v>
      </c>
      <c r="G15977" s="9">
        <v>114.1</v>
      </c>
      <c r="H15977" s="8">
        <v>23004</v>
      </c>
    </row>
    <row r="15978" spans="2:8" ht="15" customHeight="1" x14ac:dyDescent="0.4">
      <c r="B15978" t="s">
        <v>7</v>
      </c>
      <c r="C15978" t="s">
        <v>2536</v>
      </c>
      <c r="D15978" s="7">
        <f>DATE(2014,11,11)</f>
        <v>41954</v>
      </c>
      <c r="E15978" s="8">
        <f t="shared" si="262"/>
        <v>2014</v>
      </c>
      <c r="F15978" t="s">
        <v>2537</v>
      </c>
      <c r="G15978" s="9">
        <v>2012</v>
      </c>
      <c r="H15978" s="8">
        <v>13556</v>
      </c>
    </row>
    <row r="15979" spans="2:8" ht="15" customHeight="1" x14ac:dyDescent="0.4">
      <c r="B15979" s="3" t="s">
        <v>7</v>
      </c>
      <c r="C15979" s="3" t="s">
        <v>2536</v>
      </c>
      <c r="D15979" s="4">
        <f>DATE(2004,3,16)</f>
        <v>38062</v>
      </c>
      <c r="E15979" s="5">
        <f t="shared" si="262"/>
        <v>2004</v>
      </c>
      <c r="F15979" s="3" t="s">
        <v>2537</v>
      </c>
      <c r="G15979" s="6">
        <v>11090</v>
      </c>
      <c r="H15979" s="5">
        <v>2359</v>
      </c>
    </row>
    <row r="15980" spans="2:8" ht="15" customHeight="1" x14ac:dyDescent="0.4">
      <c r="B15980" s="3" t="s">
        <v>7</v>
      </c>
      <c r="C15980" s="3" t="s">
        <v>2536</v>
      </c>
      <c r="D15980" s="4">
        <f>DATE(2009,1,29)</f>
        <v>39842</v>
      </c>
      <c r="E15980" s="5">
        <f t="shared" si="262"/>
        <v>2009</v>
      </c>
      <c r="F15980" s="3" t="s">
        <v>2537</v>
      </c>
      <c r="G15980" s="6">
        <v>16485</v>
      </c>
      <c r="H15980" s="5">
        <v>11890</v>
      </c>
    </row>
    <row r="15981" spans="2:8" ht="15" customHeight="1" x14ac:dyDescent="0.4">
      <c r="B15981" t="s">
        <v>7</v>
      </c>
      <c r="C15981" t="s">
        <v>2538</v>
      </c>
      <c r="D15981" s="7">
        <f>DATE(2016,6,2)</f>
        <v>42523</v>
      </c>
      <c r="E15981" s="8">
        <f t="shared" si="262"/>
        <v>2016</v>
      </c>
      <c r="F15981" t="s">
        <v>2539</v>
      </c>
      <c r="G15981" s="9">
        <v>5943.26</v>
      </c>
      <c r="H15981" s="8">
        <v>22891</v>
      </c>
    </row>
    <row r="15982" spans="2:8" ht="15" customHeight="1" x14ac:dyDescent="0.4">
      <c r="B15982" t="s">
        <v>7</v>
      </c>
      <c r="C15982" t="s">
        <v>2540</v>
      </c>
      <c r="D15982" s="7">
        <f>DATE(2013,3,26)</f>
        <v>41359</v>
      </c>
      <c r="E15982" s="8">
        <f t="shared" si="262"/>
        <v>2013</v>
      </c>
      <c r="F15982" t="s">
        <v>2541</v>
      </c>
      <c r="G15982" s="9">
        <v>7193.49</v>
      </c>
      <c r="H15982" s="8">
        <v>12156</v>
      </c>
    </row>
    <row r="15983" spans="2:8" ht="15" customHeight="1" x14ac:dyDescent="0.4">
      <c r="B15983" t="s">
        <v>7</v>
      </c>
      <c r="C15983" t="s">
        <v>2540</v>
      </c>
      <c r="D15983" s="7">
        <f>DATE(2003,1,15)</f>
        <v>37636</v>
      </c>
      <c r="E15983" s="8">
        <f t="shared" si="262"/>
        <v>2003</v>
      </c>
      <c r="F15983" t="s">
        <v>2541</v>
      </c>
      <c r="G15983" s="9">
        <v>5660.97</v>
      </c>
      <c r="H15983" s="8">
        <v>66</v>
      </c>
    </row>
    <row r="15984" spans="2:8" ht="15" customHeight="1" x14ac:dyDescent="0.4">
      <c r="B15984" t="s">
        <v>7</v>
      </c>
      <c r="C15984" t="s">
        <v>2540</v>
      </c>
      <c r="D15984" s="7">
        <f>DATE(2003,2,19)</f>
        <v>37671</v>
      </c>
      <c r="E15984" s="8">
        <f t="shared" si="262"/>
        <v>2003</v>
      </c>
      <c r="F15984" t="s">
        <v>2541</v>
      </c>
      <c r="G15984" s="9">
        <v>1181.52</v>
      </c>
      <c r="H15984" s="8">
        <v>287</v>
      </c>
    </row>
    <row r="15985" spans="2:8" ht="15" customHeight="1" x14ac:dyDescent="0.4">
      <c r="B15985" t="s">
        <v>7</v>
      </c>
      <c r="C15985" t="s">
        <v>2540</v>
      </c>
      <c r="D15985" s="7">
        <f>DATE(2003,8,31)</f>
        <v>37864</v>
      </c>
      <c r="E15985" s="8">
        <f t="shared" si="262"/>
        <v>2003</v>
      </c>
      <c r="F15985" t="s">
        <v>2541</v>
      </c>
      <c r="G15985" s="9">
        <v>6362.27</v>
      </c>
      <c r="H15985" s="8">
        <v>827</v>
      </c>
    </row>
    <row r="15986" spans="2:8" ht="15" customHeight="1" x14ac:dyDescent="0.4">
      <c r="B15986" t="s">
        <v>7</v>
      </c>
      <c r="C15986" t="s">
        <v>2540</v>
      </c>
      <c r="D15986" s="7">
        <f>DATE(2004,1,2)</f>
        <v>37988</v>
      </c>
      <c r="E15986" s="8">
        <f t="shared" si="262"/>
        <v>2004</v>
      </c>
      <c r="F15986" t="s">
        <v>2541</v>
      </c>
      <c r="G15986" s="9">
        <v>5000</v>
      </c>
      <c r="H15986" s="8">
        <v>799</v>
      </c>
    </row>
    <row r="15987" spans="2:8" ht="15" customHeight="1" x14ac:dyDescent="0.4">
      <c r="B15987" t="s">
        <v>7</v>
      </c>
      <c r="C15987" t="s">
        <v>2540</v>
      </c>
      <c r="D15987" s="7">
        <f>DATE(2004,1,9)</f>
        <v>37995</v>
      </c>
      <c r="E15987" s="8">
        <f t="shared" si="262"/>
        <v>2004</v>
      </c>
      <c r="F15987" t="s">
        <v>2541</v>
      </c>
      <c r="G15987" s="9">
        <v>391</v>
      </c>
      <c r="H15987" s="8">
        <v>1126</v>
      </c>
    </row>
    <row r="15988" spans="2:8" ht="15" customHeight="1" x14ac:dyDescent="0.4">
      <c r="B15988" t="s">
        <v>7</v>
      </c>
      <c r="C15988" t="s">
        <v>2540</v>
      </c>
      <c r="D15988" s="7">
        <f>DATE(2004,2,10)</f>
        <v>38027</v>
      </c>
      <c r="E15988" s="8">
        <f t="shared" si="262"/>
        <v>2004</v>
      </c>
      <c r="F15988" t="s">
        <v>2541</v>
      </c>
      <c r="G15988" s="9">
        <v>210.48</v>
      </c>
      <c r="H15988" s="8">
        <v>1481</v>
      </c>
    </row>
    <row r="15989" spans="2:8" ht="15" customHeight="1" x14ac:dyDescent="0.4">
      <c r="B15989" t="s">
        <v>7</v>
      </c>
      <c r="C15989" t="s">
        <v>2540</v>
      </c>
      <c r="D15989" s="7">
        <f>DATE(2010,1,25)</f>
        <v>40203</v>
      </c>
      <c r="E15989" s="8">
        <f t="shared" si="262"/>
        <v>2010</v>
      </c>
      <c r="F15989" t="s">
        <v>2541</v>
      </c>
      <c r="G15989" s="9">
        <v>31307.22</v>
      </c>
      <c r="H15989" s="8">
        <v>9385</v>
      </c>
    </row>
    <row r="15990" spans="2:8" ht="15" customHeight="1" x14ac:dyDescent="0.4">
      <c r="B15990" t="s">
        <v>7</v>
      </c>
      <c r="C15990" t="s">
        <v>2540</v>
      </c>
      <c r="D15990" s="7">
        <f>DATE(2011,3,15)</f>
        <v>40617</v>
      </c>
      <c r="E15990" s="8">
        <f t="shared" si="262"/>
        <v>2011</v>
      </c>
      <c r="F15990" t="s">
        <v>2541</v>
      </c>
      <c r="G15990" s="9">
        <v>182940.96</v>
      </c>
      <c r="H15990" s="8">
        <v>10348</v>
      </c>
    </row>
    <row r="15991" spans="2:8" ht="15" customHeight="1" x14ac:dyDescent="0.4">
      <c r="B15991" t="s">
        <v>7</v>
      </c>
      <c r="C15991" t="s">
        <v>2540</v>
      </c>
      <c r="D15991" s="7">
        <f>DATE(2012,8,22)</f>
        <v>41143</v>
      </c>
      <c r="E15991" s="8">
        <f t="shared" si="262"/>
        <v>2012</v>
      </c>
      <c r="F15991" t="s">
        <v>2541</v>
      </c>
      <c r="G15991" s="9">
        <v>6885.29</v>
      </c>
      <c r="H15991" s="8">
        <v>11799</v>
      </c>
    </row>
    <row r="15992" spans="2:8" ht="15" customHeight="1" x14ac:dyDescent="0.4">
      <c r="B15992" t="s">
        <v>7</v>
      </c>
      <c r="C15992" t="s">
        <v>2540</v>
      </c>
      <c r="D15992" s="7">
        <f>DATE(2013,5,9)</f>
        <v>41403</v>
      </c>
      <c r="E15992" s="8">
        <f t="shared" si="262"/>
        <v>2013</v>
      </c>
      <c r="F15992" t="s">
        <v>2541</v>
      </c>
      <c r="G15992" s="9">
        <v>8400.23</v>
      </c>
      <c r="H15992" s="8">
        <v>12436</v>
      </c>
    </row>
    <row r="15993" spans="2:8" ht="15" customHeight="1" x14ac:dyDescent="0.4">
      <c r="B15993" t="s">
        <v>7</v>
      </c>
      <c r="C15993" t="s">
        <v>2540</v>
      </c>
      <c r="D15993" s="7">
        <f>DATE(2013,10,8)</f>
        <v>41555</v>
      </c>
      <c r="E15993" s="8">
        <f t="shared" si="262"/>
        <v>2013</v>
      </c>
      <c r="F15993" t="s">
        <v>2541</v>
      </c>
      <c r="G15993" s="9">
        <v>26425.73</v>
      </c>
      <c r="H15993" s="8">
        <v>12692</v>
      </c>
    </row>
    <row r="15994" spans="2:8" ht="15" customHeight="1" x14ac:dyDescent="0.4">
      <c r="B15994" t="s">
        <v>7</v>
      </c>
      <c r="C15994" t="s">
        <v>2540</v>
      </c>
      <c r="D15994" s="7">
        <f>DATE(2014,5,12)</f>
        <v>41771</v>
      </c>
      <c r="E15994" s="8">
        <f t="shared" si="262"/>
        <v>2014</v>
      </c>
      <c r="F15994" t="s">
        <v>2541</v>
      </c>
      <c r="G15994" s="9">
        <v>5797.87</v>
      </c>
      <c r="H15994" s="8">
        <v>13163</v>
      </c>
    </row>
    <row r="15995" spans="2:8" ht="15" customHeight="1" x14ac:dyDescent="0.4">
      <c r="B15995" s="3" t="s">
        <v>7</v>
      </c>
      <c r="C15995" s="3" t="s">
        <v>2540</v>
      </c>
      <c r="D15995" s="4">
        <f>DATE(2003,1,15)</f>
        <v>37636</v>
      </c>
      <c r="E15995" s="5">
        <f t="shared" si="262"/>
        <v>2003</v>
      </c>
      <c r="F15995" s="3" t="s">
        <v>2541</v>
      </c>
      <c r="G15995" s="6">
        <v>128</v>
      </c>
      <c r="H15995" s="5">
        <v>59</v>
      </c>
    </row>
    <row r="15996" spans="2:8" ht="15" customHeight="1" x14ac:dyDescent="0.4">
      <c r="B15996" s="3" t="s">
        <v>7</v>
      </c>
      <c r="C15996" s="3" t="s">
        <v>2540</v>
      </c>
      <c r="D15996" s="4">
        <f>DATE(2003,7,30)</f>
        <v>37832</v>
      </c>
      <c r="E15996" s="5">
        <f t="shared" si="262"/>
        <v>2003</v>
      </c>
      <c r="F15996" s="3" t="s">
        <v>2541</v>
      </c>
      <c r="G15996" s="6">
        <v>25138.21</v>
      </c>
      <c r="H15996" s="5">
        <v>1158</v>
      </c>
    </row>
    <row r="15997" spans="2:8" ht="15" customHeight="1" x14ac:dyDescent="0.4">
      <c r="B15997" s="3" t="s">
        <v>7</v>
      </c>
      <c r="C15997" s="3" t="s">
        <v>2540</v>
      </c>
      <c r="D15997" s="4">
        <f>DATE(2004,12,29)</f>
        <v>38350</v>
      </c>
      <c r="E15997" s="5">
        <f t="shared" si="262"/>
        <v>2004</v>
      </c>
      <c r="F15997" s="3" t="s">
        <v>2541</v>
      </c>
      <c r="G15997" s="6">
        <v>22000</v>
      </c>
      <c r="H15997" s="5">
        <v>3534</v>
      </c>
    </row>
    <row r="15998" spans="2:8" ht="15" customHeight="1" x14ac:dyDescent="0.4">
      <c r="B15998" s="3" t="s">
        <v>7</v>
      </c>
      <c r="C15998" s="3" t="s">
        <v>2540</v>
      </c>
      <c r="D15998" s="4">
        <f>DATE(2010,12,22)</f>
        <v>40534</v>
      </c>
      <c r="E15998" s="5">
        <f t="shared" si="262"/>
        <v>2010</v>
      </c>
      <c r="F15998" s="3" t="s">
        <v>2541</v>
      </c>
      <c r="G15998" s="6">
        <v>384500</v>
      </c>
      <c r="H15998" s="5">
        <v>14744</v>
      </c>
    </row>
    <row r="15999" spans="2:8" ht="15" customHeight="1" x14ac:dyDescent="0.4">
      <c r="B15999" s="3" t="s">
        <v>7</v>
      </c>
      <c r="C15999" s="3" t="s">
        <v>2540</v>
      </c>
      <c r="D15999" s="4">
        <f>DATE(2011,2,8)</f>
        <v>40582</v>
      </c>
      <c r="E15999" s="5">
        <f t="shared" si="262"/>
        <v>2011</v>
      </c>
      <c r="F15999" s="3" t="s">
        <v>2541</v>
      </c>
      <c r="G15999" s="6">
        <v>116936.57</v>
      </c>
      <c r="H15999" s="5">
        <v>14744</v>
      </c>
    </row>
    <row r="16000" spans="2:8" ht="15" customHeight="1" x14ac:dyDescent="0.4">
      <c r="B16000" s="3" t="s">
        <v>7</v>
      </c>
      <c r="C16000" s="3" t="s">
        <v>2540</v>
      </c>
      <c r="D16000" s="4">
        <f>DATE(2011,2,21)</f>
        <v>40595</v>
      </c>
      <c r="E16000" s="5">
        <f t="shared" si="262"/>
        <v>2011</v>
      </c>
      <c r="F16000" s="3" t="s">
        <v>2541</v>
      </c>
      <c r="G16000" s="6">
        <v>46600</v>
      </c>
      <c r="H16000" s="5">
        <v>15109</v>
      </c>
    </row>
    <row r="16001" spans="2:8" ht="15" customHeight="1" x14ac:dyDescent="0.4">
      <c r="B16001" s="3" t="s">
        <v>7</v>
      </c>
      <c r="C16001" s="3" t="s">
        <v>2540</v>
      </c>
      <c r="D16001" s="4">
        <f>DATE(2011,2,23)</f>
        <v>40597</v>
      </c>
      <c r="E16001" s="5">
        <f t="shared" si="262"/>
        <v>2011</v>
      </c>
      <c r="F16001" s="3" t="s">
        <v>2541</v>
      </c>
      <c r="G16001" s="6">
        <v>27960</v>
      </c>
      <c r="H16001" s="5">
        <v>15121</v>
      </c>
    </row>
    <row r="16002" spans="2:8" ht="15" customHeight="1" x14ac:dyDescent="0.4">
      <c r="B16002" s="3" t="s">
        <v>7</v>
      </c>
      <c r="C16002" s="3" t="s">
        <v>2540</v>
      </c>
      <c r="D16002" s="4">
        <f>DATE(2011,2,23)</f>
        <v>40597</v>
      </c>
      <c r="E16002" s="5">
        <f t="shared" si="262"/>
        <v>2011</v>
      </c>
      <c r="F16002" s="3" t="s">
        <v>2541</v>
      </c>
      <c r="G16002" s="6">
        <v>34950</v>
      </c>
      <c r="H16002" s="5">
        <v>15121</v>
      </c>
    </row>
    <row r="16003" spans="2:8" ht="15" customHeight="1" x14ac:dyDescent="0.4">
      <c r="B16003" s="3" t="s">
        <v>7</v>
      </c>
      <c r="C16003" s="3" t="s">
        <v>2540</v>
      </c>
      <c r="D16003" s="4">
        <f>DATE(2011,2,24)</f>
        <v>40598</v>
      </c>
      <c r="E16003" s="5">
        <f t="shared" ref="E16003:E16066" si="263">YEAR(D16003)</f>
        <v>2011</v>
      </c>
      <c r="F16003" s="3" t="s">
        <v>2541</v>
      </c>
      <c r="G16003" s="6">
        <v>30290</v>
      </c>
      <c r="H16003" s="5">
        <v>15121</v>
      </c>
    </row>
    <row r="16004" spans="2:8" ht="15" customHeight="1" x14ac:dyDescent="0.4">
      <c r="B16004" s="3" t="s">
        <v>7</v>
      </c>
      <c r="C16004" s="3" t="s">
        <v>2540</v>
      </c>
      <c r="D16004" s="4">
        <f>DATE(2013,2,13)</f>
        <v>41318</v>
      </c>
      <c r="E16004" s="5">
        <f t="shared" si="263"/>
        <v>2013</v>
      </c>
      <c r="F16004" s="3" t="s">
        <v>2541</v>
      </c>
      <c r="G16004" s="6">
        <v>86</v>
      </c>
      <c r="H16004" s="5">
        <v>18089</v>
      </c>
    </row>
    <row r="16005" spans="2:8" ht="15" customHeight="1" x14ac:dyDescent="0.4">
      <c r="B16005" t="s">
        <v>7</v>
      </c>
      <c r="C16005" t="s">
        <v>1683</v>
      </c>
      <c r="D16005" s="7">
        <f>DATE(2015,3,13)</f>
        <v>42076</v>
      </c>
      <c r="E16005" s="8">
        <f t="shared" si="263"/>
        <v>2015</v>
      </c>
      <c r="F16005" t="s">
        <v>2542</v>
      </c>
      <c r="G16005" s="9">
        <v>15750</v>
      </c>
      <c r="H16005" s="8">
        <v>355</v>
      </c>
    </row>
    <row r="16006" spans="2:8" ht="15" customHeight="1" x14ac:dyDescent="0.4">
      <c r="B16006" t="s">
        <v>7</v>
      </c>
      <c r="C16006" t="s">
        <v>1683</v>
      </c>
      <c r="D16006" s="7">
        <f>DATE(2015,5,5)</f>
        <v>42129</v>
      </c>
      <c r="E16006" s="8">
        <f t="shared" si="263"/>
        <v>2015</v>
      </c>
      <c r="F16006" t="s">
        <v>2542</v>
      </c>
      <c r="G16006" s="9">
        <v>15750</v>
      </c>
      <c r="H16006" s="8">
        <v>430</v>
      </c>
    </row>
    <row r="16007" spans="2:8" ht="15" customHeight="1" x14ac:dyDescent="0.4">
      <c r="B16007" s="3" t="s">
        <v>7</v>
      </c>
      <c r="C16007" s="3" t="s">
        <v>1683</v>
      </c>
      <c r="D16007" s="4">
        <f>DATE(2003,3,17)</f>
        <v>37697</v>
      </c>
      <c r="E16007" s="5">
        <f t="shared" si="263"/>
        <v>2003</v>
      </c>
      <c r="F16007" s="3" t="s">
        <v>2543</v>
      </c>
      <c r="G16007" s="6">
        <v>10350</v>
      </c>
      <c r="H16007" s="5">
        <v>496</v>
      </c>
    </row>
    <row r="16008" spans="2:8" ht="15" customHeight="1" x14ac:dyDescent="0.4">
      <c r="B16008" s="3" t="s">
        <v>7</v>
      </c>
      <c r="C16008" s="3" t="s">
        <v>1683</v>
      </c>
      <c r="D16008" s="4">
        <f>DATE(2003,8,20)</f>
        <v>37853</v>
      </c>
      <c r="E16008" s="5">
        <f t="shared" si="263"/>
        <v>2003</v>
      </c>
      <c r="F16008" s="3" t="s">
        <v>2543</v>
      </c>
      <c r="G16008" s="6">
        <v>13800</v>
      </c>
      <c r="H16008" s="5">
        <v>1369</v>
      </c>
    </row>
    <row r="16009" spans="2:8" ht="15" customHeight="1" x14ac:dyDescent="0.4">
      <c r="B16009" s="3" t="s">
        <v>7</v>
      </c>
      <c r="C16009" s="3" t="s">
        <v>1683</v>
      </c>
      <c r="D16009" s="4">
        <f>DATE(2012,4,12)</f>
        <v>41011</v>
      </c>
      <c r="E16009" s="5">
        <f t="shared" si="263"/>
        <v>2012</v>
      </c>
      <c r="F16009" s="3" t="s">
        <v>2543</v>
      </c>
      <c r="G16009" s="6">
        <v>400</v>
      </c>
      <c r="H16009" s="5">
        <v>16907</v>
      </c>
    </row>
    <row r="16010" spans="2:8" ht="15" customHeight="1" x14ac:dyDescent="0.4">
      <c r="B16010" s="3" t="s">
        <v>7</v>
      </c>
      <c r="C16010" s="3" t="s">
        <v>2544</v>
      </c>
      <c r="D16010" s="4">
        <f>DATE(2003,9,12)</f>
        <v>37876</v>
      </c>
      <c r="E16010" s="5">
        <f t="shared" si="263"/>
        <v>2003</v>
      </c>
      <c r="F16010" s="3" t="s">
        <v>2545</v>
      </c>
      <c r="G16010" s="6">
        <v>83775.38</v>
      </c>
      <c r="H16010" s="5">
        <v>19</v>
      </c>
    </row>
    <row r="16011" spans="2:8" ht="15" customHeight="1" x14ac:dyDescent="0.4">
      <c r="B16011" t="s">
        <v>7</v>
      </c>
      <c r="C16011" t="s">
        <v>2546</v>
      </c>
      <c r="D16011" s="7">
        <f>DATE(2015,4,17)</f>
        <v>42111</v>
      </c>
      <c r="E16011" s="8">
        <f t="shared" si="263"/>
        <v>2015</v>
      </c>
      <c r="F16011" t="s">
        <v>2547</v>
      </c>
      <c r="G16011" s="9">
        <v>76.5</v>
      </c>
      <c r="H16011" s="8">
        <v>20436</v>
      </c>
    </row>
    <row r="16012" spans="2:8" ht="15" customHeight="1" x14ac:dyDescent="0.4">
      <c r="B16012" t="s">
        <v>7</v>
      </c>
      <c r="C16012" t="s">
        <v>2546</v>
      </c>
      <c r="D16012" s="7">
        <f>DATE(2015,5,11)</f>
        <v>42135</v>
      </c>
      <c r="E16012" s="8">
        <f t="shared" si="263"/>
        <v>2015</v>
      </c>
      <c r="F16012" t="s">
        <v>2547</v>
      </c>
      <c r="G16012" s="9">
        <v>142.5</v>
      </c>
      <c r="H16012" s="8">
        <v>20520</v>
      </c>
    </row>
    <row r="16013" spans="2:8" ht="15" customHeight="1" x14ac:dyDescent="0.4">
      <c r="B16013" t="s">
        <v>7</v>
      </c>
      <c r="C16013" t="s">
        <v>2546</v>
      </c>
      <c r="D16013" s="7">
        <f>DATE(2015,5,12)</f>
        <v>42136</v>
      </c>
      <c r="E16013" s="8">
        <f t="shared" si="263"/>
        <v>2015</v>
      </c>
      <c r="F16013" t="s">
        <v>2547</v>
      </c>
      <c r="G16013" s="9">
        <v>1165</v>
      </c>
      <c r="H16013" s="8">
        <v>20537</v>
      </c>
    </row>
    <row r="16014" spans="2:8" ht="15" customHeight="1" x14ac:dyDescent="0.4">
      <c r="B16014" t="s">
        <v>7</v>
      </c>
      <c r="C16014" t="s">
        <v>2546</v>
      </c>
      <c r="D16014" s="7">
        <f>DATE(2015,6,10)</f>
        <v>42165</v>
      </c>
      <c r="E16014" s="8">
        <f t="shared" si="263"/>
        <v>2015</v>
      </c>
      <c r="F16014" t="s">
        <v>2547</v>
      </c>
      <c r="G16014" s="9">
        <v>106.5</v>
      </c>
      <c r="H16014" s="8">
        <v>20707</v>
      </c>
    </row>
    <row r="16015" spans="2:8" ht="15" customHeight="1" x14ac:dyDescent="0.4">
      <c r="B16015" t="s">
        <v>7</v>
      </c>
      <c r="C16015" t="s">
        <v>2546</v>
      </c>
      <c r="D16015" s="7">
        <f>DATE(2015,7,27)</f>
        <v>42212</v>
      </c>
      <c r="E16015" s="8">
        <f t="shared" si="263"/>
        <v>2015</v>
      </c>
      <c r="F16015" t="s">
        <v>2547</v>
      </c>
      <c r="G16015" s="9">
        <v>79</v>
      </c>
      <c r="H16015" s="8">
        <v>20995</v>
      </c>
    </row>
    <row r="16016" spans="2:8" ht="15" customHeight="1" x14ac:dyDescent="0.4">
      <c r="B16016" t="s">
        <v>7</v>
      </c>
      <c r="C16016" t="s">
        <v>2546</v>
      </c>
      <c r="D16016" s="7">
        <f>DATE(2017,5,30)</f>
        <v>42885</v>
      </c>
      <c r="E16016" s="8">
        <f t="shared" si="263"/>
        <v>2017</v>
      </c>
      <c r="F16016" t="s">
        <v>2547</v>
      </c>
      <c r="G16016" s="9">
        <v>1167</v>
      </c>
      <c r="H16016" s="8">
        <v>24909</v>
      </c>
    </row>
    <row r="16017" spans="2:8" ht="15" customHeight="1" x14ac:dyDescent="0.4">
      <c r="B16017" t="s">
        <v>7</v>
      </c>
      <c r="C16017" t="s">
        <v>2546</v>
      </c>
      <c r="D16017" s="7">
        <f>DATE(2018,10,3)</f>
        <v>43376</v>
      </c>
      <c r="E16017" s="8">
        <f t="shared" si="263"/>
        <v>2018</v>
      </c>
      <c r="F16017" t="s">
        <v>2547</v>
      </c>
      <c r="G16017" s="9">
        <v>1150</v>
      </c>
      <c r="H16017" s="8">
        <v>27713</v>
      </c>
    </row>
    <row r="16018" spans="2:8" ht="15" customHeight="1" x14ac:dyDescent="0.4">
      <c r="B16018" t="s">
        <v>7</v>
      </c>
      <c r="C16018" t="s">
        <v>2546</v>
      </c>
      <c r="D16018" s="7">
        <f>DATE(2018,10,22)</f>
        <v>43395</v>
      </c>
      <c r="E16018" s="8">
        <f t="shared" si="263"/>
        <v>2018</v>
      </c>
      <c r="F16018" t="s">
        <v>2547</v>
      </c>
      <c r="G16018" s="9">
        <v>7718.44</v>
      </c>
      <c r="H16018" s="8">
        <v>27850</v>
      </c>
    </row>
    <row r="16019" spans="2:8" ht="15" customHeight="1" x14ac:dyDescent="0.4">
      <c r="B16019" t="s">
        <v>7</v>
      </c>
      <c r="C16019" t="s">
        <v>2546</v>
      </c>
      <c r="D16019" s="7">
        <f>DATE(2017,4,21)</f>
        <v>42846</v>
      </c>
      <c r="E16019" s="8">
        <f t="shared" si="263"/>
        <v>2017</v>
      </c>
      <c r="F16019" t="s">
        <v>2547</v>
      </c>
      <c r="G16019" s="9">
        <v>7701.15</v>
      </c>
      <c r="H16019" s="8">
        <v>24658</v>
      </c>
    </row>
    <row r="16020" spans="2:8" ht="15" customHeight="1" x14ac:dyDescent="0.4">
      <c r="B16020" t="s">
        <v>7</v>
      </c>
      <c r="C16020" t="s">
        <v>2546</v>
      </c>
      <c r="D16020" s="7">
        <f>DATE(2003,1,3)</f>
        <v>37624</v>
      </c>
      <c r="E16020" s="8">
        <f t="shared" si="263"/>
        <v>2003</v>
      </c>
      <c r="F16020" t="s">
        <v>2547</v>
      </c>
      <c r="G16020" s="9">
        <v>4354.8500000000004</v>
      </c>
      <c r="H16020" s="8">
        <v>39</v>
      </c>
    </row>
    <row r="16021" spans="2:8" ht="15" customHeight="1" x14ac:dyDescent="0.4">
      <c r="B16021" t="s">
        <v>7</v>
      </c>
      <c r="C16021" t="s">
        <v>2546</v>
      </c>
      <c r="D16021" s="7">
        <f>DATE(2003,2,19)</f>
        <v>37671</v>
      </c>
      <c r="E16021" s="8">
        <f t="shared" si="263"/>
        <v>2003</v>
      </c>
      <c r="F16021" t="s">
        <v>2547</v>
      </c>
      <c r="G16021" s="9">
        <v>5336.5</v>
      </c>
      <c r="H16021" s="8">
        <v>235</v>
      </c>
    </row>
    <row r="16022" spans="2:8" ht="15" customHeight="1" x14ac:dyDescent="0.4">
      <c r="B16022" t="s">
        <v>7</v>
      </c>
      <c r="C16022" t="s">
        <v>2546</v>
      </c>
      <c r="D16022" s="7">
        <f>DATE(2003,2,22)</f>
        <v>37674</v>
      </c>
      <c r="E16022" s="8">
        <f t="shared" si="263"/>
        <v>2003</v>
      </c>
      <c r="F16022" t="s">
        <v>2547</v>
      </c>
      <c r="G16022" s="9">
        <v>5067.5</v>
      </c>
      <c r="H16022" s="8">
        <v>236</v>
      </c>
    </row>
    <row r="16023" spans="2:8" ht="15" customHeight="1" x14ac:dyDescent="0.4">
      <c r="B16023" t="s">
        <v>7</v>
      </c>
      <c r="C16023" t="s">
        <v>2546</v>
      </c>
      <c r="D16023" s="7">
        <f>DATE(2006,5,12)</f>
        <v>38849</v>
      </c>
      <c r="E16023" s="8">
        <f t="shared" si="263"/>
        <v>2006</v>
      </c>
      <c r="F16023" t="s">
        <v>2547</v>
      </c>
      <c r="G16023" s="9">
        <v>25317.439999999999</v>
      </c>
      <c r="H16023" s="8">
        <v>4103</v>
      </c>
    </row>
    <row r="16024" spans="2:8" ht="15" customHeight="1" x14ac:dyDescent="0.4">
      <c r="B16024" t="s">
        <v>7</v>
      </c>
      <c r="C16024" t="s">
        <v>2546</v>
      </c>
      <c r="D16024" s="7">
        <f>DATE(2006,5,15)</f>
        <v>38852</v>
      </c>
      <c r="E16024" s="8">
        <f t="shared" si="263"/>
        <v>2006</v>
      </c>
      <c r="F16024" t="s">
        <v>2547</v>
      </c>
      <c r="G16024" s="9">
        <v>15379.5</v>
      </c>
      <c r="H16024" s="8">
        <v>3945</v>
      </c>
    </row>
    <row r="16025" spans="2:8" ht="15" customHeight="1" x14ac:dyDescent="0.4">
      <c r="B16025" s="3" t="s">
        <v>7</v>
      </c>
      <c r="C16025" s="3" t="s">
        <v>2546</v>
      </c>
      <c r="D16025" s="4">
        <f>DATE(2003,2,25)</f>
        <v>37677</v>
      </c>
      <c r="E16025" s="5">
        <f t="shared" si="263"/>
        <v>2003</v>
      </c>
      <c r="F16025" s="3" t="s">
        <v>2547</v>
      </c>
      <c r="G16025" s="6">
        <v>267</v>
      </c>
      <c r="H16025" s="5">
        <v>400</v>
      </c>
    </row>
    <row r="16026" spans="2:8" ht="15" customHeight="1" x14ac:dyDescent="0.4">
      <c r="B16026" s="3" t="s">
        <v>7</v>
      </c>
      <c r="C16026" s="3" t="s">
        <v>2546</v>
      </c>
      <c r="D16026" s="4">
        <f>DATE(2003,3,17)</f>
        <v>37697</v>
      </c>
      <c r="E16026" s="5">
        <f t="shared" si="263"/>
        <v>2003</v>
      </c>
      <c r="F16026" s="3" t="s">
        <v>2547</v>
      </c>
      <c r="G16026" s="6">
        <v>234</v>
      </c>
      <c r="H16026" s="5">
        <v>512</v>
      </c>
    </row>
    <row r="16027" spans="2:8" ht="15" customHeight="1" x14ac:dyDescent="0.4">
      <c r="B16027" s="3" t="s">
        <v>7</v>
      </c>
      <c r="C16027" s="3" t="s">
        <v>2546</v>
      </c>
      <c r="D16027" s="4">
        <f>DATE(2008,4,15)</f>
        <v>39553</v>
      </c>
      <c r="E16027" s="5">
        <f t="shared" si="263"/>
        <v>2008</v>
      </c>
      <c r="F16027" s="3" t="s">
        <v>2547</v>
      </c>
      <c r="G16027" s="6">
        <v>1900</v>
      </c>
      <c r="H16027" s="5">
        <v>10451</v>
      </c>
    </row>
    <row r="16028" spans="2:8" ht="15" customHeight="1" x14ac:dyDescent="0.4">
      <c r="B16028" s="3" t="s">
        <v>7</v>
      </c>
      <c r="C16028" s="3" t="s">
        <v>2546</v>
      </c>
      <c r="D16028" s="4">
        <f>DATE(2010,1,21)</f>
        <v>40199</v>
      </c>
      <c r="E16028" s="5">
        <f t="shared" si="263"/>
        <v>2010</v>
      </c>
      <c r="F16028" s="3" t="s">
        <v>2547</v>
      </c>
      <c r="G16028" s="6">
        <v>6080</v>
      </c>
      <c r="H16028" s="5">
        <v>13474</v>
      </c>
    </row>
    <row r="16029" spans="2:8" ht="15" customHeight="1" x14ac:dyDescent="0.4">
      <c r="B16029" s="3" t="s">
        <v>7</v>
      </c>
      <c r="C16029" s="3" t="s">
        <v>2546</v>
      </c>
      <c r="D16029" s="4">
        <f>DATE(2011,2,8)</f>
        <v>40582</v>
      </c>
      <c r="E16029" s="5">
        <f t="shared" si="263"/>
        <v>2011</v>
      </c>
      <c r="F16029" s="3" t="s">
        <v>2547</v>
      </c>
      <c r="G16029" s="6">
        <v>3040</v>
      </c>
      <c r="H16029" s="5">
        <v>15034</v>
      </c>
    </row>
    <row r="16030" spans="2:8" ht="15" customHeight="1" x14ac:dyDescent="0.4">
      <c r="B16030" s="3" t="s">
        <v>7</v>
      </c>
      <c r="C16030" s="3" t="s">
        <v>2546</v>
      </c>
      <c r="D16030" s="4">
        <f>DATE(2012,8,28)</f>
        <v>41149</v>
      </c>
      <c r="E16030" s="5">
        <f t="shared" si="263"/>
        <v>2012</v>
      </c>
      <c r="F16030" s="3" t="s">
        <v>2547</v>
      </c>
      <c r="G16030" s="6">
        <v>606.5</v>
      </c>
      <c r="H16030" s="5">
        <v>17519</v>
      </c>
    </row>
    <row r="16031" spans="2:8" ht="15" customHeight="1" x14ac:dyDescent="0.4">
      <c r="B16031" s="3" t="s">
        <v>7</v>
      </c>
      <c r="C16031" s="3" t="s">
        <v>2546</v>
      </c>
      <c r="D16031" s="4">
        <f>DATE(2012,9,10)</f>
        <v>41162</v>
      </c>
      <c r="E16031" s="5">
        <f t="shared" si="263"/>
        <v>2012</v>
      </c>
      <c r="F16031" s="3" t="s">
        <v>2547</v>
      </c>
      <c r="G16031" s="6">
        <v>200</v>
      </c>
      <c r="H16031" s="5">
        <v>17571</v>
      </c>
    </row>
    <row r="16032" spans="2:8" ht="15" customHeight="1" x14ac:dyDescent="0.4">
      <c r="B16032" s="3" t="s">
        <v>7</v>
      </c>
      <c r="C16032" s="3" t="s">
        <v>2546</v>
      </c>
      <c r="D16032" s="4">
        <f>DATE(2012,9,10)</f>
        <v>41162</v>
      </c>
      <c r="E16032" s="5">
        <f t="shared" si="263"/>
        <v>2012</v>
      </c>
      <c r="F16032" s="3" t="s">
        <v>2547</v>
      </c>
      <c r="G16032" s="6">
        <v>178</v>
      </c>
      <c r="H16032" s="5">
        <v>17549</v>
      </c>
    </row>
    <row r="16033" spans="2:8" ht="15" customHeight="1" x14ac:dyDescent="0.4">
      <c r="B16033" s="3" t="s">
        <v>7</v>
      </c>
      <c r="C16033" s="3" t="s">
        <v>2546</v>
      </c>
      <c r="D16033" s="4">
        <f>DATE(2012,9,20)</f>
        <v>41172</v>
      </c>
      <c r="E16033" s="5">
        <f t="shared" si="263"/>
        <v>2012</v>
      </c>
      <c r="F16033" s="3" t="s">
        <v>2547</v>
      </c>
      <c r="G16033" s="6">
        <v>370</v>
      </c>
      <c r="H16033" s="5">
        <v>17628</v>
      </c>
    </row>
    <row r="16034" spans="2:8" ht="15" customHeight="1" x14ac:dyDescent="0.4">
      <c r="B16034" s="3" t="s">
        <v>7</v>
      </c>
      <c r="C16034" s="3" t="s">
        <v>2546</v>
      </c>
      <c r="D16034" s="4">
        <f>DATE(2012,10,10)</f>
        <v>41192</v>
      </c>
      <c r="E16034" s="5">
        <f t="shared" si="263"/>
        <v>2012</v>
      </c>
      <c r="F16034" s="3" t="s">
        <v>2547</v>
      </c>
      <c r="G16034" s="6">
        <v>34</v>
      </c>
      <c r="H16034" s="5">
        <v>17693</v>
      </c>
    </row>
    <row r="16035" spans="2:8" ht="15" customHeight="1" x14ac:dyDescent="0.4">
      <c r="B16035" s="3" t="s">
        <v>7</v>
      </c>
      <c r="C16035" s="3" t="s">
        <v>2546</v>
      </c>
      <c r="D16035" s="4">
        <f>DATE(2012,12,18)</f>
        <v>41261</v>
      </c>
      <c r="E16035" s="5">
        <f t="shared" si="263"/>
        <v>2012</v>
      </c>
      <c r="F16035" s="3" t="s">
        <v>2547</v>
      </c>
      <c r="G16035" s="6">
        <v>3834</v>
      </c>
      <c r="H16035" s="5">
        <v>17915</v>
      </c>
    </row>
    <row r="16036" spans="2:8" ht="15" customHeight="1" x14ac:dyDescent="0.4">
      <c r="B16036" s="3" t="s">
        <v>7</v>
      </c>
      <c r="C16036" s="3" t="s">
        <v>2546</v>
      </c>
      <c r="D16036" s="4">
        <f>DATE(2013,1,21)</f>
        <v>41295</v>
      </c>
      <c r="E16036" s="5">
        <f t="shared" si="263"/>
        <v>2013</v>
      </c>
      <c r="F16036" s="3" t="s">
        <v>2547</v>
      </c>
      <c r="G16036" s="6">
        <v>246</v>
      </c>
      <c r="H16036" s="5">
        <v>17999</v>
      </c>
    </row>
    <row r="16037" spans="2:8" ht="15" customHeight="1" x14ac:dyDescent="0.4">
      <c r="B16037" t="s">
        <v>7</v>
      </c>
      <c r="C16037" t="s">
        <v>2548</v>
      </c>
      <c r="D16037" s="7">
        <f>DATE(2016,12,6)</f>
        <v>42710</v>
      </c>
      <c r="E16037" s="8">
        <f t="shared" si="263"/>
        <v>2016</v>
      </c>
      <c r="F16037" t="s">
        <v>2549</v>
      </c>
      <c r="G16037" s="9">
        <v>40.46</v>
      </c>
      <c r="H16037" s="8">
        <v>23745</v>
      </c>
    </row>
    <row r="16038" spans="2:8" ht="15" customHeight="1" x14ac:dyDescent="0.4">
      <c r="B16038" t="s">
        <v>7</v>
      </c>
      <c r="C16038" t="s">
        <v>2548</v>
      </c>
      <c r="D16038" s="7">
        <f>DATE(2017,1,25)</f>
        <v>42760</v>
      </c>
      <c r="E16038" s="8">
        <f t="shared" si="263"/>
        <v>2017</v>
      </c>
      <c r="F16038" t="s">
        <v>2549</v>
      </c>
      <c r="G16038" s="9">
        <v>32.32</v>
      </c>
      <c r="H16038" s="8">
        <v>24175</v>
      </c>
    </row>
    <row r="16039" spans="2:8" ht="15" customHeight="1" x14ac:dyDescent="0.4">
      <c r="B16039" t="s">
        <v>7</v>
      </c>
      <c r="C16039" t="s">
        <v>2550</v>
      </c>
      <c r="D16039" s="7">
        <f>DATE(2006,4,4)</f>
        <v>38811</v>
      </c>
      <c r="E16039" s="8">
        <f t="shared" si="263"/>
        <v>2006</v>
      </c>
      <c r="F16039" t="s">
        <v>2551</v>
      </c>
      <c r="G16039" s="9">
        <v>19541.75</v>
      </c>
      <c r="H16039" s="8">
        <v>4346</v>
      </c>
    </row>
    <row r="16040" spans="2:8" ht="15" customHeight="1" x14ac:dyDescent="0.4">
      <c r="B16040" t="s">
        <v>7</v>
      </c>
      <c r="C16040" t="s">
        <v>2550</v>
      </c>
      <c r="D16040" s="7">
        <f>DATE(2006,3,29)</f>
        <v>38805</v>
      </c>
      <c r="E16040" s="8">
        <f t="shared" si="263"/>
        <v>2006</v>
      </c>
      <c r="F16040" t="s">
        <v>2551</v>
      </c>
      <c r="G16040" s="9">
        <v>10854.07</v>
      </c>
      <c r="H16040" s="8">
        <v>4245</v>
      </c>
    </row>
    <row r="16041" spans="2:8" ht="15" customHeight="1" x14ac:dyDescent="0.4">
      <c r="B16041" s="3" t="s">
        <v>7</v>
      </c>
      <c r="C16041" s="3" t="s">
        <v>2552</v>
      </c>
      <c r="D16041" s="4">
        <f>DATE(2003,2,10)</f>
        <v>37662</v>
      </c>
      <c r="E16041" s="5">
        <f t="shared" si="263"/>
        <v>2003</v>
      </c>
      <c r="F16041" s="3" t="s">
        <v>2553</v>
      </c>
      <c r="G16041" s="6">
        <v>720</v>
      </c>
      <c r="H16041" s="5">
        <v>239</v>
      </c>
    </row>
    <row r="16042" spans="2:8" ht="15" customHeight="1" x14ac:dyDescent="0.4">
      <c r="B16042" s="3" t="s">
        <v>7</v>
      </c>
      <c r="C16042" s="3" t="s">
        <v>2552</v>
      </c>
      <c r="D16042" s="4">
        <f>DATE(2003,12,12)</f>
        <v>37967</v>
      </c>
      <c r="E16042" s="5">
        <f t="shared" si="263"/>
        <v>2003</v>
      </c>
      <c r="F16042" s="3" t="s">
        <v>2553</v>
      </c>
      <c r="G16042" s="6">
        <v>14950</v>
      </c>
      <c r="H16042" s="5">
        <v>1487</v>
      </c>
    </row>
    <row r="16043" spans="2:8" ht="15" customHeight="1" x14ac:dyDescent="0.4">
      <c r="B16043" s="3" t="s">
        <v>7</v>
      </c>
      <c r="C16043" s="3" t="s">
        <v>2552</v>
      </c>
      <c r="D16043" s="4">
        <f>DATE(2004,2,20)</f>
        <v>38037</v>
      </c>
      <c r="E16043" s="5">
        <f t="shared" si="263"/>
        <v>2004</v>
      </c>
      <c r="F16043" s="3" t="s">
        <v>2553</v>
      </c>
      <c r="G16043" s="6">
        <v>1100</v>
      </c>
      <c r="H16043" s="5">
        <v>2222</v>
      </c>
    </row>
    <row r="16044" spans="2:8" ht="15" customHeight="1" x14ac:dyDescent="0.4">
      <c r="B16044" s="3" t="s">
        <v>7</v>
      </c>
      <c r="C16044" s="3" t="s">
        <v>2552</v>
      </c>
      <c r="D16044" s="4">
        <f>DATE(2004,3,4)</f>
        <v>38050</v>
      </c>
      <c r="E16044" s="5">
        <f t="shared" si="263"/>
        <v>2004</v>
      </c>
      <c r="F16044" s="3" t="s">
        <v>2553</v>
      </c>
      <c r="G16044" s="6">
        <v>800</v>
      </c>
      <c r="H16044" s="5">
        <v>2319</v>
      </c>
    </row>
    <row r="16045" spans="2:8" ht="15" customHeight="1" x14ac:dyDescent="0.4">
      <c r="B16045" s="3" t="s">
        <v>7</v>
      </c>
      <c r="C16045" s="3" t="s">
        <v>2552</v>
      </c>
      <c r="D16045" s="4">
        <f>DATE(2005,1,21)</f>
        <v>38373</v>
      </c>
      <c r="E16045" s="5">
        <f t="shared" si="263"/>
        <v>2005</v>
      </c>
      <c r="F16045" s="3" t="s">
        <v>2553</v>
      </c>
      <c r="G16045" s="6">
        <v>19010</v>
      </c>
      <c r="H16045" s="5">
        <v>3966</v>
      </c>
    </row>
    <row r="16046" spans="2:8" ht="15" customHeight="1" x14ac:dyDescent="0.4">
      <c r="B16046" t="s">
        <v>7</v>
      </c>
      <c r="C16046" t="s">
        <v>2554</v>
      </c>
      <c r="D16046" s="7">
        <f>DATE(2015,6,3)</f>
        <v>42158</v>
      </c>
      <c r="E16046" s="8">
        <f t="shared" si="263"/>
        <v>2015</v>
      </c>
      <c r="F16046" t="s">
        <v>2555</v>
      </c>
      <c r="G16046" s="9">
        <v>47109.4</v>
      </c>
      <c r="H16046" s="8">
        <v>59</v>
      </c>
    </row>
    <row r="16047" spans="2:8" ht="15" customHeight="1" x14ac:dyDescent="0.4">
      <c r="B16047" t="s">
        <v>7</v>
      </c>
      <c r="C16047" t="s">
        <v>2554</v>
      </c>
      <c r="D16047" s="7">
        <f>DATE(2017,11,1)</f>
        <v>43040</v>
      </c>
      <c r="E16047" s="8">
        <f t="shared" si="263"/>
        <v>2017</v>
      </c>
      <c r="F16047" t="s">
        <v>2555</v>
      </c>
      <c r="G16047" s="9">
        <v>37457.85</v>
      </c>
      <c r="H16047" s="8">
        <v>24671</v>
      </c>
    </row>
    <row r="16048" spans="2:8" ht="15" customHeight="1" x14ac:dyDescent="0.4">
      <c r="B16048" t="s">
        <v>7</v>
      </c>
      <c r="C16048" t="s">
        <v>2554</v>
      </c>
      <c r="D16048" s="7">
        <f>DATE(2018,5,29)</f>
        <v>43249</v>
      </c>
      <c r="E16048" s="8">
        <f t="shared" si="263"/>
        <v>2018</v>
      </c>
      <c r="F16048" t="s">
        <v>2555</v>
      </c>
      <c r="G16048" s="9">
        <v>30996.93</v>
      </c>
      <c r="H16048" s="8">
        <v>26493</v>
      </c>
    </row>
    <row r="16049" spans="2:8" ht="15" customHeight="1" x14ac:dyDescent="0.4">
      <c r="B16049" t="s">
        <v>7</v>
      </c>
      <c r="C16049" t="s">
        <v>2554</v>
      </c>
      <c r="D16049" s="7">
        <f>DATE(2015,6,3)</f>
        <v>42158</v>
      </c>
      <c r="E16049" s="8">
        <f t="shared" si="263"/>
        <v>2015</v>
      </c>
      <c r="F16049" t="s">
        <v>2555</v>
      </c>
      <c r="G16049" s="9">
        <v>7000</v>
      </c>
      <c r="H16049" s="8">
        <v>20323</v>
      </c>
    </row>
    <row r="16050" spans="2:8" ht="15" customHeight="1" x14ac:dyDescent="0.4">
      <c r="B16050" t="s">
        <v>7</v>
      </c>
      <c r="C16050" t="s">
        <v>2554</v>
      </c>
      <c r="D16050" s="7">
        <f>DATE(2017,11,1)</f>
        <v>43040</v>
      </c>
      <c r="E16050" s="8">
        <f t="shared" si="263"/>
        <v>2017</v>
      </c>
      <c r="F16050" t="s">
        <v>2555</v>
      </c>
      <c r="G16050" s="9">
        <v>20641</v>
      </c>
      <c r="H16050" s="8">
        <v>24672</v>
      </c>
    </row>
    <row r="16051" spans="2:8" ht="15" customHeight="1" x14ac:dyDescent="0.4">
      <c r="B16051" t="s">
        <v>7</v>
      </c>
      <c r="C16051" t="s">
        <v>2554</v>
      </c>
      <c r="D16051" s="7">
        <f>DATE(2018,5,29)</f>
        <v>43249</v>
      </c>
      <c r="E16051" s="8">
        <f t="shared" si="263"/>
        <v>2018</v>
      </c>
      <c r="F16051" t="s">
        <v>2555</v>
      </c>
      <c r="G16051" s="9">
        <v>4500</v>
      </c>
      <c r="H16051" s="8">
        <v>26494</v>
      </c>
    </row>
    <row r="16052" spans="2:8" ht="15" customHeight="1" x14ac:dyDescent="0.4">
      <c r="B16052" t="s">
        <v>7</v>
      </c>
      <c r="C16052" t="s">
        <v>2554</v>
      </c>
      <c r="D16052" s="7">
        <f>DATE(2016,7,11)</f>
        <v>42562</v>
      </c>
      <c r="E16052" s="8">
        <f t="shared" si="263"/>
        <v>2016</v>
      </c>
      <c r="F16052" t="s">
        <v>2555</v>
      </c>
      <c r="G16052" s="9">
        <v>11025.52</v>
      </c>
      <c r="H16052" s="8">
        <v>23039</v>
      </c>
    </row>
    <row r="16053" spans="2:8" ht="15" customHeight="1" x14ac:dyDescent="0.4">
      <c r="B16053" t="s">
        <v>7</v>
      </c>
      <c r="C16053" t="s">
        <v>2554</v>
      </c>
      <c r="D16053" s="7">
        <f>DATE(2017,1,31)</f>
        <v>42766</v>
      </c>
      <c r="E16053" s="8">
        <f t="shared" si="263"/>
        <v>2017</v>
      </c>
      <c r="F16053" t="s">
        <v>2555</v>
      </c>
      <c r="G16053" s="9">
        <v>8176.94</v>
      </c>
      <c r="H16053" s="8">
        <v>24160</v>
      </c>
    </row>
    <row r="16054" spans="2:8" ht="15" customHeight="1" x14ac:dyDescent="0.4">
      <c r="B16054" t="s">
        <v>7</v>
      </c>
      <c r="C16054" t="s">
        <v>2554</v>
      </c>
      <c r="D16054" s="7">
        <f>DATE(2018,6,29)</f>
        <v>43280</v>
      </c>
      <c r="E16054" s="8">
        <f t="shared" si="263"/>
        <v>2018</v>
      </c>
      <c r="F16054" t="s">
        <v>2555</v>
      </c>
      <c r="G16054" s="9">
        <v>6477.58</v>
      </c>
      <c r="H16054" s="8">
        <v>27193</v>
      </c>
    </row>
    <row r="16055" spans="2:8" ht="15" customHeight="1" x14ac:dyDescent="0.4">
      <c r="B16055" t="s">
        <v>7</v>
      </c>
      <c r="C16055" t="s">
        <v>2554</v>
      </c>
      <c r="D16055" s="7">
        <f>DATE(2004,3,25)</f>
        <v>38071</v>
      </c>
      <c r="E16055" s="8">
        <f t="shared" si="263"/>
        <v>2004</v>
      </c>
      <c r="F16055" t="s">
        <v>2555</v>
      </c>
      <c r="G16055" s="9">
        <v>9258.5400000000009</v>
      </c>
      <c r="H16055" s="8">
        <v>1573</v>
      </c>
    </row>
    <row r="16056" spans="2:8" ht="15" customHeight="1" x14ac:dyDescent="0.4">
      <c r="B16056" t="s">
        <v>7</v>
      </c>
      <c r="C16056" t="s">
        <v>2554</v>
      </c>
      <c r="D16056" s="7">
        <f>DATE(2005,6,13)</f>
        <v>38516</v>
      </c>
      <c r="E16056" s="8">
        <f t="shared" si="263"/>
        <v>2005</v>
      </c>
      <c r="F16056" t="s">
        <v>2555</v>
      </c>
      <c r="G16056" s="9">
        <v>11528.77</v>
      </c>
      <c r="H16056" s="8">
        <v>3281</v>
      </c>
    </row>
    <row r="16057" spans="2:8" ht="15" customHeight="1" x14ac:dyDescent="0.4">
      <c r="B16057" t="s">
        <v>7</v>
      </c>
      <c r="C16057" t="s">
        <v>2554</v>
      </c>
      <c r="D16057" s="7">
        <f>DATE(2006,8,23)</f>
        <v>38952</v>
      </c>
      <c r="E16057" s="8">
        <f t="shared" si="263"/>
        <v>2006</v>
      </c>
      <c r="F16057" t="s">
        <v>2555</v>
      </c>
      <c r="G16057" s="9">
        <v>6011.06</v>
      </c>
      <c r="H16057" s="8">
        <v>4928</v>
      </c>
    </row>
    <row r="16058" spans="2:8" ht="15" customHeight="1" x14ac:dyDescent="0.4">
      <c r="B16058" t="s">
        <v>7</v>
      </c>
      <c r="C16058" t="s">
        <v>2554</v>
      </c>
      <c r="D16058" s="7">
        <f>DATE(2012,9,5)</f>
        <v>41157</v>
      </c>
      <c r="E16058" s="8">
        <f t="shared" si="263"/>
        <v>2012</v>
      </c>
      <c r="F16058" t="s">
        <v>2555</v>
      </c>
      <c r="G16058" s="9">
        <v>10640.15</v>
      </c>
      <c r="H16058" s="8">
        <v>11823</v>
      </c>
    </row>
    <row r="16059" spans="2:8" ht="15" customHeight="1" x14ac:dyDescent="0.4">
      <c r="B16059" t="s">
        <v>7</v>
      </c>
      <c r="C16059" t="s">
        <v>2554</v>
      </c>
      <c r="D16059" s="7">
        <f>DATE(2013,7,2)</f>
        <v>41457</v>
      </c>
      <c r="E16059" s="8">
        <f t="shared" si="263"/>
        <v>2013</v>
      </c>
      <c r="F16059" t="s">
        <v>2555</v>
      </c>
      <c r="G16059" s="9">
        <v>9124.75</v>
      </c>
      <c r="H16059" s="8">
        <v>12505</v>
      </c>
    </row>
    <row r="16060" spans="2:8" ht="15" customHeight="1" x14ac:dyDescent="0.4">
      <c r="B16060" t="s">
        <v>7</v>
      </c>
      <c r="C16060" t="s">
        <v>2554</v>
      </c>
      <c r="D16060" s="7">
        <f>DATE(2014,6,13)</f>
        <v>41803</v>
      </c>
      <c r="E16060" s="8">
        <f t="shared" si="263"/>
        <v>2014</v>
      </c>
      <c r="F16060" t="s">
        <v>2555</v>
      </c>
      <c r="G16060" s="9">
        <v>13109.03</v>
      </c>
      <c r="H16060" s="8">
        <v>13245</v>
      </c>
    </row>
    <row r="16061" spans="2:8" ht="15" customHeight="1" x14ac:dyDescent="0.4">
      <c r="B16061" t="s">
        <v>7</v>
      </c>
      <c r="C16061" t="s">
        <v>2554</v>
      </c>
      <c r="D16061" s="7">
        <f>DATE(2014,12,10)</f>
        <v>41983</v>
      </c>
      <c r="E16061" s="8">
        <f t="shared" si="263"/>
        <v>2014</v>
      </c>
      <c r="F16061" t="s">
        <v>2555</v>
      </c>
      <c r="G16061" s="9">
        <v>10936.87</v>
      </c>
      <c r="H16061" s="8">
        <v>13611</v>
      </c>
    </row>
    <row r="16062" spans="2:8" ht="15" customHeight="1" x14ac:dyDescent="0.4">
      <c r="B16062" s="3" t="s">
        <v>7</v>
      </c>
      <c r="C16062" s="3" t="s">
        <v>2554</v>
      </c>
      <c r="D16062" s="4">
        <f>DATE(2003,1,23)</f>
        <v>37644</v>
      </c>
      <c r="E16062" s="5">
        <f t="shared" si="263"/>
        <v>2003</v>
      </c>
      <c r="F16062" s="3" t="s">
        <v>2555</v>
      </c>
      <c r="G16062" s="6">
        <v>936</v>
      </c>
      <c r="H16062" s="5">
        <v>102</v>
      </c>
    </row>
    <row r="16063" spans="2:8" ht="15" customHeight="1" x14ac:dyDescent="0.4">
      <c r="B16063" s="3" t="s">
        <v>7</v>
      </c>
      <c r="C16063" s="3" t="s">
        <v>2554</v>
      </c>
      <c r="D16063" s="4">
        <f>DATE(2004,3,18)</f>
        <v>38064</v>
      </c>
      <c r="E16063" s="5">
        <f t="shared" si="263"/>
        <v>2004</v>
      </c>
      <c r="F16063" s="3" t="s">
        <v>2555</v>
      </c>
      <c r="G16063" s="6">
        <v>726</v>
      </c>
      <c r="H16063" s="5">
        <v>2427</v>
      </c>
    </row>
    <row r="16064" spans="2:8" ht="15" customHeight="1" x14ac:dyDescent="0.4">
      <c r="B16064" s="3" t="s">
        <v>7</v>
      </c>
      <c r="C16064" s="3" t="s">
        <v>2554</v>
      </c>
      <c r="D16064" s="4">
        <f>DATE(2004,3,23)</f>
        <v>38069</v>
      </c>
      <c r="E16064" s="5">
        <f t="shared" si="263"/>
        <v>2004</v>
      </c>
      <c r="F16064" s="3" t="s">
        <v>2555</v>
      </c>
      <c r="G16064" s="6">
        <v>1936</v>
      </c>
      <c r="H16064" s="5">
        <v>2454</v>
      </c>
    </row>
    <row r="16065" spans="2:8" ht="15" customHeight="1" x14ac:dyDescent="0.4">
      <c r="B16065" s="3" t="s">
        <v>7</v>
      </c>
      <c r="C16065" s="3" t="s">
        <v>2554</v>
      </c>
      <c r="D16065" s="4">
        <f>DATE(2004,9,10)</f>
        <v>38240</v>
      </c>
      <c r="E16065" s="5">
        <f t="shared" si="263"/>
        <v>2004</v>
      </c>
      <c r="F16065" s="3" t="s">
        <v>2555</v>
      </c>
      <c r="G16065" s="6">
        <v>367</v>
      </c>
      <c r="H16065" s="5">
        <v>3362</v>
      </c>
    </row>
    <row r="16066" spans="2:8" ht="15" customHeight="1" x14ac:dyDescent="0.4">
      <c r="B16066" s="3" t="s">
        <v>7</v>
      </c>
      <c r="C16066" s="3" t="s">
        <v>2554</v>
      </c>
      <c r="D16066" s="4">
        <f>DATE(2006,2,8)</f>
        <v>38756</v>
      </c>
      <c r="E16066" s="5">
        <f t="shared" si="263"/>
        <v>2006</v>
      </c>
      <c r="F16066" s="3" t="s">
        <v>2555</v>
      </c>
      <c r="G16066" s="6">
        <v>9500</v>
      </c>
      <c r="H16066" s="5">
        <v>5990</v>
      </c>
    </row>
    <row r="16067" spans="2:8" ht="15" customHeight="1" x14ac:dyDescent="0.4">
      <c r="B16067" s="3" t="s">
        <v>7</v>
      </c>
      <c r="C16067" s="3" t="s">
        <v>2554</v>
      </c>
      <c r="D16067" s="4">
        <f>DATE(2007,1,30)</f>
        <v>39112</v>
      </c>
      <c r="E16067" s="5">
        <f t="shared" ref="E16067:E16130" si="264">YEAR(D16067)</f>
        <v>2007</v>
      </c>
      <c r="F16067" s="3" t="s">
        <v>2555</v>
      </c>
      <c r="G16067" s="6">
        <v>443</v>
      </c>
      <c r="H16067" s="5">
        <v>7785</v>
      </c>
    </row>
    <row r="16068" spans="2:8" ht="15" customHeight="1" x14ac:dyDescent="0.4">
      <c r="B16068" s="3" t="s">
        <v>7</v>
      </c>
      <c r="C16068" s="3" t="s">
        <v>2554</v>
      </c>
      <c r="D16068" s="4">
        <f>DATE(2007,5,2)</f>
        <v>39204</v>
      </c>
      <c r="E16068" s="5">
        <f t="shared" si="264"/>
        <v>2007</v>
      </c>
      <c r="F16068" s="3" t="s">
        <v>2555</v>
      </c>
      <c r="G16068" s="6">
        <v>190</v>
      </c>
      <c r="H16068" s="5">
        <v>8500</v>
      </c>
    </row>
    <row r="16069" spans="2:8" ht="15" customHeight="1" x14ac:dyDescent="0.4">
      <c r="B16069" s="3" t="s">
        <v>7</v>
      </c>
      <c r="C16069" s="3" t="s">
        <v>2554</v>
      </c>
      <c r="D16069" s="4">
        <f>DATE(2007,6,15)</f>
        <v>39248</v>
      </c>
      <c r="E16069" s="5">
        <f t="shared" si="264"/>
        <v>2007</v>
      </c>
      <c r="F16069" s="3" t="s">
        <v>2555</v>
      </c>
      <c r="G16069" s="6">
        <v>190</v>
      </c>
      <c r="H16069" s="5">
        <v>8782</v>
      </c>
    </row>
    <row r="16070" spans="2:8" ht="15" customHeight="1" x14ac:dyDescent="0.4">
      <c r="B16070" s="3" t="s">
        <v>7</v>
      </c>
      <c r="C16070" s="3" t="s">
        <v>2554</v>
      </c>
      <c r="D16070" s="4">
        <f>DATE(2009,9,29)</f>
        <v>40085</v>
      </c>
      <c r="E16070" s="5">
        <f t="shared" si="264"/>
        <v>2009</v>
      </c>
      <c r="F16070" s="3" t="s">
        <v>2555</v>
      </c>
      <c r="G16070" s="6">
        <v>345.56</v>
      </c>
      <c r="H16070" s="5">
        <v>13050</v>
      </c>
    </row>
    <row r="16071" spans="2:8" ht="15" customHeight="1" x14ac:dyDescent="0.4">
      <c r="B16071" s="3" t="s">
        <v>7</v>
      </c>
      <c r="C16071" s="3" t="s">
        <v>2554</v>
      </c>
      <c r="D16071" s="4">
        <f>DATE(2009,9,29)</f>
        <v>40085</v>
      </c>
      <c r="E16071" s="5">
        <f t="shared" si="264"/>
        <v>2009</v>
      </c>
      <c r="F16071" s="3" t="s">
        <v>2555</v>
      </c>
      <c r="G16071" s="6">
        <v>345.56</v>
      </c>
      <c r="H16071" s="5">
        <v>13049</v>
      </c>
    </row>
    <row r="16072" spans="2:8" ht="15" customHeight="1" x14ac:dyDescent="0.4">
      <c r="B16072" t="s">
        <v>7</v>
      </c>
      <c r="C16072" t="s">
        <v>2556</v>
      </c>
      <c r="D16072" s="7">
        <f>DATE(2017,11,30)</f>
        <v>43069</v>
      </c>
      <c r="E16072" s="8">
        <f t="shared" si="264"/>
        <v>2017</v>
      </c>
      <c r="F16072" t="s">
        <v>2557</v>
      </c>
      <c r="G16072" s="9">
        <v>10152</v>
      </c>
      <c r="H16072" s="8">
        <v>25771</v>
      </c>
    </row>
    <row r="16073" spans="2:8" ht="15" customHeight="1" x14ac:dyDescent="0.4">
      <c r="B16073" t="s">
        <v>7</v>
      </c>
      <c r="C16073" t="s">
        <v>2556</v>
      </c>
      <c r="D16073" s="7">
        <f>DATE(2017,11,8)</f>
        <v>43047</v>
      </c>
      <c r="E16073" s="8">
        <f t="shared" si="264"/>
        <v>2017</v>
      </c>
      <c r="F16073" t="s">
        <v>2557</v>
      </c>
      <c r="G16073" s="9">
        <v>2874.95</v>
      </c>
      <c r="H16073" s="8">
        <v>25653</v>
      </c>
    </row>
    <row r="16074" spans="2:8" ht="15" customHeight="1" x14ac:dyDescent="0.4">
      <c r="B16074" t="s">
        <v>7</v>
      </c>
      <c r="C16074" t="s">
        <v>2556</v>
      </c>
      <c r="D16074" s="7">
        <f>DATE(2017,11,8)</f>
        <v>43047</v>
      </c>
      <c r="E16074" s="8">
        <f t="shared" si="264"/>
        <v>2017</v>
      </c>
      <c r="F16074" t="s">
        <v>2557</v>
      </c>
      <c r="G16074" s="9">
        <v>10400</v>
      </c>
      <c r="H16074" s="8">
        <v>25655</v>
      </c>
    </row>
    <row r="16075" spans="2:8" ht="15" customHeight="1" x14ac:dyDescent="0.4">
      <c r="B16075" t="s">
        <v>7</v>
      </c>
      <c r="C16075" t="s">
        <v>2556</v>
      </c>
      <c r="D16075" s="7">
        <f>DATE(2018,1,3)</f>
        <v>43103</v>
      </c>
      <c r="E16075" s="8">
        <f t="shared" si="264"/>
        <v>2018</v>
      </c>
      <c r="F16075" t="s">
        <v>2557</v>
      </c>
      <c r="G16075" s="9">
        <v>10400</v>
      </c>
      <c r="H16075" s="8">
        <v>26114</v>
      </c>
    </row>
    <row r="16076" spans="2:8" ht="15" customHeight="1" x14ac:dyDescent="0.4">
      <c r="B16076" t="s">
        <v>7</v>
      </c>
      <c r="C16076" t="s">
        <v>2556</v>
      </c>
      <c r="D16076" s="7">
        <f>DATE(2018,2,1)</f>
        <v>43132</v>
      </c>
      <c r="E16076" s="8">
        <f t="shared" si="264"/>
        <v>2018</v>
      </c>
      <c r="F16076" t="s">
        <v>2557</v>
      </c>
      <c r="G16076" s="9">
        <v>10400</v>
      </c>
      <c r="H16076" s="8">
        <v>26386</v>
      </c>
    </row>
    <row r="16077" spans="2:8" ht="15" customHeight="1" x14ac:dyDescent="0.4">
      <c r="B16077" t="s">
        <v>7</v>
      </c>
      <c r="C16077" t="s">
        <v>2556</v>
      </c>
      <c r="D16077" s="7">
        <f>DATE(2018,3,20)</f>
        <v>43179</v>
      </c>
      <c r="E16077" s="8">
        <f t="shared" si="264"/>
        <v>2018</v>
      </c>
      <c r="F16077" t="s">
        <v>2557</v>
      </c>
      <c r="G16077" s="9">
        <v>7517</v>
      </c>
      <c r="H16077" s="8">
        <v>26632</v>
      </c>
    </row>
    <row r="16078" spans="2:8" ht="15" customHeight="1" x14ac:dyDescent="0.4">
      <c r="B16078" t="s">
        <v>7</v>
      </c>
      <c r="C16078" t="s">
        <v>2556</v>
      </c>
      <c r="D16078" s="7">
        <f>DATE(2018,9,6)</f>
        <v>43349</v>
      </c>
      <c r="E16078" s="8">
        <f t="shared" si="264"/>
        <v>2018</v>
      </c>
      <c r="F16078" t="s">
        <v>2557</v>
      </c>
      <c r="G16078" s="9">
        <v>2715.4</v>
      </c>
      <c r="H16078" s="8">
        <v>27556</v>
      </c>
    </row>
    <row r="16079" spans="2:8" ht="15" customHeight="1" x14ac:dyDescent="0.4">
      <c r="B16079" t="s">
        <v>7</v>
      </c>
      <c r="C16079" t="s">
        <v>2556</v>
      </c>
      <c r="D16079" s="7">
        <f>DATE(2015,9,1)</f>
        <v>42248</v>
      </c>
      <c r="E16079" s="8">
        <f t="shared" si="264"/>
        <v>2015</v>
      </c>
      <c r="F16079" t="s">
        <v>2557</v>
      </c>
      <c r="G16079" s="9">
        <v>3309.9</v>
      </c>
      <c r="H16079" s="8">
        <v>21165</v>
      </c>
    </row>
    <row r="16080" spans="2:8" ht="15" customHeight="1" x14ac:dyDescent="0.4">
      <c r="B16080" t="s">
        <v>7</v>
      </c>
      <c r="C16080" t="s">
        <v>2556</v>
      </c>
      <c r="D16080" s="7">
        <f>DATE(2015,10,12)</f>
        <v>42289</v>
      </c>
      <c r="E16080" s="8">
        <f t="shared" si="264"/>
        <v>2015</v>
      </c>
      <c r="F16080" t="s">
        <v>2557</v>
      </c>
      <c r="G16080" s="9">
        <v>152.03</v>
      </c>
      <c r="H16080" s="8">
        <v>21404</v>
      </c>
    </row>
    <row r="16081" spans="2:8" ht="15" customHeight="1" x14ac:dyDescent="0.4">
      <c r="B16081" s="3" t="s">
        <v>7</v>
      </c>
      <c r="C16081" s="3" t="s">
        <v>2556</v>
      </c>
      <c r="D16081" s="4">
        <f>DATE(2012,6,14)</f>
        <v>41074</v>
      </c>
      <c r="E16081" s="5">
        <f t="shared" si="264"/>
        <v>2012</v>
      </c>
      <c r="F16081" s="3" t="s">
        <v>2557</v>
      </c>
      <c r="G16081" s="6">
        <v>30872.29</v>
      </c>
      <c r="H16081" s="5">
        <v>15062</v>
      </c>
    </row>
    <row r="16082" spans="2:8" ht="15" customHeight="1" x14ac:dyDescent="0.4">
      <c r="B16082" s="3" t="s">
        <v>7</v>
      </c>
      <c r="C16082" s="3" t="s">
        <v>2556</v>
      </c>
      <c r="D16082" s="4">
        <f>DATE(2012,7,3)</f>
        <v>41093</v>
      </c>
      <c r="E16082" s="5">
        <f t="shared" si="264"/>
        <v>2012</v>
      </c>
      <c r="F16082" s="3" t="s">
        <v>2557</v>
      </c>
      <c r="G16082" s="6">
        <v>5480.81</v>
      </c>
      <c r="H16082" s="5">
        <v>17234</v>
      </c>
    </row>
    <row r="16083" spans="2:8" ht="15" customHeight="1" x14ac:dyDescent="0.4">
      <c r="B16083" s="3" t="s">
        <v>7</v>
      </c>
      <c r="C16083" s="3" t="s">
        <v>2556</v>
      </c>
      <c r="D16083" s="4">
        <f>DATE(2012,9,17)</f>
        <v>41169</v>
      </c>
      <c r="E16083" s="5">
        <f t="shared" si="264"/>
        <v>2012</v>
      </c>
      <c r="F16083" s="3" t="s">
        <v>2557</v>
      </c>
      <c r="G16083" s="6">
        <v>623.38</v>
      </c>
      <c r="H16083" s="5">
        <v>17293</v>
      </c>
    </row>
    <row r="16084" spans="2:8" ht="15" customHeight="1" x14ac:dyDescent="0.4">
      <c r="B16084" s="3" t="s">
        <v>7</v>
      </c>
      <c r="C16084" s="3" t="s">
        <v>2556</v>
      </c>
      <c r="D16084" s="4">
        <f>DATE(2013,8,28)</f>
        <v>41514</v>
      </c>
      <c r="E16084" s="5">
        <f t="shared" si="264"/>
        <v>2013</v>
      </c>
      <c r="F16084" s="3" t="s">
        <v>2557</v>
      </c>
      <c r="G16084" s="6">
        <v>315.37</v>
      </c>
      <c r="H16084" s="5">
        <v>18890</v>
      </c>
    </row>
    <row r="16085" spans="2:8" ht="15" customHeight="1" x14ac:dyDescent="0.4">
      <c r="B16085" s="3" t="s">
        <v>7</v>
      </c>
      <c r="C16085" s="3" t="s">
        <v>2556</v>
      </c>
      <c r="D16085" s="4">
        <f>DATE(2014,11,4)</f>
        <v>41947</v>
      </c>
      <c r="E16085" s="5">
        <f t="shared" si="264"/>
        <v>2014</v>
      </c>
      <c r="F16085" s="3" t="s">
        <v>2557</v>
      </c>
      <c r="G16085" s="6">
        <v>2502.5</v>
      </c>
      <c r="H16085" s="5">
        <v>20559</v>
      </c>
    </row>
    <row r="16086" spans="2:8" ht="15" customHeight="1" x14ac:dyDescent="0.4">
      <c r="B16086" s="3" t="s">
        <v>7</v>
      </c>
      <c r="C16086" s="3" t="s">
        <v>2556</v>
      </c>
      <c r="D16086" s="4">
        <f>DATE(2014,12,10)</f>
        <v>41983</v>
      </c>
      <c r="E16086" s="5">
        <f t="shared" si="264"/>
        <v>2014</v>
      </c>
      <c r="F16086" s="3" t="s">
        <v>2557</v>
      </c>
      <c r="G16086" s="6">
        <v>2600.15</v>
      </c>
      <c r="H16086" s="5">
        <v>20702</v>
      </c>
    </row>
    <row r="16087" spans="2:8" ht="15" customHeight="1" x14ac:dyDescent="0.4">
      <c r="B16087" s="3" t="s">
        <v>16</v>
      </c>
      <c r="C16087" s="3" t="s">
        <v>2556</v>
      </c>
      <c r="D16087" s="4">
        <f>DATE(2013,1,9)</f>
        <v>41283</v>
      </c>
      <c r="E16087" s="5">
        <f t="shared" si="264"/>
        <v>2013</v>
      </c>
      <c r="F16087" s="3" t="s">
        <v>2557</v>
      </c>
      <c r="G16087" s="6">
        <v>5421.34</v>
      </c>
      <c r="H16087" s="5">
        <v>17979</v>
      </c>
    </row>
    <row r="16088" spans="2:8" ht="15" customHeight="1" x14ac:dyDescent="0.4">
      <c r="B16088" s="3" t="s">
        <v>7</v>
      </c>
      <c r="C16088" s="3" t="s">
        <v>2558</v>
      </c>
      <c r="D16088" s="4">
        <f>DATE(2009,3,30)</f>
        <v>39902</v>
      </c>
      <c r="E16088" s="5">
        <f t="shared" si="264"/>
        <v>2009</v>
      </c>
      <c r="F16088" s="3" t="s">
        <v>2559</v>
      </c>
      <c r="G16088" s="6">
        <v>75035.929999999993</v>
      </c>
      <c r="H16088" s="5">
        <v>3188</v>
      </c>
    </row>
    <row r="16089" spans="2:8" ht="15" customHeight="1" x14ac:dyDescent="0.4">
      <c r="B16089" t="s">
        <v>7</v>
      </c>
      <c r="C16089" t="s">
        <v>2560</v>
      </c>
      <c r="D16089" s="7">
        <f>DATE(2015,12,3)</f>
        <v>42341</v>
      </c>
      <c r="E16089" s="8">
        <f t="shared" si="264"/>
        <v>2015</v>
      </c>
      <c r="F16089" t="s">
        <v>2561</v>
      </c>
      <c r="G16089" s="9">
        <v>37037.620000000003</v>
      </c>
      <c r="H16089" s="8">
        <v>20946</v>
      </c>
    </row>
    <row r="16090" spans="2:8" ht="15" customHeight="1" x14ac:dyDescent="0.4">
      <c r="B16090" t="s">
        <v>7</v>
      </c>
      <c r="C16090" t="s">
        <v>2560</v>
      </c>
      <c r="D16090" s="7">
        <f>DATE(2016,2,29)</f>
        <v>42429</v>
      </c>
      <c r="E16090" s="8">
        <f t="shared" si="264"/>
        <v>2016</v>
      </c>
      <c r="F16090" t="s">
        <v>2561</v>
      </c>
      <c r="G16090" s="9">
        <v>35631.49</v>
      </c>
      <c r="H16090" s="8">
        <v>22063</v>
      </c>
    </row>
    <row r="16091" spans="2:8" ht="15" customHeight="1" x14ac:dyDescent="0.4">
      <c r="B16091" t="s">
        <v>7</v>
      </c>
      <c r="C16091" t="s">
        <v>2560</v>
      </c>
      <c r="D16091" s="7">
        <f>DATE(2019,2,5)</f>
        <v>43501</v>
      </c>
      <c r="E16091" s="8">
        <f t="shared" si="264"/>
        <v>2019</v>
      </c>
      <c r="F16091" t="s">
        <v>2561</v>
      </c>
      <c r="G16091" s="9">
        <v>22435.97</v>
      </c>
      <c r="H16091" s="8">
        <v>28230</v>
      </c>
    </row>
    <row r="16092" spans="2:8" ht="15" customHeight="1" x14ac:dyDescent="0.4">
      <c r="B16092" t="s">
        <v>7</v>
      </c>
      <c r="C16092" t="s">
        <v>2560</v>
      </c>
      <c r="D16092" s="7">
        <f>DATE(2019,5,8)</f>
        <v>43593</v>
      </c>
      <c r="E16092" s="8">
        <f t="shared" si="264"/>
        <v>2019</v>
      </c>
      <c r="F16092" t="s">
        <v>2561</v>
      </c>
      <c r="G16092" s="9">
        <v>26301.47</v>
      </c>
      <c r="H16092" s="8">
        <v>28538</v>
      </c>
    </row>
    <row r="16093" spans="2:8" ht="15" customHeight="1" x14ac:dyDescent="0.4">
      <c r="B16093" t="s">
        <v>7</v>
      </c>
      <c r="C16093" t="s">
        <v>2560</v>
      </c>
      <c r="D16093" s="7">
        <f>DATE(2019,5,8)</f>
        <v>43593</v>
      </c>
      <c r="E16093" s="8">
        <f t="shared" si="264"/>
        <v>2019</v>
      </c>
      <c r="F16093" t="s">
        <v>2561</v>
      </c>
      <c r="G16093" s="9">
        <v>17940</v>
      </c>
      <c r="H16093" s="8">
        <v>28540</v>
      </c>
    </row>
    <row r="16094" spans="2:8" ht="15" customHeight="1" x14ac:dyDescent="0.4">
      <c r="B16094" t="s">
        <v>7</v>
      </c>
      <c r="C16094" t="s">
        <v>2560</v>
      </c>
      <c r="D16094" s="7">
        <f>DATE(2003,2,25)</f>
        <v>37677</v>
      </c>
      <c r="E16094" s="8">
        <f t="shared" si="264"/>
        <v>2003</v>
      </c>
      <c r="F16094" t="s">
        <v>2561</v>
      </c>
      <c r="G16094" s="9">
        <v>4424.63</v>
      </c>
      <c r="H16094" s="8">
        <v>291</v>
      </c>
    </row>
    <row r="16095" spans="2:8" ht="15" customHeight="1" x14ac:dyDescent="0.4">
      <c r="B16095" t="s">
        <v>7</v>
      </c>
      <c r="C16095" t="s">
        <v>2560</v>
      </c>
      <c r="D16095" s="7">
        <f>DATE(2003,3,20)</f>
        <v>37700</v>
      </c>
      <c r="E16095" s="8">
        <f t="shared" si="264"/>
        <v>2003</v>
      </c>
      <c r="F16095" t="s">
        <v>2561</v>
      </c>
      <c r="G16095" s="9">
        <v>15521.82</v>
      </c>
      <c r="H16095" s="8">
        <v>297</v>
      </c>
    </row>
    <row r="16096" spans="2:8" ht="15" customHeight="1" x14ac:dyDescent="0.4">
      <c r="B16096" t="s">
        <v>7</v>
      </c>
      <c r="C16096" t="s">
        <v>2560</v>
      </c>
      <c r="D16096" s="7">
        <f>DATE(2005,11,10)</f>
        <v>38666</v>
      </c>
      <c r="E16096" s="8">
        <f t="shared" si="264"/>
        <v>2005</v>
      </c>
      <c r="F16096" t="s">
        <v>2561</v>
      </c>
      <c r="G16096" s="9">
        <v>13735.25</v>
      </c>
      <c r="H16096" s="8">
        <v>3546</v>
      </c>
    </row>
    <row r="16097" spans="2:8" ht="15" customHeight="1" x14ac:dyDescent="0.4">
      <c r="B16097" t="s">
        <v>7</v>
      </c>
      <c r="C16097" t="s">
        <v>2560</v>
      </c>
      <c r="D16097" s="7">
        <f>DATE(2006,4,28)</f>
        <v>38835</v>
      </c>
      <c r="E16097" s="8">
        <f t="shared" si="264"/>
        <v>2006</v>
      </c>
      <c r="F16097" t="s">
        <v>2561</v>
      </c>
      <c r="G16097" s="9">
        <v>4100</v>
      </c>
      <c r="H16097" s="8">
        <v>4585</v>
      </c>
    </row>
    <row r="16098" spans="2:8" ht="15" customHeight="1" x14ac:dyDescent="0.4">
      <c r="B16098" t="s">
        <v>7</v>
      </c>
      <c r="C16098" t="s">
        <v>2560</v>
      </c>
      <c r="D16098" s="7">
        <f>DATE(2009,3,26)</f>
        <v>39898</v>
      </c>
      <c r="E16098" s="8">
        <f t="shared" si="264"/>
        <v>2009</v>
      </c>
      <c r="F16098" t="s">
        <v>2561</v>
      </c>
      <c r="G16098" s="9">
        <v>15913.27</v>
      </c>
      <c r="H16098" s="8">
        <v>8279</v>
      </c>
    </row>
    <row r="16099" spans="2:8" ht="15" customHeight="1" x14ac:dyDescent="0.4">
      <c r="B16099" t="s">
        <v>7</v>
      </c>
      <c r="C16099" t="s">
        <v>2560</v>
      </c>
      <c r="D16099" s="7">
        <f>DATE(2011,11,11)</f>
        <v>40858</v>
      </c>
      <c r="E16099" s="8">
        <f t="shared" si="264"/>
        <v>2011</v>
      </c>
      <c r="F16099" t="s">
        <v>2561</v>
      </c>
      <c r="G16099" s="9">
        <v>42231.88</v>
      </c>
      <c r="H16099" s="8">
        <v>11062</v>
      </c>
    </row>
    <row r="16100" spans="2:8" ht="15" customHeight="1" x14ac:dyDescent="0.4">
      <c r="B16100" t="s">
        <v>7</v>
      </c>
      <c r="C16100" t="s">
        <v>2560</v>
      </c>
      <c r="D16100" s="7">
        <f>DATE(2012,10,25)</f>
        <v>41207</v>
      </c>
      <c r="E16100" s="8">
        <f t="shared" si="264"/>
        <v>2012</v>
      </c>
      <c r="F16100" t="s">
        <v>2561</v>
      </c>
      <c r="G16100" s="9">
        <v>32263.59</v>
      </c>
      <c r="H16100" s="8">
        <v>11869</v>
      </c>
    </row>
    <row r="16101" spans="2:8" ht="15" customHeight="1" x14ac:dyDescent="0.4">
      <c r="B16101" s="3" t="s">
        <v>7</v>
      </c>
      <c r="C16101" s="3" t="s">
        <v>2562</v>
      </c>
      <c r="D16101" s="4">
        <f>DATE(2010,10,25)</f>
        <v>40476</v>
      </c>
      <c r="E16101" s="5">
        <f t="shared" si="264"/>
        <v>2010</v>
      </c>
      <c r="F16101" s="3" t="s">
        <v>2563</v>
      </c>
      <c r="G16101" s="6">
        <v>672.89</v>
      </c>
      <c r="H16101" s="5">
        <v>14685</v>
      </c>
    </row>
    <row r="16102" spans="2:8" ht="15" customHeight="1" x14ac:dyDescent="0.4">
      <c r="B16102" t="s">
        <v>7</v>
      </c>
      <c r="C16102" t="s">
        <v>2562</v>
      </c>
      <c r="D16102" s="7">
        <f>DATE(2015,1,22)</f>
        <v>42026</v>
      </c>
      <c r="E16102" s="8">
        <f t="shared" si="264"/>
        <v>2015</v>
      </c>
      <c r="F16102" t="s">
        <v>2564</v>
      </c>
      <c r="G16102" s="9">
        <v>18820.310000000001</v>
      </c>
      <c r="H16102" s="8">
        <v>229</v>
      </c>
    </row>
    <row r="16103" spans="2:8" ht="15" customHeight="1" x14ac:dyDescent="0.4">
      <c r="B16103" t="s">
        <v>7</v>
      </c>
      <c r="C16103" t="s">
        <v>2562</v>
      </c>
      <c r="D16103" s="7">
        <f>DATE(2015,1,22)</f>
        <v>42026</v>
      </c>
      <c r="E16103" s="8">
        <f t="shared" si="264"/>
        <v>2015</v>
      </c>
      <c r="F16103" t="s">
        <v>2564</v>
      </c>
      <c r="G16103" s="9">
        <v>12108.84</v>
      </c>
      <c r="H16103" s="8">
        <v>99</v>
      </c>
    </row>
    <row r="16104" spans="2:8" ht="15" customHeight="1" x14ac:dyDescent="0.4">
      <c r="B16104" t="s">
        <v>7</v>
      </c>
      <c r="C16104" t="s">
        <v>2562</v>
      </c>
      <c r="D16104" s="7">
        <f>DATE(2015,6,11)</f>
        <v>42166</v>
      </c>
      <c r="E16104" s="8">
        <f t="shared" si="264"/>
        <v>2015</v>
      </c>
      <c r="F16104" t="s">
        <v>2564</v>
      </c>
      <c r="G16104" s="9">
        <v>8605.2999999999993</v>
      </c>
      <c r="H16104" s="8">
        <v>20786</v>
      </c>
    </row>
    <row r="16105" spans="2:8" ht="15" customHeight="1" x14ac:dyDescent="0.4">
      <c r="B16105" t="s">
        <v>7</v>
      </c>
      <c r="C16105" t="s">
        <v>2562</v>
      </c>
      <c r="D16105" s="7">
        <f>DATE(2015,9,30)</f>
        <v>42277</v>
      </c>
      <c r="E16105" s="8">
        <f t="shared" si="264"/>
        <v>2015</v>
      </c>
      <c r="F16105" t="s">
        <v>2564</v>
      </c>
      <c r="G16105" s="9">
        <v>652</v>
      </c>
      <c r="H16105" s="8">
        <v>21357</v>
      </c>
    </row>
    <row r="16106" spans="2:8" ht="15" customHeight="1" x14ac:dyDescent="0.4">
      <c r="B16106" t="s">
        <v>7</v>
      </c>
      <c r="C16106" t="s">
        <v>2562</v>
      </c>
      <c r="D16106" s="7">
        <f>DATE(2016,3,11)</f>
        <v>42440</v>
      </c>
      <c r="E16106" s="8">
        <f t="shared" si="264"/>
        <v>2016</v>
      </c>
      <c r="F16106" t="s">
        <v>2564</v>
      </c>
      <c r="G16106" s="9">
        <v>2242.54</v>
      </c>
      <c r="H16106" s="8">
        <v>22411</v>
      </c>
    </row>
    <row r="16107" spans="2:8" ht="15" customHeight="1" x14ac:dyDescent="0.4">
      <c r="B16107" t="s">
        <v>7</v>
      </c>
      <c r="C16107" t="s">
        <v>2562</v>
      </c>
      <c r="D16107" s="7">
        <f>DATE(2016,3,24)</f>
        <v>42453</v>
      </c>
      <c r="E16107" s="8">
        <f t="shared" si="264"/>
        <v>2016</v>
      </c>
      <c r="F16107" t="s">
        <v>2564</v>
      </c>
      <c r="G16107" s="9">
        <v>3192.54</v>
      </c>
      <c r="H16107" s="8">
        <v>22516</v>
      </c>
    </row>
    <row r="16108" spans="2:8" ht="15" customHeight="1" x14ac:dyDescent="0.4">
      <c r="B16108" t="s">
        <v>7</v>
      </c>
      <c r="C16108" t="s">
        <v>2562</v>
      </c>
      <c r="D16108" s="7">
        <f>DATE(2016,3,30)</f>
        <v>42459</v>
      </c>
      <c r="E16108" s="8">
        <f t="shared" si="264"/>
        <v>2016</v>
      </c>
      <c r="F16108" t="s">
        <v>2564</v>
      </c>
      <c r="G16108" s="9">
        <v>18334.43</v>
      </c>
      <c r="H16108" s="8">
        <v>22553</v>
      </c>
    </row>
    <row r="16109" spans="2:8" ht="15" customHeight="1" x14ac:dyDescent="0.4">
      <c r="B16109" t="s">
        <v>7</v>
      </c>
      <c r="C16109" t="s">
        <v>2562</v>
      </c>
      <c r="D16109" s="7">
        <f>DATE(2016,5,20)</f>
        <v>42510</v>
      </c>
      <c r="E16109" s="8">
        <f t="shared" si="264"/>
        <v>2016</v>
      </c>
      <c r="F16109" t="s">
        <v>2564</v>
      </c>
      <c r="G16109" s="9">
        <v>541.91999999999996</v>
      </c>
      <c r="H16109" s="8">
        <v>22894</v>
      </c>
    </row>
    <row r="16110" spans="2:8" ht="15" customHeight="1" x14ac:dyDescent="0.4">
      <c r="B16110" t="s">
        <v>7</v>
      </c>
      <c r="C16110" t="s">
        <v>2562</v>
      </c>
      <c r="D16110" s="7">
        <f>DATE(2016,9,6)</f>
        <v>42619</v>
      </c>
      <c r="E16110" s="8">
        <f t="shared" si="264"/>
        <v>2016</v>
      </c>
      <c r="F16110" t="s">
        <v>2564</v>
      </c>
      <c r="G16110" s="9">
        <v>325.58999999999997</v>
      </c>
      <c r="H16110" s="8">
        <v>23417</v>
      </c>
    </row>
    <row r="16111" spans="2:8" ht="15" customHeight="1" x14ac:dyDescent="0.4">
      <c r="B16111" t="s">
        <v>7</v>
      </c>
      <c r="C16111" t="s">
        <v>2562</v>
      </c>
      <c r="D16111" s="7">
        <f>DATE(2016,9,15)</f>
        <v>42628</v>
      </c>
      <c r="E16111" s="8">
        <f t="shared" si="264"/>
        <v>2016</v>
      </c>
      <c r="F16111" t="s">
        <v>2564</v>
      </c>
      <c r="G16111" s="9">
        <v>12345.34</v>
      </c>
      <c r="H16111" s="8">
        <v>23467</v>
      </c>
    </row>
    <row r="16112" spans="2:8" ht="15" customHeight="1" x14ac:dyDescent="0.4">
      <c r="B16112" t="s">
        <v>7</v>
      </c>
      <c r="C16112" t="s">
        <v>2562</v>
      </c>
      <c r="D16112" s="7">
        <f>DATE(2017,1,27)</f>
        <v>42762</v>
      </c>
      <c r="E16112" s="8">
        <f t="shared" si="264"/>
        <v>2017</v>
      </c>
      <c r="F16112" t="s">
        <v>2564</v>
      </c>
      <c r="G16112" s="9">
        <v>4593.05</v>
      </c>
      <c r="H16112" s="8">
        <v>24212</v>
      </c>
    </row>
    <row r="16113" spans="2:8" ht="15" customHeight="1" x14ac:dyDescent="0.4">
      <c r="B16113" t="s">
        <v>7</v>
      </c>
      <c r="C16113" t="s">
        <v>2562</v>
      </c>
      <c r="D16113" s="7">
        <f>DATE(2017,3,28)</f>
        <v>42822</v>
      </c>
      <c r="E16113" s="8">
        <f t="shared" si="264"/>
        <v>2017</v>
      </c>
      <c r="F16113" t="s">
        <v>2564</v>
      </c>
      <c r="G16113" s="9">
        <v>1638.92</v>
      </c>
      <c r="H16113" s="8">
        <v>24639</v>
      </c>
    </row>
    <row r="16114" spans="2:8" ht="15" customHeight="1" x14ac:dyDescent="0.4">
      <c r="B16114" t="s">
        <v>7</v>
      </c>
      <c r="C16114" t="s">
        <v>2562</v>
      </c>
      <c r="D16114" s="7">
        <f>DATE(2017,3,30)</f>
        <v>42824</v>
      </c>
      <c r="E16114" s="8">
        <f t="shared" si="264"/>
        <v>2017</v>
      </c>
      <c r="F16114" t="s">
        <v>2564</v>
      </c>
      <c r="G16114" s="9">
        <v>1869.93</v>
      </c>
      <c r="H16114" s="8">
        <v>24666</v>
      </c>
    </row>
    <row r="16115" spans="2:8" ht="15" customHeight="1" x14ac:dyDescent="0.4">
      <c r="B16115" t="s">
        <v>7</v>
      </c>
      <c r="C16115" t="s">
        <v>2562</v>
      </c>
      <c r="D16115" s="7">
        <f>DATE(2017,8,28)</f>
        <v>42975</v>
      </c>
      <c r="E16115" s="8">
        <f t="shared" si="264"/>
        <v>2017</v>
      </c>
      <c r="F16115" t="s">
        <v>2564</v>
      </c>
      <c r="G16115" s="9">
        <v>5732.59</v>
      </c>
      <c r="H16115" s="8">
        <v>25480</v>
      </c>
    </row>
    <row r="16116" spans="2:8" ht="15" customHeight="1" x14ac:dyDescent="0.4">
      <c r="B16116" t="s">
        <v>7</v>
      </c>
      <c r="C16116" t="s">
        <v>2562</v>
      </c>
      <c r="D16116" s="7">
        <f>DATE(2017,10,6)</f>
        <v>43014</v>
      </c>
      <c r="E16116" s="8">
        <f t="shared" si="264"/>
        <v>2017</v>
      </c>
      <c r="F16116" t="s">
        <v>2564</v>
      </c>
      <c r="G16116" s="9">
        <v>4935.24</v>
      </c>
      <c r="H16116" s="8">
        <v>25697</v>
      </c>
    </row>
    <row r="16117" spans="2:8" ht="15" customHeight="1" x14ac:dyDescent="0.4">
      <c r="B16117" t="s">
        <v>7</v>
      </c>
      <c r="C16117" t="s">
        <v>2562</v>
      </c>
      <c r="D16117" s="7">
        <f>DATE(2017,10,12)</f>
        <v>43020</v>
      </c>
      <c r="E16117" s="8">
        <f t="shared" si="264"/>
        <v>2017</v>
      </c>
      <c r="F16117" t="s">
        <v>2564</v>
      </c>
      <c r="G16117" s="9">
        <v>12281.81</v>
      </c>
      <c r="H16117" s="8">
        <v>25720</v>
      </c>
    </row>
    <row r="16118" spans="2:8" ht="15" customHeight="1" x14ac:dyDescent="0.4">
      <c r="B16118" t="s">
        <v>7</v>
      </c>
      <c r="C16118" t="s">
        <v>2562</v>
      </c>
      <c r="D16118" s="7">
        <f>DATE(2017,10,25)</f>
        <v>43033</v>
      </c>
      <c r="E16118" s="8">
        <f t="shared" si="264"/>
        <v>2017</v>
      </c>
      <c r="F16118" t="s">
        <v>2564</v>
      </c>
      <c r="G16118" s="9">
        <v>2961.82</v>
      </c>
      <c r="H16118" s="8">
        <v>25801</v>
      </c>
    </row>
    <row r="16119" spans="2:8" ht="15" customHeight="1" x14ac:dyDescent="0.4">
      <c r="B16119" t="s">
        <v>7</v>
      </c>
      <c r="C16119" t="s">
        <v>2562</v>
      </c>
      <c r="D16119" s="7">
        <f>DATE(2017,10,30)</f>
        <v>43038</v>
      </c>
      <c r="E16119" s="8">
        <f t="shared" si="264"/>
        <v>2017</v>
      </c>
      <c r="F16119" t="s">
        <v>2564</v>
      </c>
      <c r="G16119" s="9">
        <v>7148.65</v>
      </c>
      <c r="H16119" s="8">
        <v>25820</v>
      </c>
    </row>
    <row r="16120" spans="2:8" ht="15" customHeight="1" x14ac:dyDescent="0.4">
      <c r="B16120" t="s">
        <v>7</v>
      </c>
      <c r="C16120" t="s">
        <v>2562</v>
      </c>
      <c r="D16120" s="7">
        <f>DATE(2017,11,2)</f>
        <v>43041</v>
      </c>
      <c r="E16120" s="8">
        <f t="shared" si="264"/>
        <v>2017</v>
      </c>
      <c r="F16120" t="s">
        <v>2564</v>
      </c>
      <c r="G16120" s="9">
        <v>8584.35</v>
      </c>
      <c r="H16120" s="8">
        <v>25839</v>
      </c>
    </row>
    <row r="16121" spans="2:8" ht="15" customHeight="1" x14ac:dyDescent="0.4">
      <c r="B16121" t="s">
        <v>7</v>
      </c>
      <c r="C16121" t="s">
        <v>2562</v>
      </c>
      <c r="D16121" s="7">
        <f>DATE(2017,11,20)</f>
        <v>43059</v>
      </c>
      <c r="E16121" s="8">
        <f t="shared" si="264"/>
        <v>2017</v>
      </c>
      <c r="F16121" t="s">
        <v>2564</v>
      </c>
      <c r="G16121" s="9">
        <v>4292.03</v>
      </c>
      <c r="H16121" s="8">
        <v>25866</v>
      </c>
    </row>
    <row r="16122" spans="2:8" ht="15" customHeight="1" x14ac:dyDescent="0.4">
      <c r="B16122" t="s">
        <v>7</v>
      </c>
      <c r="C16122" t="s">
        <v>2562</v>
      </c>
      <c r="D16122" s="7">
        <f>DATE(2017,11,30)</f>
        <v>43069</v>
      </c>
      <c r="E16122" s="8">
        <f t="shared" si="264"/>
        <v>2017</v>
      </c>
      <c r="F16122" t="s">
        <v>2564</v>
      </c>
      <c r="G16122" s="9">
        <v>7126.03</v>
      </c>
      <c r="H16122" s="8">
        <v>25964</v>
      </c>
    </row>
    <row r="16123" spans="2:8" ht="15" customHeight="1" x14ac:dyDescent="0.4">
      <c r="B16123" t="s">
        <v>7</v>
      </c>
      <c r="C16123" t="s">
        <v>2562</v>
      </c>
      <c r="D16123" s="7">
        <f>DATE(2018,4,6)</f>
        <v>43196</v>
      </c>
      <c r="E16123" s="8">
        <f t="shared" si="264"/>
        <v>2018</v>
      </c>
      <c r="F16123" t="s">
        <v>2564</v>
      </c>
      <c r="G16123" s="9">
        <v>7107.06</v>
      </c>
      <c r="H16123" s="8">
        <v>26812</v>
      </c>
    </row>
    <row r="16124" spans="2:8" ht="15" customHeight="1" x14ac:dyDescent="0.4">
      <c r="B16124" t="s">
        <v>7</v>
      </c>
      <c r="C16124" t="s">
        <v>2562</v>
      </c>
      <c r="D16124" s="7">
        <f>DATE(2018,7,5)</f>
        <v>43286</v>
      </c>
      <c r="E16124" s="8">
        <f t="shared" si="264"/>
        <v>2018</v>
      </c>
      <c r="F16124" t="s">
        <v>2564</v>
      </c>
      <c r="G16124" s="9">
        <v>4177.01</v>
      </c>
      <c r="H16124" s="8">
        <v>27339</v>
      </c>
    </row>
    <row r="16125" spans="2:8" ht="15" customHeight="1" x14ac:dyDescent="0.4">
      <c r="B16125" t="s">
        <v>7</v>
      </c>
      <c r="C16125" t="s">
        <v>2562</v>
      </c>
      <c r="D16125" s="7">
        <f>DATE(2018,8,7)</f>
        <v>43319</v>
      </c>
      <c r="E16125" s="8">
        <f t="shared" si="264"/>
        <v>2018</v>
      </c>
      <c r="F16125" t="s">
        <v>2564</v>
      </c>
      <c r="G16125" s="9">
        <v>6901.1</v>
      </c>
      <c r="H16125" s="8">
        <v>27464</v>
      </c>
    </row>
    <row r="16126" spans="2:8" ht="15" customHeight="1" x14ac:dyDescent="0.4">
      <c r="B16126" t="s">
        <v>7</v>
      </c>
      <c r="C16126" t="s">
        <v>2562</v>
      </c>
      <c r="D16126" s="7">
        <f>DATE(2018,8,23)</f>
        <v>43335</v>
      </c>
      <c r="E16126" s="8">
        <f t="shared" si="264"/>
        <v>2018</v>
      </c>
      <c r="F16126" t="s">
        <v>2564</v>
      </c>
      <c r="G16126" s="9">
        <v>791.94</v>
      </c>
      <c r="H16126" s="8">
        <v>27544</v>
      </c>
    </row>
    <row r="16127" spans="2:8" ht="15" customHeight="1" x14ac:dyDescent="0.4">
      <c r="B16127" t="s">
        <v>7</v>
      </c>
      <c r="C16127" t="s">
        <v>2562</v>
      </c>
      <c r="D16127" s="7">
        <f>DATE(2018,8,27)</f>
        <v>43339</v>
      </c>
      <c r="E16127" s="8">
        <f t="shared" si="264"/>
        <v>2018</v>
      </c>
      <c r="F16127" t="s">
        <v>2564</v>
      </c>
      <c r="G16127" s="9">
        <v>886.42</v>
      </c>
      <c r="H16127" s="8">
        <v>27563</v>
      </c>
    </row>
    <row r="16128" spans="2:8" ht="15" customHeight="1" x14ac:dyDescent="0.4">
      <c r="B16128" t="s">
        <v>7</v>
      </c>
      <c r="C16128" t="s">
        <v>2562</v>
      </c>
      <c r="D16128" s="7">
        <f>DATE(2018,9,18)</f>
        <v>43361</v>
      </c>
      <c r="E16128" s="8">
        <f t="shared" si="264"/>
        <v>2018</v>
      </c>
      <c r="F16128" t="s">
        <v>2564</v>
      </c>
      <c r="G16128" s="9">
        <v>380.01</v>
      </c>
      <c r="H16128" s="8">
        <v>27613</v>
      </c>
    </row>
    <row r="16129" spans="2:8" ht="15" customHeight="1" x14ac:dyDescent="0.4">
      <c r="B16129" t="s">
        <v>7</v>
      </c>
      <c r="C16129" t="s">
        <v>2562</v>
      </c>
      <c r="D16129" s="7">
        <f>DATE(2018,9,26)</f>
        <v>43369</v>
      </c>
      <c r="E16129" s="8">
        <f t="shared" si="264"/>
        <v>2018</v>
      </c>
      <c r="F16129" t="s">
        <v>2564</v>
      </c>
      <c r="G16129" s="9">
        <v>6988.2</v>
      </c>
      <c r="H16129" s="8">
        <v>27697</v>
      </c>
    </row>
    <row r="16130" spans="2:8" ht="15" customHeight="1" x14ac:dyDescent="0.4">
      <c r="B16130" t="s">
        <v>7</v>
      </c>
      <c r="C16130" t="s">
        <v>2562</v>
      </c>
      <c r="D16130" s="7">
        <f>DATE(2018,10,8)</f>
        <v>43381</v>
      </c>
      <c r="E16130" s="8">
        <f t="shared" si="264"/>
        <v>2018</v>
      </c>
      <c r="F16130" t="s">
        <v>2564</v>
      </c>
      <c r="G16130" s="9">
        <v>7004.89</v>
      </c>
      <c r="H16130" s="8">
        <v>27762</v>
      </c>
    </row>
    <row r="16131" spans="2:8" ht="15" customHeight="1" x14ac:dyDescent="0.4">
      <c r="B16131" t="s">
        <v>7</v>
      </c>
      <c r="C16131" t="s">
        <v>2562</v>
      </c>
      <c r="D16131" s="7">
        <f>DATE(2018,10,15)</f>
        <v>43388</v>
      </c>
      <c r="E16131" s="8">
        <f t="shared" ref="E16131:E16194" si="265">YEAR(D16131)</f>
        <v>2018</v>
      </c>
      <c r="F16131" t="s">
        <v>2564</v>
      </c>
      <c r="G16131" s="9">
        <v>2540.6799999999998</v>
      </c>
      <c r="H16131" s="8">
        <v>27803</v>
      </c>
    </row>
    <row r="16132" spans="2:8" ht="15" customHeight="1" x14ac:dyDescent="0.4">
      <c r="B16132" t="s">
        <v>7</v>
      </c>
      <c r="C16132" t="s">
        <v>2562</v>
      </c>
      <c r="D16132" s="7">
        <f>DATE(2019,1,15)</f>
        <v>43480</v>
      </c>
      <c r="E16132" s="8">
        <f t="shared" si="265"/>
        <v>2019</v>
      </c>
      <c r="F16132" t="s">
        <v>2564</v>
      </c>
      <c r="G16132" s="9">
        <v>23994.16</v>
      </c>
      <c r="H16132" s="8">
        <v>28182</v>
      </c>
    </row>
    <row r="16133" spans="2:8" ht="15" customHeight="1" x14ac:dyDescent="0.4">
      <c r="B16133" t="s">
        <v>7</v>
      </c>
      <c r="C16133" t="s">
        <v>2562</v>
      </c>
      <c r="D16133" s="7">
        <f>DATE(2019,2,25)</f>
        <v>43521</v>
      </c>
      <c r="E16133" s="8">
        <f t="shared" si="265"/>
        <v>2019</v>
      </c>
      <c r="F16133" t="s">
        <v>2564</v>
      </c>
      <c r="G16133" s="9">
        <v>1237.03</v>
      </c>
      <c r="H16133" s="8">
        <v>28464</v>
      </c>
    </row>
    <row r="16134" spans="2:8" ht="15" customHeight="1" x14ac:dyDescent="0.4">
      <c r="B16134" t="s">
        <v>7</v>
      </c>
      <c r="C16134" t="s">
        <v>2562</v>
      </c>
      <c r="D16134" s="7">
        <f>DATE(2019,4,8)</f>
        <v>43563</v>
      </c>
      <c r="E16134" s="8">
        <f t="shared" si="265"/>
        <v>2019</v>
      </c>
      <c r="F16134" t="s">
        <v>2564</v>
      </c>
      <c r="G16134" s="9">
        <v>2031.81</v>
      </c>
      <c r="H16134" s="8">
        <v>28789</v>
      </c>
    </row>
    <row r="16135" spans="2:8" ht="15" customHeight="1" x14ac:dyDescent="0.4">
      <c r="B16135" t="s">
        <v>7</v>
      </c>
      <c r="C16135" t="s">
        <v>2562</v>
      </c>
      <c r="D16135" s="7">
        <f>DATE(2019,4,11)</f>
        <v>43566</v>
      </c>
      <c r="E16135" s="8">
        <f t="shared" si="265"/>
        <v>2019</v>
      </c>
      <c r="F16135" t="s">
        <v>2564</v>
      </c>
      <c r="G16135" s="9">
        <v>1591.42</v>
      </c>
      <c r="H16135" s="8">
        <v>28775</v>
      </c>
    </row>
    <row r="16136" spans="2:8" ht="15" customHeight="1" x14ac:dyDescent="0.4">
      <c r="B16136" t="s">
        <v>7</v>
      </c>
      <c r="C16136" t="s">
        <v>2562</v>
      </c>
      <c r="D16136" s="7">
        <f>DATE(2019,4,16)</f>
        <v>43571</v>
      </c>
      <c r="E16136" s="8">
        <f t="shared" si="265"/>
        <v>2019</v>
      </c>
      <c r="F16136" t="s">
        <v>2564</v>
      </c>
      <c r="G16136" s="9">
        <v>9071.8700000000008</v>
      </c>
      <c r="H16136" s="8">
        <v>28825</v>
      </c>
    </row>
    <row r="16137" spans="2:8" ht="15" customHeight="1" x14ac:dyDescent="0.4">
      <c r="B16137" t="s">
        <v>16</v>
      </c>
      <c r="C16137" t="s">
        <v>2562</v>
      </c>
      <c r="D16137" s="7">
        <f>DATE(2014,11,19)</f>
        <v>41962</v>
      </c>
      <c r="E16137" s="8">
        <f t="shared" si="265"/>
        <v>2014</v>
      </c>
      <c r="F16137" t="s">
        <v>2564</v>
      </c>
      <c r="G16137" s="9">
        <v>13331.66</v>
      </c>
      <c r="H16137" s="8">
        <v>21473</v>
      </c>
    </row>
    <row r="16138" spans="2:8" ht="15" customHeight="1" x14ac:dyDescent="0.4">
      <c r="B16138" t="s">
        <v>16</v>
      </c>
      <c r="C16138" t="s">
        <v>2562</v>
      </c>
      <c r="D16138" s="7">
        <f>DATE(2015,4,28)</f>
        <v>42122</v>
      </c>
      <c r="E16138" s="8">
        <f t="shared" si="265"/>
        <v>2015</v>
      </c>
      <c r="F16138" t="s">
        <v>2564</v>
      </c>
      <c r="G16138" s="9">
        <v>4976</v>
      </c>
      <c r="H16138" s="8">
        <v>20630</v>
      </c>
    </row>
    <row r="16139" spans="2:8" ht="15" customHeight="1" x14ac:dyDescent="0.4">
      <c r="B16139" t="s">
        <v>16</v>
      </c>
      <c r="C16139" t="s">
        <v>2562</v>
      </c>
      <c r="D16139" s="7">
        <f>DATE(2017,4,20)</f>
        <v>42845</v>
      </c>
      <c r="E16139" s="8">
        <f t="shared" si="265"/>
        <v>2017</v>
      </c>
      <c r="F16139" t="s">
        <v>2564</v>
      </c>
      <c r="G16139" s="9">
        <v>11968</v>
      </c>
      <c r="H16139" s="8">
        <v>24790</v>
      </c>
    </row>
    <row r="16140" spans="2:8" ht="15" customHeight="1" x14ac:dyDescent="0.4">
      <c r="B16140" t="s">
        <v>16</v>
      </c>
      <c r="C16140" t="s">
        <v>2562</v>
      </c>
      <c r="D16140" s="7">
        <f>DATE(2017,4,20)</f>
        <v>42845</v>
      </c>
      <c r="E16140" s="8">
        <f t="shared" si="265"/>
        <v>2017</v>
      </c>
      <c r="F16140" t="s">
        <v>2564</v>
      </c>
      <c r="G16140" s="9">
        <v>10560</v>
      </c>
      <c r="H16140" s="8">
        <v>24791</v>
      </c>
    </row>
    <row r="16141" spans="2:8" ht="15" customHeight="1" x14ac:dyDescent="0.4">
      <c r="B16141" t="s">
        <v>16</v>
      </c>
      <c r="C16141" t="s">
        <v>2562</v>
      </c>
      <c r="D16141" s="7">
        <f>DATE(2018,3,27)</f>
        <v>43186</v>
      </c>
      <c r="E16141" s="8">
        <f t="shared" si="265"/>
        <v>2018</v>
      </c>
      <c r="F16141" t="s">
        <v>2564</v>
      </c>
      <c r="G16141" s="9">
        <v>9990</v>
      </c>
      <c r="H16141" s="8">
        <v>26727</v>
      </c>
    </row>
    <row r="16142" spans="2:8" ht="15" customHeight="1" x14ac:dyDescent="0.4">
      <c r="B16142" t="s">
        <v>7</v>
      </c>
      <c r="C16142" t="s">
        <v>2562</v>
      </c>
      <c r="D16142" s="7">
        <f>DATE(2014,11,10)</f>
        <v>41953</v>
      </c>
      <c r="E16142" s="8">
        <f t="shared" si="265"/>
        <v>2014</v>
      </c>
      <c r="F16142" t="s">
        <v>2564</v>
      </c>
      <c r="G16142" s="9">
        <v>50922</v>
      </c>
      <c r="H16142" s="8">
        <v>13422</v>
      </c>
    </row>
    <row r="16143" spans="2:8" ht="15" customHeight="1" x14ac:dyDescent="0.4">
      <c r="B16143" t="s">
        <v>7</v>
      </c>
      <c r="C16143" t="s">
        <v>2562</v>
      </c>
      <c r="D16143" s="7">
        <f>DATE(2014,12,31)</f>
        <v>42004</v>
      </c>
      <c r="E16143" s="8">
        <f t="shared" si="265"/>
        <v>2014</v>
      </c>
      <c r="F16143" t="s">
        <v>2564</v>
      </c>
      <c r="G16143" s="9">
        <v>22372.66</v>
      </c>
      <c r="H16143" s="8">
        <v>13601</v>
      </c>
    </row>
    <row r="16144" spans="2:8" ht="15" customHeight="1" x14ac:dyDescent="0.4">
      <c r="B16144" t="s">
        <v>7</v>
      </c>
      <c r="C16144" t="s">
        <v>2562</v>
      </c>
      <c r="D16144" s="7">
        <f>DATE(2012,8,16)</f>
        <v>41137</v>
      </c>
      <c r="E16144" s="8">
        <f t="shared" si="265"/>
        <v>2012</v>
      </c>
      <c r="F16144" t="s">
        <v>2564</v>
      </c>
      <c r="G16144" s="9">
        <v>14630.56</v>
      </c>
      <c r="H16144" s="8">
        <v>11781</v>
      </c>
    </row>
    <row r="16145" spans="2:8" ht="15" customHeight="1" x14ac:dyDescent="0.4">
      <c r="B16145" t="s">
        <v>7</v>
      </c>
      <c r="C16145" t="s">
        <v>2562</v>
      </c>
      <c r="D16145" s="7">
        <f>DATE(2012,10,4)</f>
        <v>41186</v>
      </c>
      <c r="E16145" s="8">
        <f t="shared" si="265"/>
        <v>2012</v>
      </c>
      <c r="F16145" t="s">
        <v>2564</v>
      </c>
      <c r="G16145" s="9">
        <v>14828.86</v>
      </c>
      <c r="H16145" s="8">
        <v>11885</v>
      </c>
    </row>
    <row r="16146" spans="2:8" ht="15" customHeight="1" x14ac:dyDescent="0.4">
      <c r="B16146" t="s">
        <v>7</v>
      </c>
      <c r="C16146" t="s">
        <v>2562</v>
      </c>
      <c r="D16146" s="7">
        <f>DATE(2013,8,23)</f>
        <v>41509</v>
      </c>
      <c r="E16146" s="8">
        <f t="shared" si="265"/>
        <v>2013</v>
      </c>
      <c r="F16146" t="s">
        <v>2564</v>
      </c>
      <c r="G16146" s="9">
        <v>12515.21</v>
      </c>
      <c r="H16146" s="8">
        <v>12604</v>
      </c>
    </row>
    <row r="16147" spans="2:8" ht="15" customHeight="1" x14ac:dyDescent="0.4">
      <c r="B16147" t="s">
        <v>7</v>
      </c>
      <c r="C16147" t="s">
        <v>2562</v>
      </c>
      <c r="D16147" s="7">
        <f>DATE(2013,11,22)</f>
        <v>41600</v>
      </c>
      <c r="E16147" s="8">
        <f t="shared" si="265"/>
        <v>2013</v>
      </c>
      <c r="F16147" t="s">
        <v>2564</v>
      </c>
      <c r="G16147" s="9">
        <v>11219.59</v>
      </c>
      <c r="H16147" s="8">
        <v>12795</v>
      </c>
    </row>
    <row r="16148" spans="2:8" ht="15" customHeight="1" x14ac:dyDescent="0.4">
      <c r="B16148" t="s">
        <v>7</v>
      </c>
      <c r="C16148" t="s">
        <v>2562</v>
      </c>
      <c r="D16148" s="7">
        <f>DATE(2014,7,7)</f>
        <v>41827</v>
      </c>
      <c r="E16148" s="8">
        <f t="shared" si="265"/>
        <v>2014</v>
      </c>
      <c r="F16148" t="s">
        <v>2564</v>
      </c>
      <c r="G16148" s="9">
        <v>13989.51</v>
      </c>
      <c r="H16148" s="8">
        <v>13274</v>
      </c>
    </row>
    <row r="16149" spans="2:8" ht="15" customHeight="1" x14ac:dyDescent="0.4">
      <c r="B16149" s="3" t="s">
        <v>7</v>
      </c>
      <c r="C16149" s="3" t="s">
        <v>2562</v>
      </c>
      <c r="D16149" s="4">
        <f>DATE(2011,9,9)</f>
        <v>40795</v>
      </c>
      <c r="E16149" s="5">
        <f t="shared" si="265"/>
        <v>2011</v>
      </c>
      <c r="F16149" s="3" t="s">
        <v>2564</v>
      </c>
      <c r="G16149" s="6">
        <v>4605.84</v>
      </c>
      <c r="H16149" s="5">
        <v>15926</v>
      </c>
    </row>
    <row r="16150" spans="2:8" ht="15" customHeight="1" x14ac:dyDescent="0.4">
      <c r="B16150" s="3" t="s">
        <v>7</v>
      </c>
      <c r="C16150" s="3" t="s">
        <v>2562</v>
      </c>
      <c r="D16150" s="4">
        <f>DATE(2011,9,22)</f>
        <v>40808</v>
      </c>
      <c r="E16150" s="5">
        <f t="shared" si="265"/>
        <v>2011</v>
      </c>
      <c r="F16150" s="3" t="s">
        <v>2564</v>
      </c>
      <c r="G16150" s="6">
        <v>13629.32</v>
      </c>
      <c r="H16150" s="5">
        <v>16017</v>
      </c>
    </row>
    <row r="16151" spans="2:8" ht="15" customHeight="1" x14ac:dyDescent="0.4">
      <c r="B16151" s="3" t="s">
        <v>7</v>
      </c>
      <c r="C16151" s="3" t="s">
        <v>2562</v>
      </c>
      <c r="D16151" s="4">
        <f>DATE(2011,11,23)</f>
        <v>40870</v>
      </c>
      <c r="E16151" s="5">
        <f t="shared" si="265"/>
        <v>2011</v>
      </c>
      <c r="F16151" s="3" t="s">
        <v>2564</v>
      </c>
      <c r="G16151" s="6">
        <v>498.49</v>
      </c>
      <c r="H16151" s="5">
        <v>16251</v>
      </c>
    </row>
    <row r="16152" spans="2:8" ht="15" customHeight="1" x14ac:dyDescent="0.4">
      <c r="B16152" s="3" t="s">
        <v>7</v>
      </c>
      <c r="C16152" s="3" t="s">
        <v>2562</v>
      </c>
      <c r="D16152" s="4">
        <f>DATE(2011,12,14)</f>
        <v>40891</v>
      </c>
      <c r="E16152" s="5">
        <f t="shared" si="265"/>
        <v>2011</v>
      </c>
      <c r="F16152" s="3" t="s">
        <v>2564</v>
      </c>
      <c r="G16152" s="6">
        <v>25395.96</v>
      </c>
      <c r="H16152" s="5">
        <v>16302</v>
      </c>
    </row>
    <row r="16153" spans="2:8" ht="15" customHeight="1" x14ac:dyDescent="0.4">
      <c r="B16153" s="3" t="s">
        <v>7</v>
      </c>
      <c r="C16153" s="3" t="s">
        <v>2562</v>
      </c>
      <c r="D16153" s="4">
        <f>DATE(2011,12,20)</f>
        <v>40897</v>
      </c>
      <c r="E16153" s="5">
        <f t="shared" si="265"/>
        <v>2011</v>
      </c>
      <c r="F16153" s="3" t="s">
        <v>2564</v>
      </c>
      <c r="G16153" s="6">
        <v>395.81</v>
      </c>
      <c r="H16153" s="5">
        <v>16326</v>
      </c>
    </row>
    <row r="16154" spans="2:8" ht="15" customHeight="1" x14ac:dyDescent="0.4">
      <c r="B16154" s="3" t="s">
        <v>7</v>
      </c>
      <c r="C16154" s="3" t="s">
        <v>2562</v>
      </c>
      <c r="D16154" s="4">
        <f>DATE(2012,2,14)</f>
        <v>40953</v>
      </c>
      <c r="E16154" s="5">
        <f t="shared" si="265"/>
        <v>2012</v>
      </c>
      <c r="F16154" s="3" t="s">
        <v>2564</v>
      </c>
      <c r="G16154" s="6">
        <v>9858.6</v>
      </c>
      <c r="H16154" s="5">
        <v>16549</v>
      </c>
    </row>
    <row r="16155" spans="2:8" ht="15" customHeight="1" x14ac:dyDescent="0.4">
      <c r="B16155" s="3" t="s">
        <v>7</v>
      </c>
      <c r="C16155" s="3" t="s">
        <v>2562</v>
      </c>
      <c r="D16155" s="4">
        <f>DATE(2012,7,16)</f>
        <v>41106</v>
      </c>
      <c r="E16155" s="5">
        <f t="shared" si="265"/>
        <v>2012</v>
      </c>
      <c r="F16155" s="3" t="s">
        <v>2564</v>
      </c>
      <c r="G16155" s="6">
        <v>17957.22</v>
      </c>
      <c r="H16155" s="5">
        <v>17369</v>
      </c>
    </row>
    <row r="16156" spans="2:8" ht="15" customHeight="1" x14ac:dyDescent="0.4">
      <c r="B16156" s="3" t="s">
        <v>7</v>
      </c>
      <c r="C16156" s="3" t="s">
        <v>2562</v>
      </c>
      <c r="D16156" s="4">
        <f>DATE(2012,7,31)</f>
        <v>41121</v>
      </c>
      <c r="E16156" s="5">
        <f t="shared" si="265"/>
        <v>2012</v>
      </c>
      <c r="F16156" s="3" t="s">
        <v>2564</v>
      </c>
      <c r="G16156" s="6">
        <v>1259.6099999999999</v>
      </c>
      <c r="H16156" s="5">
        <v>17428</v>
      </c>
    </row>
    <row r="16157" spans="2:8" ht="15" customHeight="1" x14ac:dyDescent="0.4">
      <c r="B16157" s="3" t="s">
        <v>7</v>
      </c>
      <c r="C16157" s="3" t="s">
        <v>2562</v>
      </c>
      <c r="D16157" s="4">
        <f>DATE(2012,9,13)</f>
        <v>41165</v>
      </c>
      <c r="E16157" s="5">
        <f t="shared" si="265"/>
        <v>2012</v>
      </c>
      <c r="F16157" s="3" t="s">
        <v>2564</v>
      </c>
      <c r="G16157" s="6">
        <v>577.54</v>
      </c>
      <c r="H16157" s="5">
        <v>17605</v>
      </c>
    </row>
    <row r="16158" spans="2:8" ht="15" customHeight="1" x14ac:dyDescent="0.4">
      <c r="B16158" s="3" t="s">
        <v>7</v>
      </c>
      <c r="C16158" s="3" t="s">
        <v>2562</v>
      </c>
      <c r="D16158" s="4">
        <f>DATE(2012,9,18)</f>
        <v>41170</v>
      </c>
      <c r="E16158" s="5">
        <f t="shared" si="265"/>
        <v>2012</v>
      </c>
      <c r="F16158" s="3" t="s">
        <v>2564</v>
      </c>
      <c r="G16158" s="6">
        <v>12905.46</v>
      </c>
      <c r="H16158" s="5">
        <v>17606</v>
      </c>
    </row>
    <row r="16159" spans="2:8" ht="15" customHeight="1" x14ac:dyDescent="0.4">
      <c r="B16159" s="3" t="s">
        <v>7</v>
      </c>
      <c r="C16159" s="3" t="s">
        <v>2562</v>
      </c>
      <c r="D16159" s="4">
        <f>DATE(2012,10,25)</f>
        <v>41207</v>
      </c>
      <c r="E16159" s="5">
        <f t="shared" si="265"/>
        <v>2012</v>
      </c>
      <c r="F16159" s="3" t="s">
        <v>2564</v>
      </c>
      <c r="G16159" s="6">
        <v>1557.88</v>
      </c>
      <c r="H16159" s="5">
        <v>17775</v>
      </c>
    </row>
    <row r="16160" spans="2:8" ht="15" customHeight="1" x14ac:dyDescent="0.4">
      <c r="B16160" s="3" t="s">
        <v>7</v>
      </c>
      <c r="C16160" s="3" t="s">
        <v>2562</v>
      </c>
      <c r="D16160" s="4">
        <f>DATE(2012,11,19)</f>
        <v>41232</v>
      </c>
      <c r="E16160" s="5">
        <f t="shared" si="265"/>
        <v>2012</v>
      </c>
      <c r="F16160" s="3" t="s">
        <v>2564</v>
      </c>
      <c r="G16160" s="6">
        <v>2361.2800000000002</v>
      </c>
      <c r="H16160" s="5">
        <v>17848</v>
      </c>
    </row>
    <row r="16161" spans="2:8" ht="15" customHeight="1" x14ac:dyDescent="0.4">
      <c r="B16161" s="3" t="s">
        <v>7</v>
      </c>
      <c r="C16161" s="3" t="s">
        <v>2562</v>
      </c>
      <c r="D16161" s="4">
        <f>DATE(2012,11,27)</f>
        <v>41240</v>
      </c>
      <c r="E16161" s="5">
        <f t="shared" si="265"/>
        <v>2012</v>
      </c>
      <c r="F16161" s="3" t="s">
        <v>2564</v>
      </c>
      <c r="G16161" s="6">
        <v>5567.28</v>
      </c>
      <c r="H16161" s="5">
        <v>17861</v>
      </c>
    </row>
    <row r="16162" spans="2:8" ht="15" customHeight="1" x14ac:dyDescent="0.4">
      <c r="B16162" s="3" t="s">
        <v>7</v>
      </c>
      <c r="C16162" s="3" t="s">
        <v>2562</v>
      </c>
      <c r="D16162" s="4">
        <f>DATE(2012,11,29)</f>
        <v>41242</v>
      </c>
      <c r="E16162" s="5">
        <f t="shared" si="265"/>
        <v>2012</v>
      </c>
      <c r="F16162" s="3" t="s">
        <v>2564</v>
      </c>
      <c r="G16162" s="6">
        <v>700.14</v>
      </c>
      <c r="H16162" s="5">
        <v>17866</v>
      </c>
    </row>
    <row r="16163" spans="2:8" ht="15" customHeight="1" x14ac:dyDescent="0.4">
      <c r="B16163" s="3" t="s">
        <v>7</v>
      </c>
      <c r="C16163" s="3" t="s">
        <v>2562</v>
      </c>
      <c r="D16163" s="4">
        <f>DATE(2012,11,30)</f>
        <v>41243</v>
      </c>
      <c r="E16163" s="5">
        <f t="shared" si="265"/>
        <v>2012</v>
      </c>
      <c r="F16163" s="3" t="s">
        <v>2564</v>
      </c>
      <c r="G16163" s="6">
        <v>893.9</v>
      </c>
      <c r="H16163" s="5">
        <v>17870</v>
      </c>
    </row>
    <row r="16164" spans="2:8" ht="15" customHeight="1" x14ac:dyDescent="0.4">
      <c r="B16164" s="3" t="s">
        <v>7</v>
      </c>
      <c r="C16164" s="3" t="s">
        <v>2562</v>
      </c>
      <c r="D16164" s="4">
        <f>DATE(2012,12,18)</f>
        <v>41261</v>
      </c>
      <c r="E16164" s="5">
        <f t="shared" si="265"/>
        <v>2012</v>
      </c>
      <c r="F16164" s="3" t="s">
        <v>2564</v>
      </c>
      <c r="G16164" s="6">
        <v>38836.68</v>
      </c>
      <c r="H16164" s="5">
        <v>17892</v>
      </c>
    </row>
    <row r="16165" spans="2:8" ht="15" customHeight="1" x14ac:dyDescent="0.4">
      <c r="B16165" s="3" t="s">
        <v>7</v>
      </c>
      <c r="C16165" s="3" t="s">
        <v>2562</v>
      </c>
      <c r="D16165" s="4">
        <f>DATE(2013,1,25)</f>
        <v>41299</v>
      </c>
      <c r="E16165" s="5">
        <f t="shared" si="265"/>
        <v>2013</v>
      </c>
      <c r="F16165" s="3" t="s">
        <v>2564</v>
      </c>
      <c r="G16165" s="6">
        <v>647.75</v>
      </c>
      <c r="H16165" s="5">
        <v>18065</v>
      </c>
    </row>
    <row r="16166" spans="2:8" ht="15" customHeight="1" x14ac:dyDescent="0.4">
      <c r="B16166" s="3" t="s">
        <v>7</v>
      </c>
      <c r="C16166" s="3" t="s">
        <v>2562</v>
      </c>
      <c r="D16166" s="4">
        <f>DATE(2013,2,13)</f>
        <v>41318</v>
      </c>
      <c r="E16166" s="5">
        <f t="shared" si="265"/>
        <v>2013</v>
      </c>
      <c r="F16166" s="3" t="s">
        <v>2564</v>
      </c>
      <c r="G16166" s="6">
        <v>20340.91</v>
      </c>
      <c r="H16166" s="5">
        <v>18144</v>
      </c>
    </row>
    <row r="16167" spans="2:8" ht="15" customHeight="1" x14ac:dyDescent="0.4">
      <c r="B16167" s="3" t="s">
        <v>7</v>
      </c>
      <c r="C16167" s="3" t="s">
        <v>2562</v>
      </c>
      <c r="D16167" s="4">
        <f>DATE(2013,2,15)</f>
        <v>41320</v>
      </c>
      <c r="E16167" s="5">
        <f t="shared" si="265"/>
        <v>2013</v>
      </c>
      <c r="F16167" s="3" t="s">
        <v>2564</v>
      </c>
      <c r="G16167" s="6">
        <v>1809.84</v>
      </c>
      <c r="H16167" s="5">
        <v>18176</v>
      </c>
    </row>
    <row r="16168" spans="2:8" ht="15" customHeight="1" x14ac:dyDescent="0.4">
      <c r="B16168" s="3" t="s">
        <v>7</v>
      </c>
      <c r="C16168" s="3" t="s">
        <v>2562</v>
      </c>
      <c r="D16168" s="4">
        <f>DATE(2013,4,11)</f>
        <v>41375</v>
      </c>
      <c r="E16168" s="5">
        <f t="shared" si="265"/>
        <v>2013</v>
      </c>
      <c r="F16168" s="3" t="s">
        <v>2564</v>
      </c>
      <c r="G16168" s="6">
        <v>18488.78</v>
      </c>
      <c r="H16168" s="5">
        <v>18420</v>
      </c>
    </row>
    <row r="16169" spans="2:8" ht="15" customHeight="1" x14ac:dyDescent="0.4">
      <c r="B16169" s="3" t="s">
        <v>7</v>
      </c>
      <c r="C16169" s="3" t="s">
        <v>2562</v>
      </c>
      <c r="D16169" s="4">
        <f>DATE(2013,4,26)</f>
        <v>41390</v>
      </c>
      <c r="E16169" s="5">
        <f t="shared" si="265"/>
        <v>2013</v>
      </c>
      <c r="F16169" s="3" t="s">
        <v>2564</v>
      </c>
      <c r="G16169" s="6">
        <v>852.66</v>
      </c>
      <c r="H16169" s="5">
        <v>18516</v>
      </c>
    </row>
    <row r="16170" spans="2:8" ht="15" customHeight="1" x14ac:dyDescent="0.4">
      <c r="B16170" s="3" t="s">
        <v>7</v>
      </c>
      <c r="C16170" s="3" t="s">
        <v>2562</v>
      </c>
      <c r="D16170" s="4">
        <f>DATE(2013,5,14)</f>
        <v>41408</v>
      </c>
      <c r="E16170" s="5">
        <f t="shared" si="265"/>
        <v>2013</v>
      </c>
      <c r="F16170" s="3" t="s">
        <v>2564</v>
      </c>
      <c r="G16170" s="6">
        <v>705.19</v>
      </c>
      <c r="H16170" s="5">
        <v>18579</v>
      </c>
    </row>
    <row r="16171" spans="2:8" ht="15" customHeight="1" x14ac:dyDescent="0.4">
      <c r="B16171" s="3" t="s">
        <v>7</v>
      </c>
      <c r="C16171" s="3" t="s">
        <v>2562</v>
      </c>
      <c r="D16171" s="4">
        <f>DATE(2013,6,25)</f>
        <v>41450</v>
      </c>
      <c r="E16171" s="5">
        <f t="shared" si="265"/>
        <v>2013</v>
      </c>
      <c r="F16171" s="3" t="s">
        <v>2564</v>
      </c>
      <c r="G16171" s="6">
        <v>354.35</v>
      </c>
      <c r="H16171" s="5">
        <v>18721</v>
      </c>
    </row>
    <row r="16172" spans="2:8" ht="15" customHeight="1" x14ac:dyDescent="0.4">
      <c r="B16172" s="3" t="s">
        <v>7</v>
      </c>
      <c r="C16172" s="3" t="s">
        <v>2562</v>
      </c>
      <c r="D16172" s="4">
        <f>DATE(2013,7,26)</f>
        <v>41481</v>
      </c>
      <c r="E16172" s="5">
        <f t="shared" si="265"/>
        <v>2013</v>
      </c>
      <c r="F16172" s="3" t="s">
        <v>2564</v>
      </c>
      <c r="G16172" s="6">
        <v>646.66999999999996</v>
      </c>
      <c r="H16172" s="5">
        <v>18817</v>
      </c>
    </row>
    <row r="16173" spans="2:8" ht="15" customHeight="1" x14ac:dyDescent="0.4">
      <c r="B16173" s="3" t="s">
        <v>7</v>
      </c>
      <c r="C16173" s="3" t="s">
        <v>2562</v>
      </c>
      <c r="D16173" s="4">
        <f>DATE(2013,8,16)</f>
        <v>41502</v>
      </c>
      <c r="E16173" s="5">
        <f t="shared" si="265"/>
        <v>2013</v>
      </c>
      <c r="F16173" s="3" t="s">
        <v>2564</v>
      </c>
      <c r="G16173" s="6">
        <v>20638.29</v>
      </c>
      <c r="H16173" s="5">
        <v>18857</v>
      </c>
    </row>
    <row r="16174" spans="2:8" ht="15" customHeight="1" x14ac:dyDescent="0.4">
      <c r="B16174" s="3" t="s">
        <v>7</v>
      </c>
      <c r="C16174" s="3" t="s">
        <v>2562</v>
      </c>
      <c r="D16174" s="4">
        <f>DATE(2013,12,10)</f>
        <v>41618</v>
      </c>
      <c r="E16174" s="5">
        <f t="shared" si="265"/>
        <v>2013</v>
      </c>
      <c r="F16174" s="3" t="s">
        <v>2564</v>
      </c>
      <c r="G16174" s="6">
        <v>26099.47</v>
      </c>
      <c r="H16174" s="5">
        <v>19294</v>
      </c>
    </row>
    <row r="16175" spans="2:8" ht="15" customHeight="1" x14ac:dyDescent="0.4">
      <c r="B16175" s="3" t="s">
        <v>7</v>
      </c>
      <c r="C16175" s="3" t="s">
        <v>2562</v>
      </c>
      <c r="D16175" s="4">
        <f>DATE(2014,2,3)</f>
        <v>41673</v>
      </c>
      <c r="E16175" s="5">
        <f t="shared" si="265"/>
        <v>2014</v>
      </c>
      <c r="F16175" s="3" t="s">
        <v>2564</v>
      </c>
      <c r="G16175" s="6">
        <v>926.31</v>
      </c>
      <c r="H16175" s="5">
        <v>19468</v>
      </c>
    </row>
    <row r="16176" spans="2:8" ht="15" customHeight="1" x14ac:dyDescent="0.4">
      <c r="B16176" s="3" t="s">
        <v>7</v>
      </c>
      <c r="C16176" s="3" t="s">
        <v>2562</v>
      </c>
      <c r="D16176" s="4">
        <f>DATE(2014,2,21)</f>
        <v>41691</v>
      </c>
      <c r="E16176" s="5">
        <f t="shared" si="265"/>
        <v>2014</v>
      </c>
      <c r="F16176" s="3" t="s">
        <v>2564</v>
      </c>
      <c r="G16176" s="6">
        <v>5704.02</v>
      </c>
      <c r="H16176" s="5">
        <v>19580</v>
      </c>
    </row>
    <row r="16177" spans="2:8" ht="15" customHeight="1" x14ac:dyDescent="0.4">
      <c r="B16177" s="3" t="s">
        <v>7</v>
      </c>
      <c r="C16177" s="3" t="s">
        <v>2562</v>
      </c>
      <c r="D16177" s="4">
        <f>DATE(2014,3,21)</f>
        <v>41719</v>
      </c>
      <c r="E16177" s="5">
        <f t="shared" si="265"/>
        <v>2014</v>
      </c>
      <c r="F16177" s="3" t="s">
        <v>2564</v>
      </c>
      <c r="G16177" s="6">
        <v>18850.68</v>
      </c>
      <c r="H16177" s="5">
        <v>19712</v>
      </c>
    </row>
    <row r="16178" spans="2:8" ht="15" customHeight="1" x14ac:dyDescent="0.4">
      <c r="B16178" s="3" t="s">
        <v>7</v>
      </c>
      <c r="C16178" s="3" t="s">
        <v>2562</v>
      </c>
      <c r="D16178" s="4">
        <f>DATE(2014,8,4)</f>
        <v>41855</v>
      </c>
      <c r="E16178" s="5">
        <f t="shared" si="265"/>
        <v>2014</v>
      </c>
      <c r="F16178" s="3" t="s">
        <v>2564</v>
      </c>
      <c r="G16178" s="6">
        <v>2834.2</v>
      </c>
      <c r="H16178" s="5">
        <v>20259</v>
      </c>
    </row>
    <row r="16179" spans="2:8" ht="15" customHeight="1" x14ac:dyDescent="0.4">
      <c r="B16179" s="3" t="s">
        <v>7</v>
      </c>
      <c r="C16179" s="3" t="s">
        <v>2562</v>
      </c>
      <c r="D16179" s="4">
        <f>DATE(2014,8,7)</f>
        <v>41858</v>
      </c>
      <c r="E16179" s="5">
        <f t="shared" si="265"/>
        <v>2014</v>
      </c>
      <c r="F16179" s="3" t="s">
        <v>2564</v>
      </c>
      <c r="G16179" s="6">
        <v>1578.24</v>
      </c>
      <c r="H16179" s="5">
        <v>20280</v>
      </c>
    </row>
    <row r="16180" spans="2:8" ht="15" customHeight="1" x14ac:dyDescent="0.4">
      <c r="B16180" s="3" t="s">
        <v>7</v>
      </c>
      <c r="C16180" s="3" t="s">
        <v>2562</v>
      </c>
      <c r="D16180" s="4">
        <f>DATE(2014,8,11)</f>
        <v>41862</v>
      </c>
      <c r="E16180" s="5">
        <f t="shared" si="265"/>
        <v>2014</v>
      </c>
      <c r="F16180" s="3" t="s">
        <v>2564</v>
      </c>
      <c r="G16180" s="6">
        <v>5072.8100000000004</v>
      </c>
      <c r="H16180" s="5">
        <v>20275</v>
      </c>
    </row>
    <row r="16181" spans="2:8" ht="15" customHeight="1" x14ac:dyDescent="0.4">
      <c r="B16181" s="3" t="s">
        <v>7</v>
      </c>
      <c r="C16181" s="3" t="s">
        <v>2562</v>
      </c>
      <c r="D16181" s="4">
        <f>DATE(2014,8,18)</f>
        <v>41869</v>
      </c>
      <c r="E16181" s="5">
        <f t="shared" si="265"/>
        <v>2014</v>
      </c>
      <c r="F16181" s="3" t="s">
        <v>2564</v>
      </c>
      <c r="G16181" s="6">
        <v>4961.05</v>
      </c>
      <c r="H16181" s="5">
        <v>20301</v>
      </c>
    </row>
    <row r="16182" spans="2:8" ht="15" customHeight="1" x14ac:dyDescent="0.4">
      <c r="B16182" s="3" t="s">
        <v>7</v>
      </c>
      <c r="C16182" s="3" t="s">
        <v>2562</v>
      </c>
      <c r="D16182" s="4">
        <f>DATE(2014,10,7)</f>
        <v>41919</v>
      </c>
      <c r="E16182" s="5">
        <f t="shared" si="265"/>
        <v>2014</v>
      </c>
      <c r="F16182" s="3" t="s">
        <v>2564</v>
      </c>
      <c r="G16182" s="6">
        <v>5596.8</v>
      </c>
      <c r="H16182" s="5">
        <v>20501</v>
      </c>
    </row>
    <row r="16183" spans="2:8" ht="15" customHeight="1" x14ac:dyDescent="0.4">
      <c r="B16183" s="3" t="s">
        <v>7</v>
      </c>
      <c r="C16183" s="3" t="s">
        <v>2562</v>
      </c>
      <c r="D16183" s="4">
        <f>DATE(2014,12,2)</f>
        <v>41975</v>
      </c>
      <c r="E16183" s="5">
        <f t="shared" si="265"/>
        <v>2014</v>
      </c>
      <c r="F16183" s="3" t="s">
        <v>2564</v>
      </c>
      <c r="G16183" s="6">
        <v>9590.98</v>
      </c>
      <c r="H16183" s="5">
        <v>20365</v>
      </c>
    </row>
    <row r="16184" spans="2:8" ht="15" customHeight="1" x14ac:dyDescent="0.4">
      <c r="B16184" s="3" t="s">
        <v>16</v>
      </c>
      <c r="C16184" s="3" t="s">
        <v>2562</v>
      </c>
      <c r="D16184" s="4">
        <f>DATE(2012,12,17)</f>
        <v>41260</v>
      </c>
      <c r="E16184" s="5">
        <f t="shared" si="265"/>
        <v>2012</v>
      </c>
      <c r="F16184" s="3" t="s">
        <v>2564</v>
      </c>
      <c r="G16184" s="6">
        <v>475</v>
      </c>
      <c r="H16184" s="5">
        <v>17919</v>
      </c>
    </row>
    <row r="16185" spans="2:8" ht="15" customHeight="1" x14ac:dyDescent="0.4">
      <c r="B16185" s="3" t="s">
        <v>7</v>
      </c>
      <c r="C16185" s="3" t="s">
        <v>2562</v>
      </c>
      <c r="D16185" s="4">
        <f>DATE(2013,10,7)</f>
        <v>41554</v>
      </c>
      <c r="E16185" s="5">
        <f t="shared" si="265"/>
        <v>2013</v>
      </c>
      <c r="F16185" s="3" t="s">
        <v>2565</v>
      </c>
      <c r="G16185" s="6">
        <v>6327.47</v>
      </c>
      <c r="H16185" s="5">
        <v>19049</v>
      </c>
    </row>
    <row r="16186" spans="2:8" ht="15" customHeight="1" x14ac:dyDescent="0.4">
      <c r="B16186" t="s">
        <v>7</v>
      </c>
      <c r="C16186" t="s">
        <v>2562</v>
      </c>
      <c r="D16186" s="7">
        <f>DATE(2005,4,16)</f>
        <v>38458</v>
      </c>
      <c r="E16186" s="8">
        <f t="shared" si="265"/>
        <v>2005</v>
      </c>
      <c r="F16186" t="s">
        <v>2566</v>
      </c>
      <c r="G16186" s="9">
        <v>8756.69</v>
      </c>
      <c r="H16186" s="8">
        <v>3058</v>
      </c>
    </row>
    <row r="16187" spans="2:8" ht="15" customHeight="1" x14ac:dyDescent="0.4">
      <c r="B16187" t="s">
        <v>7</v>
      </c>
      <c r="C16187" t="s">
        <v>2562</v>
      </c>
      <c r="D16187" s="7">
        <f>DATE(2006,5,8)</f>
        <v>38845</v>
      </c>
      <c r="E16187" s="8">
        <f t="shared" si="265"/>
        <v>2006</v>
      </c>
      <c r="F16187" t="s">
        <v>2566</v>
      </c>
      <c r="G16187" s="9">
        <v>9076.4</v>
      </c>
      <c r="H16187" s="8">
        <v>4483</v>
      </c>
    </row>
    <row r="16188" spans="2:8" ht="15" customHeight="1" x14ac:dyDescent="0.4">
      <c r="B16188" t="s">
        <v>7</v>
      </c>
      <c r="C16188" t="s">
        <v>2562</v>
      </c>
      <c r="D16188" s="7">
        <f>DATE(2006,11,8)</f>
        <v>39029</v>
      </c>
      <c r="E16188" s="8">
        <f t="shared" si="265"/>
        <v>2006</v>
      </c>
      <c r="F16188" t="s">
        <v>2566</v>
      </c>
      <c r="G16188" s="9">
        <v>8988.1</v>
      </c>
      <c r="H16188" s="8">
        <v>5130</v>
      </c>
    </row>
    <row r="16189" spans="2:8" ht="15" customHeight="1" x14ac:dyDescent="0.4">
      <c r="B16189" t="s">
        <v>7</v>
      </c>
      <c r="C16189" t="s">
        <v>2562</v>
      </c>
      <c r="D16189" s="7">
        <f>DATE(2006,11,10)</f>
        <v>39031</v>
      </c>
      <c r="E16189" s="8">
        <f t="shared" si="265"/>
        <v>2006</v>
      </c>
      <c r="F16189" t="s">
        <v>2566</v>
      </c>
      <c r="G16189" s="9">
        <v>8988.1</v>
      </c>
      <c r="H16189" s="8">
        <v>5132</v>
      </c>
    </row>
    <row r="16190" spans="2:8" ht="15" customHeight="1" x14ac:dyDescent="0.4">
      <c r="B16190" t="s">
        <v>7</v>
      </c>
      <c r="C16190" t="s">
        <v>2562</v>
      </c>
      <c r="D16190" s="7">
        <f>DATE(2009,3,24)</f>
        <v>39896</v>
      </c>
      <c r="E16190" s="8">
        <f t="shared" si="265"/>
        <v>2009</v>
      </c>
      <c r="F16190" t="s">
        <v>2566</v>
      </c>
      <c r="G16190" s="9">
        <v>9696.5</v>
      </c>
      <c r="H16190" s="8">
        <v>8473</v>
      </c>
    </row>
    <row r="16191" spans="2:8" ht="15" customHeight="1" x14ac:dyDescent="0.4">
      <c r="B16191" t="s">
        <v>7</v>
      </c>
      <c r="C16191" t="s">
        <v>2562</v>
      </c>
      <c r="D16191" s="7">
        <f>DATE(2010,5,18)</f>
        <v>40316</v>
      </c>
      <c r="E16191" s="8">
        <f t="shared" si="265"/>
        <v>2010</v>
      </c>
      <c r="F16191" t="s">
        <v>2566</v>
      </c>
      <c r="G16191" s="9">
        <v>12272.33</v>
      </c>
      <c r="H16191" s="8">
        <v>9815</v>
      </c>
    </row>
    <row r="16192" spans="2:8" ht="15" customHeight="1" x14ac:dyDescent="0.4">
      <c r="B16192" t="s">
        <v>7</v>
      </c>
      <c r="C16192" t="s">
        <v>2562</v>
      </c>
      <c r="D16192" s="7">
        <f>DATE(2010,9,10)</f>
        <v>40431</v>
      </c>
      <c r="E16192" s="8">
        <f t="shared" si="265"/>
        <v>2010</v>
      </c>
      <c r="F16192" t="s">
        <v>2566</v>
      </c>
      <c r="G16192" s="9">
        <v>12908.01</v>
      </c>
      <c r="H16192" s="8">
        <v>10081</v>
      </c>
    </row>
    <row r="16193" spans="2:8" ht="15" customHeight="1" x14ac:dyDescent="0.4">
      <c r="B16193" t="s">
        <v>7</v>
      </c>
      <c r="C16193" t="s">
        <v>2562</v>
      </c>
      <c r="D16193" s="7">
        <f>DATE(2011,4,21)</f>
        <v>40654</v>
      </c>
      <c r="E16193" s="8">
        <f t="shared" si="265"/>
        <v>2011</v>
      </c>
      <c r="F16193" t="s">
        <v>2566</v>
      </c>
      <c r="G16193" s="9">
        <v>12491.64</v>
      </c>
      <c r="H16193" s="8">
        <v>10658</v>
      </c>
    </row>
    <row r="16194" spans="2:8" ht="15" customHeight="1" x14ac:dyDescent="0.4">
      <c r="B16194" t="s">
        <v>16</v>
      </c>
      <c r="C16194" t="s">
        <v>2562</v>
      </c>
      <c r="D16194" s="7">
        <f>DATE(2003,2,21)</f>
        <v>37673</v>
      </c>
      <c r="E16194" s="8">
        <f t="shared" si="265"/>
        <v>2003</v>
      </c>
      <c r="F16194" t="s">
        <v>2566</v>
      </c>
      <c r="G16194" s="9">
        <v>1354.78</v>
      </c>
      <c r="H16194" s="8">
        <v>271</v>
      </c>
    </row>
    <row r="16195" spans="2:8" ht="15" customHeight="1" x14ac:dyDescent="0.4">
      <c r="B16195" s="3" t="s">
        <v>7</v>
      </c>
      <c r="C16195" s="3" t="s">
        <v>2562</v>
      </c>
      <c r="D16195" s="4">
        <f>DATE(2005,11,14)</f>
        <v>38670</v>
      </c>
      <c r="E16195" s="5">
        <f t="shared" ref="E16195:E16258" si="266">YEAR(D16195)</f>
        <v>2005</v>
      </c>
      <c r="F16195" s="3" t="s">
        <v>2566</v>
      </c>
      <c r="G16195" s="6">
        <v>965.85</v>
      </c>
      <c r="H16195" s="5">
        <v>1317</v>
      </c>
    </row>
    <row r="16196" spans="2:8" ht="15" customHeight="1" x14ac:dyDescent="0.4">
      <c r="B16196" s="3" t="s">
        <v>7</v>
      </c>
      <c r="C16196" s="3" t="s">
        <v>2562</v>
      </c>
      <c r="D16196" s="4">
        <f>DATE(2005,11,14)</f>
        <v>38670</v>
      </c>
      <c r="E16196" s="5">
        <f t="shared" si="266"/>
        <v>2005</v>
      </c>
      <c r="F16196" s="3" t="s">
        <v>2566</v>
      </c>
      <c r="G16196" s="6">
        <v>6750</v>
      </c>
      <c r="H16196" s="5">
        <v>1318</v>
      </c>
    </row>
    <row r="16197" spans="2:8" ht="15" customHeight="1" x14ac:dyDescent="0.4">
      <c r="B16197" s="3" t="s">
        <v>7</v>
      </c>
      <c r="C16197" s="3" t="s">
        <v>2562</v>
      </c>
      <c r="D16197" s="4">
        <f>DATE(2006,7,17)</f>
        <v>38915</v>
      </c>
      <c r="E16197" s="5">
        <f t="shared" si="266"/>
        <v>2006</v>
      </c>
      <c r="F16197" s="3" t="s">
        <v>2566</v>
      </c>
      <c r="G16197" s="6">
        <v>4395.3</v>
      </c>
      <c r="H16197" s="5">
        <v>1696</v>
      </c>
    </row>
    <row r="16198" spans="2:8" ht="15" customHeight="1" x14ac:dyDescent="0.4">
      <c r="B16198" s="3" t="s">
        <v>16</v>
      </c>
      <c r="C16198" s="3" t="s">
        <v>2562</v>
      </c>
      <c r="D16198" s="4">
        <f>DATE(2006,1,18)</f>
        <v>38735</v>
      </c>
      <c r="E16198" s="5">
        <f t="shared" si="266"/>
        <v>2006</v>
      </c>
      <c r="F16198" s="3" t="s">
        <v>2566</v>
      </c>
      <c r="G16198" s="6">
        <v>710.55</v>
      </c>
      <c r="H16198" s="5">
        <v>1451</v>
      </c>
    </row>
    <row r="16199" spans="2:8" ht="15" customHeight="1" x14ac:dyDescent="0.4">
      <c r="B16199" s="3" t="s">
        <v>7</v>
      </c>
      <c r="C16199" s="3" t="s">
        <v>2562</v>
      </c>
      <c r="D16199" s="4">
        <f>DATE(2003,1,29)</f>
        <v>37650</v>
      </c>
      <c r="E16199" s="5">
        <f t="shared" si="266"/>
        <v>2003</v>
      </c>
      <c r="F16199" s="3" t="s">
        <v>2566</v>
      </c>
      <c r="G16199" s="6">
        <v>1535.1</v>
      </c>
      <c r="H16199" s="5">
        <v>153</v>
      </c>
    </row>
    <row r="16200" spans="2:8" ht="15" customHeight="1" x14ac:dyDescent="0.4">
      <c r="B16200" s="3" t="s">
        <v>7</v>
      </c>
      <c r="C16200" s="3" t="s">
        <v>2562</v>
      </c>
      <c r="D16200" s="4">
        <f>DATE(2003,2,6)</f>
        <v>37658</v>
      </c>
      <c r="E16200" s="5">
        <f t="shared" si="266"/>
        <v>2003</v>
      </c>
      <c r="F16200" s="3" t="s">
        <v>2566</v>
      </c>
      <c r="G16200" s="6">
        <v>2485.4</v>
      </c>
      <c r="H16200" s="5">
        <v>219</v>
      </c>
    </row>
    <row r="16201" spans="2:8" ht="15" customHeight="1" x14ac:dyDescent="0.4">
      <c r="B16201" s="3" t="s">
        <v>7</v>
      </c>
      <c r="C16201" s="3" t="s">
        <v>2562</v>
      </c>
      <c r="D16201" s="4">
        <f>DATE(2003,2,28)</f>
        <v>37680</v>
      </c>
      <c r="E16201" s="5">
        <f t="shared" si="266"/>
        <v>2003</v>
      </c>
      <c r="F16201" s="3" t="s">
        <v>2566</v>
      </c>
      <c r="G16201" s="6">
        <v>2255.1</v>
      </c>
      <c r="H16201" s="5">
        <v>412</v>
      </c>
    </row>
    <row r="16202" spans="2:8" ht="15" customHeight="1" x14ac:dyDescent="0.4">
      <c r="B16202" s="3" t="s">
        <v>7</v>
      </c>
      <c r="C16202" s="3" t="s">
        <v>2562</v>
      </c>
      <c r="D16202" s="4">
        <f>DATE(2003,4,24)</f>
        <v>37735</v>
      </c>
      <c r="E16202" s="5">
        <f t="shared" si="266"/>
        <v>2003</v>
      </c>
      <c r="F16202" s="3" t="s">
        <v>2566</v>
      </c>
      <c r="G16202" s="6">
        <v>4530.42</v>
      </c>
      <c r="H16202" s="5">
        <v>795</v>
      </c>
    </row>
    <row r="16203" spans="2:8" ht="15" customHeight="1" x14ac:dyDescent="0.4">
      <c r="B16203" s="3" t="s">
        <v>7</v>
      </c>
      <c r="C16203" s="3" t="s">
        <v>2562</v>
      </c>
      <c r="D16203" s="4">
        <f>DATE(2003,7,25)</f>
        <v>37827</v>
      </c>
      <c r="E16203" s="5">
        <f t="shared" si="266"/>
        <v>2003</v>
      </c>
      <c r="F16203" s="3" t="s">
        <v>2566</v>
      </c>
      <c r="G16203" s="6">
        <v>4746</v>
      </c>
      <c r="H16203" s="5">
        <v>1272</v>
      </c>
    </row>
    <row r="16204" spans="2:8" ht="15" customHeight="1" x14ac:dyDescent="0.4">
      <c r="B16204" s="3" t="s">
        <v>7</v>
      </c>
      <c r="C16204" s="3" t="s">
        <v>2562</v>
      </c>
      <c r="D16204" s="4">
        <f>DATE(2003,8,8)</f>
        <v>37841</v>
      </c>
      <c r="E16204" s="5">
        <f t="shared" si="266"/>
        <v>2003</v>
      </c>
      <c r="F16204" s="3" t="s">
        <v>2566</v>
      </c>
      <c r="G16204" s="6">
        <v>4994.3</v>
      </c>
      <c r="H16204" s="5">
        <v>1318</v>
      </c>
    </row>
    <row r="16205" spans="2:8" ht="15" customHeight="1" x14ac:dyDescent="0.4">
      <c r="B16205" s="3" t="s">
        <v>7</v>
      </c>
      <c r="C16205" s="3" t="s">
        <v>2562</v>
      </c>
      <c r="D16205" s="4">
        <f>DATE(2003,8,26)</f>
        <v>37859</v>
      </c>
      <c r="E16205" s="5">
        <f t="shared" si="266"/>
        <v>2003</v>
      </c>
      <c r="F16205" s="3" t="s">
        <v>2566</v>
      </c>
      <c r="G16205" s="6">
        <v>2423.16</v>
      </c>
      <c r="H16205" s="5">
        <v>1411</v>
      </c>
    </row>
    <row r="16206" spans="2:8" ht="15" customHeight="1" x14ac:dyDescent="0.4">
      <c r="B16206" s="3" t="s">
        <v>7</v>
      </c>
      <c r="C16206" s="3" t="s">
        <v>2562</v>
      </c>
      <c r="D16206" s="4">
        <f>DATE(2003,9,3)</f>
        <v>37867</v>
      </c>
      <c r="E16206" s="5">
        <f t="shared" si="266"/>
        <v>2003</v>
      </c>
      <c r="F16206" s="3" t="s">
        <v>2566</v>
      </c>
      <c r="G16206" s="6">
        <v>1292.25</v>
      </c>
      <c r="H16206" s="5">
        <v>1457</v>
      </c>
    </row>
    <row r="16207" spans="2:8" ht="15" customHeight="1" x14ac:dyDescent="0.4">
      <c r="B16207" s="3" t="s">
        <v>7</v>
      </c>
      <c r="C16207" s="3" t="s">
        <v>2562</v>
      </c>
      <c r="D16207" s="4">
        <f>DATE(2003,9,4)</f>
        <v>37868</v>
      </c>
      <c r="E16207" s="5">
        <f t="shared" si="266"/>
        <v>2003</v>
      </c>
      <c r="F16207" s="3" t="s">
        <v>2566</v>
      </c>
      <c r="G16207" s="6">
        <v>392.5</v>
      </c>
      <c r="H16207" s="5">
        <v>1466</v>
      </c>
    </row>
    <row r="16208" spans="2:8" ht="15" customHeight="1" x14ac:dyDescent="0.4">
      <c r="B16208" s="3" t="s">
        <v>7</v>
      </c>
      <c r="C16208" s="3" t="s">
        <v>2562</v>
      </c>
      <c r="D16208" s="4">
        <f>DATE(2003,9,4)</f>
        <v>37868</v>
      </c>
      <c r="E16208" s="5">
        <f t="shared" si="266"/>
        <v>2003</v>
      </c>
      <c r="F16208" s="3" t="s">
        <v>2566</v>
      </c>
      <c r="G16208" s="6">
        <v>1559.6</v>
      </c>
      <c r="H16208" s="5">
        <v>1450</v>
      </c>
    </row>
    <row r="16209" spans="2:8" ht="15" customHeight="1" x14ac:dyDescent="0.4">
      <c r="B16209" s="3" t="s">
        <v>7</v>
      </c>
      <c r="C16209" s="3" t="s">
        <v>2562</v>
      </c>
      <c r="D16209" s="4">
        <f>DATE(2003,9,17)</f>
        <v>37881</v>
      </c>
      <c r="E16209" s="5">
        <f t="shared" si="266"/>
        <v>2003</v>
      </c>
      <c r="F16209" s="3" t="s">
        <v>2566</v>
      </c>
      <c r="G16209" s="6">
        <v>655.1</v>
      </c>
      <c r="H16209" s="5">
        <v>1520</v>
      </c>
    </row>
    <row r="16210" spans="2:8" ht="15" customHeight="1" x14ac:dyDescent="0.4">
      <c r="B16210" s="3" t="s">
        <v>7</v>
      </c>
      <c r="C16210" s="3" t="s">
        <v>2562</v>
      </c>
      <c r="D16210" s="4">
        <f>DATE(2003,9,29)</f>
        <v>37893</v>
      </c>
      <c r="E16210" s="5">
        <f t="shared" si="266"/>
        <v>2003</v>
      </c>
      <c r="F16210" s="3" t="s">
        <v>2566</v>
      </c>
      <c r="G16210" s="6">
        <v>805.25</v>
      </c>
      <c r="H16210" s="5">
        <v>1583</v>
      </c>
    </row>
    <row r="16211" spans="2:8" ht="15" customHeight="1" x14ac:dyDescent="0.4">
      <c r="B16211" s="3" t="s">
        <v>7</v>
      </c>
      <c r="C16211" s="3" t="s">
        <v>2562</v>
      </c>
      <c r="D16211" s="4">
        <f>DATE(2003,10,14)</f>
        <v>37908</v>
      </c>
      <c r="E16211" s="5">
        <f t="shared" si="266"/>
        <v>2003</v>
      </c>
      <c r="F16211" s="3" t="s">
        <v>2566</v>
      </c>
      <c r="G16211" s="6">
        <v>4741.8999999999996</v>
      </c>
      <c r="H16211" s="5">
        <v>1656</v>
      </c>
    </row>
    <row r="16212" spans="2:8" ht="15" customHeight="1" x14ac:dyDescent="0.4">
      <c r="B16212" s="3" t="s">
        <v>7</v>
      </c>
      <c r="C16212" s="3" t="s">
        <v>2562</v>
      </c>
      <c r="D16212" s="4">
        <f>DATE(2003,10,24)</f>
        <v>37918</v>
      </c>
      <c r="E16212" s="5">
        <f t="shared" si="266"/>
        <v>2003</v>
      </c>
      <c r="F16212" s="3" t="s">
        <v>2566</v>
      </c>
      <c r="G16212" s="6">
        <v>8238</v>
      </c>
      <c r="H16212" s="5">
        <v>1679</v>
      </c>
    </row>
    <row r="16213" spans="2:8" ht="15" customHeight="1" x14ac:dyDescent="0.4">
      <c r="B16213" s="3" t="s">
        <v>7</v>
      </c>
      <c r="C16213" s="3" t="s">
        <v>2562</v>
      </c>
      <c r="D16213" s="4">
        <f>DATE(2003,10,28)</f>
        <v>37922</v>
      </c>
      <c r="E16213" s="5">
        <f t="shared" si="266"/>
        <v>2003</v>
      </c>
      <c r="F16213" s="3" t="s">
        <v>2566</v>
      </c>
      <c r="G16213" s="6">
        <v>779</v>
      </c>
      <c r="H16213" s="5">
        <v>1702</v>
      </c>
    </row>
    <row r="16214" spans="2:8" ht="15" customHeight="1" x14ac:dyDescent="0.4">
      <c r="B16214" s="3" t="s">
        <v>7</v>
      </c>
      <c r="C16214" s="3" t="s">
        <v>2562</v>
      </c>
      <c r="D16214" s="4">
        <f>DATE(2003,12,31)</f>
        <v>37986</v>
      </c>
      <c r="E16214" s="5">
        <f t="shared" si="266"/>
        <v>2003</v>
      </c>
      <c r="F16214" s="3" t="s">
        <v>2566</v>
      </c>
      <c r="G16214" s="6">
        <v>3146</v>
      </c>
      <c r="H16214" s="5">
        <v>1930</v>
      </c>
    </row>
    <row r="16215" spans="2:8" ht="15" customHeight="1" x14ac:dyDescent="0.4">
      <c r="B16215" s="3" t="s">
        <v>7</v>
      </c>
      <c r="C16215" s="3" t="s">
        <v>2562</v>
      </c>
      <c r="D16215" s="4">
        <f>DATE(2004,1,29)</f>
        <v>38015</v>
      </c>
      <c r="E16215" s="5">
        <f t="shared" si="266"/>
        <v>2004</v>
      </c>
      <c r="F16215" s="3" t="s">
        <v>2566</v>
      </c>
      <c r="G16215" s="6">
        <v>3221.5</v>
      </c>
      <c r="H16215" s="5">
        <v>2082</v>
      </c>
    </row>
    <row r="16216" spans="2:8" ht="15" customHeight="1" x14ac:dyDescent="0.4">
      <c r="B16216" s="3" t="s">
        <v>7</v>
      </c>
      <c r="C16216" s="3" t="s">
        <v>2562</v>
      </c>
      <c r="D16216" s="4">
        <f>DATE(2004,3,26)</f>
        <v>38072</v>
      </c>
      <c r="E16216" s="5">
        <f t="shared" si="266"/>
        <v>2004</v>
      </c>
      <c r="F16216" s="3" t="s">
        <v>2566</v>
      </c>
      <c r="G16216" s="6">
        <v>1574.9</v>
      </c>
      <c r="H16216" s="5">
        <v>2488</v>
      </c>
    </row>
    <row r="16217" spans="2:8" ht="15" customHeight="1" x14ac:dyDescent="0.4">
      <c r="B16217" s="3" t="s">
        <v>7</v>
      </c>
      <c r="C16217" s="3" t="s">
        <v>2562</v>
      </c>
      <c r="D16217" s="4">
        <f>DATE(2004,4,23)</f>
        <v>38100</v>
      </c>
      <c r="E16217" s="5">
        <f t="shared" si="266"/>
        <v>2004</v>
      </c>
      <c r="F16217" s="3" t="s">
        <v>2566</v>
      </c>
      <c r="G16217" s="6">
        <v>807</v>
      </c>
      <c r="H16217" s="5">
        <v>2735</v>
      </c>
    </row>
    <row r="16218" spans="2:8" ht="15" customHeight="1" x14ac:dyDescent="0.4">
      <c r="B16218" s="3" t="s">
        <v>7</v>
      </c>
      <c r="C16218" s="3" t="s">
        <v>2562</v>
      </c>
      <c r="D16218" s="4">
        <f>DATE(2004,6,11)</f>
        <v>38149</v>
      </c>
      <c r="E16218" s="5">
        <f t="shared" si="266"/>
        <v>2004</v>
      </c>
      <c r="F16218" s="3" t="s">
        <v>2566</v>
      </c>
      <c r="G16218" s="6">
        <v>1602</v>
      </c>
      <c r="H16218" s="5">
        <v>2990</v>
      </c>
    </row>
    <row r="16219" spans="2:8" ht="15" customHeight="1" x14ac:dyDescent="0.4">
      <c r="B16219" s="3" t="s">
        <v>7</v>
      </c>
      <c r="C16219" s="3" t="s">
        <v>2562</v>
      </c>
      <c r="D16219" s="4">
        <f>DATE(2004,7,13)</f>
        <v>38181</v>
      </c>
      <c r="E16219" s="5">
        <f t="shared" si="266"/>
        <v>2004</v>
      </c>
      <c r="F16219" s="3" t="s">
        <v>2566</v>
      </c>
      <c r="G16219" s="6">
        <v>680.2</v>
      </c>
      <c r="H16219" s="5">
        <v>3137</v>
      </c>
    </row>
    <row r="16220" spans="2:8" ht="15" customHeight="1" x14ac:dyDescent="0.4">
      <c r="B16220" s="3" t="s">
        <v>7</v>
      </c>
      <c r="C16220" s="3" t="s">
        <v>2562</v>
      </c>
      <c r="D16220" s="4">
        <f>DATE(2004,8,10)</f>
        <v>38209</v>
      </c>
      <c r="E16220" s="5">
        <f t="shared" si="266"/>
        <v>2004</v>
      </c>
      <c r="F16220" s="3" t="s">
        <v>2566</v>
      </c>
      <c r="G16220" s="6">
        <v>1785.66</v>
      </c>
      <c r="H16220" s="5">
        <v>3251</v>
      </c>
    </row>
    <row r="16221" spans="2:8" ht="15" customHeight="1" x14ac:dyDescent="0.4">
      <c r="B16221" s="3" t="s">
        <v>7</v>
      </c>
      <c r="C16221" s="3" t="s">
        <v>2562</v>
      </c>
      <c r="D16221" s="4">
        <f>DATE(2004,8,18)</f>
        <v>38217</v>
      </c>
      <c r="E16221" s="5">
        <f t="shared" si="266"/>
        <v>2004</v>
      </c>
      <c r="F16221" s="3" t="s">
        <v>2566</v>
      </c>
      <c r="G16221" s="6">
        <v>339.25</v>
      </c>
      <c r="H16221" s="5">
        <v>3292</v>
      </c>
    </row>
    <row r="16222" spans="2:8" ht="15" customHeight="1" x14ac:dyDescent="0.4">
      <c r="B16222" s="3" t="s">
        <v>7</v>
      </c>
      <c r="C16222" s="3" t="s">
        <v>2562</v>
      </c>
      <c r="D16222" s="4">
        <f>DATE(2004,9,16)</f>
        <v>38246</v>
      </c>
      <c r="E16222" s="5">
        <f t="shared" si="266"/>
        <v>2004</v>
      </c>
      <c r="F16222" s="3" t="s">
        <v>2566</v>
      </c>
      <c r="G16222" s="6">
        <v>3570.8</v>
      </c>
      <c r="H16222" s="5">
        <v>3397</v>
      </c>
    </row>
    <row r="16223" spans="2:8" ht="15" customHeight="1" x14ac:dyDescent="0.4">
      <c r="B16223" s="3" t="s">
        <v>7</v>
      </c>
      <c r="C16223" s="3" t="s">
        <v>2562</v>
      </c>
      <c r="D16223" s="4">
        <f>DATE(2004,11,2)</f>
        <v>38293</v>
      </c>
      <c r="E16223" s="5">
        <f t="shared" si="266"/>
        <v>2004</v>
      </c>
      <c r="F16223" s="3" t="s">
        <v>2566</v>
      </c>
      <c r="G16223" s="6">
        <v>1327.46</v>
      </c>
      <c r="H16223" s="5">
        <v>3661</v>
      </c>
    </row>
    <row r="16224" spans="2:8" ht="15" customHeight="1" x14ac:dyDescent="0.4">
      <c r="B16224" s="3" t="s">
        <v>7</v>
      </c>
      <c r="C16224" s="3" t="s">
        <v>2562</v>
      </c>
      <c r="D16224" s="4">
        <f>DATE(2004,11,22)</f>
        <v>38313</v>
      </c>
      <c r="E16224" s="5">
        <f t="shared" si="266"/>
        <v>2004</v>
      </c>
      <c r="F16224" s="3" t="s">
        <v>2566</v>
      </c>
      <c r="G16224" s="6">
        <v>271.5</v>
      </c>
      <c r="H16224" s="5">
        <v>3751</v>
      </c>
    </row>
    <row r="16225" spans="2:8" ht="15" customHeight="1" x14ac:dyDescent="0.4">
      <c r="B16225" s="3" t="s">
        <v>7</v>
      </c>
      <c r="C16225" s="3" t="s">
        <v>2562</v>
      </c>
      <c r="D16225" s="4">
        <f>DATE(2004,11,22)</f>
        <v>38313</v>
      </c>
      <c r="E16225" s="5">
        <f t="shared" si="266"/>
        <v>2004</v>
      </c>
      <c r="F16225" s="3" t="s">
        <v>2566</v>
      </c>
      <c r="G16225" s="6">
        <v>707</v>
      </c>
      <c r="H16225" s="5">
        <v>3749</v>
      </c>
    </row>
    <row r="16226" spans="2:8" ht="15" customHeight="1" x14ac:dyDescent="0.4">
      <c r="B16226" s="3" t="s">
        <v>7</v>
      </c>
      <c r="C16226" s="3" t="s">
        <v>2562</v>
      </c>
      <c r="D16226" s="4">
        <f>DATE(2005,1,11)</f>
        <v>38363</v>
      </c>
      <c r="E16226" s="5">
        <f t="shared" si="266"/>
        <v>2005</v>
      </c>
      <c r="F16226" s="3" t="s">
        <v>2566</v>
      </c>
      <c r="G16226" s="6">
        <v>1663.5</v>
      </c>
      <c r="H16226" s="5">
        <v>3945</v>
      </c>
    </row>
    <row r="16227" spans="2:8" ht="15" customHeight="1" x14ac:dyDescent="0.4">
      <c r="B16227" s="3" t="s">
        <v>7</v>
      </c>
      <c r="C16227" s="3" t="s">
        <v>2562</v>
      </c>
      <c r="D16227" s="4">
        <f>DATE(2005,1,18)</f>
        <v>38370</v>
      </c>
      <c r="E16227" s="5">
        <f t="shared" si="266"/>
        <v>2005</v>
      </c>
      <c r="F16227" s="3" t="s">
        <v>2566</v>
      </c>
      <c r="G16227" s="6">
        <v>1663.5</v>
      </c>
      <c r="H16227" s="5">
        <v>3985</v>
      </c>
    </row>
    <row r="16228" spans="2:8" ht="15" customHeight="1" x14ac:dyDescent="0.4">
      <c r="B16228" s="3" t="s">
        <v>7</v>
      </c>
      <c r="C16228" s="3" t="s">
        <v>2562</v>
      </c>
      <c r="D16228" s="4">
        <f>DATE(2005,1,24)</f>
        <v>38376</v>
      </c>
      <c r="E16228" s="5">
        <f t="shared" si="266"/>
        <v>2005</v>
      </c>
      <c r="F16228" s="3" t="s">
        <v>2566</v>
      </c>
      <c r="G16228" s="6">
        <v>681.7</v>
      </c>
      <c r="H16228" s="5">
        <v>4014</v>
      </c>
    </row>
    <row r="16229" spans="2:8" ht="15" customHeight="1" x14ac:dyDescent="0.4">
      <c r="B16229" s="3" t="s">
        <v>7</v>
      </c>
      <c r="C16229" s="3" t="s">
        <v>2562</v>
      </c>
      <c r="D16229" s="4">
        <f>DATE(2005,5,25)</f>
        <v>38497</v>
      </c>
      <c r="E16229" s="5">
        <f t="shared" si="266"/>
        <v>2005</v>
      </c>
      <c r="F16229" s="3" t="s">
        <v>2566</v>
      </c>
      <c r="G16229" s="6">
        <v>3864.6</v>
      </c>
      <c r="H16229" s="5">
        <v>4805</v>
      </c>
    </row>
    <row r="16230" spans="2:8" ht="15" customHeight="1" x14ac:dyDescent="0.4">
      <c r="B16230" s="3" t="s">
        <v>7</v>
      </c>
      <c r="C16230" s="3" t="s">
        <v>2562</v>
      </c>
      <c r="D16230" s="4">
        <f>DATE(2005,7,15)</f>
        <v>38548</v>
      </c>
      <c r="E16230" s="5">
        <f t="shared" si="266"/>
        <v>2005</v>
      </c>
      <c r="F16230" s="3" t="s">
        <v>2566</v>
      </c>
      <c r="G16230" s="6">
        <v>648.25</v>
      </c>
      <c r="H16230" s="5">
        <v>4991</v>
      </c>
    </row>
    <row r="16231" spans="2:8" ht="15" customHeight="1" x14ac:dyDescent="0.4">
      <c r="B16231" s="3" t="s">
        <v>7</v>
      </c>
      <c r="C16231" s="3" t="s">
        <v>2562</v>
      </c>
      <c r="D16231" s="4">
        <f>DATE(2005,7,21)</f>
        <v>38554</v>
      </c>
      <c r="E16231" s="5">
        <f t="shared" si="266"/>
        <v>2005</v>
      </c>
      <c r="F16231" s="3" t="s">
        <v>2566</v>
      </c>
      <c r="G16231" s="6">
        <v>4912.8</v>
      </c>
      <c r="H16231" s="5">
        <v>5015</v>
      </c>
    </row>
    <row r="16232" spans="2:8" ht="15" customHeight="1" x14ac:dyDescent="0.4">
      <c r="B16232" s="3" t="s">
        <v>7</v>
      </c>
      <c r="C16232" s="3" t="s">
        <v>2562</v>
      </c>
      <c r="D16232" s="4">
        <f>DATE(2005,8,2)</f>
        <v>38566</v>
      </c>
      <c r="E16232" s="5">
        <f t="shared" si="266"/>
        <v>2005</v>
      </c>
      <c r="F16232" s="3" t="s">
        <v>2566</v>
      </c>
      <c r="G16232" s="6">
        <v>681.7</v>
      </c>
      <c r="H16232" s="5">
        <v>5053</v>
      </c>
    </row>
    <row r="16233" spans="2:8" ht="15" customHeight="1" x14ac:dyDescent="0.4">
      <c r="B16233" s="3" t="s">
        <v>7</v>
      </c>
      <c r="C16233" s="3" t="s">
        <v>2562</v>
      </c>
      <c r="D16233" s="4">
        <f>DATE(2005,8,11)</f>
        <v>38575</v>
      </c>
      <c r="E16233" s="5">
        <f t="shared" si="266"/>
        <v>2005</v>
      </c>
      <c r="F16233" s="3" t="s">
        <v>2566</v>
      </c>
      <c r="G16233" s="6">
        <v>2379.9</v>
      </c>
      <c r="H16233" s="5">
        <v>5088</v>
      </c>
    </row>
    <row r="16234" spans="2:8" ht="15" customHeight="1" x14ac:dyDescent="0.4">
      <c r="B16234" s="3" t="s">
        <v>7</v>
      </c>
      <c r="C16234" s="3" t="s">
        <v>2562</v>
      </c>
      <c r="D16234" s="4">
        <f>DATE(2005,9,6)</f>
        <v>38601</v>
      </c>
      <c r="E16234" s="5">
        <f t="shared" si="266"/>
        <v>2005</v>
      </c>
      <c r="F16234" s="3" t="s">
        <v>2566</v>
      </c>
      <c r="G16234" s="6">
        <v>3137.45</v>
      </c>
      <c r="H16234" s="5">
        <v>5219</v>
      </c>
    </row>
    <row r="16235" spans="2:8" ht="15" customHeight="1" x14ac:dyDescent="0.4">
      <c r="B16235" s="3" t="s">
        <v>7</v>
      </c>
      <c r="C16235" s="3" t="s">
        <v>2562</v>
      </c>
      <c r="D16235" s="4">
        <f>DATE(2005,9,21)</f>
        <v>38616</v>
      </c>
      <c r="E16235" s="5">
        <f t="shared" si="266"/>
        <v>2005</v>
      </c>
      <c r="F16235" s="3" t="s">
        <v>2566</v>
      </c>
      <c r="G16235" s="6">
        <v>4511.6000000000004</v>
      </c>
      <c r="H16235" s="5">
        <v>5312</v>
      </c>
    </row>
    <row r="16236" spans="2:8" ht="15" customHeight="1" x14ac:dyDescent="0.4">
      <c r="B16236" s="3" t="s">
        <v>7</v>
      </c>
      <c r="C16236" s="3" t="s">
        <v>2562</v>
      </c>
      <c r="D16236" s="4">
        <f>DATE(2005,11,9)</f>
        <v>38665</v>
      </c>
      <c r="E16236" s="5">
        <f t="shared" si="266"/>
        <v>2005</v>
      </c>
      <c r="F16236" s="3" t="s">
        <v>2566</v>
      </c>
      <c r="G16236" s="6">
        <v>3551.75</v>
      </c>
      <c r="H16236" s="5">
        <v>5547</v>
      </c>
    </row>
    <row r="16237" spans="2:8" ht="15" customHeight="1" x14ac:dyDescent="0.4">
      <c r="B16237" s="3" t="s">
        <v>7</v>
      </c>
      <c r="C16237" s="3" t="s">
        <v>2562</v>
      </c>
      <c r="D16237" s="4">
        <f>DATE(2006,1,23)</f>
        <v>38740</v>
      </c>
      <c r="E16237" s="5">
        <f t="shared" si="266"/>
        <v>2006</v>
      </c>
      <c r="F16237" s="3" t="s">
        <v>2566</v>
      </c>
      <c r="G16237" s="6">
        <v>4221.37</v>
      </c>
      <c r="H16237" s="5">
        <v>5895</v>
      </c>
    </row>
    <row r="16238" spans="2:8" ht="15" customHeight="1" x14ac:dyDescent="0.4">
      <c r="B16238" s="3" t="s">
        <v>7</v>
      </c>
      <c r="C16238" s="3" t="s">
        <v>2562</v>
      </c>
      <c r="D16238" s="4">
        <f>DATE(2006,2,15)</f>
        <v>38763</v>
      </c>
      <c r="E16238" s="5">
        <f t="shared" si="266"/>
        <v>2006</v>
      </c>
      <c r="F16238" s="3" t="s">
        <v>2566</v>
      </c>
      <c r="G16238" s="6">
        <v>11105.72</v>
      </c>
      <c r="H16238" s="5">
        <v>6020</v>
      </c>
    </row>
    <row r="16239" spans="2:8" ht="15" customHeight="1" x14ac:dyDescent="0.4">
      <c r="B16239" s="3" t="s">
        <v>7</v>
      </c>
      <c r="C16239" s="3" t="s">
        <v>2562</v>
      </c>
      <c r="D16239" s="4">
        <f>DATE(2006,2,16)</f>
        <v>38764</v>
      </c>
      <c r="E16239" s="5">
        <f t="shared" si="266"/>
        <v>2006</v>
      </c>
      <c r="F16239" s="3" t="s">
        <v>2566</v>
      </c>
      <c r="G16239" s="6">
        <v>3452.42</v>
      </c>
      <c r="H16239" s="5">
        <v>6081</v>
      </c>
    </row>
    <row r="16240" spans="2:8" ht="15" customHeight="1" x14ac:dyDescent="0.4">
      <c r="B16240" s="3" t="s">
        <v>7</v>
      </c>
      <c r="C16240" s="3" t="s">
        <v>2562</v>
      </c>
      <c r="D16240" s="4">
        <f>DATE(2006,3,8)</f>
        <v>38784</v>
      </c>
      <c r="E16240" s="5">
        <f t="shared" si="266"/>
        <v>2006</v>
      </c>
      <c r="F16240" s="3" t="s">
        <v>2566</v>
      </c>
      <c r="G16240" s="6">
        <v>1504.05</v>
      </c>
      <c r="H16240" s="5">
        <v>6220</v>
      </c>
    </row>
    <row r="16241" spans="2:8" ht="15" customHeight="1" x14ac:dyDescent="0.4">
      <c r="B16241" s="3" t="s">
        <v>7</v>
      </c>
      <c r="C16241" s="3" t="s">
        <v>2562</v>
      </c>
      <c r="D16241" s="4">
        <f>DATE(2006,5,4)</f>
        <v>38841</v>
      </c>
      <c r="E16241" s="5">
        <f t="shared" si="266"/>
        <v>2006</v>
      </c>
      <c r="F16241" s="3" t="s">
        <v>2566</v>
      </c>
      <c r="G16241" s="6">
        <v>3467.04</v>
      </c>
      <c r="H16241" s="5">
        <v>6664</v>
      </c>
    </row>
    <row r="16242" spans="2:8" ht="15" customHeight="1" x14ac:dyDescent="0.4">
      <c r="B16242" s="3" t="s">
        <v>7</v>
      </c>
      <c r="C16242" s="3" t="s">
        <v>2562</v>
      </c>
      <c r="D16242" s="4">
        <f>DATE(2006,6,1)</f>
        <v>38869</v>
      </c>
      <c r="E16242" s="5">
        <f t="shared" si="266"/>
        <v>2006</v>
      </c>
      <c r="F16242" s="3" t="s">
        <v>2566</v>
      </c>
      <c r="G16242" s="6">
        <v>6771.54</v>
      </c>
      <c r="H16242" s="5">
        <v>6807</v>
      </c>
    </row>
    <row r="16243" spans="2:8" ht="15" customHeight="1" x14ac:dyDescent="0.4">
      <c r="B16243" s="3" t="s">
        <v>7</v>
      </c>
      <c r="C16243" s="3" t="s">
        <v>2562</v>
      </c>
      <c r="D16243" s="4">
        <f>DATE(2006,5,31)</f>
        <v>38868</v>
      </c>
      <c r="E16243" s="5">
        <f t="shared" si="266"/>
        <v>2006</v>
      </c>
      <c r="F16243" s="3" t="s">
        <v>2566</v>
      </c>
      <c r="G16243" s="6">
        <v>2097.98</v>
      </c>
      <c r="H16243" s="5">
        <v>6793</v>
      </c>
    </row>
    <row r="16244" spans="2:8" ht="15" customHeight="1" x14ac:dyDescent="0.4">
      <c r="B16244" s="3" t="s">
        <v>7</v>
      </c>
      <c r="C16244" s="3" t="s">
        <v>2562</v>
      </c>
      <c r="D16244" s="4">
        <f>DATE(2006,7,3)</f>
        <v>38901</v>
      </c>
      <c r="E16244" s="5">
        <f t="shared" si="266"/>
        <v>2006</v>
      </c>
      <c r="F16244" s="3" t="s">
        <v>2566</v>
      </c>
      <c r="G16244" s="6">
        <v>3411.54</v>
      </c>
      <c r="H16244" s="5">
        <v>6915</v>
      </c>
    </row>
    <row r="16245" spans="2:8" ht="15" customHeight="1" x14ac:dyDescent="0.4">
      <c r="B16245" s="3" t="s">
        <v>7</v>
      </c>
      <c r="C16245" s="3" t="s">
        <v>2562</v>
      </c>
      <c r="D16245" s="4">
        <f>DATE(2006,7,12)</f>
        <v>38910</v>
      </c>
      <c r="E16245" s="5">
        <f t="shared" si="266"/>
        <v>2006</v>
      </c>
      <c r="F16245" s="3" t="s">
        <v>2566</v>
      </c>
      <c r="G16245" s="6">
        <v>3514.08</v>
      </c>
      <c r="H16245" s="5">
        <v>6944</v>
      </c>
    </row>
    <row r="16246" spans="2:8" ht="15" customHeight="1" x14ac:dyDescent="0.4">
      <c r="B16246" s="3" t="s">
        <v>7</v>
      </c>
      <c r="C16246" s="3" t="s">
        <v>2562</v>
      </c>
      <c r="D16246" s="4">
        <f>DATE(2006,7,25)</f>
        <v>38923</v>
      </c>
      <c r="E16246" s="5">
        <f t="shared" si="266"/>
        <v>2006</v>
      </c>
      <c r="F16246" s="3" t="s">
        <v>2566</v>
      </c>
      <c r="G16246" s="6">
        <v>5412.52</v>
      </c>
      <c r="H16246" s="5">
        <v>6983</v>
      </c>
    </row>
    <row r="16247" spans="2:8" ht="15" customHeight="1" x14ac:dyDescent="0.4">
      <c r="B16247" s="3" t="s">
        <v>7</v>
      </c>
      <c r="C16247" s="3" t="s">
        <v>2562</v>
      </c>
      <c r="D16247" s="4">
        <f>DATE(2006,8,1)</f>
        <v>38930</v>
      </c>
      <c r="E16247" s="5">
        <f t="shared" si="266"/>
        <v>2006</v>
      </c>
      <c r="F16247" s="3" t="s">
        <v>2566</v>
      </c>
      <c r="G16247" s="6">
        <v>7183.67</v>
      </c>
      <c r="H16247" s="5">
        <v>7010</v>
      </c>
    </row>
    <row r="16248" spans="2:8" ht="15" customHeight="1" x14ac:dyDescent="0.4">
      <c r="B16248" s="3" t="s">
        <v>7</v>
      </c>
      <c r="C16248" s="3" t="s">
        <v>2562</v>
      </c>
      <c r="D16248" s="4">
        <f>DATE(2006,8,23)</f>
        <v>38952</v>
      </c>
      <c r="E16248" s="5">
        <f t="shared" si="266"/>
        <v>2006</v>
      </c>
      <c r="F16248" s="3" t="s">
        <v>2566</v>
      </c>
      <c r="G16248" s="6">
        <v>10886.11</v>
      </c>
      <c r="H16248" s="5">
        <v>7121</v>
      </c>
    </row>
    <row r="16249" spans="2:8" ht="15" customHeight="1" x14ac:dyDescent="0.4">
      <c r="B16249" s="3" t="s">
        <v>7</v>
      </c>
      <c r="C16249" s="3" t="s">
        <v>2562</v>
      </c>
      <c r="D16249" s="4">
        <f>DATE(2006,9,28)</f>
        <v>38988</v>
      </c>
      <c r="E16249" s="5">
        <f t="shared" si="266"/>
        <v>2006</v>
      </c>
      <c r="F16249" s="3" t="s">
        <v>2566</v>
      </c>
      <c r="G16249" s="6">
        <v>2125.2600000000002</v>
      </c>
      <c r="H16249" s="5">
        <v>7313</v>
      </c>
    </row>
    <row r="16250" spans="2:8" ht="15" customHeight="1" x14ac:dyDescent="0.4">
      <c r="B16250" s="3" t="s">
        <v>7</v>
      </c>
      <c r="C16250" s="3" t="s">
        <v>2562</v>
      </c>
      <c r="D16250" s="4">
        <f>DATE(2006,10,2)</f>
        <v>38992</v>
      </c>
      <c r="E16250" s="5">
        <f t="shared" si="266"/>
        <v>2006</v>
      </c>
      <c r="F16250" s="3" t="s">
        <v>2566</v>
      </c>
      <c r="G16250" s="6">
        <v>6107.34</v>
      </c>
      <c r="H16250" s="5">
        <v>7317</v>
      </c>
    </row>
    <row r="16251" spans="2:8" ht="15" customHeight="1" x14ac:dyDescent="0.4">
      <c r="B16251" s="3" t="s">
        <v>7</v>
      </c>
      <c r="C16251" s="3" t="s">
        <v>2562</v>
      </c>
      <c r="D16251" s="4">
        <f>DATE(2006,10,13)</f>
        <v>39003</v>
      </c>
      <c r="E16251" s="5">
        <f t="shared" si="266"/>
        <v>2006</v>
      </c>
      <c r="F16251" s="3" t="s">
        <v>2566</v>
      </c>
      <c r="G16251" s="6">
        <v>10849.42</v>
      </c>
      <c r="H16251" s="5">
        <v>7383</v>
      </c>
    </row>
    <row r="16252" spans="2:8" ht="15" customHeight="1" x14ac:dyDescent="0.4">
      <c r="B16252" s="3" t="s">
        <v>7</v>
      </c>
      <c r="C16252" s="3" t="s">
        <v>2562</v>
      </c>
      <c r="D16252" s="4">
        <f>DATE(2006,10,24)</f>
        <v>39014</v>
      </c>
      <c r="E16252" s="5">
        <f t="shared" si="266"/>
        <v>2006</v>
      </c>
      <c r="F16252" s="3" t="s">
        <v>2566</v>
      </c>
      <c r="G16252" s="6">
        <v>4096.88</v>
      </c>
      <c r="H16252" s="5">
        <v>7429</v>
      </c>
    </row>
    <row r="16253" spans="2:8" ht="15" customHeight="1" x14ac:dyDescent="0.4">
      <c r="B16253" s="3" t="s">
        <v>7</v>
      </c>
      <c r="C16253" s="3" t="s">
        <v>2562</v>
      </c>
      <c r="D16253" s="4">
        <f>DATE(2006,12,13)</f>
        <v>39064</v>
      </c>
      <c r="E16253" s="5">
        <f t="shared" si="266"/>
        <v>2006</v>
      </c>
      <c r="F16253" s="3" t="s">
        <v>2566</v>
      </c>
      <c r="G16253" s="6">
        <v>2026.42</v>
      </c>
      <c r="H16253" s="5">
        <v>7638</v>
      </c>
    </row>
    <row r="16254" spans="2:8" ht="15" customHeight="1" x14ac:dyDescent="0.4">
      <c r="B16254" s="3" t="s">
        <v>7</v>
      </c>
      <c r="C16254" s="3" t="s">
        <v>2562</v>
      </c>
      <c r="D16254" s="4">
        <f>DATE(2006,12,19)</f>
        <v>39070</v>
      </c>
      <c r="E16254" s="5">
        <f t="shared" si="266"/>
        <v>2006</v>
      </c>
      <c r="F16254" s="3" t="s">
        <v>2566</v>
      </c>
      <c r="G16254" s="6">
        <v>11528.51</v>
      </c>
      <c r="H16254" s="5">
        <v>7650</v>
      </c>
    </row>
    <row r="16255" spans="2:8" ht="15" customHeight="1" x14ac:dyDescent="0.4">
      <c r="B16255" s="3" t="s">
        <v>7</v>
      </c>
      <c r="C16255" s="3" t="s">
        <v>2562</v>
      </c>
      <c r="D16255" s="4">
        <f>DATE(2007,1,10)</f>
        <v>39092</v>
      </c>
      <c r="E16255" s="5">
        <f t="shared" si="266"/>
        <v>2007</v>
      </c>
      <c r="F16255" s="3" t="s">
        <v>2566</v>
      </c>
      <c r="G16255" s="6">
        <v>5170.87</v>
      </c>
      <c r="H16255" s="5">
        <v>7738</v>
      </c>
    </row>
    <row r="16256" spans="2:8" ht="15" customHeight="1" x14ac:dyDescent="0.4">
      <c r="B16256" s="3" t="s">
        <v>7</v>
      </c>
      <c r="C16256" s="3" t="s">
        <v>2562</v>
      </c>
      <c r="D16256" s="4">
        <f>DATE(2007,1,11)</f>
        <v>39093</v>
      </c>
      <c r="E16256" s="5">
        <f t="shared" si="266"/>
        <v>2007</v>
      </c>
      <c r="F16256" s="3" t="s">
        <v>2566</v>
      </c>
      <c r="G16256" s="6">
        <v>2752.63</v>
      </c>
      <c r="H16256" s="5">
        <v>7739</v>
      </c>
    </row>
    <row r="16257" spans="2:8" ht="15" customHeight="1" x14ac:dyDescent="0.4">
      <c r="B16257" s="3" t="s">
        <v>7</v>
      </c>
      <c r="C16257" s="3" t="s">
        <v>2562</v>
      </c>
      <c r="D16257" s="4">
        <f>DATE(2007,2,15)</f>
        <v>39128</v>
      </c>
      <c r="E16257" s="5">
        <f t="shared" si="266"/>
        <v>2007</v>
      </c>
      <c r="F16257" s="3" t="s">
        <v>2566</v>
      </c>
      <c r="G16257" s="6">
        <v>7111.17</v>
      </c>
      <c r="H16257" s="5">
        <v>7956</v>
      </c>
    </row>
    <row r="16258" spans="2:8" ht="15" customHeight="1" x14ac:dyDescent="0.4">
      <c r="B16258" s="3" t="s">
        <v>7</v>
      </c>
      <c r="C16258" s="3" t="s">
        <v>2562</v>
      </c>
      <c r="D16258" s="4">
        <f>DATE(2007,3,6)</f>
        <v>39147</v>
      </c>
      <c r="E16258" s="5">
        <f t="shared" si="266"/>
        <v>2007</v>
      </c>
      <c r="F16258" s="3" t="s">
        <v>2566</v>
      </c>
      <c r="G16258" s="6">
        <v>719.06</v>
      </c>
      <c r="H16258" s="5">
        <v>8091</v>
      </c>
    </row>
    <row r="16259" spans="2:8" ht="15" customHeight="1" x14ac:dyDescent="0.4">
      <c r="B16259" s="3" t="s">
        <v>7</v>
      </c>
      <c r="C16259" s="3" t="s">
        <v>2562</v>
      </c>
      <c r="D16259" s="4">
        <f>DATE(2007,3,21)</f>
        <v>39162</v>
      </c>
      <c r="E16259" s="5">
        <f t="shared" ref="E16259:E16322" si="267">YEAR(D16259)</f>
        <v>2007</v>
      </c>
      <c r="F16259" s="3" t="s">
        <v>2566</v>
      </c>
      <c r="G16259" s="6">
        <v>8548.58</v>
      </c>
      <c r="H16259" s="5">
        <v>8198</v>
      </c>
    </row>
    <row r="16260" spans="2:8" ht="15" customHeight="1" x14ac:dyDescent="0.4">
      <c r="B16260" s="3" t="s">
        <v>7</v>
      </c>
      <c r="C16260" s="3" t="s">
        <v>2562</v>
      </c>
      <c r="D16260" s="4">
        <f>DATE(2007,4,3)</f>
        <v>39175</v>
      </c>
      <c r="E16260" s="5">
        <f t="shared" si="267"/>
        <v>2007</v>
      </c>
      <c r="F16260" s="3" t="s">
        <v>2566</v>
      </c>
      <c r="G16260" s="6">
        <v>1013.26</v>
      </c>
      <c r="H16260" s="5">
        <v>8308</v>
      </c>
    </row>
    <row r="16261" spans="2:8" ht="15" customHeight="1" x14ac:dyDescent="0.4">
      <c r="B16261" s="3" t="s">
        <v>7</v>
      </c>
      <c r="C16261" s="3" t="s">
        <v>2562</v>
      </c>
      <c r="D16261" s="4">
        <f>DATE(2007,6,4)</f>
        <v>39237</v>
      </c>
      <c r="E16261" s="5">
        <f t="shared" si="267"/>
        <v>2007</v>
      </c>
      <c r="F16261" s="3" t="s">
        <v>2566</v>
      </c>
      <c r="G16261" s="6">
        <v>720.86</v>
      </c>
      <c r="H16261" s="5">
        <v>8704</v>
      </c>
    </row>
    <row r="16262" spans="2:8" ht="15" customHeight="1" x14ac:dyDescent="0.4">
      <c r="B16262" s="3" t="s">
        <v>7</v>
      </c>
      <c r="C16262" s="3" t="s">
        <v>2562</v>
      </c>
      <c r="D16262" s="4">
        <f>DATE(2007,6,6)</f>
        <v>39239</v>
      </c>
      <c r="E16262" s="5">
        <f t="shared" si="267"/>
        <v>2007</v>
      </c>
      <c r="F16262" s="3" t="s">
        <v>2566</v>
      </c>
      <c r="G16262" s="6">
        <v>3770.42</v>
      </c>
      <c r="H16262" s="5">
        <v>8725</v>
      </c>
    </row>
    <row r="16263" spans="2:8" ht="15" customHeight="1" x14ac:dyDescent="0.4">
      <c r="B16263" s="3" t="s">
        <v>7</v>
      </c>
      <c r="C16263" s="3" t="s">
        <v>2562</v>
      </c>
      <c r="D16263" s="4">
        <f>DATE(2007,7,26)</f>
        <v>39289</v>
      </c>
      <c r="E16263" s="5">
        <f t="shared" si="267"/>
        <v>2007</v>
      </c>
      <c r="F16263" s="3" t="s">
        <v>2566</v>
      </c>
      <c r="G16263" s="6">
        <v>4827.3599999999997</v>
      </c>
      <c r="H16263" s="5">
        <v>8921</v>
      </c>
    </row>
    <row r="16264" spans="2:8" ht="15" customHeight="1" x14ac:dyDescent="0.4">
      <c r="B16264" s="3" t="s">
        <v>7</v>
      </c>
      <c r="C16264" s="3" t="s">
        <v>2562</v>
      </c>
      <c r="D16264" s="4">
        <f>DATE(2007,8,9)</f>
        <v>39303</v>
      </c>
      <c r="E16264" s="5">
        <f t="shared" si="267"/>
        <v>2007</v>
      </c>
      <c r="F16264" s="3" t="s">
        <v>2566</v>
      </c>
      <c r="G16264" s="6">
        <v>3436.91</v>
      </c>
      <c r="H16264" s="5">
        <v>9004</v>
      </c>
    </row>
    <row r="16265" spans="2:8" ht="15" customHeight="1" x14ac:dyDescent="0.4">
      <c r="B16265" s="3" t="s">
        <v>7</v>
      </c>
      <c r="C16265" s="3" t="s">
        <v>2562</v>
      </c>
      <c r="D16265" s="4">
        <f>DATE(2007,8,15)</f>
        <v>39309</v>
      </c>
      <c r="E16265" s="5">
        <f t="shared" si="267"/>
        <v>2007</v>
      </c>
      <c r="F16265" s="3" t="s">
        <v>2566</v>
      </c>
      <c r="G16265" s="6">
        <v>2421.06</v>
      </c>
      <c r="H16265" s="5">
        <v>9028</v>
      </c>
    </row>
    <row r="16266" spans="2:8" ht="15" customHeight="1" x14ac:dyDescent="0.4">
      <c r="B16266" s="3" t="s">
        <v>7</v>
      </c>
      <c r="C16266" s="3" t="s">
        <v>2562</v>
      </c>
      <c r="D16266" s="4">
        <f>DATE(2007,9,4)</f>
        <v>39329</v>
      </c>
      <c r="E16266" s="5">
        <f t="shared" si="267"/>
        <v>2007</v>
      </c>
      <c r="F16266" s="3" t="s">
        <v>2566</v>
      </c>
      <c r="G16266" s="6">
        <v>1718.62</v>
      </c>
      <c r="H16266" s="5">
        <v>9122</v>
      </c>
    </row>
    <row r="16267" spans="2:8" ht="15" customHeight="1" x14ac:dyDescent="0.4">
      <c r="B16267" s="3" t="s">
        <v>7</v>
      </c>
      <c r="C16267" s="3" t="s">
        <v>2562</v>
      </c>
      <c r="D16267" s="4">
        <f>DATE(2007,11,7)</f>
        <v>39393</v>
      </c>
      <c r="E16267" s="5">
        <f t="shared" si="267"/>
        <v>2007</v>
      </c>
      <c r="F16267" s="3" t="s">
        <v>2566</v>
      </c>
      <c r="G16267" s="6">
        <v>7487.37</v>
      </c>
      <c r="H16267" s="5">
        <v>9454</v>
      </c>
    </row>
    <row r="16268" spans="2:8" ht="15" customHeight="1" x14ac:dyDescent="0.4">
      <c r="B16268" s="3" t="s">
        <v>7</v>
      </c>
      <c r="C16268" s="3" t="s">
        <v>2562</v>
      </c>
      <c r="D16268" s="4">
        <f>DATE(2007,11,16)</f>
        <v>39402</v>
      </c>
      <c r="E16268" s="5">
        <f t="shared" si="267"/>
        <v>2007</v>
      </c>
      <c r="F16268" s="3" t="s">
        <v>2566</v>
      </c>
      <c r="G16268" s="6">
        <v>724.5</v>
      </c>
      <c r="H16268" s="5">
        <v>9494</v>
      </c>
    </row>
    <row r="16269" spans="2:8" ht="15" customHeight="1" x14ac:dyDescent="0.4">
      <c r="B16269" s="3" t="s">
        <v>7</v>
      </c>
      <c r="C16269" s="3" t="s">
        <v>2562</v>
      </c>
      <c r="D16269" s="4">
        <f>DATE(2008,1,17)</f>
        <v>39464</v>
      </c>
      <c r="E16269" s="5">
        <f t="shared" si="267"/>
        <v>2008</v>
      </c>
      <c r="F16269" s="3" t="s">
        <v>2566</v>
      </c>
      <c r="G16269" s="6">
        <v>3577.14</v>
      </c>
      <c r="H16269" s="5">
        <v>9747</v>
      </c>
    </row>
    <row r="16270" spans="2:8" ht="15" customHeight="1" x14ac:dyDescent="0.4">
      <c r="B16270" s="3" t="s">
        <v>7</v>
      </c>
      <c r="C16270" s="3" t="s">
        <v>2562</v>
      </c>
      <c r="D16270" s="4">
        <f>DATE(2008,1,23)</f>
        <v>39470</v>
      </c>
      <c r="E16270" s="5">
        <f t="shared" si="267"/>
        <v>2008</v>
      </c>
      <c r="F16270" s="3" t="s">
        <v>2566</v>
      </c>
      <c r="G16270" s="6">
        <v>5113.8100000000004</v>
      </c>
      <c r="H16270" s="5">
        <v>9786</v>
      </c>
    </row>
    <row r="16271" spans="2:8" ht="15" customHeight="1" x14ac:dyDescent="0.4">
      <c r="B16271" s="3" t="s">
        <v>7</v>
      </c>
      <c r="C16271" s="3" t="s">
        <v>2562</v>
      </c>
      <c r="D16271" s="4">
        <f>DATE(2008,1,24)</f>
        <v>39471</v>
      </c>
      <c r="E16271" s="5">
        <f t="shared" si="267"/>
        <v>2008</v>
      </c>
      <c r="F16271" s="3" t="s">
        <v>2566</v>
      </c>
      <c r="G16271" s="6">
        <v>726.49</v>
      </c>
      <c r="H16271" s="5">
        <v>9803</v>
      </c>
    </row>
    <row r="16272" spans="2:8" ht="15" customHeight="1" x14ac:dyDescent="0.4">
      <c r="B16272" s="3" t="s">
        <v>7</v>
      </c>
      <c r="C16272" s="3" t="s">
        <v>2562</v>
      </c>
      <c r="D16272" s="4">
        <f>DATE(2008,6,6)</f>
        <v>39605</v>
      </c>
      <c r="E16272" s="5">
        <f t="shared" si="267"/>
        <v>2008</v>
      </c>
      <c r="F16272" s="3" t="s">
        <v>2566</v>
      </c>
      <c r="G16272" s="6">
        <v>775.23</v>
      </c>
      <c r="H16272" s="5">
        <v>10812</v>
      </c>
    </row>
    <row r="16273" spans="2:8" ht="15" customHeight="1" x14ac:dyDescent="0.4">
      <c r="B16273" s="3" t="s">
        <v>7</v>
      </c>
      <c r="C16273" s="3" t="s">
        <v>2562</v>
      </c>
      <c r="D16273" s="4">
        <f>DATE(2008,7,23)</f>
        <v>39652</v>
      </c>
      <c r="E16273" s="5">
        <f t="shared" si="267"/>
        <v>2008</v>
      </c>
      <c r="F16273" s="3" t="s">
        <v>2566</v>
      </c>
      <c r="G16273" s="6">
        <v>1432.05</v>
      </c>
      <c r="H16273" s="5">
        <v>10988</v>
      </c>
    </row>
    <row r="16274" spans="2:8" ht="15" customHeight="1" x14ac:dyDescent="0.4">
      <c r="B16274" s="3" t="s">
        <v>7</v>
      </c>
      <c r="C16274" s="3" t="s">
        <v>2562</v>
      </c>
      <c r="D16274" s="4">
        <f>DATE(2009,1,15)</f>
        <v>39828</v>
      </c>
      <c r="E16274" s="5">
        <f t="shared" si="267"/>
        <v>2009</v>
      </c>
      <c r="F16274" s="3" t="s">
        <v>2566</v>
      </c>
      <c r="G16274" s="6">
        <v>4527.26</v>
      </c>
      <c r="H16274" s="5">
        <v>11817</v>
      </c>
    </row>
    <row r="16275" spans="2:8" ht="15" customHeight="1" x14ac:dyDescent="0.4">
      <c r="B16275" s="3" t="s">
        <v>7</v>
      </c>
      <c r="C16275" s="3" t="s">
        <v>2562</v>
      </c>
      <c r="D16275" s="4">
        <f>DATE(2009,1,15)</f>
        <v>39828</v>
      </c>
      <c r="E16275" s="5">
        <f t="shared" si="267"/>
        <v>2009</v>
      </c>
      <c r="F16275" s="3" t="s">
        <v>2566</v>
      </c>
      <c r="G16275" s="6">
        <v>4639.62</v>
      </c>
      <c r="H16275" s="5">
        <v>11830</v>
      </c>
    </row>
    <row r="16276" spans="2:8" ht="15" customHeight="1" x14ac:dyDescent="0.4">
      <c r="B16276" s="3" t="s">
        <v>7</v>
      </c>
      <c r="C16276" s="3" t="s">
        <v>2562</v>
      </c>
      <c r="D16276" s="4">
        <f>DATE(2009,1,23)</f>
        <v>39836</v>
      </c>
      <c r="E16276" s="5">
        <f t="shared" si="267"/>
        <v>2009</v>
      </c>
      <c r="F16276" s="3" t="s">
        <v>2566</v>
      </c>
      <c r="G16276" s="6">
        <v>736.32</v>
      </c>
      <c r="H16276" s="5">
        <v>11873</v>
      </c>
    </row>
    <row r="16277" spans="2:8" ht="15" customHeight="1" x14ac:dyDescent="0.4">
      <c r="B16277" s="3" t="s">
        <v>7</v>
      </c>
      <c r="C16277" s="3" t="s">
        <v>2562</v>
      </c>
      <c r="D16277" s="4">
        <f>DATE(2009,2,9)</f>
        <v>39853</v>
      </c>
      <c r="E16277" s="5">
        <f t="shared" si="267"/>
        <v>2009</v>
      </c>
      <c r="F16277" s="3" t="s">
        <v>2566</v>
      </c>
      <c r="G16277" s="6">
        <v>4164.8599999999997</v>
      </c>
      <c r="H16277" s="5">
        <v>11966</v>
      </c>
    </row>
    <row r="16278" spans="2:8" ht="15" customHeight="1" x14ac:dyDescent="0.4">
      <c r="B16278" s="3" t="s">
        <v>7</v>
      </c>
      <c r="C16278" s="3" t="s">
        <v>2562</v>
      </c>
      <c r="D16278" s="4">
        <f>DATE(2009,2,18)</f>
        <v>39862</v>
      </c>
      <c r="E16278" s="5">
        <f t="shared" si="267"/>
        <v>2009</v>
      </c>
      <c r="F16278" s="3" t="s">
        <v>2566</v>
      </c>
      <c r="G16278" s="6">
        <v>722.98</v>
      </c>
      <c r="H16278" s="5">
        <v>12028</v>
      </c>
    </row>
    <row r="16279" spans="2:8" ht="15" customHeight="1" x14ac:dyDescent="0.4">
      <c r="B16279" s="3" t="s">
        <v>7</v>
      </c>
      <c r="C16279" s="3" t="s">
        <v>2562</v>
      </c>
      <c r="D16279" s="4">
        <f>DATE(2009,5,6)</f>
        <v>39939</v>
      </c>
      <c r="E16279" s="5">
        <f t="shared" si="267"/>
        <v>2009</v>
      </c>
      <c r="F16279" s="3" t="s">
        <v>2566</v>
      </c>
      <c r="G16279" s="6">
        <v>1042.2</v>
      </c>
      <c r="H16279" s="5">
        <v>12507</v>
      </c>
    </row>
    <row r="16280" spans="2:8" ht="15" customHeight="1" x14ac:dyDescent="0.4">
      <c r="B16280" s="3" t="s">
        <v>7</v>
      </c>
      <c r="C16280" s="3" t="s">
        <v>2562</v>
      </c>
      <c r="D16280" s="4">
        <f>DATE(2009,7,14)</f>
        <v>40008</v>
      </c>
      <c r="E16280" s="5">
        <f t="shared" si="267"/>
        <v>2009</v>
      </c>
      <c r="F16280" s="3" t="s">
        <v>2566</v>
      </c>
      <c r="G16280" s="6">
        <v>1473.22</v>
      </c>
      <c r="H16280" s="5">
        <v>12804</v>
      </c>
    </row>
    <row r="16281" spans="2:8" ht="15" customHeight="1" x14ac:dyDescent="0.4">
      <c r="B16281" s="3" t="s">
        <v>7</v>
      </c>
      <c r="C16281" s="3" t="s">
        <v>2562</v>
      </c>
      <c r="D16281" s="4">
        <f>DATE(2009,8,4)</f>
        <v>40029</v>
      </c>
      <c r="E16281" s="5">
        <f t="shared" si="267"/>
        <v>2009</v>
      </c>
      <c r="F16281" s="3" t="s">
        <v>2566</v>
      </c>
      <c r="G16281" s="6">
        <v>6486.85</v>
      </c>
      <c r="H16281" s="5">
        <v>12886</v>
      </c>
    </row>
    <row r="16282" spans="2:8" ht="15" customHeight="1" x14ac:dyDescent="0.4">
      <c r="B16282" s="3" t="s">
        <v>7</v>
      </c>
      <c r="C16282" s="3" t="s">
        <v>2562</v>
      </c>
      <c r="D16282" s="4">
        <f>DATE(2009,11,30)</f>
        <v>40147</v>
      </c>
      <c r="E16282" s="5">
        <f t="shared" si="267"/>
        <v>2009</v>
      </c>
      <c r="F16282" s="3" t="s">
        <v>2566</v>
      </c>
      <c r="G16282" s="6">
        <v>3210.16</v>
      </c>
      <c r="H16282" s="5">
        <v>13318</v>
      </c>
    </row>
    <row r="16283" spans="2:8" ht="15" customHeight="1" x14ac:dyDescent="0.4">
      <c r="B16283" s="3" t="s">
        <v>7</v>
      </c>
      <c r="C16283" s="3" t="s">
        <v>2562</v>
      </c>
      <c r="D16283" s="4">
        <f>DATE(2010,4,27)</f>
        <v>40295</v>
      </c>
      <c r="E16283" s="5">
        <f t="shared" si="267"/>
        <v>2010</v>
      </c>
      <c r="F16283" s="3" t="s">
        <v>2566</v>
      </c>
      <c r="G16283" s="6">
        <v>3478.88</v>
      </c>
      <c r="H16283" s="5">
        <v>13992</v>
      </c>
    </row>
    <row r="16284" spans="2:8" ht="15" customHeight="1" x14ac:dyDescent="0.4">
      <c r="B16284" s="3" t="s">
        <v>7</v>
      </c>
      <c r="C16284" s="3" t="s">
        <v>2562</v>
      </c>
      <c r="D16284" s="4">
        <f>DATE(2010,5,7)</f>
        <v>40305</v>
      </c>
      <c r="E16284" s="5">
        <f t="shared" si="267"/>
        <v>2010</v>
      </c>
      <c r="F16284" s="3" t="s">
        <v>2566</v>
      </c>
      <c r="G16284" s="6">
        <v>5240.6099999999997</v>
      </c>
      <c r="H16284" s="5">
        <v>14047</v>
      </c>
    </row>
    <row r="16285" spans="2:8" ht="15" customHeight="1" x14ac:dyDescent="0.4">
      <c r="B16285" s="3" t="s">
        <v>7</v>
      </c>
      <c r="C16285" s="3" t="s">
        <v>2562</v>
      </c>
      <c r="D16285" s="4">
        <f>DATE(2010,5,24)</f>
        <v>40322</v>
      </c>
      <c r="E16285" s="5">
        <f t="shared" si="267"/>
        <v>2010</v>
      </c>
      <c r="F16285" s="3" t="s">
        <v>2566</v>
      </c>
      <c r="G16285" s="6">
        <v>12775.5</v>
      </c>
      <c r="H16285" s="5">
        <v>14003</v>
      </c>
    </row>
    <row r="16286" spans="2:8" ht="15" customHeight="1" x14ac:dyDescent="0.4">
      <c r="B16286" s="3" t="s">
        <v>7</v>
      </c>
      <c r="C16286" s="3" t="s">
        <v>2562</v>
      </c>
      <c r="D16286" s="4">
        <f>DATE(2010,6,17)</f>
        <v>40346</v>
      </c>
      <c r="E16286" s="5">
        <f t="shared" si="267"/>
        <v>2010</v>
      </c>
      <c r="F16286" s="3" t="s">
        <v>2566</v>
      </c>
      <c r="G16286" s="6">
        <v>1542.9</v>
      </c>
      <c r="H16286" s="5">
        <v>14190</v>
      </c>
    </row>
    <row r="16287" spans="2:8" ht="15" customHeight="1" x14ac:dyDescent="0.4">
      <c r="B16287" s="3" t="s">
        <v>7</v>
      </c>
      <c r="C16287" s="3" t="s">
        <v>2562</v>
      </c>
      <c r="D16287" s="4">
        <f>DATE(2010,7,1)</f>
        <v>40360</v>
      </c>
      <c r="E16287" s="5">
        <f t="shared" si="267"/>
        <v>2010</v>
      </c>
      <c r="F16287" s="3" t="s">
        <v>2566</v>
      </c>
      <c r="G16287" s="6">
        <v>5155.22</v>
      </c>
      <c r="H16287" s="5">
        <v>14238</v>
      </c>
    </row>
    <row r="16288" spans="2:8" ht="15" customHeight="1" x14ac:dyDescent="0.4">
      <c r="B16288" s="3" t="s">
        <v>7</v>
      </c>
      <c r="C16288" s="3" t="s">
        <v>2562</v>
      </c>
      <c r="D16288" s="4">
        <f>DATE(2010,7,13)</f>
        <v>40372</v>
      </c>
      <c r="E16288" s="5">
        <f t="shared" si="267"/>
        <v>2010</v>
      </c>
      <c r="F16288" s="3" t="s">
        <v>2566</v>
      </c>
      <c r="G16288" s="6">
        <v>2483.8000000000002</v>
      </c>
      <c r="H16288" s="5">
        <v>14261</v>
      </c>
    </row>
    <row r="16289" spans="2:8" ht="15" customHeight="1" x14ac:dyDescent="0.4">
      <c r="B16289" s="3" t="s">
        <v>7</v>
      </c>
      <c r="C16289" s="3" t="s">
        <v>2562</v>
      </c>
      <c r="D16289" s="4">
        <f>DATE(2010,9,2)</f>
        <v>40423</v>
      </c>
      <c r="E16289" s="5">
        <f t="shared" si="267"/>
        <v>2010</v>
      </c>
      <c r="F16289" s="3" t="s">
        <v>2566</v>
      </c>
      <c r="G16289" s="6">
        <v>16299.85</v>
      </c>
      <c r="H16289" s="5">
        <v>14479</v>
      </c>
    </row>
    <row r="16290" spans="2:8" ht="15" customHeight="1" x14ac:dyDescent="0.4">
      <c r="B16290" s="3" t="s">
        <v>7</v>
      </c>
      <c r="C16290" s="3" t="s">
        <v>2562</v>
      </c>
      <c r="D16290" s="4">
        <f>DATE(2010,9,8)</f>
        <v>40429</v>
      </c>
      <c r="E16290" s="5">
        <f t="shared" si="267"/>
        <v>2010</v>
      </c>
      <c r="F16290" s="3" t="s">
        <v>2566</v>
      </c>
      <c r="G16290" s="6">
        <v>1087.73</v>
      </c>
      <c r="H16290" s="5">
        <v>14487</v>
      </c>
    </row>
    <row r="16291" spans="2:8" ht="15" customHeight="1" x14ac:dyDescent="0.4">
      <c r="B16291" s="3" t="s">
        <v>7</v>
      </c>
      <c r="C16291" s="3" t="s">
        <v>2562</v>
      </c>
      <c r="D16291" s="4">
        <f>DATE(2010,9,10)</f>
        <v>40431</v>
      </c>
      <c r="E16291" s="5">
        <f t="shared" si="267"/>
        <v>2010</v>
      </c>
      <c r="F16291" s="3" t="s">
        <v>2566</v>
      </c>
      <c r="G16291" s="6">
        <v>16295.2</v>
      </c>
      <c r="H16291" s="5">
        <v>14497</v>
      </c>
    </row>
    <row r="16292" spans="2:8" ht="15" customHeight="1" x14ac:dyDescent="0.4">
      <c r="B16292" s="3" t="s">
        <v>7</v>
      </c>
      <c r="C16292" s="3" t="s">
        <v>2562</v>
      </c>
      <c r="D16292" s="4">
        <f>DATE(2010,11,3)</f>
        <v>40485</v>
      </c>
      <c r="E16292" s="5">
        <f t="shared" si="267"/>
        <v>2010</v>
      </c>
      <c r="F16292" s="3" t="s">
        <v>2566</v>
      </c>
      <c r="G16292" s="6">
        <v>16305.8</v>
      </c>
      <c r="H16292" s="5">
        <v>14725</v>
      </c>
    </row>
    <row r="16293" spans="2:8" ht="15" customHeight="1" x14ac:dyDescent="0.4">
      <c r="B16293" s="3" t="s">
        <v>7</v>
      </c>
      <c r="C16293" s="3" t="s">
        <v>2562</v>
      </c>
      <c r="D16293" s="4">
        <f>DATE(2011,2,1)</f>
        <v>40575</v>
      </c>
      <c r="E16293" s="5">
        <f t="shared" si="267"/>
        <v>2011</v>
      </c>
      <c r="F16293" s="3" t="s">
        <v>2566</v>
      </c>
      <c r="G16293" s="6">
        <v>6902.61</v>
      </c>
      <c r="H16293" s="5">
        <v>15003</v>
      </c>
    </row>
    <row r="16294" spans="2:8" ht="15" customHeight="1" x14ac:dyDescent="0.4">
      <c r="B16294" s="3" t="s">
        <v>7</v>
      </c>
      <c r="C16294" s="3" t="s">
        <v>2562</v>
      </c>
      <c r="D16294" s="4">
        <f>DATE(2011,3,10)</f>
        <v>40612</v>
      </c>
      <c r="E16294" s="5">
        <f t="shared" si="267"/>
        <v>2011</v>
      </c>
      <c r="F16294" s="3" t="s">
        <v>2566</v>
      </c>
      <c r="G16294" s="6">
        <v>10194.93</v>
      </c>
      <c r="H16294" s="5">
        <v>15231</v>
      </c>
    </row>
    <row r="16295" spans="2:8" ht="15" customHeight="1" x14ac:dyDescent="0.4">
      <c r="B16295" s="3" t="s">
        <v>7</v>
      </c>
      <c r="C16295" s="3" t="s">
        <v>2562</v>
      </c>
      <c r="D16295" s="4">
        <f>DATE(2011,3,17)</f>
        <v>40619</v>
      </c>
      <c r="E16295" s="5">
        <f t="shared" si="267"/>
        <v>2011</v>
      </c>
      <c r="F16295" s="3" t="s">
        <v>2566</v>
      </c>
      <c r="G16295" s="6">
        <v>6742.27</v>
      </c>
      <c r="H16295" s="5">
        <v>15280</v>
      </c>
    </row>
    <row r="16296" spans="2:8" ht="15" customHeight="1" x14ac:dyDescent="0.4">
      <c r="B16296" s="3" t="s">
        <v>7</v>
      </c>
      <c r="C16296" s="3" t="s">
        <v>2562</v>
      </c>
      <c r="D16296" s="4">
        <f>DATE(2011,4,4)</f>
        <v>40637</v>
      </c>
      <c r="E16296" s="5">
        <f t="shared" si="267"/>
        <v>2011</v>
      </c>
      <c r="F16296" s="3" t="s">
        <v>2566</v>
      </c>
      <c r="G16296" s="6">
        <v>3608.55</v>
      </c>
      <c r="H16296" s="5">
        <v>15387</v>
      </c>
    </row>
    <row r="16297" spans="2:8" ht="15" customHeight="1" x14ac:dyDescent="0.4">
      <c r="B16297" s="3" t="s">
        <v>7</v>
      </c>
      <c r="C16297" s="3" t="s">
        <v>2562</v>
      </c>
      <c r="D16297" s="4">
        <f>DATE(2011,4,14)</f>
        <v>40647</v>
      </c>
      <c r="E16297" s="5">
        <f t="shared" si="267"/>
        <v>2011</v>
      </c>
      <c r="F16297" s="3" t="s">
        <v>2566</v>
      </c>
      <c r="G16297" s="6">
        <v>5135.41</v>
      </c>
      <c r="H16297" s="5">
        <v>15449</v>
      </c>
    </row>
    <row r="16298" spans="2:8" ht="15" customHeight="1" x14ac:dyDescent="0.4">
      <c r="B16298" s="3" t="s">
        <v>7</v>
      </c>
      <c r="C16298" s="3" t="s">
        <v>2562</v>
      </c>
      <c r="D16298" s="4">
        <f>DATE(2011,4,19)</f>
        <v>40652</v>
      </c>
      <c r="E16298" s="5">
        <f t="shared" si="267"/>
        <v>2011</v>
      </c>
      <c r="F16298" s="3" t="s">
        <v>2566</v>
      </c>
      <c r="G16298" s="6">
        <v>3608.55</v>
      </c>
      <c r="H16298" s="5">
        <v>15471</v>
      </c>
    </row>
    <row r="16299" spans="2:8" ht="15" customHeight="1" x14ac:dyDescent="0.4">
      <c r="B16299" s="3" t="s">
        <v>7</v>
      </c>
      <c r="C16299" s="3" t="s">
        <v>2562</v>
      </c>
      <c r="D16299" s="4">
        <f>DATE(2011,4,27)</f>
        <v>40660</v>
      </c>
      <c r="E16299" s="5">
        <f t="shared" si="267"/>
        <v>2011</v>
      </c>
      <c r="F16299" s="3" t="s">
        <v>2566</v>
      </c>
      <c r="G16299" s="6">
        <v>2174.17</v>
      </c>
      <c r="H16299" s="5">
        <v>15507</v>
      </c>
    </row>
    <row r="16300" spans="2:8" ht="15" customHeight="1" x14ac:dyDescent="0.4">
      <c r="B16300" s="3" t="s">
        <v>7</v>
      </c>
      <c r="C16300" s="3" t="s">
        <v>2562</v>
      </c>
      <c r="D16300" s="4">
        <f>DATE(2011,4,29)</f>
        <v>40662</v>
      </c>
      <c r="E16300" s="5">
        <f t="shared" si="267"/>
        <v>2011</v>
      </c>
      <c r="F16300" s="3" t="s">
        <v>2566</v>
      </c>
      <c r="G16300" s="6">
        <v>186.2</v>
      </c>
      <c r="H16300" s="5">
        <v>15515</v>
      </c>
    </row>
    <row r="16301" spans="2:8" ht="15" customHeight="1" x14ac:dyDescent="0.4">
      <c r="B16301" s="3" t="s">
        <v>7</v>
      </c>
      <c r="C16301" s="3" t="s">
        <v>2562</v>
      </c>
      <c r="D16301" s="4">
        <f>DATE(2011,5,24)</f>
        <v>40687</v>
      </c>
      <c r="E16301" s="5">
        <f t="shared" si="267"/>
        <v>2011</v>
      </c>
      <c r="F16301" s="3" t="s">
        <v>2566</v>
      </c>
      <c r="G16301" s="6">
        <v>2824.58</v>
      </c>
      <c r="H16301" s="5">
        <v>15628</v>
      </c>
    </row>
    <row r="16302" spans="2:8" ht="15" customHeight="1" x14ac:dyDescent="0.4">
      <c r="B16302" s="3" t="s">
        <v>7</v>
      </c>
      <c r="C16302" s="3" t="s">
        <v>2562</v>
      </c>
      <c r="D16302" s="4">
        <f>DATE(2011,6,13)</f>
        <v>40707</v>
      </c>
      <c r="E16302" s="5">
        <f t="shared" si="267"/>
        <v>2011</v>
      </c>
      <c r="F16302" s="3" t="s">
        <v>2566</v>
      </c>
      <c r="G16302" s="6">
        <v>1413.34</v>
      </c>
      <c r="H16302" s="5">
        <v>15696</v>
      </c>
    </row>
    <row r="16303" spans="2:8" ht="15" customHeight="1" x14ac:dyDescent="0.4">
      <c r="B16303" s="3" t="s">
        <v>7</v>
      </c>
      <c r="C16303" s="3" t="s">
        <v>2562</v>
      </c>
      <c r="D16303" s="4">
        <f>DATE(2011,6,24)</f>
        <v>40718</v>
      </c>
      <c r="E16303" s="5">
        <f t="shared" si="267"/>
        <v>2011</v>
      </c>
      <c r="F16303" s="3" t="s">
        <v>2566</v>
      </c>
      <c r="G16303" s="6">
        <v>2953.52</v>
      </c>
      <c r="H16303" s="5">
        <v>15730</v>
      </c>
    </row>
    <row r="16304" spans="2:8" ht="15" customHeight="1" x14ac:dyDescent="0.4">
      <c r="B16304" s="3" t="s">
        <v>7</v>
      </c>
      <c r="C16304" s="3" t="s">
        <v>2562</v>
      </c>
      <c r="D16304" s="4">
        <f>DATE(2011,6,29)</f>
        <v>40723</v>
      </c>
      <c r="E16304" s="5">
        <f t="shared" si="267"/>
        <v>2011</v>
      </c>
      <c r="F16304" s="3" t="s">
        <v>2566</v>
      </c>
      <c r="G16304" s="6">
        <v>14584.63</v>
      </c>
      <c r="H16304" s="5">
        <v>15741</v>
      </c>
    </row>
    <row r="16305" spans="2:8" ht="15" customHeight="1" x14ac:dyDescent="0.4">
      <c r="B16305" s="3" t="s">
        <v>7</v>
      </c>
      <c r="C16305" s="3" t="s">
        <v>2562</v>
      </c>
      <c r="D16305" s="4">
        <f>DATE(2011,7,25)</f>
        <v>40749</v>
      </c>
      <c r="E16305" s="5">
        <f t="shared" si="267"/>
        <v>2011</v>
      </c>
      <c r="F16305" s="3" t="s">
        <v>2566</v>
      </c>
      <c r="G16305" s="6">
        <v>3976.83</v>
      </c>
      <c r="H16305" s="5">
        <v>15811</v>
      </c>
    </row>
    <row r="16306" spans="2:8" ht="15" customHeight="1" x14ac:dyDescent="0.4">
      <c r="B16306" s="3" t="s">
        <v>7</v>
      </c>
      <c r="C16306" s="3" t="s">
        <v>2562</v>
      </c>
      <c r="D16306" s="4">
        <f>DATE(2011,7,28)</f>
        <v>40752</v>
      </c>
      <c r="E16306" s="5">
        <f t="shared" si="267"/>
        <v>2011</v>
      </c>
      <c r="F16306" s="3" t="s">
        <v>2566</v>
      </c>
      <c r="G16306" s="6">
        <v>3449.81</v>
      </c>
      <c r="H16306" s="5">
        <v>15825</v>
      </c>
    </row>
    <row r="16307" spans="2:8" ht="15" customHeight="1" x14ac:dyDescent="0.4">
      <c r="B16307" s="3" t="s">
        <v>7</v>
      </c>
      <c r="C16307" s="3" t="s">
        <v>2562</v>
      </c>
      <c r="D16307" s="4">
        <f>DATE(2011,8,15)</f>
        <v>40770</v>
      </c>
      <c r="E16307" s="5">
        <f t="shared" si="267"/>
        <v>2011</v>
      </c>
      <c r="F16307" s="3" t="s">
        <v>2566</v>
      </c>
      <c r="G16307" s="6">
        <v>16477.580000000002</v>
      </c>
      <c r="H16307" s="5">
        <v>15882</v>
      </c>
    </row>
    <row r="16308" spans="2:8" ht="15" customHeight="1" x14ac:dyDescent="0.4">
      <c r="B16308" s="3" t="s">
        <v>16</v>
      </c>
      <c r="C16308" s="3" t="s">
        <v>2562</v>
      </c>
      <c r="D16308" s="4">
        <f>DATE(2009,1,15)</f>
        <v>39828</v>
      </c>
      <c r="E16308" s="5">
        <f t="shared" si="267"/>
        <v>2009</v>
      </c>
      <c r="F16308" s="3" t="s">
        <v>2566</v>
      </c>
      <c r="G16308" s="6">
        <v>4527.26</v>
      </c>
      <c r="H16308" s="5">
        <v>11831</v>
      </c>
    </row>
    <row r="16309" spans="2:8" ht="15" customHeight="1" x14ac:dyDescent="0.4">
      <c r="B16309" s="3" t="s">
        <v>16</v>
      </c>
      <c r="C16309" s="3" t="s">
        <v>2562</v>
      </c>
      <c r="D16309" s="4">
        <f>DATE(2010,9,29)</f>
        <v>40450</v>
      </c>
      <c r="E16309" s="5">
        <f t="shared" si="267"/>
        <v>2010</v>
      </c>
      <c r="F16309" s="3" t="s">
        <v>2566</v>
      </c>
      <c r="G16309" s="6">
        <v>10875.24</v>
      </c>
      <c r="H16309" s="5">
        <v>14579</v>
      </c>
    </row>
    <row r="16310" spans="2:8" ht="15" customHeight="1" x14ac:dyDescent="0.4">
      <c r="B16310" t="s">
        <v>7</v>
      </c>
      <c r="C16310" t="s">
        <v>2567</v>
      </c>
      <c r="D16310" s="7">
        <f>DATE(2015,6,10)</f>
        <v>42165</v>
      </c>
      <c r="E16310" s="8">
        <f t="shared" si="267"/>
        <v>2015</v>
      </c>
      <c r="F16310" t="s">
        <v>2568</v>
      </c>
      <c r="G16310" s="9">
        <v>12258.85</v>
      </c>
      <c r="H16310" s="8">
        <v>20092</v>
      </c>
    </row>
    <row r="16311" spans="2:8" ht="15" customHeight="1" x14ac:dyDescent="0.4">
      <c r="B16311" t="s">
        <v>7</v>
      </c>
      <c r="C16311" t="s">
        <v>2567</v>
      </c>
      <c r="D16311" s="7">
        <f>DATE(2016,5,26)</f>
        <v>42516</v>
      </c>
      <c r="E16311" s="8">
        <f t="shared" si="267"/>
        <v>2016</v>
      </c>
      <c r="F16311" t="s">
        <v>2568</v>
      </c>
      <c r="G16311" s="9">
        <v>12398.85</v>
      </c>
      <c r="H16311" s="8">
        <v>22548</v>
      </c>
    </row>
    <row r="16312" spans="2:8" ht="15" customHeight="1" x14ac:dyDescent="0.4">
      <c r="B16312" t="s">
        <v>7</v>
      </c>
      <c r="C16312" t="s">
        <v>2567</v>
      </c>
      <c r="D16312" s="7">
        <f>DATE(2017,5,18)</f>
        <v>42873</v>
      </c>
      <c r="E16312" s="8">
        <f t="shared" si="267"/>
        <v>2017</v>
      </c>
      <c r="F16312" t="s">
        <v>2568</v>
      </c>
      <c r="G16312" s="9">
        <v>15819.05</v>
      </c>
      <c r="H16312" s="8">
        <v>24433</v>
      </c>
    </row>
    <row r="16313" spans="2:8" ht="15" customHeight="1" x14ac:dyDescent="0.4">
      <c r="B16313" t="s">
        <v>7</v>
      </c>
      <c r="C16313" t="s">
        <v>2567</v>
      </c>
      <c r="D16313" s="7">
        <f>DATE(2018,4,16)</f>
        <v>43206</v>
      </c>
      <c r="E16313" s="8">
        <f t="shared" si="267"/>
        <v>2018</v>
      </c>
      <c r="F16313" t="s">
        <v>2568</v>
      </c>
      <c r="G16313" s="9">
        <v>12495.5</v>
      </c>
      <c r="H16313" s="8">
        <v>26720</v>
      </c>
    </row>
    <row r="16314" spans="2:8" ht="15" customHeight="1" x14ac:dyDescent="0.4">
      <c r="B16314" t="s">
        <v>7</v>
      </c>
      <c r="C16314" t="s">
        <v>2567</v>
      </c>
      <c r="D16314" s="7">
        <f>DATE(2015,5,26)</f>
        <v>42150</v>
      </c>
      <c r="E16314" s="8">
        <f t="shared" si="267"/>
        <v>2015</v>
      </c>
      <c r="F16314" t="s">
        <v>2568</v>
      </c>
      <c r="G16314" s="9">
        <v>2743.57</v>
      </c>
      <c r="H16314" s="8">
        <v>20582</v>
      </c>
    </row>
    <row r="16315" spans="2:8" ht="15" customHeight="1" x14ac:dyDescent="0.4">
      <c r="B16315" t="s">
        <v>7</v>
      </c>
      <c r="C16315" t="s">
        <v>2567</v>
      </c>
      <c r="D16315" s="7">
        <f>DATE(2004,10,21)</f>
        <v>38281</v>
      </c>
      <c r="E16315" s="8">
        <f t="shared" si="267"/>
        <v>2004</v>
      </c>
      <c r="F16315" t="s">
        <v>2568</v>
      </c>
      <c r="G16315" s="9">
        <v>9568</v>
      </c>
      <c r="H16315" s="8">
        <v>2302</v>
      </c>
    </row>
    <row r="16316" spans="2:8" ht="15" customHeight="1" x14ac:dyDescent="0.4">
      <c r="B16316" t="s">
        <v>7</v>
      </c>
      <c r="C16316" t="s">
        <v>2567</v>
      </c>
      <c r="D16316" s="7">
        <f>DATE(2006,5,30)</f>
        <v>38867</v>
      </c>
      <c r="E16316" s="8">
        <f t="shared" si="267"/>
        <v>2006</v>
      </c>
      <c r="F16316" t="s">
        <v>2568</v>
      </c>
      <c r="G16316" s="9">
        <v>2017.23</v>
      </c>
      <c r="H16316" s="8">
        <v>4659</v>
      </c>
    </row>
    <row r="16317" spans="2:8" ht="15" customHeight="1" x14ac:dyDescent="0.4">
      <c r="B16317" t="s">
        <v>7</v>
      </c>
      <c r="C16317" t="s">
        <v>2567</v>
      </c>
      <c r="D16317" s="7">
        <f>DATE(2008,8,5)</f>
        <v>39665</v>
      </c>
      <c r="E16317" s="8">
        <f t="shared" si="267"/>
        <v>2008</v>
      </c>
      <c r="F16317" t="s">
        <v>2568</v>
      </c>
      <c r="G16317" s="9">
        <v>3007.16</v>
      </c>
      <c r="H16317" s="8">
        <v>7721</v>
      </c>
    </row>
    <row r="16318" spans="2:8" ht="15" customHeight="1" x14ac:dyDescent="0.4">
      <c r="B16318" t="s">
        <v>7</v>
      </c>
      <c r="C16318" t="s">
        <v>2567</v>
      </c>
      <c r="D16318" s="7">
        <f>DATE(2008,11,26)</f>
        <v>39778</v>
      </c>
      <c r="E16318" s="8">
        <f t="shared" si="267"/>
        <v>2008</v>
      </c>
      <c r="F16318" t="s">
        <v>2568</v>
      </c>
      <c r="G16318" s="9">
        <v>4917.37</v>
      </c>
      <c r="H16318" s="8">
        <v>8061</v>
      </c>
    </row>
    <row r="16319" spans="2:8" ht="15" customHeight="1" x14ac:dyDescent="0.4">
      <c r="B16319" t="s">
        <v>7</v>
      </c>
      <c r="C16319" t="s">
        <v>2567</v>
      </c>
      <c r="D16319" s="7">
        <f>DATE(2014,3,3)</f>
        <v>41701</v>
      </c>
      <c r="E16319" s="8">
        <f t="shared" si="267"/>
        <v>2014</v>
      </c>
      <c r="F16319" t="s">
        <v>2568</v>
      </c>
      <c r="G16319" s="9">
        <v>29442.74</v>
      </c>
      <c r="H16319" s="8">
        <v>12959</v>
      </c>
    </row>
    <row r="16320" spans="2:8" ht="15" customHeight="1" x14ac:dyDescent="0.4">
      <c r="B16320" t="s">
        <v>7</v>
      </c>
      <c r="C16320" t="s">
        <v>2567</v>
      </c>
      <c r="D16320" s="7">
        <f>DATE(2011,6,14)</f>
        <v>40708</v>
      </c>
      <c r="E16320" s="8">
        <f t="shared" si="267"/>
        <v>2011</v>
      </c>
      <c r="F16320" t="s">
        <v>2568</v>
      </c>
      <c r="G16320" s="9">
        <v>2258.9699999999998</v>
      </c>
      <c r="H16320" s="8">
        <v>10798</v>
      </c>
    </row>
    <row r="16321" spans="2:8" ht="15" customHeight="1" x14ac:dyDescent="0.4">
      <c r="B16321" t="s">
        <v>7</v>
      </c>
      <c r="C16321" t="s">
        <v>2567</v>
      </c>
      <c r="D16321" s="7">
        <f>DATE(2012,6,13)</f>
        <v>41073</v>
      </c>
      <c r="E16321" s="8">
        <f t="shared" si="267"/>
        <v>2012</v>
      </c>
      <c r="F16321" t="s">
        <v>2568</v>
      </c>
      <c r="G16321" s="9">
        <v>2488.09</v>
      </c>
      <c r="H16321" s="8">
        <v>11690</v>
      </c>
    </row>
    <row r="16322" spans="2:8" ht="15" customHeight="1" x14ac:dyDescent="0.4">
      <c r="B16322" t="s">
        <v>7</v>
      </c>
      <c r="C16322" t="s">
        <v>2567</v>
      </c>
      <c r="D16322" s="7">
        <f>DATE(2013,8,22)</f>
        <v>41508</v>
      </c>
      <c r="E16322" s="8">
        <f t="shared" si="267"/>
        <v>2013</v>
      </c>
      <c r="F16322" t="s">
        <v>2568</v>
      </c>
      <c r="G16322" s="9">
        <v>2430.94</v>
      </c>
      <c r="H16322" s="8">
        <v>12619</v>
      </c>
    </row>
    <row r="16323" spans="2:8" ht="15" customHeight="1" x14ac:dyDescent="0.4">
      <c r="B16323" t="s">
        <v>7</v>
      </c>
      <c r="C16323" t="s">
        <v>2567</v>
      </c>
      <c r="D16323" s="7">
        <f>DATE(2014,11,5)</f>
        <v>41948</v>
      </c>
      <c r="E16323" s="8">
        <f t="shared" ref="E16323:E16386" si="268">YEAR(D16323)</f>
        <v>2014</v>
      </c>
      <c r="F16323" t="s">
        <v>2568</v>
      </c>
      <c r="G16323" s="9">
        <v>3191.66</v>
      </c>
      <c r="H16323" s="8">
        <v>13558</v>
      </c>
    </row>
    <row r="16324" spans="2:8" ht="15" customHeight="1" x14ac:dyDescent="0.4">
      <c r="B16324" t="s">
        <v>7</v>
      </c>
      <c r="C16324" t="s">
        <v>2567</v>
      </c>
      <c r="D16324" s="7">
        <f>DATE(2019,4,19)</f>
        <v>43574</v>
      </c>
      <c r="E16324" s="8">
        <f t="shared" si="268"/>
        <v>2019</v>
      </c>
      <c r="F16324" t="s">
        <v>2569</v>
      </c>
      <c r="G16324" s="9">
        <v>12547</v>
      </c>
      <c r="H16324" s="8">
        <v>28397</v>
      </c>
    </row>
    <row r="16325" spans="2:8" ht="15" customHeight="1" x14ac:dyDescent="0.4">
      <c r="B16325" s="3" t="s">
        <v>7</v>
      </c>
      <c r="C16325" s="3" t="s">
        <v>2570</v>
      </c>
      <c r="D16325" s="4">
        <f>DATE(2014,4,22)</f>
        <v>41751</v>
      </c>
      <c r="E16325" s="5">
        <f t="shared" si="268"/>
        <v>2014</v>
      </c>
      <c r="F16325" s="3" t="s">
        <v>2571</v>
      </c>
      <c r="G16325" s="6">
        <v>121.1</v>
      </c>
      <c r="H16325" s="5">
        <v>19881</v>
      </c>
    </row>
    <row r="16326" spans="2:8" ht="15" customHeight="1" x14ac:dyDescent="0.4">
      <c r="B16326" t="s">
        <v>7</v>
      </c>
      <c r="C16326" t="s">
        <v>2572</v>
      </c>
      <c r="D16326" s="7">
        <f>DATE(2003,10,27)</f>
        <v>37921</v>
      </c>
      <c r="E16326" s="8">
        <f t="shared" si="268"/>
        <v>2003</v>
      </c>
      <c r="F16326" t="s">
        <v>2573</v>
      </c>
      <c r="G16326" s="9">
        <v>32645.26</v>
      </c>
      <c r="H16326" s="8">
        <v>969</v>
      </c>
    </row>
    <row r="16327" spans="2:8" ht="15" customHeight="1" x14ac:dyDescent="0.4">
      <c r="B16327" t="s">
        <v>7</v>
      </c>
      <c r="C16327" t="s">
        <v>2572</v>
      </c>
      <c r="D16327" s="7">
        <f>DATE(2004,4,8)</f>
        <v>38085</v>
      </c>
      <c r="E16327" s="8">
        <f t="shared" si="268"/>
        <v>2004</v>
      </c>
      <c r="F16327" t="s">
        <v>2573</v>
      </c>
      <c r="G16327" s="9">
        <v>640</v>
      </c>
      <c r="H16327" s="8">
        <v>1650</v>
      </c>
    </row>
    <row r="16328" spans="2:8" ht="15" customHeight="1" x14ac:dyDescent="0.4">
      <c r="B16328" t="s">
        <v>7</v>
      </c>
      <c r="C16328" t="s">
        <v>2572</v>
      </c>
      <c r="D16328" s="7">
        <f>DATE(2004,6,3)</f>
        <v>38141</v>
      </c>
      <c r="E16328" s="8">
        <f t="shared" si="268"/>
        <v>2004</v>
      </c>
      <c r="F16328" t="s">
        <v>2573</v>
      </c>
      <c r="G16328" s="9">
        <v>25</v>
      </c>
      <c r="H16328" s="8">
        <v>1854</v>
      </c>
    </row>
    <row r="16329" spans="2:8" ht="15" customHeight="1" x14ac:dyDescent="0.4">
      <c r="B16329" t="s">
        <v>7</v>
      </c>
      <c r="C16329" t="s">
        <v>2572</v>
      </c>
      <c r="D16329" s="7">
        <f>DATE(2005,10,20)</f>
        <v>38645</v>
      </c>
      <c r="E16329" s="8">
        <f t="shared" si="268"/>
        <v>2005</v>
      </c>
      <c r="F16329" t="s">
        <v>2573</v>
      </c>
      <c r="G16329" s="9">
        <v>80</v>
      </c>
      <c r="H16329" s="8">
        <v>3700</v>
      </c>
    </row>
    <row r="16330" spans="2:8" ht="15" customHeight="1" x14ac:dyDescent="0.4">
      <c r="B16330" t="s">
        <v>7</v>
      </c>
      <c r="C16330" t="s">
        <v>2572</v>
      </c>
      <c r="D16330" s="7">
        <f>DATE(2006,2,23)</f>
        <v>38771</v>
      </c>
      <c r="E16330" s="8">
        <f t="shared" si="268"/>
        <v>2006</v>
      </c>
      <c r="F16330" t="s">
        <v>2573</v>
      </c>
      <c r="G16330" s="9">
        <v>514</v>
      </c>
      <c r="H16330" s="8">
        <v>4085</v>
      </c>
    </row>
    <row r="16331" spans="2:8" ht="15" customHeight="1" x14ac:dyDescent="0.4">
      <c r="B16331" t="s">
        <v>7</v>
      </c>
      <c r="C16331" t="s">
        <v>2572</v>
      </c>
      <c r="D16331" s="7">
        <f>DATE(2003,12,10)</f>
        <v>37965</v>
      </c>
      <c r="E16331" s="8">
        <f t="shared" si="268"/>
        <v>2003</v>
      </c>
      <c r="F16331" t="s">
        <v>2573</v>
      </c>
      <c r="G16331" s="9">
        <v>3124.03</v>
      </c>
      <c r="H16331" s="8">
        <v>968</v>
      </c>
    </row>
    <row r="16332" spans="2:8" ht="15" customHeight="1" x14ac:dyDescent="0.4">
      <c r="B16332" t="s">
        <v>7</v>
      </c>
      <c r="C16332" t="s">
        <v>2572</v>
      </c>
      <c r="D16332" s="7">
        <f>DATE(2004,3,18)</f>
        <v>38064</v>
      </c>
      <c r="E16332" s="8">
        <f t="shared" si="268"/>
        <v>2004</v>
      </c>
      <c r="F16332" t="s">
        <v>2573</v>
      </c>
      <c r="G16332" s="9">
        <v>7500</v>
      </c>
      <c r="H16332" s="8">
        <v>1363</v>
      </c>
    </row>
    <row r="16333" spans="2:8" ht="15" customHeight="1" x14ac:dyDescent="0.4">
      <c r="B16333" s="3" t="s">
        <v>7</v>
      </c>
      <c r="C16333" s="3" t="s">
        <v>2574</v>
      </c>
      <c r="D16333" s="4">
        <f>DATE(2011,2,4)</f>
        <v>40578</v>
      </c>
      <c r="E16333" s="5">
        <f t="shared" si="268"/>
        <v>2011</v>
      </c>
      <c r="F16333" s="3" t="s">
        <v>2575</v>
      </c>
      <c r="G16333" s="6">
        <v>374.5</v>
      </c>
      <c r="H16333" s="5">
        <v>15015</v>
      </c>
    </row>
    <row r="16334" spans="2:8" ht="15" customHeight="1" x14ac:dyDescent="0.4">
      <c r="B16334" s="3" t="s">
        <v>7</v>
      </c>
      <c r="C16334" s="3" t="s">
        <v>2576</v>
      </c>
      <c r="D16334" s="4">
        <f>DATE(2008,12,1)</f>
        <v>39783</v>
      </c>
      <c r="E16334" s="5">
        <f t="shared" si="268"/>
        <v>2008</v>
      </c>
      <c r="F16334" s="3" t="s">
        <v>2577</v>
      </c>
      <c r="G16334" s="6">
        <v>10000</v>
      </c>
      <c r="H16334" s="5">
        <v>3177</v>
      </c>
    </row>
    <row r="16335" spans="2:8" ht="15" customHeight="1" x14ac:dyDescent="0.4">
      <c r="B16335" s="3" t="s">
        <v>7</v>
      </c>
      <c r="C16335" s="3" t="s">
        <v>2576</v>
      </c>
      <c r="D16335" s="4">
        <f>DATE(2008,10,25)</f>
        <v>39746</v>
      </c>
      <c r="E16335" s="5">
        <f t="shared" si="268"/>
        <v>2008</v>
      </c>
      <c r="F16335" s="3" t="s">
        <v>2577</v>
      </c>
      <c r="G16335" s="6">
        <v>15000</v>
      </c>
      <c r="H16335" s="5">
        <v>3093</v>
      </c>
    </row>
    <row r="16336" spans="2:8" ht="15" customHeight="1" x14ac:dyDescent="0.4">
      <c r="B16336" s="3" t="s">
        <v>16</v>
      </c>
      <c r="C16336" s="3" t="s">
        <v>2576</v>
      </c>
      <c r="D16336" s="4">
        <f>DATE(2008,12,1)</f>
        <v>39783</v>
      </c>
      <c r="E16336" s="5">
        <f t="shared" si="268"/>
        <v>2008</v>
      </c>
      <c r="F16336" s="3" t="s">
        <v>2577</v>
      </c>
      <c r="G16336" s="6">
        <v>15000</v>
      </c>
      <c r="H16336" s="5">
        <v>3176</v>
      </c>
    </row>
    <row r="16337" spans="2:8" ht="15" customHeight="1" x14ac:dyDescent="0.4">
      <c r="B16337" t="s">
        <v>7</v>
      </c>
      <c r="C16337" t="s">
        <v>2578</v>
      </c>
      <c r="D16337" s="7">
        <f>DATE(2015,6,4)</f>
        <v>42159</v>
      </c>
      <c r="E16337" s="8">
        <f t="shared" si="268"/>
        <v>2015</v>
      </c>
      <c r="F16337" t="s">
        <v>2579</v>
      </c>
      <c r="G16337" s="9">
        <v>264518.63</v>
      </c>
      <c r="H16337" s="8">
        <v>116</v>
      </c>
    </row>
    <row r="16338" spans="2:8" ht="15" customHeight="1" x14ac:dyDescent="0.4">
      <c r="B16338" t="s">
        <v>7</v>
      </c>
      <c r="C16338" t="s">
        <v>2578</v>
      </c>
      <c r="D16338" s="7">
        <f>DATE(2016,5,10)</f>
        <v>42500</v>
      </c>
      <c r="E16338" s="8">
        <f t="shared" si="268"/>
        <v>2016</v>
      </c>
      <c r="F16338" t="s">
        <v>2579</v>
      </c>
      <c r="G16338" s="9">
        <v>313452.21000000002</v>
      </c>
      <c r="H16338" s="8">
        <v>22093</v>
      </c>
    </row>
    <row r="16339" spans="2:8" ht="15" customHeight="1" x14ac:dyDescent="0.4">
      <c r="B16339" t="s">
        <v>7</v>
      </c>
      <c r="C16339" t="s">
        <v>2578</v>
      </c>
      <c r="D16339" s="7">
        <f>DATE(2017,5,25)</f>
        <v>42880</v>
      </c>
      <c r="E16339" s="8">
        <f t="shared" si="268"/>
        <v>2017</v>
      </c>
      <c r="F16339" t="s">
        <v>2579</v>
      </c>
      <c r="G16339" s="9">
        <v>299643.19</v>
      </c>
      <c r="H16339" s="8">
        <v>23695</v>
      </c>
    </row>
    <row r="16340" spans="2:8" ht="15" customHeight="1" x14ac:dyDescent="0.4">
      <c r="B16340" t="s">
        <v>7</v>
      </c>
      <c r="C16340" t="s">
        <v>2578</v>
      </c>
      <c r="D16340" s="7">
        <f>DATE(2015,5,5)</f>
        <v>42129</v>
      </c>
      <c r="E16340" s="8">
        <f t="shared" si="268"/>
        <v>2015</v>
      </c>
      <c r="F16340" t="s">
        <v>2579</v>
      </c>
      <c r="G16340" s="9">
        <v>25470.22</v>
      </c>
      <c r="H16340" s="8">
        <v>176</v>
      </c>
    </row>
    <row r="16341" spans="2:8" ht="15" customHeight="1" x14ac:dyDescent="0.4">
      <c r="B16341" t="s">
        <v>7</v>
      </c>
      <c r="C16341" t="s">
        <v>2578</v>
      </c>
      <c r="D16341" s="7">
        <f>DATE(2016,4,27)</f>
        <v>42487</v>
      </c>
      <c r="E16341" s="8">
        <f t="shared" si="268"/>
        <v>2016</v>
      </c>
      <c r="F16341" t="s">
        <v>2579</v>
      </c>
      <c r="G16341" s="9">
        <v>29348.62</v>
      </c>
      <c r="H16341" s="8">
        <v>21733</v>
      </c>
    </row>
    <row r="16342" spans="2:8" ht="15" customHeight="1" x14ac:dyDescent="0.4">
      <c r="B16342" t="s">
        <v>7</v>
      </c>
      <c r="C16342" t="s">
        <v>2578</v>
      </c>
      <c r="D16342" s="7">
        <f>DATE(2017,5,15)</f>
        <v>42870</v>
      </c>
      <c r="E16342" s="8">
        <f t="shared" si="268"/>
        <v>2017</v>
      </c>
      <c r="F16342" t="s">
        <v>2579</v>
      </c>
      <c r="G16342" s="9">
        <v>31109.88</v>
      </c>
      <c r="H16342" s="8">
        <v>23868</v>
      </c>
    </row>
    <row r="16343" spans="2:8" ht="15" customHeight="1" x14ac:dyDescent="0.4">
      <c r="B16343" t="s">
        <v>7</v>
      </c>
      <c r="C16343" t="s">
        <v>2578</v>
      </c>
      <c r="D16343" s="7">
        <f>DATE(2015,9,1)</f>
        <v>42248</v>
      </c>
      <c r="E16343" s="8">
        <f t="shared" si="268"/>
        <v>2015</v>
      </c>
      <c r="F16343" t="s">
        <v>2579</v>
      </c>
      <c r="G16343" s="9">
        <v>1279.08</v>
      </c>
      <c r="H16343" s="8">
        <v>21036</v>
      </c>
    </row>
    <row r="16344" spans="2:8" ht="15" customHeight="1" x14ac:dyDescent="0.4">
      <c r="B16344" t="s">
        <v>7</v>
      </c>
      <c r="C16344" t="s">
        <v>2578</v>
      </c>
      <c r="D16344" s="7">
        <f>DATE(2016,2,24)</f>
        <v>42424</v>
      </c>
      <c r="E16344" s="8">
        <f t="shared" si="268"/>
        <v>2016</v>
      </c>
      <c r="F16344" t="s">
        <v>2579</v>
      </c>
      <c r="G16344" s="9">
        <v>30.7</v>
      </c>
      <c r="H16344" s="8">
        <v>22216</v>
      </c>
    </row>
    <row r="16345" spans="2:8" ht="15" customHeight="1" x14ac:dyDescent="0.4">
      <c r="B16345" t="s">
        <v>7</v>
      </c>
      <c r="C16345" t="s">
        <v>2578</v>
      </c>
      <c r="D16345" s="7">
        <f>DATE(2016,7,8)</f>
        <v>42559</v>
      </c>
      <c r="E16345" s="8">
        <f t="shared" si="268"/>
        <v>2016</v>
      </c>
      <c r="F16345" t="s">
        <v>2579</v>
      </c>
      <c r="G16345" s="9">
        <v>693.49</v>
      </c>
      <c r="H16345" s="8">
        <v>23096</v>
      </c>
    </row>
    <row r="16346" spans="2:8" ht="15" customHeight="1" x14ac:dyDescent="0.4">
      <c r="B16346" t="s">
        <v>7</v>
      </c>
      <c r="C16346" t="s">
        <v>2578</v>
      </c>
      <c r="D16346" s="7">
        <f>DATE(2016,11,18)</f>
        <v>42692</v>
      </c>
      <c r="E16346" s="8">
        <f t="shared" si="268"/>
        <v>2016</v>
      </c>
      <c r="F16346" t="s">
        <v>2579</v>
      </c>
      <c r="G16346" s="9">
        <v>1314.49</v>
      </c>
      <c r="H16346" s="8">
        <v>23797</v>
      </c>
    </row>
    <row r="16347" spans="2:8" ht="15" customHeight="1" x14ac:dyDescent="0.4">
      <c r="B16347" t="s">
        <v>7</v>
      </c>
      <c r="C16347" t="s">
        <v>2578</v>
      </c>
      <c r="D16347" s="7">
        <f>DATE(2017,1,12)</f>
        <v>42747</v>
      </c>
      <c r="E16347" s="8">
        <f t="shared" si="268"/>
        <v>2017</v>
      </c>
      <c r="F16347" t="s">
        <v>2579</v>
      </c>
      <c r="G16347" s="9">
        <v>121</v>
      </c>
      <c r="H16347" s="8">
        <v>24016</v>
      </c>
    </row>
    <row r="16348" spans="2:8" ht="15" customHeight="1" x14ac:dyDescent="0.4">
      <c r="B16348" t="s">
        <v>7</v>
      </c>
      <c r="C16348" t="s">
        <v>2578</v>
      </c>
      <c r="D16348" s="7">
        <f>DATE(2017,1,19)</f>
        <v>42754</v>
      </c>
      <c r="E16348" s="8">
        <f t="shared" si="268"/>
        <v>2017</v>
      </c>
      <c r="F16348" t="s">
        <v>2579</v>
      </c>
      <c r="G16348" s="9">
        <v>1321.81</v>
      </c>
      <c r="H16348" s="8">
        <v>23666</v>
      </c>
    </row>
    <row r="16349" spans="2:8" ht="15" customHeight="1" x14ac:dyDescent="0.4">
      <c r="B16349" t="s">
        <v>7</v>
      </c>
      <c r="C16349" t="s">
        <v>2578</v>
      </c>
      <c r="D16349" s="7">
        <f>DATE(2017,2,9)</f>
        <v>42775</v>
      </c>
      <c r="E16349" s="8">
        <f t="shared" si="268"/>
        <v>2017</v>
      </c>
      <c r="F16349" t="s">
        <v>2579</v>
      </c>
      <c r="G16349" s="9">
        <v>1252.0999999999999</v>
      </c>
      <c r="H16349" s="8">
        <v>24242</v>
      </c>
    </row>
    <row r="16350" spans="2:8" ht="15" customHeight="1" x14ac:dyDescent="0.4">
      <c r="B16350" t="s">
        <v>7</v>
      </c>
      <c r="C16350" t="s">
        <v>2578</v>
      </c>
      <c r="D16350" s="7">
        <f>DATE(2015,5,8)</f>
        <v>42132</v>
      </c>
      <c r="E16350" s="8">
        <f t="shared" si="268"/>
        <v>2015</v>
      </c>
      <c r="F16350" t="s">
        <v>2579</v>
      </c>
      <c r="G16350" s="9">
        <v>7049.2</v>
      </c>
      <c r="H16350" s="8">
        <v>20492</v>
      </c>
    </row>
    <row r="16351" spans="2:8" ht="15" customHeight="1" x14ac:dyDescent="0.4">
      <c r="B16351" t="s">
        <v>7</v>
      </c>
      <c r="C16351" t="s">
        <v>2578</v>
      </c>
      <c r="D16351" s="7">
        <f>DATE(2015,6,8)</f>
        <v>42163</v>
      </c>
      <c r="E16351" s="8">
        <f t="shared" si="268"/>
        <v>2015</v>
      </c>
      <c r="F16351" t="s">
        <v>2579</v>
      </c>
      <c r="G16351" s="9">
        <v>9013.59</v>
      </c>
      <c r="H16351" s="8">
        <v>20674</v>
      </c>
    </row>
    <row r="16352" spans="2:8" ht="15" customHeight="1" x14ac:dyDescent="0.4">
      <c r="B16352" t="s">
        <v>7</v>
      </c>
      <c r="C16352" t="s">
        <v>2578</v>
      </c>
      <c r="D16352" s="7">
        <f>DATE(2015,8,4)</f>
        <v>42220</v>
      </c>
      <c r="E16352" s="8">
        <f t="shared" si="268"/>
        <v>2015</v>
      </c>
      <c r="F16352" t="s">
        <v>2579</v>
      </c>
      <c r="G16352" s="9">
        <v>2251.71</v>
      </c>
      <c r="H16352" s="8">
        <v>21008</v>
      </c>
    </row>
    <row r="16353" spans="2:8" ht="15" customHeight="1" x14ac:dyDescent="0.4">
      <c r="B16353" t="s">
        <v>7</v>
      </c>
      <c r="C16353" t="s">
        <v>2578</v>
      </c>
      <c r="D16353" s="7">
        <f>DATE(2015,8,19)</f>
        <v>42235</v>
      </c>
      <c r="E16353" s="8">
        <f t="shared" si="268"/>
        <v>2015</v>
      </c>
      <c r="F16353" t="s">
        <v>2579</v>
      </c>
      <c r="G16353" s="9">
        <v>668.82</v>
      </c>
      <c r="H16353" s="8">
        <v>21098</v>
      </c>
    </row>
    <row r="16354" spans="2:8" ht="15" customHeight="1" x14ac:dyDescent="0.4">
      <c r="B16354" t="s">
        <v>7</v>
      </c>
      <c r="C16354" t="s">
        <v>2578</v>
      </c>
      <c r="D16354" s="7">
        <f>DATE(2015,9,15)</f>
        <v>42262</v>
      </c>
      <c r="E16354" s="8">
        <f t="shared" si="268"/>
        <v>2015</v>
      </c>
      <c r="F16354" t="s">
        <v>2579</v>
      </c>
      <c r="G16354" s="9">
        <v>1567.82</v>
      </c>
      <c r="H16354" s="8">
        <v>21200</v>
      </c>
    </row>
    <row r="16355" spans="2:8" ht="15" customHeight="1" x14ac:dyDescent="0.4">
      <c r="B16355" t="s">
        <v>7</v>
      </c>
      <c r="C16355" t="s">
        <v>2578</v>
      </c>
      <c r="D16355" s="7">
        <f>DATE(2015,10,9)</f>
        <v>42286</v>
      </c>
      <c r="E16355" s="8">
        <f t="shared" si="268"/>
        <v>2015</v>
      </c>
      <c r="F16355" t="s">
        <v>2579</v>
      </c>
      <c r="G16355" s="9">
        <v>701.1</v>
      </c>
      <c r="H16355" s="8">
        <v>21365</v>
      </c>
    </row>
    <row r="16356" spans="2:8" ht="15" customHeight="1" x14ac:dyDescent="0.4">
      <c r="B16356" t="s">
        <v>7</v>
      </c>
      <c r="C16356" t="s">
        <v>2578</v>
      </c>
      <c r="D16356" s="7">
        <f>DATE(2015,10,27)</f>
        <v>42304</v>
      </c>
      <c r="E16356" s="8">
        <f t="shared" si="268"/>
        <v>2015</v>
      </c>
      <c r="F16356" t="s">
        <v>2579</v>
      </c>
      <c r="G16356" s="9">
        <v>772.63</v>
      </c>
      <c r="H16356" s="8">
        <v>21456</v>
      </c>
    </row>
    <row r="16357" spans="2:8" ht="15" customHeight="1" x14ac:dyDescent="0.4">
      <c r="B16357" t="s">
        <v>7</v>
      </c>
      <c r="C16357" t="s">
        <v>2578</v>
      </c>
      <c r="D16357" s="7">
        <f>DATE(2015,11,20)</f>
        <v>42328</v>
      </c>
      <c r="E16357" s="8">
        <f t="shared" si="268"/>
        <v>2015</v>
      </c>
      <c r="F16357" t="s">
        <v>2579</v>
      </c>
      <c r="G16357" s="9">
        <v>769.16</v>
      </c>
      <c r="H16357" s="8">
        <v>21654</v>
      </c>
    </row>
    <row r="16358" spans="2:8" ht="15" customHeight="1" x14ac:dyDescent="0.4">
      <c r="B16358" t="s">
        <v>7</v>
      </c>
      <c r="C16358" t="s">
        <v>2578</v>
      </c>
      <c r="D16358" s="7">
        <f>DATE(2015,12,22)</f>
        <v>42360</v>
      </c>
      <c r="E16358" s="8">
        <f t="shared" si="268"/>
        <v>2015</v>
      </c>
      <c r="F16358" t="s">
        <v>2579</v>
      </c>
      <c r="G16358" s="9">
        <v>801.74</v>
      </c>
      <c r="H16358" s="8">
        <v>21821</v>
      </c>
    </row>
    <row r="16359" spans="2:8" ht="15" customHeight="1" x14ac:dyDescent="0.4">
      <c r="B16359" t="s">
        <v>7</v>
      </c>
      <c r="C16359" t="s">
        <v>2578</v>
      </c>
      <c r="D16359" s="7">
        <f>DATE(2016,1,21)</f>
        <v>42390</v>
      </c>
      <c r="E16359" s="8">
        <f t="shared" si="268"/>
        <v>2016</v>
      </c>
      <c r="F16359" t="s">
        <v>2579</v>
      </c>
      <c r="G16359" s="9">
        <v>825.71</v>
      </c>
      <c r="H16359" s="8">
        <v>21941</v>
      </c>
    </row>
    <row r="16360" spans="2:8" ht="15" customHeight="1" x14ac:dyDescent="0.4">
      <c r="B16360" t="s">
        <v>7</v>
      </c>
      <c r="C16360" t="s">
        <v>2578</v>
      </c>
      <c r="D16360" s="7">
        <f>DATE(2016,2,10)</f>
        <v>42410</v>
      </c>
      <c r="E16360" s="8">
        <f t="shared" si="268"/>
        <v>2016</v>
      </c>
      <c r="F16360" t="s">
        <v>2579</v>
      </c>
      <c r="G16360" s="9">
        <v>715.05</v>
      </c>
      <c r="H16360" s="8">
        <v>22138</v>
      </c>
    </row>
    <row r="16361" spans="2:8" ht="15" customHeight="1" x14ac:dyDescent="0.4">
      <c r="B16361" t="s">
        <v>7</v>
      </c>
      <c r="C16361" t="s">
        <v>2578</v>
      </c>
      <c r="D16361" s="7">
        <f>DATE(2016,3,2)</f>
        <v>42431</v>
      </c>
      <c r="E16361" s="8">
        <f t="shared" si="268"/>
        <v>2016</v>
      </c>
      <c r="F16361" t="s">
        <v>2579</v>
      </c>
      <c r="G16361" s="9">
        <v>2501.59</v>
      </c>
      <c r="H16361" s="8">
        <v>22232</v>
      </c>
    </row>
    <row r="16362" spans="2:8" ht="15" customHeight="1" x14ac:dyDescent="0.4">
      <c r="B16362" t="s">
        <v>7</v>
      </c>
      <c r="C16362" t="s">
        <v>2578</v>
      </c>
      <c r="D16362" s="7">
        <f>DATE(2016,4,12)</f>
        <v>42472</v>
      </c>
      <c r="E16362" s="8">
        <f t="shared" si="268"/>
        <v>2016</v>
      </c>
      <c r="F16362" t="s">
        <v>2579</v>
      </c>
      <c r="G16362" s="9">
        <v>1493.08</v>
      </c>
      <c r="H16362" s="8">
        <v>22408</v>
      </c>
    </row>
    <row r="16363" spans="2:8" ht="15" customHeight="1" x14ac:dyDescent="0.4">
      <c r="B16363" t="s">
        <v>7</v>
      </c>
      <c r="C16363" t="s">
        <v>2578</v>
      </c>
      <c r="D16363" s="7">
        <f>DATE(2016,4,27)</f>
        <v>42487</v>
      </c>
      <c r="E16363" s="8">
        <f t="shared" si="268"/>
        <v>2016</v>
      </c>
      <c r="F16363" t="s">
        <v>2579</v>
      </c>
      <c r="G16363" s="9">
        <v>26543</v>
      </c>
      <c r="H16363" s="8">
        <v>22658</v>
      </c>
    </row>
    <row r="16364" spans="2:8" ht="15" customHeight="1" x14ac:dyDescent="0.4">
      <c r="B16364" t="s">
        <v>7</v>
      </c>
      <c r="C16364" t="s">
        <v>2578</v>
      </c>
      <c r="D16364" s="7">
        <f>DATE(2016,5,4)</f>
        <v>42494</v>
      </c>
      <c r="E16364" s="8">
        <f t="shared" si="268"/>
        <v>2016</v>
      </c>
      <c r="F16364" t="s">
        <v>2579</v>
      </c>
      <c r="G16364" s="9">
        <v>2881.42</v>
      </c>
      <c r="H16364" s="8">
        <v>22740</v>
      </c>
    </row>
    <row r="16365" spans="2:8" ht="15" customHeight="1" x14ac:dyDescent="0.4">
      <c r="B16365" t="s">
        <v>7</v>
      </c>
      <c r="C16365" t="s">
        <v>2578</v>
      </c>
      <c r="D16365" s="7">
        <f>DATE(2016,5,23)</f>
        <v>42513</v>
      </c>
      <c r="E16365" s="8">
        <f t="shared" si="268"/>
        <v>2016</v>
      </c>
      <c r="F16365" t="s">
        <v>2579</v>
      </c>
      <c r="G16365" s="9">
        <v>7630.84</v>
      </c>
      <c r="H16365" s="8">
        <v>22827</v>
      </c>
    </row>
    <row r="16366" spans="2:8" ht="15" customHeight="1" x14ac:dyDescent="0.4">
      <c r="B16366" t="s">
        <v>7</v>
      </c>
      <c r="C16366" t="s">
        <v>2578</v>
      </c>
      <c r="D16366" s="7">
        <f>DATE(2017,1,31)</f>
        <v>42766</v>
      </c>
      <c r="E16366" s="8">
        <f t="shared" si="268"/>
        <v>2017</v>
      </c>
      <c r="F16366" t="s">
        <v>2579</v>
      </c>
      <c r="G16366" s="9">
        <v>7356.32</v>
      </c>
      <c r="H16366" s="8">
        <v>24040</v>
      </c>
    </row>
    <row r="16367" spans="2:8" ht="15" customHeight="1" x14ac:dyDescent="0.4">
      <c r="B16367" t="s">
        <v>7</v>
      </c>
      <c r="C16367" t="s">
        <v>2578</v>
      </c>
      <c r="D16367" s="7">
        <f>DATE(2017,1,31)</f>
        <v>42766</v>
      </c>
      <c r="E16367" s="8">
        <f t="shared" si="268"/>
        <v>2017</v>
      </c>
      <c r="F16367" t="s">
        <v>2579</v>
      </c>
      <c r="G16367" s="9">
        <v>1383.7</v>
      </c>
      <c r="H16367" s="8">
        <v>24181</v>
      </c>
    </row>
    <row r="16368" spans="2:8" ht="15" customHeight="1" x14ac:dyDescent="0.4">
      <c r="B16368" t="s">
        <v>7</v>
      </c>
      <c r="C16368" t="s">
        <v>2578</v>
      </c>
      <c r="D16368" s="7">
        <f>DATE(2017,2,16)</f>
        <v>42782</v>
      </c>
      <c r="E16368" s="8">
        <f t="shared" si="268"/>
        <v>2017</v>
      </c>
      <c r="F16368" t="s">
        <v>2579</v>
      </c>
      <c r="G16368" s="9">
        <v>4060.15</v>
      </c>
      <c r="H16368" s="8">
        <v>24229</v>
      </c>
    </row>
    <row r="16369" spans="2:8" ht="15" customHeight="1" x14ac:dyDescent="0.4">
      <c r="B16369" t="s">
        <v>7</v>
      </c>
      <c r="C16369" t="s">
        <v>2578</v>
      </c>
      <c r="D16369" s="7">
        <f>DATE(2017,3,9)</f>
        <v>42803</v>
      </c>
      <c r="E16369" s="8">
        <f t="shared" si="268"/>
        <v>2017</v>
      </c>
      <c r="F16369" t="s">
        <v>2579</v>
      </c>
      <c r="G16369" s="9">
        <v>2307.7600000000002</v>
      </c>
      <c r="H16369" s="8">
        <v>24445</v>
      </c>
    </row>
    <row r="16370" spans="2:8" ht="15" customHeight="1" x14ac:dyDescent="0.4">
      <c r="B16370" t="s">
        <v>7</v>
      </c>
      <c r="C16370" t="s">
        <v>2578</v>
      </c>
      <c r="D16370" s="7">
        <f>DATE(2017,4,21)</f>
        <v>42846</v>
      </c>
      <c r="E16370" s="8">
        <f t="shared" si="268"/>
        <v>2017</v>
      </c>
      <c r="F16370" t="s">
        <v>2579</v>
      </c>
      <c r="G16370" s="9">
        <v>10506.28</v>
      </c>
      <c r="H16370" s="8">
        <v>24674</v>
      </c>
    </row>
    <row r="16371" spans="2:8" ht="15" customHeight="1" x14ac:dyDescent="0.4">
      <c r="B16371" t="s">
        <v>7</v>
      </c>
      <c r="C16371" t="s">
        <v>2578</v>
      </c>
      <c r="D16371" s="7">
        <f>DATE(2017,5,9)</f>
        <v>42864</v>
      </c>
      <c r="E16371" s="8">
        <f t="shared" si="268"/>
        <v>2017</v>
      </c>
      <c r="F16371" t="s">
        <v>2579</v>
      </c>
      <c r="G16371" s="9">
        <v>6989.2</v>
      </c>
      <c r="H16371" s="8">
        <v>24787</v>
      </c>
    </row>
    <row r="16372" spans="2:8" ht="15" customHeight="1" x14ac:dyDescent="0.4">
      <c r="B16372" t="s">
        <v>7</v>
      </c>
      <c r="C16372" t="s">
        <v>2578</v>
      </c>
      <c r="D16372" s="7">
        <f>DATE(2015,6,17)</f>
        <v>42172</v>
      </c>
      <c r="E16372" s="8">
        <f t="shared" si="268"/>
        <v>2015</v>
      </c>
      <c r="F16372" t="s">
        <v>2579</v>
      </c>
      <c r="G16372" s="9">
        <v>20954.54</v>
      </c>
      <c r="H16372" s="8">
        <v>20632</v>
      </c>
    </row>
    <row r="16373" spans="2:8" ht="15" customHeight="1" x14ac:dyDescent="0.4">
      <c r="B16373" t="s">
        <v>7</v>
      </c>
      <c r="C16373" t="s">
        <v>2578</v>
      </c>
      <c r="D16373" s="7">
        <f>DATE(2007,3,2)</f>
        <v>39143</v>
      </c>
      <c r="E16373" s="8">
        <f t="shared" si="268"/>
        <v>2007</v>
      </c>
      <c r="F16373" t="s">
        <v>2579</v>
      </c>
      <c r="G16373" s="9">
        <v>1937</v>
      </c>
      <c r="H16373" s="8">
        <v>5662</v>
      </c>
    </row>
    <row r="16374" spans="2:8" ht="15" customHeight="1" x14ac:dyDescent="0.4">
      <c r="B16374" t="s">
        <v>7</v>
      </c>
      <c r="C16374" t="s">
        <v>2578</v>
      </c>
      <c r="D16374" s="7">
        <f>DATE(2012,3,19)</f>
        <v>40987</v>
      </c>
      <c r="E16374" s="8">
        <f t="shared" si="268"/>
        <v>2012</v>
      </c>
      <c r="F16374" t="s">
        <v>2579</v>
      </c>
      <c r="G16374" s="9">
        <v>25000</v>
      </c>
      <c r="H16374" s="8">
        <v>11310</v>
      </c>
    </row>
    <row r="16375" spans="2:8" ht="15" customHeight="1" x14ac:dyDescent="0.4">
      <c r="B16375" t="s">
        <v>7</v>
      </c>
      <c r="C16375" t="s">
        <v>2578</v>
      </c>
      <c r="D16375" s="7">
        <f>DATE(2013,7,23)</f>
        <v>41478</v>
      </c>
      <c r="E16375" s="8">
        <f t="shared" si="268"/>
        <v>2013</v>
      </c>
      <c r="F16375" t="s">
        <v>2579</v>
      </c>
      <c r="G16375" s="9">
        <v>17980.93</v>
      </c>
      <c r="H16375" s="8">
        <v>12447</v>
      </c>
    </row>
    <row r="16376" spans="2:8" ht="15" customHeight="1" x14ac:dyDescent="0.4">
      <c r="B16376" t="s">
        <v>7</v>
      </c>
      <c r="C16376" t="s">
        <v>2578</v>
      </c>
      <c r="D16376" s="7">
        <f>DATE(2014,4,10)</f>
        <v>41739</v>
      </c>
      <c r="E16376" s="8">
        <f t="shared" si="268"/>
        <v>2014</v>
      </c>
      <c r="F16376" t="s">
        <v>2579</v>
      </c>
      <c r="G16376" s="9">
        <v>24445.599999999999</v>
      </c>
      <c r="H16376" s="8">
        <v>12853</v>
      </c>
    </row>
    <row r="16377" spans="2:8" ht="15" customHeight="1" x14ac:dyDescent="0.4">
      <c r="B16377" t="s">
        <v>7</v>
      </c>
      <c r="C16377" t="s">
        <v>2578</v>
      </c>
      <c r="D16377" s="7">
        <f>DATE(2014,8,28)</f>
        <v>41879</v>
      </c>
      <c r="E16377" s="8">
        <f t="shared" si="268"/>
        <v>2014</v>
      </c>
      <c r="F16377" t="s">
        <v>2579</v>
      </c>
      <c r="G16377" s="9">
        <v>20549</v>
      </c>
      <c r="H16377" s="8">
        <v>13147</v>
      </c>
    </row>
    <row r="16378" spans="2:8" ht="15" customHeight="1" x14ac:dyDescent="0.4">
      <c r="B16378" t="s">
        <v>7</v>
      </c>
      <c r="C16378" t="s">
        <v>2578</v>
      </c>
      <c r="D16378" s="7">
        <f>DATE(2003,2,27)</f>
        <v>37679</v>
      </c>
      <c r="E16378" s="8">
        <f t="shared" si="268"/>
        <v>2003</v>
      </c>
      <c r="F16378" t="s">
        <v>2579</v>
      </c>
      <c r="G16378" s="9">
        <v>8346.91</v>
      </c>
      <c r="H16378" s="8">
        <v>231</v>
      </c>
    </row>
    <row r="16379" spans="2:8" ht="15" customHeight="1" x14ac:dyDescent="0.4">
      <c r="B16379" t="s">
        <v>7</v>
      </c>
      <c r="C16379" t="s">
        <v>2578</v>
      </c>
      <c r="D16379" s="7">
        <f>DATE(2003,3,18)</f>
        <v>37698</v>
      </c>
      <c r="E16379" s="8">
        <f t="shared" si="268"/>
        <v>2003</v>
      </c>
      <c r="F16379" t="s">
        <v>2579</v>
      </c>
      <c r="G16379" s="9">
        <v>750</v>
      </c>
      <c r="H16379" s="8">
        <v>387</v>
      </c>
    </row>
    <row r="16380" spans="2:8" ht="15" customHeight="1" x14ac:dyDescent="0.4">
      <c r="B16380" t="s">
        <v>7</v>
      </c>
      <c r="C16380" t="s">
        <v>2578</v>
      </c>
      <c r="D16380" s="7">
        <f>DATE(2003,4,8)</f>
        <v>37719</v>
      </c>
      <c r="E16380" s="8">
        <f t="shared" si="268"/>
        <v>2003</v>
      </c>
      <c r="F16380" t="s">
        <v>2579</v>
      </c>
      <c r="G16380" s="9">
        <v>1677.6</v>
      </c>
      <c r="H16380" s="8">
        <v>476</v>
      </c>
    </row>
    <row r="16381" spans="2:8" ht="15" customHeight="1" x14ac:dyDescent="0.4">
      <c r="B16381" t="s">
        <v>7</v>
      </c>
      <c r="C16381" t="s">
        <v>2578</v>
      </c>
      <c r="D16381" s="7">
        <f>DATE(2003,4,23)</f>
        <v>37734</v>
      </c>
      <c r="E16381" s="8">
        <f t="shared" si="268"/>
        <v>2003</v>
      </c>
      <c r="F16381" t="s">
        <v>2579</v>
      </c>
      <c r="G16381" s="9">
        <v>11678.5</v>
      </c>
      <c r="H16381" s="8">
        <v>379</v>
      </c>
    </row>
    <row r="16382" spans="2:8" ht="15" customHeight="1" x14ac:dyDescent="0.4">
      <c r="B16382" t="s">
        <v>7</v>
      </c>
      <c r="C16382" t="s">
        <v>2578</v>
      </c>
      <c r="D16382" s="7">
        <f>DATE(2003,7,19)</f>
        <v>37821</v>
      </c>
      <c r="E16382" s="8">
        <f t="shared" si="268"/>
        <v>2003</v>
      </c>
      <c r="F16382" t="s">
        <v>2579</v>
      </c>
      <c r="G16382" s="9">
        <v>2299.0100000000002</v>
      </c>
      <c r="H16382" s="8">
        <v>748</v>
      </c>
    </row>
    <row r="16383" spans="2:8" ht="15" customHeight="1" x14ac:dyDescent="0.4">
      <c r="B16383" t="s">
        <v>7</v>
      </c>
      <c r="C16383" t="s">
        <v>2578</v>
      </c>
      <c r="D16383" s="7">
        <f>DATE(2003,7,25)</f>
        <v>37827</v>
      </c>
      <c r="E16383" s="8">
        <f t="shared" si="268"/>
        <v>2003</v>
      </c>
      <c r="F16383" t="s">
        <v>2579</v>
      </c>
      <c r="G16383" s="9">
        <v>4090.77</v>
      </c>
      <c r="H16383" s="8">
        <v>758</v>
      </c>
    </row>
    <row r="16384" spans="2:8" ht="15" customHeight="1" x14ac:dyDescent="0.4">
      <c r="B16384" t="s">
        <v>7</v>
      </c>
      <c r="C16384" t="s">
        <v>2578</v>
      </c>
      <c r="D16384" s="7">
        <f>DATE(2003,7,30)</f>
        <v>37832</v>
      </c>
      <c r="E16384" s="8">
        <f t="shared" si="268"/>
        <v>2003</v>
      </c>
      <c r="F16384" t="s">
        <v>2579</v>
      </c>
      <c r="G16384" s="9">
        <v>3589.13</v>
      </c>
      <c r="H16384" s="8">
        <v>765</v>
      </c>
    </row>
    <row r="16385" spans="2:8" ht="15" customHeight="1" x14ac:dyDescent="0.4">
      <c r="B16385" t="s">
        <v>7</v>
      </c>
      <c r="C16385" t="s">
        <v>2578</v>
      </c>
      <c r="D16385" s="7">
        <f>DATE(2003,9,6)</f>
        <v>37870</v>
      </c>
      <c r="E16385" s="8">
        <f t="shared" si="268"/>
        <v>2003</v>
      </c>
      <c r="F16385" t="s">
        <v>2579</v>
      </c>
      <c r="G16385" s="9">
        <v>5627.6</v>
      </c>
      <c r="H16385" s="8">
        <v>856</v>
      </c>
    </row>
    <row r="16386" spans="2:8" ht="15" customHeight="1" x14ac:dyDescent="0.4">
      <c r="B16386" t="s">
        <v>7</v>
      </c>
      <c r="C16386" t="s">
        <v>2578</v>
      </c>
      <c r="D16386" s="7">
        <f>DATE(2004,2,17)</f>
        <v>38034</v>
      </c>
      <c r="E16386" s="8">
        <f t="shared" si="268"/>
        <v>2004</v>
      </c>
      <c r="F16386" t="s">
        <v>2579</v>
      </c>
      <c r="G16386" s="9">
        <v>1613.75</v>
      </c>
      <c r="H16386" s="8">
        <v>1274</v>
      </c>
    </row>
    <row r="16387" spans="2:8" ht="15" customHeight="1" x14ac:dyDescent="0.4">
      <c r="B16387" t="s">
        <v>7</v>
      </c>
      <c r="C16387" t="s">
        <v>2578</v>
      </c>
      <c r="D16387" s="7">
        <f>DATE(2004,3,21)</f>
        <v>38067</v>
      </c>
      <c r="E16387" s="8">
        <f t="shared" ref="E16387:E16450" si="269">YEAR(D16387)</f>
        <v>2004</v>
      </c>
      <c r="F16387" t="s">
        <v>2579</v>
      </c>
      <c r="G16387" s="9">
        <v>2760.14</v>
      </c>
      <c r="H16387" s="8">
        <v>1527</v>
      </c>
    </row>
    <row r="16388" spans="2:8" ht="15" customHeight="1" x14ac:dyDescent="0.4">
      <c r="B16388" t="s">
        <v>7</v>
      </c>
      <c r="C16388" t="s">
        <v>2578</v>
      </c>
      <c r="D16388" s="7">
        <f>DATE(2004,3,24)</f>
        <v>38070</v>
      </c>
      <c r="E16388" s="8">
        <f t="shared" si="269"/>
        <v>2004</v>
      </c>
      <c r="F16388" t="s">
        <v>2579</v>
      </c>
      <c r="G16388" s="9">
        <v>4835.8999999999996</v>
      </c>
      <c r="H16388" s="8">
        <v>1565</v>
      </c>
    </row>
    <row r="16389" spans="2:8" ht="15" customHeight="1" x14ac:dyDescent="0.4">
      <c r="B16389" t="s">
        <v>7</v>
      </c>
      <c r="C16389" t="s">
        <v>2578</v>
      </c>
      <c r="D16389" s="7">
        <f>DATE(2004,3,9)</f>
        <v>38055</v>
      </c>
      <c r="E16389" s="8">
        <f t="shared" si="269"/>
        <v>2004</v>
      </c>
      <c r="F16389" t="s">
        <v>2579</v>
      </c>
      <c r="G16389" s="9">
        <v>100981.55</v>
      </c>
      <c r="H16389" s="8">
        <v>1245</v>
      </c>
    </row>
    <row r="16390" spans="2:8" ht="15" customHeight="1" x14ac:dyDescent="0.4">
      <c r="B16390" t="s">
        <v>7</v>
      </c>
      <c r="C16390" t="s">
        <v>2578</v>
      </c>
      <c r="D16390" s="7">
        <f>DATE(2004,3,3)</f>
        <v>38049</v>
      </c>
      <c r="E16390" s="8">
        <f t="shared" si="269"/>
        <v>2004</v>
      </c>
      <c r="F16390" t="s">
        <v>2579</v>
      </c>
      <c r="G16390" s="9">
        <v>17964.490000000002</v>
      </c>
      <c r="H16390" s="8">
        <v>1251</v>
      </c>
    </row>
    <row r="16391" spans="2:8" ht="15" customHeight="1" x14ac:dyDescent="0.4">
      <c r="B16391" t="s">
        <v>7</v>
      </c>
      <c r="C16391" t="s">
        <v>2578</v>
      </c>
      <c r="D16391" s="7">
        <f>DATE(2004,4,29)</f>
        <v>38106</v>
      </c>
      <c r="E16391" s="8">
        <f t="shared" si="269"/>
        <v>2004</v>
      </c>
      <c r="F16391" t="s">
        <v>2579</v>
      </c>
      <c r="G16391" s="9">
        <v>1565.48</v>
      </c>
      <c r="H16391" s="8">
        <v>1686</v>
      </c>
    </row>
    <row r="16392" spans="2:8" ht="15" customHeight="1" x14ac:dyDescent="0.4">
      <c r="B16392" t="s">
        <v>7</v>
      </c>
      <c r="C16392" t="s">
        <v>2578</v>
      </c>
      <c r="D16392" s="7">
        <f>DATE(2004,5,15)</f>
        <v>38122</v>
      </c>
      <c r="E16392" s="8">
        <f t="shared" si="269"/>
        <v>2004</v>
      </c>
      <c r="F16392" t="s">
        <v>2579</v>
      </c>
      <c r="G16392" s="9">
        <v>5204.8100000000004</v>
      </c>
      <c r="H16392" s="8">
        <v>1745</v>
      </c>
    </row>
    <row r="16393" spans="2:8" ht="15" customHeight="1" x14ac:dyDescent="0.4">
      <c r="B16393" t="s">
        <v>7</v>
      </c>
      <c r="C16393" t="s">
        <v>2578</v>
      </c>
      <c r="D16393" s="7">
        <f>DATE(2004,5,19)</f>
        <v>38126</v>
      </c>
      <c r="E16393" s="8">
        <f t="shared" si="269"/>
        <v>2004</v>
      </c>
      <c r="F16393" t="s">
        <v>2579</v>
      </c>
      <c r="G16393" s="9">
        <v>1888.51</v>
      </c>
      <c r="H16393" s="8">
        <v>1797</v>
      </c>
    </row>
    <row r="16394" spans="2:8" ht="15" customHeight="1" x14ac:dyDescent="0.4">
      <c r="B16394" t="s">
        <v>7</v>
      </c>
      <c r="C16394" t="s">
        <v>2578</v>
      </c>
      <c r="D16394" s="7">
        <f>DATE(2004,6,26)</f>
        <v>38164</v>
      </c>
      <c r="E16394" s="8">
        <f t="shared" si="269"/>
        <v>2004</v>
      </c>
      <c r="F16394" t="s">
        <v>2579</v>
      </c>
      <c r="G16394" s="9">
        <v>3567.52</v>
      </c>
      <c r="H16394" s="8">
        <v>1926</v>
      </c>
    </row>
    <row r="16395" spans="2:8" ht="15" customHeight="1" x14ac:dyDescent="0.4">
      <c r="B16395" t="s">
        <v>7</v>
      </c>
      <c r="C16395" t="s">
        <v>2578</v>
      </c>
      <c r="D16395" s="7">
        <f>DATE(2005,2,24)</f>
        <v>38407</v>
      </c>
      <c r="E16395" s="8">
        <f t="shared" si="269"/>
        <v>2005</v>
      </c>
      <c r="F16395" t="s">
        <v>2579</v>
      </c>
      <c r="G16395" s="9">
        <v>2781.38</v>
      </c>
      <c r="H16395" s="8">
        <v>2727</v>
      </c>
    </row>
    <row r="16396" spans="2:8" ht="15" customHeight="1" x14ac:dyDescent="0.4">
      <c r="B16396" t="s">
        <v>7</v>
      </c>
      <c r="C16396" t="s">
        <v>2578</v>
      </c>
      <c r="D16396" s="7">
        <f>DATE(2005,3,20)</f>
        <v>38431</v>
      </c>
      <c r="E16396" s="8">
        <f t="shared" si="269"/>
        <v>2005</v>
      </c>
      <c r="F16396" t="s">
        <v>2579</v>
      </c>
      <c r="G16396" s="9">
        <v>5846.2</v>
      </c>
      <c r="H16396" s="8">
        <v>2975</v>
      </c>
    </row>
    <row r="16397" spans="2:8" ht="15" customHeight="1" x14ac:dyDescent="0.4">
      <c r="B16397" t="s">
        <v>7</v>
      </c>
      <c r="C16397" t="s">
        <v>2578</v>
      </c>
      <c r="D16397" s="7">
        <f>DATE(2005,3,9)</f>
        <v>38420</v>
      </c>
      <c r="E16397" s="8">
        <f t="shared" si="269"/>
        <v>2005</v>
      </c>
      <c r="F16397" t="s">
        <v>2579</v>
      </c>
      <c r="G16397" s="9">
        <v>152480.32999999999</v>
      </c>
      <c r="H16397" s="8">
        <v>2152</v>
      </c>
    </row>
    <row r="16398" spans="2:8" ht="15" customHeight="1" x14ac:dyDescent="0.4">
      <c r="B16398" t="s">
        <v>7</v>
      </c>
      <c r="C16398" t="s">
        <v>2578</v>
      </c>
      <c r="D16398" s="7">
        <f>DATE(2005,3,9)</f>
        <v>38420</v>
      </c>
      <c r="E16398" s="8">
        <f t="shared" si="269"/>
        <v>2005</v>
      </c>
      <c r="F16398" t="s">
        <v>2579</v>
      </c>
      <c r="G16398" s="9">
        <v>21925</v>
      </c>
      <c r="H16398" s="8">
        <v>3209</v>
      </c>
    </row>
    <row r="16399" spans="2:8" ht="15" customHeight="1" x14ac:dyDescent="0.4">
      <c r="B16399" t="s">
        <v>7</v>
      </c>
      <c r="C16399" t="s">
        <v>2578</v>
      </c>
      <c r="D16399" s="7">
        <f>DATE(2005,3,9)</f>
        <v>38420</v>
      </c>
      <c r="E16399" s="8">
        <f t="shared" si="269"/>
        <v>2005</v>
      </c>
      <c r="F16399" t="s">
        <v>2579</v>
      </c>
      <c r="G16399" s="9">
        <v>122889.97</v>
      </c>
      <c r="H16399" s="8">
        <v>3210</v>
      </c>
    </row>
    <row r="16400" spans="2:8" ht="15" customHeight="1" x14ac:dyDescent="0.4">
      <c r="B16400" t="s">
        <v>7</v>
      </c>
      <c r="C16400" t="s">
        <v>2578</v>
      </c>
      <c r="D16400" s="7">
        <f>DATE(2006,3,13)</f>
        <v>38789</v>
      </c>
      <c r="E16400" s="8">
        <f t="shared" si="269"/>
        <v>2006</v>
      </c>
      <c r="F16400" t="s">
        <v>2579</v>
      </c>
      <c r="G16400" s="9">
        <v>120431.4</v>
      </c>
      <c r="H16400" s="8">
        <v>3812</v>
      </c>
    </row>
    <row r="16401" spans="2:8" ht="15" customHeight="1" x14ac:dyDescent="0.4">
      <c r="B16401" t="s">
        <v>7</v>
      </c>
      <c r="C16401" t="s">
        <v>2578</v>
      </c>
      <c r="D16401" s="7">
        <f>DATE(2006,5,8)</f>
        <v>38845</v>
      </c>
      <c r="E16401" s="8">
        <f t="shared" si="269"/>
        <v>2006</v>
      </c>
      <c r="F16401" t="s">
        <v>2579</v>
      </c>
      <c r="G16401" s="9">
        <v>3235.08</v>
      </c>
      <c r="H16401" s="8">
        <v>4610</v>
      </c>
    </row>
    <row r="16402" spans="2:8" ht="15" customHeight="1" x14ac:dyDescent="0.4">
      <c r="B16402" t="s">
        <v>7</v>
      </c>
      <c r="C16402" t="s">
        <v>2578</v>
      </c>
      <c r="D16402" s="7">
        <f>DATE(2006,6,11)</f>
        <v>38879</v>
      </c>
      <c r="E16402" s="8">
        <f t="shared" si="269"/>
        <v>2006</v>
      </c>
      <c r="F16402" t="s">
        <v>2579</v>
      </c>
      <c r="G16402" s="9">
        <v>7716.75</v>
      </c>
      <c r="H16402" s="8">
        <v>4677</v>
      </c>
    </row>
    <row r="16403" spans="2:8" ht="15" customHeight="1" x14ac:dyDescent="0.4">
      <c r="B16403" t="s">
        <v>7</v>
      </c>
      <c r="C16403" t="s">
        <v>2578</v>
      </c>
      <c r="D16403" s="7">
        <f>DATE(2006,9,25)</f>
        <v>38985</v>
      </c>
      <c r="E16403" s="8">
        <f t="shared" si="269"/>
        <v>2006</v>
      </c>
      <c r="F16403" t="s">
        <v>2579</v>
      </c>
      <c r="G16403" s="9">
        <v>1535.92</v>
      </c>
      <c r="H16403" s="8">
        <v>5016</v>
      </c>
    </row>
    <row r="16404" spans="2:8" ht="15" customHeight="1" x14ac:dyDescent="0.4">
      <c r="B16404" t="s">
        <v>7</v>
      </c>
      <c r="C16404" t="s">
        <v>2578</v>
      </c>
      <c r="D16404" s="7">
        <f>DATE(2007,3,22)</f>
        <v>39163</v>
      </c>
      <c r="E16404" s="8">
        <f t="shared" si="269"/>
        <v>2007</v>
      </c>
      <c r="F16404" t="s">
        <v>2579</v>
      </c>
      <c r="G16404" s="9">
        <v>100405.71</v>
      </c>
      <c r="H16404" s="8">
        <v>5083</v>
      </c>
    </row>
    <row r="16405" spans="2:8" ht="15" customHeight="1" x14ac:dyDescent="0.4">
      <c r="B16405" t="s">
        <v>7</v>
      </c>
      <c r="C16405" t="s">
        <v>2578</v>
      </c>
      <c r="D16405" s="7">
        <f>DATE(2007,3,22)</f>
        <v>39163</v>
      </c>
      <c r="E16405" s="8">
        <f t="shared" si="269"/>
        <v>2007</v>
      </c>
      <c r="F16405" t="s">
        <v>2579</v>
      </c>
      <c r="G16405" s="9">
        <v>13303.44</v>
      </c>
      <c r="H16405" s="8">
        <v>5114</v>
      </c>
    </row>
    <row r="16406" spans="2:8" ht="15" customHeight="1" x14ac:dyDescent="0.4">
      <c r="B16406" t="s">
        <v>7</v>
      </c>
      <c r="C16406" t="s">
        <v>2578</v>
      </c>
      <c r="D16406" s="7">
        <f>DATE(2008,6,1)</f>
        <v>39600</v>
      </c>
      <c r="E16406" s="8">
        <f t="shared" si="269"/>
        <v>2008</v>
      </c>
      <c r="F16406" t="s">
        <v>2579</v>
      </c>
      <c r="G16406" s="9">
        <v>129567.96</v>
      </c>
      <c r="H16406" s="8">
        <v>6863</v>
      </c>
    </row>
    <row r="16407" spans="2:8" ht="15" customHeight="1" x14ac:dyDescent="0.4">
      <c r="B16407" t="s">
        <v>7</v>
      </c>
      <c r="C16407" t="s">
        <v>2578</v>
      </c>
      <c r="D16407" s="7">
        <f>DATE(2008,7,18)</f>
        <v>39647</v>
      </c>
      <c r="E16407" s="8">
        <f t="shared" si="269"/>
        <v>2008</v>
      </c>
      <c r="F16407" t="s">
        <v>2579</v>
      </c>
      <c r="G16407" s="9">
        <v>3800.69</v>
      </c>
      <c r="H16407" s="8">
        <v>7609</v>
      </c>
    </row>
    <row r="16408" spans="2:8" ht="15" customHeight="1" x14ac:dyDescent="0.4">
      <c r="B16408" t="s">
        <v>7</v>
      </c>
      <c r="C16408" t="s">
        <v>2578</v>
      </c>
      <c r="D16408" s="7">
        <f>DATE(2008,9,14)</f>
        <v>39705</v>
      </c>
      <c r="E16408" s="8">
        <f t="shared" si="269"/>
        <v>2008</v>
      </c>
      <c r="F16408" t="s">
        <v>2579</v>
      </c>
      <c r="G16408" s="9">
        <v>14997.44</v>
      </c>
      <c r="H16408" s="8">
        <v>7781</v>
      </c>
    </row>
    <row r="16409" spans="2:8" ht="15" customHeight="1" x14ac:dyDescent="0.4">
      <c r="B16409" t="s">
        <v>7</v>
      </c>
      <c r="C16409" t="s">
        <v>2578</v>
      </c>
      <c r="D16409" s="7">
        <f>DATE(2008,10,1)</f>
        <v>39722</v>
      </c>
      <c r="E16409" s="8">
        <f t="shared" si="269"/>
        <v>2008</v>
      </c>
      <c r="F16409" t="s">
        <v>2579</v>
      </c>
      <c r="G16409" s="9">
        <v>12617.44</v>
      </c>
      <c r="H16409" s="8">
        <v>7966</v>
      </c>
    </row>
    <row r="16410" spans="2:8" ht="15" customHeight="1" x14ac:dyDescent="0.4">
      <c r="B16410" t="s">
        <v>7</v>
      </c>
      <c r="C16410" t="s">
        <v>2578</v>
      </c>
      <c r="D16410" s="7">
        <f>DATE(2009,2,6)</f>
        <v>39850</v>
      </c>
      <c r="E16410" s="8">
        <f t="shared" si="269"/>
        <v>2009</v>
      </c>
      <c r="F16410" t="s">
        <v>2579</v>
      </c>
      <c r="G16410" s="9">
        <v>11553.57</v>
      </c>
      <c r="H16410" s="8">
        <v>8290</v>
      </c>
    </row>
    <row r="16411" spans="2:8" ht="15" customHeight="1" x14ac:dyDescent="0.4">
      <c r="B16411" t="s">
        <v>7</v>
      </c>
      <c r="C16411" t="s">
        <v>2578</v>
      </c>
      <c r="D16411" s="7">
        <f>DATE(2009,4,20)</f>
        <v>39923</v>
      </c>
      <c r="E16411" s="8">
        <f t="shared" si="269"/>
        <v>2009</v>
      </c>
      <c r="F16411" t="s">
        <v>2579</v>
      </c>
      <c r="G16411" s="9">
        <v>11053.75</v>
      </c>
      <c r="H16411" s="8">
        <v>8599</v>
      </c>
    </row>
    <row r="16412" spans="2:8" ht="15" customHeight="1" x14ac:dyDescent="0.4">
      <c r="B16412" t="s">
        <v>7</v>
      </c>
      <c r="C16412" t="s">
        <v>2578</v>
      </c>
      <c r="D16412" s="7">
        <f>DATE(2009,6,10)</f>
        <v>39974</v>
      </c>
      <c r="E16412" s="8">
        <f t="shared" si="269"/>
        <v>2009</v>
      </c>
      <c r="F16412" t="s">
        <v>2579</v>
      </c>
      <c r="G16412" s="9">
        <v>13539.83</v>
      </c>
      <c r="H16412" s="8">
        <v>8512</v>
      </c>
    </row>
    <row r="16413" spans="2:8" ht="15" customHeight="1" x14ac:dyDescent="0.4">
      <c r="B16413" t="s">
        <v>7</v>
      </c>
      <c r="C16413" t="s">
        <v>2578</v>
      </c>
      <c r="D16413" s="7">
        <f>DATE(2009,6,10)</f>
        <v>39974</v>
      </c>
      <c r="E16413" s="8">
        <f t="shared" si="269"/>
        <v>2009</v>
      </c>
      <c r="F16413" t="s">
        <v>2579</v>
      </c>
      <c r="G16413" s="9">
        <v>146229.65</v>
      </c>
      <c r="H16413" s="8">
        <v>8431</v>
      </c>
    </row>
    <row r="16414" spans="2:8" ht="15" customHeight="1" x14ac:dyDescent="0.4">
      <c r="B16414" t="s">
        <v>7</v>
      </c>
      <c r="C16414" t="s">
        <v>2578</v>
      </c>
      <c r="D16414" s="7">
        <f>DATE(2009,8,11)</f>
        <v>40036</v>
      </c>
      <c r="E16414" s="8">
        <f t="shared" si="269"/>
        <v>2009</v>
      </c>
      <c r="F16414" t="s">
        <v>2579</v>
      </c>
      <c r="G16414" s="9">
        <v>1801.08</v>
      </c>
      <c r="H16414" s="8">
        <v>8898</v>
      </c>
    </row>
    <row r="16415" spans="2:8" ht="15" customHeight="1" x14ac:dyDescent="0.4">
      <c r="B16415" t="s">
        <v>7</v>
      </c>
      <c r="C16415" t="s">
        <v>2578</v>
      </c>
      <c r="D16415" s="7">
        <f>DATE(2009,8,26)</f>
        <v>40051</v>
      </c>
      <c r="E16415" s="8">
        <f t="shared" si="269"/>
        <v>2009</v>
      </c>
      <c r="F16415" t="s">
        <v>2579</v>
      </c>
      <c r="G16415" s="9">
        <v>1920.53</v>
      </c>
      <c r="H16415" s="8">
        <v>9008</v>
      </c>
    </row>
    <row r="16416" spans="2:8" ht="15" customHeight="1" x14ac:dyDescent="0.4">
      <c r="B16416" t="s">
        <v>7</v>
      </c>
      <c r="C16416" t="s">
        <v>2578</v>
      </c>
      <c r="D16416" s="7">
        <f>DATE(2009,9,9)</f>
        <v>40065</v>
      </c>
      <c r="E16416" s="8">
        <f t="shared" si="269"/>
        <v>2009</v>
      </c>
      <c r="F16416" t="s">
        <v>2579</v>
      </c>
      <c r="G16416" s="9">
        <v>3201.87</v>
      </c>
      <c r="H16416" s="8">
        <v>9031</v>
      </c>
    </row>
    <row r="16417" spans="2:8" ht="15" customHeight="1" x14ac:dyDescent="0.4">
      <c r="B16417" t="s">
        <v>7</v>
      </c>
      <c r="C16417" t="s">
        <v>2578</v>
      </c>
      <c r="D16417" s="7">
        <f>DATE(2009,9,25)</f>
        <v>40081</v>
      </c>
      <c r="E16417" s="8">
        <f t="shared" si="269"/>
        <v>2009</v>
      </c>
      <c r="F16417" t="s">
        <v>2579</v>
      </c>
      <c r="G16417" s="9">
        <v>13746.61</v>
      </c>
      <c r="H16417" s="8">
        <v>9056</v>
      </c>
    </row>
    <row r="16418" spans="2:8" ht="15" customHeight="1" x14ac:dyDescent="0.4">
      <c r="B16418" t="s">
        <v>7</v>
      </c>
      <c r="C16418" t="s">
        <v>2578</v>
      </c>
      <c r="D16418" s="7">
        <f>DATE(2010,5,7)</f>
        <v>40305</v>
      </c>
      <c r="E16418" s="8">
        <f t="shared" si="269"/>
        <v>2010</v>
      </c>
      <c r="F16418" t="s">
        <v>2579</v>
      </c>
      <c r="G16418" s="9">
        <v>12375.15</v>
      </c>
      <c r="H16418" s="8">
        <v>9612</v>
      </c>
    </row>
    <row r="16419" spans="2:8" ht="15" customHeight="1" x14ac:dyDescent="0.4">
      <c r="B16419" t="s">
        <v>7</v>
      </c>
      <c r="C16419" t="s">
        <v>2578</v>
      </c>
      <c r="D16419" s="7">
        <f>DATE(2010,6,15)</f>
        <v>40344</v>
      </c>
      <c r="E16419" s="8">
        <f t="shared" si="269"/>
        <v>2010</v>
      </c>
      <c r="F16419" t="s">
        <v>2579</v>
      </c>
      <c r="G16419" s="9">
        <v>172444.74</v>
      </c>
      <c r="H16419" s="8">
        <v>9410</v>
      </c>
    </row>
    <row r="16420" spans="2:8" ht="15" customHeight="1" x14ac:dyDescent="0.4">
      <c r="B16420" t="s">
        <v>7</v>
      </c>
      <c r="C16420" t="s">
        <v>2578</v>
      </c>
      <c r="D16420" s="7">
        <f>DATE(2011,4,18)</f>
        <v>40651</v>
      </c>
      <c r="E16420" s="8">
        <f t="shared" si="269"/>
        <v>2011</v>
      </c>
      <c r="F16420" t="s">
        <v>2579</v>
      </c>
      <c r="G16420" s="9">
        <v>155580.57999999999</v>
      </c>
      <c r="H16420" s="8">
        <v>10404</v>
      </c>
    </row>
    <row r="16421" spans="2:8" ht="15" customHeight="1" x14ac:dyDescent="0.4">
      <c r="B16421" t="s">
        <v>7</v>
      </c>
      <c r="C16421" t="s">
        <v>2578</v>
      </c>
      <c r="D16421" s="7">
        <f>DATE(2012,3,7)</f>
        <v>40975</v>
      </c>
      <c r="E16421" s="8">
        <f t="shared" si="269"/>
        <v>2012</v>
      </c>
      <c r="F16421" t="s">
        <v>2579</v>
      </c>
      <c r="G16421" s="9">
        <v>180496.84</v>
      </c>
      <c r="H16421" s="8">
        <v>11181</v>
      </c>
    </row>
    <row r="16422" spans="2:8" ht="15" customHeight="1" x14ac:dyDescent="0.4">
      <c r="B16422" t="s">
        <v>7</v>
      </c>
      <c r="C16422" t="s">
        <v>2578</v>
      </c>
      <c r="D16422" s="7">
        <f>DATE(2012,3,7)</f>
        <v>40975</v>
      </c>
      <c r="E16422" s="8">
        <f t="shared" si="269"/>
        <v>2012</v>
      </c>
      <c r="F16422" t="s">
        <v>2579</v>
      </c>
      <c r="G16422" s="9">
        <v>13547.12</v>
      </c>
      <c r="H16422" s="8">
        <v>11389</v>
      </c>
    </row>
    <row r="16423" spans="2:8" ht="15" customHeight="1" x14ac:dyDescent="0.4">
      <c r="B16423" t="s">
        <v>7</v>
      </c>
      <c r="C16423" t="s">
        <v>2578</v>
      </c>
      <c r="D16423" s="7">
        <f>DATE(2013,4,10)</f>
        <v>41374</v>
      </c>
      <c r="E16423" s="8">
        <f t="shared" si="269"/>
        <v>2013</v>
      </c>
      <c r="F16423" t="s">
        <v>2579</v>
      </c>
      <c r="G16423" s="9">
        <v>202083.46</v>
      </c>
      <c r="H16423" s="8">
        <v>12225</v>
      </c>
    </row>
    <row r="16424" spans="2:8" ht="15" customHeight="1" x14ac:dyDescent="0.4">
      <c r="B16424" t="s">
        <v>7</v>
      </c>
      <c r="C16424" t="s">
        <v>2578</v>
      </c>
      <c r="D16424" s="7">
        <f>DATE(2013,5,23)</f>
        <v>41417</v>
      </c>
      <c r="E16424" s="8">
        <f t="shared" si="269"/>
        <v>2013</v>
      </c>
      <c r="F16424" t="s">
        <v>2579</v>
      </c>
      <c r="G16424" s="9">
        <v>4803.46</v>
      </c>
      <c r="H16424" s="8">
        <v>12227</v>
      </c>
    </row>
    <row r="16425" spans="2:8" ht="15" customHeight="1" x14ac:dyDescent="0.4">
      <c r="B16425" t="s">
        <v>7</v>
      </c>
      <c r="C16425" t="s">
        <v>2578</v>
      </c>
      <c r="D16425" s="7">
        <f>DATE(2013,4,19)</f>
        <v>41383</v>
      </c>
      <c r="E16425" s="8">
        <f t="shared" si="269"/>
        <v>2013</v>
      </c>
      <c r="F16425" t="s">
        <v>2579</v>
      </c>
      <c r="G16425" s="9">
        <v>27900</v>
      </c>
      <c r="H16425" s="8">
        <v>12092</v>
      </c>
    </row>
    <row r="16426" spans="2:8" ht="15" customHeight="1" x14ac:dyDescent="0.4">
      <c r="B16426" t="s">
        <v>7</v>
      </c>
      <c r="C16426" t="s">
        <v>2578</v>
      </c>
      <c r="D16426" s="7">
        <f>DATE(2013,5,8)</f>
        <v>41402</v>
      </c>
      <c r="E16426" s="8">
        <f t="shared" si="269"/>
        <v>2013</v>
      </c>
      <c r="F16426" t="s">
        <v>2579</v>
      </c>
      <c r="G16426" s="9">
        <v>34693.68</v>
      </c>
      <c r="H16426" s="8">
        <v>12244</v>
      </c>
    </row>
    <row r="16427" spans="2:8" ht="15" customHeight="1" x14ac:dyDescent="0.4">
      <c r="B16427" t="s">
        <v>7</v>
      </c>
      <c r="C16427" t="s">
        <v>2578</v>
      </c>
      <c r="D16427" s="7">
        <f>DATE(2014,4,7)</f>
        <v>41736</v>
      </c>
      <c r="E16427" s="8">
        <f t="shared" si="269"/>
        <v>2014</v>
      </c>
      <c r="F16427" t="s">
        <v>2579</v>
      </c>
      <c r="G16427" s="9">
        <v>145683.70000000001</v>
      </c>
      <c r="H16427" s="8">
        <v>12851</v>
      </c>
    </row>
    <row r="16428" spans="2:8" ht="15" customHeight="1" x14ac:dyDescent="0.4">
      <c r="B16428" t="s">
        <v>7</v>
      </c>
      <c r="C16428" t="s">
        <v>2578</v>
      </c>
      <c r="D16428" s="7">
        <f>DATE(2010,5,3)</f>
        <v>40301</v>
      </c>
      <c r="E16428" s="8">
        <f t="shared" si="269"/>
        <v>2010</v>
      </c>
      <c r="F16428" t="s">
        <v>2579</v>
      </c>
      <c r="G16428" s="9">
        <v>18188.689999999999</v>
      </c>
      <c r="H16428" s="8">
        <v>9746</v>
      </c>
    </row>
    <row r="16429" spans="2:8" ht="15" customHeight="1" x14ac:dyDescent="0.4">
      <c r="B16429" t="s">
        <v>7</v>
      </c>
      <c r="C16429" t="s">
        <v>2578</v>
      </c>
      <c r="D16429" s="7">
        <f>DATE(2010,9,20)</f>
        <v>40441</v>
      </c>
      <c r="E16429" s="8">
        <f t="shared" si="269"/>
        <v>2010</v>
      </c>
      <c r="F16429" t="s">
        <v>2579</v>
      </c>
      <c r="G16429" s="9">
        <v>16224.25</v>
      </c>
      <c r="H16429" s="8">
        <v>10100</v>
      </c>
    </row>
    <row r="16430" spans="2:8" ht="15" customHeight="1" x14ac:dyDescent="0.4">
      <c r="B16430" t="s">
        <v>7</v>
      </c>
      <c r="C16430" t="s">
        <v>2578</v>
      </c>
      <c r="D16430" s="7">
        <f>DATE(2011,4,20)</f>
        <v>40653</v>
      </c>
      <c r="E16430" s="8">
        <f t="shared" si="269"/>
        <v>2011</v>
      </c>
      <c r="F16430" t="s">
        <v>2579</v>
      </c>
      <c r="G16430" s="9">
        <v>1385.98</v>
      </c>
      <c r="H16430" s="8">
        <v>10664</v>
      </c>
    </row>
    <row r="16431" spans="2:8" ht="15" customHeight="1" x14ac:dyDescent="0.4">
      <c r="B16431" t="s">
        <v>7</v>
      </c>
      <c r="C16431" t="s">
        <v>2578</v>
      </c>
      <c r="D16431" s="7">
        <f>DATE(2011,5,4)</f>
        <v>40667</v>
      </c>
      <c r="E16431" s="8">
        <f t="shared" si="269"/>
        <v>2011</v>
      </c>
      <c r="F16431" t="s">
        <v>2579</v>
      </c>
      <c r="G16431" s="9">
        <v>8440.7000000000007</v>
      </c>
      <c r="H16431" s="8">
        <v>10688</v>
      </c>
    </row>
    <row r="16432" spans="2:8" ht="15" customHeight="1" x14ac:dyDescent="0.4">
      <c r="B16432" t="s">
        <v>7</v>
      </c>
      <c r="C16432" t="s">
        <v>2578</v>
      </c>
      <c r="D16432" s="7">
        <f>DATE(2011,8,17)</f>
        <v>40772</v>
      </c>
      <c r="E16432" s="8">
        <f t="shared" si="269"/>
        <v>2011</v>
      </c>
      <c r="F16432" t="s">
        <v>2579</v>
      </c>
      <c r="G16432" s="9">
        <v>5235.3100000000004</v>
      </c>
      <c r="H16432" s="8">
        <v>10887</v>
      </c>
    </row>
    <row r="16433" spans="2:8" ht="15" customHeight="1" x14ac:dyDescent="0.4">
      <c r="B16433" t="s">
        <v>7</v>
      </c>
      <c r="C16433" t="s">
        <v>2578</v>
      </c>
      <c r="D16433" s="7">
        <f>DATE(2011,9,15)</f>
        <v>40801</v>
      </c>
      <c r="E16433" s="8">
        <f t="shared" si="269"/>
        <v>2011</v>
      </c>
      <c r="F16433" t="s">
        <v>2579</v>
      </c>
      <c r="G16433" s="9">
        <v>9546.2800000000007</v>
      </c>
      <c r="H16433" s="8">
        <v>10980</v>
      </c>
    </row>
    <row r="16434" spans="2:8" ht="15" customHeight="1" x14ac:dyDescent="0.4">
      <c r="B16434" t="s">
        <v>7</v>
      </c>
      <c r="C16434" t="s">
        <v>2578</v>
      </c>
      <c r="D16434" s="7">
        <f>DATE(2011,9,29)</f>
        <v>40815</v>
      </c>
      <c r="E16434" s="8">
        <f t="shared" si="269"/>
        <v>2011</v>
      </c>
      <c r="F16434" t="s">
        <v>2579</v>
      </c>
      <c r="G16434" s="9">
        <v>7693.72</v>
      </c>
      <c r="H16434" s="8">
        <v>11007</v>
      </c>
    </row>
    <row r="16435" spans="2:8" ht="15" customHeight="1" x14ac:dyDescent="0.4">
      <c r="B16435" t="s">
        <v>7</v>
      </c>
      <c r="C16435" t="s">
        <v>2578</v>
      </c>
      <c r="D16435" s="7">
        <f>DATE(2012,3,6)</f>
        <v>40974</v>
      </c>
      <c r="E16435" s="8">
        <f t="shared" si="269"/>
        <v>2012</v>
      </c>
      <c r="F16435" t="s">
        <v>2579</v>
      </c>
      <c r="G16435" s="9">
        <v>4123.68</v>
      </c>
      <c r="H16435" s="8">
        <v>11384</v>
      </c>
    </row>
    <row r="16436" spans="2:8" ht="15" customHeight="1" x14ac:dyDescent="0.4">
      <c r="B16436" t="s">
        <v>7</v>
      </c>
      <c r="C16436" t="s">
        <v>2578</v>
      </c>
      <c r="D16436" s="7">
        <f>DATE(2012,4,11)</f>
        <v>41010</v>
      </c>
      <c r="E16436" s="8">
        <f t="shared" si="269"/>
        <v>2012</v>
      </c>
      <c r="F16436" t="s">
        <v>2579</v>
      </c>
      <c r="G16436" s="9">
        <v>15318.13</v>
      </c>
      <c r="H16436" s="8">
        <v>11438</v>
      </c>
    </row>
    <row r="16437" spans="2:8" ht="15" customHeight="1" x14ac:dyDescent="0.4">
      <c r="B16437" t="s">
        <v>7</v>
      </c>
      <c r="C16437" t="s">
        <v>2578</v>
      </c>
      <c r="D16437" s="7">
        <f>DATE(2013,4,12)</f>
        <v>41376</v>
      </c>
      <c r="E16437" s="8">
        <f t="shared" si="269"/>
        <v>2013</v>
      </c>
      <c r="F16437" t="s">
        <v>2579</v>
      </c>
      <c r="G16437" s="9">
        <v>3145.83</v>
      </c>
      <c r="H16437" s="8">
        <v>12363</v>
      </c>
    </row>
    <row r="16438" spans="2:8" ht="15" customHeight="1" x14ac:dyDescent="0.4">
      <c r="B16438" t="s">
        <v>7</v>
      </c>
      <c r="C16438" t="s">
        <v>2578</v>
      </c>
      <c r="D16438" s="7">
        <f>DATE(2014,1,3)</f>
        <v>41642</v>
      </c>
      <c r="E16438" s="8">
        <f t="shared" si="269"/>
        <v>2014</v>
      </c>
      <c r="F16438" t="s">
        <v>2579</v>
      </c>
      <c r="G16438" s="9">
        <v>3743.44</v>
      </c>
      <c r="H16438" s="8">
        <v>12822</v>
      </c>
    </row>
    <row r="16439" spans="2:8" ht="15" customHeight="1" x14ac:dyDescent="0.4">
      <c r="B16439" t="s">
        <v>7</v>
      </c>
      <c r="C16439" t="s">
        <v>2578</v>
      </c>
      <c r="D16439" s="7">
        <f>DATE(2014,6,4)</f>
        <v>41794</v>
      </c>
      <c r="E16439" s="8">
        <f t="shared" si="269"/>
        <v>2014</v>
      </c>
      <c r="F16439" t="s">
        <v>2579</v>
      </c>
      <c r="G16439" s="9">
        <v>12084.13</v>
      </c>
      <c r="H16439" s="8">
        <v>13235</v>
      </c>
    </row>
    <row r="16440" spans="2:8" ht="15" customHeight="1" x14ac:dyDescent="0.4">
      <c r="B16440" t="s">
        <v>7</v>
      </c>
      <c r="C16440" t="s">
        <v>2578</v>
      </c>
      <c r="D16440" s="7">
        <f>DATE(2014,6,4)</f>
        <v>41794</v>
      </c>
      <c r="E16440" s="8">
        <f t="shared" si="269"/>
        <v>2014</v>
      </c>
      <c r="F16440" t="s">
        <v>2579</v>
      </c>
      <c r="G16440" s="9">
        <v>8209.52</v>
      </c>
      <c r="H16440" s="8">
        <v>13204</v>
      </c>
    </row>
    <row r="16441" spans="2:8" ht="15" customHeight="1" x14ac:dyDescent="0.4">
      <c r="B16441" t="s">
        <v>7</v>
      </c>
      <c r="C16441" t="s">
        <v>2578</v>
      </c>
      <c r="D16441" s="7">
        <f>DATE(2014,7,7)</f>
        <v>41827</v>
      </c>
      <c r="E16441" s="8">
        <f t="shared" si="269"/>
        <v>2014</v>
      </c>
      <c r="F16441" t="s">
        <v>2579</v>
      </c>
      <c r="G16441" s="9">
        <v>4814.57</v>
      </c>
      <c r="H16441" s="8">
        <v>13247</v>
      </c>
    </row>
    <row r="16442" spans="2:8" ht="15" customHeight="1" x14ac:dyDescent="0.4">
      <c r="B16442" t="s">
        <v>7</v>
      </c>
      <c r="C16442" t="s">
        <v>2578</v>
      </c>
      <c r="D16442" s="7">
        <f>DATE(2014,8,19)</f>
        <v>41870</v>
      </c>
      <c r="E16442" s="8">
        <f t="shared" si="269"/>
        <v>2014</v>
      </c>
      <c r="F16442" t="s">
        <v>2579</v>
      </c>
      <c r="G16442" s="9">
        <v>4561.29</v>
      </c>
      <c r="H16442" s="8">
        <v>13402</v>
      </c>
    </row>
    <row r="16443" spans="2:8" ht="15" customHeight="1" x14ac:dyDescent="0.4">
      <c r="B16443" t="s">
        <v>7</v>
      </c>
      <c r="C16443" t="s">
        <v>2578</v>
      </c>
      <c r="D16443" s="7">
        <f>DATE(2014,9,3)</f>
        <v>41885</v>
      </c>
      <c r="E16443" s="8">
        <f t="shared" si="269"/>
        <v>2014</v>
      </c>
      <c r="F16443" t="s">
        <v>2579</v>
      </c>
      <c r="G16443" s="9">
        <v>3246.34</v>
      </c>
      <c r="H16443" s="8">
        <v>13442</v>
      </c>
    </row>
    <row r="16444" spans="2:8" ht="15" customHeight="1" x14ac:dyDescent="0.4">
      <c r="B16444" t="s">
        <v>7</v>
      </c>
      <c r="C16444" t="s">
        <v>2578</v>
      </c>
      <c r="D16444" s="7">
        <f>DATE(2014,9,11)</f>
        <v>41893</v>
      </c>
      <c r="E16444" s="8">
        <f t="shared" si="269"/>
        <v>2014</v>
      </c>
      <c r="F16444" t="s">
        <v>2579</v>
      </c>
      <c r="G16444" s="9">
        <v>3309.81</v>
      </c>
      <c r="H16444" s="8">
        <v>13401</v>
      </c>
    </row>
    <row r="16445" spans="2:8" ht="15" customHeight="1" x14ac:dyDescent="0.4">
      <c r="B16445" t="s">
        <v>7</v>
      </c>
      <c r="C16445" t="s">
        <v>2578</v>
      </c>
      <c r="D16445" s="7">
        <f>DATE(2014,9,25)</f>
        <v>41907</v>
      </c>
      <c r="E16445" s="8">
        <f t="shared" si="269"/>
        <v>2014</v>
      </c>
      <c r="F16445" t="s">
        <v>2579</v>
      </c>
      <c r="G16445" s="9">
        <v>15715.81</v>
      </c>
      <c r="H16445" s="8">
        <v>13461</v>
      </c>
    </row>
    <row r="16446" spans="2:8" ht="15" customHeight="1" x14ac:dyDescent="0.4">
      <c r="B16446" t="s">
        <v>7</v>
      </c>
      <c r="C16446" t="s">
        <v>2578</v>
      </c>
      <c r="D16446" s="7">
        <f>DATE(2014,12,31)</f>
        <v>42004</v>
      </c>
      <c r="E16446" s="8">
        <f t="shared" si="269"/>
        <v>2014</v>
      </c>
      <c r="F16446" t="s">
        <v>2579</v>
      </c>
      <c r="G16446" s="9">
        <v>3129.28</v>
      </c>
      <c r="H16446" s="8">
        <v>13653</v>
      </c>
    </row>
    <row r="16447" spans="2:8" ht="15" customHeight="1" x14ac:dyDescent="0.4">
      <c r="B16447" t="s">
        <v>16</v>
      </c>
      <c r="C16447" t="s">
        <v>2578</v>
      </c>
      <c r="D16447" s="7">
        <f>DATE(2005,3,9)</f>
        <v>38420</v>
      </c>
      <c r="E16447" s="8">
        <f t="shared" si="269"/>
        <v>2005</v>
      </c>
      <c r="F16447" t="s">
        <v>2579</v>
      </c>
      <c r="G16447" s="9">
        <v>152480.32999999999</v>
      </c>
      <c r="H16447" s="8">
        <v>3208</v>
      </c>
    </row>
    <row r="16448" spans="2:8" ht="15" customHeight="1" x14ac:dyDescent="0.4">
      <c r="B16448" t="s">
        <v>16</v>
      </c>
      <c r="C16448" t="s">
        <v>2578</v>
      </c>
      <c r="D16448" s="7">
        <f>DATE(2008,9,14)</f>
        <v>39705</v>
      </c>
      <c r="E16448" s="8">
        <f t="shared" si="269"/>
        <v>2008</v>
      </c>
      <c r="F16448" t="s">
        <v>2579</v>
      </c>
      <c r="G16448" s="9">
        <v>14997.44</v>
      </c>
      <c r="H16448" s="8">
        <v>7965</v>
      </c>
    </row>
    <row r="16449" spans="2:8" ht="15" customHeight="1" x14ac:dyDescent="0.4">
      <c r="B16449" s="3" t="s">
        <v>7</v>
      </c>
      <c r="C16449" s="3" t="s">
        <v>2578</v>
      </c>
      <c r="D16449" s="4">
        <f>DATE(2003,2,21)</f>
        <v>37673</v>
      </c>
      <c r="E16449" s="5">
        <f t="shared" si="269"/>
        <v>2003</v>
      </c>
      <c r="F16449" s="3" t="s">
        <v>2579</v>
      </c>
      <c r="G16449" s="6">
        <v>164.01</v>
      </c>
      <c r="H16449" s="5">
        <v>313</v>
      </c>
    </row>
    <row r="16450" spans="2:8" ht="15" customHeight="1" x14ac:dyDescent="0.4">
      <c r="B16450" s="3" t="s">
        <v>7</v>
      </c>
      <c r="C16450" s="3" t="s">
        <v>2578</v>
      </c>
      <c r="D16450" s="4">
        <f>DATE(2003,2,28)</f>
        <v>37680</v>
      </c>
      <c r="E16450" s="5">
        <f t="shared" si="269"/>
        <v>2003</v>
      </c>
      <c r="F16450" s="3" t="s">
        <v>2579</v>
      </c>
      <c r="G16450" s="6">
        <v>213.3</v>
      </c>
      <c r="H16450" s="5">
        <v>398</v>
      </c>
    </row>
    <row r="16451" spans="2:8" ht="15" customHeight="1" x14ac:dyDescent="0.4">
      <c r="B16451" s="3" t="s">
        <v>7</v>
      </c>
      <c r="C16451" s="3" t="s">
        <v>2578</v>
      </c>
      <c r="D16451" s="4">
        <f>DATE(2003,3,11)</f>
        <v>37691</v>
      </c>
      <c r="E16451" s="5">
        <f t="shared" ref="E16451:E16514" si="270">YEAR(D16451)</f>
        <v>2003</v>
      </c>
      <c r="F16451" s="3" t="s">
        <v>2579</v>
      </c>
      <c r="G16451" s="6">
        <v>79.930000000000007</v>
      </c>
      <c r="H16451" s="5">
        <v>465</v>
      </c>
    </row>
    <row r="16452" spans="2:8" ht="15" customHeight="1" x14ac:dyDescent="0.4">
      <c r="B16452" s="3" t="s">
        <v>7</v>
      </c>
      <c r="C16452" s="3" t="s">
        <v>2578</v>
      </c>
      <c r="D16452" s="4">
        <f>DATE(2003,4,16)</f>
        <v>37727</v>
      </c>
      <c r="E16452" s="5">
        <f t="shared" si="270"/>
        <v>2003</v>
      </c>
      <c r="F16452" s="3" t="s">
        <v>2579</v>
      </c>
      <c r="G16452" s="6">
        <v>491</v>
      </c>
      <c r="H16452" s="5">
        <v>783</v>
      </c>
    </row>
    <row r="16453" spans="2:8" ht="15" customHeight="1" x14ac:dyDescent="0.4">
      <c r="B16453" s="3" t="s">
        <v>7</v>
      </c>
      <c r="C16453" s="3" t="s">
        <v>2578</v>
      </c>
      <c r="D16453" s="4">
        <f>DATE(2003,4,17)</f>
        <v>37728</v>
      </c>
      <c r="E16453" s="5">
        <f t="shared" si="270"/>
        <v>2003</v>
      </c>
      <c r="F16453" s="3" t="s">
        <v>2579</v>
      </c>
      <c r="G16453" s="6">
        <v>19662.57</v>
      </c>
      <c r="H16453" s="5">
        <v>668</v>
      </c>
    </row>
    <row r="16454" spans="2:8" ht="15" customHeight="1" x14ac:dyDescent="0.4">
      <c r="B16454" s="3" t="s">
        <v>7</v>
      </c>
      <c r="C16454" s="3" t="s">
        <v>2578</v>
      </c>
      <c r="D16454" s="4">
        <f>DATE(2003,5,15)</f>
        <v>37756</v>
      </c>
      <c r="E16454" s="5">
        <f t="shared" si="270"/>
        <v>2003</v>
      </c>
      <c r="F16454" s="3" t="s">
        <v>2579</v>
      </c>
      <c r="G16454" s="6">
        <v>769.25</v>
      </c>
      <c r="H16454" s="5">
        <v>912</v>
      </c>
    </row>
    <row r="16455" spans="2:8" ht="15" customHeight="1" x14ac:dyDescent="0.4">
      <c r="B16455" s="3" t="s">
        <v>7</v>
      </c>
      <c r="C16455" s="3" t="s">
        <v>2578</v>
      </c>
      <c r="D16455" s="4">
        <f>DATE(2003,10,21)</f>
        <v>37915</v>
      </c>
      <c r="E16455" s="5">
        <f t="shared" si="270"/>
        <v>2003</v>
      </c>
      <c r="F16455" s="3" t="s">
        <v>2579</v>
      </c>
      <c r="G16455" s="6">
        <v>2480</v>
      </c>
      <c r="H16455" s="5">
        <v>1660</v>
      </c>
    </row>
    <row r="16456" spans="2:8" ht="15" customHeight="1" x14ac:dyDescent="0.4">
      <c r="B16456" s="3" t="s">
        <v>7</v>
      </c>
      <c r="C16456" s="3" t="s">
        <v>2578</v>
      </c>
      <c r="D16456" s="4">
        <f>DATE(2004,1,2)</f>
        <v>37988</v>
      </c>
      <c r="E16456" s="5">
        <f t="shared" si="270"/>
        <v>2004</v>
      </c>
      <c r="F16456" s="3" t="s">
        <v>2579</v>
      </c>
      <c r="G16456" s="6">
        <v>1376.7</v>
      </c>
      <c r="H16456" s="5">
        <v>1819</v>
      </c>
    </row>
    <row r="16457" spans="2:8" ht="15" customHeight="1" x14ac:dyDescent="0.4">
      <c r="B16457" s="3" t="s">
        <v>7</v>
      </c>
      <c r="C16457" s="3" t="s">
        <v>2578</v>
      </c>
      <c r="D16457" s="4">
        <f>DATE(2004,1,9)</f>
        <v>37995</v>
      </c>
      <c r="E16457" s="5">
        <f t="shared" si="270"/>
        <v>2004</v>
      </c>
      <c r="F16457" s="3" t="s">
        <v>2579</v>
      </c>
      <c r="G16457" s="6">
        <v>463.1</v>
      </c>
      <c r="H16457" s="5">
        <v>1913</v>
      </c>
    </row>
    <row r="16458" spans="2:8" ht="15" customHeight="1" x14ac:dyDescent="0.4">
      <c r="B16458" s="3" t="s">
        <v>7</v>
      </c>
      <c r="C16458" s="3" t="s">
        <v>2578</v>
      </c>
      <c r="D16458" s="4">
        <f>DATE(2004,2,27)</f>
        <v>38044</v>
      </c>
      <c r="E16458" s="5">
        <f t="shared" si="270"/>
        <v>2004</v>
      </c>
      <c r="F16458" s="3" t="s">
        <v>2579</v>
      </c>
      <c r="G16458" s="6">
        <v>42266.25</v>
      </c>
      <c r="H16458" s="5">
        <v>2104</v>
      </c>
    </row>
    <row r="16459" spans="2:8" ht="15" customHeight="1" x14ac:dyDescent="0.4">
      <c r="B16459" s="3" t="s">
        <v>7</v>
      </c>
      <c r="C16459" s="3" t="s">
        <v>2578</v>
      </c>
      <c r="D16459" s="4">
        <f>DATE(2004,10,6)</f>
        <v>38266</v>
      </c>
      <c r="E16459" s="5">
        <f t="shared" si="270"/>
        <v>2004</v>
      </c>
      <c r="F16459" s="3" t="s">
        <v>2579</v>
      </c>
      <c r="G16459" s="6">
        <v>2320</v>
      </c>
      <c r="H16459" s="5">
        <v>3528</v>
      </c>
    </row>
    <row r="16460" spans="2:8" ht="15" customHeight="1" x14ac:dyDescent="0.4">
      <c r="B16460" s="3" t="s">
        <v>7</v>
      </c>
      <c r="C16460" s="3" t="s">
        <v>2578</v>
      </c>
      <c r="D16460" s="4">
        <f>DATE(2004,11,24)</f>
        <v>38315</v>
      </c>
      <c r="E16460" s="5">
        <f t="shared" si="270"/>
        <v>2004</v>
      </c>
      <c r="F16460" s="3" t="s">
        <v>2579</v>
      </c>
      <c r="G16460" s="6">
        <v>410.1</v>
      </c>
      <c r="H16460" s="5">
        <v>3757</v>
      </c>
    </row>
    <row r="16461" spans="2:8" ht="15" customHeight="1" x14ac:dyDescent="0.4">
      <c r="B16461" s="3" t="s">
        <v>7</v>
      </c>
      <c r="C16461" s="3" t="s">
        <v>2578</v>
      </c>
      <c r="D16461" s="4">
        <f>DATE(2004,12,28)</f>
        <v>38349</v>
      </c>
      <c r="E16461" s="5">
        <f t="shared" si="270"/>
        <v>2004</v>
      </c>
      <c r="F16461" s="3" t="s">
        <v>2579</v>
      </c>
      <c r="G16461" s="6">
        <v>1189.5</v>
      </c>
      <c r="H16461" s="5">
        <v>3869</v>
      </c>
    </row>
    <row r="16462" spans="2:8" ht="15" customHeight="1" x14ac:dyDescent="0.4">
      <c r="B16462" s="3" t="s">
        <v>7</v>
      </c>
      <c r="C16462" s="3" t="s">
        <v>2578</v>
      </c>
      <c r="D16462" s="4">
        <f>DATE(2005,3,3)</f>
        <v>38414</v>
      </c>
      <c r="E16462" s="5">
        <f t="shared" si="270"/>
        <v>2005</v>
      </c>
      <c r="F16462" s="3" t="s">
        <v>2579</v>
      </c>
      <c r="G16462" s="6">
        <v>41774.5</v>
      </c>
      <c r="H16462" s="5">
        <v>3349</v>
      </c>
    </row>
    <row r="16463" spans="2:8" ht="15" customHeight="1" x14ac:dyDescent="0.4">
      <c r="B16463" s="3" t="s">
        <v>7</v>
      </c>
      <c r="C16463" s="3" t="s">
        <v>2578</v>
      </c>
      <c r="D16463" s="4">
        <f>DATE(2005,5,4)</f>
        <v>38476</v>
      </c>
      <c r="E16463" s="5">
        <f t="shared" si="270"/>
        <v>2005</v>
      </c>
      <c r="F16463" s="3" t="s">
        <v>2579</v>
      </c>
      <c r="G16463" s="6">
        <v>63</v>
      </c>
      <c r="H16463" s="5">
        <v>4683</v>
      </c>
    </row>
    <row r="16464" spans="2:8" ht="15" customHeight="1" x14ac:dyDescent="0.4">
      <c r="B16464" s="3" t="s">
        <v>7</v>
      </c>
      <c r="C16464" s="3" t="s">
        <v>2578</v>
      </c>
      <c r="D16464" s="4">
        <f>DATE(2005,7,7)</f>
        <v>38540</v>
      </c>
      <c r="E16464" s="5">
        <f t="shared" si="270"/>
        <v>2005</v>
      </c>
      <c r="F16464" s="3" t="s">
        <v>2579</v>
      </c>
      <c r="G16464" s="6">
        <v>2400</v>
      </c>
      <c r="H16464" s="5">
        <v>4956</v>
      </c>
    </row>
    <row r="16465" spans="2:8" ht="15" customHeight="1" x14ac:dyDescent="0.4">
      <c r="B16465" s="3" t="s">
        <v>7</v>
      </c>
      <c r="C16465" s="3" t="s">
        <v>2578</v>
      </c>
      <c r="D16465" s="4">
        <f>DATE(2005,11,14)</f>
        <v>38670</v>
      </c>
      <c r="E16465" s="5">
        <f t="shared" si="270"/>
        <v>2005</v>
      </c>
      <c r="F16465" s="3" t="s">
        <v>2579</v>
      </c>
      <c r="G16465" s="6">
        <v>401.76</v>
      </c>
      <c r="H16465" s="5">
        <v>5569</v>
      </c>
    </row>
    <row r="16466" spans="2:8" ht="15" customHeight="1" x14ac:dyDescent="0.4">
      <c r="B16466" s="3" t="s">
        <v>7</v>
      </c>
      <c r="C16466" s="3" t="s">
        <v>2578</v>
      </c>
      <c r="D16466" s="4">
        <f>DATE(2006,1,16)</f>
        <v>38733</v>
      </c>
      <c r="E16466" s="5">
        <f t="shared" si="270"/>
        <v>2006</v>
      </c>
      <c r="F16466" s="3" t="s">
        <v>2579</v>
      </c>
      <c r="G16466" s="6">
        <v>1245.0999999999999</v>
      </c>
      <c r="H16466" s="5">
        <v>5843</v>
      </c>
    </row>
    <row r="16467" spans="2:8" ht="15" customHeight="1" x14ac:dyDescent="0.4">
      <c r="B16467" s="3" t="s">
        <v>7</v>
      </c>
      <c r="C16467" s="3" t="s">
        <v>2578</v>
      </c>
      <c r="D16467" s="4">
        <f>DATE(2006,2,7)</f>
        <v>38755</v>
      </c>
      <c r="E16467" s="5">
        <f t="shared" si="270"/>
        <v>2006</v>
      </c>
      <c r="F16467" s="3" t="s">
        <v>2579</v>
      </c>
      <c r="G16467" s="6">
        <v>550.25</v>
      </c>
      <c r="H16467" s="5">
        <v>5984</v>
      </c>
    </row>
    <row r="16468" spans="2:8" ht="15" customHeight="1" x14ac:dyDescent="0.4">
      <c r="B16468" s="3" t="s">
        <v>7</v>
      </c>
      <c r="C16468" s="3" t="s">
        <v>2578</v>
      </c>
      <c r="D16468" s="4">
        <f>DATE(2006,3,16)</f>
        <v>38792</v>
      </c>
      <c r="E16468" s="5">
        <f t="shared" si="270"/>
        <v>2006</v>
      </c>
      <c r="F16468" s="3" t="s">
        <v>2579</v>
      </c>
      <c r="G16468" s="6">
        <v>1250.02</v>
      </c>
      <c r="H16468" s="5">
        <v>6312</v>
      </c>
    </row>
    <row r="16469" spans="2:8" ht="15" customHeight="1" x14ac:dyDescent="0.4">
      <c r="B16469" s="3" t="s">
        <v>7</v>
      </c>
      <c r="C16469" s="3" t="s">
        <v>2578</v>
      </c>
      <c r="D16469" s="4">
        <f>DATE(2006,3,30)</f>
        <v>38806</v>
      </c>
      <c r="E16469" s="5">
        <f t="shared" si="270"/>
        <v>2006</v>
      </c>
      <c r="F16469" s="3" t="s">
        <v>2579</v>
      </c>
      <c r="G16469" s="6">
        <v>43383.5</v>
      </c>
      <c r="H16469" s="5">
        <v>5669</v>
      </c>
    </row>
    <row r="16470" spans="2:8" ht="15" customHeight="1" x14ac:dyDescent="0.4">
      <c r="B16470" s="3" t="s">
        <v>7</v>
      </c>
      <c r="C16470" s="3" t="s">
        <v>2578</v>
      </c>
      <c r="D16470" s="4">
        <f>DATE(2006,7,20)</f>
        <v>38918</v>
      </c>
      <c r="E16470" s="5">
        <f t="shared" si="270"/>
        <v>2006</v>
      </c>
      <c r="F16470" s="3" t="s">
        <v>2579</v>
      </c>
      <c r="G16470" s="6">
        <v>114.65</v>
      </c>
      <c r="H16470" s="5">
        <v>6951</v>
      </c>
    </row>
    <row r="16471" spans="2:8" ht="15" customHeight="1" x14ac:dyDescent="0.4">
      <c r="B16471" s="3" t="s">
        <v>7</v>
      </c>
      <c r="C16471" s="3" t="s">
        <v>2578</v>
      </c>
      <c r="D16471" s="4">
        <f>DATE(2006,12,14)</f>
        <v>39065</v>
      </c>
      <c r="E16471" s="5">
        <f t="shared" si="270"/>
        <v>2006</v>
      </c>
      <c r="F16471" s="3" t="s">
        <v>2579</v>
      </c>
      <c r="G16471" s="6">
        <v>1246.0999999999999</v>
      </c>
      <c r="H16471" s="5">
        <v>7652</v>
      </c>
    </row>
    <row r="16472" spans="2:8" ht="15" customHeight="1" x14ac:dyDescent="0.4">
      <c r="B16472" s="3" t="s">
        <v>7</v>
      </c>
      <c r="C16472" s="3" t="s">
        <v>2578</v>
      </c>
      <c r="D16472" s="4">
        <f>DATE(2007,1,18)</f>
        <v>39100</v>
      </c>
      <c r="E16472" s="5">
        <f t="shared" si="270"/>
        <v>2007</v>
      </c>
      <c r="F16472" s="3" t="s">
        <v>2579</v>
      </c>
      <c r="G16472" s="6">
        <v>2400</v>
      </c>
      <c r="H16472" s="5">
        <v>7772</v>
      </c>
    </row>
    <row r="16473" spans="2:8" ht="15" customHeight="1" x14ac:dyDescent="0.4">
      <c r="B16473" s="3" t="s">
        <v>7</v>
      </c>
      <c r="C16473" s="3" t="s">
        <v>2578</v>
      </c>
      <c r="D16473" s="4">
        <f>DATE(2007,2,6)</f>
        <v>39119</v>
      </c>
      <c r="E16473" s="5">
        <f t="shared" si="270"/>
        <v>2007</v>
      </c>
      <c r="F16473" s="3" t="s">
        <v>2579</v>
      </c>
      <c r="G16473" s="6">
        <v>791</v>
      </c>
      <c r="H16473" s="5">
        <v>7894</v>
      </c>
    </row>
    <row r="16474" spans="2:8" ht="15" customHeight="1" x14ac:dyDescent="0.4">
      <c r="B16474" s="3" t="s">
        <v>7</v>
      </c>
      <c r="C16474" s="3" t="s">
        <v>2578</v>
      </c>
      <c r="D16474" s="4">
        <f>DATE(2007,3,15)</f>
        <v>39156</v>
      </c>
      <c r="E16474" s="5">
        <f t="shared" si="270"/>
        <v>2007</v>
      </c>
      <c r="F16474" s="3" t="s">
        <v>2579</v>
      </c>
      <c r="G16474" s="6">
        <v>43487.5</v>
      </c>
      <c r="H16474" s="5">
        <v>7708</v>
      </c>
    </row>
    <row r="16475" spans="2:8" ht="15" customHeight="1" x14ac:dyDescent="0.4">
      <c r="B16475" s="3" t="s">
        <v>7</v>
      </c>
      <c r="C16475" s="3" t="s">
        <v>2578</v>
      </c>
      <c r="D16475" s="4">
        <f>DATE(2007,6,29)</f>
        <v>39262</v>
      </c>
      <c r="E16475" s="5">
        <f t="shared" si="270"/>
        <v>2007</v>
      </c>
      <c r="F16475" s="3" t="s">
        <v>2579</v>
      </c>
      <c r="G16475" s="6">
        <v>801.85</v>
      </c>
      <c r="H16475" s="5">
        <v>8762</v>
      </c>
    </row>
    <row r="16476" spans="2:8" ht="15" customHeight="1" x14ac:dyDescent="0.4">
      <c r="B16476" s="3" t="s">
        <v>7</v>
      </c>
      <c r="C16476" s="3" t="s">
        <v>2578</v>
      </c>
      <c r="D16476" s="4">
        <f>DATE(2008,1,8)</f>
        <v>39455</v>
      </c>
      <c r="E16476" s="5">
        <f t="shared" si="270"/>
        <v>2008</v>
      </c>
      <c r="F16476" s="3" t="s">
        <v>2579</v>
      </c>
      <c r="G16476" s="6">
        <v>1247.0999999999999</v>
      </c>
      <c r="H16476" s="5">
        <v>9672</v>
      </c>
    </row>
    <row r="16477" spans="2:8" ht="15" customHeight="1" x14ac:dyDescent="0.4">
      <c r="B16477" s="3" t="s">
        <v>7</v>
      </c>
      <c r="C16477" s="3" t="s">
        <v>2578</v>
      </c>
      <c r="D16477" s="4">
        <f>DATE(2008,2,5)</f>
        <v>39483</v>
      </c>
      <c r="E16477" s="5">
        <f t="shared" si="270"/>
        <v>2008</v>
      </c>
      <c r="F16477" s="3" t="s">
        <v>2579</v>
      </c>
      <c r="G16477" s="6">
        <v>2479.1</v>
      </c>
      <c r="H16477" s="5">
        <v>9871</v>
      </c>
    </row>
    <row r="16478" spans="2:8" ht="15" customHeight="1" x14ac:dyDescent="0.4">
      <c r="B16478" s="3" t="s">
        <v>7</v>
      </c>
      <c r="C16478" s="3" t="s">
        <v>2578</v>
      </c>
      <c r="D16478" s="4">
        <f>DATE(2008,4,17)</f>
        <v>39555</v>
      </c>
      <c r="E16478" s="5">
        <f t="shared" si="270"/>
        <v>2008</v>
      </c>
      <c r="F16478" s="3" t="s">
        <v>2579</v>
      </c>
      <c r="G16478" s="6">
        <v>792</v>
      </c>
      <c r="H16478" s="5">
        <v>10413</v>
      </c>
    </row>
    <row r="16479" spans="2:8" ht="15" customHeight="1" x14ac:dyDescent="0.4">
      <c r="B16479" s="3" t="s">
        <v>7</v>
      </c>
      <c r="C16479" s="3" t="s">
        <v>2578</v>
      </c>
      <c r="D16479" s="4">
        <f>DATE(2008,4,28)</f>
        <v>39566</v>
      </c>
      <c r="E16479" s="5">
        <f t="shared" si="270"/>
        <v>2008</v>
      </c>
      <c r="F16479" s="3" t="s">
        <v>2579</v>
      </c>
      <c r="G16479" s="6">
        <v>1247.0999999999999</v>
      </c>
      <c r="H16479" s="5">
        <v>10542</v>
      </c>
    </row>
    <row r="16480" spans="2:8" ht="15" customHeight="1" x14ac:dyDescent="0.4">
      <c r="B16480" s="3" t="s">
        <v>7</v>
      </c>
      <c r="C16480" s="3" t="s">
        <v>2578</v>
      </c>
      <c r="D16480" s="4">
        <f>DATE(2008,6,1)</f>
        <v>39600</v>
      </c>
      <c r="E16480" s="5">
        <f t="shared" si="270"/>
        <v>2008</v>
      </c>
      <c r="F16480" s="3" t="s">
        <v>2579</v>
      </c>
      <c r="G16480" s="6">
        <v>354.63</v>
      </c>
      <c r="H16480" s="5">
        <v>10176</v>
      </c>
    </row>
    <row r="16481" spans="2:8" ht="15" customHeight="1" x14ac:dyDescent="0.4">
      <c r="B16481" s="3" t="s">
        <v>7</v>
      </c>
      <c r="C16481" s="3" t="s">
        <v>2578</v>
      </c>
      <c r="D16481" s="4">
        <f>DATE(2008,6,1)</f>
        <v>39600</v>
      </c>
      <c r="E16481" s="5">
        <f t="shared" si="270"/>
        <v>2008</v>
      </c>
      <c r="F16481" s="3" t="s">
        <v>2579</v>
      </c>
      <c r="G16481" s="6">
        <v>44733.599999999999</v>
      </c>
      <c r="H16481" s="5">
        <v>9797</v>
      </c>
    </row>
    <row r="16482" spans="2:8" ht="15" customHeight="1" x14ac:dyDescent="0.4">
      <c r="B16482" s="3" t="s">
        <v>7</v>
      </c>
      <c r="C16482" s="3" t="s">
        <v>2578</v>
      </c>
      <c r="D16482" s="4">
        <f>DATE(2008,7,9)</f>
        <v>39638</v>
      </c>
      <c r="E16482" s="5">
        <f t="shared" si="270"/>
        <v>2008</v>
      </c>
      <c r="F16482" s="3" t="s">
        <v>2579</v>
      </c>
      <c r="G16482" s="6">
        <v>149</v>
      </c>
      <c r="H16482" s="5">
        <v>10878</v>
      </c>
    </row>
    <row r="16483" spans="2:8" ht="15" customHeight="1" x14ac:dyDescent="0.4">
      <c r="B16483" s="3" t="s">
        <v>7</v>
      </c>
      <c r="C16483" s="3" t="s">
        <v>2578</v>
      </c>
      <c r="D16483" s="4">
        <f>DATE(2008,11,25)</f>
        <v>39777</v>
      </c>
      <c r="E16483" s="5">
        <f t="shared" si="270"/>
        <v>2008</v>
      </c>
      <c r="F16483" s="3" t="s">
        <v>2579</v>
      </c>
      <c r="G16483" s="6">
        <v>2480.96</v>
      </c>
      <c r="H16483" s="5">
        <v>11625</v>
      </c>
    </row>
    <row r="16484" spans="2:8" ht="15" customHeight="1" x14ac:dyDescent="0.4">
      <c r="B16484" s="3" t="s">
        <v>7</v>
      </c>
      <c r="C16484" s="3" t="s">
        <v>2578</v>
      </c>
      <c r="D16484" s="4">
        <f>DATE(2009,2,27)</f>
        <v>39871</v>
      </c>
      <c r="E16484" s="5">
        <f t="shared" si="270"/>
        <v>2009</v>
      </c>
      <c r="F16484" s="3" t="s">
        <v>2579</v>
      </c>
      <c r="G16484" s="6">
        <v>2413</v>
      </c>
      <c r="H16484" s="5">
        <v>12094</v>
      </c>
    </row>
    <row r="16485" spans="2:8" ht="15" customHeight="1" x14ac:dyDescent="0.4">
      <c r="B16485" s="3" t="s">
        <v>7</v>
      </c>
      <c r="C16485" s="3" t="s">
        <v>2578</v>
      </c>
      <c r="D16485" s="4">
        <f>DATE(2009,4,7)</f>
        <v>39910</v>
      </c>
      <c r="E16485" s="5">
        <f t="shared" si="270"/>
        <v>2009</v>
      </c>
      <c r="F16485" s="3" t="s">
        <v>2579</v>
      </c>
      <c r="G16485" s="6">
        <v>42738.5</v>
      </c>
      <c r="H16485" s="5">
        <v>12106</v>
      </c>
    </row>
    <row r="16486" spans="2:8" ht="15" customHeight="1" x14ac:dyDescent="0.4">
      <c r="B16486" s="3" t="s">
        <v>7</v>
      </c>
      <c r="C16486" s="3" t="s">
        <v>2578</v>
      </c>
      <c r="D16486" s="4">
        <f>DATE(2009,7,7)</f>
        <v>40001</v>
      </c>
      <c r="E16486" s="5">
        <f t="shared" si="270"/>
        <v>2009</v>
      </c>
      <c r="F16486" s="3" t="s">
        <v>2579</v>
      </c>
      <c r="G16486" s="6">
        <v>149</v>
      </c>
      <c r="H16486" s="5">
        <v>12737</v>
      </c>
    </row>
    <row r="16487" spans="2:8" ht="15" customHeight="1" x14ac:dyDescent="0.4">
      <c r="B16487" s="3" t="s">
        <v>7</v>
      </c>
      <c r="C16487" s="3" t="s">
        <v>2578</v>
      </c>
      <c r="D16487" s="4">
        <f>DATE(2009,9,29)</f>
        <v>40085</v>
      </c>
      <c r="E16487" s="5">
        <f t="shared" si="270"/>
        <v>2009</v>
      </c>
      <c r="F16487" s="3" t="s">
        <v>2579</v>
      </c>
      <c r="G16487" s="6">
        <v>1321.33</v>
      </c>
      <c r="H16487" s="5">
        <v>13052</v>
      </c>
    </row>
    <row r="16488" spans="2:8" ht="15" customHeight="1" x14ac:dyDescent="0.4">
      <c r="B16488" s="3" t="s">
        <v>7</v>
      </c>
      <c r="C16488" s="3" t="s">
        <v>2578</v>
      </c>
      <c r="D16488" s="4">
        <f>DATE(2010,4,21)</f>
        <v>40289</v>
      </c>
      <c r="E16488" s="5">
        <f t="shared" si="270"/>
        <v>2010</v>
      </c>
      <c r="F16488" s="3" t="s">
        <v>2579</v>
      </c>
      <c r="G16488" s="6">
        <v>44733.599999999999</v>
      </c>
      <c r="H16488" s="5">
        <v>13471</v>
      </c>
    </row>
    <row r="16489" spans="2:8" ht="15" customHeight="1" x14ac:dyDescent="0.4">
      <c r="B16489" s="3" t="s">
        <v>7</v>
      </c>
      <c r="C16489" s="3" t="s">
        <v>2578</v>
      </c>
      <c r="D16489" s="4">
        <f>DATE(2010,4,23)</f>
        <v>40291</v>
      </c>
      <c r="E16489" s="5">
        <f t="shared" si="270"/>
        <v>2010</v>
      </c>
      <c r="F16489" s="3" t="s">
        <v>2579</v>
      </c>
      <c r="G16489" s="6">
        <v>1017</v>
      </c>
      <c r="H16489" s="5">
        <v>13964</v>
      </c>
    </row>
    <row r="16490" spans="2:8" ht="15" customHeight="1" x14ac:dyDescent="0.4">
      <c r="B16490" s="3" t="s">
        <v>7</v>
      </c>
      <c r="C16490" s="3" t="s">
        <v>2578</v>
      </c>
      <c r="D16490" s="4">
        <f>DATE(2010,9,10)</f>
        <v>40431</v>
      </c>
      <c r="E16490" s="5">
        <f t="shared" si="270"/>
        <v>2010</v>
      </c>
      <c r="F16490" s="3" t="s">
        <v>2579</v>
      </c>
      <c r="G16490" s="6">
        <v>2414</v>
      </c>
      <c r="H16490" s="5">
        <v>14475</v>
      </c>
    </row>
    <row r="16491" spans="2:8" ht="15" customHeight="1" x14ac:dyDescent="0.4">
      <c r="B16491" s="3" t="s">
        <v>7</v>
      </c>
      <c r="C16491" s="3" t="s">
        <v>2578</v>
      </c>
      <c r="D16491" s="4">
        <f>DATE(2010,10,8)</f>
        <v>40459</v>
      </c>
      <c r="E16491" s="5">
        <f t="shared" si="270"/>
        <v>2010</v>
      </c>
      <c r="F16491" s="3" t="s">
        <v>2579</v>
      </c>
      <c r="G16491" s="6">
        <v>1247.0999999999999</v>
      </c>
      <c r="H16491" s="5">
        <v>14601</v>
      </c>
    </row>
    <row r="16492" spans="2:8" ht="15" customHeight="1" x14ac:dyDescent="0.4">
      <c r="B16492" s="3" t="s">
        <v>7</v>
      </c>
      <c r="C16492" s="3" t="s">
        <v>2578</v>
      </c>
      <c r="D16492" s="4">
        <f>DATE(2011,4,21)</f>
        <v>40654</v>
      </c>
      <c r="E16492" s="5">
        <f t="shared" si="270"/>
        <v>2011</v>
      </c>
      <c r="F16492" s="3" t="s">
        <v>2579</v>
      </c>
      <c r="G16492" s="6">
        <v>43400</v>
      </c>
      <c r="H16492" s="5">
        <v>14950</v>
      </c>
    </row>
    <row r="16493" spans="2:8" ht="15" customHeight="1" x14ac:dyDescent="0.4">
      <c r="B16493" s="3" t="s">
        <v>7</v>
      </c>
      <c r="C16493" s="3" t="s">
        <v>2578</v>
      </c>
      <c r="D16493" s="4">
        <f>DATE(2011,8,11)</f>
        <v>40766</v>
      </c>
      <c r="E16493" s="5">
        <f t="shared" si="270"/>
        <v>2011</v>
      </c>
      <c r="F16493" s="3" t="s">
        <v>2579</v>
      </c>
      <c r="G16493" s="6">
        <v>242</v>
      </c>
      <c r="H16493" s="5">
        <v>15841</v>
      </c>
    </row>
    <row r="16494" spans="2:8" ht="15" customHeight="1" x14ac:dyDescent="0.4">
      <c r="B16494" s="3" t="s">
        <v>7</v>
      </c>
      <c r="C16494" s="3" t="s">
        <v>2578</v>
      </c>
      <c r="D16494" s="4">
        <f>DATE(2011,10,17)</f>
        <v>40833</v>
      </c>
      <c r="E16494" s="5">
        <f t="shared" si="270"/>
        <v>2011</v>
      </c>
      <c r="F16494" s="3" t="s">
        <v>2579</v>
      </c>
      <c r="G16494" s="6">
        <v>61.4</v>
      </c>
      <c r="H16494" s="5">
        <v>16088</v>
      </c>
    </row>
    <row r="16495" spans="2:8" ht="15" customHeight="1" x14ac:dyDescent="0.4">
      <c r="B16495" s="3" t="s">
        <v>7</v>
      </c>
      <c r="C16495" s="3" t="s">
        <v>2578</v>
      </c>
      <c r="D16495" s="4">
        <f>DATE(2011,12,2)</f>
        <v>40879</v>
      </c>
      <c r="E16495" s="5">
        <f t="shared" si="270"/>
        <v>2011</v>
      </c>
      <c r="F16495" s="3" t="s">
        <v>2579</v>
      </c>
      <c r="G16495" s="6">
        <v>388.04</v>
      </c>
      <c r="H16495" s="5">
        <v>16267</v>
      </c>
    </row>
    <row r="16496" spans="2:8" ht="15" customHeight="1" x14ac:dyDescent="0.4">
      <c r="B16496" s="3" t="s">
        <v>7</v>
      </c>
      <c r="C16496" s="3" t="s">
        <v>2578</v>
      </c>
      <c r="D16496" s="4">
        <f>DATE(2012,3,7)</f>
        <v>40975</v>
      </c>
      <c r="E16496" s="5">
        <f t="shared" si="270"/>
        <v>2012</v>
      </c>
      <c r="F16496" s="3" t="s">
        <v>2579</v>
      </c>
      <c r="G16496" s="6">
        <v>47474.5</v>
      </c>
      <c r="H16496" s="5">
        <v>16274</v>
      </c>
    </row>
    <row r="16497" spans="2:8" ht="15" customHeight="1" x14ac:dyDescent="0.4">
      <c r="B16497" s="3" t="s">
        <v>7</v>
      </c>
      <c r="C16497" s="3" t="s">
        <v>2578</v>
      </c>
      <c r="D16497" s="4">
        <f>DATE(2012,3,7)</f>
        <v>40975</v>
      </c>
      <c r="E16497" s="5">
        <f t="shared" si="270"/>
        <v>2012</v>
      </c>
      <c r="F16497" s="3" t="s">
        <v>2579</v>
      </c>
      <c r="G16497" s="6">
        <v>1500</v>
      </c>
      <c r="H16497" s="5">
        <v>16566</v>
      </c>
    </row>
    <row r="16498" spans="2:8" ht="15" customHeight="1" x14ac:dyDescent="0.4">
      <c r="B16498" s="3" t="s">
        <v>7</v>
      </c>
      <c r="C16498" s="3" t="s">
        <v>2578</v>
      </c>
      <c r="D16498" s="4">
        <f>DATE(2012,10,18)</f>
        <v>41200</v>
      </c>
      <c r="E16498" s="5">
        <f t="shared" si="270"/>
        <v>2012</v>
      </c>
      <c r="F16498" s="3" t="s">
        <v>2579</v>
      </c>
      <c r="G16498" s="6">
        <v>1249.0999999999999</v>
      </c>
      <c r="H16498" s="5">
        <v>17729</v>
      </c>
    </row>
    <row r="16499" spans="2:8" ht="15" customHeight="1" x14ac:dyDescent="0.4">
      <c r="B16499" s="3" t="s">
        <v>7</v>
      </c>
      <c r="C16499" s="3" t="s">
        <v>2578</v>
      </c>
      <c r="D16499" s="4">
        <f>DATE(2012,12,18)</f>
        <v>41261</v>
      </c>
      <c r="E16499" s="5">
        <f t="shared" si="270"/>
        <v>2012</v>
      </c>
      <c r="F16499" s="3" t="s">
        <v>2579</v>
      </c>
      <c r="G16499" s="6">
        <v>125</v>
      </c>
      <c r="H16499" s="5">
        <v>17625</v>
      </c>
    </row>
    <row r="16500" spans="2:8" ht="15" customHeight="1" x14ac:dyDescent="0.4">
      <c r="B16500" s="3" t="s">
        <v>7</v>
      </c>
      <c r="C16500" s="3" t="s">
        <v>2578</v>
      </c>
      <c r="D16500" s="4">
        <f>DATE(2013,4,10)</f>
        <v>41374</v>
      </c>
      <c r="E16500" s="5">
        <f t="shared" si="270"/>
        <v>2013</v>
      </c>
      <c r="F16500" s="3" t="s">
        <v>2579</v>
      </c>
      <c r="G16500" s="6">
        <v>43487.5</v>
      </c>
      <c r="H16500" s="5">
        <v>17880</v>
      </c>
    </row>
    <row r="16501" spans="2:8" ht="15" customHeight="1" x14ac:dyDescent="0.4">
      <c r="B16501" s="3" t="s">
        <v>7</v>
      </c>
      <c r="C16501" s="3" t="s">
        <v>2578</v>
      </c>
      <c r="D16501" s="4">
        <f>DATE(2013,7,18)</f>
        <v>41473</v>
      </c>
      <c r="E16501" s="5">
        <f t="shared" si="270"/>
        <v>2013</v>
      </c>
      <c r="F16501" s="3" t="s">
        <v>2579</v>
      </c>
      <c r="G16501" s="6">
        <v>2417</v>
      </c>
      <c r="H16501" s="5">
        <v>18769</v>
      </c>
    </row>
    <row r="16502" spans="2:8" ht="15" customHeight="1" x14ac:dyDescent="0.4">
      <c r="B16502" s="3" t="s">
        <v>7</v>
      </c>
      <c r="C16502" s="3" t="s">
        <v>2578</v>
      </c>
      <c r="D16502" s="4">
        <f>DATE(2013,8,29)</f>
        <v>41515</v>
      </c>
      <c r="E16502" s="5">
        <f t="shared" si="270"/>
        <v>2013</v>
      </c>
      <c r="F16502" s="3" t="s">
        <v>2579</v>
      </c>
      <c r="G16502" s="6">
        <v>2418</v>
      </c>
      <c r="H16502" s="5">
        <v>18821</v>
      </c>
    </row>
    <row r="16503" spans="2:8" ht="15" customHeight="1" x14ac:dyDescent="0.4">
      <c r="B16503" s="3" t="s">
        <v>7</v>
      </c>
      <c r="C16503" s="3" t="s">
        <v>2578</v>
      </c>
      <c r="D16503" s="4">
        <f>DATE(2013,9,11)</f>
        <v>41528</v>
      </c>
      <c r="E16503" s="5">
        <f t="shared" si="270"/>
        <v>2013</v>
      </c>
      <c r="F16503" s="3" t="s">
        <v>2579</v>
      </c>
      <c r="G16503" s="6">
        <v>124</v>
      </c>
      <c r="H16503" s="5">
        <v>18922</v>
      </c>
    </row>
    <row r="16504" spans="2:8" ht="15" customHeight="1" x14ac:dyDescent="0.4">
      <c r="B16504" s="3" t="s">
        <v>7</v>
      </c>
      <c r="C16504" s="3" t="s">
        <v>2578</v>
      </c>
      <c r="D16504" s="4">
        <f>DATE(2013,11,27)</f>
        <v>41605</v>
      </c>
      <c r="E16504" s="5">
        <f t="shared" si="270"/>
        <v>2013</v>
      </c>
      <c r="F16504" s="3" t="s">
        <v>2579</v>
      </c>
      <c r="G16504" s="6">
        <v>2439.19</v>
      </c>
      <c r="H16504" s="5">
        <v>19126</v>
      </c>
    </row>
    <row r="16505" spans="2:8" ht="15" customHeight="1" x14ac:dyDescent="0.4">
      <c r="B16505" s="3" t="s">
        <v>7</v>
      </c>
      <c r="C16505" s="3" t="s">
        <v>2578</v>
      </c>
      <c r="D16505" s="4">
        <f>DATE(2014,4,7)</f>
        <v>41736</v>
      </c>
      <c r="E16505" s="5">
        <f t="shared" si="270"/>
        <v>2014</v>
      </c>
      <c r="F16505" s="3" t="s">
        <v>2579</v>
      </c>
      <c r="G16505" s="6">
        <v>44987.5</v>
      </c>
      <c r="H16505" s="5">
        <v>19326</v>
      </c>
    </row>
    <row r="16506" spans="2:8" ht="15" customHeight="1" x14ac:dyDescent="0.4">
      <c r="B16506" s="3" t="s">
        <v>7</v>
      </c>
      <c r="C16506" s="3" t="s">
        <v>2578</v>
      </c>
      <c r="D16506" s="4">
        <f>DATE(2014,11,21)</f>
        <v>41964</v>
      </c>
      <c r="E16506" s="5">
        <f t="shared" si="270"/>
        <v>2014</v>
      </c>
      <c r="F16506" s="3" t="s">
        <v>2579</v>
      </c>
      <c r="G16506" s="6">
        <v>1250.0999999999999</v>
      </c>
      <c r="H16506" s="5">
        <v>20644</v>
      </c>
    </row>
    <row r="16507" spans="2:8" ht="15" customHeight="1" x14ac:dyDescent="0.4">
      <c r="B16507" t="s">
        <v>7</v>
      </c>
      <c r="C16507" t="s">
        <v>2578</v>
      </c>
      <c r="D16507" s="7">
        <f>DATE(2019,5,2)</f>
        <v>43587</v>
      </c>
      <c r="E16507" s="8">
        <f t="shared" si="270"/>
        <v>2019</v>
      </c>
      <c r="F16507" t="s">
        <v>2580</v>
      </c>
      <c r="G16507" s="9">
        <v>347478.17</v>
      </c>
      <c r="H16507" s="8">
        <v>28052</v>
      </c>
    </row>
    <row r="16508" spans="2:8" ht="15" customHeight="1" x14ac:dyDescent="0.4">
      <c r="B16508" t="s">
        <v>7</v>
      </c>
      <c r="C16508" t="s">
        <v>2578</v>
      </c>
      <c r="D16508" s="7">
        <f>DATE(2018,4,27)</f>
        <v>43217</v>
      </c>
      <c r="E16508" s="8">
        <f t="shared" si="270"/>
        <v>2018</v>
      </c>
      <c r="F16508" t="s">
        <v>2580</v>
      </c>
      <c r="G16508" s="9">
        <v>15059</v>
      </c>
      <c r="H16508" s="8">
        <v>26630</v>
      </c>
    </row>
    <row r="16509" spans="2:8" ht="15" customHeight="1" x14ac:dyDescent="0.4">
      <c r="B16509" t="s">
        <v>7</v>
      </c>
      <c r="C16509" t="s">
        <v>2578</v>
      </c>
      <c r="D16509" s="7">
        <f>DATE(2018,4,27)</f>
        <v>43217</v>
      </c>
      <c r="E16509" s="8">
        <f t="shared" si="270"/>
        <v>2018</v>
      </c>
      <c r="F16509" t="s">
        <v>2580</v>
      </c>
      <c r="G16509" s="9">
        <v>301039.55</v>
      </c>
      <c r="H16509" s="8">
        <v>26085</v>
      </c>
    </row>
    <row r="16510" spans="2:8" ht="15" customHeight="1" x14ac:dyDescent="0.4">
      <c r="B16510" t="s">
        <v>7</v>
      </c>
      <c r="C16510" t="s">
        <v>2578</v>
      </c>
      <c r="D16510" s="7">
        <f>DATE(2019,5,10)</f>
        <v>43595</v>
      </c>
      <c r="E16510" s="8">
        <f t="shared" si="270"/>
        <v>2019</v>
      </c>
      <c r="F16510" t="s">
        <v>2580</v>
      </c>
      <c r="G16510" s="9">
        <v>8163</v>
      </c>
      <c r="H16510" s="8">
        <v>28702</v>
      </c>
    </row>
    <row r="16511" spans="2:8" ht="15" customHeight="1" x14ac:dyDescent="0.4">
      <c r="B16511" t="s">
        <v>7</v>
      </c>
      <c r="C16511" t="s">
        <v>2578</v>
      </c>
      <c r="D16511" s="7">
        <f>DATE(2018,4,18)</f>
        <v>43208</v>
      </c>
      <c r="E16511" s="8">
        <f t="shared" si="270"/>
        <v>2018</v>
      </c>
      <c r="F16511" t="s">
        <v>2580</v>
      </c>
      <c r="G16511" s="9">
        <v>34062.1</v>
      </c>
      <c r="H16511" s="8">
        <v>26149</v>
      </c>
    </row>
    <row r="16512" spans="2:8" ht="15" customHeight="1" x14ac:dyDescent="0.4">
      <c r="B16512" t="s">
        <v>7</v>
      </c>
      <c r="C16512" t="s">
        <v>2578</v>
      </c>
      <c r="D16512" s="7">
        <f>DATE(2018,4,27)</f>
        <v>43217</v>
      </c>
      <c r="E16512" s="8">
        <f t="shared" si="270"/>
        <v>2018</v>
      </c>
      <c r="F16512" t="s">
        <v>2580</v>
      </c>
      <c r="G16512" s="9">
        <v>165</v>
      </c>
      <c r="H16512" s="8">
        <v>26859</v>
      </c>
    </row>
    <row r="16513" spans="2:8" ht="15" customHeight="1" x14ac:dyDescent="0.4">
      <c r="B16513" t="s">
        <v>7</v>
      </c>
      <c r="C16513" t="s">
        <v>2578</v>
      </c>
      <c r="D16513" s="7">
        <f>DATE(2017,5,31)</f>
        <v>42886</v>
      </c>
      <c r="E16513" s="8">
        <f t="shared" si="270"/>
        <v>2017</v>
      </c>
      <c r="F16513" t="s">
        <v>2580</v>
      </c>
      <c r="G16513" s="9">
        <v>3556.28</v>
      </c>
      <c r="H16513" s="8">
        <v>24948</v>
      </c>
    </row>
    <row r="16514" spans="2:8" ht="15" customHeight="1" x14ac:dyDescent="0.4">
      <c r="B16514" t="s">
        <v>7</v>
      </c>
      <c r="C16514" t="s">
        <v>2578</v>
      </c>
      <c r="D16514" s="7">
        <f>DATE(2017,6,2)</f>
        <v>42888</v>
      </c>
      <c r="E16514" s="8">
        <f t="shared" si="270"/>
        <v>2017</v>
      </c>
      <c r="F16514" t="s">
        <v>2580</v>
      </c>
      <c r="G16514" s="9">
        <v>3104</v>
      </c>
      <c r="H16514" s="8">
        <v>24899</v>
      </c>
    </row>
    <row r="16515" spans="2:8" ht="15" customHeight="1" x14ac:dyDescent="0.4">
      <c r="B16515" t="s">
        <v>7</v>
      </c>
      <c r="C16515" t="s">
        <v>2578</v>
      </c>
      <c r="D16515" s="7">
        <f>DATE(2017,7,3)</f>
        <v>42919</v>
      </c>
      <c r="E16515" s="8">
        <f t="shared" ref="E16515:E16578" si="271">YEAR(D16515)</f>
        <v>2017</v>
      </c>
      <c r="F16515" t="s">
        <v>2580</v>
      </c>
      <c r="G16515" s="9">
        <v>1589.47</v>
      </c>
      <c r="H16515" s="8">
        <v>25116</v>
      </c>
    </row>
    <row r="16516" spans="2:8" ht="15" customHeight="1" x14ac:dyDescent="0.4">
      <c r="B16516" t="s">
        <v>7</v>
      </c>
      <c r="C16516" t="s">
        <v>2578</v>
      </c>
      <c r="D16516" s="7">
        <f>DATE(2017,7,13)</f>
        <v>42929</v>
      </c>
      <c r="E16516" s="8">
        <f t="shared" si="271"/>
        <v>2017</v>
      </c>
      <c r="F16516" t="s">
        <v>2580</v>
      </c>
      <c r="G16516" s="9">
        <v>1486.47</v>
      </c>
      <c r="H16516" s="8">
        <v>25215</v>
      </c>
    </row>
    <row r="16517" spans="2:8" ht="15" customHeight="1" x14ac:dyDescent="0.4">
      <c r="B16517" t="s">
        <v>7</v>
      </c>
      <c r="C16517" t="s">
        <v>2578</v>
      </c>
      <c r="D16517" s="7">
        <f>DATE(2017,10,19)</f>
        <v>43027</v>
      </c>
      <c r="E16517" s="8">
        <f t="shared" si="271"/>
        <v>2017</v>
      </c>
      <c r="F16517" t="s">
        <v>2580</v>
      </c>
      <c r="G16517" s="9">
        <v>7450.55</v>
      </c>
      <c r="H16517" s="8">
        <v>25661</v>
      </c>
    </row>
    <row r="16518" spans="2:8" ht="15" customHeight="1" x14ac:dyDescent="0.4">
      <c r="B16518" t="s">
        <v>7</v>
      </c>
      <c r="C16518" t="s">
        <v>2578</v>
      </c>
      <c r="D16518" s="7">
        <f>DATE(2017,10,19)</f>
        <v>43027</v>
      </c>
      <c r="E16518" s="8">
        <f t="shared" si="271"/>
        <v>2017</v>
      </c>
      <c r="F16518" t="s">
        <v>2580</v>
      </c>
      <c r="G16518" s="9">
        <v>7905.2</v>
      </c>
      <c r="H16518" s="8">
        <v>25718</v>
      </c>
    </row>
    <row r="16519" spans="2:8" ht="15" customHeight="1" x14ac:dyDescent="0.4">
      <c r="B16519" t="s">
        <v>7</v>
      </c>
      <c r="C16519" t="s">
        <v>2578</v>
      </c>
      <c r="D16519" s="7">
        <f>DATE(2018,2,21)</f>
        <v>43152</v>
      </c>
      <c r="E16519" s="8">
        <f t="shared" si="271"/>
        <v>2018</v>
      </c>
      <c r="F16519" t="s">
        <v>2580</v>
      </c>
      <c r="G16519" s="9">
        <v>4874.7299999999996</v>
      </c>
      <c r="H16519" s="8">
        <v>26459</v>
      </c>
    </row>
    <row r="16520" spans="2:8" ht="15" customHeight="1" x14ac:dyDescent="0.4">
      <c r="B16520" t="s">
        <v>7</v>
      </c>
      <c r="C16520" t="s">
        <v>2578</v>
      </c>
      <c r="D16520" s="7">
        <f>DATE(2018,2,27)</f>
        <v>43158</v>
      </c>
      <c r="E16520" s="8">
        <f t="shared" si="271"/>
        <v>2018</v>
      </c>
      <c r="F16520" t="s">
        <v>2580</v>
      </c>
      <c r="G16520" s="9">
        <v>6302.46</v>
      </c>
      <c r="H16520" s="8">
        <v>26457</v>
      </c>
    </row>
    <row r="16521" spans="2:8" ht="15" customHeight="1" x14ac:dyDescent="0.4">
      <c r="B16521" t="s">
        <v>7</v>
      </c>
      <c r="C16521" t="s">
        <v>2578</v>
      </c>
      <c r="D16521" s="7">
        <f>DATE(2018,3,7)</f>
        <v>43166</v>
      </c>
      <c r="E16521" s="8">
        <f t="shared" si="271"/>
        <v>2018</v>
      </c>
      <c r="F16521" t="s">
        <v>2580</v>
      </c>
      <c r="G16521" s="9">
        <v>3429.21</v>
      </c>
      <c r="H16521" s="8">
        <v>26518</v>
      </c>
    </row>
    <row r="16522" spans="2:8" ht="15" customHeight="1" x14ac:dyDescent="0.4">
      <c r="B16522" t="s">
        <v>7</v>
      </c>
      <c r="C16522" t="s">
        <v>2578</v>
      </c>
      <c r="D16522" s="7">
        <f>DATE(2018,3,7)</f>
        <v>43166</v>
      </c>
      <c r="E16522" s="8">
        <f t="shared" si="271"/>
        <v>2018</v>
      </c>
      <c r="F16522" t="s">
        <v>2580</v>
      </c>
      <c r="G16522" s="9">
        <v>1964.58</v>
      </c>
      <c r="H16522" s="8">
        <v>26524</v>
      </c>
    </row>
    <row r="16523" spans="2:8" ht="15" customHeight="1" x14ac:dyDescent="0.4">
      <c r="B16523" t="s">
        <v>7</v>
      </c>
      <c r="C16523" t="s">
        <v>2578</v>
      </c>
      <c r="D16523" s="7">
        <f>DATE(2018,3,21)</f>
        <v>43180</v>
      </c>
      <c r="E16523" s="8">
        <f t="shared" si="271"/>
        <v>2018</v>
      </c>
      <c r="F16523" t="s">
        <v>2580</v>
      </c>
      <c r="G16523" s="9">
        <v>12199.23</v>
      </c>
      <c r="H16523" s="8">
        <v>26605</v>
      </c>
    </row>
    <row r="16524" spans="2:8" ht="15" customHeight="1" x14ac:dyDescent="0.4">
      <c r="B16524" t="s">
        <v>7</v>
      </c>
      <c r="C16524" t="s">
        <v>2578</v>
      </c>
      <c r="D16524" s="7">
        <f>DATE(2018,4,2)</f>
        <v>43192</v>
      </c>
      <c r="E16524" s="8">
        <f t="shared" si="271"/>
        <v>2018</v>
      </c>
      <c r="F16524" t="s">
        <v>2580</v>
      </c>
      <c r="G16524" s="9">
        <v>1465.01</v>
      </c>
      <c r="H16524" s="8">
        <v>26755</v>
      </c>
    </row>
    <row r="16525" spans="2:8" ht="15" customHeight="1" x14ac:dyDescent="0.4">
      <c r="B16525" t="s">
        <v>7</v>
      </c>
      <c r="C16525" t="s">
        <v>2578</v>
      </c>
      <c r="D16525" s="7">
        <f>DATE(2018,4,13)</f>
        <v>43203</v>
      </c>
      <c r="E16525" s="8">
        <f t="shared" si="271"/>
        <v>2018</v>
      </c>
      <c r="F16525" t="s">
        <v>2580</v>
      </c>
      <c r="G16525" s="9">
        <v>1726.3</v>
      </c>
      <c r="H16525" s="8">
        <v>26824</v>
      </c>
    </row>
    <row r="16526" spans="2:8" ht="15" customHeight="1" x14ac:dyDescent="0.4">
      <c r="B16526" t="s">
        <v>7</v>
      </c>
      <c r="C16526" t="s">
        <v>2578</v>
      </c>
      <c r="D16526" s="7">
        <f>DATE(2018,4,23)</f>
        <v>43213</v>
      </c>
      <c r="E16526" s="8">
        <f t="shared" si="271"/>
        <v>2018</v>
      </c>
      <c r="F16526" t="s">
        <v>2580</v>
      </c>
      <c r="G16526" s="9">
        <v>11796.94</v>
      </c>
      <c r="H16526" s="8">
        <v>26883</v>
      </c>
    </row>
    <row r="16527" spans="2:8" ht="15" customHeight="1" x14ac:dyDescent="0.4">
      <c r="B16527" t="s">
        <v>7</v>
      </c>
      <c r="C16527" t="s">
        <v>2578</v>
      </c>
      <c r="D16527" s="7">
        <f>DATE(2018,4,26)</f>
        <v>43216</v>
      </c>
      <c r="E16527" s="8">
        <f t="shared" si="271"/>
        <v>2018</v>
      </c>
      <c r="F16527" t="s">
        <v>2580</v>
      </c>
      <c r="G16527" s="9">
        <v>9398.5300000000007</v>
      </c>
      <c r="H16527" s="8">
        <v>26913</v>
      </c>
    </row>
    <row r="16528" spans="2:8" ht="15" customHeight="1" x14ac:dyDescent="0.4">
      <c r="B16528" t="s">
        <v>7</v>
      </c>
      <c r="C16528" t="s">
        <v>2578</v>
      </c>
      <c r="D16528" s="7">
        <f>DATE(2018,5,16)</f>
        <v>43236</v>
      </c>
      <c r="E16528" s="8">
        <f t="shared" si="271"/>
        <v>2018</v>
      </c>
      <c r="F16528" t="s">
        <v>2580</v>
      </c>
      <c r="G16528" s="9">
        <v>831.03</v>
      </c>
      <c r="H16528" s="8">
        <v>27001</v>
      </c>
    </row>
    <row r="16529" spans="2:8" ht="15" customHeight="1" x14ac:dyDescent="0.4">
      <c r="B16529" t="s">
        <v>7</v>
      </c>
      <c r="C16529" t="s">
        <v>2578</v>
      </c>
      <c r="D16529" s="7">
        <f>DATE(2018,5,17)</f>
        <v>43237</v>
      </c>
      <c r="E16529" s="8">
        <f t="shared" si="271"/>
        <v>2018</v>
      </c>
      <c r="F16529" t="s">
        <v>2580</v>
      </c>
      <c r="G16529" s="9">
        <v>4773.28</v>
      </c>
      <c r="H16529" s="8">
        <v>26984</v>
      </c>
    </row>
    <row r="16530" spans="2:8" ht="15" customHeight="1" x14ac:dyDescent="0.4">
      <c r="B16530" t="s">
        <v>7</v>
      </c>
      <c r="C16530" t="s">
        <v>2578</v>
      </c>
      <c r="D16530" s="7">
        <f>DATE(2018,5,23)</f>
        <v>43243</v>
      </c>
      <c r="E16530" s="8">
        <f t="shared" si="271"/>
        <v>2018</v>
      </c>
      <c r="F16530" t="s">
        <v>2580</v>
      </c>
      <c r="G16530" s="9">
        <v>15751.02</v>
      </c>
      <c r="H16530" s="8">
        <v>26990</v>
      </c>
    </row>
    <row r="16531" spans="2:8" ht="15" customHeight="1" x14ac:dyDescent="0.4">
      <c r="B16531" t="s">
        <v>7</v>
      </c>
      <c r="C16531" t="s">
        <v>2578</v>
      </c>
      <c r="D16531" s="7">
        <f>DATE(2018,6,6)</f>
        <v>43257</v>
      </c>
      <c r="E16531" s="8">
        <f t="shared" si="271"/>
        <v>2018</v>
      </c>
      <c r="F16531" t="s">
        <v>2580</v>
      </c>
      <c r="G16531" s="9">
        <v>4378.08</v>
      </c>
      <c r="H16531" s="8">
        <v>27024</v>
      </c>
    </row>
    <row r="16532" spans="2:8" ht="15" customHeight="1" x14ac:dyDescent="0.4">
      <c r="B16532" t="s">
        <v>7</v>
      </c>
      <c r="C16532" t="s">
        <v>2578</v>
      </c>
      <c r="D16532" s="7">
        <f>DATE(2018,8,2)</f>
        <v>43314</v>
      </c>
      <c r="E16532" s="8">
        <f t="shared" si="271"/>
        <v>2018</v>
      </c>
      <c r="F16532" t="s">
        <v>2580</v>
      </c>
      <c r="G16532" s="9">
        <v>1556.6</v>
      </c>
      <c r="H16532" s="8">
        <v>27395</v>
      </c>
    </row>
    <row r="16533" spans="2:8" ht="15" customHeight="1" x14ac:dyDescent="0.4">
      <c r="B16533" t="s">
        <v>7</v>
      </c>
      <c r="C16533" t="s">
        <v>2578</v>
      </c>
      <c r="D16533" s="7">
        <f>DATE(2018,8,30)</f>
        <v>43342</v>
      </c>
      <c r="E16533" s="8">
        <f t="shared" si="271"/>
        <v>2018</v>
      </c>
      <c r="F16533" t="s">
        <v>2580</v>
      </c>
      <c r="G16533" s="9">
        <v>4929.91</v>
      </c>
      <c r="H16533" s="8">
        <v>27419</v>
      </c>
    </row>
    <row r="16534" spans="2:8" ht="15" customHeight="1" x14ac:dyDescent="0.4">
      <c r="B16534" t="s">
        <v>7</v>
      </c>
      <c r="C16534" t="s">
        <v>2578</v>
      </c>
      <c r="D16534" s="7">
        <f>DATE(2018,8,30)</f>
        <v>43342</v>
      </c>
      <c r="E16534" s="8">
        <f t="shared" si="271"/>
        <v>2018</v>
      </c>
      <c r="F16534" t="s">
        <v>2580</v>
      </c>
      <c r="G16534" s="9">
        <v>800.97</v>
      </c>
      <c r="H16534" s="8">
        <v>27495</v>
      </c>
    </row>
    <row r="16535" spans="2:8" ht="15" customHeight="1" x14ac:dyDescent="0.4">
      <c r="B16535" t="s">
        <v>7</v>
      </c>
      <c r="C16535" t="s">
        <v>2578</v>
      </c>
      <c r="D16535" s="7">
        <f>DATE(2018,8,30)</f>
        <v>43342</v>
      </c>
      <c r="E16535" s="8">
        <f t="shared" si="271"/>
        <v>2018</v>
      </c>
      <c r="F16535" t="s">
        <v>2580</v>
      </c>
      <c r="G16535" s="9">
        <v>1423.95</v>
      </c>
      <c r="H16535" s="8">
        <v>27496</v>
      </c>
    </row>
    <row r="16536" spans="2:8" ht="15" customHeight="1" x14ac:dyDescent="0.4">
      <c r="B16536" t="s">
        <v>7</v>
      </c>
      <c r="C16536" t="s">
        <v>2578</v>
      </c>
      <c r="D16536" s="7">
        <f>DATE(2018,8,30)</f>
        <v>43342</v>
      </c>
      <c r="E16536" s="8">
        <f t="shared" si="271"/>
        <v>2018</v>
      </c>
      <c r="F16536" t="s">
        <v>2580</v>
      </c>
      <c r="G16536" s="9">
        <v>1919.42</v>
      </c>
      <c r="H16536" s="8">
        <v>27497</v>
      </c>
    </row>
    <row r="16537" spans="2:8" ht="15" customHeight="1" x14ac:dyDescent="0.4">
      <c r="B16537" t="s">
        <v>7</v>
      </c>
      <c r="C16537" t="s">
        <v>2578</v>
      </c>
      <c r="D16537" s="7">
        <f>DATE(2018,9,10)</f>
        <v>43353</v>
      </c>
      <c r="E16537" s="8">
        <f t="shared" si="271"/>
        <v>2018</v>
      </c>
      <c r="F16537" t="s">
        <v>2580</v>
      </c>
      <c r="G16537" s="9">
        <v>1047.97</v>
      </c>
      <c r="H16537" s="8">
        <v>27601</v>
      </c>
    </row>
    <row r="16538" spans="2:8" ht="15" customHeight="1" x14ac:dyDescent="0.4">
      <c r="B16538" t="s">
        <v>7</v>
      </c>
      <c r="C16538" t="s">
        <v>2578</v>
      </c>
      <c r="D16538" s="7">
        <f>DATE(2018,9,12)</f>
        <v>43355</v>
      </c>
      <c r="E16538" s="8">
        <f t="shared" si="271"/>
        <v>2018</v>
      </c>
      <c r="F16538" t="s">
        <v>2580</v>
      </c>
      <c r="G16538" s="9">
        <v>1153.68</v>
      </c>
      <c r="H16538" s="8">
        <v>27602</v>
      </c>
    </row>
    <row r="16539" spans="2:8" ht="15" customHeight="1" x14ac:dyDescent="0.4">
      <c r="B16539" t="s">
        <v>7</v>
      </c>
      <c r="C16539" t="s">
        <v>2578</v>
      </c>
      <c r="D16539" s="7">
        <f>DATE(2019,5,15)</f>
        <v>43600</v>
      </c>
      <c r="E16539" s="8">
        <f t="shared" si="271"/>
        <v>2019</v>
      </c>
      <c r="F16539" t="s">
        <v>2580</v>
      </c>
      <c r="G16539" s="9">
        <v>2383.6799999999998</v>
      </c>
      <c r="H16539" s="8">
        <v>28624</v>
      </c>
    </row>
    <row r="16540" spans="2:8" ht="15" customHeight="1" x14ac:dyDescent="0.4">
      <c r="B16540" t="s">
        <v>7</v>
      </c>
      <c r="C16540" t="s">
        <v>2578</v>
      </c>
      <c r="D16540" s="7">
        <f>DATE(2019,5,15)</f>
        <v>43600</v>
      </c>
      <c r="E16540" s="8">
        <f t="shared" si="271"/>
        <v>2019</v>
      </c>
      <c r="F16540" t="s">
        <v>2580</v>
      </c>
      <c r="G16540" s="9">
        <v>11361.38</v>
      </c>
      <c r="H16540" s="8">
        <v>28858</v>
      </c>
    </row>
    <row r="16541" spans="2:8" ht="15" customHeight="1" x14ac:dyDescent="0.4">
      <c r="B16541" t="s">
        <v>7</v>
      </c>
      <c r="C16541" t="s">
        <v>2578</v>
      </c>
      <c r="D16541" s="7">
        <f>DATE(2019,5,15)</f>
        <v>43600</v>
      </c>
      <c r="E16541" s="8">
        <f t="shared" si="271"/>
        <v>2019</v>
      </c>
      <c r="F16541" t="s">
        <v>2580</v>
      </c>
      <c r="G16541" s="9">
        <v>3676.58</v>
      </c>
      <c r="H16541" s="8">
        <v>28859</v>
      </c>
    </row>
    <row r="16542" spans="2:8" ht="15" customHeight="1" x14ac:dyDescent="0.4">
      <c r="B16542" t="s">
        <v>7</v>
      </c>
      <c r="C16542" t="s">
        <v>2578</v>
      </c>
      <c r="D16542" s="7">
        <f>DATE(2019,5,15)</f>
        <v>43600</v>
      </c>
      <c r="E16542" s="8">
        <f t="shared" si="271"/>
        <v>2019</v>
      </c>
      <c r="F16542" t="s">
        <v>2580</v>
      </c>
      <c r="G16542" s="9">
        <v>20398.5</v>
      </c>
      <c r="H16542" s="8">
        <v>28921</v>
      </c>
    </row>
    <row r="16543" spans="2:8" ht="15" customHeight="1" x14ac:dyDescent="0.4">
      <c r="B16543" t="s">
        <v>7</v>
      </c>
      <c r="C16543" t="s">
        <v>2578</v>
      </c>
      <c r="D16543" s="7">
        <f>DATE(2019,5,16)</f>
        <v>43601</v>
      </c>
      <c r="E16543" s="8">
        <f t="shared" si="271"/>
        <v>2019</v>
      </c>
      <c r="F16543" t="s">
        <v>2580</v>
      </c>
      <c r="G16543" s="9">
        <v>11619.18</v>
      </c>
      <c r="H16543" s="8">
        <v>28980</v>
      </c>
    </row>
    <row r="16544" spans="2:8" ht="15" customHeight="1" x14ac:dyDescent="0.4">
      <c r="B16544" t="s">
        <v>7</v>
      </c>
      <c r="C16544" t="s">
        <v>2578</v>
      </c>
      <c r="D16544" s="7">
        <f>DATE(2003,4,25)</f>
        <v>37736</v>
      </c>
      <c r="E16544" s="8">
        <f t="shared" si="271"/>
        <v>2003</v>
      </c>
      <c r="F16544" t="s">
        <v>2580</v>
      </c>
      <c r="G16544" s="9">
        <v>96857.08</v>
      </c>
      <c r="H16544" s="8">
        <v>36</v>
      </c>
    </row>
    <row r="16545" spans="2:8" ht="15" customHeight="1" x14ac:dyDescent="0.4">
      <c r="B16545" s="3" t="s">
        <v>7</v>
      </c>
      <c r="C16545" s="3" t="s">
        <v>2578</v>
      </c>
      <c r="D16545" s="4">
        <f>DATE(2003,3,27)</f>
        <v>37707</v>
      </c>
      <c r="E16545" s="5">
        <f t="shared" si="271"/>
        <v>2003</v>
      </c>
      <c r="F16545" s="3" t="s">
        <v>2580</v>
      </c>
      <c r="G16545" s="6">
        <v>41774.5</v>
      </c>
      <c r="H16545" s="5">
        <v>16</v>
      </c>
    </row>
    <row r="16546" spans="2:8" ht="15" customHeight="1" x14ac:dyDescent="0.4">
      <c r="B16546" t="s">
        <v>7</v>
      </c>
      <c r="C16546" t="s">
        <v>2581</v>
      </c>
      <c r="D16546" s="7">
        <f>DATE(2019,5,13)</f>
        <v>43598</v>
      </c>
      <c r="E16546" s="8">
        <f t="shared" si="271"/>
        <v>2019</v>
      </c>
      <c r="F16546" t="s">
        <v>2582</v>
      </c>
      <c r="G16546" s="9">
        <v>2976.5</v>
      </c>
      <c r="H16546" s="8">
        <v>29019</v>
      </c>
    </row>
    <row r="16547" spans="2:8" ht="15" customHeight="1" x14ac:dyDescent="0.4">
      <c r="B16547" t="s">
        <v>7</v>
      </c>
      <c r="C16547" t="s">
        <v>2581</v>
      </c>
      <c r="D16547" s="7">
        <f>DATE(2019,5,13)</f>
        <v>43598</v>
      </c>
      <c r="E16547" s="8">
        <f t="shared" si="271"/>
        <v>2019</v>
      </c>
      <c r="F16547" t="s">
        <v>2582</v>
      </c>
      <c r="G16547" s="9">
        <v>5108.1000000000004</v>
      </c>
      <c r="H16547" s="8">
        <v>28626</v>
      </c>
    </row>
    <row r="16548" spans="2:8" ht="15" customHeight="1" x14ac:dyDescent="0.4">
      <c r="B16548" t="s">
        <v>7</v>
      </c>
      <c r="C16548" t="s">
        <v>2581</v>
      </c>
      <c r="D16548" s="7">
        <f>DATE(2019,5,13)</f>
        <v>43598</v>
      </c>
      <c r="E16548" s="8">
        <f t="shared" si="271"/>
        <v>2019</v>
      </c>
      <c r="F16548" t="s">
        <v>2582</v>
      </c>
      <c r="G16548" s="9">
        <v>117810.66</v>
      </c>
      <c r="H16548" s="8">
        <v>28072</v>
      </c>
    </row>
    <row r="16549" spans="2:8" ht="15" customHeight="1" x14ac:dyDescent="0.4">
      <c r="B16549" t="s">
        <v>7</v>
      </c>
      <c r="C16549" t="s">
        <v>2581</v>
      </c>
      <c r="D16549" s="7">
        <f>DATE(2016,11,17)</f>
        <v>42691</v>
      </c>
      <c r="E16549" s="8">
        <f t="shared" si="271"/>
        <v>2016</v>
      </c>
      <c r="F16549" t="s">
        <v>2582</v>
      </c>
      <c r="G16549" s="9">
        <v>84718</v>
      </c>
      <c r="H16549" s="8">
        <v>23616</v>
      </c>
    </row>
    <row r="16550" spans="2:8" ht="15" customHeight="1" x14ac:dyDescent="0.4">
      <c r="B16550" t="s">
        <v>7</v>
      </c>
      <c r="C16550" t="s">
        <v>2581</v>
      </c>
      <c r="D16550" s="7">
        <f>DATE(2016,11,23)</f>
        <v>42697</v>
      </c>
      <c r="E16550" s="8">
        <f t="shared" si="271"/>
        <v>2016</v>
      </c>
      <c r="F16550" t="s">
        <v>2582</v>
      </c>
      <c r="G16550" s="9">
        <v>14467.91</v>
      </c>
      <c r="H16550" s="8">
        <v>23700</v>
      </c>
    </row>
    <row r="16551" spans="2:8" ht="15" customHeight="1" x14ac:dyDescent="0.4">
      <c r="B16551" t="s">
        <v>7</v>
      </c>
      <c r="C16551" t="s">
        <v>2581</v>
      </c>
      <c r="D16551" s="7">
        <f>DATE(2017,4,3)</f>
        <v>42828</v>
      </c>
      <c r="E16551" s="8">
        <f t="shared" si="271"/>
        <v>2017</v>
      </c>
      <c r="F16551" t="s">
        <v>2582</v>
      </c>
      <c r="G16551" s="9">
        <v>91600</v>
      </c>
      <c r="H16551" s="8">
        <v>24307</v>
      </c>
    </row>
    <row r="16552" spans="2:8" ht="15" customHeight="1" x14ac:dyDescent="0.4">
      <c r="B16552" t="s">
        <v>7</v>
      </c>
      <c r="C16552" t="s">
        <v>2581</v>
      </c>
      <c r="D16552" s="7">
        <f>DATE(2017,4,6)</f>
        <v>42831</v>
      </c>
      <c r="E16552" s="8">
        <f t="shared" si="271"/>
        <v>2017</v>
      </c>
      <c r="F16552" t="s">
        <v>2582</v>
      </c>
      <c r="G16552" s="9">
        <v>8483.8799999999992</v>
      </c>
      <c r="H16552" s="8">
        <v>24310</v>
      </c>
    </row>
    <row r="16553" spans="2:8" ht="15" customHeight="1" x14ac:dyDescent="0.4">
      <c r="B16553" t="s">
        <v>7</v>
      </c>
      <c r="C16553" t="s">
        <v>2581</v>
      </c>
      <c r="D16553" s="7">
        <f>DATE(2018,3,12)</f>
        <v>43171</v>
      </c>
      <c r="E16553" s="8">
        <f t="shared" si="271"/>
        <v>2018</v>
      </c>
      <c r="F16553" t="s">
        <v>2582</v>
      </c>
      <c r="G16553" s="9">
        <v>14644.81</v>
      </c>
      <c r="H16553" s="8">
        <v>26234</v>
      </c>
    </row>
    <row r="16554" spans="2:8" ht="15" customHeight="1" x14ac:dyDescent="0.4">
      <c r="B16554" t="s">
        <v>7</v>
      </c>
      <c r="C16554" t="s">
        <v>2581</v>
      </c>
      <c r="D16554" s="7">
        <f>DATE(2015,1,20)</f>
        <v>42024</v>
      </c>
      <c r="E16554" s="8">
        <f t="shared" si="271"/>
        <v>2015</v>
      </c>
      <c r="F16554" t="s">
        <v>2582</v>
      </c>
      <c r="G16554" s="9">
        <v>900</v>
      </c>
      <c r="H16554" s="8">
        <v>126</v>
      </c>
    </row>
    <row r="16555" spans="2:8" ht="15" customHeight="1" x14ac:dyDescent="0.4">
      <c r="B16555" t="s">
        <v>7</v>
      </c>
      <c r="C16555" t="s">
        <v>2581</v>
      </c>
      <c r="D16555" s="7">
        <f>DATE(2016,1,15)</f>
        <v>42384</v>
      </c>
      <c r="E16555" s="8">
        <f t="shared" si="271"/>
        <v>2016</v>
      </c>
      <c r="F16555" t="s">
        <v>2582</v>
      </c>
      <c r="G16555" s="9">
        <v>450</v>
      </c>
      <c r="H16555" s="8">
        <v>21951</v>
      </c>
    </row>
    <row r="16556" spans="2:8" ht="15" customHeight="1" x14ac:dyDescent="0.4">
      <c r="B16556" t="s">
        <v>7</v>
      </c>
      <c r="C16556" t="s">
        <v>2581</v>
      </c>
      <c r="D16556" s="7">
        <f>DATE(2017,2,15)</f>
        <v>42781</v>
      </c>
      <c r="E16556" s="8">
        <f t="shared" si="271"/>
        <v>2017</v>
      </c>
      <c r="F16556" t="s">
        <v>2582</v>
      </c>
      <c r="G16556" s="9">
        <v>900</v>
      </c>
      <c r="H16556" s="8">
        <v>24279</v>
      </c>
    </row>
    <row r="16557" spans="2:8" ht="15" customHeight="1" x14ac:dyDescent="0.4">
      <c r="B16557" t="s">
        <v>7</v>
      </c>
      <c r="C16557" t="s">
        <v>2581</v>
      </c>
      <c r="D16557" s="7">
        <f>DATE(2017,4,24)</f>
        <v>42849</v>
      </c>
      <c r="E16557" s="8">
        <f t="shared" si="271"/>
        <v>2017</v>
      </c>
      <c r="F16557" t="s">
        <v>2582</v>
      </c>
      <c r="G16557" s="9">
        <v>450</v>
      </c>
      <c r="H16557" s="8">
        <v>24789</v>
      </c>
    </row>
    <row r="16558" spans="2:8" ht="15" customHeight="1" x14ac:dyDescent="0.4">
      <c r="B16558" t="s">
        <v>7</v>
      </c>
      <c r="C16558" t="s">
        <v>2581</v>
      </c>
      <c r="D16558" s="7">
        <f>DATE(2017,6,7)</f>
        <v>42893</v>
      </c>
      <c r="E16558" s="8">
        <f t="shared" si="271"/>
        <v>2017</v>
      </c>
      <c r="F16558" t="s">
        <v>2582</v>
      </c>
      <c r="G16558" s="9">
        <v>450</v>
      </c>
      <c r="H16558" s="8">
        <v>25045</v>
      </c>
    </row>
    <row r="16559" spans="2:8" ht="15" customHeight="1" x14ac:dyDescent="0.4">
      <c r="B16559" t="s">
        <v>7</v>
      </c>
      <c r="C16559" t="s">
        <v>2581</v>
      </c>
      <c r="D16559" s="7">
        <f>DATE(2018,10,25)</f>
        <v>43398</v>
      </c>
      <c r="E16559" s="8">
        <f t="shared" si="271"/>
        <v>2018</v>
      </c>
      <c r="F16559" t="s">
        <v>2582</v>
      </c>
      <c r="G16559" s="9">
        <v>900</v>
      </c>
      <c r="H16559" s="8">
        <v>27870</v>
      </c>
    </row>
    <row r="16560" spans="2:8" ht="15" customHeight="1" x14ac:dyDescent="0.4">
      <c r="B16560" t="s">
        <v>7</v>
      </c>
      <c r="C16560" t="s">
        <v>2581</v>
      </c>
      <c r="D16560" s="7">
        <f>DATE(2017,4,24)</f>
        <v>42849</v>
      </c>
      <c r="E16560" s="8">
        <f t="shared" si="271"/>
        <v>2017</v>
      </c>
      <c r="F16560" t="s">
        <v>2582</v>
      </c>
      <c r="G16560" s="9">
        <v>13526.54</v>
      </c>
      <c r="H16560" s="8">
        <v>24758</v>
      </c>
    </row>
    <row r="16561" spans="2:8" ht="15" customHeight="1" x14ac:dyDescent="0.4">
      <c r="B16561" t="s">
        <v>7</v>
      </c>
      <c r="C16561" t="s">
        <v>2581</v>
      </c>
      <c r="D16561" s="7">
        <f>DATE(2017,5,17)</f>
        <v>42872</v>
      </c>
      <c r="E16561" s="8">
        <f t="shared" si="271"/>
        <v>2017</v>
      </c>
      <c r="F16561" t="s">
        <v>2582</v>
      </c>
      <c r="G16561" s="9">
        <v>1615</v>
      </c>
      <c r="H16561" s="8">
        <v>24759</v>
      </c>
    </row>
    <row r="16562" spans="2:8" ht="15" customHeight="1" x14ac:dyDescent="0.4">
      <c r="B16562" t="s">
        <v>7</v>
      </c>
      <c r="C16562" t="s">
        <v>2581</v>
      </c>
      <c r="D16562" s="7">
        <f>DATE(2018,5,16)</f>
        <v>43236</v>
      </c>
      <c r="E16562" s="8">
        <f t="shared" si="271"/>
        <v>2018</v>
      </c>
      <c r="F16562" t="s">
        <v>2582</v>
      </c>
      <c r="G16562" s="9">
        <v>4542.17</v>
      </c>
      <c r="H16562" s="8">
        <v>27067</v>
      </c>
    </row>
    <row r="16563" spans="2:8" ht="15" customHeight="1" x14ac:dyDescent="0.4">
      <c r="B16563" t="s">
        <v>7</v>
      </c>
      <c r="C16563" t="s">
        <v>2581</v>
      </c>
      <c r="D16563" s="7">
        <f>DATE(2018,8,28)</f>
        <v>43340</v>
      </c>
      <c r="E16563" s="8">
        <f t="shared" si="271"/>
        <v>2018</v>
      </c>
      <c r="F16563" t="s">
        <v>2582</v>
      </c>
      <c r="G16563" s="9">
        <v>1025</v>
      </c>
      <c r="H16563" s="8">
        <v>27236</v>
      </c>
    </row>
    <row r="16564" spans="2:8" ht="15" customHeight="1" x14ac:dyDescent="0.4">
      <c r="B16564" t="s">
        <v>16</v>
      </c>
      <c r="C16564" t="s">
        <v>2581</v>
      </c>
      <c r="D16564" s="7">
        <f>DATE(2018,5,16)</f>
        <v>43236</v>
      </c>
      <c r="E16564" s="8">
        <f t="shared" si="271"/>
        <v>2018</v>
      </c>
      <c r="F16564" t="s">
        <v>2582</v>
      </c>
      <c r="G16564" s="9">
        <v>107.99</v>
      </c>
      <c r="H16564" s="8">
        <v>27081</v>
      </c>
    </row>
    <row r="16565" spans="2:8" ht="15" customHeight="1" x14ac:dyDescent="0.4">
      <c r="B16565" t="s">
        <v>7</v>
      </c>
      <c r="C16565" t="s">
        <v>2581</v>
      </c>
      <c r="D16565" s="7">
        <f>DATE(2013,9,3)</f>
        <v>41520</v>
      </c>
      <c r="E16565" s="8">
        <f t="shared" si="271"/>
        <v>2013</v>
      </c>
      <c r="F16565" t="s">
        <v>2582</v>
      </c>
      <c r="G16565" s="9">
        <v>16800</v>
      </c>
      <c r="H16565" s="8">
        <v>12629</v>
      </c>
    </row>
    <row r="16566" spans="2:8" ht="15" customHeight="1" x14ac:dyDescent="0.4">
      <c r="B16566" t="s">
        <v>7</v>
      </c>
      <c r="C16566" t="s">
        <v>2581</v>
      </c>
      <c r="D16566" s="7">
        <f>DATE(2003,2,17)</f>
        <v>37669</v>
      </c>
      <c r="E16566" s="8">
        <f t="shared" si="271"/>
        <v>2003</v>
      </c>
      <c r="F16566" t="s">
        <v>2582</v>
      </c>
      <c r="G16566" s="9">
        <v>35707.550000000003</v>
      </c>
      <c r="H16566" s="8">
        <v>192</v>
      </c>
    </row>
    <row r="16567" spans="2:8" ht="15" customHeight="1" x14ac:dyDescent="0.4">
      <c r="B16567" t="s">
        <v>7</v>
      </c>
      <c r="C16567" t="s">
        <v>2581</v>
      </c>
      <c r="D16567" s="7">
        <f>DATE(2004,2,6)</f>
        <v>38023</v>
      </c>
      <c r="E16567" s="8">
        <f t="shared" si="271"/>
        <v>2004</v>
      </c>
      <c r="F16567" t="s">
        <v>2582</v>
      </c>
      <c r="G16567" s="9">
        <v>29675.200000000001</v>
      </c>
      <c r="H16567" s="8">
        <v>1178</v>
      </c>
    </row>
    <row r="16568" spans="2:8" ht="15" customHeight="1" x14ac:dyDescent="0.4">
      <c r="B16568" t="s">
        <v>7</v>
      </c>
      <c r="C16568" t="s">
        <v>2581</v>
      </c>
      <c r="D16568" s="7">
        <f>DATE(2004,3,4)</f>
        <v>38050</v>
      </c>
      <c r="E16568" s="8">
        <f t="shared" si="271"/>
        <v>2004</v>
      </c>
      <c r="F16568" t="s">
        <v>2582</v>
      </c>
      <c r="G16568" s="9">
        <v>31884.2</v>
      </c>
      <c r="H16568" s="8">
        <v>1180</v>
      </c>
    </row>
    <row r="16569" spans="2:8" ht="15" customHeight="1" x14ac:dyDescent="0.4">
      <c r="B16569" t="s">
        <v>7</v>
      </c>
      <c r="C16569" t="s">
        <v>2581</v>
      </c>
      <c r="D16569" s="7">
        <f>DATE(2004,12,17)</f>
        <v>38338</v>
      </c>
      <c r="E16569" s="8">
        <f t="shared" si="271"/>
        <v>2004</v>
      </c>
      <c r="F16569" t="s">
        <v>2582</v>
      </c>
      <c r="G16569" s="9">
        <v>6150.03</v>
      </c>
      <c r="H16569" s="8">
        <v>2443</v>
      </c>
    </row>
    <row r="16570" spans="2:8" ht="15" customHeight="1" x14ac:dyDescent="0.4">
      <c r="B16570" t="s">
        <v>7</v>
      </c>
      <c r="C16570" t="s">
        <v>2581</v>
      </c>
      <c r="D16570" s="7">
        <f>DATE(2005,2,24)</f>
        <v>38407</v>
      </c>
      <c r="E16570" s="8">
        <f t="shared" si="271"/>
        <v>2005</v>
      </c>
      <c r="F16570" t="s">
        <v>2582</v>
      </c>
      <c r="G16570" s="9">
        <v>41720.6</v>
      </c>
      <c r="H16570" s="8">
        <v>2326</v>
      </c>
    </row>
    <row r="16571" spans="2:8" ht="15" customHeight="1" x14ac:dyDescent="0.4">
      <c r="B16571" t="s">
        <v>7</v>
      </c>
      <c r="C16571" t="s">
        <v>2581</v>
      </c>
      <c r="D16571" s="7">
        <f>DATE(2005,4,17)</f>
        <v>38459</v>
      </c>
      <c r="E16571" s="8">
        <f t="shared" si="271"/>
        <v>2005</v>
      </c>
      <c r="F16571" t="s">
        <v>2582</v>
      </c>
      <c r="G16571" s="9">
        <v>39560.720000000001</v>
      </c>
      <c r="H16571" s="8">
        <v>2900</v>
      </c>
    </row>
    <row r="16572" spans="2:8" ht="15" customHeight="1" x14ac:dyDescent="0.4">
      <c r="B16572" t="s">
        <v>7</v>
      </c>
      <c r="C16572" t="s">
        <v>2581</v>
      </c>
      <c r="D16572" s="7">
        <f>DATE(2006,2,9)</f>
        <v>38757</v>
      </c>
      <c r="E16572" s="8">
        <f t="shared" si="271"/>
        <v>2006</v>
      </c>
      <c r="F16572" t="s">
        <v>2582</v>
      </c>
      <c r="G16572" s="9">
        <v>33866.29</v>
      </c>
      <c r="H16572" s="8">
        <v>4061</v>
      </c>
    </row>
    <row r="16573" spans="2:8" ht="15" customHeight="1" x14ac:dyDescent="0.4">
      <c r="B16573" t="s">
        <v>7</v>
      </c>
      <c r="C16573" t="s">
        <v>2581</v>
      </c>
      <c r="D16573" s="7">
        <f>DATE(2006,3,20)</f>
        <v>38796</v>
      </c>
      <c r="E16573" s="8">
        <f t="shared" si="271"/>
        <v>2006</v>
      </c>
      <c r="F16573" t="s">
        <v>2582</v>
      </c>
      <c r="G16573" s="9">
        <v>44847.8</v>
      </c>
      <c r="H16573" s="8">
        <v>4158</v>
      </c>
    </row>
    <row r="16574" spans="2:8" ht="15" customHeight="1" x14ac:dyDescent="0.4">
      <c r="B16574" t="s">
        <v>7</v>
      </c>
      <c r="C16574" t="s">
        <v>2581</v>
      </c>
      <c r="D16574" s="7">
        <f>DATE(2007,3,18)</f>
        <v>39159</v>
      </c>
      <c r="E16574" s="8">
        <f t="shared" si="271"/>
        <v>2007</v>
      </c>
      <c r="F16574" t="s">
        <v>2582</v>
      </c>
      <c r="G16574" s="9">
        <v>50203.37</v>
      </c>
      <c r="H16574" s="8">
        <v>5536</v>
      </c>
    </row>
    <row r="16575" spans="2:8" ht="15" customHeight="1" x14ac:dyDescent="0.4">
      <c r="B16575" t="s">
        <v>7</v>
      </c>
      <c r="C16575" t="s">
        <v>2581</v>
      </c>
      <c r="D16575" s="7">
        <f>DATE(2007,3,9)</f>
        <v>39150</v>
      </c>
      <c r="E16575" s="8">
        <f t="shared" si="271"/>
        <v>2007</v>
      </c>
      <c r="F16575" t="s">
        <v>2582</v>
      </c>
      <c r="G16575" s="9">
        <v>49961.919999999998</v>
      </c>
      <c r="H16575" s="8">
        <v>5516</v>
      </c>
    </row>
    <row r="16576" spans="2:8" ht="15" customHeight="1" x14ac:dyDescent="0.4">
      <c r="B16576" t="s">
        <v>7</v>
      </c>
      <c r="C16576" t="s">
        <v>2581</v>
      </c>
      <c r="D16576" s="7">
        <f>DATE(2008,2,12)</f>
        <v>39490</v>
      </c>
      <c r="E16576" s="8">
        <f t="shared" si="271"/>
        <v>2008</v>
      </c>
      <c r="F16576" t="s">
        <v>2582</v>
      </c>
      <c r="G16576" s="9">
        <v>8843.06</v>
      </c>
      <c r="H16576" s="8">
        <v>6938</v>
      </c>
    </row>
    <row r="16577" spans="2:8" ht="15" customHeight="1" x14ac:dyDescent="0.4">
      <c r="B16577" t="s">
        <v>7</v>
      </c>
      <c r="C16577" t="s">
        <v>2581</v>
      </c>
      <c r="D16577" s="7">
        <f>DATE(2008,2,19)</f>
        <v>39497</v>
      </c>
      <c r="E16577" s="8">
        <f t="shared" si="271"/>
        <v>2008</v>
      </c>
      <c r="F16577" t="s">
        <v>2582</v>
      </c>
      <c r="G16577" s="9">
        <v>64606.73</v>
      </c>
      <c r="H16577" s="8">
        <v>6824</v>
      </c>
    </row>
    <row r="16578" spans="2:8" ht="15" customHeight="1" x14ac:dyDescent="0.4">
      <c r="B16578" t="s">
        <v>7</v>
      </c>
      <c r="C16578" t="s">
        <v>2581</v>
      </c>
      <c r="D16578" s="7">
        <f>DATE(2008,3,9)</f>
        <v>39516</v>
      </c>
      <c r="E16578" s="8">
        <f t="shared" si="271"/>
        <v>2008</v>
      </c>
      <c r="F16578" t="s">
        <v>2582</v>
      </c>
      <c r="G16578" s="9">
        <v>33538.800000000003</v>
      </c>
      <c r="H16578" s="8">
        <v>6823</v>
      </c>
    </row>
    <row r="16579" spans="2:8" ht="15" customHeight="1" x14ac:dyDescent="0.4">
      <c r="B16579" t="s">
        <v>7</v>
      </c>
      <c r="C16579" t="s">
        <v>2581</v>
      </c>
      <c r="D16579" s="7">
        <f>DATE(2009,1,7)</f>
        <v>39820</v>
      </c>
      <c r="E16579" s="8">
        <f t="shared" ref="E16579:E16642" si="272">YEAR(D16579)</f>
        <v>2009</v>
      </c>
      <c r="F16579" t="s">
        <v>2582</v>
      </c>
      <c r="G16579" s="9">
        <v>64747.1</v>
      </c>
      <c r="H16579" s="8">
        <v>8132</v>
      </c>
    </row>
    <row r="16580" spans="2:8" ht="15" customHeight="1" x14ac:dyDescent="0.4">
      <c r="B16580" t="s">
        <v>7</v>
      </c>
      <c r="C16580" t="s">
        <v>2581</v>
      </c>
      <c r="D16580" s="7">
        <f>DATE(2008,12,24)</f>
        <v>39806</v>
      </c>
      <c r="E16580" s="8">
        <f t="shared" si="272"/>
        <v>2008</v>
      </c>
      <c r="F16580" t="s">
        <v>2582</v>
      </c>
      <c r="G16580" s="9">
        <v>1504.48</v>
      </c>
      <c r="H16580" s="8">
        <v>8183</v>
      </c>
    </row>
    <row r="16581" spans="2:8" ht="15" customHeight="1" x14ac:dyDescent="0.4">
      <c r="B16581" t="s">
        <v>7</v>
      </c>
      <c r="C16581" t="s">
        <v>2581</v>
      </c>
      <c r="D16581" s="7">
        <f>DATE(2008,12,24)</f>
        <v>39806</v>
      </c>
      <c r="E16581" s="8">
        <f t="shared" si="272"/>
        <v>2008</v>
      </c>
      <c r="F16581" t="s">
        <v>2582</v>
      </c>
      <c r="G16581" s="9">
        <v>1504.48</v>
      </c>
      <c r="H16581" s="8">
        <v>8200</v>
      </c>
    </row>
    <row r="16582" spans="2:8" ht="15" customHeight="1" x14ac:dyDescent="0.4">
      <c r="B16582" t="s">
        <v>7</v>
      </c>
      <c r="C16582" t="s">
        <v>2581</v>
      </c>
      <c r="D16582" s="7">
        <f>DATE(2009,2,5)</f>
        <v>39849</v>
      </c>
      <c r="E16582" s="8">
        <f t="shared" si="272"/>
        <v>2009</v>
      </c>
      <c r="F16582" t="s">
        <v>2582</v>
      </c>
      <c r="G16582" s="9">
        <v>10853.83</v>
      </c>
      <c r="H16582" s="8">
        <v>8271</v>
      </c>
    </row>
    <row r="16583" spans="2:8" ht="15" customHeight="1" x14ac:dyDescent="0.4">
      <c r="B16583" t="s">
        <v>7</v>
      </c>
      <c r="C16583" t="s">
        <v>2581</v>
      </c>
      <c r="D16583" s="7">
        <f>DATE(2009,2,26)</f>
        <v>39870</v>
      </c>
      <c r="E16583" s="8">
        <f t="shared" si="272"/>
        <v>2009</v>
      </c>
      <c r="F16583" t="s">
        <v>2582</v>
      </c>
      <c r="G16583" s="9">
        <v>33528.800000000003</v>
      </c>
      <c r="H16583" s="8">
        <v>8325</v>
      </c>
    </row>
    <row r="16584" spans="2:8" ht="15" customHeight="1" x14ac:dyDescent="0.4">
      <c r="B16584" t="s">
        <v>7</v>
      </c>
      <c r="C16584" t="s">
        <v>2581</v>
      </c>
      <c r="D16584" s="7">
        <f>DATE(2010,2,19)</f>
        <v>40228</v>
      </c>
      <c r="E16584" s="8">
        <f t="shared" si="272"/>
        <v>2010</v>
      </c>
      <c r="F16584" t="s">
        <v>2582</v>
      </c>
      <c r="G16584" s="9">
        <v>56396.92</v>
      </c>
      <c r="H16584" s="8">
        <v>9480</v>
      </c>
    </row>
    <row r="16585" spans="2:8" ht="15" customHeight="1" x14ac:dyDescent="0.4">
      <c r="B16585" t="s">
        <v>7</v>
      </c>
      <c r="C16585" t="s">
        <v>2581</v>
      </c>
      <c r="D16585" s="7">
        <f>DATE(2010,4,7)</f>
        <v>40275</v>
      </c>
      <c r="E16585" s="8">
        <f t="shared" si="272"/>
        <v>2010</v>
      </c>
      <c r="F16585" t="s">
        <v>2582</v>
      </c>
      <c r="G16585" s="9">
        <v>11069.85</v>
      </c>
      <c r="H16585" s="8">
        <v>9695</v>
      </c>
    </row>
    <row r="16586" spans="2:8" ht="15" customHeight="1" x14ac:dyDescent="0.4">
      <c r="B16586" t="s">
        <v>7</v>
      </c>
      <c r="C16586" t="s">
        <v>2581</v>
      </c>
      <c r="D16586" s="7">
        <f>DATE(2010,8,10)</f>
        <v>40400</v>
      </c>
      <c r="E16586" s="8">
        <f t="shared" si="272"/>
        <v>2010</v>
      </c>
      <c r="F16586" t="s">
        <v>2582</v>
      </c>
      <c r="G16586" s="9">
        <v>77062.16</v>
      </c>
      <c r="H16586" s="8">
        <v>10011</v>
      </c>
    </row>
    <row r="16587" spans="2:8" ht="15" customHeight="1" x14ac:dyDescent="0.4">
      <c r="B16587" t="s">
        <v>7</v>
      </c>
      <c r="C16587" t="s">
        <v>2581</v>
      </c>
      <c r="D16587" s="7">
        <f>DATE(2010,12,21)</f>
        <v>40533</v>
      </c>
      <c r="E16587" s="8">
        <f t="shared" si="272"/>
        <v>2010</v>
      </c>
      <c r="F16587" t="s">
        <v>2582</v>
      </c>
      <c r="G16587" s="9">
        <v>121685.11</v>
      </c>
      <c r="H16587" s="8">
        <v>10310</v>
      </c>
    </row>
    <row r="16588" spans="2:8" ht="15" customHeight="1" x14ac:dyDescent="0.4">
      <c r="B16588" t="s">
        <v>7</v>
      </c>
      <c r="C16588" t="s">
        <v>2581</v>
      </c>
      <c r="D16588" s="7">
        <f>DATE(2011,3,8)</f>
        <v>40610</v>
      </c>
      <c r="E16588" s="8">
        <f t="shared" si="272"/>
        <v>2011</v>
      </c>
      <c r="F16588" t="s">
        <v>2582</v>
      </c>
      <c r="G16588" s="9">
        <v>79765.88</v>
      </c>
      <c r="H16588" s="8">
        <v>10379</v>
      </c>
    </row>
    <row r="16589" spans="2:8" ht="15" customHeight="1" x14ac:dyDescent="0.4">
      <c r="B16589" t="s">
        <v>7</v>
      </c>
      <c r="C16589" t="s">
        <v>2581</v>
      </c>
      <c r="D16589" s="7">
        <f>DATE(2011,3,8)</f>
        <v>40610</v>
      </c>
      <c r="E16589" s="8">
        <f t="shared" si="272"/>
        <v>2011</v>
      </c>
      <c r="F16589" t="s">
        <v>2582</v>
      </c>
      <c r="G16589" s="9">
        <v>2121.9299999999998</v>
      </c>
      <c r="H16589" s="8">
        <v>10458</v>
      </c>
    </row>
    <row r="16590" spans="2:8" ht="15" customHeight="1" x14ac:dyDescent="0.4">
      <c r="B16590" t="s">
        <v>7</v>
      </c>
      <c r="C16590" t="s">
        <v>2581</v>
      </c>
      <c r="D16590" s="7">
        <f>DATE(2011,10,18)</f>
        <v>40834</v>
      </c>
      <c r="E16590" s="8">
        <f t="shared" si="272"/>
        <v>2011</v>
      </c>
      <c r="F16590" t="s">
        <v>2582</v>
      </c>
      <c r="G16590" s="9">
        <v>49276.36</v>
      </c>
      <c r="H16590" s="8">
        <v>11070</v>
      </c>
    </row>
    <row r="16591" spans="2:8" ht="15" customHeight="1" x14ac:dyDescent="0.4">
      <c r="B16591" t="s">
        <v>7</v>
      </c>
      <c r="C16591" t="s">
        <v>2581</v>
      </c>
      <c r="D16591" s="7">
        <f>DATE(2012,3,14)</f>
        <v>40982</v>
      </c>
      <c r="E16591" s="8">
        <f t="shared" si="272"/>
        <v>2012</v>
      </c>
      <c r="F16591" t="s">
        <v>2582</v>
      </c>
      <c r="G16591" s="9">
        <v>74426.81</v>
      </c>
      <c r="H16591" s="8">
        <v>11219</v>
      </c>
    </row>
    <row r="16592" spans="2:8" ht="15" customHeight="1" x14ac:dyDescent="0.4">
      <c r="B16592" t="s">
        <v>7</v>
      </c>
      <c r="C16592" t="s">
        <v>2581</v>
      </c>
      <c r="D16592" s="7">
        <f>DATE(2013,4,19)</f>
        <v>41383</v>
      </c>
      <c r="E16592" s="8">
        <f t="shared" si="272"/>
        <v>2013</v>
      </c>
      <c r="F16592" t="s">
        <v>2582</v>
      </c>
      <c r="G16592" s="9">
        <v>73817.81</v>
      </c>
      <c r="H16592" s="8">
        <v>12144</v>
      </c>
    </row>
    <row r="16593" spans="2:8" ht="15" customHeight="1" x14ac:dyDescent="0.4">
      <c r="B16593" t="s">
        <v>7</v>
      </c>
      <c r="C16593" t="s">
        <v>2581</v>
      </c>
      <c r="D16593" s="7">
        <f>DATE(2014,2,26)</f>
        <v>41696</v>
      </c>
      <c r="E16593" s="8">
        <f t="shared" si="272"/>
        <v>2014</v>
      </c>
      <c r="F16593" t="s">
        <v>2582</v>
      </c>
      <c r="G16593" s="9">
        <v>5647.83</v>
      </c>
      <c r="H16593" s="8">
        <v>13008</v>
      </c>
    </row>
    <row r="16594" spans="2:8" ht="15" customHeight="1" x14ac:dyDescent="0.4">
      <c r="B16594" t="s">
        <v>7</v>
      </c>
      <c r="C16594" t="s">
        <v>2581</v>
      </c>
      <c r="D16594" s="7">
        <f>DATE(2014,4,4)</f>
        <v>41733</v>
      </c>
      <c r="E16594" s="8">
        <f t="shared" si="272"/>
        <v>2014</v>
      </c>
      <c r="F16594" t="s">
        <v>2582</v>
      </c>
      <c r="G16594" s="9">
        <v>62846.17</v>
      </c>
      <c r="H16594" s="8">
        <v>12880</v>
      </c>
    </row>
    <row r="16595" spans="2:8" ht="15" customHeight="1" x14ac:dyDescent="0.4">
      <c r="B16595" t="s">
        <v>7</v>
      </c>
      <c r="C16595" t="s">
        <v>2581</v>
      </c>
      <c r="D16595" s="7">
        <f>DATE(2014,8,11)</f>
        <v>41862</v>
      </c>
      <c r="E16595" s="8">
        <f t="shared" si="272"/>
        <v>2014</v>
      </c>
      <c r="F16595" t="s">
        <v>2582</v>
      </c>
      <c r="G16595" s="9">
        <v>63747.56</v>
      </c>
      <c r="H16595" s="8">
        <v>13372</v>
      </c>
    </row>
    <row r="16596" spans="2:8" ht="15" customHeight="1" x14ac:dyDescent="0.4">
      <c r="B16596" t="s">
        <v>7</v>
      </c>
      <c r="C16596" t="s">
        <v>2581</v>
      </c>
      <c r="D16596" s="7">
        <f>DATE(2014,8,14)</f>
        <v>41865</v>
      </c>
      <c r="E16596" s="8">
        <f t="shared" si="272"/>
        <v>2014</v>
      </c>
      <c r="F16596" t="s">
        <v>2582</v>
      </c>
      <c r="G16596" s="9">
        <v>48777.99</v>
      </c>
      <c r="H16596" s="8">
        <v>13375</v>
      </c>
    </row>
    <row r="16597" spans="2:8" ht="15" customHeight="1" x14ac:dyDescent="0.4">
      <c r="B16597" t="s">
        <v>7</v>
      </c>
      <c r="C16597" t="s">
        <v>2581</v>
      </c>
      <c r="D16597" s="7">
        <f>DATE(2010,5,18)</f>
        <v>40316</v>
      </c>
      <c r="E16597" s="8">
        <f t="shared" si="272"/>
        <v>2010</v>
      </c>
      <c r="F16597" t="s">
        <v>2582</v>
      </c>
      <c r="G16597" s="9">
        <v>7273.26</v>
      </c>
      <c r="H16597" s="8">
        <v>9852</v>
      </c>
    </row>
    <row r="16598" spans="2:8" ht="15" customHeight="1" x14ac:dyDescent="0.4">
      <c r="B16598" t="s">
        <v>7</v>
      </c>
      <c r="C16598" t="s">
        <v>2581</v>
      </c>
      <c r="D16598" s="7">
        <f>DATE(2010,7,8)</f>
        <v>40367</v>
      </c>
      <c r="E16598" s="8">
        <f t="shared" si="272"/>
        <v>2010</v>
      </c>
      <c r="F16598" t="s">
        <v>2582</v>
      </c>
      <c r="G16598" s="9">
        <v>10038.33</v>
      </c>
      <c r="H16598" s="8">
        <v>9958</v>
      </c>
    </row>
    <row r="16599" spans="2:8" ht="15" customHeight="1" x14ac:dyDescent="0.4">
      <c r="B16599" t="s">
        <v>7</v>
      </c>
      <c r="C16599" t="s">
        <v>2581</v>
      </c>
      <c r="D16599" s="7">
        <f>DATE(2010,12,9)</f>
        <v>40521</v>
      </c>
      <c r="E16599" s="8">
        <f t="shared" si="272"/>
        <v>2010</v>
      </c>
      <c r="F16599" t="s">
        <v>2582</v>
      </c>
      <c r="G16599" s="9">
        <v>12904.13</v>
      </c>
      <c r="H16599" s="8">
        <v>10279</v>
      </c>
    </row>
    <row r="16600" spans="2:8" ht="15" customHeight="1" x14ac:dyDescent="0.4">
      <c r="B16600" t="s">
        <v>7</v>
      </c>
      <c r="C16600" t="s">
        <v>2581</v>
      </c>
      <c r="D16600" s="7">
        <f>DATE(2010,12,16)</f>
        <v>40528</v>
      </c>
      <c r="E16600" s="8">
        <f t="shared" si="272"/>
        <v>2010</v>
      </c>
      <c r="F16600" t="s">
        <v>2582</v>
      </c>
      <c r="G16600" s="9">
        <v>22585.99</v>
      </c>
      <c r="H16600" s="8">
        <v>10301</v>
      </c>
    </row>
    <row r="16601" spans="2:8" ht="15" customHeight="1" x14ac:dyDescent="0.4">
      <c r="B16601" t="s">
        <v>7</v>
      </c>
      <c r="C16601" t="s">
        <v>2581</v>
      </c>
      <c r="D16601" s="7">
        <f>DATE(2011,1,31)</f>
        <v>40574</v>
      </c>
      <c r="E16601" s="8">
        <f t="shared" si="272"/>
        <v>2011</v>
      </c>
      <c r="F16601" t="s">
        <v>2582</v>
      </c>
      <c r="G16601" s="9">
        <v>29273.56</v>
      </c>
      <c r="H16601" s="8">
        <v>10335</v>
      </c>
    </row>
    <row r="16602" spans="2:8" ht="15" customHeight="1" x14ac:dyDescent="0.4">
      <c r="B16602" t="s">
        <v>7</v>
      </c>
      <c r="C16602" t="s">
        <v>2581</v>
      </c>
      <c r="D16602" s="7">
        <f>DATE(2011,2,21)</f>
        <v>40595</v>
      </c>
      <c r="E16602" s="8">
        <f t="shared" si="272"/>
        <v>2011</v>
      </c>
      <c r="F16602" t="s">
        <v>2582</v>
      </c>
      <c r="G16602" s="9">
        <v>13845.93</v>
      </c>
      <c r="H16602" s="8">
        <v>10434</v>
      </c>
    </row>
    <row r="16603" spans="2:8" ht="15" customHeight="1" x14ac:dyDescent="0.4">
      <c r="B16603" t="s">
        <v>7</v>
      </c>
      <c r="C16603" t="s">
        <v>2581</v>
      </c>
      <c r="D16603" s="7">
        <f>DATE(2011,3,2)</f>
        <v>40604</v>
      </c>
      <c r="E16603" s="8">
        <f t="shared" si="272"/>
        <v>2011</v>
      </c>
      <c r="F16603" t="s">
        <v>2582</v>
      </c>
      <c r="G16603" s="9">
        <v>14069.33</v>
      </c>
      <c r="H16603" s="8">
        <v>10505</v>
      </c>
    </row>
    <row r="16604" spans="2:8" ht="15" customHeight="1" x14ac:dyDescent="0.4">
      <c r="B16604" t="s">
        <v>7</v>
      </c>
      <c r="C16604" t="s">
        <v>2581</v>
      </c>
      <c r="D16604" s="7">
        <f>DATE(2011,6,14)</f>
        <v>40708</v>
      </c>
      <c r="E16604" s="8">
        <f t="shared" si="272"/>
        <v>2011</v>
      </c>
      <c r="F16604" t="s">
        <v>2582</v>
      </c>
      <c r="G16604" s="9">
        <v>14826.92</v>
      </c>
      <c r="H16604" s="8">
        <v>10770</v>
      </c>
    </row>
    <row r="16605" spans="2:8" ht="15" customHeight="1" x14ac:dyDescent="0.4">
      <c r="B16605" t="s">
        <v>7</v>
      </c>
      <c r="C16605" t="s">
        <v>2581</v>
      </c>
      <c r="D16605" s="7">
        <f>DATE(2011,8,4)</f>
        <v>40759</v>
      </c>
      <c r="E16605" s="8">
        <f t="shared" si="272"/>
        <v>2011</v>
      </c>
      <c r="F16605" t="s">
        <v>2582</v>
      </c>
      <c r="G16605" s="9">
        <v>14239.5</v>
      </c>
      <c r="H16605" s="8">
        <v>10920</v>
      </c>
    </row>
    <row r="16606" spans="2:8" ht="15" customHeight="1" x14ac:dyDescent="0.4">
      <c r="B16606" t="s">
        <v>7</v>
      </c>
      <c r="C16606" t="s">
        <v>2581</v>
      </c>
      <c r="D16606" s="7">
        <f>DATE(2013,3,5)</f>
        <v>41338</v>
      </c>
      <c r="E16606" s="8">
        <f t="shared" si="272"/>
        <v>2013</v>
      </c>
      <c r="F16606" t="s">
        <v>2582</v>
      </c>
      <c r="G16606" s="9">
        <v>12586.14</v>
      </c>
      <c r="H16606" s="8">
        <v>12229</v>
      </c>
    </row>
    <row r="16607" spans="2:8" ht="15" customHeight="1" x14ac:dyDescent="0.4">
      <c r="B16607" t="s">
        <v>7</v>
      </c>
      <c r="C16607" t="s">
        <v>2581</v>
      </c>
      <c r="D16607" s="7">
        <f>DATE(2013,12,12)</f>
        <v>41620</v>
      </c>
      <c r="E16607" s="8">
        <f t="shared" si="272"/>
        <v>2013</v>
      </c>
      <c r="F16607" t="s">
        <v>2582</v>
      </c>
      <c r="G16607" s="9">
        <v>5464.07</v>
      </c>
      <c r="H16607" s="8">
        <v>12826</v>
      </c>
    </row>
    <row r="16608" spans="2:8" ht="15" customHeight="1" x14ac:dyDescent="0.4">
      <c r="B16608" t="s">
        <v>16</v>
      </c>
      <c r="C16608" t="s">
        <v>2581</v>
      </c>
      <c r="D16608" s="7">
        <f>DATE(2008,12,24)</f>
        <v>39806</v>
      </c>
      <c r="E16608" s="8">
        <f t="shared" si="272"/>
        <v>2008</v>
      </c>
      <c r="F16608" t="s">
        <v>2582</v>
      </c>
      <c r="G16608" s="9">
        <v>1504.48</v>
      </c>
      <c r="H16608" s="8">
        <v>8199</v>
      </c>
    </row>
    <row r="16609" spans="2:8" ht="15" customHeight="1" x14ac:dyDescent="0.4">
      <c r="B16609" t="s">
        <v>16</v>
      </c>
      <c r="C16609" t="s">
        <v>2581</v>
      </c>
      <c r="D16609" s="7">
        <f>DATE(2009,2,24)</f>
        <v>39868</v>
      </c>
      <c r="E16609" s="8">
        <f t="shared" si="272"/>
        <v>2009</v>
      </c>
      <c r="F16609" t="s">
        <v>2582</v>
      </c>
      <c r="G16609" s="9">
        <v>1000</v>
      </c>
      <c r="H16609" s="8">
        <v>8425</v>
      </c>
    </row>
    <row r="16610" spans="2:8" ht="15" customHeight="1" x14ac:dyDescent="0.4">
      <c r="B16610" t="s">
        <v>16</v>
      </c>
      <c r="C16610" t="s">
        <v>2581</v>
      </c>
      <c r="D16610" s="7">
        <f>DATE(2014,8,11)</f>
        <v>41862</v>
      </c>
      <c r="E16610" s="8">
        <f t="shared" si="272"/>
        <v>2014</v>
      </c>
      <c r="F16610" t="s">
        <v>2582</v>
      </c>
      <c r="G16610" s="9">
        <v>62846.17</v>
      </c>
      <c r="H16610" s="8">
        <v>13371</v>
      </c>
    </row>
    <row r="16611" spans="2:8" ht="15" customHeight="1" x14ac:dyDescent="0.4">
      <c r="B16611" s="3" t="s">
        <v>7</v>
      </c>
      <c r="C16611" s="3" t="s">
        <v>2581</v>
      </c>
      <c r="D16611" s="4">
        <f>DATE(2003,3,25)</f>
        <v>37705</v>
      </c>
      <c r="E16611" s="5">
        <f t="shared" si="272"/>
        <v>2003</v>
      </c>
      <c r="F16611" s="3" t="s">
        <v>2582</v>
      </c>
      <c r="G16611" s="6">
        <v>49.8</v>
      </c>
      <c r="H16611" s="5">
        <v>613</v>
      </c>
    </row>
    <row r="16612" spans="2:8" ht="15" customHeight="1" x14ac:dyDescent="0.4">
      <c r="B16612" s="3" t="s">
        <v>7</v>
      </c>
      <c r="C16612" s="3" t="s">
        <v>2581</v>
      </c>
      <c r="D16612" s="4">
        <f>DATE(2004,5,20)</f>
        <v>38127</v>
      </c>
      <c r="E16612" s="5">
        <f t="shared" si="272"/>
        <v>2004</v>
      </c>
      <c r="F16612" s="3" t="s">
        <v>2582</v>
      </c>
      <c r="G16612" s="6">
        <v>99.6</v>
      </c>
      <c r="H16612" s="5">
        <v>2913</v>
      </c>
    </row>
    <row r="16613" spans="2:8" ht="15" customHeight="1" x14ac:dyDescent="0.4">
      <c r="B16613" s="3" t="s">
        <v>7</v>
      </c>
      <c r="C16613" s="3" t="s">
        <v>2581</v>
      </c>
      <c r="D16613" s="4">
        <f>DATE(2004,12,27)</f>
        <v>38348</v>
      </c>
      <c r="E16613" s="5">
        <f t="shared" si="272"/>
        <v>2004</v>
      </c>
      <c r="F16613" s="3" t="s">
        <v>2582</v>
      </c>
      <c r="G16613" s="6">
        <v>6450</v>
      </c>
      <c r="H16613" s="5">
        <v>3797</v>
      </c>
    </row>
    <row r="16614" spans="2:8" ht="15" customHeight="1" x14ac:dyDescent="0.4">
      <c r="B16614" s="3" t="s">
        <v>7</v>
      </c>
      <c r="C16614" s="3" t="s">
        <v>2581</v>
      </c>
      <c r="D16614" s="4">
        <f>DATE(2005,4,20)</f>
        <v>38462</v>
      </c>
      <c r="E16614" s="5">
        <f t="shared" si="272"/>
        <v>2005</v>
      </c>
      <c r="F16614" s="3" t="s">
        <v>2582</v>
      </c>
      <c r="G16614" s="6">
        <v>2550</v>
      </c>
      <c r="H16614" s="5">
        <v>4596</v>
      </c>
    </row>
    <row r="16615" spans="2:8" ht="15" customHeight="1" x14ac:dyDescent="0.4">
      <c r="B16615" s="3" t="s">
        <v>7</v>
      </c>
      <c r="C16615" s="3" t="s">
        <v>2581</v>
      </c>
      <c r="D16615" s="4">
        <f>DATE(2005,4,18)</f>
        <v>38460</v>
      </c>
      <c r="E16615" s="5">
        <f t="shared" si="272"/>
        <v>2005</v>
      </c>
      <c r="F16615" s="3" t="s">
        <v>2582</v>
      </c>
      <c r="G16615" s="6">
        <v>2550</v>
      </c>
      <c r="H16615" s="5">
        <v>4584</v>
      </c>
    </row>
    <row r="16616" spans="2:8" ht="15" customHeight="1" x14ac:dyDescent="0.4">
      <c r="B16616" s="3" t="s">
        <v>7</v>
      </c>
      <c r="C16616" s="3" t="s">
        <v>2581</v>
      </c>
      <c r="D16616" s="4">
        <f>DATE(2006,2,10)</f>
        <v>38758</v>
      </c>
      <c r="E16616" s="5">
        <f t="shared" si="272"/>
        <v>2006</v>
      </c>
      <c r="F16616" s="3" t="s">
        <v>2582</v>
      </c>
      <c r="G16616" s="6">
        <v>938</v>
      </c>
      <c r="H16616" s="5">
        <v>6024</v>
      </c>
    </row>
    <row r="16617" spans="2:8" ht="15" customHeight="1" x14ac:dyDescent="0.4">
      <c r="B16617" s="3" t="s">
        <v>7</v>
      </c>
      <c r="C16617" s="3" t="s">
        <v>2581</v>
      </c>
      <c r="D16617" s="4">
        <f>DATE(2006,2,17)</f>
        <v>38765</v>
      </c>
      <c r="E16617" s="5">
        <f t="shared" si="272"/>
        <v>2006</v>
      </c>
      <c r="F16617" s="3" t="s">
        <v>2582</v>
      </c>
      <c r="G16617" s="6">
        <v>7500</v>
      </c>
      <c r="H16617" s="5">
        <v>6031</v>
      </c>
    </row>
    <row r="16618" spans="2:8" ht="15" customHeight="1" x14ac:dyDescent="0.4">
      <c r="B16618" s="3" t="s">
        <v>7</v>
      </c>
      <c r="C16618" s="3" t="s">
        <v>2581</v>
      </c>
      <c r="D16618" s="4">
        <f>DATE(2007,4,4)</f>
        <v>39176</v>
      </c>
      <c r="E16618" s="5">
        <f t="shared" si="272"/>
        <v>2007</v>
      </c>
      <c r="F16618" s="3" t="s">
        <v>2582</v>
      </c>
      <c r="G16618" s="6">
        <v>5025</v>
      </c>
      <c r="H16618" s="5">
        <v>8230</v>
      </c>
    </row>
    <row r="16619" spans="2:8" ht="15" customHeight="1" x14ac:dyDescent="0.4">
      <c r="B16619" s="3" t="s">
        <v>7</v>
      </c>
      <c r="C16619" s="3" t="s">
        <v>2581</v>
      </c>
      <c r="D16619" s="4">
        <f>DATE(2008,3,1)</f>
        <v>39508</v>
      </c>
      <c r="E16619" s="5">
        <f t="shared" si="272"/>
        <v>2008</v>
      </c>
      <c r="F16619" s="3" t="s">
        <v>2582</v>
      </c>
      <c r="G16619" s="6">
        <v>548.16</v>
      </c>
      <c r="H16619" s="5">
        <v>10112</v>
      </c>
    </row>
    <row r="16620" spans="2:8" ht="15" customHeight="1" x14ac:dyDescent="0.4">
      <c r="B16620" s="3" t="s">
        <v>7</v>
      </c>
      <c r="C16620" s="3" t="s">
        <v>2581</v>
      </c>
      <c r="D16620" s="4">
        <f>DATE(2009,1,14)</f>
        <v>39827</v>
      </c>
      <c r="E16620" s="5">
        <f t="shared" si="272"/>
        <v>2009</v>
      </c>
      <c r="F16620" s="3" t="s">
        <v>2582</v>
      </c>
      <c r="G16620" s="6">
        <v>4190</v>
      </c>
      <c r="H16620" s="5">
        <v>11746</v>
      </c>
    </row>
    <row r="16621" spans="2:8" ht="15" customHeight="1" x14ac:dyDescent="0.4">
      <c r="B16621" s="3" t="s">
        <v>7</v>
      </c>
      <c r="C16621" s="3" t="s">
        <v>2581</v>
      </c>
      <c r="D16621" s="4">
        <f>DATE(2010,11,10)</f>
        <v>40492</v>
      </c>
      <c r="E16621" s="5">
        <f t="shared" si="272"/>
        <v>2010</v>
      </c>
      <c r="F16621" s="3" t="s">
        <v>2582</v>
      </c>
      <c r="G16621" s="6">
        <v>17800</v>
      </c>
      <c r="H16621" s="5">
        <v>14661</v>
      </c>
    </row>
    <row r="16622" spans="2:8" ht="15" customHeight="1" x14ac:dyDescent="0.4">
      <c r="B16622" s="3" t="s">
        <v>7</v>
      </c>
      <c r="C16622" s="3" t="s">
        <v>2581</v>
      </c>
      <c r="D16622" s="4">
        <f>DATE(2011,3,24)</f>
        <v>40626</v>
      </c>
      <c r="E16622" s="5">
        <f t="shared" si="272"/>
        <v>2011</v>
      </c>
      <c r="F16622" s="3" t="s">
        <v>2582</v>
      </c>
      <c r="G16622" s="6">
        <v>251.4</v>
      </c>
      <c r="H16622" s="5">
        <v>15236</v>
      </c>
    </row>
    <row r="16623" spans="2:8" ht="15" customHeight="1" x14ac:dyDescent="0.4">
      <c r="B16623" s="3" t="s">
        <v>7</v>
      </c>
      <c r="C16623" s="3" t="s">
        <v>2581</v>
      </c>
      <c r="D16623" s="4">
        <f>DATE(2011,5,12)</f>
        <v>40675</v>
      </c>
      <c r="E16623" s="5">
        <f t="shared" si="272"/>
        <v>2011</v>
      </c>
      <c r="F16623" s="3" t="s">
        <v>2582</v>
      </c>
      <c r="G16623" s="6">
        <v>481.85</v>
      </c>
      <c r="H16623" s="5">
        <v>15536</v>
      </c>
    </row>
    <row r="16624" spans="2:8" ht="15" customHeight="1" x14ac:dyDescent="0.4">
      <c r="B16624" s="3" t="s">
        <v>7</v>
      </c>
      <c r="C16624" s="3" t="s">
        <v>2581</v>
      </c>
      <c r="D16624" s="4">
        <f>DATE(2011,8,9)</f>
        <v>40764</v>
      </c>
      <c r="E16624" s="5">
        <f t="shared" si="272"/>
        <v>2011</v>
      </c>
      <c r="F16624" s="3" t="s">
        <v>2582</v>
      </c>
      <c r="G16624" s="6">
        <v>419</v>
      </c>
      <c r="H16624" s="5">
        <v>15838</v>
      </c>
    </row>
    <row r="16625" spans="2:8" ht="15" customHeight="1" x14ac:dyDescent="0.4">
      <c r="B16625" s="3" t="s">
        <v>7</v>
      </c>
      <c r="C16625" s="3" t="s">
        <v>2581</v>
      </c>
      <c r="D16625" s="4">
        <f>DATE(2012,2,24)</f>
        <v>40963</v>
      </c>
      <c r="E16625" s="5">
        <f t="shared" si="272"/>
        <v>2012</v>
      </c>
      <c r="F16625" s="3" t="s">
        <v>2582</v>
      </c>
      <c r="G16625" s="6">
        <v>22250</v>
      </c>
      <c r="H16625" s="5">
        <v>16327</v>
      </c>
    </row>
    <row r="16626" spans="2:8" ht="15" customHeight="1" x14ac:dyDescent="0.4">
      <c r="B16626" s="3" t="s">
        <v>7</v>
      </c>
      <c r="C16626" s="3" t="s">
        <v>2581</v>
      </c>
      <c r="D16626" s="4">
        <f>DATE(2013,2,22)</f>
        <v>41327</v>
      </c>
      <c r="E16626" s="5">
        <f t="shared" si="272"/>
        <v>2013</v>
      </c>
      <c r="F16626" s="3" t="s">
        <v>2582</v>
      </c>
      <c r="G16626" s="6">
        <v>22250</v>
      </c>
      <c r="H16626" s="5">
        <v>18081</v>
      </c>
    </row>
    <row r="16627" spans="2:8" ht="15" customHeight="1" x14ac:dyDescent="0.4">
      <c r="B16627" s="3" t="s">
        <v>7</v>
      </c>
      <c r="C16627" s="3" t="s">
        <v>2581</v>
      </c>
      <c r="D16627" s="4">
        <f>DATE(2014,2,18)</f>
        <v>41688</v>
      </c>
      <c r="E16627" s="5">
        <f t="shared" si="272"/>
        <v>2014</v>
      </c>
      <c r="F16627" s="3" t="s">
        <v>2582</v>
      </c>
      <c r="G16627" s="6">
        <v>22250</v>
      </c>
      <c r="H16627" s="5">
        <v>19199</v>
      </c>
    </row>
    <row r="16628" spans="2:8" ht="15" customHeight="1" x14ac:dyDescent="0.4">
      <c r="B16628" s="3" t="s">
        <v>7</v>
      </c>
      <c r="C16628" s="3" t="s">
        <v>2581</v>
      </c>
      <c r="D16628" s="4">
        <f>DATE(2014,4,30)</f>
        <v>41759</v>
      </c>
      <c r="E16628" s="5">
        <f t="shared" si="272"/>
        <v>2014</v>
      </c>
      <c r="F16628" s="3" t="s">
        <v>2582</v>
      </c>
      <c r="G16628" s="6">
        <v>900</v>
      </c>
      <c r="H16628" s="5">
        <v>19875</v>
      </c>
    </row>
    <row r="16629" spans="2:8" ht="15" customHeight="1" x14ac:dyDescent="0.4">
      <c r="B16629" s="3" t="s">
        <v>7</v>
      </c>
      <c r="C16629" s="3" t="s">
        <v>2581</v>
      </c>
      <c r="D16629" s="4">
        <f>DATE(2014,8,6)</f>
        <v>41857</v>
      </c>
      <c r="E16629" s="5">
        <f t="shared" si="272"/>
        <v>2014</v>
      </c>
      <c r="F16629" s="3" t="s">
        <v>2582</v>
      </c>
      <c r="G16629" s="6">
        <v>32040</v>
      </c>
      <c r="H16629" s="5">
        <v>20232</v>
      </c>
    </row>
    <row r="16630" spans="2:8" ht="15" customHeight="1" x14ac:dyDescent="0.4">
      <c r="B16630" s="3" t="s">
        <v>7</v>
      </c>
      <c r="C16630" s="3" t="s">
        <v>2581</v>
      </c>
      <c r="D16630" s="4">
        <f>DATE(2014,10,9)</f>
        <v>41921</v>
      </c>
      <c r="E16630" s="5">
        <f t="shared" si="272"/>
        <v>2014</v>
      </c>
      <c r="F16630" s="3" t="s">
        <v>2582</v>
      </c>
      <c r="G16630" s="6">
        <v>900</v>
      </c>
      <c r="H16630" s="5">
        <v>20453</v>
      </c>
    </row>
    <row r="16631" spans="2:8" ht="15" customHeight="1" x14ac:dyDescent="0.4">
      <c r="B16631" t="s">
        <v>7</v>
      </c>
      <c r="C16631" t="s">
        <v>2583</v>
      </c>
      <c r="D16631" s="7">
        <f>DATE(2016,3,16)</f>
        <v>42445</v>
      </c>
      <c r="E16631" s="8">
        <f t="shared" si="272"/>
        <v>2016</v>
      </c>
      <c r="F16631" t="s">
        <v>2584</v>
      </c>
      <c r="G16631" s="9">
        <v>28413.1</v>
      </c>
      <c r="H16631" s="8">
        <v>22300</v>
      </c>
    </row>
    <row r="16632" spans="2:8" ht="15" customHeight="1" x14ac:dyDescent="0.4">
      <c r="B16632" t="s">
        <v>7</v>
      </c>
      <c r="C16632" t="s">
        <v>2585</v>
      </c>
      <c r="D16632" s="7">
        <f>DATE(2017,5,10)</f>
        <v>42865</v>
      </c>
      <c r="E16632" s="8">
        <f t="shared" si="272"/>
        <v>2017</v>
      </c>
      <c r="F16632" t="s">
        <v>2586</v>
      </c>
      <c r="G16632" s="9">
        <v>5000</v>
      </c>
      <c r="H16632" s="8">
        <v>24667</v>
      </c>
    </row>
    <row r="16633" spans="2:8" ht="15" customHeight="1" x14ac:dyDescent="0.4">
      <c r="B16633" t="s">
        <v>7</v>
      </c>
      <c r="C16633" t="s">
        <v>2587</v>
      </c>
      <c r="D16633" s="7">
        <f>DATE(2016,11,14)</f>
        <v>42688</v>
      </c>
      <c r="E16633" s="8">
        <f t="shared" si="272"/>
        <v>2016</v>
      </c>
      <c r="F16633" t="s">
        <v>2588</v>
      </c>
      <c r="G16633" s="9">
        <v>18646.37</v>
      </c>
      <c r="H16633" s="8">
        <v>23444</v>
      </c>
    </row>
    <row r="16634" spans="2:8" ht="15" customHeight="1" x14ac:dyDescent="0.4">
      <c r="B16634" s="3" t="s">
        <v>7</v>
      </c>
      <c r="C16634" s="3" t="s">
        <v>2589</v>
      </c>
      <c r="D16634" s="4">
        <f>DATE(2012,1,12)</f>
        <v>40920</v>
      </c>
      <c r="E16634" s="5">
        <f t="shared" si="272"/>
        <v>2012</v>
      </c>
      <c r="F16634" s="3" t="s">
        <v>2590</v>
      </c>
      <c r="G16634" s="6">
        <v>13369.58</v>
      </c>
      <c r="H16634" s="5">
        <v>4761</v>
      </c>
    </row>
    <row r="16635" spans="2:8" ht="15" customHeight="1" x14ac:dyDescent="0.4">
      <c r="B16635" t="s">
        <v>7</v>
      </c>
      <c r="C16635" t="s">
        <v>2583</v>
      </c>
      <c r="D16635" s="7">
        <f>DATE(2016,3,16)</f>
        <v>42445</v>
      </c>
      <c r="E16635" s="8">
        <f t="shared" si="272"/>
        <v>2016</v>
      </c>
      <c r="F16635" t="s">
        <v>2591</v>
      </c>
      <c r="G16635" s="9">
        <v>40784.35</v>
      </c>
      <c r="H16635" s="8">
        <v>22288</v>
      </c>
    </row>
    <row r="16636" spans="2:8" ht="15" customHeight="1" x14ac:dyDescent="0.4">
      <c r="B16636" s="3" t="s">
        <v>7</v>
      </c>
      <c r="C16636" s="3" t="s">
        <v>2592</v>
      </c>
      <c r="D16636" s="4">
        <f>DATE(2011,2,4)</f>
        <v>40578</v>
      </c>
      <c r="E16636" s="5">
        <f t="shared" si="272"/>
        <v>2011</v>
      </c>
      <c r="F16636" s="3" t="s">
        <v>2593</v>
      </c>
      <c r="G16636" s="6">
        <v>5393.57</v>
      </c>
      <c r="H16636" s="5">
        <v>4288</v>
      </c>
    </row>
    <row r="16637" spans="2:8" ht="15" customHeight="1" x14ac:dyDescent="0.4">
      <c r="B16637" t="s">
        <v>7</v>
      </c>
      <c r="C16637" t="s">
        <v>2594</v>
      </c>
      <c r="D16637" s="7">
        <f>DATE(2016,1,4)</f>
        <v>42373</v>
      </c>
      <c r="E16637" s="8">
        <f t="shared" si="272"/>
        <v>2016</v>
      </c>
      <c r="F16637" t="s">
        <v>2595</v>
      </c>
      <c r="G16637" s="9">
        <v>21034.92</v>
      </c>
      <c r="H16637" s="8">
        <v>21779</v>
      </c>
    </row>
    <row r="16638" spans="2:8" ht="15" customHeight="1" x14ac:dyDescent="0.4">
      <c r="B16638" t="s">
        <v>7</v>
      </c>
      <c r="C16638" t="s">
        <v>2594</v>
      </c>
      <c r="D16638" s="7">
        <f>DATE(2016,1,4)</f>
        <v>42373</v>
      </c>
      <c r="E16638" s="8">
        <f t="shared" si="272"/>
        <v>2016</v>
      </c>
      <c r="F16638" t="s">
        <v>2595</v>
      </c>
      <c r="G16638" s="9">
        <v>32113.279999999999</v>
      </c>
      <c r="H16638" s="8">
        <v>21799</v>
      </c>
    </row>
    <row r="16639" spans="2:8" ht="15" customHeight="1" x14ac:dyDescent="0.4">
      <c r="B16639" t="s">
        <v>16</v>
      </c>
      <c r="C16639" t="s">
        <v>2594</v>
      </c>
      <c r="D16639" s="7">
        <f>DATE(2016,1,12)</f>
        <v>42381</v>
      </c>
      <c r="E16639" s="8">
        <f t="shared" si="272"/>
        <v>2016</v>
      </c>
      <c r="F16639" t="s">
        <v>2595</v>
      </c>
      <c r="G16639" s="9">
        <v>1376.12</v>
      </c>
      <c r="H16639" s="8">
        <v>21975</v>
      </c>
    </row>
    <row r="16640" spans="2:8" ht="15" customHeight="1" x14ac:dyDescent="0.4">
      <c r="B16640" t="s">
        <v>16</v>
      </c>
      <c r="C16640" t="s">
        <v>2594</v>
      </c>
      <c r="D16640" s="7">
        <f>DATE(2016,1,12)</f>
        <v>42381</v>
      </c>
      <c r="E16640" s="8">
        <f t="shared" si="272"/>
        <v>2016</v>
      </c>
      <c r="F16640" t="s">
        <v>2595</v>
      </c>
      <c r="G16640" s="9">
        <v>2100.87</v>
      </c>
      <c r="H16640" s="8">
        <v>21974</v>
      </c>
    </row>
    <row r="16641" spans="2:8" ht="15" customHeight="1" x14ac:dyDescent="0.4">
      <c r="B16641" t="s">
        <v>7</v>
      </c>
      <c r="C16641" t="s">
        <v>2596</v>
      </c>
      <c r="D16641" s="7">
        <f>DATE(2011,4,20)</f>
        <v>40653</v>
      </c>
      <c r="E16641" s="8">
        <f t="shared" si="272"/>
        <v>2011</v>
      </c>
      <c r="F16641" t="s">
        <v>2597</v>
      </c>
      <c r="G16641" s="9">
        <v>7537.71</v>
      </c>
      <c r="H16641" s="8">
        <v>10685</v>
      </c>
    </row>
    <row r="16642" spans="2:8" ht="15" customHeight="1" x14ac:dyDescent="0.4">
      <c r="B16642" t="s">
        <v>7</v>
      </c>
      <c r="C16642" t="s">
        <v>2598</v>
      </c>
      <c r="D16642" s="7">
        <f>DATE(2011,5,23)</f>
        <v>40686</v>
      </c>
      <c r="E16642" s="8">
        <f t="shared" si="272"/>
        <v>2011</v>
      </c>
      <c r="F16642" t="s">
        <v>2599</v>
      </c>
      <c r="G16642" s="9">
        <v>19747.63</v>
      </c>
      <c r="H16642" s="8">
        <v>10752</v>
      </c>
    </row>
    <row r="16643" spans="2:8" ht="15" customHeight="1" x14ac:dyDescent="0.4">
      <c r="B16643" t="s">
        <v>7</v>
      </c>
      <c r="C16643" t="s">
        <v>2598</v>
      </c>
      <c r="D16643" s="7">
        <f>DATE(2018,5,17)</f>
        <v>43237</v>
      </c>
      <c r="E16643" s="8">
        <f t="shared" ref="E16643:E16706" si="273">YEAR(D16643)</f>
        <v>2018</v>
      </c>
      <c r="F16643" t="s">
        <v>2600</v>
      </c>
      <c r="G16643" s="9">
        <v>14424.93</v>
      </c>
      <c r="H16643" s="8">
        <v>26706</v>
      </c>
    </row>
    <row r="16644" spans="2:8" ht="15" customHeight="1" x14ac:dyDescent="0.4">
      <c r="B16644" t="s">
        <v>7</v>
      </c>
      <c r="C16644" t="s">
        <v>2598</v>
      </c>
      <c r="D16644" s="7">
        <f>DATE(2018,5,21)</f>
        <v>43241</v>
      </c>
      <c r="E16644" s="8">
        <f t="shared" si="273"/>
        <v>2018</v>
      </c>
      <c r="F16644" t="s">
        <v>2600</v>
      </c>
      <c r="G16644" s="9">
        <v>14458</v>
      </c>
      <c r="H16644" s="8">
        <v>26909</v>
      </c>
    </row>
    <row r="16645" spans="2:8" ht="15" customHeight="1" x14ac:dyDescent="0.4">
      <c r="B16645" t="s">
        <v>7</v>
      </c>
      <c r="C16645" t="s">
        <v>2598</v>
      </c>
      <c r="D16645" s="7">
        <f>DATE(2019,3,28)</f>
        <v>43552</v>
      </c>
      <c r="E16645" s="8">
        <f t="shared" si="273"/>
        <v>2019</v>
      </c>
      <c r="F16645" t="s">
        <v>2600</v>
      </c>
      <c r="G16645" s="9">
        <v>14549</v>
      </c>
      <c r="H16645" s="8">
        <v>28579</v>
      </c>
    </row>
    <row r="16646" spans="2:8" ht="15" customHeight="1" x14ac:dyDescent="0.4">
      <c r="B16646" t="s">
        <v>7</v>
      </c>
      <c r="C16646" t="s">
        <v>2598</v>
      </c>
      <c r="D16646" s="7">
        <f>DATE(2019,5,1)</f>
        <v>43586</v>
      </c>
      <c r="E16646" s="8">
        <f t="shared" si="273"/>
        <v>2019</v>
      </c>
      <c r="F16646" t="s">
        <v>2600</v>
      </c>
      <c r="G16646" s="9">
        <v>14549</v>
      </c>
      <c r="H16646" s="8">
        <v>28837</v>
      </c>
    </row>
    <row r="16647" spans="2:8" ht="15" customHeight="1" x14ac:dyDescent="0.4">
      <c r="B16647" t="s">
        <v>7</v>
      </c>
      <c r="C16647" t="s">
        <v>2601</v>
      </c>
      <c r="D16647" s="7">
        <f>DATE(2016,2,1)</f>
        <v>42401</v>
      </c>
      <c r="E16647" s="8">
        <f t="shared" si="273"/>
        <v>2016</v>
      </c>
      <c r="F16647" t="s">
        <v>2602</v>
      </c>
      <c r="G16647" s="9">
        <v>31454.04</v>
      </c>
      <c r="H16647" s="8">
        <v>22006</v>
      </c>
    </row>
    <row r="16648" spans="2:8" ht="15" customHeight="1" x14ac:dyDescent="0.4">
      <c r="B16648" t="s">
        <v>7</v>
      </c>
      <c r="C16648" t="s">
        <v>2601</v>
      </c>
      <c r="D16648" s="7">
        <f>DATE(2016,2,1)</f>
        <v>42401</v>
      </c>
      <c r="E16648" s="8">
        <f t="shared" si="273"/>
        <v>2016</v>
      </c>
      <c r="F16648" t="s">
        <v>2602</v>
      </c>
      <c r="G16648" s="9">
        <v>13007.69</v>
      </c>
      <c r="H16648" s="8">
        <v>22007</v>
      </c>
    </row>
    <row r="16649" spans="2:8" ht="15" customHeight="1" x14ac:dyDescent="0.4">
      <c r="B16649" t="s">
        <v>7</v>
      </c>
      <c r="C16649" t="s">
        <v>2603</v>
      </c>
      <c r="D16649" s="7">
        <f>DATE(2005,4,20)</f>
        <v>38462</v>
      </c>
      <c r="E16649" s="8">
        <f t="shared" si="273"/>
        <v>2005</v>
      </c>
      <c r="F16649" t="s">
        <v>2604</v>
      </c>
      <c r="G16649" s="9">
        <v>5375.29</v>
      </c>
      <c r="H16649" s="8">
        <v>3077</v>
      </c>
    </row>
    <row r="16650" spans="2:8" ht="15" customHeight="1" x14ac:dyDescent="0.4">
      <c r="B16650" t="s">
        <v>7</v>
      </c>
      <c r="C16650" t="s">
        <v>2605</v>
      </c>
      <c r="D16650" s="7">
        <f>DATE(2015,4,24)</f>
        <v>42118</v>
      </c>
      <c r="E16650" s="8">
        <f t="shared" si="273"/>
        <v>2015</v>
      </c>
      <c r="F16650" t="s">
        <v>2606</v>
      </c>
      <c r="G16650" s="9">
        <v>36785.83</v>
      </c>
      <c r="H16650" s="8">
        <v>294</v>
      </c>
    </row>
    <row r="16651" spans="2:8" ht="15" customHeight="1" x14ac:dyDescent="0.4">
      <c r="B16651" t="s">
        <v>7</v>
      </c>
      <c r="C16651" t="s">
        <v>2605</v>
      </c>
      <c r="D16651" s="7">
        <f>DATE(2015,4,24)</f>
        <v>42118</v>
      </c>
      <c r="E16651" s="8">
        <f t="shared" si="273"/>
        <v>2015</v>
      </c>
      <c r="F16651" t="s">
        <v>2606</v>
      </c>
      <c r="G16651" s="9">
        <v>36998</v>
      </c>
      <c r="H16651" s="8">
        <v>20122</v>
      </c>
    </row>
    <row r="16652" spans="2:8" ht="15" customHeight="1" x14ac:dyDescent="0.4">
      <c r="B16652" t="s">
        <v>7</v>
      </c>
      <c r="C16652" t="s">
        <v>2605</v>
      </c>
      <c r="D16652" s="7">
        <f>DATE(2016,3,10)</f>
        <v>42439</v>
      </c>
      <c r="E16652" s="8">
        <f t="shared" si="273"/>
        <v>2016</v>
      </c>
      <c r="F16652" t="s">
        <v>2606</v>
      </c>
      <c r="G16652" s="9">
        <v>58898</v>
      </c>
      <c r="H16652" s="8">
        <v>22086</v>
      </c>
    </row>
    <row r="16653" spans="2:8" ht="15" customHeight="1" x14ac:dyDescent="0.4">
      <c r="B16653" t="s">
        <v>7</v>
      </c>
      <c r="C16653" t="s">
        <v>2605</v>
      </c>
      <c r="D16653" s="7">
        <f>DATE(2016,4,26)</f>
        <v>42486</v>
      </c>
      <c r="E16653" s="8">
        <f t="shared" si="273"/>
        <v>2016</v>
      </c>
      <c r="F16653" t="s">
        <v>2606</v>
      </c>
      <c r="G16653" s="9">
        <v>39936</v>
      </c>
      <c r="H16653" s="8">
        <v>22477</v>
      </c>
    </row>
    <row r="16654" spans="2:8" ht="15" customHeight="1" x14ac:dyDescent="0.4">
      <c r="B16654" t="s">
        <v>7</v>
      </c>
      <c r="C16654" t="s">
        <v>2605</v>
      </c>
      <c r="D16654" s="7">
        <f>DATE(2017,2,15)</f>
        <v>42781</v>
      </c>
      <c r="E16654" s="8">
        <f t="shared" si="273"/>
        <v>2017</v>
      </c>
      <c r="F16654" t="s">
        <v>2606</v>
      </c>
      <c r="G16654" s="9">
        <v>56439.42</v>
      </c>
      <c r="H16654" s="8">
        <v>24083</v>
      </c>
    </row>
    <row r="16655" spans="2:8" ht="15" customHeight="1" x14ac:dyDescent="0.4">
      <c r="B16655" t="s">
        <v>7</v>
      </c>
      <c r="C16655" t="s">
        <v>2605</v>
      </c>
      <c r="D16655" s="7">
        <f>DATE(2017,5,9)</f>
        <v>42864</v>
      </c>
      <c r="E16655" s="8">
        <f t="shared" si="273"/>
        <v>2017</v>
      </c>
      <c r="F16655" t="s">
        <v>2606</v>
      </c>
      <c r="G16655" s="9">
        <v>56289.49</v>
      </c>
      <c r="H16655" s="8">
        <v>24447</v>
      </c>
    </row>
    <row r="16656" spans="2:8" ht="15" customHeight="1" x14ac:dyDescent="0.4">
      <c r="B16656" t="s">
        <v>7</v>
      </c>
      <c r="C16656" t="s">
        <v>2605</v>
      </c>
      <c r="D16656" s="7">
        <f>DATE(2018,3,9)</f>
        <v>43168</v>
      </c>
      <c r="E16656" s="8">
        <f t="shared" si="273"/>
        <v>2018</v>
      </c>
      <c r="F16656" t="s">
        <v>2606</v>
      </c>
      <c r="G16656" s="9">
        <v>56327.11</v>
      </c>
      <c r="H16656" s="8">
        <v>26275</v>
      </c>
    </row>
    <row r="16657" spans="2:8" ht="15" customHeight="1" x14ac:dyDescent="0.4">
      <c r="B16657" t="s">
        <v>7</v>
      </c>
      <c r="C16657" t="s">
        <v>2605</v>
      </c>
      <c r="D16657" s="7">
        <f>DATE(2018,5,23)</f>
        <v>43243</v>
      </c>
      <c r="E16657" s="8">
        <f t="shared" si="273"/>
        <v>2018</v>
      </c>
      <c r="F16657" t="s">
        <v>2606</v>
      </c>
      <c r="G16657" s="9">
        <v>84314.62</v>
      </c>
      <c r="H16657" s="8">
        <v>26277</v>
      </c>
    </row>
    <row r="16658" spans="2:8" ht="15" customHeight="1" x14ac:dyDescent="0.4">
      <c r="B16658" t="s">
        <v>7</v>
      </c>
      <c r="C16658" t="s">
        <v>2605</v>
      </c>
      <c r="D16658" s="7">
        <f>DATE(2006,8,23)</f>
        <v>38952</v>
      </c>
      <c r="E16658" s="8">
        <f t="shared" si="273"/>
        <v>2006</v>
      </c>
      <c r="F16658" t="s">
        <v>2606</v>
      </c>
      <c r="G16658" s="9">
        <v>21487</v>
      </c>
      <c r="H16658" s="8">
        <v>4908</v>
      </c>
    </row>
    <row r="16659" spans="2:8" ht="15" customHeight="1" x14ac:dyDescent="0.4">
      <c r="B16659" t="s">
        <v>7</v>
      </c>
      <c r="C16659" t="s">
        <v>2605</v>
      </c>
      <c r="D16659" s="7">
        <f>DATE(2006,8,29)</f>
        <v>38958</v>
      </c>
      <c r="E16659" s="8">
        <f t="shared" si="273"/>
        <v>2006</v>
      </c>
      <c r="F16659" t="s">
        <v>2606</v>
      </c>
      <c r="G16659" s="9">
        <v>26414.71</v>
      </c>
      <c r="H16659" s="8">
        <v>4917</v>
      </c>
    </row>
    <row r="16660" spans="2:8" ht="15" customHeight="1" x14ac:dyDescent="0.4">
      <c r="B16660" t="s">
        <v>7</v>
      </c>
      <c r="C16660" t="s">
        <v>2605</v>
      </c>
      <c r="D16660" s="7">
        <f>DATE(2006,8,23)</f>
        <v>38952</v>
      </c>
      <c r="E16660" s="8">
        <f t="shared" si="273"/>
        <v>2006</v>
      </c>
      <c r="F16660" t="s">
        <v>2606</v>
      </c>
      <c r="G16660" s="9">
        <v>30664.69</v>
      </c>
      <c r="H16660" s="8">
        <v>4916</v>
      </c>
    </row>
    <row r="16661" spans="2:8" ht="15" customHeight="1" x14ac:dyDescent="0.4">
      <c r="B16661" t="s">
        <v>7</v>
      </c>
      <c r="C16661" t="s">
        <v>2605</v>
      </c>
      <c r="D16661" s="7">
        <f>DATE(2007,5,6)</f>
        <v>39208</v>
      </c>
      <c r="E16661" s="8">
        <f t="shared" si="273"/>
        <v>2007</v>
      </c>
      <c r="F16661" t="s">
        <v>2606</v>
      </c>
      <c r="G16661" s="9">
        <v>24335.79</v>
      </c>
      <c r="H16661" s="8">
        <v>5789</v>
      </c>
    </row>
    <row r="16662" spans="2:8" ht="15" customHeight="1" x14ac:dyDescent="0.4">
      <c r="B16662" t="s">
        <v>7</v>
      </c>
      <c r="C16662" t="s">
        <v>2605</v>
      </c>
      <c r="D16662" s="7">
        <f>DATE(2007,5,1)</f>
        <v>39203</v>
      </c>
      <c r="E16662" s="8">
        <f t="shared" si="273"/>
        <v>2007</v>
      </c>
      <c r="F16662" t="s">
        <v>2606</v>
      </c>
      <c r="G16662" s="9">
        <v>28472.3</v>
      </c>
      <c r="H16662" s="8">
        <v>5853</v>
      </c>
    </row>
    <row r="16663" spans="2:8" ht="15" customHeight="1" x14ac:dyDescent="0.4">
      <c r="B16663" t="s">
        <v>7</v>
      </c>
      <c r="C16663" t="s">
        <v>2605</v>
      </c>
      <c r="D16663" s="7">
        <f>DATE(2007,6,1)</f>
        <v>39234</v>
      </c>
      <c r="E16663" s="8">
        <f t="shared" si="273"/>
        <v>2007</v>
      </c>
      <c r="F16663" t="s">
        <v>2606</v>
      </c>
      <c r="G16663" s="9">
        <v>24279.119999999999</v>
      </c>
      <c r="H16663" s="8">
        <v>5781</v>
      </c>
    </row>
    <row r="16664" spans="2:8" ht="15" customHeight="1" x14ac:dyDescent="0.4">
      <c r="B16664" t="s">
        <v>7</v>
      </c>
      <c r="C16664" t="s">
        <v>2605</v>
      </c>
      <c r="D16664" s="7">
        <f>DATE(2007,6,27)</f>
        <v>39260</v>
      </c>
      <c r="E16664" s="8">
        <f t="shared" si="273"/>
        <v>2007</v>
      </c>
      <c r="F16664" t="s">
        <v>2606</v>
      </c>
      <c r="G16664" s="9">
        <v>10065</v>
      </c>
      <c r="H16664" s="8">
        <v>6098</v>
      </c>
    </row>
    <row r="16665" spans="2:8" ht="15" customHeight="1" x14ac:dyDescent="0.4">
      <c r="B16665" t="s">
        <v>7</v>
      </c>
      <c r="C16665" t="s">
        <v>2605</v>
      </c>
      <c r="D16665" s="7">
        <f>DATE(2008,9,29)</f>
        <v>39720</v>
      </c>
      <c r="E16665" s="8">
        <f t="shared" si="273"/>
        <v>2008</v>
      </c>
      <c r="F16665" t="s">
        <v>2606</v>
      </c>
      <c r="G16665" s="9">
        <v>23130</v>
      </c>
      <c r="H16665" s="8">
        <v>7867</v>
      </c>
    </row>
    <row r="16666" spans="2:8" ht="15" customHeight="1" x14ac:dyDescent="0.4">
      <c r="B16666" t="s">
        <v>7</v>
      </c>
      <c r="C16666" t="s">
        <v>2605</v>
      </c>
      <c r="D16666" s="7">
        <f>DATE(2009,4,7)</f>
        <v>39910</v>
      </c>
      <c r="E16666" s="8">
        <f t="shared" si="273"/>
        <v>2009</v>
      </c>
      <c r="F16666" t="s">
        <v>2606</v>
      </c>
      <c r="G16666" s="9">
        <v>32010.35</v>
      </c>
      <c r="H16666" s="8">
        <v>8521</v>
      </c>
    </row>
    <row r="16667" spans="2:8" ht="15" customHeight="1" x14ac:dyDescent="0.4">
      <c r="B16667" t="s">
        <v>7</v>
      </c>
      <c r="C16667" t="s">
        <v>2605</v>
      </c>
      <c r="D16667" s="7">
        <f>DATE(2010,2,19)</f>
        <v>40228</v>
      </c>
      <c r="E16667" s="8">
        <f t="shared" si="273"/>
        <v>2010</v>
      </c>
      <c r="F16667" t="s">
        <v>2606</v>
      </c>
      <c r="G16667" s="9">
        <v>31993.4</v>
      </c>
      <c r="H16667" s="8">
        <v>9417</v>
      </c>
    </row>
    <row r="16668" spans="2:8" ht="15" customHeight="1" x14ac:dyDescent="0.4">
      <c r="B16668" t="s">
        <v>7</v>
      </c>
      <c r="C16668" t="s">
        <v>2605</v>
      </c>
      <c r="D16668" s="7">
        <f>DATE(2010,5,13)</f>
        <v>40311</v>
      </c>
      <c r="E16668" s="8">
        <f t="shared" si="273"/>
        <v>2010</v>
      </c>
      <c r="F16668" t="s">
        <v>2606</v>
      </c>
      <c r="G16668" s="9">
        <v>34033.360000000001</v>
      </c>
      <c r="H16668" s="8">
        <v>9807</v>
      </c>
    </row>
    <row r="16669" spans="2:8" ht="15" customHeight="1" x14ac:dyDescent="0.4">
      <c r="B16669" t="s">
        <v>7</v>
      </c>
      <c r="C16669" t="s">
        <v>2605</v>
      </c>
      <c r="D16669" s="7">
        <f>DATE(2012,4,11)</f>
        <v>41010</v>
      </c>
      <c r="E16669" s="8">
        <f t="shared" si="273"/>
        <v>2012</v>
      </c>
      <c r="F16669" t="s">
        <v>2606</v>
      </c>
      <c r="G16669" s="9">
        <v>37118.07</v>
      </c>
      <c r="H16669" s="8">
        <v>11483</v>
      </c>
    </row>
    <row r="16670" spans="2:8" ht="15" customHeight="1" x14ac:dyDescent="0.4">
      <c r="B16670" t="s">
        <v>7</v>
      </c>
      <c r="C16670" t="s">
        <v>2605</v>
      </c>
      <c r="D16670" s="7">
        <f>DATE(2012,8,30)</f>
        <v>41151</v>
      </c>
      <c r="E16670" s="8">
        <f t="shared" si="273"/>
        <v>2012</v>
      </c>
      <c r="F16670" t="s">
        <v>2606</v>
      </c>
      <c r="G16670" s="9">
        <v>39489.589999999997</v>
      </c>
      <c r="H16670" s="8">
        <v>11821</v>
      </c>
    </row>
    <row r="16671" spans="2:8" ht="15" customHeight="1" x14ac:dyDescent="0.4">
      <c r="B16671" t="s">
        <v>7</v>
      </c>
      <c r="C16671" t="s">
        <v>2605</v>
      </c>
      <c r="D16671" s="7">
        <f>DATE(2012,9,25)</f>
        <v>41177</v>
      </c>
      <c r="E16671" s="8">
        <f t="shared" si="273"/>
        <v>2012</v>
      </c>
      <c r="F16671" t="s">
        <v>2606</v>
      </c>
      <c r="G16671" s="9">
        <v>37063.67</v>
      </c>
      <c r="H16671" s="8">
        <v>11849</v>
      </c>
    </row>
    <row r="16672" spans="2:8" ht="15" customHeight="1" x14ac:dyDescent="0.4">
      <c r="B16672" t="s">
        <v>7</v>
      </c>
      <c r="C16672" t="s">
        <v>2605</v>
      </c>
      <c r="D16672" s="7">
        <f>DATE(2013,2,27)</f>
        <v>41332</v>
      </c>
      <c r="E16672" s="8">
        <f t="shared" si="273"/>
        <v>2013</v>
      </c>
      <c r="F16672" t="s">
        <v>2606</v>
      </c>
      <c r="G16672" s="9">
        <v>26902.5</v>
      </c>
      <c r="H16672" s="8">
        <v>12165</v>
      </c>
    </row>
    <row r="16673" spans="2:8" ht="15" customHeight="1" x14ac:dyDescent="0.4">
      <c r="B16673" t="s">
        <v>7</v>
      </c>
      <c r="C16673" t="s">
        <v>2605</v>
      </c>
      <c r="D16673" s="7">
        <f>DATE(2014,2,24)</f>
        <v>41694</v>
      </c>
      <c r="E16673" s="8">
        <f t="shared" si="273"/>
        <v>2014</v>
      </c>
      <c r="F16673" t="s">
        <v>2606</v>
      </c>
      <c r="G16673" s="9">
        <v>26621.97</v>
      </c>
      <c r="H16673" s="8">
        <v>12889</v>
      </c>
    </row>
    <row r="16674" spans="2:8" ht="15" customHeight="1" x14ac:dyDescent="0.4">
      <c r="B16674" t="s">
        <v>7</v>
      </c>
      <c r="C16674" t="s">
        <v>2605</v>
      </c>
      <c r="D16674" s="7">
        <f>DATE(2014,3,11)</f>
        <v>41709</v>
      </c>
      <c r="E16674" s="8">
        <f t="shared" si="273"/>
        <v>2014</v>
      </c>
      <c r="F16674" t="s">
        <v>2606</v>
      </c>
      <c r="G16674" s="9">
        <v>40367.050000000003</v>
      </c>
      <c r="H16674" s="8">
        <v>13016</v>
      </c>
    </row>
    <row r="16675" spans="2:8" ht="15" customHeight="1" x14ac:dyDescent="0.4">
      <c r="B16675" t="s">
        <v>7</v>
      </c>
      <c r="C16675" t="s">
        <v>2605</v>
      </c>
      <c r="D16675" s="7">
        <f>DATE(2014,5,6)</f>
        <v>41765</v>
      </c>
      <c r="E16675" s="8">
        <f t="shared" si="273"/>
        <v>2014</v>
      </c>
      <c r="F16675" t="s">
        <v>2606</v>
      </c>
      <c r="G16675" s="9">
        <v>36785.839999999997</v>
      </c>
      <c r="H16675" s="8">
        <v>13085</v>
      </c>
    </row>
    <row r="16676" spans="2:8" ht="15" customHeight="1" x14ac:dyDescent="0.4">
      <c r="B16676" s="3" t="s">
        <v>7</v>
      </c>
      <c r="C16676" s="3" t="s">
        <v>2605</v>
      </c>
      <c r="D16676" s="4">
        <f>DATE(2006,4,21)</f>
        <v>38828</v>
      </c>
      <c r="E16676" s="5">
        <f t="shared" si="273"/>
        <v>2006</v>
      </c>
      <c r="F16676" s="3" t="s">
        <v>2606</v>
      </c>
      <c r="G16676" s="6">
        <v>981.25</v>
      </c>
      <c r="H16676" s="5">
        <v>6584</v>
      </c>
    </row>
    <row r="16677" spans="2:8" ht="15" customHeight="1" x14ac:dyDescent="0.4">
      <c r="B16677" s="3" t="s">
        <v>7</v>
      </c>
      <c r="C16677" s="3" t="s">
        <v>2605</v>
      </c>
      <c r="D16677" s="4">
        <f>DATE(2006,5,2)</f>
        <v>38839</v>
      </c>
      <c r="E16677" s="5">
        <f t="shared" si="273"/>
        <v>2006</v>
      </c>
      <c r="F16677" s="3" t="s">
        <v>2606</v>
      </c>
      <c r="G16677" s="6">
        <v>569.42999999999995</v>
      </c>
      <c r="H16677" s="5">
        <v>6448</v>
      </c>
    </row>
    <row r="16678" spans="2:8" ht="15" customHeight="1" x14ac:dyDescent="0.4">
      <c r="B16678" s="3" t="s">
        <v>7</v>
      </c>
      <c r="C16678" s="3" t="s">
        <v>2607</v>
      </c>
      <c r="D16678" s="4">
        <f>DATE(2014,5,12)</f>
        <v>41771</v>
      </c>
      <c r="E16678" s="5">
        <f t="shared" si="273"/>
        <v>2014</v>
      </c>
      <c r="F16678" s="3" t="s">
        <v>2608</v>
      </c>
      <c r="G16678" s="6">
        <v>16971.13</v>
      </c>
      <c r="H16678" s="5">
        <v>6050</v>
      </c>
    </row>
    <row r="16679" spans="2:8" ht="15" customHeight="1" x14ac:dyDescent="0.4">
      <c r="B16679" s="3" t="s">
        <v>7</v>
      </c>
      <c r="C16679" s="3" t="s">
        <v>2607</v>
      </c>
      <c r="D16679" s="4">
        <f>DATE(2014,5,12)</f>
        <v>41771</v>
      </c>
      <c r="E16679" s="5">
        <f t="shared" si="273"/>
        <v>2014</v>
      </c>
      <c r="F16679" s="3" t="s">
        <v>2608</v>
      </c>
      <c r="G16679" s="6">
        <v>40136.800000000003</v>
      </c>
      <c r="H16679" s="5">
        <v>6049</v>
      </c>
    </row>
    <row r="16680" spans="2:8" ht="15" customHeight="1" x14ac:dyDescent="0.4">
      <c r="B16680" t="s">
        <v>7</v>
      </c>
      <c r="C16680" t="s">
        <v>2609</v>
      </c>
      <c r="D16680" s="7">
        <f>DATE(2016,4,20)</f>
        <v>42480</v>
      </c>
      <c r="E16680" s="8">
        <f t="shared" si="273"/>
        <v>2016</v>
      </c>
      <c r="F16680" t="s">
        <v>2610</v>
      </c>
      <c r="G16680" s="9">
        <v>148.05000000000001</v>
      </c>
      <c r="H16680" s="8">
        <v>22692</v>
      </c>
    </row>
    <row r="16681" spans="2:8" ht="15" customHeight="1" x14ac:dyDescent="0.4">
      <c r="B16681" t="s">
        <v>7</v>
      </c>
      <c r="C16681" t="s">
        <v>2611</v>
      </c>
      <c r="D16681" s="7">
        <f>DATE(2007,4,21)</f>
        <v>39193</v>
      </c>
      <c r="E16681" s="8">
        <f t="shared" si="273"/>
        <v>2007</v>
      </c>
      <c r="F16681" t="s">
        <v>2612</v>
      </c>
      <c r="G16681" s="9">
        <v>8753</v>
      </c>
      <c r="H16681" s="8">
        <v>5466</v>
      </c>
    </row>
    <row r="16682" spans="2:8" ht="15" customHeight="1" x14ac:dyDescent="0.4">
      <c r="B16682" t="s">
        <v>7</v>
      </c>
      <c r="C16682" t="s">
        <v>2611</v>
      </c>
      <c r="D16682" s="7">
        <f>DATE(2007,4,23)</f>
        <v>39195</v>
      </c>
      <c r="E16682" s="8">
        <f t="shared" si="273"/>
        <v>2007</v>
      </c>
      <c r="F16682" t="s">
        <v>2612</v>
      </c>
      <c r="G16682" s="9">
        <v>10056.25</v>
      </c>
      <c r="H16682" s="8">
        <v>5467</v>
      </c>
    </row>
    <row r="16683" spans="2:8" ht="15" customHeight="1" x14ac:dyDescent="0.4">
      <c r="B16683" s="3" t="s">
        <v>7</v>
      </c>
      <c r="C16683" s="3" t="s">
        <v>2611</v>
      </c>
      <c r="D16683" s="4">
        <f>DATE(2007,4,18)</f>
        <v>39190</v>
      </c>
      <c r="E16683" s="5">
        <f t="shared" si="273"/>
        <v>2007</v>
      </c>
      <c r="F16683" s="3" t="s">
        <v>2612</v>
      </c>
      <c r="G16683" s="6">
        <v>2152.5</v>
      </c>
      <c r="H16683" s="5">
        <v>7916</v>
      </c>
    </row>
    <row r="16684" spans="2:8" ht="15" customHeight="1" x14ac:dyDescent="0.4">
      <c r="B16684" t="s">
        <v>7</v>
      </c>
      <c r="C16684" t="s">
        <v>2613</v>
      </c>
      <c r="D16684" s="7">
        <f>DATE(2018,10,12)</f>
        <v>43385</v>
      </c>
      <c r="E16684" s="8">
        <f t="shared" si="273"/>
        <v>2018</v>
      </c>
      <c r="F16684" t="s">
        <v>2614</v>
      </c>
      <c r="G16684" s="9">
        <v>1441.32</v>
      </c>
      <c r="H16684" s="8">
        <v>27796</v>
      </c>
    </row>
    <row r="16685" spans="2:8" ht="15" customHeight="1" x14ac:dyDescent="0.4">
      <c r="B16685" t="s">
        <v>7</v>
      </c>
      <c r="C16685" t="s">
        <v>2613</v>
      </c>
      <c r="D16685" s="7">
        <f>DATE(2017,3,8)</f>
        <v>42802</v>
      </c>
      <c r="E16685" s="8">
        <f t="shared" si="273"/>
        <v>2017</v>
      </c>
      <c r="F16685" t="s">
        <v>2614</v>
      </c>
      <c r="G16685" s="9">
        <v>6120</v>
      </c>
      <c r="H16685" s="8">
        <v>24107</v>
      </c>
    </row>
    <row r="16686" spans="2:8" ht="15" customHeight="1" x14ac:dyDescent="0.4">
      <c r="B16686" s="3" t="s">
        <v>7</v>
      </c>
      <c r="C16686" s="3" t="s">
        <v>2615</v>
      </c>
      <c r="D16686" s="4">
        <f>DATE(2009,7,21)</f>
        <v>40015</v>
      </c>
      <c r="E16686" s="5">
        <f t="shared" si="273"/>
        <v>2009</v>
      </c>
      <c r="F16686" s="3" t="s">
        <v>2616</v>
      </c>
      <c r="G16686" s="6">
        <v>33.799999999999997</v>
      </c>
      <c r="H16686" s="5">
        <v>12790</v>
      </c>
    </row>
    <row r="16687" spans="2:8" ht="15" customHeight="1" x14ac:dyDescent="0.4">
      <c r="B16687" t="s">
        <v>7</v>
      </c>
      <c r="C16687" t="s">
        <v>2617</v>
      </c>
      <c r="D16687" s="7">
        <f>DATE(2015,4,27)</f>
        <v>42121</v>
      </c>
      <c r="E16687" s="8">
        <f t="shared" si="273"/>
        <v>2015</v>
      </c>
      <c r="F16687" t="s">
        <v>2618</v>
      </c>
      <c r="G16687" s="9">
        <v>21061.200000000001</v>
      </c>
      <c r="H16687" s="8">
        <v>20039</v>
      </c>
    </row>
    <row r="16688" spans="2:8" ht="15" customHeight="1" x14ac:dyDescent="0.4">
      <c r="B16688" t="s">
        <v>7</v>
      </c>
      <c r="C16688" t="s">
        <v>2617</v>
      </c>
      <c r="D16688" s="7">
        <f>DATE(2015,4,27)</f>
        <v>42121</v>
      </c>
      <c r="E16688" s="8">
        <f t="shared" si="273"/>
        <v>2015</v>
      </c>
      <c r="F16688" t="s">
        <v>2618</v>
      </c>
      <c r="G16688" s="9">
        <v>32184.12</v>
      </c>
      <c r="H16688" s="8">
        <v>20074</v>
      </c>
    </row>
    <row r="16689" spans="2:8" ht="15" customHeight="1" x14ac:dyDescent="0.4">
      <c r="B16689" t="s">
        <v>7</v>
      </c>
      <c r="C16689" t="s">
        <v>2617</v>
      </c>
      <c r="D16689" s="7">
        <f>DATE(2016,2,2)</f>
        <v>42402</v>
      </c>
      <c r="E16689" s="8">
        <f t="shared" si="273"/>
        <v>2016</v>
      </c>
      <c r="F16689" t="s">
        <v>2618</v>
      </c>
      <c r="G16689" s="9">
        <v>24335.919999999998</v>
      </c>
      <c r="H16689" s="8">
        <v>21962</v>
      </c>
    </row>
    <row r="16690" spans="2:8" ht="15" customHeight="1" x14ac:dyDescent="0.4">
      <c r="B16690" t="s">
        <v>7</v>
      </c>
      <c r="C16690" t="s">
        <v>2617</v>
      </c>
      <c r="D16690" s="7">
        <f>DATE(2017,10,31)</f>
        <v>43039</v>
      </c>
      <c r="E16690" s="8">
        <f t="shared" si="273"/>
        <v>2017</v>
      </c>
      <c r="F16690" t="s">
        <v>2618</v>
      </c>
      <c r="G16690" s="9">
        <v>38591.589999999997</v>
      </c>
      <c r="H16690" s="8">
        <v>25564</v>
      </c>
    </row>
    <row r="16691" spans="2:8" ht="15" customHeight="1" x14ac:dyDescent="0.4">
      <c r="B16691" t="s">
        <v>7</v>
      </c>
      <c r="C16691" t="s">
        <v>2617</v>
      </c>
      <c r="D16691" s="7">
        <f>DATE(2015,4,27)</f>
        <v>42121</v>
      </c>
      <c r="E16691" s="8">
        <f t="shared" si="273"/>
        <v>2015</v>
      </c>
      <c r="F16691" t="s">
        <v>2618</v>
      </c>
      <c r="G16691" s="9">
        <v>16812.18</v>
      </c>
      <c r="H16691" s="8">
        <v>20040</v>
      </c>
    </row>
    <row r="16692" spans="2:8" ht="15" customHeight="1" x14ac:dyDescent="0.4">
      <c r="B16692" t="s">
        <v>7</v>
      </c>
      <c r="C16692" t="s">
        <v>2617</v>
      </c>
      <c r="D16692" s="7">
        <f>DATE(2015,4,7)</f>
        <v>42101</v>
      </c>
      <c r="E16692" s="8">
        <f t="shared" si="273"/>
        <v>2015</v>
      </c>
      <c r="F16692" t="s">
        <v>2618</v>
      </c>
      <c r="G16692" s="9">
        <v>414.9</v>
      </c>
      <c r="H16692" s="8">
        <v>20340</v>
      </c>
    </row>
    <row r="16693" spans="2:8" ht="15" customHeight="1" x14ac:dyDescent="0.4">
      <c r="B16693" t="s">
        <v>7</v>
      </c>
      <c r="C16693" t="s">
        <v>2617</v>
      </c>
      <c r="D16693" s="7">
        <f>DATE(2015,4,7)</f>
        <v>42101</v>
      </c>
      <c r="E16693" s="8">
        <f t="shared" si="273"/>
        <v>2015</v>
      </c>
      <c r="F16693" t="s">
        <v>2618</v>
      </c>
      <c r="G16693" s="9">
        <v>3147.09</v>
      </c>
      <c r="H16693" s="8">
        <v>20358</v>
      </c>
    </row>
    <row r="16694" spans="2:8" ht="15" customHeight="1" x14ac:dyDescent="0.4">
      <c r="B16694" t="s">
        <v>7</v>
      </c>
      <c r="C16694" t="s">
        <v>2617</v>
      </c>
      <c r="D16694" s="7">
        <f>DATE(2015,5,11)</f>
        <v>42135</v>
      </c>
      <c r="E16694" s="8">
        <f t="shared" si="273"/>
        <v>2015</v>
      </c>
      <c r="F16694" t="s">
        <v>2618</v>
      </c>
      <c r="G16694" s="9">
        <v>1312.32</v>
      </c>
      <c r="H16694" s="8">
        <v>20370</v>
      </c>
    </row>
    <row r="16695" spans="2:8" ht="15" customHeight="1" x14ac:dyDescent="0.4">
      <c r="B16695" t="s">
        <v>7</v>
      </c>
      <c r="C16695" t="s">
        <v>2617</v>
      </c>
      <c r="D16695" s="7">
        <f>DATE(2015,1,23)</f>
        <v>42027</v>
      </c>
      <c r="E16695" s="8">
        <f t="shared" si="273"/>
        <v>2015</v>
      </c>
      <c r="F16695" t="s">
        <v>2618</v>
      </c>
      <c r="G16695" s="9">
        <v>6755.34</v>
      </c>
      <c r="H16695" s="8">
        <v>111</v>
      </c>
    </row>
    <row r="16696" spans="2:8" ht="15" customHeight="1" x14ac:dyDescent="0.4">
      <c r="B16696" t="s">
        <v>7</v>
      </c>
      <c r="C16696" t="s">
        <v>2617</v>
      </c>
      <c r="D16696" s="7">
        <f>DATE(2011,2,2)</f>
        <v>40576</v>
      </c>
      <c r="E16696" s="8">
        <f t="shared" si="273"/>
        <v>2011</v>
      </c>
      <c r="F16696" t="s">
        <v>2618</v>
      </c>
      <c r="G16696" s="9">
        <v>11235.76</v>
      </c>
      <c r="H16696" s="8">
        <v>10365</v>
      </c>
    </row>
    <row r="16697" spans="2:8" ht="15" customHeight="1" x14ac:dyDescent="0.4">
      <c r="B16697" t="s">
        <v>7</v>
      </c>
      <c r="C16697" t="s">
        <v>2617</v>
      </c>
      <c r="D16697" s="7">
        <f>DATE(2011,2,2)</f>
        <v>40576</v>
      </c>
      <c r="E16697" s="8">
        <f t="shared" si="273"/>
        <v>2011</v>
      </c>
      <c r="F16697" t="s">
        <v>2618</v>
      </c>
      <c r="G16697" s="9">
        <v>18736.38</v>
      </c>
      <c r="H16697" s="8">
        <v>10366</v>
      </c>
    </row>
    <row r="16698" spans="2:8" ht="15" customHeight="1" x14ac:dyDescent="0.4">
      <c r="B16698" t="s">
        <v>7</v>
      </c>
      <c r="C16698" t="s">
        <v>2617</v>
      </c>
      <c r="D16698" s="7">
        <f>DATE(2011,2,2)</f>
        <v>40576</v>
      </c>
      <c r="E16698" s="8">
        <f t="shared" si="273"/>
        <v>2011</v>
      </c>
      <c r="F16698" t="s">
        <v>2618</v>
      </c>
      <c r="G16698" s="9">
        <v>4424.3599999999997</v>
      </c>
      <c r="H16698" s="8">
        <v>10453</v>
      </c>
    </row>
    <row r="16699" spans="2:8" ht="15" customHeight="1" x14ac:dyDescent="0.4">
      <c r="B16699" t="s">
        <v>7</v>
      </c>
      <c r="C16699" t="s">
        <v>2617</v>
      </c>
      <c r="D16699" s="7">
        <f>DATE(2011,2,2)</f>
        <v>40576</v>
      </c>
      <c r="E16699" s="8">
        <f t="shared" si="273"/>
        <v>2011</v>
      </c>
      <c r="F16699" t="s">
        <v>2618</v>
      </c>
      <c r="G16699" s="9">
        <v>1304.94</v>
      </c>
      <c r="H16699" s="8">
        <v>10454</v>
      </c>
    </row>
    <row r="16700" spans="2:8" ht="15" customHeight="1" x14ac:dyDescent="0.4">
      <c r="B16700" t="s">
        <v>7</v>
      </c>
      <c r="C16700" t="s">
        <v>2617</v>
      </c>
      <c r="D16700" s="7">
        <f>DATE(2012,5,29)</f>
        <v>41058</v>
      </c>
      <c r="E16700" s="8">
        <f t="shared" si="273"/>
        <v>2012</v>
      </c>
      <c r="F16700" t="s">
        <v>2618</v>
      </c>
      <c r="G16700" s="9">
        <v>21503.3</v>
      </c>
      <c r="H16700" s="8">
        <v>11525</v>
      </c>
    </row>
    <row r="16701" spans="2:8" ht="15" customHeight="1" x14ac:dyDescent="0.4">
      <c r="B16701" t="s">
        <v>7</v>
      </c>
      <c r="C16701" t="s">
        <v>2617</v>
      </c>
      <c r="D16701" s="7">
        <f>DATE(2014,6,3)</f>
        <v>41793</v>
      </c>
      <c r="E16701" s="8">
        <f t="shared" si="273"/>
        <v>2014</v>
      </c>
      <c r="F16701" t="s">
        <v>2618</v>
      </c>
      <c r="G16701" s="9">
        <v>17329.59</v>
      </c>
      <c r="H16701" s="8">
        <v>13113</v>
      </c>
    </row>
    <row r="16702" spans="2:8" ht="15" customHeight="1" x14ac:dyDescent="0.4">
      <c r="B16702" t="s">
        <v>7</v>
      </c>
      <c r="C16702" t="s">
        <v>2617</v>
      </c>
      <c r="D16702" s="7">
        <f>DATE(2011,1,11)</f>
        <v>40554</v>
      </c>
      <c r="E16702" s="8">
        <f t="shared" si="273"/>
        <v>2011</v>
      </c>
      <c r="F16702" t="s">
        <v>2618</v>
      </c>
      <c r="G16702" s="9">
        <v>4318.8999999999996</v>
      </c>
      <c r="H16702" s="8">
        <v>10380</v>
      </c>
    </row>
    <row r="16703" spans="2:8" ht="15" customHeight="1" x14ac:dyDescent="0.4">
      <c r="B16703" t="s">
        <v>7</v>
      </c>
      <c r="C16703" t="s">
        <v>2617</v>
      </c>
      <c r="D16703" s="7">
        <f>DATE(2014,10,30)</f>
        <v>41942</v>
      </c>
      <c r="E16703" s="8">
        <f t="shared" si="273"/>
        <v>2014</v>
      </c>
      <c r="F16703" t="s">
        <v>2618</v>
      </c>
      <c r="G16703" s="9">
        <v>6487.99</v>
      </c>
      <c r="H16703" s="8">
        <v>13545</v>
      </c>
    </row>
    <row r="16704" spans="2:8" ht="15" customHeight="1" x14ac:dyDescent="0.4">
      <c r="B16704" s="3" t="s">
        <v>7</v>
      </c>
      <c r="C16704" s="3" t="s">
        <v>2617</v>
      </c>
      <c r="D16704" s="4">
        <f>DATE(2014,10,9)</f>
        <v>41921</v>
      </c>
      <c r="E16704" s="5">
        <f t="shared" si="273"/>
        <v>2014</v>
      </c>
      <c r="F16704" s="3" t="s">
        <v>2618</v>
      </c>
      <c r="G16704" s="6">
        <v>139.6</v>
      </c>
      <c r="H16704" s="5">
        <v>20469</v>
      </c>
    </row>
    <row r="16705" spans="2:8" ht="15" customHeight="1" x14ac:dyDescent="0.4">
      <c r="B16705" t="s">
        <v>7</v>
      </c>
      <c r="C16705" t="s">
        <v>2619</v>
      </c>
      <c r="D16705" s="7">
        <f>DATE(2017,5,30)</f>
        <v>42885</v>
      </c>
      <c r="E16705" s="8">
        <f t="shared" si="273"/>
        <v>2017</v>
      </c>
      <c r="F16705" t="s">
        <v>2620</v>
      </c>
      <c r="G16705" s="9">
        <v>49500</v>
      </c>
      <c r="H16705" s="8">
        <v>24584</v>
      </c>
    </row>
    <row r="16706" spans="2:8" ht="15" customHeight="1" x14ac:dyDescent="0.4">
      <c r="B16706" t="s">
        <v>7</v>
      </c>
      <c r="C16706" t="s">
        <v>2619</v>
      </c>
      <c r="D16706" s="7">
        <f>DATE(2012,5,3)</f>
        <v>41032</v>
      </c>
      <c r="E16706" s="8">
        <f t="shared" si="273"/>
        <v>2012</v>
      </c>
      <c r="F16706" t="s">
        <v>2620</v>
      </c>
      <c r="G16706" s="9">
        <v>53619</v>
      </c>
      <c r="H16706" s="8">
        <v>11399</v>
      </c>
    </row>
    <row r="16707" spans="2:8" ht="15" customHeight="1" x14ac:dyDescent="0.4">
      <c r="B16707" s="3" t="s">
        <v>7</v>
      </c>
      <c r="C16707" s="3" t="s">
        <v>2621</v>
      </c>
      <c r="D16707" s="4">
        <f>DATE(2005,2,23)</f>
        <v>38406</v>
      </c>
      <c r="E16707" s="5">
        <f t="shared" ref="E16707:E16770" si="274">YEAR(D16707)</f>
        <v>2005</v>
      </c>
      <c r="F16707" s="3" t="s">
        <v>2622</v>
      </c>
      <c r="G16707" s="6">
        <v>3330.63</v>
      </c>
      <c r="H16707" s="5">
        <v>980</v>
      </c>
    </row>
    <row r="16708" spans="2:8" ht="15" customHeight="1" x14ac:dyDescent="0.4">
      <c r="B16708" s="3" t="s">
        <v>7</v>
      </c>
      <c r="C16708" s="3" t="s">
        <v>2621</v>
      </c>
      <c r="D16708" s="4">
        <f>DATE(2005,3,23)</f>
        <v>38434</v>
      </c>
      <c r="E16708" s="5">
        <f t="shared" si="274"/>
        <v>2005</v>
      </c>
      <c r="F16708" s="3" t="s">
        <v>2622</v>
      </c>
      <c r="G16708" s="6">
        <v>86.33</v>
      </c>
      <c r="H16708" s="5">
        <v>1003</v>
      </c>
    </row>
    <row r="16709" spans="2:8" ht="15" customHeight="1" x14ac:dyDescent="0.4">
      <c r="B16709" s="3" t="s">
        <v>7</v>
      </c>
      <c r="C16709" s="3" t="s">
        <v>2621</v>
      </c>
      <c r="D16709" s="4">
        <f>DATE(2005,9,12)</f>
        <v>38607</v>
      </c>
      <c r="E16709" s="5">
        <f t="shared" si="274"/>
        <v>2005</v>
      </c>
      <c r="F16709" s="3" t="s">
        <v>2622</v>
      </c>
      <c r="G16709" s="6">
        <v>387.87</v>
      </c>
      <c r="H16709" s="5">
        <v>1208</v>
      </c>
    </row>
    <row r="16710" spans="2:8" ht="15" customHeight="1" x14ac:dyDescent="0.4">
      <c r="B16710" s="3" t="s">
        <v>7</v>
      </c>
      <c r="C16710" s="3" t="s">
        <v>2621</v>
      </c>
      <c r="D16710" s="4">
        <f>DATE(2007,10,10)</f>
        <v>39365</v>
      </c>
      <c r="E16710" s="5">
        <f t="shared" si="274"/>
        <v>2007</v>
      </c>
      <c r="F16710" s="3" t="s">
        <v>2622</v>
      </c>
      <c r="G16710" s="6">
        <v>137</v>
      </c>
      <c r="H16710" s="5">
        <v>2425</v>
      </c>
    </row>
    <row r="16711" spans="2:8" ht="15" customHeight="1" x14ac:dyDescent="0.4">
      <c r="B16711" s="3" t="s">
        <v>16</v>
      </c>
      <c r="C16711" s="3" t="s">
        <v>2621</v>
      </c>
      <c r="D16711" s="4">
        <f>DATE(2005,9,12)</f>
        <v>38607</v>
      </c>
      <c r="E16711" s="5">
        <f t="shared" si="274"/>
        <v>2005</v>
      </c>
      <c r="F16711" s="3" t="s">
        <v>2622</v>
      </c>
      <c r="G16711" s="6">
        <v>29.59</v>
      </c>
      <c r="H16711" s="5">
        <v>1495</v>
      </c>
    </row>
    <row r="16712" spans="2:8" ht="15" customHeight="1" x14ac:dyDescent="0.4">
      <c r="B16712" s="3" t="s">
        <v>7</v>
      </c>
      <c r="C16712" s="3" t="s">
        <v>2621</v>
      </c>
      <c r="D16712" s="4">
        <f>DATE(2007,9,28)</f>
        <v>39353</v>
      </c>
      <c r="E16712" s="5">
        <f t="shared" si="274"/>
        <v>2007</v>
      </c>
      <c r="F16712" s="3" t="s">
        <v>2623</v>
      </c>
      <c r="G16712" s="6">
        <v>768.2</v>
      </c>
      <c r="H16712" s="5">
        <v>2400</v>
      </c>
    </row>
    <row r="16713" spans="2:8" ht="15" customHeight="1" x14ac:dyDescent="0.4">
      <c r="B16713" s="3" t="s">
        <v>7</v>
      </c>
      <c r="C16713" s="3" t="s">
        <v>2621</v>
      </c>
      <c r="D16713" s="4">
        <f>DATE(2008,4,25)</f>
        <v>39563</v>
      </c>
      <c r="E16713" s="5">
        <f t="shared" si="274"/>
        <v>2008</v>
      </c>
      <c r="F16713" s="3" t="s">
        <v>2623</v>
      </c>
      <c r="G16713" s="6">
        <v>804.44</v>
      </c>
      <c r="H16713" s="5">
        <v>2786</v>
      </c>
    </row>
    <row r="16714" spans="2:8" ht="15" customHeight="1" x14ac:dyDescent="0.4">
      <c r="B16714" s="3" t="s">
        <v>7</v>
      </c>
      <c r="C16714" s="3" t="s">
        <v>2621</v>
      </c>
      <c r="D16714" s="4">
        <f>DATE(2008,6,27)</f>
        <v>39626</v>
      </c>
      <c r="E16714" s="5">
        <f t="shared" si="274"/>
        <v>2008</v>
      </c>
      <c r="F16714" s="3" t="s">
        <v>2623</v>
      </c>
      <c r="G16714" s="6">
        <v>411.54</v>
      </c>
      <c r="H16714" s="5">
        <v>2905</v>
      </c>
    </row>
    <row r="16715" spans="2:8" ht="15" customHeight="1" x14ac:dyDescent="0.4">
      <c r="B16715" t="s">
        <v>7</v>
      </c>
      <c r="C16715" t="s">
        <v>2624</v>
      </c>
      <c r="D16715" s="7">
        <f>DATE(2016,9,6)</f>
        <v>42619</v>
      </c>
      <c r="E16715" s="8">
        <f t="shared" si="274"/>
        <v>2016</v>
      </c>
      <c r="F16715" t="s">
        <v>2625</v>
      </c>
      <c r="G16715" s="9">
        <v>440</v>
      </c>
      <c r="H16715" s="8">
        <v>23410</v>
      </c>
    </row>
    <row r="16716" spans="2:8" ht="15" customHeight="1" x14ac:dyDescent="0.4">
      <c r="B16716" t="s">
        <v>7</v>
      </c>
      <c r="C16716" t="s">
        <v>2624</v>
      </c>
      <c r="D16716" s="7">
        <f>DATE(2016,10,12)</f>
        <v>42655</v>
      </c>
      <c r="E16716" s="8">
        <f t="shared" si="274"/>
        <v>2016</v>
      </c>
      <c r="F16716" t="s">
        <v>2625</v>
      </c>
      <c r="G16716" s="9">
        <v>668.8</v>
      </c>
      <c r="H16716" s="8">
        <v>23621</v>
      </c>
    </row>
    <row r="16717" spans="2:8" ht="15" customHeight="1" x14ac:dyDescent="0.4">
      <c r="B16717" t="s">
        <v>7</v>
      </c>
      <c r="C16717" t="s">
        <v>2624</v>
      </c>
      <c r="D16717" s="7">
        <f>DATE(2017,3,16)</f>
        <v>42810</v>
      </c>
      <c r="E16717" s="8">
        <f t="shared" si="274"/>
        <v>2017</v>
      </c>
      <c r="F16717" t="s">
        <v>2625</v>
      </c>
      <c r="G16717" s="9">
        <v>2607</v>
      </c>
      <c r="H16717" s="8">
        <v>24501</v>
      </c>
    </row>
    <row r="16718" spans="2:8" ht="15" customHeight="1" x14ac:dyDescent="0.4">
      <c r="B16718" t="s">
        <v>7</v>
      </c>
      <c r="C16718" t="s">
        <v>2624</v>
      </c>
      <c r="D16718" s="7">
        <f>DATE(2016,9,13)</f>
        <v>42626</v>
      </c>
      <c r="E16718" s="8">
        <f t="shared" si="274"/>
        <v>2016</v>
      </c>
      <c r="F16718" t="s">
        <v>2625</v>
      </c>
      <c r="G16718" s="9">
        <v>4619.2</v>
      </c>
      <c r="H16718" s="8">
        <v>23465</v>
      </c>
    </row>
    <row r="16719" spans="2:8" ht="15" customHeight="1" x14ac:dyDescent="0.4">
      <c r="B16719" t="s">
        <v>7</v>
      </c>
      <c r="C16719" t="s">
        <v>2624</v>
      </c>
      <c r="D16719" s="7">
        <f>DATE(2016,10,4)</f>
        <v>42647</v>
      </c>
      <c r="E16719" s="8">
        <f t="shared" si="274"/>
        <v>2016</v>
      </c>
      <c r="F16719" t="s">
        <v>2625</v>
      </c>
      <c r="G16719" s="9">
        <v>3787.22</v>
      </c>
      <c r="H16719" s="8">
        <v>23540</v>
      </c>
    </row>
    <row r="16720" spans="2:8" ht="15" customHeight="1" x14ac:dyDescent="0.4">
      <c r="B16720" t="s">
        <v>7</v>
      </c>
      <c r="C16720" t="s">
        <v>2624</v>
      </c>
      <c r="D16720" s="7">
        <f>DATE(2016,10,13)</f>
        <v>42656</v>
      </c>
      <c r="E16720" s="8">
        <f t="shared" si="274"/>
        <v>2016</v>
      </c>
      <c r="F16720" t="s">
        <v>2625</v>
      </c>
      <c r="G16720" s="9">
        <v>8778.9</v>
      </c>
      <c r="H16720" s="8">
        <v>23552</v>
      </c>
    </row>
    <row r="16721" spans="2:8" ht="15" customHeight="1" x14ac:dyDescent="0.4">
      <c r="B16721" t="s">
        <v>7</v>
      </c>
      <c r="C16721" t="s">
        <v>2624</v>
      </c>
      <c r="D16721" s="7">
        <f>DATE(2017,2,16)</f>
        <v>42782</v>
      </c>
      <c r="E16721" s="8">
        <f t="shared" si="274"/>
        <v>2017</v>
      </c>
      <c r="F16721" t="s">
        <v>2625</v>
      </c>
      <c r="G16721" s="9">
        <v>9966.08</v>
      </c>
      <c r="H16721" s="8">
        <v>24253</v>
      </c>
    </row>
    <row r="16722" spans="2:8" ht="15" customHeight="1" x14ac:dyDescent="0.4">
      <c r="B16722" t="s">
        <v>7</v>
      </c>
      <c r="C16722" t="s">
        <v>2624</v>
      </c>
      <c r="D16722" s="7">
        <f>DATE(2018,8,28)</f>
        <v>43340</v>
      </c>
      <c r="E16722" s="8">
        <f t="shared" si="274"/>
        <v>2018</v>
      </c>
      <c r="F16722" t="s">
        <v>2625</v>
      </c>
      <c r="G16722" s="9">
        <v>5404.52</v>
      </c>
      <c r="H16722" s="8">
        <v>27504</v>
      </c>
    </row>
    <row r="16723" spans="2:8" ht="15" customHeight="1" x14ac:dyDescent="0.4">
      <c r="B16723" t="s">
        <v>7</v>
      </c>
      <c r="C16723" t="s">
        <v>2626</v>
      </c>
      <c r="D16723" s="7">
        <f>DATE(2004,10,3)</f>
        <v>38263</v>
      </c>
      <c r="E16723" s="8">
        <f t="shared" si="274"/>
        <v>2004</v>
      </c>
      <c r="F16723" t="s">
        <v>2627</v>
      </c>
      <c r="G16723" s="9">
        <v>14900</v>
      </c>
      <c r="H16723" s="8">
        <v>1907</v>
      </c>
    </row>
    <row r="16724" spans="2:8" ht="15" customHeight="1" x14ac:dyDescent="0.4">
      <c r="B16724" s="3" t="s">
        <v>7</v>
      </c>
      <c r="C16724" s="3" t="s">
        <v>2628</v>
      </c>
      <c r="D16724" s="4">
        <f>DATE(2009,3,18)</f>
        <v>39890</v>
      </c>
      <c r="E16724" s="5">
        <f t="shared" si="274"/>
        <v>2009</v>
      </c>
      <c r="F16724" s="3" t="s">
        <v>2629</v>
      </c>
      <c r="G16724" s="6">
        <v>72.75</v>
      </c>
      <c r="H16724" s="5">
        <v>12206</v>
      </c>
    </row>
    <row r="16725" spans="2:8" ht="15" customHeight="1" x14ac:dyDescent="0.4">
      <c r="B16725" s="3" t="s">
        <v>7</v>
      </c>
      <c r="C16725" s="3" t="s">
        <v>2630</v>
      </c>
      <c r="D16725" s="4">
        <f>DATE(2003,7,16)</f>
        <v>37818</v>
      </c>
      <c r="E16725" s="5">
        <f t="shared" si="274"/>
        <v>2003</v>
      </c>
      <c r="F16725" s="3" t="s">
        <v>2631</v>
      </c>
      <c r="G16725" s="6">
        <v>520.5</v>
      </c>
      <c r="H16725" s="5">
        <v>1200</v>
      </c>
    </row>
    <row r="16726" spans="2:8" ht="15" customHeight="1" x14ac:dyDescent="0.4">
      <c r="B16726" s="3" t="s">
        <v>7</v>
      </c>
      <c r="C16726" s="3" t="s">
        <v>2630</v>
      </c>
      <c r="D16726" s="4">
        <f>DATE(2003,8,25)</f>
        <v>37858</v>
      </c>
      <c r="E16726" s="5">
        <f t="shared" si="274"/>
        <v>2003</v>
      </c>
      <c r="F16726" s="3" t="s">
        <v>2631</v>
      </c>
      <c r="G16726" s="6">
        <v>1099</v>
      </c>
      <c r="H16726" s="5">
        <v>1399</v>
      </c>
    </row>
    <row r="16727" spans="2:8" ht="15" customHeight="1" x14ac:dyDescent="0.4">
      <c r="B16727" s="3" t="s">
        <v>7</v>
      </c>
      <c r="C16727" s="3" t="s">
        <v>2630</v>
      </c>
      <c r="D16727" s="4">
        <f>DATE(2005,3,18)</f>
        <v>38429</v>
      </c>
      <c r="E16727" s="5">
        <f t="shared" si="274"/>
        <v>2005</v>
      </c>
      <c r="F16727" s="3" t="s">
        <v>2631</v>
      </c>
      <c r="G16727" s="6">
        <v>959.15</v>
      </c>
      <c r="H16727" s="5">
        <v>4369</v>
      </c>
    </row>
    <row r="16728" spans="2:8" ht="15" customHeight="1" x14ac:dyDescent="0.4">
      <c r="B16728" s="3" t="s">
        <v>7</v>
      </c>
      <c r="C16728" s="3" t="s">
        <v>2630</v>
      </c>
      <c r="D16728" s="4">
        <f>DATE(2005,4,20)</f>
        <v>38462</v>
      </c>
      <c r="E16728" s="5">
        <f t="shared" si="274"/>
        <v>2005</v>
      </c>
      <c r="F16728" s="3" t="s">
        <v>2631</v>
      </c>
      <c r="G16728" s="6">
        <v>1234.05</v>
      </c>
      <c r="H16728" s="5">
        <v>4573</v>
      </c>
    </row>
    <row r="16729" spans="2:8" ht="15" customHeight="1" x14ac:dyDescent="0.4">
      <c r="B16729" t="s">
        <v>7</v>
      </c>
      <c r="C16729" t="s">
        <v>2632</v>
      </c>
      <c r="D16729" s="7">
        <f>DATE(2015,3,27)</f>
        <v>42090</v>
      </c>
      <c r="E16729" s="8">
        <f t="shared" si="274"/>
        <v>2015</v>
      </c>
      <c r="F16729" t="s">
        <v>2633</v>
      </c>
      <c r="G16729" s="9">
        <v>40002.660000000003</v>
      </c>
      <c r="H16729" s="8">
        <v>20060</v>
      </c>
    </row>
    <row r="16730" spans="2:8" ht="15" customHeight="1" x14ac:dyDescent="0.4">
      <c r="B16730" t="s">
        <v>7</v>
      </c>
      <c r="C16730" t="s">
        <v>2632</v>
      </c>
      <c r="D16730" s="7">
        <f>DATE(2019,2,18)</f>
        <v>43514</v>
      </c>
      <c r="E16730" s="8">
        <f t="shared" si="274"/>
        <v>2019</v>
      </c>
      <c r="F16730" t="s">
        <v>2633</v>
      </c>
      <c r="G16730" s="9">
        <v>21327</v>
      </c>
      <c r="H16730" s="8">
        <v>28374</v>
      </c>
    </row>
    <row r="16731" spans="2:8" ht="15" customHeight="1" x14ac:dyDescent="0.4">
      <c r="B16731" t="s">
        <v>7</v>
      </c>
      <c r="C16731" t="s">
        <v>2632</v>
      </c>
      <c r="D16731" s="7">
        <f>DATE(2010,11,30)</f>
        <v>40512</v>
      </c>
      <c r="E16731" s="8">
        <f t="shared" si="274"/>
        <v>2010</v>
      </c>
      <c r="F16731" t="s">
        <v>2633</v>
      </c>
      <c r="G16731" s="9">
        <v>30581.24</v>
      </c>
      <c r="H16731" s="8">
        <v>10259</v>
      </c>
    </row>
    <row r="16732" spans="2:8" ht="15" customHeight="1" x14ac:dyDescent="0.4">
      <c r="B16732" t="s">
        <v>7</v>
      </c>
      <c r="C16732" t="s">
        <v>1015</v>
      </c>
      <c r="D16732" s="7">
        <f>DATE(2017,6,14)</f>
        <v>42900</v>
      </c>
      <c r="E16732" s="8">
        <f t="shared" si="274"/>
        <v>2017</v>
      </c>
      <c r="F16732" t="s">
        <v>2634</v>
      </c>
      <c r="G16732" s="9">
        <v>32673.759999999998</v>
      </c>
      <c r="H16732" s="8">
        <v>24561</v>
      </c>
    </row>
    <row r="16733" spans="2:8" ht="15" customHeight="1" x14ac:dyDescent="0.4">
      <c r="B16733" t="s">
        <v>7</v>
      </c>
      <c r="C16733" t="s">
        <v>1015</v>
      </c>
      <c r="D16733" s="7">
        <f>DATE(2017,6,14)</f>
        <v>42900</v>
      </c>
      <c r="E16733" s="8">
        <f t="shared" si="274"/>
        <v>2017</v>
      </c>
      <c r="F16733" t="s">
        <v>2634</v>
      </c>
      <c r="G16733" s="9">
        <v>259685.4</v>
      </c>
      <c r="H16733" s="8">
        <v>24560</v>
      </c>
    </row>
    <row r="16734" spans="2:8" ht="15" customHeight="1" x14ac:dyDescent="0.4">
      <c r="B16734" t="s">
        <v>7</v>
      </c>
      <c r="C16734" t="s">
        <v>2635</v>
      </c>
      <c r="D16734" s="7">
        <f>DATE(2016,4,1)</f>
        <v>42461</v>
      </c>
      <c r="E16734" s="8">
        <f t="shared" si="274"/>
        <v>2016</v>
      </c>
      <c r="F16734" t="s">
        <v>2636</v>
      </c>
      <c r="G16734" s="9">
        <v>17094</v>
      </c>
      <c r="H16734" s="8">
        <v>22492</v>
      </c>
    </row>
    <row r="16735" spans="2:8" ht="15" customHeight="1" x14ac:dyDescent="0.4">
      <c r="B16735" t="s">
        <v>7</v>
      </c>
      <c r="C16735" t="s">
        <v>2637</v>
      </c>
      <c r="D16735" s="7">
        <f>DATE(2007,3,21)</f>
        <v>39162</v>
      </c>
      <c r="E16735" s="8">
        <f t="shared" si="274"/>
        <v>2007</v>
      </c>
      <c r="F16735" t="s">
        <v>2638</v>
      </c>
      <c r="G16735" s="9">
        <v>6600.05</v>
      </c>
      <c r="H16735" s="8">
        <v>5730</v>
      </c>
    </row>
    <row r="16736" spans="2:8" ht="15" customHeight="1" x14ac:dyDescent="0.4">
      <c r="B16736" t="s">
        <v>7</v>
      </c>
      <c r="C16736" t="s">
        <v>2637</v>
      </c>
      <c r="D16736" s="7">
        <f>DATE(2013,5,7)</f>
        <v>41401</v>
      </c>
      <c r="E16736" s="8">
        <f t="shared" si="274"/>
        <v>2013</v>
      </c>
      <c r="F16736" t="s">
        <v>2638</v>
      </c>
      <c r="G16736" s="9">
        <v>53856.58</v>
      </c>
      <c r="H16736" s="8">
        <v>12370</v>
      </c>
    </row>
    <row r="16737" spans="2:8" ht="15" customHeight="1" x14ac:dyDescent="0.4">
      <c r="B16737" s="3" t="s">
        <v>7</v>
      </c>
      <c r="C16737" s="3" t="s">
        <v>2637</v>
      </c>
      <c r="D16737" s="4">
        <f>DATE(2008,7,24)</f>
        <v>39653</v>
      </c>
      <c r="E16737" s="5">
        <f t="shared" si="274"/>
        <v>2008</v>
      </c>
      <c r="F16737" s="3" t="s">
        <v>2638</v>
      </c>
      <c r="G16737" s="6">
        <v>268.43</v>
      </c>
      <c r="H16737" s="5">
        <v>11000</v>
      </c>
    </row>
    <row r="16738" spans="2:8" ht="15" customHeight="1" x14ac:dyDescent="0.4">
      <c r="B16738" s="3" t="s">
        <v>7</v>
      </c>
      <c r="C16738" s="3" t="s">
        <v>2639</v>
      </c>
      <c r="D16738" s="4">
        <f>DATE(2003,2,17)</f>
        <v>37669</v>
      </c>
      <c r="E16738" s="5">
        <f t="shared" si="274"/>
        <v>2003</v>
      </c>
      <c r="F16738" s="3" t="s">
        <v>2640</v>
      </c>
      <c r="G16738" s="6">
        <v>216</v>
      </c>
      <c r="H16738" s="5">
        <v>303</v>
      </c>
    </row>
    <row r="16739" spans="2:8" ht="15" customHeight="1" x14ac:dyDescent="0.4">
      <c r="B16739" s="3" t="s">
        <v>7</v>
      </c>
      <c r="C16739" s="3" t="s">
        <v>2639</v>
      </c>
      <c r="D16739" s="4">
        <f>DATE(2003,2,28)</f>
        <v>37680</v>
      </c>
      <c r="E16739" s="5">
        <f t="shared" si="274"/>
        <v>2003</v>
      </c>
      <c r="F16739" s="3" t="s">
        <v>2640</v>
      </c>
      <c r="G16739" s="6">
        <v>637</v>
      </c>
      <c r="H16739" s="5">
        <v>275</v>
      </c>
    </row>
    <row r="16740" spans="2:8" ht="15" customHeight="1" x14ac:dyDescent="0.4">
      <c r="B16740" s="3" t="s">
        <v>7</v>
      </c>
      <c r="C16740" s="3" t="s">
        <v>2639</v>
      </c>
      <c r="D16740" s="4">
        <f>DATE(2003,5,6)</f>
        <v>37747</v>
      </c>
      <c r="E16740" s="5">
        <f t="shared" si="274"/>
        <v>2003</v>
      </c>
      <c r="F16740" s="3" t="s">
        <v>2640</v>
      </c>
      <c r="G16740" s="6">
        <v>637</v>
      </c>
      <c r="H16740" s="5">
        <v>871</v>
      </c>
    </row>
    <row r="16741" spans="2:8" ht="15" customHeight="1" x14ac:dyDescent="0.4">
      <c r="B16741" s="3" t="s">
        <v>7</v>
      </c>
      <c r="C16741" s="3" t="s">
        <v>2639</v>
      </c>
      <c r="D16741" s="4">
        <f>DATE(2003,6,9)</f>
        <v>37781</v>
      </c>
      <c r="E16741" s="5">
        <f t="shared" si="274"/>
        <v>2003</v>
      </c>
      <c r="F16741" s="3" t="s">
        <v>2640</v>
      </c>
      <c r="G16741" s="6">
        <v>1694</v>
      </c>
      <c r="H16741" s="5">
        <v>1022</v>
      </c>
    </row>
    <row r="16742" spans="2:8" ht="15" customHeight="1" x14ac:dyDescent="0.4">
      <c r="B16742" t="s">
        <v>7</v>
      </c>
      <c r="C16742" t="s">
        <v>2641</v>
      </c>
      <c r="D16742" s="7">
        <f>DATE(2015,4,13)</f>
        <v>42107</v>
      </c>
      <c r="E16742" s="8">
        <f t="shared" si="274"/>
        <v>2015</v>
      </c>
      <c r="F16742" t="s">
        <v>2642</v>
      </c>
      <c r="G16742" s="9">
        <v>1296.78</v>
      </c>
      <c r="H16742" s="8">
        <v>20344</v>
      </c>
    </row>
    <row r="16743" spans="2:8" ht="15" customHeight="1" x14ac:dyDescent="0.4">
      <c r="B16743" t="s">
        <v>7</v>
      </c>
      <c r="C16743" t="s">
        <v>2641</v>
      </c>
      <c r="D16743" s="7">
        <f>DATE(2015,5,1)</f>
        <v>42125</v>
      </c>
      <c r="E16743" s="8">
        <f t="shared" si="274"/>
        <v>2015</v>
      </c>
      <c r="F16743" t="s">
        <v>2642</v>
      </c>
      <c r="G16743" s="9">
        <v>4205.22</v>
      </c>
      <c r="H16743" s="8">
        <v>20484</v>
      </c>
    </row>
    <row r="16744" spans="2:8" ht="15" customHeight="1" x14ac:dyDescent="0.4">
      <c r="B16744" t="s">
        <v>7</v>
      </c>
      <c r="C16744" t="s">
        <v>2641</v>
      </c>
      <c r="D16744" s="7">
        <f>DATE(2006,2,25)</f>
        <v>38773</v>
      </c>
      <c r="E16744" s="8">
        <f t="shared" si="274"/>
        <v>2006</v>
      </c>
      <c r="F16744" t="s">
        <v>2642</v>
      </c>
      <c r="G16744" s="9">
        <v>10253</v>
      </c>
      <c r="H16744" s="8">
        <v>3903</v>
      </c>
    </row>
    <row r="16745" spans="2:8" ht="15" customHeight="1" x14ac:dyDescent="0.4">
      <c r="B16745" t="s">
        <v>7</v>
      </c>
      <c r="C16745" t="s">
        <v>2641</v>
      </c>
      <c r="D16745" s="7">
        <f>DATE(2006,2,25)</f>
        <v>38773</v>
      </c>
      <c r="E16745" s="8">
        <f t="shared" si="274"/>
        <v>2006</v>
      </c>
      <c r="F16745" t="s">
        <v>2642</v>
      </c>
      <c r="G16745" s="9">
        <v>7790</v>
      </c>
      <c r="H16745" s="8">
        <v>3911</v>
      </c>
    </row>
    <row r="16746" spans="2:8" ht="15" customHeight="1" x14ac:dyDescent="0.4">
      <c r="B16746" t="s">
        <v>7</v>
      </c>
      <c r="C16746" t="s">
        <v>2641</v>
      </c>
      <c r="D16746" s="7">
        <f>DATE(2008,6,14)</f>
        <v>39613</v>
      </c>
      <c r="E16746" s="8">
        <f t="shared" si="274"/>
        <v>2008</v>
      </c>
      <c r="F16746" t="s">
        <v>2642</v>
      </c>
      <c r="G16746" s="9">
        <v>4332.24</v>
      </c>
      <c r="H16746" s="8">
        <v>7528</v>
      </c>
    </row>
    <row r="16747" spans="2:8" ht="15" customHeight="1" x14ac:dyDescent="0.4">
      <c r="B16747" t="s">
        <v>7</v>
      </c>
      <c r="C16747" t="s">
        <v>2641</v>
      </c>
      <c r="D16747" s="7">
        <f>DATE(2011,9,15)</f>
        <v>40801</v>
      </c>
      <c r="E16747" s="8">
        <f t="shared" si="274"/>
        <v>2011</v>
      </c>
      <c r="F16747" t="s">
        <v>2642</v>
      </c>
      <c r="G16747" s="9">
        <v>4584</v>
      </c>
      <c r="H16747" s="8">
        <v>10995</v>
      </c>
    </row>
    <row r="16748" spans="2:8" ht="15" customHeight="1" x14ac:dyDescent="0.4">
      <c r="B16748" t="s">
        <v>7</v>
      </c>
      <c r="C16748" t="s">
        <v>2641</v>
      </c>
      <c r="D16748" s="7">
        <f>DATE(2012,3,19)</f>
        <v>40987</v>
      </c>
      <c r="E16748" s="8">
        <f t="shared" si="274"/>
        <v>2012</v>
      </c>
      <c r="F16748" t="s">
        <v>2642</v>
      </c>
      <c r="G16748" s="9">
        <v>4496.28</v>
      </c>
      <c r="H16748" s="8">
        <v>11460</v>
      </c>
    </row>
    <row r="16749" spans="2:8" ht="15" customHeight="1" x14ac:dyDescent="0.4">
      <c r="B16749" t="s">
        <v>7</v>
      </c>
      <c r="C16749" t="s">
        <v>2641</v>
      </c>
      <c r="D16749" s="7">
        <f>DATE(2012,5,23)</f>
        <v>41052</v>
      </c>
      <c r="E16749" s="8">
        <f t="shared" si="274"/>
        <v>2012</v>
      </c>
      <c r="F16749" t="s">
        <v>2642</v>
      </c>
      <c r="G16749" s="9">
        <v>4765.04</v>
      </c>
      <c r="H16749" s="8">
        <v>11639</v>
      </c>
    </row>
    <row r="16750" spans="2:8" ht="15" customHeight="1" x14ac:dyDescent="0.4">
      <c r="B16750" t="s">
        <v>7</v>
      </c>
      <c r="C16750" t="s">
        <v>2641</v>
      </c>
      <c r="D16750" s="7">
        <f>DATE(2013,1,17)</f>
        <v>41291</v>
      </c>
      <c r="E16750" s="8">
        <f t="shared" si="274"/>
        <v>2013</v>
      </c>
      <c r="F16750" t="s">
        <v>2642</v>
      </c>
      <c r="G16750" s="9">
        <v>4691.21</v>
      </c>
      <c r="H16750" s="8">
        <v>12077</v>
      </c>
    </row>
    <row r="16751" spans="2:8" ht="15" customHeight="1" x14ac:dyDescent="0.4">
      <c r="B16751" s="3" t="s">
        <v>7</v>
      </c>
      <c r="C16751" s="3" t="s">
        <v>2641</v>
      </c>
      <c r="D16751" s="4">
        <f>DATE(2006,2,20)</f>
        <v>38768</v>
      </c>
      <c r="E16751" s="5">
        <f t="shared" si="274"/>
        <v>2006</v>
      </c>
      <c r="F16751" s="3" t="s">
        <v>2642</v>
      </c>
      <c r="G16751" s="6">
        <v>5320</v>
      </c>
      <c r="H16751" s="5">
        <v>5787</v>
      </c>
    </row>
    <row r="16752" spans="2:8" ht="15" customHeight="1" x14ac:dyDescent="0.4">
      <c r="B16752" t="s">
        <v>7</v>
      </c>
      <c r="C16752" t="s">
        <v>2643</v>
      </c>
      <c r="D16752" s="7">
        <f>DATE(2015,5,7)</f>
        <v>42131</v>
      </c>
      <c r="E16752" s="8">
        <f t="shared" si="274"/>
        <v>2015</v>
      </c>
      <c r="F16752" t="s">
        <v>2644</v>
      </c>
      <c r="G16752" s="9">
        <v>46341.07</v>
      </c>
      <c r="H16752" s="8">
        <v>20183</v>
      </c>
    </row>
    <row r="16753" spans="2:8" ht="15" customHeight="1" x14ac:dyDescent="0.4">
      <c r="B16753" t="s">
        <v>7</v>
      </c>
      <c r="C16753" t="s">
        <v>2643</v>
      </c>
      <c r="D16753" s="7">
        <f>DATE(2016,5,31)</f>
        <v>42521</v>
      </c>
      <c r="E16753" s="8">
        <f t="shared" si="274"/>
        <v>2016</v>
      </c>
      <c r="F16753" t="s">
        <v>2644</v>
      </c>
      <c r="G16753" s="9">
        <v>47079.33</v>
      </c>
      <c r="H16753" s="8">
        <v>22519</v>
      </c>
    </row>
    <row r="16754" spans="2:8" ht="15" customHeight="1" x14ac:dyDescent="0.4">
      <c r="B16754" t="s">
        <v>7</v>
      </c>
      <c r="C16754" t="s">
        <v>2643</v>
      </c>
      <c r="D16754" s="7">
        <f>DATE(2017,4,24)</f>
        <v>42849</v>
      </c>
      <c r="E16754" s="8">
        <f t="shared" si="274"/>
        <v>2017</v>
      </c>
      <c r="F16754" t="s">
        <v>2644</v>
      </c>
      <c r="G16754" s="9">
        <v>47422.74</v>
      </c>
      <c r="H16754" s="8">
        <v>24588</v>
      </c>
    </row>
    <row r="16755" spans="2:8" ht="15" customHeight="1" x14ac:dyDescent="0.4">
      <c r="B16755" t="s">
        <v>7</v>
      </c>
      <c r="C16755" t="s">
        <v>2643</v>
      </c>
      <c r="D16755" s="7">
        <f>DATE(2018,4,10)</f>
        <v>43200</v>
      </c>
      <c r="E16755" s="8">
        <f t="shared" si="274"/>
        <v>2018</v>
      </c>
      <c r="F16755" t="s">
        <v>2644</v>
      </c>
      <c r="G16755" s="9">
        <v>47476.21</v>
      </c>
      <c r="H16755" s="8">
        <v>26631</v>
      </c>
    </row>
    <row r="16756" spans="2:8" ht="15" customHeight="1" x14ac:dyDescent="0.4">
      <c r="B16756" t="s">
        <v>7</v>
      </c>
      <c r="C16756" t="s">
        <v>2643</v>
      </c>
      <c r="D16756" s="7">
        <f>DATE(2019,4,9)</f>
        <v>43564</v>
      </c>
      <c r="E16756" s="8">
        <f t="shared" si="274"/>
        <v>2019</v>
      </c>
      <c r="F16756" t="s">
        <v>2644</v>
      </c>
      <c r="G16756" s="9">
        <v>2003.8</v>
      </c>
      <c r="H16756" s="8">
        <v>12294</v>
      </c>
    </row>
    <row r="16757" spans="2:8" ht="15" customHeight="1" x14ac:dyDescent="0.4">
      <c r="B16757" t="s">
        <v>7</v>
      </c>
      <c r="C16757" t="s">
        <v>2643</v>
      </c>
      <c r="D16757" s="7">
        <f>DATE(2006,8,23)</f>
        <v>38952</v>
      </c>
      <c r="E16757" s="8">
        <f t="shared" si="274"/>
        <v>2006</v>
      </c>
      <c r="F16757" t="s">
        <v>2644</v>
      </c>
      <c r="G16757" s="9">
        <v>4207.5600000000004</v>
      </c>
      <c r="H16757" s="8">
        <v>4913</v>
      </c>
    </row>
    <row r="16758" spans="2:8" ht="15" customHeight="1" x14ac:dyDescent="0.4">
      <c r="B16758" t="s">
        <v>7</v>
      </c>
      <c r="C16758" t="s">
        <v>2643</v>
      </c>
      <c r="D16758" s="7">
        <f>DATE(2007,5,9)</f>
        <v>39211</v>
      </c>
      <c r="E16758" s="8">
        <f t="shared" si="274"/>
        <v>2007</v>
      </c>
      <c r="F16758" t="s">
        <v>2644</v>
      </c>
      <c r="G16758" s="9">
        <v>20316.46</v>
      </c>
      <c r="H16758" s="8">
        <v>5719</v>
      </c>
    </row>
    <row r="16759" spans="2:8" ht="15" customHeight="1" x14ac:dyDescent="0.4">
      <c r="B16759" t="s">
        <v>7</v>
      </c>
      <c r="C16759" t="s">
        <v>2643</v>
      </c>
      <c r="D16759" s="7">
        <f>DATE(2007,6,1)</f>
        <v>39234</v>
      </c>
      <c r="E16759" s="8">
        <f t="shared" si="274"/>
        <v>2007</v>
      </c>
      <c r="F16759" t="s">
        <v>2644</v>
      </c>
      <c r="G16759" s="9">
        <v>19990</v>
      </c>
      <c r="H16759" s="8">
        <v>5807</v>
      </c>
    </row>
    <row r="16760" spans="2:8" ht="15" customHeight="1" x14ac:dyDescent="0.4">
      <c r="B16760" t="s">
        <v>7</v>
      </c>
      <c r="C16760" t="s">
        <v>2643</v>
      </c>
      <c r="D16760" s="7">
        <f>DATE(2008,5,6)</f>
        <v>39574</v>
      </c>
      <c r="E16760" s="8">
        <f t="shared" si="274"/>
        <v>2008</v>
      </c>
      <c r="F16760" t="s">
        <v>2644</v>
      </c>
      <c r="G16760" s="9">
        <v>22890</v>
      </c>
      <c r="H16760" s="8">
        <v>6885</v>
      </c>
    </row>
    <row r="16761" spans="2:8" ht="15" customHeight="1" x14ac:dyDescent="0.4">
      <c r="B16761" t="s">
        <v>7</v>
      </c>
      <c r="C16761" t="s">
        <v>2643</v>
      </c>
      <c r="D16761" s="7">
        <f>DATE(2008,5,5)</f>
        <v>39573</v>
      </c>
      <c r="E16761" s="8">
        <f t="shared" si="274"/>
        <v>2008</v>
      </c>
      <c r="F16761" t="s">
        <v>2644</v>
      </c>
      <c r="G16761" s="9">
        <v>19343.580000000002</v>
      </c>
      <c r="H16761" s="8">
        <v>6874</v>
      </c>
    </row>
    <row r="16762" spans="2:8" ht="15" customHeight="1" x14ac:dyDescent="0.4">
      <c r="B16762" t="s">
        <v>7</v>
      </c>
      <c r="C16762" t="s">
        <v>2643</v>
      </c>
      <c r="D16762" s="7">
        <f>DATE(2008,5,28)</f>
        <v>39596</v>
      </c>
      <c r="E16762" s="8">
        <f t="shared" si="274"/>
        <v>2008</v>
      </c>
      <c r="F16762" t="s">
        <v>2644</v>
      </c>
      <c r="G16762" s="9">
        <v>38172.720000000001</v>
      </c>
      <c r="H16762" s="8">
        <v>6854</v>
      </c>
    </row>
    <row r="16763" spans="2:8" ht="15" customHeight="1" x14ac:dyDescent="0.4">
      <c r="B16763" t="s">
        <v>7</v>
      </c>
      <c r="C16763" t="s">
        <v>2643</v>
      </c>
      <c r="D16763" s="7">
        <f>DATE(2009,5,4)</f>
        <v>39937</v>
      </c>
      <c r="E16763" s="8">
        <f t="shared" si="274"/>
        <v>2009</v>
      </c>
      <c r="F16763" t="s">
        <v>2644</v>
      </c>
      <c r="G16763" s="9">
        <v>24063</v>
      </c>
      <c r="H16763" s="8">
        <v>8527</v>
      </c>
    </row>
    <row r="16764" spans="2:8" ht="15" customHeight="1" x14ac:dyDescent="0.4">
      <c r="B16764" t="s">
        <v>7</v>
      </c>
      <c r="C16764" t="s">
        <v>2643</v>
      </c>
      <c r="D16764" s="7">
        <f>DATE(2009,5,27)</f>
        <v>39960</v>
      </c>
      <c r="E16764" s="8">
        <f t="shared" si="274"/>
        <v>2009</v>
      </c>
      <c r="F16764" t="s">
        <v>2644</v>
      </c>
      <c r="G16764" s="9">
        <v>25861</v>
      </c>
      <c r="H16764" s="8">
        <v>8528</v>
      </c>
    </row>
    <row r="16765" spans="2:8" ht="15" customHeight="1" x14ac:dyDescent="0.4">
      <c r="B16765" t="s">
        <v>7</v>
      </c>
      <c r="C16765" t="s">
        <v>2643</v>
      </c>
      <c r="D16765" s="7">
        <f>DATE(2011,5,17)</f>
        <v>40680</v>
      </c>
      <c r="E16765" s="8">
        <f t="shared" si="274"/>
        <v>2011</v>
      </c>
      <c r="F16765" t="s">
        <v>2644</v>
      </c>
      <c r="G16765" s="9">
        <v>30267</v>
      </c>
      <c r="H16765" s="8">
        <v>10638</v>
      </c>
    </row>
    <row r="16766" spans="2:8" ht="15" customHeight="1" x14ac:dyDescent="0.4">
      <c r="B16766" t="s">
        <v>7</v>
      </c>
      <c r="C16766" t="s">
        <v>2643</v>
      </c>
      <c r="D16766" s="7">
        <f>DATE(2011,6,27)</f>
        <v>40721</v>
      </c>
      <c r="E16766" s="8">
        <f t="shared" si="274"/>
        <v>2011</v>
      </c>
      <c r="F16766" t="s">
        <v>2644</v>
      </c>
      <c r="G16766" s="9">
        <v>19697</v>
      </c>
      <c r="H16766" s="8">
        <v>10801</v>
      </c>
    </row>
    <row r="16767" spans="2:8" ht="15" customHeight="1" x14ac:dyDescent="0.4">
      <c r="B16767" t="s">
        <v>7</v>
      </c>
      <c r="C16767" t="s">
        <v>2643</v>
      </c>
      <c r="D16767" s="7">
        <f>DATE(2012,5,16)</f>
        <v>41045</v>
      </c>
      <c r="E16767" s="8">
        <f t="shared" si="274"/>
        <v>2012</v>
      </c>
      <c r="F16767" t="s">
        <v>2644</v>
      </c>
      <c r="G16767" s="9">
        <v>43400</v>
      </c>
      <c r="H16767" s="8">
        <v>11587</v>
      </c>
    </row>
    <row r="16768" spans="2:8" ht="15" customHeight="1" x14ac:dyDescent="0.4">
      <c r="B16768" t="s">
        <v>7</v>
      </c>
      <c r="C16768" t="s">
        <v>2643</v>
      </c>
      <c r="D16768" s="7">
        <f>DATE(2013,5,14)</f>
        <v>41408</v>
      </c>
      <c r="E16768" s="8">
        <f t="shared" si="274"/>
        <v>2013</v>
      </c>
      <c r="F16768" t="s">
        <v>2644</v>
      </c>
      <c r="G16768" s="9">
        <v>45150</v>
      </c>
      <c r="H16768" s="8">
        <v>12368</v>
      </c>
    </row>
    <row r="16769" spans="2:8" ht="15" customHeight="1" x14ac:dyDescent="0.4">
      <c r="B16769" t="s">
        <v>7</v>
      </c>
      <c r="C16769" t="s">
        <v>2643</v>
      </c>
      <c r="D16769" s="7">
        <f>DATE(2014,6,11)</f>
        <v>41801</v>
      </c>
      <c r="E16769" s="8">
        <f t="shared" si="274"/>
        <v>2014</v>
      </c>
      <c r="F16769" t="s">
        <v>2644</v>
      </c>
      <c r="G16769" s="9">
        <v>27284</v>
      </c>
      <c r="H16769" s="8">
        <v>13098</v>
      </c>
    </row>
    <row r="16770" spans="2:8" ht="15" customHeight="1" x14ac:dyDescent="0.4">
      <c r="B16770" s="3" t="s">
        <v>7</v>
      </c>
      <c r="C16770" s="3" t="s">
        <v>2643</v>
      </c>
      <c r="D16770" s="4">
        <f>DATE(2007,5,3)</f>
        <v>39205</v>
      </c>
      <c r="E16770" s="5">
        <f t="shared" si="274"/>
        <v>2007</v>
      </c>
      <c r="F16770" s="3" t="s">
        <v>2644</v>
      </c>
      <c r="G16770" s="6">
        <v>469</v>
      </c>
      <c r="H16770" s="5">
        <v>8723</v>
      </c>
    </row>
    <row r="16771" spans="2:8" ht="15" customHeight="1" x14ac:dyDescent="0.4">
      <c r="B16771" s="3" t="s">
        <v>7</v>
      </c>
      <c r="C16771" s="3" t="s">
        <v>2643</v>
      </c>
      <c r="D16771" s="4">
        <f>DATE(2010,1,14)</f>
        <v>40192</v>
      </c>
      <c r="E16771" s="5">
        <f t="shared" ref="E16771:E16834" si="275">YEAR(D16771)</f>
        <v>2010</v>
      </c>
      <c r="F16771" s="3" t="s">
        <v>2644</v>
      </c>
      <c r="G16771" s="6">
        <v>481</v>
      </c>
      <c r="H16771" s="5">
        <v>13393</v>
      </c>
    </row>
    <row r="16772" spans="2:8" ht="15" customHeight="1" x14ac:dyDescent="0.4">
      <c r="B16772" s="3" t="s">
        <v>7</v>
      </c>
      <c r="C16772" s="3" t="s">
        <v>2643</v>
      </c>
      <c r="D16772" s="4">
        <f>DATE(2010,4,6)</f>
        <v>40274</v>
      </c>
      <c r="E16772" s="5">
        <f t="shared" si="275"/>
        <v>2010</v>
      </c>
      <c r="F16772" s="3" t="s">
        <v>2644</v>
      </c>
      <c r="G16772" s="6">
        <v>1876</v>
      </c>
      <c r="H16772" s="5">
        <v>13836</v>
      </c>
    </row>
    <row r="16773" spans="2:8" ht="15" customHeight="1" x14ac:dyDescent="0.4">
      <c r="B16773" s="3" t="s">
        <v>7</v>
      </c>
      <c r="C16773" s="3" t="s">
        <v>2643</v>
      </c>
      <c r="D16773" s="4">
        <f>DATE(2010,7,22)</f>
        <v>40381</v>
      </c>
      <c r="E16773" s="5">
        <f t="shared" si="275"/>
        <v>2010</v>
      </c>
      <c r="F16773" s="3" t="s">
        <v>2644</v>
      </c>
      <c r="G16773" s="6">
        <v>481</v>
      </c>
      <c r="H16773" s="5">
        <v>14284</v>
      </c>
    </row>
    <row r="16774" spans="2:8" ht="15" customHeight="1" x14ac:dyDescent="0.4">
      <c r="B16774" s="3" t="s">
        <v>7</v>
      </c>
      <c r="C16774" s="3" t="s">
        <v>2643</v>
      </c>
      <c r="D16774" s="4">
        <f>DATE(2013,1,31)</f>
        <v>41305</v>
      </c>
      <c r="E16774" s="5">
        <f t="shared" si="275"/>
        <v>2013</v>
      </c>
      <c r="F16774" s="3" t="s">
        <v>2644</v>
      </c>
      <c r="G16774" s="6">
        <v>484</v>
      </c>
      <c r="H16774" s="5">
        <v>18056</v>
      </c>
    </row>
    <row r="16775" spans="2:8" ht="15" customHeight="1" x14ac:dyDescent="0.4">
      <c r="B16775" s="3" t="s">
        <v>7</v>
      </c>
      <c r="C16775" s="3" t="s">
        <v>2643</v>
      </c>
      <c r="D16775" s="4">
        <f>DATE(2013,3,8)</f>
        <v>41341</v>
      </c>
      <c r="E16775" s="5">
        <f t="shared" si="275"/>
        <v>2013</v>
      </c>
      <c r="F16775" s="3" t="s">
        <v>2644</v>
      </c>
      <c r="G16775" s="6">
        <v>125.78</v>
      </c>
      <c r="H16775" s="5">
        <v>18283</v>
      </c>
    </row>
    <row r="16776" spans="2:8" ht="15" customHeight="1" x14ac:dyDescent="0.4">
      <c r="B16776" s="3" t="s">
        <v>7</v>
      </c>
      <c r="C16776" s="3" t="s">
        <v>2643</v>
      </c>
      <c r="D16776" s="4">
        <f>DATE(2013,9,30)</f>
        <v>41547</v>
      </c>
      <c r="E16776" s="5">
        <f t="shared" si="275"/>
        <v>2013</v>
      </c>
      <c r="F16776" s="3" t="s">
        <v>2644</v>
      </c>
      <c r="G16776" s="6">
        <v>484</v>
      </c>
      <c r="H16776" s="5">
        <v>19010</v>
      </c>
    </row>
    <row r="16777" spans="2:8" ht="15" customHeight="1" x14ac:dyDescent="0.4">
      <c r="B16777" s="3" t="s">
        <v>7</v>
      </c>
      <c r="C16777" s="3" t="s">
        <v>2645</v>
      </c>
      <c r="D16777" s="4">
        <f>DATE(2011,5,23)</f>
        <v>40686</v>
      </c>
      <c r="E16777" s="5">
        <f t="shared" si="275"/>
        <v>2011</v>
      </c>
      <c r="F16777" s="3" t="s">
        <v>2646</v>
      </c>
      <c r="G16777" s="6">
        <v>18613.740000000002</v>
      </c>
      <c r="H16777" s="5">
        <v>4395</v>
      </c>
    </row>
    <row r="16778" spans="2:8" ht="15" customHeight="1" x14ac:dyDescent="0.4">
      <c r="B16778" s="3" t="s">
        <v>7</v>
      </c>
      <c r="C16778" s="3" t="s">
        <v>2647</v>
      </c>
      <c r="D16778" s="4">
        <f>DATE(2013,9,16)</f>
        <v>41533</v>
      </c>
      <c r="E16778" s="5">
        <f t="shared" si="275"/>
        <v>2013</v>
      </c>
      <c r="F16778" s="3" t="s">
        <v>2648</v>
      </c>
      <c r="G16778" s="6">
        <v>3578.58</v>
      </c>
      <c r="H16778" s="5">
        <v>5710</v>
      </c>
    </row>
    <row r="16779" spans="2:8" ht="15" customHeight="1" x14ac:dyDescent="0.4">
      <c r="B16779" s="3" t="s">
        <v>7</v>
      </c>
      <c r="C16779" s="3" t="s">
        <v>2647</v>
      </c>
      <c r="D16779" s="4">
        <f>DATE(2013,9,16)</f>
        <v>41533</v>
      </c>
      <c r="E16779" s="5">
        <f t="shared" si="275"/>
        <v>2013</v>
      </c>
      <c r="F16779" s="3" t="s">
        <v>2648</v>
      </c>
      <c r="G16779" s="6">
        <v>4317.8900000000003</v>
      </c>
      <c r="H16779" s="5">
        <v>5728</v>
      </c>
    </row>
    <row r="16780" spans="2:8" ht="15" customHeight="1" x14ac:dyDescent="0.4">
      <c r="B16780" s="3" t="s">
        <v>7</v>
      </c>
      <c r="C16780" s="3" t="s">
        <v>2647</v>
      </c>
      <c r="D16780" s="4">
        <f>DATE(2013,9,16)</f>
        <v>41533</v>
      </c>
      <c r="E16780" s="5">
        <f t="shared" si="275"/>
        <v>2013</v>
      </c>
      <c r="F16780" s="3" t="s">
        <v>2648</v>
      </c>
      <c r="G16780" s="6">
        <v>19796.62</v>
      </c>
      <c r="H16780" s="5">
        <v>5709</v>
      </c>
    </row>
    <row r="16781" spans="2:8" ht="15" customHeight="1" x14ac:dyDescent="0.4">
      <c r="B16781" t="s">
        <v>7</v>
      </c>
      <c r="C16781" t="s">
        <v>2649</v>
      </c>
      <c r="D16781" s="7">
        <f>DATE(2015,6,3)</f>
        <v>42158</v>
      </c>
      <c r="E16781" s="8">
        <f t="shared" si="275"/>
        <v>2015</v>
      </c>
      <c r="F16781" t="s">
        <v>2650</v>
      </c>
      <c r="G16781" s="9">
        <v>20575.509999999998</v>
      </c>
      <c r="H16781" s="8">
        <v>20453</v>
      </c>
    </row>
    <row r="16782" spans="2:8" ht="15" customHeight="1" x14ac:dyDescent="0.4">
      <c r="B16782" t="s">
        <v>7</v>
      </c>
      <c r="C16782" t="s">
        <v>2649</v>
      </c>
      <c r="D16782" s="7">
        <f>DATE(2015,6,3)</f>
        <v>42158</v>
      </c>
      <c r="E16782" s="8">
        <f t="shared" si="275"/>
        <v>2015</v>
      </c>
      <c r="F16782" t="s">
        <v>2650</v>
      </c>
      <c r="G16782" s="9">
        <v>41367.75</v>
      </c>
      <c r="H16782" s="8">
        <v>20626</v>
      </c>
    </row>
    <row r="16783" spans="2:8" ht="15" customHeight="1" x14ac:dyDescent="0.4">
      <c r="B16783" s="3" t="s">
        <v>7</v>
      </c>
      <c r="C16783" s="3" t="s">
        <v>2651</v>
      </c>
      <c r="D16783" s="4">
        <f>DATE(2004,4,2)</f>
        <v>38079</v>
      </c>
      <c r="E16783" s="5">
        <f t="shared" si="275"/>
        <v>2004</v>
      </c>
      <c r="F16783" s="3" t="s">
        <v>2652</v>
      </c>
      <c r="G16783" s="6">
        <v>12091.67</v>
      </c>
      <c r="H16783" s="5">
        <v>1773</v>
      </c>
    </row>
    <row r="16784" spans="2:8" ht="15" customHeight="1" x14ac:dyDescent="0.4">
      <c r="B16784" t="s">
        <v>7</v>
      </c>
      <c r="C16784" t="s">
        <v>2653</v>
      </c>
      <c r="D16784" s="7">
        <f>DATE(2017,11,13)</f>
        <v>43052</v>
      </c>
      <c r="E16784" s="8">
        <f t="shared" si="275"/>
        <v>2017</v>
      </c>
      <c r="F16784" t="s">
        <v>2654</v>
      </c>
      <c r="G16784" s="9">
        <v>10138</v>
      </c>
      <c r="H16784" s="8">
        <v>25850</v>
      </c>
    </row>
    <row r="16785" spans="2:8" ht="15" customHeight="1" x14ac:dyDescent="0.4">
      <c r="B16785" t="s">
        <v>7</v>
      </c>
      <c r="C16785" t="s">
        <v>2655</v>
      </c>
      <c r="D16785" s="7">
        <f>DATE(2011,9,13)</f>
        <v>40799</v>
      </c>
      <c r="E16785" s="8">
        <f t="shared" si="275"/>
        <v>2011</v>
      </c>
      <c r="F16785" t="s">
        <v>2656</v>
      </c>
      <c r="G16785" s="9">
        <v>6755.01</v>
      </c>
      <c r="H16785" s="8">
        <v>11019</v>
      </c>
    </row>
    <row r="16786" spans="2:8" ht="15" customHeight="1" x14ac:dyDescent="0.4">
      <c r="B16786" t="s">
        <v>16</v>
      </c>
      <c r="C16786" t="s">
        <v>2655</v>
      </c>
      <c r="D16786" s="7">
        <f>DATE(2012,3,1)</f>
        <v>40969</v>
      </c>
      <c r="E16786" s="8">
        <f t="shared" si="275"/>
        <v>2012</v>
      </c>
      <c r="F16786" t="s">
        <v>2657</v>
      </c>
      <c r="G16786" s="9">
        <v>4728.51</v>
      </c>
      <c r="H16786" s="8">
        <v>11510</v>
      </c>
    </row>
    <row r="16787" spans="2:8" ht="15" customHeight="1" x14ac:dyDescent="0.4">
      <c r="B16787" t="s">
        <v>7</v>
      </c>
      <c r="C16787" t="s">
        <v>2658</v>
      </c>
      <c r="D16787" s="7">
        <f>DATE(2017,4,6)</f>
        <v>42831</v>
      </c>
      <c r="E16787" s="8">
        <f t="shared" si="275"/>
        <v>2017</v>
      </c>
      <c r="F16787" t="s">
        <v>2659</v>
      </c>
      <c r="G16787" s="9">
        <v>9970.51</v>
      </c>
      <c r="H16787" s="8">
        <v>24407</v>
      </c>
    </row>
    <row r="16788" spans="2:8" ht="15" customHeight="1" x14ac:dyDescent="0.4">
      <c r="B16788" t="s">
        <v>7</v>
      </c>
      <c r="C16788" t="s">
        <v>2658</v>
      </c>
      <c r="D16788" s="7">
        <f>DATE(2017,4,6)</f>
        <v>42831</v>
      </c>
      <c r="E16788" s="8">
        <f t="shared" si="275"/>
        <v>2017</v>
      </c>
      <c r="F16788" t="s">
        <v>2659</v>
      </c>
      <c r="G16788" s="9">
        <v>4100</v>
      </c>
      <c r="H16788" s="8">
        <v>24406</v>
      </c>
    </row>
    <row r="16789" spans="2:8" ht="15" customHeight="1" x14ac:dyDescent="0.4">
      <c r="B16789" t="s">
        <v>7</v>
      </c>
      <c r="C16789" t="s">
        <v>2658</v>
      </c>
      <c r="D16789" s="7">
        <f>DATE(2008,8,28)</f>
        <v>39688</v>
      </c>
      <c r="E16789" s="8">
        <f t="shared" si="275"/>
        <v>2008</v>
      </c>
      <c r="F16789" t="s">
        <v>2659</v>
      </c>
      <c r="G16789" s="9">
        <v>8343</v>
      </c>
      <c r="H16789" s="8">
        <v>7732</v>
      </c>
    </row>
    <row r="16790" spans="2:8" ht="15" customHeight="1" x14ac:dyDescent="0.4">
      <c r="B16790" t="s">
        <v>7</v>
      </c>
      <c r="C16790" t="s">
        <v>2660</v>
      </c>
      <c r="D16790" s="7">
        <f>DATE(2015,11,12)</f>
        <v>42320</v>
      </c>
      <c r="E16790" s="8">
        <f t="shared" si="275"/>
        <v>2015</v>
      </c>
      <c r="F16790" t="s">
        <v>2661</v>
      </c>
      <c r="G16790" s="9">
        <v>46623.360000000001</v>
      </c>
      <c r="H16790" s="8">
        <v>21309</v>
      </c>
    </row>
    <row r="16791" spans="2:8" ht="15" customHeight="1" x14ac:dyDescent="0.4">
      <c r="B16791" s="3" t="s">
        <v>7</v>
      </c>
      <c r="C16791" s="3" t="s">
        <v>2662</v>
      </c>
      <c r="D16791" s="4">
        <f>DATE(2011,4,4)</f>
        <v>40637</v>
      </c>
      <c r="E16791" s="5">
        <f t="shared" si="275"/>
        <v>2011</v>
      </c>
      <c r="F16791" s="3" t="s">
        <v>2663</v>
      </c>
      <c r="G16791" s="6">
        <v>1377.07</v>
      </c>
      <c r="H16791" s="5">
        <v>15377</v>
      </c>
    </row>
    <row r="16792" spans="2:8" ht="15" customHeight="1" x14ac:dyDescent="0.4">
      <c r="B16792" s="3" t="s">
        <v>7</v>
      </c>
      <c r="C16792" s="3" t="s">
        <v>2662</v>
      </c>
      <c r="D16792" s="4">
        <f>DATE(2011,4,29)</f>
        <v>40662</v>
      </c>
      <c r="E16792" s="5">
        <f t="shared" si="275"/>
        <v>2011</v>
      </c>
      <c r="F16792" s="3" t="s">
        <v>2663</v>
      </c>
      <c r="G16792" s="6">
        <v>1497.74</v>
      </c>
      <c r="H16792" s="5">
        <v>15448</v>
      </c>
    </row>
    <row r="16793" spans="2:8" ht="15" customHeight="1" x14ac:dyDescent="0.4">
      <c r="B16793" s="3" t="s">
        <v>7</v>
      </c>
      <c r="C16793" s="3" t="s">
        <v>2664</v>
      </c>
      <c r="D16793" s="4">
        <f>DATE(2013,12,9)</f>
        <v>41617</v>
      </c>
      <c r="E16793" s="5">
        <f t="shared" si="275"/>
        <v>2013</v>
      </c>
      <c r="F16793" s="3" t="s">
        <v>2665</v>
      </c>
      <c r="G16793" s="6">
        <v>12200</v>
      </c>
      <c r="H16793" s="5">
        <v>5553</v>
      </c>
    </row>
    <row r="16794" spans="2:8" ht="15" customHeight="1" x14ac:dyDescent="0.4">
      <c r="B16794" s="3" t="s">
        <v>7</v>
      </c>
      <c r="C16794" s="3" t="s">
        <v>2666</v>
      </c>
      <c r="D16794" s="4">
        <f>DATE(2005,8,24)</f>
        <v>38588</v>
      </c>
      <c r="E16794" s="5">
        <f t="shared" si="275"/>
        <v>2005</v>
      </c>
      <c r="F16794" s="3" t="s">
        <v>2667</v>
      </c>
      <c r="G16794" s="6">
        <v>8036.23</v>
      </c>
      <c r="H16794" s="5">
        <v>1196</v>
      </c>
    </row>
    <row r="16795" spans="2:8" ht="15" customHeight="1" x14ac:dyDescent="0.4">
      <c r="B16795" t="s">
        <v>7</v>
      </c>
      <c r="C16795" t="s">
        <v>2668</v>
      </c>
      <c r="D16795" s="7">
        <f>DATE(2018,2,1)</f>
        <v>43132</v>
      </c>
      <c r="E16795" s="8">
        <f t="shared" si="275"/>
        <v>2018</v>
      </c>
      <c r="F16795" t="s">
        <v>2669</v>
      </c>
      <c r="G16795" s="9">
        <v>50732.65</v>
      </c>
      <c r="H16795" s="8">
        <v>26124</v>
      </c>
    </row>
    <row r="16796" spans="2:8" ht="15" customHeight="1" x14ac:dyDescent="0.4">
      <c r="B16796" t="s">
        <v>7</v>
      </c>
      <c r="C16796" t="s">
        <v>2668</v>
      </c>
      <c r="D16796" s="7">
        <f>DATE(2018,4,20)</f>
        <v>43210</v>
      </c>
      <c r="E16796" s="8">
        <f t="shared" si="275"/>
        <v>2018</v>
      </c>
      <c r="F16796" t="s">
        <v>2669</v>
      </c>
      <c r="G16796" s="9">
        <v>11949.26</v>
      </c>
      <c r="H16796" s="8">
        <v>26808</v>
      </c>
    </row>
    <row r="16797" spans="2:8" ht="15" customHeight="1" x14ac:dyDescent="0.4">
      <c r="B16797" t="s">
        <v>7</v>
      </c>
      <c r="C16797" t="s">
        <v>2668</v>
      </c>
      <c r="D16797" s="7">
        <f>DATE(2019,1,31)</f>
        <v>43496</v>
      </c>
      <c r="E16797" s="8">
        <f t="shared" si="275"/>
        <v>2019</v>
      </c>
      <c r="F16797" t="s">
        <v>2669</v>
      </c>
      <c r="G16797" s="9">
        <v>23729.05</v>
      </c>
      <c r="H16797" s="8">
        <v>28293</v>
      </c>
    </row>
    <row r="16798" spans="2:8" ht="15" customHeight="1" x14ac:dyDescent="0.4">
      <c r="B16798" t="s">
        <v>7</v>
      </c>
      <c r="C16798" t="s">
        <v>1052</v>
      </c>
      <c r="D16798" s="7">
        <f>DATE(2016,6,22)</f>
        <v>42543</v>
      </c>
      <c r="E16798" s="8">
        <f t="shared" si="275"/>
        <v>2016</v>
      </c>
      <c r="F16798" t="s">
        <v>2670</v>
      </c>
      <c r="G16798" s="9">
        <v>378426.52</v>
      </c>
      <c r="H16798" s="8">
        <v>21191</v>
      </c>
    </row>
    <row r="16799" spans="2:8" ht="15" customHeight="1" x14ac:dyDescent="0.4">
      <c r="B16799" t="s">
        <v>7</v>
      </c>
      <c r="C16799" t="s">
        <v>776</v>
      </c>
      <c r="D16799" s="7">
        <f>DATE(2018,4,6)</f>
        <v>43196</v>
      </c>
      <c r="E16799" s="8">
        <f t="shared" si="275"/>
        <v>2018</v>
      </c>
      <c r="F16799" t="s">
        <v>2671</v>
      </c>
      <c r="G16799" s="9">
        <v>12623.16</v>
      </c>
      <c r="H16799" s="8">
        <v>26200</v>
      </c>
    </row>
    <row r="16800" spans="2:8" ht="15" customHeight="1" x14ac:dyDescent="0.4">
      <c r="B16800" t="s">
        <v>7</v>
      </c>
      <c r="C16800" t="s">
        <v>776</v>
      </c>
      <c r="D16800" s="7">
        <f>DATE(2018,2,1)</f>
        <v>43132</v>
      </c>
      <c r="E16800" s="8">
        <f t="shared" si="275"/>
        <v>2018</v>
      </c>
      <c r="F16800" t="s">
        <v>2671</v>
      </c>
      <c r="G16800" s="9">
        <v>21321.39</v>
      </c>
      <c r="H16800" s="8">
        <v>26190</v>
      </c>
    </row>
    <row r="16801" spans="2:8" ht="15" customHeight="1" x14ac:dyDescent="0.4">
      <c r="B16801" t="s">
        <v>7</v>
      </c>
      <c r="C16801" t="s">
        <v>776</v>
      </c>
      <c r="D16801" s="7">
        <f>DATE(2018,3,1)</f>
        <v>43160</v>
      </c>
      <c r="E16801" s="8">
        <f t="shared" si="275"/>
        <v>2018</v>
      </c>
      <c r="F16801" t="s">
        <v>2671</v>
      </c>
      <c r="G16801" s="9">
        <v>22130.880000000001</v>
      </c>
      <c r="H16801" s="8">
        <v>26522</v>
      </c>
    </row>
    <row r="16802" spans="2:8" ht="15" customHeight="1" x14ac:dyDescent="0.4">
      <c r="B16802" t="s">
        <v>7</v>
      </c>
      <c r="C16802" t="s">
        <v>776</v>
      </c>
      <c r="D16802" s="7">
        <f>DATE(2018,4,6)</f>
        <v>43196</v>
      </c>
      <c r="E16802" s="8">
        <f t="shared" si="275"/>
        <v>2018</v>
      </c>
      <c r="F16802" t="s">
        <v>2671</v>
      </c>
      <c r="G16802" s="9">
        <v>167284.71</v>
      </c>
      <c r="H16802" s="8">
        <v>26253</v>
      </c>
    </row>
    <row r="16803" spans="2:8" ht="15" customHeight="1" x14ac:dyDescent="0.4">
      <c r="B16803" t="s">
        <v>7</v>
      </c>
      <c r="C16803" t="s">
        <v>776</v>
      </c>
      <c r="D16803" s="7">
        <f>DATE(2017,10,23)</f>
        <v>43031</v>
      </c>
      <c r="E16803" s="8">
        <f t="shared" si="275"/>
        <v>2017</v>
      </c>
      <c r="F16803" t="s">
        <v>2672</v>
      </c>
      <c r="G16803" s="9">
        <v>2956.94</v>
      </c>
      <c r="H16803" s="8">
        <v>25752</v>
      </c>
    </row>
    <row r="16804" spans="2:8" ht="15" customHeight="1" x14ac:dyDescent="0.4">
      <c r="B16804" t="s">
        <v>7</v>
      </c>
      <c r="C16804" t="s">
        <v>776</v>
      </c>
      <c r="D16804" s="7">
        <f>DATE(2017,10,23)</f>
        <v>43031</v>
      </c>
      <c r="E16804" s="8">
        <f t="shared" si="275"/>
        <v>2017</v>
      </c>
      <c r="F16804" t="s">
        <v>2672</v>
      </c>
      <c r="G16804" s="9">
        <v>7755.61</v>
      </c>
      <c r="H16804" s="8">
        <v>25734</v>
      </c>
    </row>
    <row r="16805" spans="2:8" ht="15" customHeight="1" x14ac:dyDescent="0.4">
      <c r="B16805" t="s">
        <v>7</v>
      </c>
      <c r="C16805" t="s">
        <v>776</v>
      </c>
      <c r="D16805" s="7">
        <f>DATE(2017,11,1)</f>
        <v>43040</v>
      </c>
      <c r="E16805" s="8">
        <f t="shared" si="275"/>
        <v>2017</v>
      </c>
      <c r="F16805" t="s">
        <v>2672</v>
      </c>
      <c r="G16805" s="9">
        <v>780.75</v>
      </c>
      <c r="H16805" s="8">
        <v>25781</v>
      </c>
    </row>
    <row r="16806" spans="2:8" ht="15" customHeight="1" x14ac:dyDescent="0.4">
      <c r="B16806" t="s">
        <v>7</v>
      </c>
      <c r="C16806" t="s">
        <v>776</v>
      </c>
      <c r="D16806" s="7">
        <f>DATE(2017,10,23)</f>
        <v>43031</v>
      </c>
      <c r="E16806" s="8">
        <f t="shared" si="275"/>
        <v>2017</v>
      </c>
      <c r="F16806" t="s">
        <v>2672</v>
      </c>
      <c r="G16806" s="9">
        <v>2962.24</v>
      </c>
      <c r="H16806" s="8">
        <v>25737</v>
      </c>
    </row>
    <row r="16807" spans="2:8" ht="15" customHeight="1" x14ac:dyDescent="0.4">
      <c r="B16807" t="s">
        <v>7</v>
      </c>
      <c r="C16807" t="s">
        <v>2673</v>
      </c>
      <c r="D16807" s="7">
        <f>DATE(2018,7,9)</f>
        <v>43290</v>
      </c>
      <c r="E16807" s="8">
        <f t="shared" si="275"/>
        <v>2018</v>
      </c>
      <c r="F16807" t="s">
        <v>2674</v>
      </c>
      <c r="G16807" s="9">
        <v>188235.82</v>
      </c>
      <c r="H16807" s="8">
        <v>26769</v>
      </c>
    </row>
    <row r="16808" spans="2:8" ht="15" customHeight="1" x14ac:dyDescent="0.4">
      <c r="B16808" t="s">
        <v>7</v>
      </c>
      <c r="C16808" t="s">
        <v>2673</v>
      </c>
      <c r="D16808" s="7">
        <f>DATE(2018,7,9)</f>
        <v>43290</v>
      </c>
      <c r="E16808" s="8">
        <f t="shared" si="275"/>
        <v>2018</v>
      </c>
      <c r="F16808" t="s">
        <v>2674</v>
      </c>
      <c r="G16808" s="9">
        <v>20516.8</v>
      </c>
      <c r="H16808" s="8">
        <v>27218</v>
      </c>
    </row>
    <row r="16809" spans="2:8" ht="15" customHeight="1" x14ac:dyDescent="0.4">
      <c r="B16809" t="s">
        <v>7</v>
      </c>
      <c r="C16809" t="s">
        <v>2673</v>
      </c>
      <c r="D16809" s="7">
        <f>DATE(2018,12,12)</f>
        <v>43446</v>
      </c>
      <c r="E16809" s="8">
        <f t="shared" si="275"/>
        <v>2018</v>
      </c>
      <c r="F16809" t="s">
        <v>2674</v>
      </c>
      <c r="G16809" s="9">
        <v>155823.79</v>
      </c>
      <c r="H16809" s="8">
        <v>27532</v>
      </c>
    </row>
    <row r="16810" spans="2:8" ht="15" customHeight="1" x14ac:dyDescent="0.4">
      <c r="B16810" t="s">
        <v>7</v>
      </c>
      <c r="C16810" t="s">
        <v>2673</v>
      </c>
      <c r="D16810" s="7">
        <f>DATE(2018,11,19)</f>
        <v>43423</v>
      </c>
      <c r="E16810" s="8">
        <f t="shared" si="275"/>
        <v>2018</v>
      </c>
      <c r="F16810" t="s">
        <v>2674</v>
      </c>
      <c r="G16810" s="9">
        <v>50756.639999999999</v>
      </c>
      <c r="H16810" s="8">
        <v>27918</v>
      </c>
    </row>
    <row r="16811" spans="2:8" ht="15" customHeight="1" x14ac:dyDescent="0.4">
      <c r="B16811" t="s">
        <v>7</v>
      </c>
      <c r="C16811" t="s">
        <v>2673</v>
      </c>
      <c r="D16811" s="7">
        <f>DATE(2018,11,19)</f>
        <v>43423</v>
      </c>
      <c r="E16811" s="8">
        <f t="shared" si="275"/>
        <v>2018</v>
      </c>
      <c r="F16811" t="s">
        <v>2674</v>
      </c>
      <c r="G16811" s="9">
        <v>81134.8</v>
      </c>
      <c r="H16811" s="8">
        <v>27920</v>
      </c>
    </row>
    <row r="16812" spans="2:8" ht="15" customHeight="1" x14ac:dyDescent="0.4">
      <c r="B16812" t="s">
        <v>7</v>
      </c>
      <c r="C16812" t="s">
        <v>2673</v>
      </c>
      <c r="D16812" s="7">
        <f>DATE(2019,3,14)</f>
        <v>43538</v>
      </c>
      <c r="E16812" s="8">
        <f t="shared" si="275"/>
        <v>2019</v>
      </c>
      <c r="F16812" t="s">
        <v>2674</v>
      </c>
      <c r="G16812" s="9">
        <v>49226.69</v>
      </c>
      <c r="H16812" s="8">
        <v>28183</v>
      </c>
    </row>
    <row r="16813" spans="2:8" ht="15" customHeight="1" x14ac:dyDescent="0.4">
      <c r="B16813" t="s">
        <v>7</v>
      </c>
      <c r="C16813" t="s">
        <v>2673</v>
      </c>
      <c r="D16813" s="7">
        <f>DATE(2019,3,21)</f>
        <v>43545</v>
      </c>
      <c r="E16813" s="8">
        <f t="shared" si="275"/>
        <v>2019</v>
      </c>
      <c r="F16813" t="s">
        <v>2674</v>
      </c>
      <c r="G16813" s="9">
        <v>31540.28</v>
      </c>
      <c r="H16813" s="8">
        <v>28539</v>
      </c>
    </row>
    <row r="16814" spans="2:8" ht="15" customHeight="1" x14ac:dyDescent="0.4">
      <c r="B16814" t="s">
        <v>7</v>
      </c>
      <c r="C16814" t="s">
        <v>2675</v>
      </c>
      <c r="D16814" s="7">
        <f>DATE(2017,10,4)</f>
        <v>43012</v>
      </c>
      <c r="E16814" s="8">
        <f t="shared" si="275"/>
        <v>2017</v>
      </c>
      <c r="F16814" t="s">
        <v>2676</v>
      </c>
      <c r="G16814" s="9">
        <v>10800.62</v>
      </c>
      <c r="H16814" s="8">
        <v>25556</v>
      </c>
    </row>
    <row r="16815" spans="2:8" ht="15" customHeight="1" x14ac:dyDescent="0.4">
      <c r="B16815" t="s">
        <v>7</v>
      </c>
      <c r="C16815" t="s">
        <v>2677</v>
      </c>
      <c r="D16815" s="7">
        <f>DATE(2019,2,28)</f>
        <v>43524</v>
      </c>
      <c r="E16815" s="8">
        <f t="shared" si="275"/>
        <v>2019</v>
      </c>
      <c r="F16815" t="s">
        <v>2678</v>
      </c>
      <c r="G16815" s="9">
        <v>12177.53</v>
      </c>
      <c r="H16815" s="8">
        <v>28261</v>
      </c>
    </row>
    <row r="16816" spans="2:8" ht="15" customHeight="1" x14ac:dyDescent="0.4">
      <c r="B16816" t="s">
        <v>7</v>
      </c>
      <c r="C16816" t="s">
        <v>2677</v>
      </c>
      <c r="D16816" s="7">
        <f>DATE(2019,3,27)</f>
        <v>43551</v>
      </c>
      <c r="E16816" s="8">
        <f t="shared" si="275"/>
        <v>2019</v>
      </c>
      <c r="F16816" t="s">
        <v>2678</v>
      </c>
      <c r="G16816" s="9">
        <v>17324.32</v>
      </c>
      <c r="H16816" s="8">
        <v>28677</v>
      </c>
    </row>
    <row r="16817" spans="2:8" ht="15" customHeight="1" x14ac:dyDescent="0.4">
      <c r="B16817" t="s">
        <v>7</v>
      </c>
      <c r="C16817" t="s">
        <v>2668</v>
      </c>
      <c r="D16817" s="7">
        <f>DATE(2015,4,6)</f>
        <v>42100</v>
      </c>
      <c r="E16817" s="8">
        <f t="shared" si="275"/>
        <v>2015</v>
      </c>
      <c r="F16817" t="s">
        <v>2679</v>
      </c>
      <c r="G16817" s="9">
        <v>24545.06</v>
      </c>
      <c r="H16817" s="8">
        <v>20016</v>
      </c>
    </row>
    <row r="16818" spans="2:8" ht="15" customHeight="1" x14ac:dyDescent="0.4">
      <c r="B16818" t="s">
        <v>7</v>
      </c>
      <c r="C16818" t="s">
        <v>2668</v>
      </c>
      <c r="D16818" s="7">
        <f>DATE(2015,4,16)</f>
        <v>42110</v>
      </c>
      <c r="E16818" s="8">
        <f t="shared" si="275"/>
        <v>2015</v>
      </c>
      <c r="F16818" t="s">
        <v>2679</v>
      </c>
      <c r="G16818" s="9">
        <v>4847.63</v>
      </c>
      <c r="H16818" s="8">
        <v>20280</v>
      </c>
    </row>
    <row r="16819" spans="2:8" ht="15" customHeight="1" x14ac:dyDescent="0.4">
      <c r="B16819" t="s">
        <v>7</v>
      </c>
      <c r="C16819" t="s">
        <v>2668</v>
      </c>
      <c r="D16819" s="7">
        <f>DATE(2015,11,9)</f>
        <v>42317</v>
      </c>
      <c r="E16819" s="8">
        <f t="shared" si="275"/>
        <v>2015</v>
      </c>
      <c r="F16819" t="s">
        <v>2679</v>
      </c>
      <c r="G16819" s="9">
        <v>41349.56</v>
      </c>
      <c r="H16819" s="8">
        <v>21323</v>
      </c>
    </row>
    <row r="16820" spans="2:8" ht="15" customHeight="1" x14ac:dyDescent="0.4">
      <c r="B16820" t="s">
        <v>7</v>
      </c>
      <c r="C16820" t="s">
        <v>2668</v>
      </c>
      <c r="D16820" s="7">
        <f>DATE(2016,8,30)</f>
        <v>42612</v>
      </c>
      <c r="E16820" s="8">
        <f t="shared" si="275"/>
        <v>2016</v>
      </c>
      <c r="F16820" t="s">
        <v>2679</v>
      </c>
      <c r="G16820" s="9">
        <v>6000</v>
      </c>
      <c r="H16820" s="8">
        <v>23237</v>
      </c>
    </row>
    <row r="16821" spans="2:8" ht="15" customHeight="1" x14ac:dyDescent="0.4">
      <c r="B16821" t="s">
        <v>7</v>
      </c>
      <c r="C16821" t="s">
        <v>2668</v>
      </c>
      <c r="D16821" s="7">
        <f t="shared" ref="D16821:D16829" si="276">DATE(2016,8,31)</f>
        <v>42613</v>
      </c>
      <c r="E16821" s="8">
        <f t="shared" si="275"/>
        <v>2016</v>
      </c>
      <c r="F16821" t="s">
        <v>2679</v>
      </c>
      <c r="G16821" s="9">
        <v>7988.83</v>
      </c>
      <c r="H16821" s="8">
        <v>23386</v>
      </c>
    </row>
    <row r="16822" spans="2:8" ht="15" customHeight="1" x14ac:dyDescent="0.4">
      <c r="B16822" t="s">
        <v>7</v>
      </c>
      <c r="C16822" t="s">
        <v>2668</v>
      </c>
      <c r="D16822" s="7">
        <f t="shared" si="276"/>
        <v>42613</v>
      </c>
      <c r="E16822" s="8">
        <f t="shared" si="275"/>
        <v>2016</v>
      </c>
      <c r="F16822" t="s">
        <v>2679</v>
      </c>
      <c r="G16822" s="9">
        <v>33955.06</v>
      </c>
      <c r="H16822" s="8">
        <v>23387</v>
      </c>
    </row>
    <row r="16823" spans="2:8" ht="15" customHeight="1" x14ac:dyDescent="0.4">
      <c r="B16823" t="s">
        <v>7</v>
      </c>
      <c r="C16823" t="s">
        <v>2668</v>
      </c>
      <c r="D16823" s="7">
        <f t="shared" si="276"/>
        <v>42613</v>
      </c>
      <c r="E16823" s="8">
        <f t="shared" si="275"/>
        <v>2016</v>
      </c>
      <c r="F16823" t="s">
        <v>2679</v>
      </c>
      <c r="G16823" s="9">
        <v>4244.21</v>
      </c>
      <c r="H16823" s="8">
        <v>23388</v>
      </c>
    </row>
    <row r="16824" spans="2:8" ht="15" customHeight="1" x14ac:dyDescent="0.4">
      <c r="B16824" t="s">
        <v>7</v>
      </c>
      <c r="C16824" t="s">
        <v>2668</v>
      </c>
      <c r="D16824" s="7">
        <f t="shared" si="276"/>
        <v>42613</v>
      </c>
      <c r="E16824" s="8">
        <f t="shared" si="275"/>
        <v>2016</v>
      </c>
      <c r="F16824" t="s">
        <v>2679</v>
      </c>
      <c r="G16824" s="9">
        <v>10571.56</v>
      </c>
      <c r="H16824" s="8">
        <v>23394</v>
      </c>
    </row>
    <row r="16825" spans="2:8" ht="15" customHeight="1" x14ac:dyDescent="0.4">
      <c r="B16825" t="s">
        <v>7</v>
      </c>
      <c r="C16825" t="s">
        <v>2668</v>
      </c>
      <c r="D16825" s="7">
        <f t="shared" si="276"/>
        <v>42613</v>
      </c>
      <c r="E16825" s="8">
        <f t="shared" si="275"/>
        <v>2016</v>
      </c>
      <c r="F16825" t="s">
        <v>2679</v>
      </c>
      <c r="G16825" s="9">
        <v>32174.29</v>
      </c>
      <c r="H16825" s="8">
        <v>23395</v>
      </c>
    </row>
    <row r="16826" spans="2:8" ht="15" customHeight="1" x14ac:dyDescent="0.4">
      <c r="B16826" t="s">
        <v>7</v>
      </c>
      <c r="C16826" t="s">
        <v>2668</v>
      </c>
      <c r="D16826" s="7">
        <f t="shared" si="276"/>
        <v>42613</v>
      </c>
      <c r="E16826" s="8">
        <f t="shared" si="275"/>
        <v>2016</v>
      </c>
      <c r="F16826" t="s">
        <v>2679</v>
      </c>
      <c r="G16826" s="9">
        <v>150185.22</v>
      </c>
      <c r="H16826" s="8">
        <v>23398</v>
      </c>
    </row>
    <row r="16827" spans="2:8" ht="15" customHeight="1" x14ac:dyDescent="0.4">
      <c r="B16827" t="s">
        <v>7</v>
      </c>
      <c r="C16827" t="s">
        <v>2668</v>
      </c>
      <c r="D16827" s="7">
        <f t="shared" si="276"/>
        <v>42613</v>
      </c>
      <c r="E16827" s="8">
        <f t="shared" si="275"/>
        <v>2016</v>
      </c>
      <c r="F16827" t="s">
        <v>2679</v>
      </c>
      <c r="G16827" s="9">
        <v>318581.98</v>
      </c>
      <c r="H16827" s="8">
        <v>23389</v>
      </c>
    </row>
    <row r="16828" spans="2:8" ht="15" customHeight="1" x14ac:dyDescent="0.4">
      <c r="B16828" t="s">
        <v>7</v>
      </c>
      <c r="C16828" t="s">
        <v>2668</v>
      </c>
      <c r="D16828" s="7">
        <f t="shared" si="276"/>
        <v>42613</v>
      </c>
      <c r="E16828" s="8">
        <f t="shared" si="275"/>
        <v>2016</v>
      </c>
      <c r="F16828" t="s">
        <v>2679</v>
      </c>
      <c r="G16828" s="9">
        <v>110869.06</v>
      </c>
      <c r="H16828" s="8">
        <v>23399</v>
      </c>
    </row>
    <row r="16829" spans="2:8" ht="15" customHeight="1" x14ac:dyDescent="0.4">
      <c r="B16829" t="s">
        <v>7</v>
      </c>
      <c r="C16829" t="s">
        <v>2668</v>
      </c>
      <c r="D16829" s="7">
        <f t="shared" si="276"/>
        <v>42613</v>
      </c>
      <c r="E16829" s="8">
        <f t="shared" si="275"/>
        <v>2016</v>
      </c>
      <c r="F16829" t="s">
        <v>2679</v>
      </c>
      <c r="G16829" s="9">
        <v>322892.69</v>
      </c>
      <c r="H16829" s="8">
        <v>23032</v>
      </c>
    </row>
    <row r="16830" spans="2:8" ht="15" customHeight="1" x14ac:dyDescent="0.4">
      <c r="B16830" t="s">
        <v>7</v>
      </c>
      <c r="C16830" t="s">
        <v>2668</v>
      </c>
      <c r="D16830" s="7">
        <f>DATE(2017,3,27)</f>
        <v>42821</v>
      </c>
      <c r="E16830" s="8">
        <f t="shared" si="275"/>
        <v>2017</v>
      </c>
      <c r="F16830" t="s">
        <v>2679</v>
      </c>
      <c r="G16830" s="9">
        <v>53529.22</v>
      </c>
      <c r="H16830" s="8">
        <v>24191</v>
      </c>
    </row>
    <row r="16831" spans="2:8" ht="15" customHeight="1" x14ac:dyDescent="0.4">
      <c r="B16831" s="3" t="s">
        <v>7</v>
      </c>
      <c r="C16831" s="3" t="s">
        <v>2668</v>
      </c>
      <c r="D16831" s="4">
        <f>DATE(2014,12,17)</f>
        <v>41990</v>
      </c>
      <c r="E16831" s="5">
        <f t="shared" si="275"/>
        <v>2014</v>
      </c>
      <c r="F16831" s="3" t="s">
        <v>2679</v>
      </c>
      <c r="G16831" s="6">
        <v>20295.93</v>
      </c>
      <c r="H16831" s="5">
        <v>6478</v>
      </c>
    </row>
    <row r="16832" spans="2:8" ht="15" customHeight="1" x14ac:dyDescent="0.4">
      <c r="B16832" t="s">
        <v>7</v>
      </c>
      <c r="C16832" t="s">
        <v>776</v>
      </c>
      <c r="D16832" s="7">
        <f>DATE(2016,10,12)</f>
        <v>42655</v>
      </c>
      <c r="E16832" s="8">
        <f t="shared" si="275"/>
        <v>2016</v>
      </c>
      <c r="F16832" t="s">
        <v>2680</v>
      </c>
      <c r="G16832" s="9">
        <v>24486.73</v>
      </c>
      <c r="H16832" s="8">
        <v>23619</v>
      </c>
    </row>
    <row r="16833" spans="2:8" ht="15" customHeight="1" x14ac:dyDescent="0.4">
      <c r="B16833" t="s">
        <v>16</v>
      </c>
      <c r="C16833" t="s">
        <v>776</v>
      </c>
      <c r="D16833" s="7">
        <f>DATE(2017,1,12)</f>
        <v>42747</v>
      </c>
      <c r="E16833" s="8">
        <f t="shared" si="275"/>
        <v>2017</v>
      </c>
      <c r="F16833" t="s">
        <v>2680</v>
      </c>
      <c r="G16833" s="9">
        <v>51.75</v>
      </c>
      <c r="H16833" s="8">
        <v>24139</v>
      </c>
    </row>
    <row r="16834" spans="2:8" ht="15" customHeight="1" x14ac:dyDescent="0.4">
      <c r="B16834" t="s">
        <v>7</v>
      </c>
      <c r="C16834" t="s">
        <v>771</v>
      </c>
      <c r="D16834" s="7">
        <f>DATE(2015,2,6)</f>
        <v>42041</v>
      </c>
      <c r="E16834" s="8">
        <f t="shared" si="275"/>
        <v>2015</v>
      </c>
      <c r="F16834" t="s">
        <v>2681</v>
      </c>
      <c r="G16834" s="9">
        <v>14242.64</v>
      </c>
      <c r="H16834" s="8">
        <v>124</v>
      </c>
    </row>
    <row r="16835" spans="2:8" ht="15" customHeight="1" x14ac:dyDescent="0.4">
      <c r="B16835" t="s">
        <v>7</v>
      </c>
      <c r="C16835" t="s">
        <v>771</v>
      </c>
      <c r="D16835" s="7">
        <f>DATE(2015,2,6)</f>
        <v>42041</v>
      </c>
      <c r="E16835" s="8">
        <f t="shared" ref="E16835:E16898" si="277">YEAR(D16835)</f>
        <v>2015</v>
      </c>
      <c r="F16835" t="s">
        <v>2681</v>
      </c>
      <c r="G16835" s="9">
        <v>15174.45</v>
      </c>
      <c r="H16835" s="8">
        <v>125</v>
      </c>
    </row>
    <row r="16836" spans="2:8" ht="15" customHeight="1" x14ac:dyDescent="0.4">
      <c r="B16836" t="s">
        <v>7</v>
      </c>
      <c r="C16836" t="s">
        <v>771</v>
      </c>
      <c r="D16836" s="7">
        <f>DATE(2015,2,13)</f>
        <v>42048</v>
      </c>
      <c r="E16836" s="8">
        <f t="shared" si="277"/>
        <v>2015</v>
      </c>
      <c r="F16836" t="s">
        <v>2681</v>
      </c>
      <c r="G16836" s="9">
        <v>4465.16</v>
      </c>
      <c r="H16836" s="8">
        <v>322</v>
      </c>
    </row>
    <row r="16837" spans="2:8" ht="15" customHeight="1" x14ac:dyDescent="0.4">
      <c r="B16837" t="s">
        <v>7</v>
      </c>
      <c r="C16837" t="s">
        <v>771</v>
      </c>
      <c r="D16837" s="7">
        <f>DATE(2015,6,10)</f>
        <v>42165</v>
      </c>
      <c r="E16837" s="8">
        <f t="shared" si="277"/>
        <v>2015</v>
      </c>
      <c r="F16837" t="s">
        <v>2681</v>
      </c>
      <c r="G16837" s="9">
        <v>274394.88</v>
      </c>
      <c r="H16837" s="8">
        <v>84</v>
      </c>
    </row>
    <row r="16838" spans="2:8" ht="15" customHeight="1" x14ac:dyDescent="0.4">
      <c r="B16838" t="s">
        <v>7</v>
      </c>
      <c r="C16838" t="s">
        <v>771</v>
      </c>
      <c r="D16838" s="7">
        <f>DATE(2017,2,14)</f>
        <v>42780</v>
      </c>
      <c r="E16838" s="8">
        <f t="shared" si="277"/>
        <v>2017</v>
      </c>
      <c r="F16838" t="s">
        <v>2681</v>
      </c>
      <c r="G16838" s="9">
        <v>5548.38</v>
      </c>
      <c r="H16838" s="8">
        <v>24214</v>
      </c>
    </row>
    <row r="16839" spans="2:8" ht="15" customHeight="1" x14ac:dyDescent="0.4">
      <c r="B16839" t="s">
        <v>7</v>
      </c>
      <c r="C16839" t="s">
        <v>771</v>
      </c>
      <c r="D16839" s="7">
        <f>DATE(2017,3,31)</f>
        <v>42825</v>
      </c>
      <c r="E16839" s="8">
        <f t="shared" si="277"/>
        <v>2017</v>
      </c>
      <c r="F16839" t="s">
        <v>2681</v>
      </c>
      <c r="G16839" s="9">
        <v>6735.69</v>
      </c>
      <c r="H16839" s="8">
        <v>24542</v>
      </c>
    </row>
    <row r="16840" spans="2:8" ht="15" customHeight="1" x14ac:dyDescent="0.4">
      <c r="B16840" t="s">
        <v>7</v>
      </c>
      <c r="C16840" t="s">
        <v>2673</v>
      </c>
      <c r="D16840" s="7">
        <f>DATE(2016,6,3)</f>
        <v>42524</v>
      </c>
      <c r="E16840" s="8">
        <f t="shared" si="277"/>
        <v>2016</v>
      </c>
      <c r="F16840" t="s">
        <v>2682</v>
      </c>
      <c r="G16840" s="9">
        <v>31087.77</v>
      </c>
      <c r="H16840" s="8">
        <v>22863</v>
      </c>
    </row>
    <row r="16841" spans="2:8" ht="15" customHeight="1" x14ac:dyDescent="0.4">
      <c r="B16841" t="s">
        <v>7</v>
      </c>
      <c r="C16841" t="s">
        <v>2673</v>
      </c>
      <c r="D16841" s="7">
        <f>DATE(2016,6,3)</f>
        <v>42524</v>
      </c>
      <c r="E16841" s="8">
        <f t="shared" si="277"/>
        <v>2016</v>
      </c>
      <c r="F16841" t="s">
        <v>2682</v>
      </c>
      <c r="G16841" s="9">
        <v>130498.05</v>
      </c>
      <c r="H16841" s="8">
        <v>22823</v>
      </c>
    </row>
    <row r="16842" spans="2:8" ht="15" customHeight="1" x14ac:dyDescent="0.4">
      <c r="B16842" t="s">
        <v>7</v>
      </c>
      <c r="C16842" t="s">
        <v>2673</v>
      </c>
      <c r="D16842" s="7">
        <f>DATE(2016,8,1)</f>
        <v>42583</v>
      </c>
      <c r="E16842" s="8">
        <f t="shared" si="277"/>
        <v>2016</v>
      </c>
      <c r="F16842" t="s">
        <v>2682</v>
      </c>
      <c r="G16842" s="9">
        <v>33434.019999999997</v>
      </c>
      <c r="H16842" s="8">
        <v>23001</v>
      </c>
    </row>
    <row r="16843" spans="2:8" ht="15" customHeight="1" x14ac:dyDescent="0.4">
      <c r="B16843" t="s">
        <v>7</v>
      </c>
      <c r="C16843" t="s">
        <v>2673</v>
      </c>
      <c r="D16843" s="7">
        <f>DATE(2016,8,1)</f>
        <v>42583</v>
      </c>
      <c r="E16843" s="8">
        <f t="shared" si="277"/>
        <v>2016</v>
      </c>
      <c r="F16843" t="s">
        <v>2682</v>
      </c>
      <c r="G16843" s="9">
        <v>16530.07</v>
      </c>
      <c r="H16843" s="8">
        <v>23144</v>
      </c>
    </row>
    <row r="16844" spans="2:8" ht="15" customHeight="1" x14ac:dyDescent="0.4">
      <c r="B16844" t="s">
        <v>7</v>
      </c>
      <c r="C16844" t="s">
        <v>2673</v>
      </c>
      <c r="D16844" s="7">
        <f>DATE(2017,5,1)</f>
        <v>42856</v>
      </c>
      <c r="E16844" s="8">
        <f t="shared" si="277"/>
        <v>2017</v>
      </c>
      <c r="F16844" t="s">
        <v>2682</v>
      </c>
      <c r="G16844" s="9">
        <v>224682.46</v>
      </c>
      <c r="H16844" s="8">
        <v>23923</v>
      </c>
    </row>
    <row r="16845" spans="2:8" ht="15" customHeight="1" x14ac:dyDescent="0.4">
      <c r="B16845" t="s">
        <v>7</v>
      </c>
      <c r="C16845" t="s">
        <v>2673</v>
      </c>
      <c r="D16845" s="7">
        <f>DATE(2017,5,1)</f>
        <v>42856</v>
      </c>
      <c r="E16845" s="8">
        <f t="shared" si="277"/>
        <v>2017</v>
      </c>
      <c r="F16845" t="s">
        <v>2682</v>
      </c>
      <c r="G16845" s="9">
        <v>39792.31</v>
      </c>
      <c r="H16845" s="8">
        <v>23947</v>
      </c>
    </row>
    <row r="16846" spans="2:8" ht="15" customHeight="1" x14ac:dyDescent="0.4">
      <c r="B16846" t="s">
        <v>7</v>
      </c>
      <c r="C16846" t="s">
        <v>2677</v>
      </c>
      <c r="D16846" s="7">
        <f>DATE(2015,3,18)</f>
        <v>42081</v>
      </c>
      <c r="E16846" s="8">
        <f t="shared" si="277"/>
        <v>2015</v>
      </c>
      <c r="F16846" t="s">
        <v>2683</v>
      </c>
      <c r="G16846" s="9">
        <v>14770</v>
      </c>
      <c r="H16846" s="8">
        <v>385</v>
      </c>
    </row>
    <row r="16847" spans="2:8" ht="15" customHeight="1" x14ac:dyDescent="0.4">
      <c r="B16847" t="s">
        <v>7</v>
      </c>
      <c r="C16847" t="s">
        <v>2677</v>
      </c>
      <c r="D16847" s="7">
        <f>DATE(2016,8,9)</f>
        <v>42591</v>
      </c>
      <c r="E16847" s="8">
        <f t="shared" si="277"/>
        <v>2016</v>
      </c>
      <c r="F16847" t="s">
        <v>2683</v>
      </c>
      <c r="G16847" s="9">
        <v>137700.53</v>
      </c>
      <c r="H16847" s="8">
        <v>22855</v>
      </c>
    </row>
    <row r="16848" spans="2:8" ht="15" customHeight="1" x14ac:dyDescent="0.4">
      <c r="B16848" t="s">
        <v>7</v>
      </c>
      <c r="C16848" t="s">
        <v>2677</v>
      </c>
      <c r="D16848" s="7">
        <f>DATE(2016,12,14)</f>
        <v>42718</v>
      </c>
      <c r="E16848" s="8">
        <f t="shared" si="277"/>
        <v>2016</v>
      </c>
      <c r="F16848" t="s">
        <v>2683</v>
      </c>
      <c r="G16848" s="9">
        <v>14413.86</v>
      </c>
      <c r="H16848" s="8">
        <v>23869</v>
      </c>
    </row>
    <row r="16849" spans="2:8" ht="15" customHeight="1" x14ac:dyDescent="0.4">
      <c r="B16849" t="s">
        <v>7</v>
      </c>
      <c r="C16849" t="s">
        <v>2675</v>
      </c>
      <c r="D16849" s="7">
        <f>DATE(2017,4,24)</f>
        <v>42849</v>
      </c>
      <c r="E16849" s="8">
        <f t="shared" si="277"/>
        <v>2017</v>
      </c>
      <c r="F16849" t="s">
        <v>2684</v>
      </c>
      <c r="G16849" s="9">
        <v>25679.71</v>
      </c>
      <c r="H16849" s="8">
        <v>24267</v>
      </c>
    </row>
    <row r="16850" spans="2:8" ht="15" customHeight="1" x14ac:dyDescent="0.4">
      <c r="B16850" s="3" t="s">
        <v>7</v>
      </c>
      <c r="C16850" s="3" t="s">
        <v>2675</v>
      </c>
      <c r="D16850" s="4">
        <f>DATE(2014,1,9)</f>
        <v>41648</v>
      </c>
      <c r="E16850" s="5">
        <f t="shared" si="277"/>
        <v>2014</v>
      </c>
      <c r="F16850" s="3" t="s">
        <v>2684</v>
      </c>
      <c r="G16850" s="6">
        <v>3443.5</v>
      </c>
      <c r="H16850" s="5">
        <v>5865</v>
      </c>
    </row>
    <row r="16851" spans="2:8" ht="15" customHeight="1" x14ac:dyDescent="0.4">
      <c r="B16851" s="3" t="s">
        <v>7</v>
      </c>
      <c r="C16851" s="3" t="s">
        <v>2675</v>
      </c>
      <c r="D16851" s="4">
        <f>DATE(2014,1,9)</f>
        <v>41648</v>
      </c>
      <c r="E16851" s="5">
        <f t="shared" si="277"/>
        <v>2014</v>
      </c>
      <c r="F16851" s="3" t="s">
        <v>2684</v>
      </c>
      <c r="G16851" s="6">
        <v>12374.02</v>
      </c>
      <c r="H16851" s="5">
        <v>5866</v>
      </c>
    </row>
    <row r="16852" spans="2:8" ht="15" customHeight="1" x14ac:dyDescent="0.4">
      <c r="B16852" s="3" t="s">
        <v>7</v>
      </c>
      <c r="C16852" s="3" t="s">
        <v>2675</v>
      </c>
      <c r="D16852" s="4">
        <f>DATE(2014,2,5)</f>
        <v>41675</v>
      </c>
      <c r="E16852" s="5">
        <f t="shared" si="277"/>
        <v>2014</v>
      </c>
      <c r="F16852" s="3" t="s">
        <v>2684</v>
      </c>
      <c r="G16852" s="6">
        <v>22634.32</v>
      </c>
      <c r="H16852" s="5">
        <v>5872</v>
      </c>
    </row>
    <row r="16853" spans="2:8" ht="15" customHeight="1" x14ac:dyDescent="0.4">
      <c r="B16853" s="3" t="s">
        <v>7</v>
      </c>
      <c r="C16853" s="3" t="s">
        <v>2675</v>
      </c>
      <c r="D16853" s="4">
        <f>DATE(2014,3,10)</f>
        <v>41708</v>
      </c>
      <c r="E16853" s="5">
        <f t="shared" si="277"/>
        <v>2014</v>
      </c>
      <c r="F16853" s="3" t="s">
        <v>2684</v>
      </c>
      <c r="G16853" s="6">
        <v>20252.32</v>
      </c>
      <c r="H16853" s="5">
        <v>6063</v>
      </c>
    </row>
    <row r="16854" spans="2:8" ht="15" customHeight="1" x14ac:dyDescent="0.4">
      <c r="B16854" s="3" t="s">
        <v>7</v>
      </c>
      <c r="C16854" s="3" t="s">
        <v>2675</v>
      </c>
      <c r="D16854" s="4">
        <f>DATE(2014,5,12)</f>
        <v>41771</v>
      </c>
      <c r="E16854" s="5">
        <f t="shared" si="277"/>
        <v>2014</v>
      </c>
      <c r="F16854" s="3" t="s">
        <v>2684</v>
      </c>
      <c r="G16854" s="6">
        <v>83290.25</v>
      </c>
      <c r="H16854" s="5">
        <v>6013</v>
      </c>
    </row>
    <row r="16855" spans="2:8" ht="15" customHeight="1" x14ac:dyDescent="0.4">
      <c r="B16855" s="3" t="s">
        <v>7</v>
      </c>
      <c r="C16855" s="3" t="s">
        <v>2675</v>
      </c>
      <c r="D16855" s="4">
        <f>DATE(2014,2,5)</f>
        <v>41675</v>
      </c>
      <c r="E16855" s="5">
        <f t="shared" si="277"/>
        <v>2014</v>
      </c>
      <c r="F16855" s="3" t="s">
        <v>2684</v>
      </c>
      <c r="G16855" s="6">
        <v>72067.899999999994</v>
      </c>
      <c r="H16855" s="5">
        <v>5953</v>
      </c>
    </row>
    <row r="16856" spans="2:8" ht="15" customHeight="1" x14ac:dyDescent="0.4">
      <c r="B16856" s="3" t="s">
        <v>16</v>
      </c>
      <c r="C16856" s="3" t="s">
        <v>2675</v>
      </c>
      <c r="D16856" s="4">
        <f>DATE(2014,2,26)</f>
        <v>41696</v>
      </c>
      <c r="E16856" s="5">
        <f t="shared" si="277"/>
        <v>2014</v>
      </c>
      <c r="F16856" s="3" t="s">
        <v>2684</v>
      </c>
      <c r="G16856" s="6">
        <v>13111.9</v>
      </c>
      <c r="H16856" s="5">
        <v>6079</v>
      </c>
    </row>
    <row r="16857" spans="2:8" ht="15" customHeight="1" x14ac:dyDescent="0.4">
      <c r="B16857" s="3" t="s">
        <v>16</v>
      </c>
      <c r="C16857" s="3" t="s">
        <v>2675</v>
      </c>
      <c r="D16857" s="4">
        <f>DATE(2014,3,10)</f>
        <v>41708</v>
      </c>
      <c r="E16857" s="5">
        <f t="shared" si="277"/>
        <v>2014</v>
      </c>
      <c r="F16857" s="3" t="s">
        <v>2684</v>
      </c>
      <c r="G16857" s="6">
        <v>22634.32</v>
      </c>
      <c r="H16857" s="5">
        <v>6065</v>
      </c>
    </row>
    <row r="16858" spans="2:8" ht="15" customHeight="1" x14ac:dyDescent="0.4">
      <c r="B16858" t="s">
        <v>7</v>
      </c>
      <c r="C16858" t="s">
        <v>2685</v>
      </c>
      <c r="D16858" s="7">
        <f>DATE(2016,2,1)</f>
        <v>42401</v>
      </c>
      <c r="E16858" s="8">
        <f t="shared" si="277"/>
        <v>2016</v>
      </c>
      <c r="F16858" t="s">
        <v>2686</v>
      </c>
      <c r="G16858" s="9">
        <v>7745.22</v>
      </c>
      <c r="H16858" s="8">
        <v>21910</v>
      </c>
    </row>
    <row r="16859" spans="2:8" ht="15" customHeight="1" x14ac:dyDescent="0.4">
      <c r="B16859" t="s">
        <v>7</v>
      </c>
      <c r="C16859" t="s">
        <v>2687</v>
      </c>
      <c r="D16859" s="7">
        <f>DATE(2017,4,26)</f>
        <v>42851</v>
      </c>
      <c r="E16859" s="8">
        <f t="shared" si="277"/>
        <v>2017</v>
      </c>
      <c r="F16859" t="s">
        <v>2688</v>
      </c>
      <c r="G16859" s="9">
        <v>73820.259999999995</v>
      </c>
      <c r="H16859" s="8">
        <v>24376</v>
      </c>
    </row>
    <row r="16860" spans="2:8" ht="15" customHeight="1" x14ac:dyDescent="0.4">
      <c r="B16860" t="s">
        <v>7</v>
      </c>
      <c r="C16860" t="s">
        <v>2687</v>
      </c>
      <c r="D16860" s="7">
        <f>DATE(2016,6,28)</f>
        <v>42549</v>
      </c>
      <c r="E16860" s="8">
        <f t="shared" si="277"/>
        <v>2016</v>
      </c>
      <c r="F16860" t="s">
        <v>2688</v>
      </c>
      <c r="G16860" s="9">
        <v>10163.85</v>
      </c>
      <c r="H16860" s="8">
        <v>23025</v>
      </c>
    </row>
    <row r="16861" spans="2:8" ht="15" customHeight="1" x14ac:dyDescent="0.4">
      <c r="B16861" t="s">
        <v>7</v>
      </c>
      <c r="C16861" t="s">
        <v>2687</v>
      </c>
      <c r="D16861" s="7">
        <f>DATE(2016,6,28)</f>
        <v>42549</v>
      </c>
      <c r="E16861" s="8">
        <f t="shared" si="277"/>
        <v>2016</v>
      </c>
      <c r="F16861" t="s">
        <v>2688</v>
      </c>
      <c r="G16861" s="9">
        <v>1196.56</v>
      </c>
      <c r="H16861" s="8">
        <v>23026</v>
      </c>
    </row>
    <row r="16862" spans="2:8" ht="15" customHeight="1" x14ac:dyDescent="0.4">
      <c r="B16862" t="s">
        <v>7</v>
      </c>
      <c r="C16862" t="s">
        <v>776</v>
      </c>
      <c r="D16862" s="7">
        <f>DATE(2015,2,6)</f>
        <v>42041</v>
      </c>
      <c r="E16862" s="8">
        <f t="shared" si="277"/>
        <v>2015</v>
      </c>
      <c r="F16862" t="s">
        <v>2689</v>
      </c>
      <c r="G16862" s="9">
        <v>4864.55</v>
      </c>
      <c r="H16862" s="8">
        <v>25</v>
      </c>
    </row>
    <row r="16863" spans="2:8" ht="15" customHeight="1" x14ac:dyDescent="0.4">
      <c r="B16863" t="s">
        <v>7</v>
      </c>
      <c r="C16863" t="s">
        <v>776</v>
      </c>
      <c r="D16863" s="7">
        <f>DATE(2015,2,6)</f>
        <v>42041</v>
      </c>
      <c r="E16863" s="8">
        <f t="shared" si="277"/>
        <v>2015</v>
      </c>
      <c r="F16863" t="s">
        <v>2689</v>
      </c>
      <c r="G16863" s="9">
        <v>5045.04</v>
      </c>
      <c r="H16863" s="8">
        <v>46</v>
      </c>
    </row>
    <row r="16864" spans="2:8" ht="15" customHeight="1" x14ac:dyDescent="0.4">
      <c r="B16864" t="s">
        <v>7</v>
      </c>
      <c r="C16864" t="s">
        <v>776</v>
      </c>
      <c r="D16864" s="7">
        <f>DATE(2015,2,25)</f>
        <v>42060</v>
      </c>
      <c r="E16864" s="8">
        <f t="shared" si="277"/>
        <v>2015</v>
      </c>
      <c r="F16864" t="s">
        <v>2689</v>
      </c>
      <c r="G16864" s="9">
        <v>25349.43</v>
      </c>
      <c r="H16864" s="8">
        <v>242</v>
      </c>
    </row>
    <row r="16865" spans="2:8" ht="15" customHeight="1" x14ac:dyDescent="0.4">
      <c r="B16865" t="s">
        <v>7</v>
      </c>
      <c r="C16865" t="s">
        <v>776</v>
      </c>
      <c r="D16865" s="7">
        <f>DATE(2015,2,25)</f>
        <v>42060</v>
      </c>
      <c r="E16865" s="8">
        <f t="shared" si="277"/>
        <v>2015</v>
      </c>
      <c r="F16865" t="s">
        <v>2689</v>
      </c>
      <c r="G16865" s="9">
        <v>30954.2</v>
      </c>
      <c r="H16865" s="8">
        <v>323</v>
      </c>
    </row>
    <row r="16866" spans="2:8" ht="15" customHeight="1" x14ac:dyDescent="0.4">
      <c r="B16866" t="s">
        <v>7</v>
      </c>
      <c r="C16866" t="s">
        <v>776</v>
      </c>
      <c r="D16866" s="7">
        <f>DATE(2015,3,31)</f>
        <v>42094</v>
      </c>
      <c r="E16866" s="8">
        <f t="shared" si="277"/>
        <v>2015</v>
      </c>
      <c r="F16866" t="s">
        <v>2689</v>
      </c>
      <c r="G16866" s="9">
        <v>4630.25</v>
      </c>
      <c r="H16866" s="8">
        <v>241</v>
      </c>
    </row>
    <row r="16867" spans="2:8" ht="15" customHeight="1" x14ac:dyDescent="0.4">
      <c r="B16867" t="s">
        <v>7</v>
      </c>
      <c r="C16867" t="s">
        <v>776</v>
      </c>
      <c r="D16867" s="7">
        <f>DATE(2015,3,31)</f>
        <v>42094</v>
      </c>
      <c r="E16867" s="8">
        <f t="shared" si="277"/>
        <v>2015</v>
      </c>
      <c r="F16867" t="s">
        <v>2689</v>
      </c>
      <c r="G16867" s="9">
        <v>29407.73</v>
      </c>
      <c r="H16867" s="8">
        <v>20147</v>
      </c>
    </row>
    <row r="16868" spans="2:8" ht="15" customHeight="1" x14ac:dyDescent="0.4">
      <c r="B16868" t="s">
        <v>7</v>
      </c>
      <c r="C16868" t="s">
        <v>776</v>
      </c>
      <c r="D16868" s="7">
        <f>DATE(2015,4,8)</f>
        <v>42102</v>
      </c>
      <c r="E16868" s="8">
        <f t="shared" si="277"/>
        <v>2015</v>
      </c>
      <c r="F16868" t="s">
        <v>2689</v>
      </c>
      <c r="G16868" s="9">
        <v>39402.49</v>
      </c>
      <c r="H16868" s="8">
        <v>238</v>
      </c>
    </row>
    <row r="16869" spans="2:8" ht="15" customHeight="1" x14ac:dyDescent="0.4">
      <c r="B16869" t="s">
        <v>7</v>
      </c>
      <c r="C16869" t="s">
        <v>776</v>
      </c>
      <c r="D16869" s="7">
        <f>DATE(2015,4,14)</f>
        <v>42108</v>
      </c>
      <c r="E16869" s="8">
        <f t="shared" si="277"/>
        <v>2015</v>
      </c>
      <c r="F16869" t="s">
        <v>2689</v>
      </c>
      <c r="G16869" s="9">
        <v>4984</v>
      </c>
      <c r="H16869" s="8">
        <v>85</v>
      </c>
    </row>
    <row r="16870" spans="2:8" ht="15" customHeight="1" x14ac:dyDescent="0.4">
      <c r="B16870" t="s">
        <v>7</v>
      </c>
      <c r="C16870" t="s">
        <v>776</v>
      </c>
      <c r="D16870" s="7">
        <f>DATE(2015,4,20)</f>
        <v>42114</v>
      </c>
      <c r="E16870" s="8">
        <f t="shared" si="277"/>
        <v>2015</v>
      </c>
      <c r="F16870" t="s">
        <v>2689</v>
      </c>
      <c r="G16870" s="9">
        <v>25015.69</v>
      </c>
      <c r="H16870" s="8">
        <v>20005</v>
      </c>
    </row>
    <row r="16871" spans="2:8" ht="15" customHeight="1" x14ac:dyDescent="0.4">
      <c r="B16871" t="s">
        <v>7</v>
      </c>
      <c r="C16871" t="s">
        <v>776</v>
      </c>
      <c r="D16871" s="7">
        <f>DATE(2015,5,13)</f>
        <v>42137</v>
      </c>
      <c r="E16871" s="8">
        <f t="shared" si="277"/>
        <v>2015</v>
      </c>
      <c r="F16871" t="s">
        <v>2689</v>
      </c>
      <c r="G16871" s="9">
        <v>36979.4</v>
      </c>
      <c r="H16871" s="8">
        <v>341</v>
      </c>
    </row>
    <row r="16872" spans="2:8" ht="15" customHeight="1" x14ac:dyDescent="0.4">
      <c r="B16872" t="s">
        <v>7</v>
      </c>
      <c r="C16872" t="s">
        <v>776</v>
      </c>
      <c r="D16872" s="7">
        <f>DATE(2015,6,10)</f>
        <v>42165</v>
      </c>
      <c r="E16872" s="8">
        <f t="shared" si="277"/>
        <v>2015</v>
      </c>
      <c r="F16872" t="s">
        <v>2689</v>
      </c>
      <c r="G16872" s="9">
        <v>29485</v>
      </c>
      <c r="H16872" s="8">
        <v>239</v>
      </c>
    </row>
    <row r="16873" spans="2:8" ht="15" customHeight="1" x14ac:dyDescent="0.4">
      <c r="B16873" t="s">
        <v>7</v>
      </c>
      <c r="C16873" t="s">
        <v>776</v>
      </c>
      <c r="D16873" s="7">
        <f>DATE(2015,5,26)</f>
        <v>42150</v>
      </c>
      <c r="E16873" s="8">
        <f t="shared" si="277"/>
        <v>2015</v>
      </c>
      <c r="F16873" t="s">
        <v>2689</v>
      </c>
      <c r="G16873" s="9">
        <v>42632.44</v>
      </c>
      <c r="H16873" s="8">
        <v>20112</v>
      </c>
    </row>
    <row r="16874" spans="2:8" ht="15" customHeight="1" x14ac:dyDescent="0.4">
      <c r="B16874" t="s">
        <v>7</v>
      </c>
      <c r="C16874" t="s">
        <v>776</v>
      </c>
      <c r="D16874" s="7">
        <f>DATE(2015,6,10)</f>
        <v>42165</v>
      </c>
      <c r="E16874" s="8">
        <f t="shared" si="277"/>
        <v>2015</v>
      </c>
      <c r="F16874" t="s">
        <v>2689</v>
      </c>
      <c r="G16874" s="9">
        <v>22698.25</v>
      </c>
      <c r="H16874" s="8">
        <v>20539</v>
      </c>
    </row>
    <row r="16875" spans="2:8" ht="15" customHeight="1" x14ac:dyDescent="0.4">
      <c r="B16875" t="s">
        <v>7</v>
      </c>
      <c r="C16875" t="s">
        <v>776</v>
      </c>
      <c r="D16875" s="7">
        <f>DATE(2015,8,24)</f>
        <v>42240</v>
      </c>
      <c r="E16875" s="8">
        <f t="shared" si="277"/>
        <v>2015</v>
      </c>
      <c r="F16875" t="s">
        <v>2689</v>
      </c>
      <c r="G16875" s="9">
        <v>47439.26</v>
      </c>
      <c r="H16875" s="8">
        <v>145</v>
      </c>
    </row>
    <row r="16876" spans="2:8" ht="15" customHeight="1" x14ac:dyDescent="0.4">
      <c r="B16876" t="s">
        <v>7</v>
      </c>
      <c r="C16876" t="s">
        <v>776</v>
      </c>
      <c r="D16876" s="7">
        <f>DATE(2015,8,24)</f>
        <v>42240</v>
      </c>
      <c r="E16876" s="8">
        <f t="shared" si="277"/>
        <v>2015</v>
      </c>
      <c r="F16876" t="s">
        <v>2689</v>
      </c>
      <c r="G16876" s="9">
        <v>8307.7000000000007</v>
      </c>
      <c r="H16876" s="8">
        <v>21069</v>
      </c>
    </row>
    <row r="16877" spans="2:8" ht="15" customHeight="1" x14ac:dyDescent="0.4">
      <c r="B16877" t="s">
        <v>7</v>
      </c>
      <c r="C16877" t="s">
        <v>776</v>
      </c>
      <c r="D16877" s="7">
        <f>DATE(2015,10,23)</f>
        <v>42300</v>
      </c>
      <c r="E16877" s="8">
        <f t="shared" si="277"/>
        <v>2015</v>
      </c>
      <c r="F16877" t="s">
        <v>2689</v>
      </c>
      <c r="G16877" s="9">
        <v>26813.919999999998</v>
      </c>
      <c r="H16877" s="8">
        <v>47</v>
      </c>
    </row>
    <row r="16878" spans="2:8" ht="15" customHeight="1" x14ac:dyDescent="0.4">
      <c r="B16878" t="s">
        <v>7</v>
      </c>
      <c r="C16878" t="s">
        <v>776</v>
      </c>
      <c r="D16878" s="7">
        <f>DATE(2015,11,10)</f>
        <v>42318</v>
      </c>
      <c r="E16878" s="8">
        <f t="shared" si="277"/>
        <v>2015</v>
      </c>
      <c r="F16878" t="s">
        <v>2689</v>
      </c>
      <c r="G16878" s="9">
        <v>27721.14</v>
      </c>
      <c r="H16878" s="8">
        <v>237</v>
      </c>
    </row>
    <row r="16879" spans="2:8" ht="15" customHeight="1" x14ac:dyDescent="0.4">
      <c r="B16879" t="s">
        <v>7</v>
      </c>
      <c r="C16879" t="s">
        <v>776</v>
      </c>
      <c r="D16879" s="7">
        <f>DATE(2015,12,1)</f>
        <v>42339</v>
      </c>
      <c r="E16879" s="8">
        <f t="shared" si="277"/>
        <v>2015</v>
      </c>
      <c r="F16879" t="s">
        <v>2689</v>
      </c>
      <c r="G16879" s="9">
        <v>23277.01</v>
      </c>
      <c r="H16879" s="8">
        <v>144</v>
      </c>
    </row>
    <row r="16880" spans="2:8" ht="15" customHeight="1" x14ac:dyDescent="0.4">
      <c r="B16880" t="s">
        <v>7</v>
      </c>
      <c r="C16880" t="s">
        <v>776</v>
      </c>
      <c r="D16880" s="7">
        <f>DATE(2016,2,4)</f>
        <v>42404</v>
      </c>
      <c r="E16880" s="8">
        <f t="shared" si="277"/>
        <v>2016</v>
      </c>
      <c r="F16880" t="s">
        <v>2689</v>
      </c>
      <c r="G16880" s="9">
        <v>25036.26</v>
      </c>
      <c r="H16880" s="8">
        <v>21864</v>
      </c>
    </row>
    <row r="16881" spans="2:8" ht="15" customHeight="1" x14ac:dyDescent="0.4">
      <c r="B16881" t="s">
        <v>7</v>
      </c>
      <c r="C16881" t="s">
        <v>776</v>
      </c>
      <c r="D16881" s="7">
        <f>DATE(2016,2,22)</f>
        <v>42422</v>
      </c>
      <c r="E16881" s="8">
        <f t="shared" si="277"/>
        <v>2016</v>
      </c>
      <c r="F16881" t="s">
        <v>2689</v>
      </c>
      <c r="G16881" s="9">
        <v>28116.93</v>
      </c>
      <c r="H16881" s="8">
        <v>21782</v>
      </c>
    </row>
    <row r="16882" spans="2:8" ht="15" customHeight="1" x14ac:dyDescent="0.4">
      <c r="B16882" t="s">
        <v>7</v>
      </c>
      <c r="C16882" t="s">
        <v>776</v>
      </c>
      <c r="D16882" s="7">
        <f>DATE(2016,2,29)</f>
        <v>42429</v>
      </c>
      <c r="E16882" s="8">
        <f t="shared" si="277"/>
        <v>2016</v>
      </c>
      <c r="F16882" t="s">
        <v>2689</v>
      </c>
      <c r="G16882" s="9">
        <v>12349.59</v>
      </c>
      <c r="H16882" s="8">
        <v>22043</v>
      </c>
    </row>
    <row r="16883" spans="2:8" ht="15" customHeight="1" x14ac:dyDescent="0.4">
      <c r="B16883" t="s">
        <v>7</v>
      </c>
      <c r="C16883" t="s">
        <v>776</v>
      </c>
      <c r="D16883" s="7">
        <f>DATE(2016,2,25)</f>
        <v>42425</v>
      </c>
      <c r="E16883" s="8">
        <f t="shared" si="277"/>
        <v>2016</v>
      </c>
      <c r="F16883" t="s">
        <v>2689</v>
      </c>
      <c r="G16883" s="9">
        <v>26234.7</v>
      </c>
      <c r="H16883" s="8">
        <v>20572</v>
      </c>
    </row>
    <row r="16884" spans="2:8" ht="15" customHeight="1" x14ac:dyDescent="0.4">
      <c r="B16884" t="s">
        <v>7</v>
      </c>
      <c r="C16884" t="s">
        <v>776</v>
      </c>
      <c r="D16884" s="7">
        <f>DATE(2016,3,4)</f>
        <v>42433</v>
      </c>
      <c r="E16884" s="8">
        <f t="shared" si="277"/>
        <v>2016</v>
      </c>
      <c r="F16884" t="s">
        <v>2689</v>
      </c>
      <c r="G16884" s="9">
        <v>21256.76</v>
      </c>
      <c r="H16884" s="8">
        <v>162</v>
      </c>
    </row>
    <row r="16885" spans="2:8" ht="15" customHeight="1" x14ac:dyDescent="0.4">
      <c r="B16885" t="s">
        <v>7</v>
      </c>
      <c r="C16885" t="s">
        <v>776</v>
      </c>
      <c r="D16885" s="7">
        <f>DATE(2016,4,19)</f>
        <v>42479</v>
      </c>
      <c r="E16885" s="8">
        <f t="shared" si="277"/>
        <v>2016</v>
      </c>
      <c r="F16885" t="s">
        <v>2689</v>
      </c>
      <c r="G16885" s="9">
        <v>20387.419999999998</v>
      </c>
      <c r="H16885" s="8">
        <v>22054</v>
      </c>
    </row>
    <row r="16886" spans="2:8" ht="15" customHeight="1" x14ac:dyDescent="0.4">
      <c r="B16886" t="s">
        <v>7</v>
      </c>
      <c r="C16886" t="s">
        <v>776</v>
      </c>
      <c r="D16886" s="7">
        <f>DATE(2016,5,6)</f>
        <v>42496</v>
      </c>
      <c r="E16886" s="8">
        <f t="shared" si="277"/>
        <v>2016</v>
      </c>
      <c r="F16886" t="s">
        <v>2689</v>
      </c>
      <c r="G16886" s="9">
        <v>20250.86</v>
      </c>
      <c r="H16886" s="8">
        <v>22446</v>
      </c>
    </row>
    <row r="16887" spans="2:8" ht="15" customHeight="1" x14ac:dyDescent="0.4">
      <c r="B16887" t="s">
        <v>7</v>
      </c>
      <c r="C16887" t="s">
        <v>776</v>
      </c>
      <c r="D16887" s="7">
        <f>DATE(2016,5,6)</f>
        <v>42496</v>
      </c>
      <c r="E16887" s="8">
        <f t="shared" si="277"/>
        <v>2016</v>
      </c>
      <c r="F16887" t="s">
        <v>2689</v>
      </c>
      <c r="G16887" s="9">
        <v>6184.81</v>
      </c>
      <c r="H16887" s="8">
        <v>22778</v>
      </c>
    </row>
    <row r="16888" spans="2:8" ht="15" customHeight="1" x14ac:dyDescent="0.4">
      <c r="B16888" t="s">
        <v>7</v>
      </c>
      <c r="C16888" t="s">
        <v>776</v>
      </c>
      <c r="D16888" s="7">
        <f>DATE(2016,5,20)</f>
        <v>42510</v>
      </c>
      <c r="E16888" s="8">
        <f t="shared" si="277"/>
        <v>2016</v>
      </c>
      <c r="F16888" t="s">
        <v>2689</v>
      </c>
      <c r="G16888" s="9">
        <v>24389.13</v>
      </c>
      <c r="H16888" s="8">
        <v>22003</v>
      </c>
    </row>
    <row r="16889" spans="2:8" ht="15" customHeight="1" x14ac:dyDescent="0.4">
      <c r="B16889" t="s">
        <v>7</v>
      </c>
      <c r="C16889" t="s">
        <v>776</v>
      </c>
      <c r="D16889" s="7">
        <f>DATE(2016,6,1)</f>
        <v>42522</v>
      </c>
      <c r="E16889" s="8">
        <f t="shared" si="277"/>
        <v>2016</v>
      </c>
      <c r="F16889" t="s">
        <v>2689</v>
      </c>
      <c r="G16889" s="9">
        <v>11547.94</v>
      </c>
      <c r="H16889" s="8">
        <v>22053</v>
      </c>
    </row>
    <row r="16890" spans="2:8" ht="15" customHeight="1" x14ac:dyDescent="0.4">
      <c r="B16890" t="s">
        <v>7</v>
      </c>
      <c r="C16890" t="s">
        <v>776</v>
      </c>
      <c r="D16890" s="7">
        <f>DATE(2016,6,8)</f>
        <v>42529</v>
      </c>
      <c r="E16890" s="8">
        <f t="shared" si="277"/>
        <v>2016</v>
      </c>
      <c r="F16890" t="s">
        <v>2689</v>
      </c>
      <c r="G16890" s="9">
        <v>14999.08</v>
      </c>
      <c r="H16890" s="8">
        <v>22052</v>
      </c>
    </row>
    <row r="16891" spans="2:8" ht="15" customHeight="1" x14ac:dyDescent="0.4">
      <c r="B16891" t="s">
        <v>7</v>
      </c>
      <c r="C16891" t="s">
        <v>776</v>
      </c>
      <c r="D16891" s="7">
        <f>DATE(2016,5,31)</f>
        <v>42521</v>
      </c>
      <c r="E16891" s="8">
        <f t="shared" si="277"/>
        <v>2016</v>
      </c>
      <c r="F16891" t="s">
        <v>2689</v>
      </c>
      <c r="G16891" s="9">
        <v>15485.35</v>
      </c>
      <c r="H16891" s="8">
        <v>22841</v>
      </c>
    </row>
    <row r="16892" spans="2:8" ht="15" customHeight="1" x14ac:dyDescent="0.4">
      <c r="B16892" t="s">
        <v>7</v>
      </c>
      <c r="C16892" t="s">
        <v>776</v>
      </c>
      <c r="D16892" s="7">
        <f>DATE(2016,6,20)</f>
        <v>42541</v>
      </c>
      <c r="E16892" s="8">
        <f t="shared" si="277"/>
        <v>2016</v>
      </c>
      <c r="F16892" t="s">
        <v>2689</v>
      </c>
      <c r="G16892" s="9">
        <v>12360.77</v>
      </c>
      <c r="H16892" s="8">
        <v>22992</v>
      </c>
    </row>
    <row r="16893" spans="2:8" ht="15" customHeight="1" x14ac:dyDescent="0.4">
      <c r="B16893" t="s">
        <v>7</v>
      </c>
      <c r="C16893" t="s">
        <v>776</v>
      </c>
      <c r="D16893" s="7">
        <f>DATE(2016,8,12)</f>
        <v>42594</v>
      </c>
      <c r="E16893" s="8">
        <f t="shared" si="277"/>
        <v>2016</v>
      </c>
      <c r="F16893" t="s">
        <v>2689</v>
      </c>
      <c r="G16893" s="9">
        <v>8015.24</v>
      </c>
      <c r="H16893" s="8">
        <v>23066</v>
      </c>
    </row>
    <row r="16894" spans="2:8" ht="15" customHeight="1" x14ac:dyDescent="0.4">
      <c r="B16894" t="s">
        <v>7</v>
      </c>
      <c r="C16894" t="s">
        <v>776</v>
      </c>
      <c r="D16894" s="7">
        <f>DATE(2016,8,30)</f>
        <v>42612</v>
      </c>
      <c r="E16894" s="8">
        <f t="shared" si="277"/>
        <v>2016</v>
      </c>
      <c r="F16894" t="s">
        <v>2689</v>
      </c>
      <c r="G16894" s="9">
        <v>5789.65</v>
      </c>
      <c r="H16894" s="8">
        <v>23291</v>
      </c>
    </row>
    <row r="16895" spans="2:8" ht="15" customHeight="1" x14ac:dyDescent="0.4">
      <c r="B16895" t="s">
        <v>7</v>
      </c>
      <c r="C16895" t="s">
        <v>776</v>
      </c>
      <c r="D16895" s="7">
        <f>DATE(2016,12,13)</f>
        <v>42717</v>
      </c>
      <c r="E16895" s="8">
        <f t="shared" si="277"/>
        <v>2016</v>
      </c>
      <c r="F16895" t="s">
        <v>2689</v>
      </c>
      <c r="G16895" s="9">
        <v>17334.919999999998</v>
      </c>
      <c r="H16895" s="8">
        <v>21993</v>
      </c>
    </row>
    <row r="16896" spans="2:8" ht="15" customHeight="1" x14ac:dyDescent="0.4">
      <c r="B16896" t="s">
        <v>7</v>
      </c>
      <c r="C16896" t="s">
        <v>776</v>
      </c>
      <c r="D16896" s="7">
        <f>DATE(2017,1,12)</f>
        <v>42747</v>
      </c>
      <c r="E16896" s="8">
        <f t="shared" si="277"/>
        <v>2017</v>
      </c>
      <c r="F16896" t="s">
        <v>2689</v>
      </c>
      <c r="G16896" s="9">
        <v>14924.28</v>
      </c>
      <c r="H16896" s="8">
        <v>23086</v>
      </c>
    </row>
    <row r="16897" spans="2:8" ht="15" customHeight="1" x14ac:dyDescent="0.4">
      <c r="B16897" s="3" t="s">
        <v>7</v>
      </c>
      <c r="C16897" s="3" t="s">
        <v>776</v>
      </c>
      <c r="D16897" s="4">
        <f>DATE(2013,6,7)</f>
        <v>41432</v>
      </c>
      <c r="E16897" s="5">
        <f t="shared" si="277"/>
        <v>2013</v>
      </c>
      <c r="F16897" s="3" t="s">
        <v>2689</v>
      </c>
      <c r="G16897" s="6">
        <v>3373.8</v>
      </c>
      <c r="H16897" s="5">
        <v>5596</v>
      </c>
    </row>
    <row r="16898" spans="2:8" ht="15" customHeight="1" x14ac:dyDescent="0.4">
      <c r="B16898" s="3" t="s">
        <v>7</v>
      </c>
      <c r="C16898" s="3" t="s">
        <v>776</v>
      </c>
      <c r="D16898" s="4">
        <f>DATE(2013,6,11)</f>
        <v>41436</v>
      </c>
      <c r="E16898" s="5">
        <f t="shared" si="277"/>
        <v>2013</v>
      </c>
      <c r="F16898" s="3" t="s">
        <v>2689</v>
      </c>
      <c r="G16898" s="6">
        <v>23683.200000000001</v>
      </c>
      <c r="H16898" s="5">
        <v>5566</v>
      </c>
    </row>
    <row r="16899" spans="2:8" ht="15" customHeight="1" x14ac:dyDescent="0.4">
      <c r="B16899" s="3" t="s">
        <v>7</v>
      </c>
      <c r="C16899" s="3" t="s">
        <v>776</v>
      </c>
      <c r="D16899" s="4">
        <f>DATE(2013,6,11)</f>
        <v>41436</v>
      </c>
      <c r="E16899" s="5">
        <f t="shared" ref="E16899:E16962" si="278">YEAR(D16899)</f>
        <v>2013</v>
      </c>
      <c r="F16899" s="3" t="s">
        <v>2689</v>
      </c>
      <c r="G16899" s="6">
        <v>21835.599999999999</v>
      </c>
      <c r="H16899" s="5">
        <v>5602</v>
      </c>
    </row>
    <row r="16900" spans="2:8" ht="15" customHeight="1" x14ac:dyDescent="0.4">
      <c r="B16900" s="3" t="s">
        <v>7</v>
      </c>
      <c r="C16900" s="3" t="s">
        <v>776</v>
      </c>
      <c r="D16900" s="4">
        <f>DATE(2013,11,22)</f>
        <v>41600</v>
      </c>
      <c r="E16900" s="5">
        <f t="shared" si="278"/>
        <v>2013</v>
      </c>
      <c r="F16900" s="3" t="s">
        <v>2689</v>
      </c>
      <c r="G16900" s="6">
        <v>26378.23</v>
      </c>
      <c r="H16900" s="5">
        <v>5762</v>
      </c>
    </row>
    <row r="16901" spans="2:8" ht="15" customHeight="1" x14ac:dyDescent="0.4">
      <c r="B16901" s="3" t="s">
        <v>7</v>
      </c>
      <c r="C16901" s="3" t="s">
        <v>776</v>
      </c>
      <c r="D16901" s="4">
        <f>DATE(2013,12,6)</f>
        <v>41614</v>
      </c>
      <c r="E16901" s="5">
        <f t="shared" si="278"/>
        <v>2013</v>
      </c>
      <c r="F16901" s="3" t="s">
        <v>2689</v>
      </c>
      <c r="G16901" s="6">
        <v>34089</v>
      </c>
      <c r="H16901" s="5">
        <v>5883</v>
      </c>
    </row>
    <row r="16902" spans="2:8" ht="15" customHeight="1" x14ac:dyDescent="0.4">
      <c r="B16902" s="3" t="s">
        <v>7</v>
      </c>
      <c r="C16902" s="3" t="s">
        <v>776</v>
      </c>
      <c r="D16902" s="4">
        <f>DATE(2013,12,18)</f>
        <v>41626</v>
      </c>
      <c r="E16902" s="5">
        <f t="shared" si="278"/>
        <v>2013</v>
      </c>
      <c r="F16902" s="3" t="s">
        <v>2689</v>
      </c>
      <c r="G16902" s="6">
        <v>21104.47</v>
      </c>
      <c r="H16902" s="5">
        <v>5761</v>
      </c>
    </row>
    <row r="16903" spans="2:8" ht="15" customHeight="1" x14ac:dyDescent="0.4">
      <c r="B16903" s="3" t="s">
        <v>7</v>
      </c>
      <c r="C16903" s="3" t="s">
        <v>776</v>
      </c>
      <c r="D16903" s="4">
        <f>DATE(2014,2,3)</f>
        <v>41673</v>
      </c>
      <c r="E16903" s="5">
        <f t="shared" si="278"/>
        <v>2014</v>
      </c>
      <c r="F16903" s="3" t="s">
        <v>2689</v>
      </c>
      <c r="G16903" s="6">
        <v>24907.11</v>
      </c>
      <c r="H16903" s="5">
        <v>5915</v>
      </c>
    </row>
    <row r="16904" spans="2:8" ht="15" customHeight="1" x14ac:dyDescent="0.4">
      <c r="B16904" s="3" t="s">
        <v>7</v>
      </c>
      <c r="C16904" s="3" t="s">
        <v>776</v>
      </c>
      <c r="D16904" s="4">
        <f>DATE(2014,3,20)</f>
        <v>41718</v>
      </c>
      <c r="E16904" s="5">
        <f t="shared" si="278"/>
        <v>2014</v>
      </c>
      <c r="F16904" s="3" t="s">
        <v>2689</v>
      </c>
      <c r="G16904" s="6">
        <v>24989.95</v>
      </c>
      <c r="H16904" s="5">
        <v>6087</v>
      </c>
    </row>
    <row r="16905" spans="2:8" ht="15" customHeight="1" x14ac:dyDescent="0.4">
      <c r="B16905" s="3" t="s">
        <v>7</v>
      </c>
      <c r="C16905" s="3" t="s">
        <v>776</v>
      </c>
      <c r="D16905" s="4">
        <f>DATE(2014,5,6)</f>
        <v>41765</v>
      </c>
      <c r="E16905" s="5">
        <f t="shared" si="278"/>
        <v>2014</v>
      </c>
      <c r="F16905" s="3" t="s">
        <v>2689</v>
      </c>
      <c r="G16905" s="6">
        <v>24847.06</v>
      </c>
      <c r="H16905" s="5">
        <v>6012</v>
      </c>
    </row>
    <row r="16906" spans="2:8" ht="15" customHeight="1" x14ac:dyDescent="0.4">
      <c r="B16906" s="3" t="s">
        <v>7</v>
      </c>
      <c r="C16906" s="3" t="s">
        <v>776</v>
      </c>
      <c r="D16906" s="4">
        <f>DATE(2014,8,13)</f>
        <v>41864</v>
      </c>
      <c r="E16906" s="5">
        <f t="shared" si="278"/>
        <v>2014</v>
      </c>
      <c r="F16906" s="3" t="s">
        <v>2689</v>
      </c>
      <c r="G16906" s="6">
        <v>34527.629999999997</v>
      </c>
      <c r="H16906" s="5">
        <v>6287</v>
      </c>
    </row>
    <row r="16907" spans="2:8" ht="15" customHeight="1" x14ac:dyDescent="0.4">
      <c r="B16907" s="3" t="s">
        <v>7</v>
      </c>
      <c r="C16907" s="3" t="s">
        <v>776</v>
      </c>
      <c r="D16907" s="4">
        <f>DATE(2014,11,19)</f>
        <v>41962</v>
      </c>
      <c r="E16907" s="5">
        <f t="shared" si="278"/>
        <v>2014</v>
      </c>
      <c r="F16907" s="3" t="s">
        <v>2689</v>
      </c>
      <c r="G16907" s="6">
        <v>31400.66</v>
      </c>
      <c r="H16907" s="5">
        <v>6335</v>
      </c>
    </row>
    <row r="16908" spans="2:8" ht="15" customHeight="1" x14ac:dyDescent="0.4">
      <c r="B16908" s="3" t="s">
        <v>7</v>
      </c>
      <c r="C16908" s="3" t="s">
        <v>776</v>
      </c>
      <c r="D16908" s="4">
        <f>DATE(2014,12,19)</f>
        <v>41992</v>
      </c>
      <c r="E16908" s="5">
        <f t="shared" si="278"/>
        <v>2014</v>
      </c>
      <c r="F16908" s="3" t="s">
        <v>2689</v>
      </c>
      <c r="G16908" s="6">
        <v>23901.18</v>
      </c>
      <c r="H16908" s="5">
        <v>6307</v>
      </c>
    </row>
    <row r="16909" spans="2:8" ht="15" customHeight="1" x14ac:dyDescent="0.4">
      <c r="B16909" s="3" t="s">
        <v>7</v>
      </c>
      <c r="C16909" s="3" t="s">
        <v>776</v>
      </c>
      <c r="D16909" s="4">
        <f>DATE(2015,1,5)</f>
        <v>42009</v>
      </c>
      <c r="E16909" s="5">
        <f t="shared" si="278"/>
        <v>2015</v>
      </c>
      <c r="F16909" s="3" t="s">
        <v>2689</v>
      </c>
      <c r="G16909" s="6">
        <v>4979.75</v>
      </c>
      <c r="H16909" s="5">
        <v>6487</v>
      </c>
    </row>
    <row r="16910" spans="2:8" ht="15" customHeight="1" x14ac:dyDescent="0.4">
      <c r="B16910" s="3" t="s">
        <v>7</v>
      </c>
      <c r="C16910" s="3" t="s">
        <v>776</v>
      </c>
      <c r="D16910" s="4">
        <f>DATE(2015,1,6)</f>
        <v>42010</v>
      </c>
      <c r="E16910" s="5">
        <f t="shared" si="278"/>
        <v>2015</v>
      </c>
      <c r="F16910" s="3" t="s">
        <v>2689</v>
      </c>
      <c r="G16910" s="6">
        <v>4895.3599999999997</v>
      </c>
      <c r="H16910" s="5">
        <v>6486</v>
      </c>
    </row>
    <row r="16911" spans="2:8" ht="15" customHeight="1" x14ac:dyDescent="0.4">
      <c r="B16911" s="3" t="s">
        <v>7</v>
      </c>
      <c r="C16911" s="3" t="s">
        <v>776</v>
      </c>
      <c r="D16911" s="4">
        <f>DATE(2015,1,8)</f>
        <v>42012</v>
      </c>
      <c r="E16911" s="5">
        <f t="shared" si="278"/>
        <v>2015</v>
      </c>
      <c r="F16911" s="3" t="s">
        <v>2689</v>
      </c>
      <c r="G16911" s="6">
        <v>12203.59</v>
      </c>
      <c r="H16911" s="5">
        <v>6503</v>
      </c>
    </row>
    <row r="16912" spans="2:8" ht="15" customHeight="1" x14ac:dyDescent="0.4">
      <c r="B16912" t="s">
        <v>7</v>
      </c>
      <c r="C16912" t="s">
        <v>2690</v>
      </c>
      <c r="D16912" s="7">
        <f>DATE(2003,3,12)</f>
        <v>37692</v>
      </c>
      <c r="E16912" s="8">
        <f t="shared" si="278"/>
        <v>2003</v>
      </c>
      <c r="F16912" t="s">
        <v>2691</v>
      </c>
      <c r="G16912" s="9">
        <v>19930</v>
      </c>
      <c r="H16912" s="8">
        <v>96</v>
      </c>
    </row>
    <row r="16913" spans="2:8" ht="15" customHeight="1" x14ac:dyDescent="0.4">
      <c r="B16913" t="s">
        <v>7</v>
      </c>
      <c r="C16913" t="s">
        <v>2690</v>
      </c>
      <c r="D16913" s="7">
        <f>DATE(2003,3,15)</f>
        <v>37695</v>
      </c>
      <c r="E16913" s="8">
        <f t="shared" si="278"/>
        <v>2003</v>
      </c>
      <c r="F16913" t="s">
        <v>2691</v>
      </c>
      <c r="G16913" s="9">
        <v>8065.5</v>
      </c>
      <c r="H16913" s="8">
        <v>98</v>
      </c>
    </row>
    <row r="16914" spans="2:8" ht="15" customHeight="1" x14ac:dyDescent="0.4">
      <c r="B16914" t="s">
        <v>7</v>
      </c>
      <c r="C16914" t="s">
        <v>2690</v>
      </c>
      <c r="D16914" s="7">
        <f>DATE(2007,8,13)</f>
        <v>39307</v>
      </c>
      <c r="E16914" s="8">
        <f t="shared" si="278"/>
        <v>2007</v>
      </c>
      <c r="F16914" t="s">
        <v>2691</v>
      </c>
      <c r="G16914" s="9">
        <v>10500</v>
      </c>
      <c r="H16914" s="8">
        <v>6160</v>
      </c>
    </row>
    <row r="16915" spans="2:8" ht="15" customHeight="1" x14ac:dyDescent="0.4">
      <c r="B16915" t="s">
        <v>7</v>
      </c>
      <c r="C16915" t="s">
        <v>2692</v>
      </c>
      <c r="D16915" s="7">
        <f>DATE(2015,2,13)</f>
        <v>42048</v>
      </c>
      <c r="E16915" s="8">
        <f t="shared" si="278"/>
        <v>2015</v>
      </c>
      <c r="F16915" t="s">
        <v>2693</v>
      </c>
      <c r="G16915" s="9">
        <v>8176.48</v>
      </c>
      <c r="H16915" s="8">
        <v>324</v>
      </c>
    </row>
    <row r="16916" spans="2:8" ht="15" customHeight="1" x14ac:dyDescent="0.4">
      <c r="B16916" t="s">
        <v>7</v>
      </c>
      <c r="C16916" t="s">
        <v>2692</v>
      </c>
      <c r="D16916" s="7">
        <f>DATE(2016,9,7)</f>
        <v>42620</v>
      </c>
      <c r="E16916" s="8">
        <f t="shared" si="278"/>
        <v>2016</v>
      </c>
      <c r="F16916" t="s">
        <v>2693</v>
      </c>
      <c r="G16916" s="9">
        <v>3895.11</v>
      </c>
      <c r="H16916" s="8">
        <v>23253</v>
      </c>
    </row>
    <row r="16917" spans="2:8" ht="15" customHeight="1" x14ac:dyDescent="0.4">
      <c r="B16917" t="s">
        <v>7</v>
      </c>
      <c r="C16917" t="s">
        <v>2692</v>
      </c>
      <c r="D16917" s="7">
        <f>DATE(2018,1,31)</f>
        <v>43131</v>
      </c>
      <c r="E16917" s="8">
        <f t="shared" si="278"/>
        <v>2018</v>
      </c>
      <c r="F16917" t="s">
        <v>2693</v>
      </c>
      <c r="G16917" s="9">
        <v>8477.26</v>
      </c>
      <c r="H16917" s="8">
        <v>26286</v>
      </c>
    </row>
    <row r="16918" spans="2:8" ht="15" customHeight="1" x14ac:dyDescent="0.4">
      <c r="B16918" t="s">
        <v>7</v>
      </c>
      <c r="C16918" t="s">
        <v>2692</v>
      </c>
      <c r="D16918" s="7">
        <f>DATE(2011,5,11)</f>
        <v>40674</v>
      </c>
      <c r="E16918" s="8">
        <f t="shared" si="278"/>
        <v>2011</v>
      </c>
      <c r="F16918" t="s">
        <v>2693</v>
      </c>
      <c r="G16918" s="9">
        <v>5198.2299999999996</v>
      </c>
      <c r="H16918" s="8">
        <v>10692</v>
      </c>
    </row>
    <row r="16919" spans="2:8" ht="15" customHeight="1" x14ac:dyDescent="0.4">
      <c r="B16919" t="s">
        <v>7</v>
      </c>
      <c r="C16919" t="s">
        <v>2692</v>
      </c>
      <c r="D16919" s="7">
        <f>DATE(2012,2,23)</f>
        <v>40962</v>
      </c>
      <c r="E16919" s="8">
        <f t="shared" si="278"/>
        <v>2012</v>
      </c>
      <c r="F16919" t="s">
        <v>2693</v>
      </c>
      <c r="G16919" s="9">
        <v>6782.24</v>
      </c>
      <c r="H16919" s="8">
        <v>11257</v>
      </c>
    </row>
    <row r="16920" spans="2:8" ht="15" customHeight="1" x14ac:dyDescent="0.4">
      <c r="B16920" t="s">
        <v>7</v>
      </c>
      <c r="C16920" t="s">
        <v>2692</v>
      </c>
      <c r="D16920" s="7">
        <f>DATE(2013,1,31)</f>
        <v>41305</v>
      </c>
      <c r="E16920" s="8">
        <f t="shared" si="278"/>
        <v>2013</v>
      </c>
      <c r="F16920" t="s">
        <v>2693</v>
      </c>
      <c r="G16920" s="9">
        <v>5517.75</v>
      </c>
      <c r="H16920" s="8">
        <v>12082</v>
      </c>
    </row>
    <row r="16921" spans="2:8" ht="15" customHeight="1" x14ac:dyDescent="0.4">
      <c r="B16921" t="s">
        <v>7</v>
      </c>
      <c r="C16921" t="s">
        <v>2694</v>
      </c>
      <c r="D16921" s="7">
        <f>DATE(2016,5,20)</f>
        <v>42510</v>
      </c>
      <c r="E16921" s="8">
        <f t="shared" si="278"/>
        <v>2016</v>
      </c>
      <c r="F16921" t="s">
        <v>2695</v>
      </c>
      <c r="G16921" s="9">
        <v>27006.15</v>
      </c>
      <c r="H16921" s="8">
        <v>22749</v>
      </c>
    </row>
    <row r="16922" spans="2:8" ht="15" customHeight="1" x14ac:dyDescent="0.4">
      <c r="B16922" t="s">
        <v>7</v>
      </c>
      <c r="C16922" t="s">
        <v>2696</v>
      </c>
      <c r="D16922" s="7">
        <f>DATE(2016,5,3)</f>
        <v>42493</v>
      </c>
      <c r="E16922" s="8">
        <f t="shared" si="278"/>
        <v>2016</v>
      </c>
      <c r="F16922" t="s">
        <v>2697</v>
      </c>
      <c r="G16922" s="9">
        <v>14440</v>
      </c>
      <c r="H16922" s="8">
        <v>22085</v>
      </c>
    </row>
    <row r="16923" spans="2:8" ht="15" customHeight="1" x14ac:dyDescent="0.4">
      <c r="B16923" t="s">
        <v>7</v>
      </c>
      <c r="C16923" t="s">
        <v>2696</v>
      </c>
      <c r="D16923" s="7">
        <f>DATE(2017,3,30)</f>
        <v>42824</v>
      </c>
      <c r="E16923" s="8">
        <f t="shared" si="278"/>
        <v>2017</v>
      </c>
      <c r="F16923" t="s">
        <v>2697</v>
      </c>
      <c r="G16923" s="9">
        <v>14592</v>
      </c>
      <c r="H16923" s="8">
        <v>24574</v>
      </c>
    </row>
    <row r="16924" spans="2:8" ht="15" customHeight="1" x14ac:dyDescent="0.4">
      <c r="B16924" t="s">
        <v>7</v>
      </c>
      <c r="C16924" t="s">
        <v>2696</v>
      </c>
      <c r="D16924" s="7">
        <f>DATE(2017,6,28)</f>
        <v>42914</v>
      </c>
      <c r="E16924" s="8">
        <f t="shared" si="278"/>
        <v>2017</v>
      </c>
      <c r="F16924" t="s">
        <v>2697</v>
      </c>
      <c r="G16924" s="9">
        <v>180</v>
      </c>
      <c r="H16924" s="8">
        <v>25146</v>
      </c>
    </row>
    <row r="16925" spans="2:8" ht="15" customHeight="1" x14ac:dyDescent="0.4">
      <c r="B16925" t="s">
        <v>7</v>
      </c>
      <c r="C16925" t="s">
        <v>2696</v>
      </c>
      <c r="D16925" s="7">
        <f>DATE(2019,4,24)</f>
        <v>43579</v>
      </c>
      <c r="E16925" s="8">
        <f t="shared" si="278"/>
        <v>2019</v>
      </c>
      <c r="F16925" t="s">
        <v>2697</v>
      </c>
      <c r="G16925" s="9">
        <v>1520</v>
      </c>
      <c r="H16925" s="8">
        <v>28852</v>
      </c>
    </row>
    <row r="16926" spans="2:8" ht="15" customHeight="1" x14ac:dyDescent="0.4">
      <c r="B16926" s="3" t="s">
        <v>7</v>
      </c>
      <c r="C16926" s="3" t="s">
        <v>2696</v>
      </c>
      <c r="D16926" s="4">
        <f>DATE(2003,4,23)</f>
        <v>37734</v>
      </c>
      <c r="E16926" s="5">
        <f t="shared" si="278"/>
        <v>2003</v>
      </c>
      <c r="F16926" s="3" t="s">
        <v>2697</v>
      </c>
      <c r="G16926" s="6">
        <v>1494</v>
      </c>
      <c r="H16926" s="5">
        <v>789</v>
      </c>
    </row>
    <row r="16927" spans="2:8" ht="15" customHeight="1" x14ac:dyDescent="0.4">
      <c r="B16927" s="3" t="s">
        <v>7</v>
      </c>
      <c r="C16927" s="3" t="s">
        <v>2696</v>
      </c>
      <c r="D16927" s="4">
        <f>DATE(2003,10,28)</f>
        <v>37922</v>
      </c>
      <c r="E16927" s="5">
        <f t="shared" si="278"/>
        <v>2003</v>
      </c>
      <c r="F16927" s="3" t="s">
        <v>2697</v>
      </c>
      <c r="G16927" s="6">
        <v>9748.7999999999993</v>
      </c>
      <c r="H16927" s="5">
        <v>1453</v>
      </c>
    </row>
    <row r="16928" spans="2:8" ht="15" customHeight="1" x14ac:dyDescent="0.4">
      <c r="B16928" s="3" t="s">
        <v>7</v>
      </c>
      <c r="C16928" s="3" t="s">
        <v>2696</v>
      </c>
      <c r="D16928" s="4">
        <f>DATE(2004,1,23)</f>
        <v>38009</v>
      </c>
      <c r="E16928" s="5">
        <f t="shared" si="278"/>
        <v>2004</v>
      </c>
      <c r="F16928" s="3" t="s">
        <v>2697</v>
      </c>
      <c r="G16928" s="6">
        <v>21942</v>
      </c>
      <c r="H16928" s="5">
        <v>2035</v>
      </c>
    </row>
    <row r="16929" spans="2:8" ht="15" customHeight="1" x14ac:dyDescent="0.4">
      <c r="B16929" s="3" t="s">
        <v>7</v>
      </c>
      <c r="C16929" s="3" t="s">
        <v>2696</v>
      </c>
      <c r="D16929" s="4">
        <f>DATE(2004,9,23)</f>
        <v>38253</v>
      </c>
      <c r="E16929" s="5">
        <f t="shared" si="278"/>
        <v>2004</v>
      </c>
      <c r="F16929" s="3" t="s">
        <v>2697</v>
      </c>
      <c r="G16929" s="6">
        <v>128</v>
      </c>
      <c r="H16929" s="5">
        <v>3442</v>
      </c>
    </row>
    <row r="16930" spans="2:8" ht="15" customHeight="1" x14ac:dyDescent="0.4">
      <c r="B16930" s="3" t="s">
        <v>7</v>
      </c>
      <c r="C16930" s="3" t="s">
        <v>2696</v>
      </c>
      <c r="D16930" s="4">
        <f>DATE(2004,9,28)</f>
        <v>38258</v>
      </c>
      <c r="E16930" s="5">
        <f t="shared" si="278"/>
        <v>2004</v>
      </c>
      <c r="F16930" s="3" t="s">
        <v>2697</v>
      </c>
      <c r="G16930" s="6">
        <v>540</v>
      </c>
      <c r="H16930" s="5">
        <v>3478</v>
      </c>
    </row>
    <row r="16931" spans="2:8" ht="15" customHeight="1" x14ac:dyDescent="0.4">
      <c r="B16931" s="3" t="s">
        <v>7</v>
      </c>
      <c r="C16931" s="3" t="s">
        <v>2696</v>
      </c>
      <c r="D16931" s="4">
        <f>DATE(2010,3,12)</f>
        <v>40249</v>
      </c>
      <c r="E16931" s="5">
        <f t="shared" si="278"/>
        <v>2010</v>
      </c>
      <c r="F16931" s="3" t="s">
        <v>2697</v>
      </c>
      <c r="G16931" s="6">
        <v>728</v>
      </c>
      <c r="H16931" s="5">
        <v>13712</v>
      </c>
    </row>
    <row r="16932" spans="2:8" ht="15" customHeight="1" x14ac:dyDescent="0.4">
      <c r="B16932" s="3" t="s">
        <v>7</v>
      </c>
      <c r="C16932" s="3" t="s">
        <v>2696</v>
      </c>
      <c r="D16932" s="4">
        <f>DATE(2012,11,14)</f>
        <v>41227</v>
      </c>
      <c r="E16932" s="5">
        <f t="shared" si="278"/>
        <v>2012</v>
      </c>
      <c r="F16932" s="3" t="s">
        <v>2697</v>
      </c>
      <c r="G16932" s="6">
        <v>261.5</v>
      </c>
      <c r="H16932" s="5">
        <v>17814</v>
      </c>
    </row>
    <row r="16933" spans="2:8" ht="15" customHeight="1" x14ac:dyDescent="0.4">
      <c r="B16933" s="3" t="s">
        <v>7</v>
      </c>
      <c r="C16933" s="3" t="s">
        <v>2696</v>
      </c>
      <c r="D16933" s="4">
        <f>DATE(2014,7,25)</f>
        <v>41845</v>
      </c>
      <c r="E16933" s="5">
        <f t="shared" si="278"/>
        <v>2014</v>
      </c>
      <c r="F16933" s="3" t="s">
        <v>2697</v>
      </c>
      <c r="G16933" s="6">
        <v>400</v>
      </c>
      <c r="H16933" s="5">
        <v>20210</v>
      </c>
    </row>
    <row r="16934" spans="2:8" ht="15" customHeight="1" x14ac:dyDescent="0.4">
      <c r="B16934" t="s">
        <v>7</v>
      </c>
      <c r="C16934" t="s">
        <v>2696</v>
      </c>
      <c r="D16934" s="7">
        <f>DATE(2004,12,31)</f>
        <v>38352</v>
      </c>
      <c r="E16934" s="8">
        <f t="shared" si="278"/>
        <v>2004</v>
      </c>
      <c r="F16934" t="s">
        <v>2698</v>
      </c>
      <c r="G16934" s="9">
        <v>4214.55</v>
      </c>
      <c r="H16934" s="8">
        <v>2466</v>
      </c>
    </row>
    <row r="16935" spans="2:8" ht="15" customHeight="1" x14ac:dyDescent="0.4">
      <c r="B16935" s="3" t="s">
        <v>7</v>
      </c>
      <c r="C16935" s="3" t="s">
        <v>2696</v>
      </c>
      <c r="D16935" s="4">
        <f>DATE(2005,1,12)</f>
        <v>38364</v>
      </c>
      <c r="E16935" s="5">
        <f t="shared" si="278"/>
        <v>2005</v>
      </c>
      <c r="F16935" s="3" t="s">
        <v>2698</v>
      </c>
      <c r="G16935" s="6">
        <v>9997.2000000000007</v>
      </c>
      <c r="H16935" s="5">
        <v>3942</v>
      </c>
    </row>
    <row r="16936" spans="2:8" ht="15" customHeight="1" x14ac:dyDescent="0.4">
      <c r="B16936" s="3" t="s">
        <v>7</v>
      </c>
      <c r="C16936" s="3" t="s">
        <v>2696</v>
      </c>
      <c r="D16936" s="4">
        <f>DATE(2005,2,22)</f>
        <v>38405</v>
      </c>
      <c r="E16936" s="5">
        <f t="shared" si="278"/>
        <v>2005</v>
      </c>
      <c r="F16936" s="3" t="s">
        <v>2698</v>
      </c>
      <c r="G16936" s="6">
        <v>200</v>
      </c>
      <c r="H16936" s="5">
        <v>4169</v>
      </c>
    </row>
    <row r="16937" spans="2:8" ht="15" customHeight="1" x14ac:dyDescent="0.4">
      <c r="B16937" s="3" t="s">
        <v>7</v>
      </c>
      <c r="C16937" s="3" t="s">
        <v>2696</v>
      </c>
      <c r="D16937" s="4">
        <f>DATE(2006,4,21)</f>
        <v>38828</v>
      </c>
      <c r="E16937" s="5">
        <f t="shared" si="278"/>
        <v>2006</v>
      </c>
      <c r="F16937" s="3" t="s">
        <v>2698</v>
      </c>
      <c r="G16937" s="6">
        <v>45.6</v>
      </c>
      <c r="H16937" s="5">
        <v>6581</v>
      </c>
    </row>
    <row r="16938" spans="2:8" ht="15" customHeight="1" x14ac:dyDescent="0.4">
      <c r="B16938" s="3" t="s">
        <v>7</v>
      </c>
      <c r="C16938" s="3" t="s">
        <v>2699</v>
      </c>
      <c r="D16938" s="4">
        <f>DATE(2008,11,6)</f>
        <v>39758</v>
      </c>
      <c r="E16938" s="5">
        <f t="shared" si="278"/>
        <v>2008</v>
      </c>
      <c r="F16938" s="3" t="s">
        <v>2700</v>
      </c>
      <c r="G16938" s="6">
        <v>3845.37</v>
      </c>
      <c r="H16938" s="5">
        <v>11031</v>
      </c>
    </row>
    <row r="16939" spans="2:8" ht="15" customHeight="1" x14ac:dyDescent="0.4">
      <c r="B16939" s="3" t="s">
        <v>7</v>
      </c>
      <c r="C16939" s="3" t="s">
        <v>2699</v>
      </c>
      <c r="D16939" s="4">
        <f>DATE(2010,9,13)</f>
        <v>40434</v>
      </c>
      <c r="E16939" s="5">
        <f t="shared" si="278"/>
        <v>2010</v>
      </c>
      <c r="F16939" s="3" t="s">
        <v>2700</v>
      </c>
      <c r="G16939" s="6">
        <v>3850.86</v>
      </c>
      <c r="H16939" s="5">
        <v>14301</v>
      </c>
    </row>
    <row r="16940" spans="2:8" ht="15" customHeight="1" x14ac:dyDescent="0.4">
      <c r="B16940" s="3" t="s">
        <v>7</v>
      </c>
      <c r="C16940" s="3" t="s">
        <v>2699</v>
      </c>
      <c r="D16940" s="4">
        <f>DATE(2013,5,10)</f>
        <v>41404</v>
      </c>
      <c r="E16940" s="5">
        <f t="shared" si="278"/>
        <v>2013</v>
      </c>
      <c r="F16940" s="3" t="s">
        <v>2700</v>
      </c>
      <c r="G16940" s="6">
        <v>68</v>
      </c>
      <c r="H16940" s="5">
        <v>18569</v>
      </c>
    </row>
    <row r="16941" spans="2:8" ht="15" customHeight="1" x14ac:dyDescent="0.4">
      <c r="B16941" s="3" t="s">
        <v>7</v>
      </c>
      <c r="C16941" s="3" t="s">
        <v>2699</v>
      </c>
      <c r="D16941" s="4">
        <f>DATE(2005,10,4)</f>
        <v>38629</v>
      </c>
      <c r="E16941" s="5">
        <f t="shared" si="278"/>
        <v>2005</v>
      </c>
      <c r="F16941" s="3" t="s">
        <v>2701</v>
      </c>
      <c r="G16941" s="6">
        <v>3516.24</v>
      </c>
      <c r="H16941" s="5">
        <v>5362</v>
      </c>
    </row>
    <row r="16942" spans="2:8" ht="15" customHeight="1" x14ac:dyDescent="0.4">
      <c r="B16942" s="3" t="s">
        <v>7</v>
      </c>
      <c r="C16942" s="3" t="s">
        <v>2409</v>
      </c>
      <c r="D16942" s="4">
        <f>DATE(2003,11,4)</f>
        <v>37929</v>
      </c>
      <c r="E16942" s="5">
        <f t="shared" si="278"/>
        <v>2003</v>
      </c>
      <c r="F16942" s="3" t="s">
        <v>2702</v>
      </c>
      <c r="G16942" s="6">
        <v>1572</v>
      </c>
      <c r="H16942" s="5">
        <v>1554</v>
      </c>
    </row>
    <row r="16943" spans="2:8" ht="15" customHeight="1" x14ac:dyDescent="0.4">
      <c r="B16943" t="s">
        <v>7</v>
      </c>
      <c r="C16943" t="s">
        <v>2703</v>
      </c>
      <c r="D16943" s="7">
        <f>DATE(2017,9,7)</f>
        <v>42985</v>
      </c>
      <c r="E16943" s="8">
        <f t="shared" si="278"/>
        <v>2017</v>
      </c>
      <c r="F16943" t="s">
        <v>2704</v>
      </c>
      <c r="G16943" s="9">
        <v>10003.959999999999</v>
      </c>
      <c r="H16943" s="8">
        <v>25470</v>
      </c>
    </row>
    <row r="16944" spans="2:8" ht="15" customHeight="1" x14ac:dyDescent="0.4">
      <c r="B16944" t="s">
        <v>7</v>
      </c>
      <c r="C16944" t="s">
        <v>2705</v>
      </c>
      <c r="D16944" s="7">
        <f>DATE(2008,11,1)</f>
        <v>39753</v>
      </c>
      <c r="E16944" s="8">
        <f t="shared" si="278"/>
        <v>2008</v>
      </c>
      <c r="F16944" t="s">
        <v>2706</v>
      </c>
      <c r="G16944" s="9">
        <v>1166.3699999999999</v>
      </c>
      <c r="H16944" s="8">
        <v>7873</v>
      </c>
    </row>
    <row r="16945" spans="2:8" ht="15" customHeight="1" x14ac:dyDescent="0.4">
      <c r="B16945" t="s">
        <v>7</v>
      </c>
      <c r="C16945" t="s">
        <v>2705</v>
      </c>
      <c r="D16945" s="7">
        <f>DATE(2009,3,11)</f>
        <v>39883</v>
      </c>
      <c r="E16945" s="8">
        <f t="shared" si="278"/>
        <v>2009</v>
      </c>
      <c r="F16945" t="s">
        <v>2706</v>
      </c>
      <c r="G16945" s="9">
        <v>13361</v>
      </c>
      <c r="H16945" s="8">
        <v>8387</v>
      </c>
    </row>
    <row r="16946" spans="2:8" ht="15" customHeight="1" x14ac:dyDescent="0.4">
      <c r="B16946" s="3" t="s">
        <v>7</v>
      </c>
      <c r="C16946" s="3" t="s">
        <v>2705</v>
      </c>
      <c r="D16946" s="4">
        <f>DATE(2008,11,1)</f>
        <v>39753</v>
      </c>
      <c r="E16946" s="5">
        <f t="shared" si="278"/>
        <v>2008</v>
      </c>
      <c r="F16946" s="3" t="s">
        <v>2706</v>
      </c>
      <c r="G16946" s="6">
        <v>1645.4</v>
      </c>
      <c r="H16946" s="5">
        <v>11308</v>
      </c>
    </row>
    <row r="16947" spans="2:8" ht="15" customHeight="1" x14ac:dyDescent="0.4">
      <c r="B16947" s="3" t="s">
        <v>7</v>
      </c>
      <c r="C16947" s="3" t="s">
        <v>2707</v>
      </c>
      <c r="D16947" s="4">
        <f>DATE(2003,10,16)</f>
        <v>37910</v>
      </c>
      <c r="E16947" s="5">
        <f t="shared" si="278"/>
        <v>2003</v>
      </c>
      <c r="F16947" s="3" t="s">
        <v>2708</v>
      </c>
      <c r="G16947" s="6">
        <v>9610</v>
      </c>
      <c r="H16947" s="5">
        <v>374</v>
      </c>
    </row>
    <row r="16948" spans="2:8" ht="15" customHeight="1" x14ac:dyDescent="0.4">
      <c r="B16948" t="s">
        <v>7</v>
      </c>
      <c r="C16948" t="s">
        <v>2709</v>
      </c>
      <c r="D16948" s="7">
        <f>DATE(2010,11,9)</f>
        <v>40491</v>
      </c>
      <c r="E16948" s="8">
        <f t="shared" si="278"/>
        <v>2010</v>
      </c>
      <c r="F16948" t="s">
        <v>2710</v>
      </c>
      <c r="G16948" s="9">
        <v>38725</v>
      </c>
      <c r="H16948" s="8">
        <v>10189</v>
      </c>
    </row>
    <row r="16949" spans="2:8" ht="15" customHeight="1" x14ac:dyDescent="0.4">
      <c r="B16949" t="s">
        <v>7</v>
      </c>
      <c r="C16949" t="s">
        <v>2709</v>
      </c>
      <c r="D16949" s="7">
        <f>DATE(2012,11,20)</f>
        <v>41233</v>
      </c>
      <c r="E16949" s="8">
        <f t="shared" si="278"/>
        <v>2012</v>
      </c>
      <c r="F16949" t="s">
        <v>2710</v>
      </c>
      <c r="G16949" s="9">
        <v>37780</v>
      </c>
      <c r="H16949" s="8">
        <v>12003</v>
      </c>
    </row>
    <row r="16950" spans="2:8" ht="15" customHeight="1" x14ac:dyDescent="0.4">
      <c r="B16950" s="3" t="s">
        <v>7</v>
      </c>
      <c r="C16950" s="3" t="s">
        <v>2709</v>
      </c>
      <c r="D16950" s="4">
        <f>DATE(2010,4,21)</f>
        <v>40289</v>
      </c>
      <c r="E16950" s="5">
        <f t="shared" si="278"/>
        <v>2010</v>
      </c>
      <c r="F16950" s="3" t="s">
        <v>2710</v>
      </c>
      <c r="G16950" s="6">
        <v>153.80000000000001</v>
      </c>
      <c r="H16950" s="5">
        <v>13922</v>
      </c>
    </row>
    <row r="16951" spans="2:8" ht="15" customHeight="1" x14ac:dyDescent="0.4">
      <c r="B16951" s="3" t="s">
        <v>7</v>
      </c>
      <c r="C16951" s="3" t="s">
        <v>2709</v>
      </c>
      <c r="D16951" s="4">
        <f>DATE(2010,10,8)</f>
        <v>40459</v>
      </c>
      <c r="E16951" s="5">
        <f t="shared" si="278"/>
        <v>2010</v>
      </c>
      <c r="F16951" s="3" t="s">
        <v>2710</v>
      </c>
      <c r="G16951" s="6">
        <v>450</v>
      </c>
      <c r="H16951" s="5">
        <v>14592</v>
      </c>
    </row>
    <row r="16952" spans="2:8" ht="15" customHeight="1" x14ac:dyDescent="0.4">
      <c r="B16952" s="3" t="s">
        <v>7</v>
      </c>
      <c r="C16952" s="3" t="s">
        <v>2709</v>
      </c>
      <c r="D16952" s="4">
        <f>DATE(2010,12,7)</f>
        <v>40519</v>
      </c>
      <c r="E16952" s="5">
        <f t="shared" si="278"/>
        <v>2010</v>
      </c>
      <c r="F16952" s="3" t="s">
        <v>2710</v>
      </c>
      <c r="G16952" s="6">
        <v>450</v>
      </c>
      <c r="H16952" s="5">
        <v>14806</v>
      </c>
    </row>
    <row r="16953" spans="2:8" ht="15" customHeight="1" x14ac:dyDescent="0.4">
      <c r="B16953" s="3" t="s">
        <v>7</v>
      </c>
      <c r="C16953" s="3" t="s">
        <v>2709</v>
      </c>
      <c r="D16953" s="4">
        <f>DATE(2010,12,7)</f>
        <v>40519</v>
      </c>
      <c r="E16953" s="5">
        <f t="shared" si="278"/>
        <v>2010</v>
      </c>
      <c r="F16953" s="3" t="s">
        <v>2710</v>
      </c>
      <c r="G16953" s="6">
        <v>7050</v>
      </c>
      <c r="H16953" s="5">
        <v>14804</v>
      </c>
    </row>
    <row r="16954" spans="2:8" ht="15" customHeight="1" x14ac:dyDescent="0.4">
      <c r="B16954" s="3" t="s">
        <v>7</v>
      </c>
      <c r="C16954" s="3" t="s">
        <v>2709</v>
      </c>
      <c r="D16954" s="4">
        <f>DATE(2011,5,24)</f>
        <v>40687</v>
      </c>
      <c r="E16954" s="5">
        <f t="shared" si="278"/>
        <v>2011</v>
      </c>
      <c r="F16954" s="3" t="s">
        <v>2710</v>
      </c>
      <c r="G16954" s="6">
        <v>9940</v>
      </c>
      <c r="H16954" s="5">
        <v>15599</v>
      </c>
    </row>
    <row r="16955" spans="2:8" ht="15" customHeight="1" x14ac:dyDescent="0.4">
      <c r="B16955" t="s">
        <v>7</v>
      </c>
      <c r="C16955" t="s">
        <v>2709</v>
      </c>
      <c r="D16955" s="7">
        <f>DATE(2003,4,2)</f>
        <v>37713</v>
      </c>
      <c r="E16955" s="8">
        <f t="shared" si="278"/>
        <v>2003</v>
      </c>
      <c r="F16955" t="s">
        <v>2711</v>
      </c>
      <c r="G16955" s="9">
        <v>25000</v>
      </c>
      <c r="H16955" s="8">
        <v>436</v>
      </c>
    </row>
    <row r="16956" spans="2:8" ht="15" customHeight="1" x14ac:dyDescent="0.4">
      <c r="B16956" t="s">
        <v>7</v>
      </c>
      <c r="C16956" t="s">
        <v>2709</v>
      </c>
      <c r="D16956" s="7">
        <f>DATE(2004,5,21)</f>
        <v>38128</v>
      </c>
      <c r="E16956" s="8">
        <f t="shared" si="278"/>
        <v>2004</v>
      </c>
      <c r="F16956" t="s">
        <v>2711</v>
      </c>
      <c r="G16956" s="9">
        <v>4259</v>
      </c>
      <c r="H16956" s="8">
        <v>1801</v>
      </c>
    </row>
    <row r="16957" spans="2:8" ht="15" customHeight="1" x14ac:dyDescent="0.4">
      <c r="B16957" t="s">
        <v>7</v>
      </c>
      <c r="C16957" t="s">
        <v>2709</v>
      </c>
      <c r="D16957" s="7">
        <f>DATE(2004,5,31)</f>
        <v>38138</v>
      </c>
      <c r="E16957" s="8">
        <f t="shared" si="278"/>
        <v>2004</v>
      </c>
      <c r="F16957" t="s">
        <v>2711</v>
      </c>
      <c r="G16957" s="9">
        <v>32650</v>
      </c>
      <c r="H16957" s="8">
        <v>1825</v>
      </c>
    </row>
    <row r="16958" spans="2:8" ht="15" customHeight="1" x14ac:dyDescent="0.4">
      <c r="B16958" t="s">
        <v>7</v>
      </c>
      <c r="C16958" t="s">
        <v>2712</v>
      </c>
      <c r="D16958" s="7">
        <f>DATE(2012,10,24)</f>
        <v>41206</v>
      </c>
      <c r="E16958" s="8">
        <f t="shared" si="278"/>
        <v>2012</v>
      </c>
      <c r="F16958" t="s">
        <v>2713</v>
      </c>
      <c r="G16958" s="9">
        <v>750</v>
      </c>
      <c r="H16958" s="8">
        <v>11884</v>
      </c>
    </row>
    <row r="16959" spans="2:8" ht="15" customHeight="1" x14ac:dyDescent="0.4">
      <c r="B16959" t="s">
        <v>7</v>
      </c>
      <c r="C16959" t="s">
        <v>2712</v>
      </c>
      <c r="D16959" s="7">
        <f>DATE(2012,12,5)</f>
        <v>41248</v>
      </c>
      <c r="E16959" s="8">
        <f t="shared" si="278"/>
        <v>2012</v>
      </c>
      <c r="F16959" t="s">
        <v>2713</v>
      </c>
      <c r="G16959" s="9">
        <v>4500</v>
      </c>
      <c r="H16959" s="8">
        <v>11951</v>
      </c>
    </row>
    <row r="16960" spans="2:8" ht="15" customHeight="1" x14ac:dyDescent="0.4">
      <c r="B16960" t="s">
        <v>7</v>
      </c>
      <c r="C16960" t="s">
        <v>2712</v>
      </c>
      <c r="D16960" s="7">
        <f>DATE(2013,2,28)</f>
        <v>41333</v>
      </c>
      <c r="E16960" s="8">
        <f t="shared" si="278"/>
        <v>2013</v>
      </c>
      <c r="F16960" t="s">
        <v>2713</v>
      </c>
      <c r="G16960" s="9">
        <v>3927.22</v>
      </c>
      <c r="H16960" s="8">
        <v>12141</v>
      </c>
    </row>
    <row r="16961" spans="2:8" ht="15" customHeight="1" x14ac:dyDescent="0.4">
      <c r="B16961" t="s">
        <v>7</v>
      </c>
      <c r="C16961" t="s">
        <v>2712</v>
      </c>
      <c r="D16961" s="7">
        <f>DATE(2005,2,17)</f>
        <v>38400</v>
      </c>
      <c r="E16961" s="8">
        <f t="shared" si="278"/>
        <v>2005</v>
      </c>
      <c r="F16961" t="s">
        <v>2713</v>
      </c>
      <c r="G16961" s="9">
        <v>17408</v>
      </c>
      <c r="H16961" s="8">
        <v>2585</v>
      </c>
    </row>
    <row r="16962" spans="2:8" ht="15" customHeight="1" x14ac:dyDescent="0.4">
      <c r="B16962" s="3" t="s">
        <v>7</v>
      </c>
      <c r="C16962" s="3" t="s">
        <v>2712</v>
      </c>
      <c r="D16962" s="4">
        <f>DATE(2012,8,24)</f>
        <v>41145</v>
      </c>
      <c r="E16962" s="5">
        <f t="shared" si="278"/>
        <v>2012</v>
      </c>
      <c r="F16962" s="3" t="s">
        <v>2713</v>
      </c>
      <c r="G16962" s="6">
        <v>1239.1400000000001</v>
      </c>
      <c r="H16962" s="5">
        <v>17399</v>
      </c>
    </row>
    <row r="16963" spans="2:8" ht="15" customHeight="1" x14ac:dyDescent="0.4">
      <c r="B16963" t="s">
        <v>7</v>
      </c>
      <c r="C16963" t="s">
        <v>2714</v>
      </c>
      <c r="D16963" s="7">
        <f>DATE(2019,4,30)</f>
        <v>43585</v>
      </c>
      <c r="E16963" s="8">
        <f t="shared" ref="E16963:E17026" si="279">YEAR(D16963)</f>
        <v>2019</v>
      </c>
      <c r="F16963" t="s">
        <v>2715</v>
      </c>
      <c r="G16963" s="9">
        <v>84016.65</v>
      </c>
      <c r="H16963" s="8">
        <v>28329</v>
      </c>
    </row>
    <row r="16964" spans="2:8" ht="15" customHeight="1" x14ac:dyDescent="0.4">
      <c r="B16964" t="s">
        <v>7</v>
      </c>
      <c r="C16964" t="s">
        <v>2716</v>
      </c>
      <c r="D16964" s="7">
        <f>DATE(2019,4,26)</f>
        <v>43581</v>
      </c>
      <c r="E16964" s="8">
        <f t="shared" si="279"/>
        <v>2019</v>
      </c>
      <c r="F16964" t="s">
        <v>2717</v>
      </c>
      <c r="G16964" s="9">
        <v>32956.67</v>
      </c>
      <c r="H16964" s="8">
        <v>28717</v>
      </c>
    </row>
    <row r="16965" spans="2:8" ht="15" customHeight="1" x14ac:dyDescent="0.4">
      <c r="B16965" t="s">
        <v>7</v>
      </c>
      <c r="C16965" t="s">
        <v>2718</v>
      </c>
      <c r="D16965" s="7">
        <f>DATE(2017,4,3)</f>
        <v>42828</v>
      </c>
      <c r="E16965" s="8">
        <f t="shared" si="279"/>
        <v>2017</v>
      </c>
      <c r="F16965" t="s">
        <v>2719</v>
      </c>
      <c r="G16965" s="9">
        <v>13443.57</v>
      </c>
      <c r="H16965" s="8">
        <v>24432</v>
      </c>
    </row>
    <row r="16966" spans="2:8" ht="15" customHeight="1" x14ac:dyDescent="0.4">
      <c r="B16966" t="s">
        <v>7</v>
      </c>
      <c r="C16966" t="s">
        <v>2718</v>
      </c>
      <c r="D16966" s="7">
        <f>DATE(2017,4,3)</f>
        <v>42828</v>
      </c>
      <c r="E16966" s="8">
        <f t="shared" si="279"/>
        <v>2017</v>
      </c>
      <c r="F16966" t="s">
        <v>2719</v>
      </c>
      <c r="G16966" s="9">
        <v>14848.38</v>
      </c>
      <c r="H16966" s="8">
        <v>24668</v>
      </c>
    </row>
    <row r="16967" spans="2:8" ht="15" customHeight="1" x14ac:dyDescent="0.4">
      <c r="B16967" t="s">
        <v>7</v>
      </c>
      <c r="C16967" t="s">
        <v>2718</v>
      </c>
      <c r="D16967" s="7">
        <f>DATE(2017,5,8)</f>
        <v>42863</v>
      </c>
      <c r="E16967" s="8">
        <f t="shared" si="279"/>
        <v>2017</v>
      </c>
      <c r="F16967" t="s">
        <v>2719</v>
      </c>
      <c r="G16967" s="9">
        <v>9757.84</v>
      </c>
      <c r="H16967" s="8">
        <v>24417</v>
      </c>
    </row>
    <row r="16968" spans="2:8" ht="15" customHeight="1" x14ac:dyDescent="0.4">
      <c r="B16968" s="3" t="s">
        <v>7</v>
      </c>
      <c r="C16968" s="3" t="s">
        <v>2718</v>
      </c>
      <c r="D16968" s="4">
        <f>DATE(2013,10,28)</f>
        <v>41575</v>
      </c>
      <c r="E16968" s="5">
        <f t="shared" si="279"/>
        <v>2013</v>
      </c>
      <c r="F16968" s="3" t="s">
        <v>2719</v>
      </c>
      <c r="G16968" s="6">
        <v>37531.08</v>
      </c>
      <c r="H16968" s="5">
        <v>5776</v>
      </c>
    </row>
    <row r="16969" spans="2:8" ht="15" customHeight="1" x14ac:dyDescent="0.4">
      <c r="B16969" s="3" t="s">
        <v>7</v>
      </c>
      <c r="C16969" s="3" t="s">
        <v>2718</v>
      </c>
      <c r="D16969" s="4">
        <f>DATE(2014,7,22)</f>
        <v>41842</v>
      </c>
      <c r="E16969" s="5">
        <f t="shared" si="279"/>
        <v>2014</v>
      </c>
      <c r="F16969" s="3" t="s">
        <v>2719</v>
      </c>
      <c r="G16969" s="6">
        <v>15653</v>
      </c>
      <c r="H16969" s="5">
        <v>6265</v>
      </c>
    </row>
    <row r="16970" spans="2:8" ht="15" customHeight="1" x14ac:dyDescent="0.4">
      <c r="B16970" t="s">
        <v>7</v>
      </c>
      <c r="C16970" t="s">
        <v>2720</v>
      </c>
      <c r="D16970" s="7">
        <f>DATE(2015,11,16)</f>
        <v>42324</v>
      </c>
      <c r="E16970" s="8">
        <f t="shared" si="279"/>
        <v>2015</v>
      </c>
      <c r="F16970" t="s">
        <v>2721</v>
      </c>
      <c r="G16970" s="9">
        <v>19563.189999999999</v>
      </c>
      <c r="H16970" s="8">
        <v>21545</v>
      </c>
    </row>
    <row r="16971" spans="2:8" ht="15" customHeight="1" x14ac:dyDescent="0.4">
      <c r="B16971" t="s">
        <v>7</v>
      </c>
      <c r="C16971" t="s">
        <v>2720</v>
      </c>
      <c r="D16971" s="7">
        <f>DATE(2015,11,18)</f>
        <v>42326</v>
      </c>
      <c r="E16971" s="8">
        <f t="shared" si="279"/>
        <v>2015</v>
      </c>
      <c r="F16971" t="s">
        <v>2721</v>
      </c>
      <c r="G16971" s="9">
        <v>17304.919999999998</v>
      </c>
      <c r="H16971" s="8">
        <v>21167</v>
      </c>
    </row>
    <row r="16972" spans="2:8" ht="15" customHeight="1" x14ac:dyDescent="0.4">
      <c r="B16972" t="s">
        <v>7</v>
      </c>
      <c r="C16972" t="s">
        <v>2720</v>
      </c>
      <c r="D16972" s="7">
        <f>DATE(2015,11,18)</f>
        <v>42326</v>
      </c>
      <c r="E16972" s="8">
        <f t="shared" si="279"/>
        <v>2015</v>
      </c>
      <c r="F16972" t="s">
        <v>2721</v>
      </c>
      <c r="G16972" s="9">
        <v>59641.42</v>
      </c>
      <c r="H16972" s="8">
        <v>21171</v>
      </c>
    </row>
    <row r="16973" spans="2:8" ht="15" customHeight="1" x14ac:dyDescent="0.4">
      <c r="B16973" t="s">
        <v>7</v>
      </c>
      <c r="C16973" t="s">
        <v>2720</v>
      </c>
      <c r="D16973" s="7">
        <f>DATE(2016,3,1)</f>
        <v>42430</v>
      </c>
      <c r="E16973" s="8">
        <f t="shared" si="279"/>
        <v>2016</v>
      </c>
      <c r="F16973" t="s">
        <v>2721</v>
      </c>
      <c r="G16973" s="9">
        <v>64171.05</v>
      </c>
      <c r="H16973" s="8">
        <v>21870</v>
      </c>
    </row>
    <row r="16974" spans="2:8" ht="15" customHeight="1" x14ac:dyDescent="0.4">
      <c r="B16974" t="s">
        <v>7</v>
      </c>
      <c r="C16974" t="s">
        <v>2720</v>
      </c>
      <c r="D16974" s="7">
        <f>DATE(2016,3,15)</f>
        <v>42444</v>
      </c>
      <c r="E16974" s="8">
        <f t="shared" si="279"/>
        <v>2016</v>
      </c>
      <c r="F16974" t="s">
        <v>2721</v>
      </c>
      <c r="G16974" s="9">
        <v>49172.959999999999</v>
      </c>
      <c r="H16974" s="8">
        <v>22430</v>
      </c>
    </row>
    <row r="16975" spans="2:8" ht="15" customHeight="1" x14ac:dyDescent="0.4">
      <c r="B16975" t="s">
        <v>7</v>
      </c>
      <c r="C16975" t="s">
        <v>2720</v>
      </c>
      <c r="D16975" s="7">
        <f>DATE(2016,11,17)</f>
        <v>42691</v>
      </c>
      <c r="E16975" s="8">
        <f t="shared" si="279"/>
        <v>2016</v>
      </c>
      <c r="F16975" t="s">
        <v>2721</v>
      </c>
      <c r="G16975" s="9">
        <v>168966</v>
      </c>
      <c r="H16975" s="8">
        <v>23702</v>
      </c>
    </row>
    <row r="16976" spans="2:8" ht="15" customHeight="1" x14ac:dyDescent="0.4">
      <c r="B16976" t="s">
        <v>16</v>
      </c>
      <c r="C16976" t="s">
        <v>2720</v>
      </c>
      <c r="D16976" s="7">
        <f>DATE(2016,3,14)</f>
        <v>42443</v>
      </c>
      <c r="E16976" s="8">
        <f t="shared" si="279"/>
        <v>2016</v>
      </c>
      <c r="F16976" t="s">
        <v>2721</v>
      </c>
      <c r="G16976" s="9">
        <v>64171.05</v>
      </c>
      <c r="H16976" s="8">
        <v>22429</v>
      </c>
    </row>
    <row r="16977" spans="2:8" ht="15" customHeight="1" x14ac:dyDescent="0.4">
      <c r="B16977" s="3" t="s">
        <v>7</v>
      </c>
      <c r="C16977" s="3" t="s">
        <v>2720</v>
      </c>
      <c r="D16977" s="4">
        <f>DATE(2012,8,13)</f>
        <v>41134</v>
      </c>
      <c r="E16977" s="5">
        <f t="shared" si="279"/>
        <v>2012</v>
      </c>
      <c r="F16977" s="3" t="s">
        <v>2721</v>
      </c>
      <c r="G16977" s="6">
        <v>15000</v>
      </c>
      <c r="H16977" s="5">
        <v>5158</v>
      </c>
    </row>
    <row r="16978" spans="2:8" ht="15" customHeight="1" x14ac:dyDescent="0.4">
      <c r="B16978" s="3" t="s">
        <v>16</v>
      </c>
      <c r="C16978" s="3" t="s">
        <v>2720</v>
      </c>
      <c r="D16978" s="4">
        <f>DATE(2013,1,24)</f>
        <v>41298</v>
      </c>
      <c r="E16978" s="5">
        <f t="shared" si="279"/>
        <v>2013</v>
      </c>
      <c r="F16978" s="3" t="s">
        <v>2721</v>
      </c>
      <c r="G16978" s="6">
        <v>15000</v>
      </c>
      <c r="H16978" s="5">
        <v>5408</v>
      </c>
    </row>
    <row r="16979" spans="2:8" ht="15" customHeight="1" x14ac:dyDescent="0.4">
      <c r="B16979" s="3" t="s">
        <v>7</v>
      </c>
      <c r="C16979" s="3" t="s">
        <v>2722</v>
      </c>
      <c r="D16979" s="4">
        <f>DATE(2010,10,8)</f>
        <v>40459</v>
      </c>
      <c r="E16979" s="5">
        <f t="shared" si="279"/>
        <v>2010</v>
      </c>
      <c r="F16979" s="3" t="s">
        <v>2723</v>
      </c>
      <c r="G16979" s="6">
        <v>47709.62</v>
      </c>
      <c r="H16979" s="5">
        <v>3785</v>
      </c>
    </row>
    <row r="16980" spans="2:8" ht="15" customHeight="1" x14ac:dyDescent="0.4">
      <c r="B16980" t="s">
        <v>7</v>
      </c>
      <c r="C16980" t="s">
        <v>2724</v>
      </c>
      <c r="D16980" s="7">
        <f>DATE(2017,11,1)</f>
        <v>43040</v>
      </c>
      <c r="E16980" s="8">
        <f t="shared" si="279"/>
        <v>2017</v>
      </c>
      <c r="F16980" t="s">
        <v>2725</v>
      </c>
      <c r="G16980" s="9">
        <v>82966.91</v>
      </c>
      <c r="H16980" s="8">
        <v>23961</v>
      </c>
    </row>
    <row r="16981" spans="2:8" ht="15" customHeight="1" x14ac:dyDescent="0.4">
      <c r="B16981" t="s">
        <v>7</v>
      </c>
      <c r="C16981" t="s">
        <v>2724</v>
      </c>
      <c r="D16981" s="7">
        <f>DATE(2017,11,1)</f>
        <v>43040</v>
      </c>
      <c r="E16981" s="8">
        <f t="shared" si="279"/>
        <v>2017</v>
      </c>
      <c r="F16981" t="s">
        <v>2725</v>
      </c>
      <c r="G16981" s="9">
        <v>219087.43</v>
      </c>
      <c r="H16981" s="8">
        <v>23981</v>
      </c>
    </row>
    <row r="16982" spans="2:8" ht="15" customHeight="1" x14ac:dyDescent="0.4">
      <c r="B16982" s="3" t="s">
        <v>7</v>
      </c>
      <c r="C16982" s="3" t="s">
        <v>2724</v>
      </c>
      <c r="D16982" s="4">
        <f>DATE(2011,11,4)</f>
        <v>40851</v>
      </c>
      <c r="E16982" s="5">
        <f t="shared" si="279"/>
        <v>2011</v>
      </c>
      <c r="F16982" s="3" t="s">
        <v>2725</v>
      </c>
      <c r="G16982" s="6">
        <v>6860</v>
      </c>
      <c r="H16982" s="5">
        <v>4338</v>
      </c>
    </row>
    <row r="16983" spans="2:8" ht="15" customHeight="1" x14ac:dyDescent="0.4">
      <c r="B16983" s="3" t="s">
        <v>7</v>
      </c>
      <c r="C16983" s="3" t="s">
        <v>2724</v>
      </c>
      <c r="D16983" s="4">
        <f>DATE(2011,11,28)</f>
        <v>40875</v>
      </c>
      <c r="E16983" s="5">
        <f t="shared" si="279"/>
        <v>2011</v>
      </c>
      <c r="F16983" s="3" t="s">
        <v>2725</v>
      </c>
      <c r="G16983" s="6">
        <v>45062.19</v>
      </c>
      <c r="H16983" s="5">
        <v>4681</v>
      </c>
    </row>
    <row r="16984" spans="2:8" ht="15" customHeight="1" x14ac:dyDescent="0.4">
      <c r="B16984" s="3" t="s">
        <v>7</v>
      </c>
      <c r="C16984" s="3" t="s">
        <v>2724</v>
      </c>
      <c r="D16984" s="4">
        <f>DATE(2013,4,24)</f>
        <v>41388</v>
      </c>
      <c r="E16984" s="5">
        <f t="shared" si="279"/>
        <v>2013</v>
      </c>
      <c r="F16984" s="3" t="s">
        <v>2725</v>
      </c>
      <c r="G16984" s="6">
        <v>24088.63</v>
      </c>
      <c r="H16984" s="5">
        <v>5506</v>
      </c>
    </row>
    <row r="16985" spans="2:8" ht="15" customHeight="1" x14ac:dyDescent="0.4">
      <c r="B16985" s="3" t="s">
        <v>7</v>
      </c>
      <c r="C16985" s="3" t="s">
        <v>2724</v>
      </c>
      <c r="D16985" s="4">
        <f>DATE(2013,4,24)</f>
        <v>41388</v>
      </c>
      <c r="E16985" s="5">
        <f t="shared" si="279"/>
        <v>2013</v>
      </c>
      <c r="F16985" s="3" t="s">
        <v>2725</v>
      </c>
      <c r="G16985" s="6">
        <v>10002.51</v>
      </c>
      <c r="H16985" s="5">
        <v>5529</v>
      </c>
    </row>
    <row r="16986" spans="2:8" ht="15" customHeight="1" x14ac:dyDescent="0.4">
      <c r="B16986" s="3" t="s">
        <v>7</v>
      </c>
      <c r="C16986" s="3" t="s">
        <v>2724</v>
      </c>
      <c r="D16986" s="4">
        <f>DATE(2011,11,28)</f>
        <v>40875</v>
      </c>
      <c r="E16986" s="5">
        <f t="shared" si="279"/>
        <v>2011</v>
      </c>
      <c r="F16986" s="3" t="s">
        <v>2725</v>
      </c>
      <c r="G16986" s="6">
        <v>152416.85</v>
      </c>
      <c r="H16986" s="5">
        <v>4337</v>
      </c>
    </row>
    <row r="16987" spans="2:8" ht="15" customHeight="1" x14ac:dyDescent="0.4">
      <c r="B16987" t="s">
        <v>7</v>
      </c>
      <c r="C16987" t="s">
        <v>2726</v>
      </c>
      <c r="D16987" s="7">
        <f>DATE(2015,7,2)</f>
        <v>42187</v>
      </c>
      <c r="E16987" s="8">
        <f t="shared" si="279"/>
        <v>2015</v>
      </c>
      <c r="F16987" t="s">
        <v>2727</v>
      </c>
      <c r="G16987" s="9">
        <v>16685.36</v>
      </c>
      <c r="H16987" s="8">
        <v>20845</v>
      </c>
    </row>
    <row r="16988" spans="2:8" ht="15" customHeight="1" x14ac:dyDescent="0.4">
      <c r="B16988" t="s">
        <v>7</v>
      </c>
      <c r="C16988" t="s">
        <v>2726</v>
      </c>
      <c r="D16988" s="7">
        <f>DATE(2017,5,23)</f>
        <v>42878</v>
      </c>
      <c r="E16988" s="8">
        <f t="shared" si="279"/>
        <v>2017</v>
      </c>
      <c r="F16988" t="s">
        <v>2727</v>
      </c>
      <c r="G16988" s="9">
        <v>8286.06</v>
      </c>
      <c r="H16988" s="8">
        <v>24575</v>
      </c>
    </row>
    <row r="16989" spans="2:8" ht="15" customHeight="1" x14ac:dyDescent="0.4">
      <c r="B16989" t="s">
        <v>7</v>
      </c>
      <c r="C16989" t="s">
        <v>2726</v>
      </c>
      <c r="D16989" s="7">
        <f>DATE(2018,5,22)</f>
        <v>43242</v>
      </c>
      <c r="E16989" s="8">
        <f t="shared" si="279"/>
        <v>2018</v>
      </c>
      <c r="F16989" t="s">
        <v>2728</v>
      </c>
      <c r="G16989" s="9">
        <v>7294.55</v>
      </c>
      <c r="H16989" s="8">
        <v>26679</v>
      </c>
    </row>
    <row r="16990" spans="2:8" ht="15" customHeight="1" x14ac:dyDescent="0.4">
      <c r="B16990" t="s">
        <v>16</v>
      </c>
      <c r="C16990" t="s">
        <v>2726</v>
      </c>
      <c r="D16990" s="7">
        <f>DATE(2018,6,1)</f>
        <v>43252</v>
      </c>
      <c r="E16990" s="8">
        <f t="shared" si="279"/>
        <v>2018</v>
      </c>
      <c r="F16990" t="s">
        <v>2728</v>
      </c>
      <c r="G16990" s="9">
        <v>312.5</v>
      </c>
      <c r="H16990" s="8">
        <v>27170</v>
      </c>
    </row>
    <row r="16991" spans="2:8" ht="15" customHeight="1" x14ac:dyDescent="0.4">
      <c r="B16991" t="s">
        <v>7</v>
      </c>
      <c r="C16991" t="s">
        <v>2718</v>
      </c>
      <c r="D16991" s="7">
        <f>DATE(2019,3,1)</f>
        <v>43525</v>
      </c>
      <c r="E16991" s="8">
        <f t="shared" si="279"/>
        <v>2019</v>
      </c>
      <c r="F16991" t="s">
        <v>2729</v>
      </c>
      <c r="G16991" s="9">
        <v>16044.05</v>
      </c>
      <c r="H16991" s="8">
        <v>28450</v>
      </c>
    </row>
    <row r="16992" spans="2:8" ht="15" customHeight="1" x14ac:dyDescent="0.4">
      <c r="B16992" t="s">
        <v>7</v>
      </c>
      <c r="C16992" t="s">
        <v>2730</v>
      </c>
      <c r="D16992" s="7">
        <f>DATE(2018,5,8)</f>
        <v>43228</v>
      </c>
      <c r="E16992" s="8">
        <f t="shared" si="279"/>
        <v>2018</v>
      </c>
      <c r="F16992" t="s">
        <v>2731</v>
      </c>
      <c r="G16992" s="9">
        <v>124463.01</v>
      </c>
      <c r="H16992" s="8">
        <v>26135</v>
      </c>
    </row>
    <row r="16993" spans="2:8" ht="15" customHeight="1" x14ac:dyDescent="0.4">
      <c r="B16993" s="3" t="s">
        <v>7</v>
      </c>
      <c r="C16993" s="3" t="s">
        <v>2732</v>
      </c>
      <c r="D16993" s="4">
        <f>DATE(2012,12,10)</f>
        <v>41253</v>
      </c>
      <c r="E16993" s="5">
        <f t="shared" si="279"/>
        <v>2012</v>
      </c>
      <c r="F16993" s="3" t="s">
        <v>2733</v>
      </c>
      <c r="G16993" s="6">
        <v>14390.93</v>
      </c>
      <c r="H16993" s="5">
        <v>5221</v>
      </c>
    </row>
    <row r="16994" spans="2:8" ht="15" customHeight="1" x14ac:dyDescent="0.4">
      <c r="B16994" s="3" t="s">
        <v>7</v>
      </c>
      <c r="C16994" s="3" t="s">
        <v>2730</v>
      </c>
      <c r="D16994" s="4">
        <f>DATE(2012,3,6)</f>
        <v>40974</v>
      </c>
      <c r="E16994" s="5">
        <f t="shared" si="279"/>
        <v>2012</v>
      </c>
      <c r="F16994" s="3" t="s">
        <v>2734</v>
      </c>
      <c r="G16994" s="6">
        <v>16182.33</v>
      </c>
      <c r="H16994" s="5">
        <v>4843</v>
      </c>
    </row>
    <row r="16995" spans="2:8" ht="15" customHeight="1" x14ac:dyDescent="0.4">
      <c r="B16995" s="3" t="s">
        <v>7</v>
      </c>
      <c r="C16995" s="3" t="s">
        <v>2730</v>
      </c>
      <c r="D16995" s="4">
        <f>DATE(2012,5,24)</f>
        <v>41053</v>
      </c>
      <c r="E16995" s="5">
        <f t="shared" si="279"/>
        <v>2012</v>
      </c>
      <c r="F16995" s="3" t="s">
        <v>2734</v>
      </c>
      <c r="G16995" s="6">
        <v>24121.83</v>
      </c>
      <c r="H16995" s="5">
        <v>5033</v>
      </c>
    </row>
    <row r="16996" spans="2:8" ht="15" customHeight="1" x14ac:dyDescent="0.4">
      <c r="B16996" s="3" t="s">
        <v>7</v>
      </c>
      <c r="C16996" s="3" t="s">
        <v>2730</v>
      </c>
      <c r="D16996" s="4">
        <f>DATE(2012,7,5)</f>
        <v>41095</v>
      </c>
      <c r="E16996" s="5">
        <f t="shared" si="279"/>
        <v>2012</v>
      </c>
      <c r="F16996" s="3" t="s">
        <v>2734</v>
      </c>
      <c r="G16996" s="6">
        <v>140486.97</v>
      </c>
      <c r="H16996" s="5">
        <v>5084</v>
      </c>
    </row>
    <row r="16997" spans="2:8" ht="15" customHeight="1" x14ac:dyDescent="0.4">
      <c r="B16997" s="3" t="s">
        <v>7</v>
      </c>
      <c r="C16997" s="3" t="s">
        <v>2730</v>
      </c>
      <c r="D16997" s="4">
        <f>DATE(2012,7,9)</f>
        <v>41099</v>
      </c>
      <c r="E16997" s="5">
        <f t="shared" si="279"/>
        <v>2012</v>
      </c>
      <c r="F16997" s="3" t="s">
        <v>2734</v>
      </c>
      <c r="G16997" s="6">
        <v>68260.37</v>
      </c>
      <c r="H16997" s="5">
        <v>5143</v>
      </c>
    </row>
    <row r="16998" spans="2:8" ht="15" customHeight="1" x14ac:dyDescent="0.4">
      <c r="B16998" s="3" t="s">
        <v>7</v>
      </c>
      <c r="C16998" s="3" t="s">
        <v>2730</v>
      </c>
      <c r="D16998" s="4">
        <f>DATE(2013,3,6)</f>
        <v>41339</v>
      </c>
      <c r="E16998" s="5">
        <f t="shared" si="279"/>
        <v>2013</v>
      </c>
      <c r="F16998" s="3" t="s">
        <v>2734</v>
      </c>
      <c r="G16998" s="6">
        <v>10585.89</v>
      </c>
      <c r="H16998" s="5">
        <v>5415</v>
      </c>
    </row>
    <row r="16999" spans="2:8" ht="15" customHeight="1" x14ac:dyDescent="0.4">
      <c r="B16999" s="3" t="s">
        <v>7</v>
      </c>
      <c r="C16999" s="3" t="s">
        <v>2722</v>
      </c>
      <c r="D16999" s="4">
        <f>DATE(2011,5,19)</f>
        <v>40682</v>
      </c>
      <c r="E16999" s="5">
        <f t="shared" si="279"/>
        <v>2011</v>
      </c>
      <c r="F16999" s="3" t="s">
        <v>2735</v>
      </c>
      <c r="G16999" s="6">
        <v>17632.87</v>
      </c>
      <c r="H16999" s="5">
        <v>4329</v>
      </c>
    </row>
    <row r="17000" spans="2:8" ht="15" customHeight="1" x14ac:dyDescent="0.4">
      <c r="B17000" t="s">
        <v>7</v>
      </c>
      <c r="C17000" t="s">
        <v>518</v>
      </c>
      <c r="D17000" s="7">
        <f>DATE(2013,9,4)</f>
        <v>41521</v>
      </c>
      <c r="E17000" s="8">
        <f t="shared" si="279"/>
        <v>2013</v>
      </c>
      <c r="F17000" t="s">
        <v>2736</v>
      </c>
      <c r="G17000" s="9">
        <v>50853.26</v>
      </c>
      <c r="H17000" s="8">
        <v>12589</v>
      </c>
    </row>
    <row r="17001" spans="2:8" ht="15" customHeight="1" x14ac:dyDescent="0.4">
      <c r="B17001" t="s">
        <v>7</v>
      </c>
      <c r="C17001" t="s">
        <v>2730</v>
      </c>
      <c r="D17001" s="7">
        <f>DATE(2015,3,10)</f>
        <v>42073</v>
      </c>
      <c r="E17001" s="8">
        <f t="shared" si="279"/>
        <v>2015</v>
      </c>
      <c r="F17001" t="s">
        <v>2737</v>
      </c>
      <c r="G17001" s="9">
        <v>46078.62</v>
      </c>
      <c r="H17001" s="8">
        <v>276</v>
      </c>
    </row>
    <row r="17002" spans="2:8" ht="15" customHeight="1" x14ac:dyDescent="0.4">
      <c r="B17002" s="3" t="s">
        <v>7</v>
      </c>
      <c r="C17002" s="3" t="s">
        <v>2730</v>
      </c>
      <c r="D17002" s="4">
        <f>DATE(2013,7,18)</f>
        <v>41473</v>
      </c>
      <c r="E17002" s="5">
        <f t="shared" si="279"/>
        <v>2013</v>
      </c>
      <c r="F17002" s="3" t="s">
        <v>2737</v>
      </c>
      <c r="G17002" s="6">
        <v>31915.71</v>
      </c>
      <c r="H17002" s="5">
        <v>5620</v>
      </c>
    </row>
    <row r="17003" spans="2:8" ht="15" customHeight="1" x14ac:dyDescent="0.4">
      <c r="B17003" s="3" t="s">
        <v>7</v>
      </c>
      <c r="C17003" s="3" t="s">
        <v>2730</v>
      </c>
      <c r="D17003" s="4">
        <f>DATE(2013,7,18)</f>
        <v>41473</v>
      </c>
      <c r="E17003" s="5">
        <f t="shared" si="279"/>
        <v>2013</v>
      </c>
      <c r="F17003" s="3" t="s">
        <v>2737</v>
      </c>
      <c r="G17003" s="6">
        <v>21287.82</v>
      </c>
      <c r="H17003" s="5">
        <v>5714</v>
      </c>
    </row>
    <row r="17004" spans="2:8" ht="15" customHeight="1" x14ac:dyDescent="0.4">
      <c r="B17004" s="3" t="s">
        <v>7</v>
      </c>
      <c r="C17004" s="3" t="s">
        <v>2730</v>
      </c>
      <c r="D17004" s="4">
        <f>DATE(2013,11,5)</f>
        <v>41583</v>
      </c>
      <c r="E17004" s="5">
        <f t="shared" si="279"/>
        <v>2013</v>
      </c>
      <c r="F17004" s="3" t="s">
        <v>2737</v>
      </c>
      <c r="G17004" s="6">
        <v>68296.429999999993</v>
      </c>
      <c r="H17004" s="5">
        <v>5772</v>
      </c>
    </row>
    <row r="17005" spans="2:8" ht="15" customHeight="1" x14ac:dyDescent="0.4">
      <c r="B17005" s="3" t="s">
        <v>7</v>
      </c>
      <c r="C17005" s="3" t="s">
        <v>2730</v>
      </c>
      <c r="D17005" s="4">
        <f>DATE(2013,11,18)</f>
        <v>41596</v>
      </c>
      <c r="E17005" s="5">
        <f t="shared" si="279"/>
        <v>2013</v>
      </c>
      <c r="F17005" s="3" t="s">
        <v>2737</v>
      </c>
      <c r="G17005" s="6">
        <v>50160.38</v>
      </c>
      <c r="H17005" s="5">
        <v>5837</v>
      </c>
    </row>
    <row r="17006" spans="2:8" ht="15" customHeight="1" x14ac:dyDescent="0.4">
      <c r="B17006" s="3" t="s">
        <v>7</v>
      </c>
      <c r="C17006" s="3" t="s">
        <v>2730</v>
      </c>
      <c r="D17006" s="4">
        <f>DATE(2014,3,19)</f>
        <v>41717</v>
      </c>
      <c r="E17006" s="5">
        <f t="shared" si="279"/>
        <v>2014</v>
      </c>
      <c r="F17006" s="3" t="s">
        <v>2737</v>
      </c>
      <c r="G17006" s="6">
        <v>17436.14</v>
      </c>
      <c r="H17006" s="5">
        <v>6021</v>
      </c>
    </row>
    <row r="17007" spans="2:8" ht="15" customHeight="1" x14ac:dyDescent="0.4">
      <c r="B17007" s="3" t="s">
        <v>7</v>
      </c>
      <c r="C17007" s="3" t="s">
        <v>2730</v>
      </c>
      <c r="D17007" s="4">
        <f>DATE(2014,5,9)</f>
        <v>41768</v>
      </c>
      <c r="E17007" s="5">
        <f t="shared" si="279"/>
        <v>2014</v>
      </c>
      <c r="F17007" s="3" t="s">
        <v>2737</v>
      </c>
      <c r="G17007" s="6">
        <v>49118.27</v>
      </c>
      <c r="H17007" s="5">
        <v>6095</v>
      </c>
    </row>
    <row r="17008" spans="2:8" ht="15" customHeight="1" x14ac:dyDescent="0.4">
      <c r="B17008" s="3" t="s">
        <v>7</v>
      </c>
      <c r="C17008" s="3" t="s">
        <v>2730</v>
      </c>
      <c r="D17008" s="4">
        <f>DATE(2014,5,9)</f>
        <v>41768</v>
      </c>
      <c r="E17008" s="5">
        <f t="shared" si="279"/>
        <v>2014</v>
      </c>
      <c r="F17008" s="3" t="s">
        <v>2737</v>
      </c>
      <c r="G17008" s="6">
        <v>27307.69</v>
      </c>
      <c r="H17008" s="5">
        <v>6113</v>
      </c>
    </row>
    <row r="17009" spans="2:8" ht="15" customHeight="1" x14ac:dyDescent="0.4">
      <c r="B17009" s="3" t="s">
        <v>7</v>
      </c>
      <c r="C17009" s="3" t="s">
        <v>2730</v>
      </c>
      <c r="D17009" s="4">
        <f>DATE(2014,5,9)</f>
        <v>41768</v>
      </c>
      <c r="E17009" s="5">
        <f t="shared" si="279"/>
        <v>2014</v>
      </c>
      <c r="F17009" s="3" t="s">
        <v>2737</v>
      </c>
      <c r="G17009" s="6">
        <v>14923.49</v>
      </c>
      <c r="H17009" s="5">
        <v>6111</v>
      </c>
    </row>
    <row r="17010" spans="2:8" ht="15" customHeight="1" x14ac:dyDescent="0.4">
      <c r="B17010" s="3" t="s">
        <v>7</v>
      </c>
      <c r="C17010" s="3" t="s">
        <v>2730</v>
      </c>
      <c r="D17010" s="4">
        <f>DATE(2014,5,9)</f>
        <v>41768</v>
      </c>
      <c r="E17010" s="5">
        <f t="shared" si="279"/>
        <v>2014</v>
      </c>
      <c r="F17010" s="3" t="s">
        <v>2737</v>
      </c>
      <c r="G17010" s="6">
        <v>44922.35</v>
      </c>
      <c r="H17010" s="5">
        <v>6154</v>
      </c>
    </row>
    <row r="17011" spans="2:8" ht="15" customHeight="1" x14ac:dyDescent="0.4">
      <c r="B17011" s="3" t="s">
        <v>7</v>
      </c>
      <c r="C17011" s="3" t="s">
        <v>2730</v>
      </c>
      <c r="D17011" s="4">
        <f>DATE(2014,6,26)</f>
        <v>41816</v>
      </c>
      <c r="E17011" s="5">
        <f t="shared" si="279"/>
        <v>2014</v>
      </c>
      <c r="F17011" s="3" t="s">
        <v>2737</v>
      </c>
      <c r="G17011" s="6">
        <v>13452.15</v>
      </c>
      <c r="H17011" s="5">
        <v>6233</v>
      </c>
    </row>
    <row r="17012" spans="2:8" ht="15" customHeight="1" x14ac:dyDescent="0.4">
      <c r="B17012" s="3" t="s">
        <v>7</v>
      </c>
      <c r="C17012" s="3" t="s">
        <v>2730</v>
      </c>
      <c r="D17012" s="4">
        <f>DATE(2014,8,27)</f>
        <v>41878</v>
      </c>
      <c r="E17012" s="5">
        <f t="shared" si="279"/>
        <v>2014</v>
      </c>
      <c r="F17012" s="3" t="s">
        <v>2737</v>
      </c>
      <c r="G17012" s="6">
        <v>63063.08</v>
      </c>
      <c r="H17012" s="5">
        <v>6261</v>
      </c>
    </row>
    <row r="17013" spans="2:8" ht="15" customHeight="1" x14ac:dyDescent="0.4">
      <c r="B17013" s="3" t="s">
        <v>7</v>
      </c>
      <c r="C17013" s="3" t="s">
        <v>2730</v>
      </c>
      <c r="D17013" s="4">
        <f>DATE(2014,8,27)</f>
        <v>41878</v>
      </c>
      <c r="E17013" s="5">
        <f t="shared" si="279"/>
        <v>2014</v>
      </c>
      <c r="F17013" s="3" t="s">
        <v>2737</v>
      </c>
      <c r="G17013" s="6">
        <v>21511.67</v>
      </c>
      <c r="H17013" s="5">
        <v>6262</v>
      </c>
    </row>
    <row r="17014" spans="2:8" ht="15" customHeight="1" x14ac:dyDescent="0.4">
      <c r="B17014" s="3" t="s">
        <v>7</v>
      </c>
      <c r="C17014" s="3" t="s">
        <v>2730</v>
      </c>
      <c r="D17014" s="4">
        <f>DATE(2014,8,27)</f>
        <v>41878</v>
      </c>
      <c r="E17014" s="5">
        <f t="shared" si="279"/>
        <v>2014</v>
      </c>
      <c r="F17014" s="3" t="s">
        <v>2737</v>
      </c>
      <c r="G17014" s="6">
        <v>13935.53</v>
      </c>
      <c r="H17014" s="5">
        <v>6342</v>
      </c>
    </row>
    <row r="17015" spans="2:8" ht="15" customHeight="1" x14ac:dyDescent="0.4">
      <c r="B17015" s="3" t="s">
        <v>7</v>
      </c>
      <c r="C17015" s="3" t="s">
        <v>2730</v>
      </c>
      <c r="D17015" s="4">
        <f>DATE(2015,1,5)</f>
        <v>42009</v>
      </c>
      <c r="E17015" s="5">
        <f t="shared" si="279"/>
        <v>2015</v>
      </c>
      <c r="F17015" s="3" t="s">
        <v>2737</v>
      </c>
      <c r="G17015" s="6">
        <v>13059.7</v>
      </c>
      <c r="H17015" s="5">
        <v>6464</v>
      </c>
    </row>
    <row r="17016" spans="2:8" ht="15" customHeight="1" x14ac:dyDescent="0.4">
      <c r="B17016" s="3" t="s">
        <v>7</v>
      </c>
      <c r="C17016" s="3" t="s">
        <v>2730</v>
      </c>
      <c r="D17016" s="4">
        <f>DATE(2014,8,27)</f>
        <v>41878</v>
      </c>
      <c r="E17016" s="5">
        <f t="shared" si="279"/>
        <v>2014</v>
      </c>
      <c r="F17016" s="3" t="s">
        <v>2737</v>
      </c>
      <c r="G17016" s="6">
        <v>101745.38</v>
      </c>
      <c r="H17016" s="5">
        <v>6263</v>
      </c>
    </row>
    <row r="17017" spans="2:8" ht="15" customHeight="1" x14ac:dyDescent="0.4">
      <c r="B17017" s="3" t="s">
        <v>7</v>
      </c>
      <c r="C17017" s="3" t="s">
        <v>2738</v>
      </c>
      <c r="D17017" s="4">
        <f>DATE(2005,10,5)</f>
        <v>38630</v>
      </c>
      <c r="E17017" s="5">
        <f t="shared" si="279"/>
        <v>2005</v>
      </c>
      <c r="F17017" s="3" t="s">
        <v>2739</v>
      </c>
      <c r="G17017" s="6">
        <v>51250</v>
      </c>
      <c r="H17017" s="5">
        <v>5066</v>
      </c>
    </row>
    <row r="17018" spans="2:8" ht="15" customHeight="1" x14ac:dyDescent="0.4">
      <c r="B17018" t="s">
        <v>7</v>
      </c>
      <c r="C17018" t="s">
        <v>2740</v>
      </c>
      <c r="D17018" s="7">
        <f>DATE(2006,5,8)</f>
        <v>38845</v>
      </c>
      <c r="E17018" s="8">
        <f t="shared" si="279"/>
        <v>2006</v>
      </c>
      <c r="F17018" t="s">
        <v>2741</v>
      </c>
      <c r="G17018" s="9">
        <v>10774.51</v>
      </c>
      <c r="H17018" s="8">
        <v>4091</v>
      </c>
    </row>
    <row r="17019" spans="2:8" ht="15" customHeight="1" x14ac:dyDescent="0.4">
      <c r="B17019" t="s">
        <v>7</v>
      </c>
      <c r="C17019" t="s">
        <v>2740</v>
      </c>
      <c r="D17019" s="7">
        <f>DATE(2013,4,3)</f>
        <v>41367</v>
      </c>
      <c r="E17019" s="8">
        <f t="shared" si="279"/>
        <v>2013</v>
      </c>
      <c r="F17019" t="s">
        <v>2741</v>
      </c>
      <c r="G17019" s="9">
        <v>2373.66</v>
      </c>
      <c r="H17019" s="8">
        <v>12357</v>
      </c>
    </row>
    <row r="17020" spans="2:8" ht="15" customHeight="1" x14ac:dyDescent="0.4">
      <c r="B17020" t="s">
        <v>7</v>
      </c>
      <c r="C17020" t="s">
        <v>2742</v>
      </c>
      <c r="D17020" s="7">
        <f>DATE(2011,11,23)</f>
        <v>40870</v>
      </c>
      <c r="E17020" s="8">
        <f t="shared" si="279"/>
        <v>2011</v>
      </c>
      <c r="F17020" t="s">
        <v>2743</v>
      </c>
      <c r="G17020" s="9">
        <v>5341.97</v>
      </c>
      <c r="H17020" s="8">
        <v>11135</v>
      </c>
    </row>
    <row r="17021" spans="2:8" ht="15" customHeight="1" x14ac:dyDescent="0.4">
      <c r="B17021" t="s">
        <v>7</v>
      </c>
      <c r="C17021" t="s">
        <v>2742</v>
      </c>
      <c r="D17021" s="7">
        <f>DATE(2012,3,8)</f>
        <v>40976</v>
      </c>
      <c r="E17021" s="8">
        <f t="shared" si="279"/>
        <v>2012</v>
      </c>
      <c r="F17021" t="s">
        <v>2743</v>
      </c>
      <c r="G17021" s="9">
        <v>12142.53</v>
      </c>
      <c r="H17021" s="8">
        <v>11391</v>
      </c>
    </row>
    <row r="17022" spans="2:8" ht="15" customHeight="1" x14ac:dyDescent="0.4">
      <c r="B17022" s="3" t="s">
        <v>7</v>
      </c>
      <c r="C17022" s="3" t="s">
        <v>2742</v>
      </c>
      <c r="D17022" s="4">
        <f>DATE(2005,8,9)</f>
        <v>38573</v>
      </c>
      <c r="E17022" s="5">
        <f t="shared" si="279"/>
        <v>2005</v>
      </c>
      <c r="F17022" s="3" t="s">
        <v>2743</v>
      </c>
      <c r="G17022" s="6">
        <v>1949.75</v>
      </c>
      <c r="H17022" s="5">
        <v>5076</v>
      </c>
    </row>
    <row r="17023" spans="2:8" ht="15" customHeight="1" x14ac:dyDescent="0.4">
      <c r="B17023" s="3" t="s">
        <v>7</v>
      </c>
      <c r="C17023" s="3" t="s">
        <v>2742</v>
      </c>
      <c r="D17023" s="4">
        <f>DATE(2005,10,4)</f>
        <v>38629</v>
      </c>
      <c r="E17023" s="5">
        <f t="shared" si="279"/>
        <v>2005</v>
      </c>
      <c r="F17023" s="3" t="s">
        <v>2743</v>
      </c>
      <c r="G17023" s="6">
        <v>2658.9</v>
      </c>
      <c r="H17023" s="5">
        <v>5286</v>
      </c>
    </row>
    <row r="17024" spans="2:8" ht="15" customHeight="1" x14ac:dyDescent="0.4">
      <c r="B17024" s="3" t="s">
        <v>7</v>
      </c>
      <c r="C17024" s="3" t="s">
        <v>2742</v>
      </c>
      <c r="D17024" s="4">
        <f>DATE(2010,3,31)</f>
        <v>40268</v>
      </c>
      <c r="E17024" s="5">
        <f t="shared" si="279"/>
        <v>2010</v>
      </c>
      <c r="F17024" s="3" t="s">
        <v>2743</v>
      </c>
      <c r="G17024" s="6">
        <v>720</v>
      </c>
      <c r="H17024" s="5">
        <v>13746</v>
      </c>
    </row>
    <row r="17025" spans="2:8" ht="15" customHeight="1" x14ac:dyDescent="0.4">
      <c r="B17025" s="3" t="s">
        <v>7</v>
      </c>
      <c r="C17025" s="3" t="s">
        <v>2742</v>
      </c>
      <c r="D17025" s="4">
        <f>DATE(2010,8,23)</f>
        <v>40413</v>
      </c>
      <c r="E17025" s="5">
        <f t="shared" si="279"/>
        <v>2010</v>
      </c>
      <c r="F17025" s="3" t="s">
        <v>2743</v>
      </c>
      <c r="G17025" s="6">
        <v>548</v>
      </c>
      <c r="H17025" s="5">
        <v>14318</v>
      </c>
    </row>
    <row r="17026" spans="2:8" ht="15" customHeight="1" x14ac:dyDescent="0.4">
      <c r="B17026" t="s">
        <v>7</v>
      </c>
      <c r="C17026" t="s">
        <v>2740</v>
      </c>
      <c r="D17026" s="7">
        <f>DATE(2017,5,2)</f>
        <v>42857</v>
      </c>
      <c r="E17026" s="8">
        <f t="shared" si="279"/>
        <v>2017</v>
      </c>
      <c r="F17026" t="s">
        <v>2744</v>
      </c>
      <c r="G17026" s="9">
        <v>11733.09</v>
      </c>
      <c r="H17026" s="8">
        <v>24607</v>
      </c>
    </row>
    <row r="17027" spans="2:8" ht="15" customHeight="1" x14ac:dyDescent="0.4">
      <c r="B17027" t="s">
        <v>7</v>
      </c>
      <c r="C17027" t="s">
        <v>2740</v>
      </c>
      <c r="D17027" s="7">
        <f>DATE(2018,4,24)</f>
        <v>43214</v>
      </c>
      <c r="E17027" s="8">
        <f t="shared" ref="E17027:E17090" si="280">YEAR(D17027)</f>
        <v>2018</v>
      </c>
      <c r="F17027" t="s">
        <v>2744</v>
      </c>
      <c r="G17027" s="9">
        <v>12611.78</v>
      </c>
      <c r="H17027" s="8">
        <v>26610</v>
      </c>
    </row>
    <row r="17028" spans="2:8" ht="15" customHeight="1" x14ac:dyDescent="0.4">
      <c r="B17028" t="s">
        <v>7</v>
      </c>
      <c r="C17028" t="s">
        <v>2740</v>
      </c>
      <c r="D17028" s="7">
        <f>DATE(2019,4,29)</f>
        <v>43584</v>
      </c>
      <c r="E17028" s="8">
        <f t="shared" si="280"/>
        <v>2019</v>
      </c>
      <c r="F17028" t="s">
        <v>2744</v>
      </c>
      <c r="G17028" s="9">
        <v>11734.56</v>
      </c>
      <c r="H17028" s="8">
        <v>28496</v>
      </c>
    </row>
    <row r="17029" spans="2:8" ht="15" customHeight="1" x14ac:dyDescent="0.4">
      <c r="B17029" t="s">
        <v>7</v>
      </c>
      <c r="C17029" t="s">
        <v>2740</v>
      </c>
      <c r="D17029" s="7">
        <f>DATE(2017,5,2)</f>
        <v>42857</v>
      </c>
      <c r="E17029" s="8">
        <f t="shared" si="280"/>
        <v>2017</v>
      </c>
      <c r="F17029" t="s">
        <v>2744</v>
      </c>
      <c r="G17029" s="9">
        <v>44026.8</v>
      </c>
      <c r="H17029" s="8">
        <v>24609</v>
      </c>
    </row>
    <row r="17030" spans="2:8" ht="15" customHeight="1" x14ac:dyDescent="0.4">
      <c r="B17030" t="s">
        <v>7</v>
      </c>
      <c r="C17030" t="s">
        <v>2740</v>
      </c>
      <c r="D17030" s="7">
        <f>DATE(2018,4,24)</f>
        <v>43214</v>
      </c>
      <c r="E17030" s="8">
        <f t="shared" si="280"/>
        <v>2018</v>
      </c>
      <c r="F17030" t="s">
        <v>2744</v>
      </c>
      <c r="G17030" s="9">
        <v>45600</v>
      </c>
      <c r="H17030" s="8">
        <v>26609</v>
      </c>
    </row>
    <row r="17031" spans="2:8" ht="15" customHeight="1" x14ac:dyDescent="0.4">
      <c r="B17031" t="s">
        <v>7</v>
      </c>
      <c r="C17031" t="s">
        <v>2740</v>
      </c>
      <c r="D17031" s="7">
        <f>DATE(2019,4,29)</f>
        <v>43584</v>
      </c>
      <c r="E17031" s="8">
        <f t="shared" si="280"/>
        <v>2019</v>
      </c>
      <c r="F17031" t="s">
        <v>2744</v>
      </c>
      <c r="G17031" s="9">
        <v>45843.37</v>
      </c>
      <c r="H17031" s="8">
        <v>28500</v>
      </c>
    </row>
    <row r="17032" spans="2:8" ht="15" customHeight="1" x14ac:dyDescent="0.4">
      <c r="B17032" t="s">
        <v>7</v>
      </c>
      <c r="C17032" t="s">
        <v>2745</v>
      </c>
      <c r="D17032" s="7">
        <f>DATE(2015,3,27)</f>
        <v>42090</v>
      </c>
      <c r="E17032" s="8">
        <f t="shared" si="280"/>
        <v>2015</v>
      </c>
      <c r="F17032" t="s">
        <v>2746</v>
      </c>
      <c r="G17032" s="9">
        <v>3991.86</v>
      </c>
      <c r="H17032" s="8">
        <v>20225</v>
      </c>
    </row>
    <row r="17033" spans="2:8" ht="15" customHeight="1" x14ac:dyDescent="0.4">
      <c r="B17033" t="s">
        <v>7</v>
      </c>
      <c r="C17033" t="s">
        <v>2745</v>
      </c>
      <c r="D17033" s="7">
        <f>DATE(2004,3,3)</f>
        <v>38049</v>
      </c>
      <c r="E17033" s="8">
        <f t="shared" si="280"/>
        <v>2004</v>
      </c>
      <c r="F17033" t="s">
        <v>2746</v>
      </c>
      <c r="G17033" s="9">
        <v>5670.77</v>
      </c>
      <c r="H17033" s="8">
        <v>1468</v>
      </c>
    </row>
    <row r="17034" spans="2:8" ht="15" customHeight="1" x14ac:dyDescent="0.4">
      <c r="B17034" t="s">
        <v>7</v>
      </c>
      <c r="C17034" t="s">
        <v>2745</v>
      </c>
      <c r="D17034" s="7">
        <f>DATE(2004,4,22)</f>
        <v>38099</v>
      </c>
      <c r="E17034" s="8">
        <f t="shared" si="280"/>
        <v>2004</v>
      </c>
      <c r="F17034" t="s">
        <v>2746</v>
      </c>
      <c r="G17034" s="9">
        <v>14656</v>
      </c>
      <c r="H17034" s="8">
        <v>1498</v>
      </c>
    </row>
    <row r="17035" spans="2:8" ht="15" customHeight="1" x14ac:dyDescent="0.4">
      <c r="B17035" t="s">
        <v>7</v>
      </c>
      <c r="C17035" t="s">
        <v>2745</v>
      </c>
      <c r="D17035" s="7">
        <f>DATE(2005,3,15)</f>
        <v>38426</v>
      </c>
      <c r="E17035" s="8">
        <f t="shared" si="280"/>
        <v>2005</v>
      </c>
      <c r="F17035" t="s">
        <v>2746</v>
      </c>
      <c r="G17035" s="9">
        <v>5683.78</v>
      </c>
      <c r="H17035" s="8">
        <v>2913</v>
      </c>
    </row>
    <row r="17036" spans="2:8" ht="15" customHeight="1" x14ac:dyDescent="0.4">
      <c r="B17036" t="s">
        <v>7</v>
      </c>
      <c r="C17036" t="s">
        <v>2745</v>
      </c>
      <c r="D17036" s="7">
        <f>DATE(2005,4,8)</f>
        <v>38450</v>
      </c>
      <c r="E17036" s="8">
        <f t="shared" si="280"/>
        <v>2005</v>
      </c>
      <c r="F17036" t="s">
        <v>2746</v>
      </c>
      <c r="G17036" s="9">
        <v>14656</v>
      </c>
      <c r="H17036" s="8">
        <v>2820</v>
      </c>
    </row>
    <row r="17037" spans="2:8" ht="15" customHeight="1" x14ac:dyDescent="0.4">
      <c r="B17037" t="s">
        <v>7</v>
      </c>
      <c r="C17037" t="s">
        <v>2745</v>
      </c>
      <c r="D17037" s="7">
        <f>DATE(2006,4,22)</f>
        <v>38829</v>
      </c>
      <c r="E17037" s="8">
        <f t="shared" si="280"/>
        <v>2006</v>
      </c>
      <c r="F17037" t="s">
        <v>2746</v>
      </c>
      <c r="G17037" s="9">
        <v>14656</v>
      </c>
      <c r="H17037" s="8">
        <v>4504</v>
      </c>
    </row>
    <row r="17038" spans="2:8" ht="15" customHeight="1" x14ac:dyDescent="0.4">
      <c r="B17038" t="s">
        <v>7</v>
      </c>
      <c r="C17038" t="s">
        <v>2745</v>
      </c>
      <c r="D17038" s="7">
        <f>DATE(2006,5,8)</f>
        <v>38845</v>
      </c>
      <c r="E17038" s="8">
        <f t="shared" si="280"/>
        <v>2006</v>
      </c>
      <c r="F17038" t="s">
        <v>2746</v>
      </c>
      <c r="G17038" s="9">
        <v>19915</v>
      </c>
      <c r="H17038" s="8">
        <v>4573</v>
      </c>
    </row>
    <row r="17039" spans="2:8" ht="15" customHeight="1" x14ac:dyDescent="0.4">
      <c r="B17039" t="s">
        <v>7</v>
      </c>
      <c r="C17039" t="s">
        <v>2745</v>
      </c>
      <c r="D17039" s="7">
        <f>DATE(2006,8,11)</f>
        <v>38940</v>
      </c>
      <c r="E17039" s="8">
        <f t="shared" si="280"/>
        <v>2006</v>
      </c>
      <c r="F17039" t="s">
        <v>2746</v>
      </c>
      <c r="G17039" s="9">
        <v>7431.39</v>
      </c>
      <c r="H17039" s="8">
        <v>4872</v>
      </c>
    </row>
    <row r="17040" spans="2:8" ht="15" customHeight="1" x14ac:dyDescent="0.4">
      <c r="B17040" t="s">
        <v>7</v>
      </c>
      <c r="C17040" t="s">
        <v>2745</v>
      </c>
      <c r="D17040" s="7">
        <f>DATE(2008,9,10)</f>
        <v>39701</v>
      </c>
      <c r="E17040" s="8">
        <f t="shared" si="280"/>
        <v>2008</v>
      </c>
      <c r="F17040" t="s">
        <v>2746</v>
      </c>
      <c r="G17040" s="9">
        <v>6523.54</v>
      </c>
      <c r="H17040" s="8">
        <v>7799</v>
      </c>
    </row>
    <row r="17041" spans="2:8" ht="15" customHeight="1" x14ac:dyDescent="0.4">
      <c r="B17041" t="s">
        <v>7</v>
      </c>
      <c r="C17041" t="s">
        <v>2745</v>
      </c>
      <c r="D17041" s="7">
        <f>DATE(2003,3,13)</f>
        <v>37693</v>
      </c>
      <c r="E17041" s="8">
        <f t="shared" si="280"/>
        <v>2003</v>
      </c>
      <c r="F17041" t="s">
        <v>2747</v>
      </c>
      <c r="G17041" s="9">
        <v>14656</v>
      </c>
      <c r="H17041" s="8">
        <v>286</v>
      </c>
    </row>
    <row r="17042" spans="2:8" ht="15" customHeight="1" x14ac:dyDescent="0.4">
      <c r="B17042" t="s">
        <v>7</v>
      </c>
      <c r="C17042" t="s">
        <v>2748</v>
      </c>
      <c r="D17042" s="7">
        <f>DATE(2014,4,23)</f>
        <v>41752</v>
      </c>
      <c r="E17042" s="8">
        <f t="shared" si="280"/>
        <v>2014</v>
      </c>
      <c r="F17042" t="s">
        <v>2749</v>
      </c>
      <c r="G17042" s="9">
        <v>5100.2</v>
      </c>
      <c r="H17042" s="8">
        <v>13068</v>
      </c>
    </row>
    <row r="17043" spans="2:8" ht="15" customHeight="1" x14ac:dyDescent="0.4">
      <c r="B17043" s="3" t="s">
        <v>7</v>
      </c>
      <c r="C17043" s="3" t="s">
        <v>2750</v>
      </c>
      <c r="D17043" s="4">
        <f>DATE(2004,4,23)</f>
        <v>38100</v>
      </c>
      <c r="E17043" s="5">
        <f t="shared" si="280"/>
        <v>2004</v>
      </c>
      <c r="F17043" s="3" t="s">
        <v>2751</v>
      </c>
      <c r="G17043" s="6">
        <v>454</v>
      </c>
      <c r="H17043" s="5">
        <v>2702</v>
      </c>
    </row>
    <row r="17044" spans="2:8" ht="15" customHeight="1" x14ac:dyDescent="0.4">
      <c r="B17044" t="s">
        <v>7</v>
      </c>
      <c r="C17044" t="s">
        <v>2752</v>
      </c>
      <c r="D17044" s="7">
        <f>DATE(2017,4,10)</f>
        <v>42835</v>
      </c>
      <c r="E17044" s="8">
        <f t="shared" si="280"/>
        <v>2017</v>
      </c>
      <c r="F17044" t="s">
        <v>2753</v>
      </c>
      <c r="G17044" s="9">
        <v>1072</v>
      </c>
      <c r="H17044" s="8">
        <v>24669</v>
      </c>
    </row>
    <row r="17045" spans="2:8" ht="15" customHeight="1" x14ac:dyDescent="0.4">
      <c r="B17045" t="s">
        <v>7</v>
      </c>
      <c r="C17045" t="s">
        <v>2752</v>
      </c>
      <c r="D17045" s="7">
        <f>DATE(2017,4,27)</f>
        <v>42852</v>
      </c>
      <c r="E17045" s="8">
        <f t="shared" si="280"/>
        <v>2017</v>
      </c>
      <c r="F17045" t="s">
        <v>2753</v>
      </c>
      <c r="G17045" s="9">
        <v>523</v>
      </c>
      <c r="H17045" s="8">
        <v>24831</v>
      </c>
    </row>
    <row r="17046" spans="2:8" ht="15" customHeight="1" x14ac:dyDescent="0.4">
      <c r="B17046" t="s">
        <v>7</v>
      </c>
      <c r="C17046" t="s">
        <v>2752</v>
      </c>
      <c r="D17046" s="7">
        <f>DATE(2011,4,20)</f>
        <v>40653</v>
      </c>
      <c r="E17046" s="8">
        <f t="shared" si="280"/>
        <v>2011</v>
      </c>
      <c r="F17046" t="s">
        <v>2753</v>
      </c>
      <c r="G17046" s="9">
        <v>9478.65</v>
      </c>
      <c r="H17046" s="8">
        <v>10668</v>
      </c>
    </row>
    <row r="17047" spans="2:8" ht="15" customHeight="1" x14ac:dyDescent="0.4">
      <c r="B17047" s="3" t="s">
        <v>7</v>
      </c>
      <c r="C17047" s="3" t="s">
        <v>2754</v>
      </c>
      <c r="D17047" s="4">
        <f>DATE(2007,2,23)</f>
        <v>39136</v>
      </c>
      <c r="E17047" s="5">
        <f t="shared" si="280"/>
        <v>2007</v>
      </c>
      <c r="F17047" s="3" t="s">
        <v>2755</v>
      </c>
      <c r="G17047" s="6">
        <v>1721.58</v>
      </c>
      <c r="H17047" s="5">
        <v>7986</v>
      </c>
    </row>
    <row r="17048" spans="2:8" ht="15" customHeight="1" x14ac:dyDescent="0.4">
      <c r="B17048" s="3" t="s">
        <v>7</v>
      </c>
      <c r="C17048" s="3" t="s">
        <v>2754</v>
      </c>
      <c r="D17048" s="4">
        <f>DATE(2008,8,8)</f>
        <v>39668</v>
      </c>
      <c r="E17048" s="5">
        <f t="shared" si="280"/>
        <v>2008</v>
      </c>
      <c r="F17048" s="3" t="s">
        <v>2755</v>
      </c>
      <c r="G17048" s="6">
        <v>1242</v>
      </c>
      <c r="H17048" s="5">
        <v>11088</v>
      </c>
    </row>
    <row r="17049" spans="2:8" ht="15" customHeight="1" x14ac:dyDescent="0.4">
      <c r="B17049" t="s">
        <v>7</v>
      </c>
      <c r="C17049" t="s">
        <v>2754</v>
      </c>
      <c r="D17049" s="7">
        <f>DATE(2006,10,27)</f>
        <v>39017</v>
      </c>
      <c r="E17049" s="8">
        <f t="shared" si="280"/>
        <v>2006</v>
      </c>
      <c r="F17049" t="s">
        <v>2756</v>
      </c>
      <c r="G17049" s="9">
        <v>1471.98</v>
      </c>
      <c r="H17049" s="8">
        <v>5113</v>
      </c>
    </row>
    <row r="17050" spans="2:8" ht="15" customHeight="1" x14ac:dyDescent="0.4">
      <c r="B17050" t="s">
        <v>7</v>
      </c>
      <c r="C17050" t="s">
        <v>2754</v>
      </c>
      <c r="D17050" s="7">
        <f>DATE(2006,11,1)</f>
        <v>39022</v>
      </c>
      <c r="E17050" s="8">
        <f t="shared" si="280"/>
        <v>2006</v>
      </c>
      <c r="F17050" t="s">
        <v>2756</v>
      </c>
      <c r="G17050" s="9">
        <v>686.06</v>
      </c>
      <c r="H17050" s="8">
        <v>5200</v>
      </c>
    </row>
    <row r="17051" spans="2:8" ht="15" customHeight="1" x14ac:dyDescent="0.4">
      <c r="B17051" s="3" t="s">
        <v>7</v>
      </c>
      <c r="C17051" s="3" t="s">
        <v>2754</v>
      </c>
      <c r="D17051" s="4">
        <f>DATE(2006,10,31)</f>
        <v>39021</v>
      </c>
      <c r="E17051" s="5">
        <f t="shared" si="280"/>
        <v>2006</v>
      </c>
      <c r="F17051" s="3" t="s">
        <v>2756</v>
      </c>
      <c r="G17051" s="6">
        <v>1099.67</v>
      </c>
      <c r="H17051" s="5">
        <v>7462</v>
      </c>
    </row>
    <row r="17052" spans="2:8" ht="15" customHeight="1" x14ac:dyDescent="0.4">
      <c r="B17052" s="3" t="s">
        <v>7</v>
      </c>
      <c r="C17052" s="3" t="s">
        <v>2754</v>
      </c>
      <c r="D17052" s="4">
        <f>DATE(2006,10,27)</f>
        <v>39017</v>
      </c>
      <c r="E17052" s="5">
        <f t="shared" si="280"/>
        <v>2006</v>
      </c>
      <c r="F17052" s="3" t="s">
        <v>2756</v>
      </c>
      <c r="G17052" s="6">
        <v>369</v>
      </c>
      <c r="H17052" s="5">
        <v>7445</v>
      </c>
    </row>
    <row r="17053" spans="2:8" ht="15" customHeight="1" x14ac:dyDescent="0.4">
      <c r="B17053" s="3" t="s">
        <v>7</v>
      </c>
      <c r="C17053" s="3" t="s">
        <v>2754</v>
      </c>
      <c r="D17053" s="4">
        <f>DATE(2007,4,4)</f>
        <v>39176</v>
      </c>
      <c r="E17053" s="5">
        <f t="shared" si="280"/>
        <v>2007</v>
      </c>
      <c r="F17053" s="3" t="s">
        <v>2756</v>
      </c>
      <c r="G17053" s="6">
        <v>1313.82</v>
      </c>
      <c r="H17053" s="5">
        <v>8313</v>
      </c>
    </row>
    <row r="17054" spans="2:8" ht="15" customHeight="1" x14ac:dyDescent="0.4">
      <c r="B17054" s="3" t="s">
        <v>7</v>
      </c>
      <c r="C17054" s="3" t="s">
        <v>2754</v>
      </c>
      <c r="D17054" s="4">
        <f>DATE(2008,10,23)</f>
        <v>39744</v>
      </c>
      <c r="E17054" s="5">
        <f t="shared" si="280"/>
        <v>2008</v>
      </c>
      <c r="F17054" s="3" t="s">
        <v>2756</v>
      </c>
      <c r="G17054" s="6">
        <v>1333.5</v>
      </c>
      <c r="H17054" s="5">
        <v>11473</v>
      </c>
    </row>
    <row r="17055" spans="2:8" ht="15" customHeight="1" x14ac:dyDescent="0.4">
      <c r="B17055" s="3" t="s">
        <v>7</v>
      </c>
      <c r="C17055" s="3" t="s">
        <v>2754</v>
      </c>
      <c r="D17055" s="4">
        <f>DATE(2010,5,13)</f>
        <v>40311</v>
      </c>
      <c r="E17055" s="5">
        <f t="shared" si="280"/>
        <v>2010</v>
      </c>
      <c r="F17055" s="3" t="s">
        <v>2756</v>
      </c>
      <c r="G17055" s="6">
        <v>2480</v>
      </c>
      <c r="H17055" s="5">
        <v>14019</v>
      </c>
    </row>
    <row r="17056" spans="2:8" ht="15" customHeight="1" x14ac:dyDescent="0.4">
      <c r="B17056" s="3" t="s">
        <v>7</v>
      </c>
      <c r="C17056" s="3" t="s">
        <v>2754</v>
      </c>
      <c r="D17056" s="4">
        <f>DATE(2010,5,19)</f>
        <v>40317</v>
      </c>
      <c r="E17056" s="5">
        <f t="shared" si="280"/>
        <v>2010</v>
      </c>
      <c r="F17056" s="3" t="s">
        <v>2756</v>
      </c>
      <c r="G17056" s="6">
        <v>2480</v>
      </c>
      <c r="H17056" s="5">
        <v>14075</v>
      </c>
    </row>
    <row r="17057" spans="2:8" ht="15" customHeight="1" x14ac:dyDescent="0.4">
      <c r="B17057" s="3" t="s">
        <v>7</v>
      </c>
      <c r="C17057" s="3" t="s">
        <v>2754</v>
      </c>
      <c r="D17057" s="4">
        <f>DATE(2010,5,28)</f>
        <v>40326</v>
      </c>
      <c r="E17057" s="5">
        <f t="shared" si="280"/>
        <v>2010</v>
      </c>
      <c r="F17057" s="3" t="s">
        <v>2756</v>
      </c>
      <c r="G17057" s="6">
        <v>77</v>
      </c>
      <c r="H17057" s="5">
        <v>14093</v>
      </c>
    </row>
    <row r="17058" spans="2:8" ht="15" customHeight="1" x14ac:dyDescent="0.4">
      <c r="B17058" s="3" t="s">
        <v>7</v>
      </c>
      <c r="C17058" s="3" t="s">
        <v>2754</v>
      </c>
      <c r="D17058" s="4">
        <f>DATE(2010,5,28)</f>
        <v>40326</v>
      </c>
      <c r="E17058" s="5">
        <f t="shared" si="280"/>
        <v>2010</v>
      </c>
      <c r="F17058" s="3" t="s">
        <v>2756</v>
      </c>
      <c r="G17058" s="6">
        <v>1744.08</v>
      </c>
      <c r="H17058" s="5">
        <v>14022</v>
      </c>
    </row>
    <row r="17059" spans="2:8" ht="15" customHeight="1" x14ac:dyDescent="0.4">
      <c r="B17059" t="s">
        <v>7</v>
      </c>
      <c r="C17059" t="s">
        <v>2757</v>
      </c>
      <c r="D17059" s="7">
        <f>DATE(2018,7,13)</f>
        <v>43294</v>
      </c>
      <c r="E17059" s="8">
        <f t="shared" si="280"/>
        <v>2018</v>
      </c>
      <c r="F17059" t="s">
        <v>2758</v>
      </c>
      <c r="G17059" s="9">
        <v>8263.86</v>
      </c>
      <c r="H17059" s="8">
        <v>27241</v>
      </c>
    </row>
    <row r="17060" spans="2:8" ht="15" customHeight="1" x14ac:dyDescent="0.4">
      <c r="B17060" t="s">
        <v>7</v>
      </c>
      <c r="C17060" t="s">
        <v>2759</v>
      </c>
      <c r="D17060" s="7">
        <f>DATE(2017,8,25)</f>
        <v>42972</v>
      </c>
      <c r="E17060" s="8">
        <f t="shared" si="280"/>
        <v>2017</v>
      </c>
      <c r="F17060" t="s">
        <v>2760</v>
      </c>
      <c r="G17060" s="9">
        <v>2428.56</v>
      </c>
      <c r="H17060" s="8">
        <v>25471</v>
      </c>
    </row>
    <row r="17061" spans="2:8" ht="15" customHeight="1" x14ac:dyDescent="0.4">
      <c r="B17061" t="s">
        <v>7</v>
      </c>
      <c r="C17061" t="s">
        <v>2759</v>
      </c>
      <c r="D17061" s="7">
        <f>DATE(2017,9,1)</f>
        <v>42979</v>
      </c>
      <c r="E17061" s="8">
        <f t="shared" si="280"/>
        <v>2017</v>
      </c>
      <c r="F17061" t="s">
        <v>2761</v>
      </c>
      <c r="G17061" s="9">
        <v>13900</v>
      </c>
      <c r="H17061" s="8">
        <v>25472</v>
      </c>
    </row>
    <row r="17062" spans="2:8" ht="15" customHeight="1" x14ac:dyDescent="0.4">
      <c r="B17062" t="s">
        <v>7</v>
      </c>
      <c r="C17062" t="s">
        <v>2759</v>
      </c>
      <c r="D17062" s="7">
        <f>DATE(2017,9,22)</f>
        <v>43000</v>
      </c>
      <c r="E17062" s="8">
        <f t="shared" si="280"/>
        <v>2017</v>
      </c>
      <c r="F17062" t="s">
        <v>2761</v>
      </c>
      <c r="G17062" s="9">
        <v>110359.65</v>
      </c>
      <c r="H17062" s="8">
        <v>25557</v>
      </c>
    </row>
    <row r="17063" spans="2:8" ht="15" customHeight="1" x14ac:dyDescent="0.4">
      <c r="B17063" t="s">
        <v>7</v>
      </c>
      <c r="C17063" t="s">
        <v>2759</v>
      </c>
      <c r="D17063" s="7">
        <f>DATE(2009,7,28)</f>
        <v>40022</v>
      </c>
      <c r="E17063" s="8">
        <f t="shared" si="280"/>
        <v>2009</v>
      </c>
      <c r="F17063" t="s">
        <v>2761</v>
      </c>
      <c r="G17063" s="9">
        <v>33900</v>
      </c>
      <c r="H17063" s="8">
        <v>8910</v>
      </c>
    </row>
    <row r="17064" spans="2:8" ht="15" customHeight="1" x14ac:dyDescent="0.4">
      <c r="B17064" t="s">
        <v>7</v>
      </c>
      <c r="C17064" t="s">
        <v>2759</v>
      </c>
      <c r="D17064" s="7">
        <f>DATE(2009,9,22)</f>
        <v>40078</v>
      </c>
      <c r="E17064" s="8">
        <f t="shared" si="280"/>
        <v>2009</v>
      </c>
      <c r="F17064" t="s">
        <v>2761</v>
      </c>
      <c r="G17064" s="9">
        <v>17374.240000000002</v>
      </c>
      <c r="H17064" s="8">
        <v>9007</v>
      </c>
    </row>
    <row r="17065" spans="2:8" ht="15" customHeight="1" x14ac:dyDescent="0.4">
      <c r="B17065" t="s">
        <v>7</v>
      </c>
      <c r="C17065" t="s">
        <v>2759</v>
      </c>
      <c r="D17065" s="7">
        <f>DATE(2009,10,22)</f>
        <v>40108</v>
      </c>
      <c r="E17065" s="8">
        <f t="shared" si="280"/>
        <v>2009</v>
      </c>
      <c r="F17065" t="s">
        <v>2761</v>
      </c>
      <c r="G17065" s="9">
        <v>38820</v>
      </c>
      <c r="H17065" s="8">
        <v>9154</v>
      </c>
    </row>
    <row r="17066" spans="2:8" ht="15" customHeight="1" x14ac:dyDescent="0.4">
      <c r="B17066" t="s">
        <v>7</v>
      </c>
      <c r="C17066" t="s">
        <v>2759</v>
      </c>
      <c r="D17066" s="7">
        <f>DATE(2009,11,20)</f>
        <v>40137</v>
      </c>
      <c r="E17066" s="8">
        <f t="shared" si="280"/>
        <v>2009</v>
      </c>
      <c r="F17066" t="s">
        <v>2761</v>
      </c>
      <c r="G17066" s="9">
        <v>17267.080000000002</v>
      </c>
      <c r="H17066" s="8">
        <v>9053</v>
      </c>
    </row>
    <row r="17067" spans="2:8" ht="15" customHeight="1" x14ac:dyDescent="0.4">
      <c r="B17067" t="s">
        <v>7</v>
      </c>
      <c r="C17067" t="s">
        <v>2759</v>
      </c>
      <c r="D17067" s="7">
        <f>DATE(2010,4,26)</f>
        <v>40294</v>
      </c>
      <c r="E17067" s="8">
        <f t="shared" si="280"/>
        <v>2010</v>
      </c>
      <c r="F17067" t="s">
        <v>2761</v>
      </c>
      <c r="G17067" s="9">
        <v>33118</v>
      </c>
      <c r="H17067" s="8">
        <v>9681</v>
      </c>
    </row>
    <row r="17068" spans="2:8" ht="15" customHeight="1" x14ac:dyDescent="0.4">
      <c r="B17068" t="s">
        <v>7</v>
      </c>
      <c r="C17068" t="s">
        <v>2759</v>
      </c>
      <c r="D17068" s="7">
        <f>DATE(2010,4,26)</f>
        <v>40294</v>
      </c>
      <c r="E17068" s="8">
        <f t="shared" si="280"/>
        <v>2010</v>
      </c>
      <c r="F17068" t="s">
        <v>2761</v>
      </c>
      <c r="G17068" s="9">
        <v>22630.74</v>
      </c>
      <c r="H17068" s="8">
        <v>9755</v>
      </c>
    </row>
    <row r="17069" spans="2:8" ht="15" customHeight="1" x14ac:dyDescent="0.4">
      <c r="B17069" t="s">
        <v>7</v>
      </c>
      <c r="C17069" t="s">
        <v>2759</v>
      </c>
      <c r="D17069" s="7">
        <f>DATE(2010,8,31)</f>
        <v>40421</v>
      </c>
      <c r="E17069" s="8">
        <f t="shared" si="280"/>
        <v>2010</v>
      </c>
      <c r="F17069" t="s">
        <v>2761</v>
      </c>
      <c r="G17069" s="9">
        <v>40250</v>
      </c>
      <c r="H17069" s="8">
        <v>10050</v>
      </c>
    </row>
    <row r="17070" spans="2:8" ht="15" customHeight="1" x14ac:dyDescent="0.4">
      <c r="B17070" t="s">
        <v>7</v>
      </c>
      <c r="C17070" t="s">
        <v>2759</v>
      </c>
      <c r="D17070" s="7">
        <f>DATE(2012,5,3)</f>
        <v>41032</v>
      </c>
      <c r="E17070" s="8">
        <f t="shared" si="280"/>
        <v>2012</v>
      </c>
      <c r="F17070" t="s">
        <v>2761</v>
      </c>
      <c r="G17070" s="9">
        <v>35050</v>
      </c>
      <c r="H17070" s="8">
        <v>11447</v>
      </c>
    </row>
    <row r="17071" spans="2:8" ht="15" customHeight="1" x14ac:dyDescent="0.4">
      <c r="B17071" t="s">
        <v>7</v>
      </c>
      <c r="C17071" t="s">
        <v>2759</v>
      </c>
      <c r="D17071" s="7">
        <f>DATE(2013,7,29)</f>
        <v>41484</v>
      </c>
      <c r="E17071" s="8">
        <f t="shared" si="280"/>
        <v>2013</v>
      </c>
      <c r="F17071" t="s">
        <v>2761</v>
      </c>
      <c r="G17071" s="9">
        <v>37558</v>
      </c>
      <c r="H17071" s="8">
        <v>12111</v>
      </c>
    </row>
    <row r="17072" spans="2:8" ht="15" customHeight="1" x14ac:dyDescent="0.4">
      <c r="B17072" t="s">
        <v>16</v>
      </c>
      <c r="C17072" t="s">
        <v>2759</v>
      </c>
      <c r="D17072" s="7">
        <f>DATE(2010,9,20)</f>
        <v>40441</v>
      </c>
      <c r="E17072" s="8">
        <f t="shared" si="280"/>
        <v>2010</v>
      </c>
      <c r="F17072" t="s">
        <v>2761</v>
      </c>
      <c r="G17072" s="9">
        <v>2240</v>
      </c>
      <c r="H17072" s="8">
        <v>10147</v>
      </c>
    </row>
    <row r="17073" spans="2:8" ht="15" customHeight="1" x14ac:dyDescent="0.4">
      <c r="B17073" s="3" t="s">
        <v>7</v>
      </c>
      <c r="C17073" s="3" t="s">
        <v>2759</v>
      </c>
      <c r="D17073" s="4">
        <f>DATE(2009,8,3)</f>
        <v>40028</v>
      </c>
      <c r="E17073" s="5">
        <f t="shared" si="280"/>
        <v>2009</v>
      </c>
      <c r="F17073" s="3" t="s">
        <v>2761</v>
      </c>
      <c r="G17073" s="6">
        <v>7100</v>
      </c>
      <c r="H17073" s="5">
        <v>12827</v>
      </c>
    </row>
    <row r="17074" spans="2:8" ht="15" customHeight="1" x14ac:dyDescent="0.4">
      <c r="B17074" s="3" t="s">
        <v>7</v>
      </c>
      <c r="C17074" s="3" t="s">
        <v>2759</v>
      </c>
      <c r="D17074" s="4">
        <f>DATE(2009,9,11)</f>
        <v>40067</v>
      </c>
      <c r="E17074" s="5">
        <f t="shared" si="280"/>
        <v>2009</v>
      </c>
      <c r="F17074" s="3" t="s">
        <v>2761</v>
      </c>
      <c r="G17074" s="6">
        <v>4500</v>
      </c>
      <c r="H17074" s="5">
        <v>12941</v>
      </c>
    </row>
    <row r="17075" spans="2:8" ht="15" customHeight="1" x14ac:dyDescent="0.4">
      <c r="B17075" s="3" t="s">
        <v>7</v>
      </c>
      <c r="C17075" s="3" t="s">
        <v>2759</v>
      </c>
      <c r="D17075" s="4">
        <f>DATE(2009,10,15)</f>
        <v>40101</v>
      </c>
      <c r="E17075" s="5">
        <f t="shared" si="280"/>
        <v>2009</v>
      </c>
      <c r="F17075" s="3" t="s">
        <v>2761</v>
      </c>
      <c r="G17075" s="6">
        <v>9857.5</v>
      </c>
      <c r="H17075" s="5">
        <v>13135</v>
      </c>
    </row>
    <row r="17076" spans="2:8" ht="15" customHeight="1" x14ac:dyDescent="0.4">
      <c r="B17076" s="3" t="s">
        <v>7</v>
      </c>
      <c r="C17076" s="3" t="s">
        <v>2759</v>
      </c>
      <c r="D17076" s="4">
        <f>DATE(2009,11,20)</f>
        <v>40137</v>
      </c>
      <c r="E17076" s="5">
        <f t="shared" si="280"/>
        <v>2009</v>
      </c>
      <c r="F17076" s="3" t="s">
        <v>2761</v>
      </c>
      <c r="G17076" s="6">
        <v>4500</v>
      </c>
      <c r="H17076" s="5">
        <v>12979</v>
      </c>
    </row>
    <row r="17077" spans="2:8" ht="15" customHeight="1" x14ac:dyDescent="0.4">
      <c r="B17077" s="3" t="s">
        <v>7</v>
      </c>
      <c r="C17077" s="3" t="s">
        <v>2759</v>
      </c>
      <c r="D17077" s="4">
        <f>DATE(2010,2,5)</f>
        <v>40214</v>
      </c>
      <c r="E17077" s="5">
        <f t="shared" si="280"/>
        <v>2010</v>
      </c>
      <c r="F17077" s="3" t="s">
        <v>2761</v>
      </c>
      <c r="G17077" s="6">
        <v>450</v>
      </c>
      <c r="H17077" s="5">
        <v>13527</v>
      </c>
    </row>
    <row r="17078" spans="2:8" ht="15" customHeight="1" x14ac:dyDescent="0.4">
      <c r="B17078" s="3" t="s">
        <v>7</v>
      </c>
      <c r="C17078" s="3" t="s">
        <v>2759</v>
      </c>
      <c r="D17078" s="4">
        <f>DATE(2010,3,9)</f>
        <v>40246</v>
      </c>
      <c r="E17078" s="5">
        <f t="shared" si="280"/>
        <v>2010</v>
      </c>
      <c r="F17078" s="3" t="s">
        <v>2761</v>
      </c>
      <c r="G17078" s="6">
        <v>7050</v>
      </c>
      <c r="H17078" s="5">
        <v>13502</v>
      </c>
    </row>
    <row r="17079" spans="2:8" ht="15" customHeight="1" x14ac:dyDescent="0.4">
      <c r="B17079" s="3" t="s">
        <v>7</v>
      </c>
      <c r="C17079" s="3" t="s">
        <v>2759</v>
      </c>
      <c r="D17079" s="4">
        <f>DATE(2010,4,19)</f>
        <v>40287</v>
      </c>
      <c r="E17079" s="5">
        <f t="shared" si="280"/>
        <v>2010</v>
      </c>
      <c r="F17079" s="3" t="s">
        <v>2761</v>
      </c>
      <c r="G17079" s="6">
        <v>3550</v>
      </c>
      <c r="H17079" s="5">
        <v>13884</v>
      </c>
    </row>
    <row r="17080" spans="2:8" ht="15" customHeight="1" x14ac:dyDescent="0.4">
      <c r="B17080" s="3" t="s">
        <v>7</v>
      </c>
      <c r="C17080" s="3" t="s">
        <v>2759</v>
      </c>
      <c r="D17080" s="4">
        <f>DATE(2010,6,11)</f>
        <v>40340</v>
      </c>
      <c r="E17080" s="5">
        <f t="shared" si="280"/>
        <v>2010</v>
      </c>
      <c r="F17080" s="3" t="s">
        <v>2761</v>
      </c>
      <c r="G17080" s="6">
        <v>7500</v>
      </c>
      <c r="H17080" s="5">
        <v>13883</v>
      </c>
    </row>
    <row r="17081" spans="2:8" ht="15" customHeight="1" x14ac:dyDescent="0.4">
      <c r="B17081" s="3" t="s">
        <v>7</v>
      </c>
      <c r="C17081" s="3" t="s">
        <v>2759</v>
      </c>
      <c r="D17081" s="4">
        <f>DATE(2010,8,9)</f>
        <v>40399</v>
      </c>
      <c r="E17081" s="5">
        <f t="shared" si="280"/>
        <v>2010</v>
      </c>
      <c r="F17081" s="3" t="s">
        <v>2761</v>
      </c>
      <c r="G17081" s="6">
        <v>7050</v>
      </c>
      <c r="H17081" s="5">
        <v>14298</v>
      </c>
    </row>
    <row r="17082" spans="2:8" ht="15" customHeight="1" x14ac:dyDescent="0.4">
      <c r="B17082" s="3" t="s">
        <v>7</v>
      </c>
      <c r="C17082" s="3" t="s">
        <v>2759</v>
      </c>
      <c r="D17082" s="4">
        <f>DATE(2010,9,2)</f>
        <v>40423</v>
      </c>
      <c r="E17082" s="5">
        <f t="shared" si="280"/>
        <v>2010</v>
      </c>
      <c r="F17082" s="3" t="s">
        <v>2761</v>
      </c>
      <c r="G17082" s="6">
        <v>1881.5</v>
      </c>
      <c r="H17082" s="5">
        <v>14383</v>
      </c>
    </row>
    <row r="17083" spans="2:8" ht="15" customHeight="1" x14ac:dyDescent="0.4">
      <c r="B17083" s="3" t="s">
        <v>7</v>
      </c>
      <c r="C17083" s="3" t="s">
        <v>2759</v>
      </c>
      <c r="D17083" s="4">
        <f>DATE(2010,9,9)</f>
        <v>40430</v>
      </c>
      <c r="E17083" s="5">
        <f t="shared" si="280"/>
        <v>2010</v>
      </c>
      <c r="F17083" s="3" t="s">
        <v>2761</v>
      </c>
      <c r="G17083" s="6">
        <v>106.5</v>
      </c>
      <c r="H17083" s="5">
        <v>14382</v>
      </c>
    </row>
    <row r="17084" spans="2:8" ht="15" customHeight="1" x14ac:dyDescent="0.4">
      <c r="B17084" s="3" t="s">
        <v>7</v>
      </c>
      <c r="C17084" s="3" t="s">
        <v>2759</v>
      </c>
      <c r="D17084" s="4">
        <f>DATE(2010,10,21)</f>
        <v>40472</v>
      </c>
      <c r="E17084" s="5">
        <f t="shared" si="280"/>
        <v>2010</v>
      </c>
      <c r="F17084" s="3" t="s">
        <v>2761</v>
      </c>
      <c r="G17084" s="6">
        <v>150</v>
      </c>
      <c r="H17084" s="5">
        <v>14647</v>
      </c>
    </row>
    <row r="17085" spans="2:8" ht="15" customHeight="1" x14ac:dyDescent="0.4">
      <c r="B17085" s="3" t="s">
        <v>7</v>
      </c>
      <c r="C17085" s="3" t="s">
        <v>2759</v>
      </c>
      <c r="D17085" s="4">
        <f>DATE(2010,11,23)</f>
        <v>40505</v>
      </c>
      <c r="E17085" s="5">
        <f t="shared" si="280"/>
        <v>2010</v>
      </c>
      <c r="F17085" s="3" t="s">
        <v>2761</v>
      </c>
      <c r="G17085" s="6">
        <v>568</v>
      </c>
      <c r="H17085" s="5">
        <v>14765</v>
      </c>
    </row>
    <row r="17086" spans="2:8" ht="15" customHeight="1" x14ac:dyDescent="0.4">
      <c r="B17086" s="3" t="s">
        <v>7</v>
      </c>
      <c r="C17086" s="3" t="s">
        <v>2759</v>
      </c>
      <c r="D17086" s="4">
        <f>DATE(2011,2,9)</f>
        <v>40583</v>
      </c>
      <c r="E17086" s="5">
        <f t="shared" si="280"/>
        <v>2011</v>
      </c>
      <c r="F17086" s="3" t="s">
        <v>2761</v>
      </c>
      <c r="G17086" s="6">
        <v>1332.5</v>
      </c>
      <c r="H17086" s="5">
        <v>14974</v>
      </c>
    </row>
    <row r="17087" spans="2:8" ht="15" customHeight="1" x14ac:dyDescent="0.4">
      <c r="B17087" s="3" t="s">
        <v>7</v>
      </c>
      <c r="C17087" s="3" t="s">
        <v>2759</v>
      </c>
      <c r="D17087" s="4">
        <f>DATE(2011,3,2)</f>
        <v>40604</v>
      </c>
      <c r="E17087" s="5">
        <f t="shared" si="280"/>
        <v>2011</v>
      </c>
      <c r="F17087" s="3" t="s">
        <v>2761</v>
      </c>
      <c r="G17087" s="6">
        <v>9940</v>
      </c>
      <c r="H17087" s="5">
        <v>15008</v>
      </c>
    </row>
    <row r="17088" spans="2:8" ht="15" customHeight="1" x14ac:dyDescent="0.4">
      <c r="B17088" s="3" t="s">
        <v>7</v>
      </c>
      <c r="C17088" s="3" t="s">
        <v>2759</v>
      </c>
      <c r="D17088" s="4">
        <f>DATE(2011,3,4)</f>
        <v>40606</v>
      </c>
      <c r="E17088" s="5">
        <f t="shared" si="280"/>
        <v>2011</v>
      </c>
      <c r="F17088" s="3" t="s">
        <v>2761</v>
      </c>
      <c r="G17088" s="6">
        <v>4100</v>
      </c>
      <c r="H17088" s="5">
        <v>15189</v>
      </c>
    </row>
    <row r="17089" spans="2:8" ht="15" customHeight="1" x14ac:dyDescent="0.4">
      <c r="B17089" s="3" t="s">
        <v>7</v>
      </c>
      <c r="C17089" s="3" t="s">
        <v>2759</v>
      </c>
      <c r="D17089" s="4">
        <f>DATE(2011,3,10)</f>
        <v>40612</v>
      </c>
      <c r="E17089" s="5">
        <f t="shared" si="280"/>
        <v>2011</v>
      </c>
      <c r="F17089" s="3" t="s">
        <v>2761</v>
      </c>
      <c r="G17089" s="6">
        <v>1332.5</v>
      </c>
      <c r="H17089" s="5">
        <v>15210</v>
      </c>
    </row>
    <row r="17090" spans="2:8" ht="15" customHeight="1" x14ac:dyDescent="0.4">
      <c r="B17090" t="s">
        <v>7</v>
      </c>
      <c r="C17090" t="s">
        <v>2762</v>
      </c>
      <c r="D17090" s="7">
        <f>DATE(2016,4,1)</f>
        <v>42461</v>
      </c>
      <c r="E17090" s="8">
        <f t="shared" si="280"/>
        <v>2016</v>
      </c>
      <c r="F17090" t="s">
        <v>2763</v>
      </c>
      <c r="G17090" s="9">
        <v>8634</v>
      </c>
      <c r="H17090" s="8">
        <v>22536</v>
      </c>
    </row>
    <row r="17091" spans="2:8" ht="15" customHeight="1" x14ac:dyDescent="0.4">
      <c r="B17091" t="s">
        <v>7</v>
      </c>
      <c r="C17091" t="s">
        <v>2762</v>
      </c>
      <c r="D17091" s="7">
        <f>DATE(2015,9,15)</f>
        <v>42262</v>
      </c>
      <c r="E17091" s="8">
        <f t="shared" ref="E17091:E17154" si="281">YEAR(D17091)</f>
        <v>2015</v>
      </c>
      <c r="F17091" t="s">
        <v>2763</v>
      </c>
      <c r="G17091" s="9">
        <v>4149.4799999999996</v>
      </c>
      <c r="H17091" s="8">
        <v>20464</v>
      </c>
    </row>
    <row r="17092" spans="2:8" ht="15" customHeight="1" x14ac:dyDescent="0.4">
      <c r="B17092" t="s">
        <v>7</v>
      </c>
      <c r="C17092" t="s">
        <v>2762</v>
      </c>
      <c r="D17092" s="7">
        <f>DATE(2016,3,30)</f>
        <v>42459</v>
      </c>
      <c r="E17092" s="8">
        <f t="shared" si="281"/>
        <v>2016</v>
      </c>
      <c r="F17092" t="s">
        <v>2763</v>
      </c>
      <c r="G17092" s="9">
        <v>4149.2</v>
      </c>
      <c r="H17092" s="8">
        <v>22488</v>
      </c>
    </row>
    <row r="17093" spans="2:8" ht="15" customHeight="1" x14ac:dyDescent="0.4">
      <c r="B17093" t="s">
        <v>7</v>
      </c>
      <c r="C17093" t="s">
        <v>2762</v>
      </c>
      <c r="D17093" s="7">
        <f>DATE(2016,4,6)</f>
        <v>42466</v>
      </c>
      <c r="E17093" s="8">
        <f t="shared" si="281"/>
        <v>2016</v>
      </c>
      <c r="F17093" t="s">
        <v>2763</v>
      </c>
      <c r="G17093" s="9">
        <v>160.6</v>
      </c>
      <c r="H17093" s="8">
        <v>22595</v>
      </c>
    </row>
    <row r="17094" spans="2:8" ht="15" customHeight="1" x14ac:dyDescent="0.4">
      <c r="B17094" t="s">
        <v>7</v>
      </c>
      <c r="C17094" t="s">
        <v>2762</v>
      </c>
      <c r="D17094" s="7">
        <f>DATE(2016,4,26)</f>
        <v>42486</v>
      </c>
      <c r="E17094" s="8">
        <f t="shared" si="281"/>
        <v>2016</v>
      </c>
      <c r="F17094" t="s">
        <v>2763</v>
      </c>
      <c r="G17094" s="9">
        <v>247.74</v>
      </c>
      <c r="H17094" s="8">
        <v>22644</v>
      </c>
    </row>
    <row r="17095" spans="2:8" ht="15" customHeight="1" x14ac:dyDescent="0.4">
      <c r="B17095" t="s">
        <v>7</v>
      </c>
      <c r="C17095" t="s">
        <v>2762</v>
      </c>
      <c r="D17095" s="7">
        <f>DATE(2017,11,28)</f>
        <v>43067</v>
      </c>
      <c r="E17095" s="8">
        <f t="shared" si="281"/>
        <v>2017</v>
      </c>
      <c r="F17095" t="s">
        <v>2763</v>
      </c>
      <c r="G17095" s="9">
        <v>3318.42</v>
      </c>
      <c r="H17095" s="8">
        <v>25940</v>
      </c>
    </row>
    <row r="17096" spans="2:8" ht="15" customHeight="1" x14ac:dyDescent="0.4">
      <c r="B17096" t="s">
        <v>7</v>
      </c>
      <c r="C17096" t="s">
        <v>2762</v>
      </c>
      <c r="D17096" s="7">
        <f>DATE(2018,10,3)</f>
        <v>43376</v>
      </c>
      <c r="E17096" s="8">
        <f t="shared" si="281"/>
        <v>2018</v>
      </c>
      <c r="F17096" t="s">
        <v>2763</v>
      </c>
      <c r="G17096" s="9">
        <v>1666</v>
      </c>
      <c r="H17096" s="8">
        <v>27740</v>
      </c>
    </row>
    <row r="17097" spans="2:8" ht="15" customHeight="1" x14ac:dyDescent="0.4">
      <c r="B17097" t="s">
        <v>7</v>
      </c>
      <c r="C17097" t="s">
        <v>2762</v>
      </c>
      <c r="D17097" s="7">
        <f>DATE(2010,10,8)</f>
        <v>40459</v>
      </c>
      <c r="E17097" s="8">
        <f t="shared" si="281"/>
        <v>2010</v>
      </c>
      <c r="F17097" t="s">
        <v>2763</v>
      </c>
      <c r="G17097" s="9">
        <v>1128.92</v>
      </c>
      <c r="H17097" s="8">
        <v>9891</v>
      </c>
    </row>
    <row r="17098" spans="2:8" ht="15" customHeight="1" x14ac:dyDescent="0.4">
      <c r="B17098" t="s">
        <v>7</v>
      </c>
      <c r="C17098" t="s">
        <v>2762</v>
      </c>
      <c r="D17098" s="7">
        <f>DATE(2011,10,24)</f>
        <v>40840</v>
      </c>
      <c r="E17098" s="8">
        <f t="shared" si="281"/>
        <v>2011</v>
      </c>
      <c r="F17098" t="s">
        <v>2763</v>
      </c>
      <c r="G17098" s="9">
        <v>1243.26</v>
      </c>
      <c r="H17098" s="8">
        <v>10831</v>
      </c>
    </row>
    <row r="17099" spans="2:8" ht="15" customHeight="1" x14ac:dyDescent="0.4">
      <c r="B17099" t="s">
        <v>7</v>
      </c>
      <c r="C17099" t="s">
        <v>2762</v>
      </c>
      <c r="D17099" s="7">
        <f>DATE(2012,4,23)</f>
        <v>41022</v>
      </c>
      <c r="E17099" s="8">
        <f t="shared" si="281"/>
        <v>2012</v>
      </c>
      <c r="F17099" t="s">
        <v>2763</v>
      </c>
      <c r="G17099" s="9">
        <v>1252.54</v>
      </c>
      <c r="H17099" s="8">
        <v>11170</v>
      </c>
    </row>
    <row r="17100" spans="2:8" ht="15" customHeight="1" x14ac:dyDescent="0.4">
      <c r="B17100" t="s">
        <v>7</v>
      </c>
      <c r="C17100" t="s">
        <v>2762</v>
      </c>
      <c r="D17100" s="7">
        <f>DATE(2008,10,10)</f>
        <v>39731</v>
      </c>
      <c r="E17100" s="8">
        <f t="shared" si="281"/>
        <v>2008</v>
      </c>
      <c r="F17100" t="s">
        <v>2763</v>
      </c>
      <c r="G17100" s="9">
        <v>26210</v>
      </c>
      <c r="H17100" s="8">
        <v>7776</v>
      </c>
    </row>
    <row r="17101" spans="2:8" ht="15" customHeight="1" x14ac:dyDescent="0.4">
      <c r="B17101" t="s">
        <v>7</v>
      </c>
      <c r="C17101" t="s">
        <v>2762</v>
      </c>
      <c r="D17101" s="7">
        <f>DATE(2009,4,1)</f>
        <v>39904</v>
      </c>
      <c r="E17101" s="8">
        <f t="shared" si="281"/>
        <v>2009</v>
      </c>
      <c r="F17101" t="s">
        <v>2763</v>
      </c>
      <c r="G17101" s="9">
        <v>1853.61</v>
      </c>
      <c r="H17101" s="8">
        <v>8178</v>
      </c>
    </row>
    <row r="17102" spans="2:8" ht="15" customHeight="1" x14ac:dyDescent="0.4">
      <c r="B17102" t="s">
        <v>7</v>
      </c>
      <c r="C17102" t="s">
        <v>2762</v>
      </c>
      <c r="D17102" s="7">
        <f>DATE(2009,10,6)</f>
        <v>40092</v>
      </c>
      <c r="E17102" s="8">
        <f t="shared" si="281"/>
        <v>2009</v>
      </c>
      <c r="F17102" t="s">
        <v>2763</v>
      </c>
      <c r="G17102" s="9">
        <v>13178.8</v>
      </c>
      <c r="H17102" s="8">
        <v>8954</v>
      </c>
    </row>
    <row r="17103" spans="2:8" ht="15" customHeight="1" x14ac:dyDescent="0.4">
      <c r="B17103" t="s">
        <v>7</v>
      </c>
      <c r="C17103" t="s">
        <v>2762</v>
      </c>
      <c r="D17103" s="7">
        <f>DATE(2010,3,10)</f>
        <v>40247</v>
      </c>
      <c r="E17103" s="8">
        <f t="shared" si="281"/>
        <v>2010</v>
      </c>
      <c r="F17103" t="s">
        <v>2763</v>
      </c>
      <c r="G17103" s="9">
        <v>21408.44</v>
      </c>
      <c r="H17103" s="8">
        <v>9369</v>
      </c>
    </row>
    <row r="17104" spans="2:8" ht="15" customHeight="1" x14ac:dyDescent="0.4">
      <c r="B17104" s="3" t="s">
        <v>7</v>
      </c>
      <c r="C17104" s="3" t="s">
        <v>2762</v>
      </c>
      <c r="D17104" s="4">
        <f>DATE(2003,2,6)</f>
        <v>37658</v>
      </c>
      <c r="E17104" s="5">
        <f t="shared" si="281"/>
        <v>2003</v>
      </c>
      <c r="F17104" s="3" t="s">
        <v>2763</v>
      </c>
      <c r="G17104" s="6">
        <v>366</v>
      </c>
      <c r="H17104" s="5">
        <v>183</v>
      </c>
    </row>
    <row r="17105" spans="2:8" ht="15" customHeight="1" x14ac:dyDescent="0.4">
      <c r="B17105" s="3" t="s">
        <v>7</v>
      </c>
      <c r="C17105" s="3" t="s">
        <v>2762</v>
      </c>
      <c r="D17105" s="4">
        <f>DATE(2003,4,11)</f>
        <v>37722</v>
      </c>
      <c r="E17105" s="5">
        <f t="shared" si="281"/>
        <v>2003</v>
      </c>
      <c r="F17105" s="3" t="s">
        <v>2763</v>
      </c>
      <c r="G17105" s="6">
        <v>3626.75</v>
      </c>
      <c r="H17105" s="5">
        <v>728</v>
      </c>
    </row>
    <row r="17106" spans="2:8" ht="15" customHeight="1" x14ac:dyDescent="0.4">
      <c r="B17106" s="3" t="s">
        <v>7</v>
      </c>
      <c r="C17106" s="3" t="s">
        <v>2762</v>
      </c>
      <c r="D17106" s="4">
        <f>DATE(2003,4,14)</f>
        <v>37725</v>
      </c>
      <c r="E17106" s="5">
        <f t="shared" si="281"/>
        <v>2003</v>
      </c>
      <c r="F17106" s="3" t="s">
        <v>2763</v>
      </c>
      <c r="G17106" s="6">
        <v>3600</v>
      </c>
      <c r="H17106" s="5">
        <v>764</v>
      </c>
    </row>
    <row r="17107" spans="2:8" ht="15" customHeight="1" x14ac:dyDescent="0.4">
      <c r="B17107" s="3" t="s">
        <v>7</v>
      </c>
      <c r="C17107" s="3" t="s">
        <v>2762</v>
      </c>
      <c r="D17107" s="4">
        <f>DATE(2009,1,23)</f>
        <v>39836</v>
      </c>
      <c r="E17107" s="5">
        <f t="shared" si="281"/>
        <v>2009</v>
      </c>
      <c r="F17107" s="3" t="s">
        <v>2763</v>
      </c>
      <c r="G17107" s="6">
        <v>8500.85</v>
      </c>
      <c r="H17107" s="5">
        <v>11643</v>
      </c>
    </row>
    <row r="17108" spans="2:8" ht="15" customHeight="1" x14ac:dyDescent="0.4">
      <c r="B17108" s="3" t="s">
        <v>7</v>
      </c>
      <c r="C17108" s="3" t="s">
        <v>2762</v>
      </c>
      <c r="D17108" s="4">
        <f>DATE(2010,10,21)</f>
        <v>40472</v>
      </c>
      <c r="E17108" s="5">
        <f t="shared" si="281"/>
        <v>2010</v>
      </c>
      <c r="F17108" s="3" t="s">
        <v>2763</v>
      </c>
      <c r="G17108" s="6">
        <v>584</v>
      </c>
      <c r="H17108" s="5">
        <v>14644</v>
      </c>
    </row>
    <row r="17109" spans="2:8" ht="15" customHeight="1" x14ac:dyDescent="0.4">
      <c r="B17109" s="3" t="s">
        <v>7</v>
      </c>
      <c r="C17109" s="3" t="s">
        <v>2762</v>
      </c>
      <c r="D17109" s="4">
        <f>DATE(2011,1,13)</f>
        <v>40556</v>
      </c>
      <c r="E17109" s="5">
        <f t="shared" si="281"/>
        <v>2011</v>
      </c>
      <c r="F17109" s="3" t="s">
        <v>2763</v>
      </c>
      <c r="G17109" s="6">
        <v>3840.39</v>
      </c>
      <c r="H17109" s="5">
        <v>14860</v>
      </c>
    </row>
    <row r="17110" spans="2:8" ht="15" customHeight="1" x14ac:dyDescent="0.4">
      <c r="B17110" s="3" t="s">
        <v>7</v>
      </c>
      <c r="C17110" s="3" t="s">
        <v>2762</v>
      </c>
      <c r="D17110" s="4">
        <f>DATE(2011,9,28)</f>
        <v>40814</v>
      </c>
      <c r="E17110" s="5">
        <f t="shared" si="281"/>
        <v>2011</v>
      </c>
      <c r="F17110" s="3" t="s">
        <v>2763</v>
      </c>
      <c r="G17110" s="6">
        <v>3841</v>
      </c>
      <c r="H17110" s="5">
        <v>16047</v>
      </c>
    </row>
    <row r="17111" spans="2:8" ht="15" customHeight="1" x14ac:dyDescent="0.4">
      <c r="B17111" s="3" t="s">
        <v>7</v>
      </c>
      <c r="C17111" s="3" t="s">
        <v>2762</v>
      </c>
      <c r="D17111" s="4">
        <f>DATE(2012,3,2)</f>
        <v>40970</v>
      </c>
      <c r="E17111" s="5">
        <f t="shared" si="281"/>
        <v>2012</v>
      </c>
      <c r="F17111" s="3" t="s">
        <v>2763</v>
      </c>
      <c r="G17111" s="6">
        <v>2072</v>
      </c>
      <c r="H17111" s="5">
        <v>16689</v>
      </c>
    </row>
    <row r="17112" spans="2:8" ht="15" customHeight="1" x14ac:dyDescent="0.4">
      <c r="B17112" s="3" t="s">
        <v>7</v>
      </c>
      <c r="C17112" s="3" t="s">
        <v>2762</v>
      </c>
      <c r="D17112" s="4">
        <f>DATE(2012,4,23)</f>
        <v>41022</v>
      </c>
      <c r="E17112" s="5">
        <f t="shared" si="281"/>
        <v>2012</v>
      </c>
      <c r="F17112" s="3" t="s">
        <v>2763</v>
      </c>
      <c r="G17112" s="6">
        <v>4141.88</v>
      </c>
      <c r="H17112" s="5">
        <v>16989</v>
      </c>
    </row>
    <row r="17113" spans="2:8" ht="15" customHeight="1" x14ac:dyDescent="0.4">
      <c r="B17113" s="3" t="s">
        <v>7</v>
      </c>
      <c r="C17113" s="3" t="s">
        <v>2762</v>
      </c>
      <c r="D17113" s="4">
        <f>DATE(2013,1,25)</f>
        <v>41299</v>
      </c>
      <c r="E17113" s="5">
        <f t="shared" si="281"/>
        <v>2013</v>
      </c>
      <c r="F17113" s="3" t="s">
        <v>2763</v>
      </c>
      <c r="G17113" s="6">
        <v>7716.53</v>
      </c>
      <c r="H17113" s="5">
        <v>18045</v>
      </c>
    </row>
    <row r="17114" spans="2:8" ht="15" customHeight="1" x14ac:dyDescent="0.4">
      <c r="B17114" s="3" t="s">
        <v>7</v>
      </c>
      <c r="C17114" s="3" t="s">
        <v>2762</v>
      </c>
      <c r="D17114" s="4">
        <f>DATE(2013,2,1)</f>
        <v>41306</v>
      </c>
      <c r="E17114" s="5">
        <f t="shared" si="281"/>
        <v>2013</v>
      </c>
      <c r="F17114" s="3" t="s">
        <v>2763</v>
      </c>
      <c r="G17114" s="6">
        <v>5385.1</v>
      </c>
      <c r="H17114" s="5">
        <v>18086</v>
      </c>
    </row>
    <row r="17115" spans="2:8" ht="15" customHeight="1" x14ac:dyDescent="0.4">
      <c r="B17115" s="3" t="s">
        <v>7</v>
      </c>
      <c r="C17115" s="3" t="s">
        <v>2762</v>
      </c>
      <c r="D17115" s="4">
        <f>DATE(2013,10,14)</f>
        <v>41561</v>
      </c>
      <c r="E17115" s="5">
        <f t="shared" si="281"/>
        <v>2013</v>
      </c>
      <c r="F17115" s="3" t="s">
        <v>2763</v>
      </c>
      <c r="G17115" s="6">
        <v>3844.37</v>
      </c>
      <c r="H17115" s="5">
        <v>19040</v>
      </c>
    </row>
    <row r="17116" spans="2:8" ht="15" customHeight="1" x14ac:dyDescent="0.4">
      <c r="B17116" s="3" t="s">
        <v>7</v>
      </c>
      <c r="C17116" s="3" t="s">
        <v>2762</v>
      </c>
      <c r="D17116" s="4">
        <f>DATE(2014,4,1)</f>
        <v>41730</v>
      </c>
      <c r="E17116" s="5">
        <f t="shared" si="281"/>
        <v>2014</v>
      </c>
      <c r="F17116" s="3" t="s">
        <v>2763</v>
      </c>
      <c r="G17116" s="6">
        <v>4138.0600000000004</v>
      </c>
      <c r="H17116" s="5">
        <v>19668</v>
      </c>
    </row>
    <row r="17117" spans="2:8" ht="15" customHeight="1" x14ac:dyDescent="0.4">
      <c r="B17117" s="3" t="s">
        <v>7</v>
      </c>
      <c r="C17117" s="3" t="s">
        <v>2762</v>
      </c>
      <c r="D17117" s="4">
        <f>DATE(2014,7,1)</f>
        <v>41821</v>
      </c>
      <c r="E17117" s="5">
        <f t="shared" si="281"/>
        <v>2014</v>
      </c>
      <c r="F17117" s="3" t="s">
        <v>2763</v>
      </c>
      <c r="G17117" s="6">
        <v>4222.66</v>
      </c>
      <c r="H17117" s="5">
        <v>20092</v>
      </c>
    </row>
    <row r="17118" spans="2:8" ht="15" customHeight="1" x14ac:dyDescent="0.4">
      <c r="B17118" t="s">
        <v>7</v>
      </c>
      <c r="C17118" t="s">
        <v>2762</v>
      </c>
      <c r="D17118" s="7">
        <f>DATE(2010,12,14)</f>
        <v>40526</v>
      </c>
      <c r="E17118" s="8">
        <f t="shared" si="281"/>
        <v>2010</v>
      </c>
      <c r="F17118" t="s">
        <v>2764</v>
      </c>
      <c r="G17118" s="9">
        <v>1134.08</v>
      </c>
      <c r="H17118" s="8">
        <v>10201</v>
      </c>
    </row>
    <row r="17119" spans="2:8" ht="15" customHeight="1" x14ac:dyDescent="0.4">
      <c r="B17119" t="s">
        <v>7</v>
      </c>
      <c r="C17119" t="s">
        <v>2765</v>
      </c>
      <c r="D17119" s="7">
        <f>DATE(2015,4,23)</f>
        <v>42117</v>
      </c>
      <c r="E17119" s="8">
        <f t="shared" si="281"/>
        <v>2015</v>
      </c>
      <c r="F17119" t="s">
        <v>2766</v>
      </c>
      <c r="G17119" s="9">
        <v>45147.85</v>
      </c>
      <c r="H17119" s="8">
        <v>20045</v>
      </c>
    </row>
    <row r="17120" spans="2:8" ht="15" customHeight="1" x14ac:dyDescent="0.4">
      <c r="B17120" t="s">
        <v>7</v>
      </c>
      <c r="C17120" t="s">
        <v>2765</v>
      </c>
      <c r="D17120" s="7">
        <f>DATE(2015,4,23)</f>
        <v>42117</v>
      </c>
      <c r="E17120" s="8">
        <f t="shared" si="281"/>
        <v>2015</v>
      </c>
      <c r="F17120" t="s">
        <v>2766</v>
      </c>
      <c r="G17120" s="9">
        <v>7824.69</v>
      </c>
      <c r="H17120" s="8">
        <v>20047</v>
      </c>
    </row>
    <row r="17121" spans="2:8" ht="15" customHeight="1" x14ac:dyDescent="0.4">
      <c r="B17121" t="s">
        <v>7</v>
      </c>
      <c r="C17121" t="s">
        <v>2765</v>
      </c>
      <c r="D17121" s="7">
        <f>DATE(2015,11,13)</f>
        <v>42321</v>
      </c>
      <c r="E17121" s="8">
        <f t="shared" si="281"/>
        <v>2015</v>
      </c>
      <c r="F17121" t="s">
        <v>2766</v>
      </c>
      <c r="G17121" s="9">
        <v>38531.83</v>
      </c>
      <c r="H17121" s="8">
        <v>21203</v>
      </c>
    </row>
    <row r="17122" spans="2:8" ht="15" customHeight="1" x14ac:dyDescent="0.4">
      <c r="B17122" t="s">
        <v>7</v>
      </c>
      <c r="C17122" t="s">
        <v>2765</v>
      </c>
      <c r="D17122" s="7">
        <f>DATE(2018,5,31)</f>
        <v>43251</v>
      </c>
      <c r="E17122" s="8">
        <f t="shared" si="281"/>
        <v>2018</v>
      </c>
      <c r="F17122" t="s">
        <v>2766</v>
      </c>
      <c r="G17122" s="9">
        <v>16973.77</v>
      </c>
      <c r="H17122" s="8">
        <v>26841</v>
      </c>
    </row>
    <row r="17123" spans="2:8" ht="15" customHeight="1" x14ac:dyDescent="0.4">
      <c r="B17123" t="s">
        <v>7</v>
      </c>
      <c r="C17123" t="s">
        <v>2765</v>
      </c>
      <c r="D17123" s="7">
        <f>DATE(2011,9,28)</f>
        <v>40814</v>
      </c>
      <c r="E17123" s="8">
        <f t="shared" si="281"/>
        <v>2011</v>
      </c>
      <c r="F17123" t="s">
        <v>2766</v>
      </c>
      <c r="G17123" s="9">
        <v>950</v>
      </c>
      <c r="H17123" s="8">
        <v>11024</v>
      </c>
    </row>
    <row r="17124" spans="2:8" ht="15" customHeight="1" x14ac:dyDescent="0.4">
      <c r="B17124" t="s">
        <v>7</v>
      </c>
      <c r="C17124" t="s">
        <v>2765</v>
      </c>
      <c r="D17124" s="7">
        <f>DATE(2003,3,31)</f>
        <v>37711</v>
      </c>
      <c r="E17124" s="8">
        <f t="shared" si="281"/>
        <v>2003</v>
      </c>
      <c r="F17124" t="s">
        <v>2766</v>
      </c>
      <c r="G17124" s="9">
        <v>30637.95</v>
      </c>
      <c r="H17124" s="8">
        <v>115</v>
      </c>
    </row>
    <row r="17125" spans="2:8" ht="15" customHeight="1" x14ac:dyDescent="0.4">
      <c r="B17125" t="s">
        <v>7</v>
      </c>
      <c r="C17125" t="s">
        <v>2765</v>
      </c>
      <c r="D17125" s="7">
        <f>DATE(2003,3,31)</f>
        <v>37711</v>
      </c>
      <c r="E17125" s="8">
        <f t="shared" si="281"/>
        <v>2003</v>
      </c>
      <c r="F17125" t="s">
        <v>2766</v>
      </c>
      <c r="G17125" s="9">
        <v>6507.04</v>
      </c>
      <c r="H17125" s="8">
        <v>116</v>
      </c>
    </row>
    <row r="17126" spans="2:8" ht="15" customHeight="1" x14ac:dyDescent="0.4">
      <c r="B17126" t="s">
        <v>7</v>
      </c>
      <c r="C17126" t="s">
        <v>2765</v>
      </c>
      <c r="D17126" s="7">
        <f>DATE(2003,10,21)</f>
        <v>37915</v>
      </c>
      <c r="E17126" s="8">
        <f t="shared" si="281"/>
        <v>2003</v>
      </c>
      <c r="F17126" t="s">
        <v>2766</v>
      </c>
      <c r="G17126" s="9">
        <v>33732.949999999997</v>
      </c>
      <c r="H17126" s="8">
        <v>892</v>
      </c>
    </row>
    <row r="17127" spans="2:8" ht="15" customHeight="1" x14ac:dyDescent="0.4">
      <c r="B17127" t="s">
        <v>7</v>
      </c>
      <c r="C17127" t="s">
        <v>2765</v>
      </c>
      <c r="D17127" s="7">
        <f>DATE(2004,4,7)</f>
        <v>38084</v>
      </c>
      <c r="E17127" s="8">
        <f t="shared" si="281"/>
        <v>2004</v>
      </c>
      <c r="F17127" t="s">
        <v>2766</v>
      </c>
      <c r="G17127" s="9">
        <v>57794.23</v>
      </c>
      <c r="H17127" s="8">
        <v>1307</v>
      </c>
    </row>
    <row r="17128" spans="2:8" ht="15" customHeight="1" x14ac:dyDescent="0.4">
      <c r="B17128" t="s">
        <v>7</v>
      </c>
      <c r="C17128" t="s">
        <v>2765</v>
      </c>
      <c r="D17128" s="7">
        <f>DATE(2004,4,1)</f>
        <v>38078</v>
      </c>
      <c r="E17128" s="8">
        <f t="shared" si="281"/>
        <v>2004</v>
      </c>
      <c r="F17128" t="s">
        <v>2766</v>
      </c>
      <c r="G17128" s="9">
        <v>8073.39</v>
      </c>
      <c r="H17128" s="8">
        <v>1328</v>
      </c>
    </row>
    <row r="17129" spans="2:8" ht="15" customHeight="1" x14ac:dyDescent="0.4">
      <c r="B17129" t="s">
        <v>7</v>
      </c>
      <c r="C17129" t="s">
        <v>2765</v>
      </c>
      <c r="D17129" s="7">
        <f>DATE(2004,10,7)</f>
        <v>38267</v>
      </c>
      <c r="E17129" s="8">
        <f t="shared" si="281"/>
        <v>2004</v>
      </c>
      <c r="F17129" t="s">
        <v>2766</v>
      </c>
      <c r="G17129" s="9">
        <v>10745.23</v>
      </c>
      <c r="H17129" s="8">
        <v>2140</v>
      </c>
    </row>
    <row r="17130" spans="2:8" ht="15" customHeight="1" x14ac:dyDescent="0.4">
      <c r="B17130" t="s">
        <v>7</v>
      </c>
      <c r="C17130" t="s">
        <v>2765</v>
      </c>
      <c r="D17130" s="7">
        <f>DATE(2005,3,13)</f>
        <v>38424</v>
      </c>
      <c r="E17130" s="8">
        <f t="shared" si="281"/>
        <v>2005</v>
      </c>
      <c r="F17130" t="s">
        <v>2766</v>
      </c>
      <c r="G17130" s="9">
        <v>39503.51</v>
      </c>
      <c r="H17130" s="8">
        <v>2636</v>
      </c>
    </row>
    <row r="17131" spans="2:8" ht="15" customHeight="1" x14ac:dyDescent="0.4">
      <c r="B17131" t="s">
        <v>7</v>
      </c>
      <c r="C17131" t="s">
        <v>2765</v>
      </c>
      <c r="D17131" s="7">
        <f>DATE(2005,5,2)</f>
        <v>38474</v>
      </c>
      <c r="E17131" s="8">
        <f t="shared" si="281"/>
        <v>2005</v>
      </c>
      <c r="F17131" t="s">
        <v>2766</v>
      </c>
      <c r="G17131" s="9">
        <v>77419.7</v>
      </c>
      <c r="H17131" s="8">
        <v>3137</v>
      </c>
    </row>
    <row r="17132" spans="2:8" ht="15" customHeight="1" x14ac:dyDescent="0.4">
      <c r="B17132" t="s">
        <v>7</v>
      </c>
      <c r="C17132" t="s">
        <v>2765</v>
      </c>
      <c r="D17132" s="7">
        <f>DATE(2006,3,18)</f>
        <v>38794</v>
      </c>
      <c r="E17132" s="8">
        <f t="shared" si="281"/>
        <v>2006</v>
      </c>
      <c r="F17132" t="s">
        <v>2766</v>
      </c>
      <c r="G17132" s="9">
        <v>45523.32</v>
      </c>
      <c r="H17132" s="8">
        <v>4038</v>
      </c>
    </row>
    <row r="17133" spans="2:8" ht="15" customHeight="1" x14ac:dyDescent="0.4">
      <c r="B17133" t="s">
        <v>7</v>
      </c>
      <c r="C17133" t="s">
        <v>2765</v>
      </c>
      <c r="D17133" s="7">
        <f>DATE(2006,3,19)</f>
        <v>38795</v>
      </c>
      <c r="E17133" s="8">
        <f t="shared" si="281"/>
        <v>2006</v>
      </c>
      <c r="F17133" t="s">
        <v>2766</v>
      </c>
      <c r="G17133" s="9">
        <v>15015.78</v>
      </c>
      <c r="H17133" s="8">
        <v>4116</v>
      </c>
    </row>
    <row r="17134" spans="2:8" ht="15" customHeight="1" x14ac:dyDescent="0.4">
      <c r="B17134" t="s">
        <v>7</v>
      </c>
      <c r="C17134" t="s">
        <v>2765</v>
      </c>
      <c r="D17134" s="7">
        <f>DATE(2006,4,6)</f>
        <v>38813</v>
      </c>
      <c r="E17134" s="8">
        <f t="shared" si="281"/>
        <v>2006</v>
      </c>
      <c r="F17134" t="s">
        <v>2766</v>
      </c>
      <c r="G17134" s="9">
        <v>48782.75</v>
      </c>
      <c r="H17134" s="8">
        <v>4126</v>
      </c>
    </row>
    <row r="17135" spans="2:8" ht="15" customHeight="1" x14ac:dyDescent="0.4">
      <c r="B17135" t="s">
        <v>7</v>
      </c>
      <c r="C17135" t="s">
        <v>2765</v>
      </c>
      <c r="D17135" s="7">
        <f>DATE(2006,4,9)</f>
        <v>38816</v>
      </c>
      <c r="E17135" s="8">
        <f t="shared" si="281"/>
        <v>2006</v>
      </c>
      <c r="F17135" t="s">
        <v>2766</v>
      </c>
      <c r="G17135" s="9">
        <v>32982.25</v>
      </c>
      <c r="H17135" s="8">
        <v>4403</v>
      </c>
    </row>
    <row r="17136" spans="2:8" ht="15" customHeight="1" x14ac:dyDescent="0.4">
      <c r="B17136" t="s">
        <v>7</v>
      </c>
      <c r="C17136" t="s">
        <v>2765</v>
      </c>
      <c r="D17136" s="7">
        <f>DATE(2006,3,31)</f>
        <v>38807</v>
      </c>
      <c r="E17136" s="8">
        <f t="shared" si="281"/>
        <v>2006</v>
      </c>
      <c r="F17136" t="s">
        <v>2766</v>
      </c>
      <c r="G17136" s="9">
        <v>2667.22</v>
      </c>
      <c r="H17136" s="8">
        <v>4117</v>
      </c>
    </row>
    <row r="17137" spans="2:8" ht="15" customHeight="1" x14ac:dyDescent="0.4">
      <c r="B17137" t="s">
        <v>7</v>
      </c>
      <c r="C17137" t="s">
        <v>2765</v>
      </c>
      <c r="D17137" s="7">
        <f>DATE(2006,4,5)</f>
        <v>38812</v>
      </c>
      <c r="E17137" s="8">
        <f t="shared" si="281"/>
        <v>2006</v>
      </c>
      <c r="F17137" t="s">
        <v>2766</v>
      </c>
      <c r="G17137" s="9">
        <v>1105.3599999999999</v>
      </c>
      <c r="H17137" s="8">
        <v>4127</v>
      </c>
    </row>
    <row r="17138" spans="2:8" ht="15" customHeight="1" x14ac:dyDescent="0.4">
      <c r="B17138" t="s">
        <v>7</v>
      </c>
      <c r="C17138" t="s">
        <v>2765</v>
      </c>
      <c r="D17138" s="7">
        <f>DATE(2007,3,4)</f>
        <v>39145</v>
      </c>
      <c r="E17138" s="8">
        <f t="shared" si="281"/>
        <v>2007</v>
      </c>
      <c r="F17138" t="s">
        <v>2766</v>
      </c>
      <c r="G17138" s="9">
        <v>11670.1</v>
      </c>
      <c r="H17138" s="8">
        <v>5464</v>
      </c>
    </row>
    <row r="17139" spans="2:8" ht="15" customHeight="1" x14ac:dyDescent="0.4">
      <c r="B17139" t="s">
        <v>7</v>
      </c>
      <c r="C17139" t="s">
        <v>2765</v>
      </c>
      <c r="D17139" s="7">
        <f>DATE(2007,3,25)</f>
        <v>39166</v>
      </c>
      <c r="E17139" s="8">
        <f t="shared" si="281"/>
        <v>2007</v>
      </c>
      <c r="F17139" t="s">
        <v>2766</v>
      </c>
      <c r="G17139" s="9">
        <v>9254.44</v>
      </c>
      <c r="H17139" s="8">
        <v>5727</v>
      </c>
    </row>
    <row r="17140" spans="2:8" ht="15" customHeight="1" x14ac:dyDescent="0.4">
      <c r="B17140" t="s">
        <v>7</v>
      </c>
      <c r="C17140" t="s">
        <v>2765</v>
      </c>
      <c r="D17140" s="7">
        <f>DATE(2007,4,13)</f>
        <v>39185</v>
      </c>
      <c r="E17140" s="8">
        <f t="shared" si="281"/>
        <v>2007</v>
      </c>
      <c r="F17140" t="s">
        <v>2766</v>
      </c>
      <c r="G17140" s="9">
        <v>33100.6</v>
      </c>
      <c r="H17140" s="8">
        <v>5365</v>
      </c>
    </row>
    <row r="17141" spans="2:8" ht="15" customHeight="1" x14ac:dyDescent="0.4">
      <c r="B17141" t="s">
        <v>7</v>
      </c>
      <c r="C17141" t="s">
        <v>2765</v>
      </c>
      <c r="D17141" s="7">
        <f>DATE(2007,10,26)</f>
        <v>39381</v>
      </c>
      <c r="E17141" s="8">
        <f t="shared" si="281"/>
        <v>2007</v>
      </c>
      <c r="F17141" t="s">
        <v>2766</v>
      </c>
      <c r="G17141" s="9">
        <v>9872.06</v>
      </c>
      <c r="H17141" s="8">
        <v>6527</v>
      </c>
    </row>
    <row r="17142" spans="2:8" ht="15" customHeight="1" x14ac:dyDescent="0.4">
      <c r="B17142" t="s">
        <v>7</v>
      </c>
      <c r="C17142" t="s">
        <v>2765</v>
      </c>
      <c r="D17142" s="7">
        <f>DATE(2008,2,27)</f>
        <v>39505</v>
      </c>
      <c r="E17142" s="8">
        <f t="shared" si="281"/>
        <v>2008</v>
      </c>
      <c r="F17142" t="s">
        <v>2766</v>
      </c>
      <c r="G17142" s="9">
        <v>14867</v>
      </c>
      <c r="H17142" s="8">
        <v>6712</v>
      </c>
    </row>
    <row r="17143" spans="2:8" ht="15" customHeight="1" x14ac:dyDescent="0.4">
      <c r="B17143" t="s">
        <v>7</v>
      </c>
      <c r="C17143" t="s">
        <v>2765</v>
      </c>
      <c r="D17143" s="7">
        <f>DATE(2008,3,27)</f>
        <v>39534</v>
      </c>
      <c r="E17143" s="8">
        <f t="shared" si="281"/>
        <v>2008</v>
      </c>
      <c r="F17143" t="s">
        <v>2766</v>
      </c>
      <c r="G17143" s="9">
        <v>7405.07</v>
      </c>
      <c r="H17143" s="8">
        <v>7165</v>
      </c>
    </row>
    <row r="17144" spans="2:8" ht="15" customHeight="1" x14ac:dyDescent="0.4">
      <c r="B17144" t="s">
        <v>7</v>
      </c>
      <c r="C17144" t="s">
        <v>2765</v>
      </c>
      <c r="D17144" s="7">
        <f>DATE(2009,1,29)</f>
        <v>39842</v>
      </c>
      <c r="E17144" s="8">
        <f t="shared" si="281"/>
        <v>2009</v>
      </c>
      <c r="F17144" t="s">
        <v>2766</v>
      </c>
      <c r="G17144" s="9">
        <v>29956.19</v>
      </c>
      <c r="H17144" s="8">
        <v>8174</v>
      </c>
    </row>
    <row r="17145" spans="2:8" ht="15" customHeight="1" x14ac:dyDescent="0.4">
      <c r="B17145" t="s">
        <v>7</v>
      </c>
      <c r="C17145" t="s">
        <v>2765</v>
      </c>
      <c r="D17145" s="7">
        <f>DATE(2009,2,20)</f>
        <v>39864</v>
      </c>
      <c r="E17145" s="8">
        <f t="shared" si="281"/>
        <v>2009</v>
      </c>
      <c r="F17145" t="s">
        <v>2766</v>
      </c>
      <c r="G17145" s="9">
        <v>10695.96</v>
      </c>
      <c r="H17145" s="8">
        <v>8312</v>
      </c>
    </row>
    <row r="17146" spans="2:8" ht="15" customHeight="1" x14ac:dyDescent="0.4">
      <c r="B17146" t="s">
        <v>7</v>
      </c>
      <c r="C17146" t="s">
        <v>2765</v>
      </c>
      <c r="D17146" s="7">
        <f>DATE(2009,4,2)</f>
        <v>39905</v>
      </c>
      <c r="E17146" s="8">
        <f t="shared" si="281"/>
        <v>2009</v>
      </c>
      <c r="F17146" t="s">
        <v>2766</v>
      </c>
      <c r="G17146" s="9">
        <v>13395</v>
      </c>
      <c r="H17146" s="8">
        <v>8334</v>
      </c>
    </row>
    <row r="17147" spans="2:8" ht="15" customHeight="1" x14ac:dyDescent="0.4">
      <c r="B17147" t="s">
        <v>7</v>
      </c>
      <c r="C17147" t="s">
        <v>2765</v>
      </c>
      <c r="D17147" s="7">
        <f>DATE(2009,4,7)</f>
        <v>39910</v>
      </c>
      <c r="E17147" s="8">
        <f t="shared" si="281"/>
        <v>2009</v>
      </c>
      <c r="F17147" t="s">
        <v>2766</v>
      </c>
      <c r="G17147" s="9">
        <v>7986.53</v>
      </c>
      <c r="H17147" s="8">
        <v>8429</v>
      </c>
    </row>
    <row r="17148" spans="2:8" ht="15" customHeight="1" x14ac:dyDescent="0.4">
      <c r="B17148" t="s">
        <v>7</v>
      </c>
      <c r="C17148" t="s">
        <v>2765</v>
      </c>
      <c r="D17148" s="7">
        <f>DATE(2009,4,7)</f>
        <v>39910</v>
      </c>
      <c r="E17148" s="8">
        <f t="shared" si="281"/>
        <v>2009</v>
      </c>
      <c r="F17148" t="s">
        <v>2766</v>
      </c>
      <c r="G17148" s="9">
        <v>5049.9399999999996</v>
      </c>
      <c r="H17148" s="8">
        <v>8495</v>
      </c>
    </row>
    <row r="17149" spans="2:8" ht="15" customHeight="1" x14ac:dyDescent="0.4">
      <c r="B17149" t="s">
        <v>7</v>
      </c>
      <c r="C17149" t="s">
        <v>2765</v>
      </c>
      <c r="D17149" s="7">
        <f>DATE(2009,9,10)</f>
        <v>40066</v>
      </c>
      <c r="E17149" s="8">
        <f t="shared" si="281"/>
        <v>2009</v>
      </c>
      <c r="F17149" t="s">
        <v>2766</v>
      </c>
      <c r="G17149" s="9">
        <v>12694.4</v>
      </c>
      <c r="H17149" s="8">
        <v>8962</v>
      </c>
    </row>
    <row r="17150" spans="2:8" ht="15" customHeight="1" x14ac:dyDescent="0.4">
      <c r="B17150" t="s">
        <v>7</v>
      </c>
      <c r="C17150" t="s">
        <v>2765</v>
      </c>
      <c r="D17150" s="7">
        <f>DATE(2011,3,29)</f>
        <v>40631</v>
      </c>
      <c r="E17150" s="8">
        <f t="shared" si="281"/>
        <v>2011</v>
      </c>
      <c r="F17150" t="s">
        <v>2766</v>
      </c>
      <c r="G17150" s="9">
        <v>44893.23</v>
      </c>
      <c r="H17150" s="8">
        <v>10603</v>
      </c>
    </row>
    <row r="17151" spans="2:8" ht="15" customHeight="1" x14ac:dyDescent="0.4">
      <c r="B17151" t="s">
        <v>7</v>
      </c>
      <c r="C17151" t="s">
        <v>2765</v>
      </c>
      <c r="D17151" s="7">
        <f>DATE(2011,3,30)</f>
        <v>40632</v>
      </c>
      <c r="E17151" s="8">
        <f t="shared" si="281"/>
        <v>2011</v>
      </c>
      <c r="F17151" t="s">
        <v>2766</v>
      </c>
      <c r="G17151" s="9">
        <v>45098.82</v>
      </c>
      <c r="H17151" s="8">
        <v>10602</v>
      </c>
    </row>
    <row r="17152" spans="2:8" ht="15" customHeight="1" x14ac:dyDescent="0.4">
      <c r="B17152" t="s">
        <v>7</v>
      </c>
      <c r="C17152" t="s">
        <v>2765</v>
      </c>
      <c r="D17152" s="7">
        <f>DATE(2011,5,26)</f>
        <v>40689</v>
      </c>
      <c r="E17152" s="8">
        <f t="shared" si="281"/>
        <v>2011</v>
      </c>
      <c r="F17152" t="s">
        <v>2766</v>
      </c>
      <c r="G17152" s="9">
        <v>36103</v>
      </c>
      <c r="H17152" s="8">
        <v>10436</v>
      </c>
    </row>
    <row r="17153" spans="2:8" ht="15" customHeight="1" x14ac:dyDescent="0.4">
      <c r="B17153" t="s">
        <v>7</v>
      </c>
      <c r="C17153" t="s">
        <v>2765</v>
      </c>
      <c r="D17153" s="7">
        <f>DATE(2012,3,26)</f>
        <v>40994</v>
      </c>
      <c r="E17153" s="8">
        <f t="shared" si="281"/>
        <v>2012</v>
      </c>
      <c r="F17153" t="s">
        <v>2766</v>
      </c>
      <c r="G17153" s="9">
        <v>55356.42</v>
      </c>
      <c r="H17153" s="8">
        <v>11242</v>
      </c>
    </row>
    <row r="17154" spans="2:8" ht="15" customHeight="1" x14ac:dyDescent="0.4">
      <c r="B17154" t="s">
        <v>7</v>
      </c>
      <c r="C17154" t="s">
        <v>2765</v>
      </c>
      <c r="D17154" s="7">
        <f>DATE(2012,4,16)</f>
        <v>41015</v>
      </c>
      <c r="E17154" s="8">
        <f t="shared" si="281"/>
        <v>2012</v>
      </c>
      <c r="F17154" t="s">
        <v>2766</v>
      </c>
      <c r="G17154" s="9">
        <v>43057.25</v>
      </c>
      <c r="H17154" s="8">
        <v>11416</v>
      </c>
    </row>
    <row r="17155" spans="2:8" ht="15" customHeight="1" x14ac:dyDescent="0.4">
      <c r="B17155" t="s">
        <v>7</v>
      </c>
      <c r="C17155" t="s">
        <v>2765</v>
      </c>
      <c r="D17155" s="7">
        <f>DATE(2012,4,26)</f>
        <v>41025</v>
      </c>
      <c r="E17155" s="8">
        <f t="shared" ref="E17155:E17218" si="282">YEAR(D17155)</f>
        <v>2012</v>
      </c>
      <c r="F17155" t="s">
        <v>2766</v>
      </c>
      <c r="G17155" s="9">
        <v>48867.21</v>
      </c>
      <c r="H17155" s="8">
        <v>11415</v>
      </c>
    </row>
    <row r="17156" spans="2:8" ht="15" customHeight="1" x14ac:dyDescent="0.4">
      <c r="B17156" t="s">
        <v>7</v>
      </c>
      <c r="C17156" t="s">
        <v>2765</v>
      </c>
      <c r="D17156" s="7">
        <f>DATE(2013,4,23)</f>
        <v>41387</v>
      </c>
      <c r="E17156" s="8">
        <f t="shared" si="282"/>
        <v>2013</v>
      </c>
      <c r="F17156" t="s">
        <v>2766</v>
      </c>
      <c r="G17156" s="9">
        <v>54540.01</v>
      </c>
      <c r="H17156" s="8">
        <v>12315</v>
      </c>
    </row>
    <row r="17157" spans="2:8" ht="15" customHeight="1" x14ac:dyDescent="0.4">
      <c r="B17157" t="s">
        <v>7</v>
      </c>
      <c r="C17157" t="s">
        <v>2765</v>
      </c>
      <c r="D17157" s="7">
        <f>DATE(2013,5,23)</f>
        <v>41417</v>
      </c>
      <c r="E17157" s="8">
        <f t="shared" si="282"/>
        <v>2013</v>
      </c>
      <c r="F17157" t="s">
        <v>2766</v>
      </c>
      <c r="G17157" s="9">
        <v>7867.09</v>
      </c>
      <c r="H17157" s="8">
        <v>12316</v>
      </c>
    </row>
    <row r="17158" spans="2:8" ht="15" customHeight="1" x14ac:dyDescent="0.4">
      <c r="B17158" t="s">
        <v>7</v>
      </c>
      <c r="C17158" t="s">
        <v>2765</v>
      </c>
      <c r="D17158" s="7">
        <f>DATE(2013,5,23)</f>
        <v>41417</v>
      </c>
      <c r="E17158" s="8">
        <f t="shared" si="282"/>
        <v>2013</v>
      </c>
      <c r="F17158" t="s">
        <v>2766</v>
      </c>
      <c r="G17158" s="9">
        <v>42962.97</v>
      </c>
      <c r="H17158" s="8">
        <v>12317</v>
      </c>
    </row>
    <row r="17159" spans="2:8" ht="15" customHeight="1" x14ac:dyDescent="0.4">
      <c r="B17159" t="s">
        <v>7</v>
      </c>
      <c r="C17159" t="s">
        <v>2765</v>
      </c>
      <c r="D17159" s="7">
        <f>DATE(2013,11,21)</f>
        <v>41599</v>
      </c>
      <c r="E17159" s="8">
        <f t="shared" si="282"/>
        <v>2013</v>
      </c>
      <c r="F17159" t="s">
        <v>2766</v>
      </c>
      <c r="G17159" s="9">
        <v>65999.98</v>
      </c>
      <c r="H17159" s="8">
        <v>12740</v>
      </c>
    </row>
    <row r="17160" spans="2:8" ht="15" customHeight="1" x14ac:dyDescent="0.4">
      <c r="B17160" t="s">
        <v>7</v>
      </c>
      <c r="C17160" t="s">
        <v>2765</v>
      </c>
      <c r="D17160" s="7">
        <f>DATE(2014,2,10)</f>
        <v>41680</v>
      </c>
      <c r="E17160" s="8">
        <f t="shared" si="282"/>
        <v>2014</v>
      </c>
      <c r="F17160" t="s">
        <v>2766</v>
      </c>
      <c r="G17160" s="9">
        <v>43987.33</v>
      </c>
      <c r="H17160" s="8">
        <v>12852</v>
      </c>
    </row>
    <row r="17161" spans="2:8" ht="15" customHeight="1" x14ac:dyDescent="0.4">
      <c r="B17161" t="s">
        <v>7</v>
      </c>
      <c r="C17161" t="s">
        <v>2765</v>
      </c>
      <c r="D17161" s="7">
        <f>DATE(2014,12,12)</f>
        <v>41985</v>
      </c>
      <c r="E17161" s="8">
        <f t="shared" si="282"/>
        <v>2014</v>
      </c>
      <c r="F17161" t="s">
        <v>2766</v>
      </c>
      <c r="G17161" s="9">
        <v>16302.84</v>
      </c>
      <c r="H17161" s="8">
        <v>13431</v>
      </c>
    </row>
    <row r="17162" spans="2:8" ht="15" customHeight="1" x14ac:dyDescent="0.4">
      <c r="B17162" t="s">
        <v>7</v>
      </c>
      <c r="C17162" t="s">
        <v>2765</v>
      </c>
      <c r="D17162" s="7">
        <f>DATE(2011,4,20)</f>
        <v>40653</v>
      </c>
      <c r="E17162" s="8">
        <f t="shared" si="282"/>
        <v>2011</v>
      </c>
      <c r="F17162" t="s">
        <v>2766</v>
      </c>
      <c r="G17162" s="9">
        <v>10747.81</v>
      </c>
      <c r="H17162" s="8">
        <v>10655</v>
      </c>
    </row>
    <row r="17163" spans="2:8" ht="15" customHeight="1" x14ac:dyDescent="0.4">
      <c r="B17163" t="s">
        <v>7</v>
      </c>
      <c r="C17163" t="s">
        <v>2765</v>
      </c>
      <c r="D17163" s="7">
        <f>DATE(2011,6,14)</f>
        <v>40708</v>
      </c>
      <c r="E17163" s="8">
        <f t="shared" si="282"/>
        <v>2011</v>
      </c>
      <c r="F17163" t="s">
        <v>2766</v>
      </c>
      <c r="G17163" s="9">
        <v>14478.55</v>
      </c>
      <c r="H17163" s="8">
        <v>10799</v>
      </c>
    </row>
    <row r="17164" spans="2:8" ht="15" customHeight="1" x14ac:dyDescent="0.4">
      <c r="B17164" t="s">
        <v>7</v>
      </c>
      <c r="C17164" t="s">
        <v>2765</v>
      </c>
      <c r="D17164" s="7">
        <f>DATE(2011,10,12)</f>
        <v>40828</v>
      </c>
      <c r="E17164" s="8">
        <f t="shared" si="282"/>
        <v>2011</v>
      </c>
      <c r="F17164" t="s">
        <v>2766</v>
      </c>
      <c r="G17164" s="9">
        <v>8420.34</v>
      </c>
      <c r="H17164" s="8">
        <v>11008</v>
      </c>
    </row>
    <row r="17165" spans="2:8" ht="15" customHeight="1" x14ac:dyDescent="0.4">
      <c r="B17165" t="s">
        <v>7</v>
      </c>
      <c r="C17165" t="s">
        <v>2765</v>
      </c>
      <c r="D17165" s="7">
        <f>DATE(2013,2,20)</f>
        <v>41325</v>
      </c>
      <c r="E17165" s="8">
        <f t="shared" si="282"/>
        <v>2013</v>
      </c>
      <c r="F17165" t="s">
        <v>2766</v>
      </c>
      <c r="G17165" s="9">
        <v>19430.96</v>
      </c>
      <c r="H17165" s="8">
        <v>12189</v>
      </c>
    </row>
    <row r="17166" spans="2:8" ht="15" customHeight="1" x14ac:dyDescent="0.4">
      <c r="B17166" t="s">
        <v>7</v>
      </c>
      <c r="C17166" t="s">
        <v>2765</v>
      </c>
      <c r="D17166" s="7">
        <f>DATE(2012,4,26)</f>
        <v>41025</v>
      </c>
      <c r="E17166" s="8">
        <f t="shared" si="282"/>
        <v>2012</v>
      </c>
      <c r="F17166" t="s">
        <v>2766</v>
      </c>
      <c r="G17166" s="9">
        <v>3000</v>
      </c>
      <c r="H17166" s="8">
        <v>11564</v>
      </c>
    </row>
    <row r="17167" spans="2:8" ht="15" customHeight="1" x14ac:dyDescent="0.4">
      <c r="B17167" s="3" t="s">
        <v>7</v>
      </c>
      <c r="C17167" s="3" t="s">
        <v>2765</v>
      </c>
      <c r="D17167" s="4">
        <f>DATE(2007,2,9)</f>
        <v>39122</v>
      </c>
      <c r="E17167" s="5">
        <f t="shared" si="282"/>
        <v>2007</v>
      </c>
      <c r="F17167" s="3" t="s">
        <v>2766</v>
      </c>
      <c r="G17167" s="6">
        <v>12686.95</v>
      </c>
      <c r="H17167" s="5">
        <v>7911</v>
      </c>
    </row>
    <row r="17168" spans="2:8" ht="15" customHeight="1" x14ac:dyDescent="0.4">
      <c r="B17168" s="3" t="s">
        <v>7</v>
      </c>
      <c r="C17168" s="3" t="s">
        <v>2765</v>
      </c>
      <c r="D17168" s="4">
        <f>DATE(2007,4,24)</f>
        <v>39196</v>
      </c>
      <c r="E17168" s="5">
        <f t="shared" si="282"/>
        <v>2007</v>
      </c>
      <c r="F17168" s="3" t="s">
        <v>2766</v>
      </c>
      <c r="G17168" s="6">
        <v>12686.95</v>
      </c>
      <c r="H17168" s="5">
        <v>8372</v>
      </c>
    </row>
    <row r="17169" spans="2:8" ht="15" customHeight="1" x14ac:dyDescent="0.4">
      <c r="B17169" s="3" t="s">
        <v>7</v>
      </c>
      <c r="C17169" s="3" t="s">
        <v>2765</v>
      </c>
      <c r="D17169" s="4">
        <f>DATE(2008,1,4)</f>
        <v>39451</v>
      </c>
      <c r="E17169" s="5">
        <f t="shared" si="282"/>
        <v>2008</v>
      </c>
      <c r="F17169" s="3" t="s">
        <v>2766</v>
      </c>
      <c r="G17169" s="6">
        <v>523</v>
      </c>
      <c r="H17169" s="5">
        <v>9675</v>
      </c>
    </row>
    <row r="17170" spans="2:8" ht="15" customHeight="1" x14ac:dyDescent="0.4">
      <c r="B17170" s="3" t="s">
        <v>7</v>
      </c>
      <c r="C17170" s="3" t="s">
        <v>2765</v>
      </c>
      <c r="D17170" s="4">
        <f>DATE(2008,1,21)</f>
        <v>39468</v>
      </c>
      <c r="E17170" s="5">
        <f t="shared" si="282"/>
        <v>2008</v>
      </c>
      <c r="F17170" s="3" t="s">
        <v>2766</v>
      </c>
      <c r="G17170" s="6">
        <v>2092</v>
      </c>
      <c r="H17170" s="5">
        <v>9779</v>
      </c>
    </row>
    <row r="17171" spans="2:8" ht="15" customHeight="1" x14ac:dyDescent="0.4">
      <c r="B17171" s="3" t="s">
        <v>7</v>
      </c>
      <c r="C17171" s="3" t="s">
        <v>2765</v>
      </c>
      <c r="D17171" s="4">
        <f>DATE(2008,1,8)</f>
        <v>39455</v>
      </c>
      <c r="E17171" s="5">
        <f t="shared" si="282"/>
        <v>2008</v>
      </c>
      <c r="F17171" s="3" t="s">
        <v>2766</v>
      </c>
      <c r="G17171" s="6">
        <v>2720.13</v>
      </c>
      <c r="H17171" s="5">
        <v>9686</v>
      </c>
    </row>
    <row r="17172" spans="2:8" ht="15" customHeight="1" x14ac:dyDescent="0.4">
      <c r="B17172" s="3" t="s">
        <v>7</v>
      </c>
      <c r="C17172" s="3" t="s">
        <v>2765</v>
      </c>
      <c r="D17172" s="4">
        <f>DATE(2008,1,25)</f>
        <v>39472</v>
      </c>
      <c r="E17172" s="5">
        <f t="shared" si="282"/>
        <v>2008</v>
      </c>
      <c r="F17172" s="3" t="s">
        <v>2766</v>
      </c>
      <c r="G17172" s="6">
        <v>5230</v>
      </c>
      <c r="H17172" s="5">
        <v>9818</v>
      </c>
    </row>
    <row r="17173" spans="2:8" ht="15" customHeight="1" x14ac:dyDescent="0.4">
      <c r="B17173" s="3" t="s">
        <v>7</v>
      </c>
      <c r="C17173" s="3" t="s">
        <v>2765</v>
      </c>
      <c r="D17173" s="4">
        <f>DATE(2013,1,21)</f>
        <v>41295</v>
      </c>
      <c r="E17173" s="5">
        <f t="shared" si="282"/>
        <v>2013</v>
      </c>
      <c r="F17173" s="3" t="s">
        <v>2766</v>
      </c>
      <c r="G17173" s="6">
        <v>1046</v>
      </c>
      <c r="H17173" s="5">
        <v>18009</v>
      </c>
    </row>
    <row r="17174" spans="2:8" ht="15" customHeight="1" x14ac:dyDescent="0.4">
      <c r="B17174" s="3" t="s">
        <v>7</v>
      </c>
      <c r="C17174" s="3" t="s">
        <v>2765</v>
      </c>
      <c r="D17174" s="4">
        <f>DATE(2013,2,1)</f>
        <v>41306</v>
      </c>
      <c r="E17174" s="5">
        <f t="shared" si="282"/>
        <v>2013</v>
      </c>
      <c r="F17174" s="3" t="s">
        <v>2766</v>
      </c>
      <c r="G17174" s="6">
        <v>5230</v>
      </c>
      <c r="H17174" s="5">
        <v>18018</v>
      </c>
    </row>
    <row r="17175" spans="2:8" ht="15" customHeight="1" x14ac:dyDescent="0.4">
      <c r="B17175" s="3" t="s">
        <v>7</v>
      </c>
      <c r="C17175" s="3" t="s">
        <v>2765</v>
      </c>
      <c r="D17175" s="4">
        <f>DATE(2013,4,3)</f>
        <v>41367</v>
      </c>
      <c r="E17175" s="5">
        <f t="shared" si="282"/>
        <v>2013</v>
      </c>
      <c r="F17175" s="3" t="s">
        <v>2766</v>
      </c>
      <c r="G17175" s="6">
        <v>523</v>
      </c>
      <c r="H17175" s="5">
        <v>18389</v>
      </c>
    </row>
    <row r="17176" spans="2:8" ht="15" customHeight="1" x14ac:dyDescent="0.4">
      <c r="B17176" s="3" t="s">
        <v>7</v>
      </c>
      <c r="C17176" s="3" t="s">
        <v>2765</v>
      </c>
      <c r="D17176" s="4">
        <f>DATE(2014,11,11)</f>
        <v>41954</v>
      </c>
      <c r="E17176" s="5">
        <f t="shared" si="282"/>
        <v>2014</v>
      </c>
      <c r="F17176" s="3" t="s">
        <v>2766</v>
      </c>
      <c r="G17176" s="6">
        <v>1046</v>
      </c>
      <c r="H17176" s="5">
        <v>20592</v>
      </c>
    </row>
    <row r="17177" spans="2:8" ht="15" customHeight="1" x14ac:dyDescent="0.4">
      <c r="B17177" s="3" t="s">
        <v>7</v>
      </c>
      <c r="C17177" s="3" t="s">
        <v>2759</v>
      </c>
      <c r="D17177" s="4">
        <f>DATE(2004,9,27)</f>
        <v>38257</v>
      </c>
      <c r="E17177" s="5">
        <f t="shared" si="282"/>
        <v>2004</v>
      </c>
      <c r="F17177" s="3" t="s">
        <v>2767</v>
      </c>
      <c r="G17177" s="6">
        <v>4350</v>
      </c>
      <c r="H17177" s="5">
        <v>3454</v>
      </c>
    </row>
    <row r="17178" spans="2:8" ht="15" customHeight="1" x14ac:dyDescent="0.4">
      <c r="B17178" t="s">
        <v>7</v>
      </c>
      <c r="C17178" t="s">
        <v>2768</v>
      </c>
      <c r="D17178" s="7">
        <f>DATE(2017,5,2)</f>
        <v>42857</v>
      </c>
      <c r="E17178" s="8">
        <f t="shared" si="282"/>
        <v>2017</v>
      </c>
      <c r="F17178" t="s">
        <v>2769</v>
      </c>
      <c r="G17178" s="9">
        <v>120000</v>
      </c>
      <c r="H17178" s="8">
        <v>24498</v>
      </c>
    </row>
    <row r="17179" spans="2:8" ht="15" customHeight="1" x14ac:dyDescent="0.4">
      <c r="B17179" t="s">
        <v>7</v>
      </c>
      <c r="C17179" t="s">
        <v>2770</v>
      </c>
      <c r="D17179" s="7">
        <f>DATE(2019,2,12)</f>
        <v>43508</v>
      </c>
      <c r="E17179" s="8">
        <f t="shared" si="282"/>
        <v>2019</v>
      </c>
      <c r="F17179" t="s">
        <v>2771</v>
      </c>
      <c r="G17179" s="9">
        <v>5900</v>
      </c>
      <c r="H17179" s="8">
        <v>28335</v>
      </c>
    </row>
    <row r="17180" spans="2:8" ht="15" customHeight="1" x14ac:dyDescent="0.4">
      <c r="B17180" t="s">
        <v>7</v>
      </c>
      <c r="C17180" t="s">
        <v>2770</v>
      </c>
      <c r="D17180" s="7">
        <f>DATE(2009,3,27)</f>
        <v>39899</v>
      </c>
      <c r="E17180" s="8">
        <f t="shared" si="282"/>
        <v>2009</v>
      </c>
      <c r="F17180" t="s">
        <v>2771</v>
      </c>
      <c r="G17180" s="9">
        <v>4961</v>
      </c>
      <c r="H17180" s="8">
        <v>8517</v>
      </c>
    </row>
    <row r="17181" spans="2:8" ht="15" customHeight="1" x14ac:dyDescent="0.4">
      <c r="B17181" s="3" t="s">
        <v>7</v>
      </c>
      <c r="C17181" s="3" t="s">
        <v>2770</v>
      </c>
      <c r="D17181" s="4">
        <f>DATE(2014,2,17)</f>
        <v>41687</v>
      </c>
      <c r="E17181" s="5">
        <f t="shared" si="282"/>
        <v>2014</v>
      </c>
      <c r="F17181" s="3" t="s">
        <v>2771</v>
      </c>
      <c r="G17181" s="6">
        <v>4815.24</v>
      </c>
      <c r="H17181" s="5">
        <v>6029</v>
      </c>
    </row>
    <row r="17182" spans="2:8" ht="15" customHeight="1" x14ac:dyDescent="0.4">
      <c r="B17182" t="s">
        <v>7</v>
      </c>
      <c r="C17182" t="s">
        <v>2772</v>
      </c>
      <c r="D17182" s="7">
        <f>DATE(2014,7,31)</f>
        <v>41851</v>
      </c>
      <c r="E17182" s="8">
        <f t="shared" si="282"/>
        <v>2014</v>
      </c>
      <c r="F17182" t="s">
        <v>2773</v>
      </c>
      <c r="G17182" s="9">
        <v>3792.69</v>
      </c>
      <c r="H17182" s="8">
        <v>13357</v>
      </c>
    </row>
    <row r="17183" spans="2:8" ht="15" customHeight="1" x14ac:dyDescent="0.4">
      <c r="B17183" t="s">
        <v>7</v>
      </c>
      <c r="C17183" t="s">
        <v>2774</v>
      </c>
      <c r="D17183" s="7">
        <f>DATE(2018,7,17)</f>
        <v>43298</v>
      </c>
      <c r="E17183" s="8">
        <f t="shared" si="282"/>
        <v>2018</v>
      </c>
      <c r="F17183" t="s">
        <v>2775</v>
      </c>
      <c r="G17183" s="9">
        <v>5451.93</v>
      </c>
      <c r="H17183" s="8">
        <v>27249</v>
      </c>
    </row>
    <row r="17184" spans="2:8" ht="15" customHeight="1" x14ac:dyDescent="0.4">
      <c r="B17184" t="s">
        <v>7</v>
      </c>
      <c r="C17184" t="s">
        <v>2776</v>
      </c>
      <c r="D17184" s="7">
        <f>DATE(2003,10,21)</f>
        <v>37915</v>
      </c>
      <c r="E17184" s="8">
        <f t="shared" si="282"/>
        <v>2003</v>
      </c>
      <c r="F17184" t="s">
        <v>2777</v>
      </c>
      <c r="G17184" s="9">
        <v>9998.51</v>
      </c>
      <c r="H17184" s="8">
        <v>887</v>
      </c>
    </row>
    <row r="17185" spans="2:8" ht="15" customHeight="1" x14ac:dyDescent="0.4">
      <c r="B17185" t="s">
        <v>7</v>
      </c>
      <c r="C17185" t="s">
        <v>2776</v>
      </c>
      <c r="D17185" s="7">
        <f>DATE(2003,10,10)</f>
        <v>37904</v>
      </c>
      <c r="E17185" s="8">
        <f t="shared" si="282"/>
        <v>2003</v>
      </c>
      <c r="F17185" t="s">
        <v>2777</v>
      </c>
      <c r="G17185" s="9">
        <v>30225.759999999998</v>
      </c>
      <c r="H17185" s="8">
        <v>913</v>
      </c>
    </row>
    <row r="17186" spans="2:8" ht="15" customHeight="1" x14ac:dyDescent="0.4">
      <c r="B17186" t="s">
        <v>7</v>
      </c>
      <c r="C17186" t="s">
        <v>2776</v>
      </c>
      <c r="D17186" s="7">
        <f>DATE(2018,10,30)</f>
        <v>43403</v>
      </c>
      <c r="E17186" s="8">
        <f t="shared" si="282"/>
        <v>2018</v>
      </c>
      <c r="F17186" t="s">
        <v>2778</v>
      </c>
      <c r="G17186" s="9">
        <v>46780.52</v>
      </c>
      <c r="H17186" s="8">
        <v>27577</v>
      </c>
    </row>
    <row r="17187" spans="2:8" ht="15" customHeight="1" x14ac:dyDescent="0.4">
      <c r="B17187" t="s">
        <v>7</v>
      </c>
      <c r="C17187" t="s">
        <v>2776</v>
      </c>
      <c r="D17187" s="7">
        <f>DATE(2018,11,1)</f>
        <v>43405</v>
      </c>
      <c r="E17187" s="8">
        <f t="shared" si="282"/>
        <v>2018</v>
      </c>
      <c r="F17187" t="s">
        <v>2778</v>
      </c>
      <c r="G17187" s="9">
        <v>6487.75</v>
      </c>
      <c r="H17187" s="8">
        <v>27877</v>
      </c>
    </row>
    <row r="17188" spans="2:8" ht="15" customHeight="1" x14ac:dyDescent="0.4">
      <c r="B17188" t="s">
        <v>7</v>
      </c>
      <c r="C17188" t="s">
        <v>2776</v>
      </c>
      <c r="D17188" s="7">
        <f>DATE(2018,11,8)</f>
        <v>43412</v>
      </c>
      <c r="E17188" s="8">
        <f t="shared" si="282"/>
        <v>2018</v>
      </c>
      <c r="F17188" t="s">
        <v>2778</v>
      </c>
      <c r="G17188" s="9">
        <v>15168.9</v>
      </c>
      <c r="H17188" s="8">
        <v>27878</v>
      </c>
    </row>
    <row r="17189" spans="2:8" ht="15" customHeight="1" x14ac:dyDescent="0.4">
      <c r="B17189" t="s">
        <v>7</v>
      </c>
      <c r="C17189" t="s">
        <v>2776</v>
      </c>
      <c r="D17189" s="7">
        <f>DATE(2018,11,12)</f>
        <v>43416</v>
      </c>
      <c r="E17189" s="8">
        <f t="shared" si="282"/>
        <v>2018</v>
      </c>
      <c r="F17189" t="s">
        <v>2778</v>
      </c>
      <c r="G17189" s="9">
        <v>47780.52</v>
      </c>
      <c r="H17189" s="8">
        <v>27968</v>
      </c>
    </row>
    <row r="17190" spans="2:8" ht="15" customHeight="1" x14ac:dyDescent="0.4">
      <c r="B17190" t="s">
        <v>7</v>
      </c>
      <c r="C17190" t="s">
        <v>2776</v>
      </c>
      <c r="D17190" s="7">
        <f>DATE(2019,4,23)</f>
        <v>43578</v>
      </c>
      <c r="E17190" s="8">
        <f t="shared" si="282"/>
        <v>2019</v>
      </c>
      <c r="F17190" t="s">
        <v>2778</v>
      </c>
      <c r="G17190" s="9">
        <v>30450.58</v>
      </c>
      <c r="H17190" s="8">
        <v>28333</v>
      </c>
    </row>
    <row r="17191" spans="2:8" ht="15" customHeight="1" x14ac:dyDescent="0.4">
      <c r="B17191" t="s">
        <v>7</v>
      </c>
      <c r="C17191" t="s">
        <v>2776</v>
      </c>
      <c r="D17191" s="7">
        <f>DATE(2019,4,29)</f>
        <v>43584</v>
      </c>
      <c r="E17191" s="8">
        <f t="shared" si="282"/>
        <v>2019</v>
      </c>
      <c r="F17191" t="s">
        <v>2778</v>
      </c>
      <c r="G17191" s="9">
        <v>32886.58</v>
      </c>
      <c r="H17191" s="8">
        <v>28930</v>
      </c>
    </row>
    <row r="17192" spans="2:8" ht="15" customHeight="1" x14ac:dyDescent="0.4">
      <c r="B17192" t="s">
        <v>7</v>
      </c>
      <c r="C17192" t="s">
        <v>2776</v>
      </c>
      <c r="D17192" s="7">
        <f>DATE(2019,5,3)</f>
        <v>43588</v>
      </c>
      <c r="E17192" s="8">
        <f t="shared" si="282"/>
        <v>2019</v>
      </c>
      <c r="F17192" t="s">
        <v>2778</v>
      </c>
      <c r="G17192" s="9">
        <v>76130.87</v>
      </c>
      <c r="H17192" s="8">
        <v>28334</v>
      </c>
    </row>
    <row r="17193" spans="2:8" ht="15" customHeight="1" x14ac:dyDescent="0.4">
      <c r="B17193" t="s">
        <v>16</v>
      </c>
      <c r="C17193" t="s">
        <v>2776</v>
      </c>
      <c r="D17193" s="7">
        <f>DATE(2018,11,12)</f>
        <v>43416</v>
      </c>
      <c r="E17193" s="8">
        <f t="shared" si="282"/>
        <v>2018</v>
      </c>
      <c r="F17193" t="s">
        <v>2778</v>
      </c>
      <c r="G17193" s="9">
        <v>46780.52</v>
      </c>
      <c r="H17193" s="8">
        <v>27969</v>
      </c>
    </row>
    <row r="17194" spans="2:8" ht="15" customHeight="1" x14ac:dyDescent="0.4">
      <c r="B17194" t="s">
        <v>16</v>
      </c>
      <c r="C17194" t="s">
        <v>2776</v>
      </c>
      <c r="D17194" s="7">
        <f>DATE(2019,4,29)</f>
        <v>43584</v>
      </c>
      <c r="E17194" s="8">
        <f t="shared" si="282"/>
        <v>2019</v>
      </c>
      <c r="F17194" t="s">
        <v>2778</v>
      </c>
      <c r="G17194" s="9">
        <v>30450.58</v>
      </c>
      <c r="H17194" s="8">
        <v>28929</v>
      </c>
    </row>
    <row r="17195" spans="2:8" ht="15" customHeight="1" x14ac:dyDescent="0.4">
      <c r="B17195" t="s">
        <v>7</v>
      </c>
      <c r="C17195" t="s">
        <v>2776</v>
      </c>
      <c r="D17195" s="7">
        <f>DATE(2012,11,16)</f>
        <v>41229</v>
      </c>
      <c r="E17195" s="8">
        <f t="shared" si="282"/>
        <v>2012</v>
      </c>
      <c r="F17195" t="s">
        <v>2778</v>
      </c>
      <c r="G17195" s="9">
        <v>5918.98</v>
      </c>
      <c r="H17195" s="8">
        <v>11932</v>
      </c>
    </row>
    <row r="17196" spans="2:8" ht="15" customHeight="1" x14ac:dyDescent="0.4">
      <c r="B17196" t="s">
        <v>7</v>
      </c>
      <c r="C17196" t="s">
        <v>2776</v>
      </c>
      <c r="D17196" s="7">
        <f>DATE(2003,9,30)</f>
        <v>37894</v>
      </c>
      <c r="E17196" s="8">
        <f t="shared" si="282"/>
        <v>2003</v>
      </c>
      <c r="F17196" t="s">
        <v>2778</v>
      </c>
      <c r="G17196" s="9">
        <v>10435.66</v>
      </c>
      <c r="H17196" s="8">
        <v>888</v>
      </c>
    </row>
    <row r="17197" spans="2:8" ht="15" customHeight="1" x14ac:dyDescent="0.4">
      <c r="B17197" t="s">
        <v>7</v>
      </c>
      <c r="C17197" t="s">
        <v>2776</v>
      </c>
      <c r="D17197" s="7">
        <f>DATE(2003,11,26)</f>
        <v>37951</v>
      </c>
      <c r="E17197" s="8">
        <f t="shared" si="282"/>
        <v>2003</v>
      </c>
      <c r="F17197" t="s">
        <v>2778</v>
      </c>
      <c r="G17197" s="9">
        <v>54160.56</v>
      </c>
      <c r="H17197" s="8">
        <v>952</v>
      </c>
    </row>
    <row r="17198" spans="2:8" ht="15" customHeight="1" x14ac:dyDescent="0.4">
      <c r="B17198" t="s">
        <v>7</v>
      </c>
      <c r="C17198" t="s">
        <v>2776</v>
      </c>
      <c r="D17198" s="7">
        <f>DATE(2003,11,26)</f>
        <v>37951</v>
      </c>
      <c r="E17198" s="8">
        <f t="shared" si="282"/>
        <v>2003</v>
      </c>
      <c r="F17198" t="s">
        <v>2778</v>
      </c>
      <c r="G17198" s="9">
        <v>11469.74</v>
      </c>
      <c r="H17198" s="8">
        <v>961</v>
      </c>
    </row>
    <row r="17199" spans="2:8" ht="15" customHeight="1" x14ac:dyDescent="0.4">
      <c r="B17199" t="s">
        <v>7</v>
      </c>
      <c r="C17199" t="s">
        <v>2776</v>
      </c>
      <c r="D17199" s="7">
        <f>DATE(2003,10,19)</f>
        <v>37913</v>
      </c>
      <c r="E17199" s="8">
        <f t="shared" si="282"/>
        <v>2003</v>
      </c>
      <c r="F17199" t="s">
        <v>2778</v>
      </c>
      <c r="G17199" s="9">
        <v>2120</v>
      </c>
      <c r="H17199" s="8">
        <v>932</v>
      </c>
    </row>
    <row r="17200" spans="2:8" ht="15" customHeight="1" x14ac:dyDescent="0.4">
      <c r="B17200" t="s">
        <v>7</v>
      </c>
      <c r="C17200" t="s">
        <v>2776</v>
      </c>
      <c r="D17200" s="7">
        <f>DATE(2004,3,6)</f>
        <v>38052</v>
      </c>
      <c r="E17200" s="8">
        <f t="shared" si="282"/>
        <v>2004</v>
      </c>
      <c r="F17200" t="s">
        <v>2778</v>
      </c>
      <c r="G17200" s="9">
        <v>12589.12</v>
      </c>
      <c r="H17200" s="8">
        <v>1347</v>
      </c>
    </row>
    <row r="17201" spans="2:8" ht="15" customHeight="1" x14ac:dyDescent="0.4">
      <c r="B17201" t="s">
        <v>7</v>
      </c>
      <c r="C17201" t="s">
        <v>2776</v>
      </c>
      <c r="D17201" s="7">
        <f>DATE(2004,3,11)</f>
        <v>38057</v>
      </c>
      <c r="E17201" s="8">
        <f t="shared" si="282"/>
        <v>2004</v>
      </c>
      <c r="F17201" t="s">
        <v>2778</v>
      </c>
      <c r="G17201" s="9">
        <v>29423.61</v>
      </c>
      <c r="H17201" s="8">
        <v>1348</v>
      </c>
    </row>
    <row r="17202" spans="2:8" ht="15" customHeight="1" x14ac:dyDescent="0.4">
      <c r="B17202" t="s">
        <v>7</v>
      </c>
      <c r="C17202" t="s">
        <v>2776</v>
      </c>
      <c r="D17202" s="7">
        <f>DATE(2005,3,10)</f>
        <v>38421</v>
      </c>
      <c r="E17202" s="8">
        <f t="shared" si="282"/>
        <v>2005</v>
      </c>
      <c r="F17202" t="s">
        <v>2778</v>
      </c>
      <c r="G17202" s="9">
        <v>28236.959999999999</v>
      </c>
      <c r="H17202" s="8">
        <v>2819</v>
      </c>
    </row>
    <row r="17203" spans="2:8" ht="15" customHeight="1" x14ac:dyDescent="0.4">
      <c r="B17203" t="s">
        <v>7</v>
      </c>
      <c r="C17203" t="s">
        <v>2776</v>
      </c>
      <c r="D17203" s="7">
        <f>DATE(2005,4,24)</f>
        <v>38466</v>
      </c>
      <c r="E17203" s="8">
        <f t="shared" si="282"/>
        <v>2005</v>
      </c>
      <c r="F17203" t="s">
        <v>2778</v>
      </c>
      <c r="G17203" s="9">
        <v>17702.12</v>
      </c>
      <c r="H17203" s="8">
        <v>3029</v>
      </c>
    </row>
    <row r="17204" spans="2:8" ht="15" customHeight="1" x14ac:dyDescent="0.4">
      <c r="B17204" t="s">
        <v>7</v>
      </c>
      <c r="C17204" t="s">
        <v>2776</v>
      </c>
      <c r="D17204" s="7">
        <f>DATE(2006,3,4)</f>
        <v>38780</v>
      </c>
      <c r="E17204" s="8">
        <f t="shared" si="282"/>
        <v>2006</v>
      </c>
      <c r="F17204" t="s">
        <v>2778</v>
      </c>
      <c r="G17204" s="9">
        <v>52848.47</v>
      </c>
      <c r="H17204" s="8">
        <v>4056</v>
      </c>
    </row>
    <row r="17205" spans="2:8" ht="15" customHeight="1" x14ac:dyDescent="0.4">
      <c r="B17205" t="s">
        <v>7</v>
      </c>
      <c r="C17205" t="s">
        <v>2776</v>
      </c>
      <c r="D17205" s="7">
        <f>DATE(2006,3,17)</f>
        <v>38793</v>
      </c>
      <c r="E17205" s="8">
        <f t="shared" si="282"/>
        <v>2006</v>
      </c>
      <c r="F17205" t="s">
        <v>2778</v>
      </c>
      <c r="G17205" s="9">
        <v>18211.849999999999</v>
      </c>
      <c r="H17205" s="8">
        <v>4057</v>
      </c>
    </row>
    <row r="17206" spans="2:8" ht="15" customHeight="1" x14ac:dyDescent="0.4">
      <c r="B17206" t="s">
        <v>7</v>
      </c>
      <c r="C17206" t="s">
        <v>2776</v>
      </c>
      <c r="D17206" s="7">
        <f>DATE(2007,2,28)</f>
        <v>39141</v>
      </c>
      <c r="E17206" s="8">
        <f t="shared" si="282"/>
        <v>2007</v>
      </c>
      <c r="F17206" t="s">
        <v>2778</v>
      </c>
      <c r="G17206" s="9">
        <v>5084.92</v>
      </c>
      <c r="H17206" s="8">
        <v>5548</v>
      </c>
    </row>
    <row r="17207" spans="2:8" ht="15" customHeight="1" x14ac:dyDescent="0.4">
      <c r="B17207" t="s">
        <v>7</v>
      </c>
      <c r="C17207" t="s">
        <v>2776</v>
      </c>
      <c r="D17207" s="7">
        <f>DATE(2007,3,16)</f>
        <v>39157</v>
      </c>
      <c r="E17207" s="8">
        <f t="shared" si="282"/>
        <v>2007</v>
      </c>
      <c r="F17207" t="s">
        <v>2778</v>
      </c>
      <c r="G17207" s="9">
        <v>39125</v>
      </c>
      <c r="H17207" s="8">
        <v>5542</v>
      </c>
    </row>
    <row r="17208" spans="2:8" ht="15" customHeight="1" x14ac:dyDescent="0.4">
      <c r="B17208" t="s">
        <v>7</v>
      </c>
      <c r="C17208" t="s">
        <v>2776</v>
      </c>
      <c r="D17208" s="7">
        <f>DATE(2007,3,23)</f>
        <v>39164</v>
      </c>
      <c r="E17208" s="8">
        <f t="shared" si="282"/>
        <v>2007</v>
      </c>
      <c r="F17208" t="s">
        <v>2778</v>
      </c>
      <c r="G17208" s="9">
        <v>42057.14</v>
      </c>
      <c r="H17208" s="8">
        <v>5541</v>
      </c>
    </row>
    <row r="17209" spans="2:8" ht="15" customHeight="1" x14ac:dyDescent="0.4">
      <c r="B17209" t="s">
        <v>7</v>
      </c>
      <c r="C17209" t="s">
        <v>2776</v>
      </c>
      <c r="D17209" s="7">
        <f>DATE(2007,5,15)</f>
        <v>39217</v>
      </c>
      <c r="E17209" s="8">
        <f t="shared" si="282"/>
        <v>2007</v>
      </c>
      <c r="F17209" t="s">
        <v>2778</v>
      </c>
      <c r="G17209" s="9">
        <v>13821.79</v>
      </c>
      <c r="H17209" s="8">
        <v>5943</v>
      </c>
    </row>
    <row r="17210" spans="2:8" ht="15" customHeight="1" x14ac:dyDescent="0.4">
      <c r="B17210" t="s">
        <v>7</v>
      </c>
      <c r="C17210" t="s">
        <v>2776</v>
      </c>
      <c r="D17210" s="7">
        <f>DATE(2007,10,10)</f>
        <v>39365</v>
      </c>
      <c r="E17210" s="8">
        <f t="shared" si="282"/>
        <v>2007</v>
      </c>
      <c r="F17210" t="s">
        <v>2778</v>
      </c>
      <c r="G17210" s="9">
        <v>32841.25</v>
      </c>
      <c r="H17210" s="8">
        <v>6319</v>
      </c>
    </row>
    <row r="17211" spans="2:8" ht="15" customHeight="1" x14ac:dyDescent="0.4">
      <c r="B17211" t="s">
        <v>7</v>
      </c>
      <c r="C17211" t="s">
        <v>2776</v>
      </c>
      <c r="D17211" s="7">
        <f>DATE(2007,10,17)</f>
        <v>39372</v>
      </c>
      <c r="E17211" s="8">
        <f t="shared" si="282"/>
        <v>2007</v>
      </c>
      <c r="F17211" t="s">
        <v>2778</v>
      </c>
      <c r="G17211" s="9">
        <v>17263.29</v>
      </c>
      <c r="H17211" s="8">
        <v>6440</v>
      </c>
    </row>
    <row r="17212" spans="2:8" ht="15" customHeight="1" x14ac:dyDescent="0.4">
      <c r="B17212" t="s">
        <v>7</v>
      </c>
      <c r="C17212" t="s">
        <v>2776</v>
      </c>
      <c r="D17212" s="7">
        <f>DATE(2008,3,14)</f>
        <v>39521</v>
      </c>
      <c r="E17212" s="8">
        <f t="shared" si="282"/>
        <v>2008</v>
      </c>
      <c r="F17212" t="s">
        <v>2778</v>
      </c>
      <c r="G17212" s="9">
        <v>13904.6</v>
      </c>
      <c r="H17212" s="8">
        <v>6680</v>
      </c>
    </row>
    <row r="17213" spans="2:8" ht="15" customHeight="1" x14ac:dyDescent="0.4">
      <c r="B17213" t="s">
        <v>7</v>
      </c>
      <c r="C17213" t="s">
        <v>2776</v>
      </c>
      <c r="D17213" s="7">
        <f>DATE(2008,3,12)</f>
        <v>39519</v>
      </c>
      <c r="E17213" s="8">
        <f t="shared" si="282"/>
        <v>2008</v>
      </c>
      <c r="F17213" t="s">
        <v>2778</v>
      </c>
      <c r="G17213" s="9">
        <v>12547.32</v>
      </c>
      <c r="H17213" s="8">
        <v>6679</v>
      </c>
    </row>
    <row r="17214" spans="2:8" ht="15" customHeight="1" x14ac:dyDescent="0.4">
      <c r="B17214" t="s">
        <v>7</v>
      </c>
      <c r="C17214" t="s">
        <v>2776</v>
      </c>
      <c r="D17214" s="7">
        <f>DATE(2008,3,27)</f>
        <v>39534</v>
      </c>
      <c r="E17214" s="8">
        <f t="shared" si="282"/>
        <v>2008</v>
      </c>
      <c r="F17214" t="s">
        <v>2778</v>
      </c>
      <c r="G17214" s="9">
        <v>18072</v>
      </c>
      <c r="H17214" s="8">
        <v>6681</v>
      </c>
    </row>
    <row r="17215" spans="2:8" ht="15" customHeight="1" x14ac:dyDescent="0.4">
      <c r="B17215" t="s">
        <v>7</v>
      </c>
      <c r="C17215" t="s">
        <v>2776</v>
      </c>
      <c r="D17215" s="7">
        <f>DATE(2008,4,1)</f>
        <v>39539</v>
      </c>
      <c r="E17215" s="8">
        <f t="shared" si="282"/>
        <v>2008</v>
      </c>
      <c r="F17215" t="s">
        <v>2778</v>
      </c>
      <c r="G17215" s="9">
        <v>7132.21</v>
      </c>
      <c r="H17215" s="8">
        <v>6999</v>
      </c>
    </row>
    <row r="17216" spans="2:8" ht="15" customHeight="1" x14ac:dyDescent="0.4">
      <c r="B17216" t="s">
        <v>7</v>
      </c>
      <c r="C17216" t="s">
        <v>2776</v>
      </c>
      <c r="D17216" s="7">
        <f>DATE(2008,3,31)</f>
        <v>39538</v>
      </c>
      <c r="E17216" s="8">
        <f t="shared" si="282"/>
        <v>2008</v>
      </c>
      <c r="F17216" t="s">
        <v>2778</v>
      </c>
      <c r="G17216" s="9">
        <v>37549.660000000003</v>
      </c>
      <c r="H17216" s="8">
        <v>6998</v>
      </c>
    </row>
    <row r="17217" spans="2:8" ht="15" customHeight="1" x14ac:dyDescent="0.4">
      <c r="B17217" t="s">
        <v>7</v>
      </c>
      <c r="C17217" t="s">
        <v>2776</v>
      </c>
      <c r="D17217" s="7">
        <f>DATE(2008,10,30)</f>
        <v>39751</v>
      </c>
      <c r="E17217" s="8">
        <f t="shared" si="282"/>
        <v>2008</v>
      </c>
      <c r="F17217" t="s">
        <v>2778</v>
      </c>
      <c r="G17217" s="9">
        <v>17117.830000000002</v>
      </c>
      <c r="H17217" s="8">
        <v>7913</v>
      </c>
    </row>
    <row r="17218" spans="2:8" ht="15" customHeight="1" x14ac:dyDescent="0.4">
      <c r="B17218" t="s">
        <v>7</v>
      </c>
      <c r="C17218" t="s">
        <v>2776</v>
      </c>
      <c r="D17218" s="7">
        <f>DATE(2009,4,16)</f>
        <v>39919</v>
      </c>
      <c r="E17218" s="8">
        <f t="shared" si="282"/>
        <v>2009</v>
      </c>
      <c r="F17218" t="s">
        <v>2778</v>
      </c>
      <c r="G17218" s="9">
        <v>9275.68</v>
      </c>
      <c r="H17218" s="8">
        <v>8209</v>
      </c>
    </row>
    <row r="17219" spans="2:8" ht="15" customHeight="1" x14ac:dyDescent="0.4">
      <c r="B17219" t="s">
        <v>7</v>
      </c>
      <c r="C17219" t="s">
        <v>2776</v>
      </c>
      <c r="D17219" s="7">
        <f>DATE(2009,4,24)</f>
        <v>39927</v>
      </c>
      <c r="E17219" s="8">
        <f t="shared" ref="E17219:E17282" si="283">YEAR(D17219)</f>
        <v>2009</v>
      </c>
      <c r="F17219" t="s">
        <v>2778</v>
      </c>
      <c r="G17219" s="9">
        <v>13568.07</v>
      </c>
      <c r="H17219" s="8">
        <v>8501</v>
      </c>
    </row>
    <row r="17220" spans="2:8" ht="15" customHeight="1" x14ac:dyDescent="0.4">
      <c r="B17220" t="s">
        <v>16</v>
      </c>
      <c r="C17220" t="s">
        <v>2776</v>
      </c>
      <c r="D17220" s="7">
        <f>DATE(2004,1,31)</f>
        <v>38017</v>
      </c>
      <c r="E17220" s="8">
        <f t="shared" si="283"/>
        <v>2004</v>
      </c>
      <c r="F17220" t="s">
        <v>2778</v>
      </c>
      <c r="G17220" s="9">
        <v>22.6</v>
      </c>
      <c r="H17220" s="8">
        <v>1235</v>
      </c>
    </row>
    <row r="17221" spans="2:8" ht="15" customHeight="1" x14ac:dyDescent="0.4">
      <c r="B17221" t="s">
        <v>16</v>
      </c>
      <c r="C17221" t="s">
        <v>2776</v>
      </c>
      <c r="D17221" s="7">
        <f>DATE(2006,3,4)</f>
        <v>38780</v>
      </c>
      <c r="E17221" s="8">
        <f t="shared" si="283"/>
        <v>2006</v>
      </c>
      <c r="F17221" t="s">
        <v>2778</v>
      </c>
      <c r="G17221" s="9">
        <v>218.63</v>
      </c>
      <c r="H17221" s="8">
        <v>4683</v>
      </c>
    </row>
    <row r="17222" spans="2:8" ht="15" customHeight="1" x14ac:dyDescent="0.4">
      <c r="B17222" t="s">
        <v>7</v>
      </c>
      <c r="C17222" t="s">
        <v>2779</v>
      </c>
      <c r="D17222" s="7">
        <f>DATE(2018,4,2)</f>
        <v>43192</v>
      </c>
      <c r="E17222" s="8">
        <f t="shared" si="283"/>
        <v>2018</v>
      </c>
      <c r="F17222" t="s">
        <v>2780</v>
      </c>
      <c r="G17222" s="9">
        <v>15893.63</v>
      </c>
      <c r="H17222" s="8">
        <v>26399</v>
      </c>
    </row>
    <row r="17223" spans="2:8" ht="15" customHeight="1" x14ac:dyDescent="0.4">
      <c r="B17223" t="s">
        <v>7</v>
      </c>
      <c r="C17223" t="s">
        <v>2779</v>
      </c>
      <c r="D17223" s="7">
        <f>DATE(2018,4,2)</f>
        <v>43192</v>
      </c>
      <c r="E17223" s="8">
        <f t="shared" si="283"/>
        <v>2018</v>
      </c>
      <c r="F17223" t="s">
        <v>2780</v>
      </c>
      <c r="G17223" s="9">
        <v>5170</v>
      </c>
      <c r="H17223" s="8">
        <v>26557</v>
      </c>
    </row>
    <row r="17224" spans="2:8" ht="15" customHeight="1" x14ac:dyDescent="0.4">
      <c r="B17224" t="s">
        <v>7</v>
      </c>
      <c r="C17224" t="s">
        <v>2779</v>
      </c>
      <c r="D17224" s="7">
        <f>DATE(2018,4,2)</f>
        <v>43192</v>
      </c>
      <c r="E17224" s="8">
        <f t="shared" si="283"/>
        <v>2018</v>
      </c>
      <c r="F17224" t="s">
        <v>2780</v>
      </c>
      <c r="G17224" s="9">
        <v>14010</v>
      </c>
      <c r="H17224" s="8">
        <v>26404</v>
      </c>
    </row>
    <row r="17225" spans="2:8" ht="15" customHeight="1" x14ac:dyDescent="0.4">
      <c r="B17225" s="3" t="s">
        <v>7</v>
      </c>
      <c r="C17225" s="3" t="s">
        <v>380</v>
      </c>
      <c r="D17225" s="4">
        <f>DATE(2005,9,29)</f>
        <v>38624</v>
      </c>
      <c r="E17225" s="5">
        <f t="shared" si="283"/>
        <v>2005</v>
      </c>
      <c r="F17225" s="3" t="s">
        <v>2781</v>
      </c>
      <c r="G17225" s="6">
        <v>281</v>
      </c>
      <c r="H17225" s="5">
        <v>1250</v>
      </c>
    </row>
    <row r="17226" spans="2:8" ht="15" customHeight="1" x14ac:dyDescent="0.4">
      <c r="B17226" s="3" t="s">
        <v>7</v>
      </c>
      <c r="C17226" s="3" t="s">
        <v>380</v>
      </c>
      <c r="D17226" s="4">
        <f>DATE(2006,4,25)</f>
        <v>38832</v>
      </c>
      <c r="E17226" s="5">
        <f t="shared" si="283"/>
        <v>2006</v>
      </c>
      <c r="F17226" s="3" t="s">
        <v>2781</v>
      </c>
      <c r="G17226" s="6">
        <v>359.75</v>
      </c>
      <c r="H17226" s="5">
        <v>1540</v>
      </c>
    </row>
    <row r="17227" spans="2:8" ht="15" customHeight="1" x14ac:dyDescent="0.4">
      <c r="B17227" s="3" t="s">
        <v>7</v>
      </c>
      <c r="C17227" s="3" t="s">
        <v>380</v>
      </c>
      <c r="D17227" s="4">
        <f>DATE(2006,8,16)</f>
        <v>38945</v>
      </c>
      <c r="E17227" s="5">
        <f t="shared" si="283"/>
        <v>2006</v>
      </c>
      <c r="F17227" s="3" t="s">
        <v>2781</v>
      </c>
      <c r="G17227" s="6">
        <v>252</v>
      </c>
      <c r="H17227" s="5">
        <v>1712</v>
      </c>
    </row>
    <row r="17228" spans="2:8" ht="15" customHeight="1" x14ac:dyDescent="0.4">
      <c r="B17228" s="3" t="s">
        <v>7</v>
      </c>
      <c r="C17228" s="3" t="s">
        <v>380</v>
      </c>
      <c r="D17228" s="4">
        <f>DATE(2006,8,18)</f>
        <v>38947</v>
      </c>
      <c r="E17228" s="5">
        <f t="shared" si="283"/>
        <v>2006</v>
      </c>
      <c r="F17228" s="3" t="s">
        <v>2781</v>
      </c>
      <c r="G17228" s="6">
        <v>710</v>
      </c>
      <c r="H17228" s="5">
        <v>1735</v>
      </c>
    </row>
    <row r="17229" spans="2:8" ht="15" customHeight="1" x14ac:dyDescent="0.4">
      <c r="B17229" s="3" t="s">
        <v>7</v>
      </c>
      <c r="C17229" s="3" t="s">
        <v>380</v>
      </c>
      <c r="D17229" s="4">
        <f>DATE(2006,11,30)</f>
        <v>39051</v>
      </c>
      <c r="E17229" s="5">
        <f t="shared" si="283"/>
        <v>2006</v>
      </c>
      <c r="F17229" s="3" t="s">
        <v>2781</v>
      </c>
      <c r="G17229" s="6">
        <v>637.5</v>
      </c>
      <c r="H17229" s="5">
        <v>1911</v>
      </c>
    </row>
    <row r="17230" spans="2:8" ht="15" customHeight="1" x14ac:dyDescent="0.4">
      <c r="B17230" s="3" t="s">
        <v>7</v>
      </c>
      <c r="C17230" s="3" t="s">
        <v>380</v>
      </c>
      <c r="D17230" s="4">
        <f>DATE(2007,4,10)</f>
        <v>39182</v>
      </c>
      <c r="E17230" s="5">
        <f t="shared" si="283"/>
        <v>2007</v>
      </c>
      <c r="F17230" s="3" t="s">
        <v>2781</v>
      </c>
      <c r="G17230" s="6">
        <v>425</v>
      </c>
      <c r="H17230" s="5">
        <v>2169</v>
      </c>
    </row>
    <row r="17231" spans="2:8" ht="15" customHeight="1" x14ac:dyDescent="0.4">
      <c r="B17231" s="3" t="s">
        <v>7</v>
      </c>
      <c r="C17231" s="3" t="s">
        <v>380</v>
      </c>
      <c r="D17231" s="4">
        <f>DATE(2007,10,15)</f>
        <v>39370</v>
      </c>
      <c r="E17231" s="5">
        <f t="shared" si="283"/>
        <v>2007</v>
      </c>
      <c r="F17231" s="3" t="s">
        <v>2781</v>
      </c>
      <c r="G17231" s="6">
        <v>425</v>
      </c>
      <c r="H17231" s="5">
        <v>2436</v>
      </c>
    </row>
    <row r="17232" spans="2:8" ht="15" customHeight="1" x14ac:dyDescent="0.4">
      <c r="B17232" s="3" t="s">
        <v>7</v>
      </c>
      <c r="C17232" s="3" t="s">
        <v>380</v>
      </c>
      <c r="D17232" s="4">
        <f>DATE(2009,2,3)</f>
        <v>39847</v>
      </c>
      <c r="E17232" s="5">
        <f t="shared" si="283"/>
        <v>2009</v>
      </c>
      <c r="F17232" s="3" t="s">
        <v>2781</v>
      </c>
      <c r="G17232" s="6">
        <v>425</v>
      </c>
      <c r="H17232" s="5">
        <v>3223</v>
      </c>
    </row>
    <row r="17233" spans="2:8" ht="15" customHeight="1" x14ac:dyDescent="0.4">
      <c r="B17233" t="s">
        <v>7</v>
      </c>
      <c r="C17233" t="s">
        <v>380</v>
      </c>
      <c r="D17233" s="7">
        <f>DATE(2015,4,17)</f>
        <v>42111</v>
      </c>
      <c r="E17233" s="8">
        <f t="shared" si="283"/>
        <v>2015</v>
      </c>
      <c r="F17233" t="s">
        <v>2782</v>
      </c>
      <c r="G17233" s="9">
        <v>300</v>
      </c>
      <c r="H17233" s="8">
        <v>20425</v>
      </c>
    </row>
    <row r="17234" spans="2:8" ht="15" customHeight="1" x14ac:dyDescent="0.4">
      <c r="B17234" s="3" t="s">
        <v>7</v>
      </c>
      <c r="C17234" s="3" t="s">
        <v>380</v>
      </c>
      <c r="D17234" s="4">
        <f>DATE(2011,1,17)</f>
        <v>40560</v>
      </c>
      <c r="E17234" s="5">
        <f t="shared" si="283"/>
        <v>2011</v>
      </c>
      <c r="F17234" s="3" t="s">
        <v>2782</v>
      </c>
      <c r="G17234" s="6">
        <v>170</v>
      </c>
      <c r="H17234" s="5">
        <v>4270</v>
      </c>
    </row>
    <row r="17235" spans="2:8" ht="15" customHeight="1" x14ac:dyDescent="0.4">
      <c r="B17235" s="3" t="s">
        <v>7</v>
      </c>
      <c r="C17235" s="3" t="s">
        <v>380</v>
      </c>
      <c r="D17235" s="4">
        <f>DATE(2011,6,8)</f>
        <v>40702</v>
      </c>
      <c r="E17235" s="5">
        <f t="shared" si="283"/>
        <v>2011</v>
      </c>
      <c r="F17235" s="3" t="s">
        <v>2782</v>
      </c>
      <c r="G17235" s="6">
        <v>247.5</v>
      </c>
      <c r="H17235" s="5">
        <v>4451</v>
      </c>
    </row>
    <row r="17236" spans="2:8" ht="15" customHeight="1" x14ac:dyDescent="0.4">
      <c r="B17236" s="3" t="s">
        <v>7</v>
      </c>
      <c r="C17236" s="3" t="s">
        <v>380</v>
      </c>
      <c r="D17236" s="4">
        <f>DATE(2011,10,26)</f>
        <v>40842</v>
      </c>
      <c r="E17236" s="5">
        <f t="shared" si="283"/>
        <v>2011</v>
      </c>
      <c r="F17236" s="3" t="s">
        <v>2782</v>
      </c>
      <c r="G17236" s="6">
        <v>170</v>
      </c>
      <c r="H17236" s="5">
        <v>4677</v>
      </c>
    </row>
    <row r="17237" spans="2:8" ht="15" customHeight="1" x14ac:dyDescent="0.4">
      <c r="B17237" s="3" t="s">
        <v>7</v>
      </c>
      <c r="C17237" s="3" t="s">
        <v>380</v>
      </c>
      <c r="D17237" s="4">
        <f>DATE(2013,10,25)</f>
        <v>41572</v>
      </c>
      <c r="E17237" s="5">
        <f t="shared" si="283"/>
        <v>2013</v>
      </c>
      <c r="F17237" s="3" t="s">
        <v>2782</v>
      </c>
      <c r="G17237" s="6">
        <v>99</v>
      </c>
      <c r="H17237" s="5">
        <v>5850</v>
      </c>
    </row>
    <row r="17238" spans="2:8" ht="15" customHeight="1" x14ac:dyDescent="0.4">
      <c r="B17238" t="s">
        <v>7</v>
      </c>
      <c r="C17238" t="s">
        <v>2783</v>
      </c>
      <c r="D17238" s="7">
        <f>DATE(2015,9,18)</f>
        <v>42265</v>
      </c>
      <c r="E17238" s="8">
        <f t="shared" si="283"/>
        <v>2015</v>
      </c>
      <c r="F17238" t="s">
        <v>2784</v>
      </c>
      <c r="G17238" s="9">
        <v>1888.6</v>
      </c>
      <c r="H17238" s="8">
        <v>21216</v>
      </c>
    </row>
    <row r="17239" spans="2:8" ht="15" customHeight="1" x14ac:dyDescent="0.4">
      <c r="B17239" t="s">
        <v>7</v>
      </c>
      <c r="C17239" t="s">
        <v>2783</v>
      </c>
      <c r="D17239" s="7">
        <f>DATE(2007,3,3)</f>
        <v>39144</v>
      </c>
      <c r="E17239" s="8">
        <f t="shared" si="283"/>
        <v>2007</v>
      </c>
      <c r="F17239" t="s">
        <v>2784</v>
      </c>
      <c r="G17239" s="9">
        <v>43000</v>
      </c>
      <c r="H17239" s="8">
        <v>5378</v>
      </c>
    </row>
    <row r="17240" spans="2:8" ht="15" customHeight="1" x14ac:dyDescent="0.4">
      <c r="B17240" t="s">
        <v>7</v>
      </c>
      <c r="C17240" t="s">
        <v>2783</v>
      </c>
      <c r="D17240" s="7">
        <f>DATE(2009,3,17)</f>
        <v>39889</v>
      </c>
      <c r="E17240" s="8">
        <f t="shared" si="283"/>
        <v>2009</v>
      </c>
      <c r="F17240" t="s">
        <v>2784</v>
      </c>
      <c r="G17240" s="9">
        <v>6723</v>
      </c>
      <c r="H17240" s="8">
        <v>8130</v>
      </c>
    </row>
    <row r="17241" spans="2:8" ht="15" customHeight="1" x14ac:dyDescent="0.4">
      <c r="B17241" t="s">
        <v>7</v>
      </c>
      <c r="C17241" t="s">
        <v>2783</v>
      </c>
      <c r="D17241" s="7">
        <f>DATE(2009,5,28)</f>
        <v>39961</v>
      </c>
      <c r="E17241" s="8">
        <f t="shared" si="283"/>
        <v>2009</v>
      </c>
      <c r="F17241" t="s">
        <v>2784</v>
      </c>
      <c r="G17241" s="9">
        <v>750</v>
      </c>
      <c r="H17241" s="8">
        <v>8705</v>
      </c>
    </row>
    <row r="17242" spans="2:8" ht="15" customHeight="1" x14ac:dyDescent="0.4">
      <c r="B17242" t="s">
        <v>7</v>
      </c>
      <c r="C17242" t="s">
        <v>2783</v>
      </c>
      <c r="D17242" s="7">
        <f>DATE(2010,3,31)</f>
        <v>40268</v>
      </c>
      <c r="E17242" s="8">
        <f t="shared" si="283"/>
        <v>2010</v>
      </c>
      <c r="F17242" t="s">
        <v>2784</v>
      </c>
      <c r="G17242" s="9">
        <v>4179.7299999999996</v>
      </c>
      <c r="H17242" s="8">
        <v>9626</v>
      </c>
    </row>
    <row r="17243" spans="2:8" ht="15" customHeight="1" x14ac:dyDescent="0.4">
      <c r="B17243" t="s">
        <v>7</v>
      </c>
      <c r="C17243" t="s">
        <v>2783</v>
      </c>
      <c r="D17243" s="7">
        <f>DATE(2014,4,22)</f>
        <v>41751</v>
      </c>
      <c r="E17243" s="8">
        <f t="shared" si="283"/>
        <v>2014</v>
      </c>
      <c r="F17243" t="s">
        <v>2784</v>
      </c>
      <c r="G17243" s="9">
        <v>49920</v>
      </c>
      <c r="H17243" s="8">
        <v>13032</v>
      </c>
    </row>
    <row r="17244" spans="2:8" ht="15" customHeight="1" x14ac:dyDescent="0.4">
      <c r="B17244" t="s">
        <v>7</v>
      </c>
      <c r="C17244" t="s">
        <v>2783</v>
      </c>
      <c r="D17244" s="7">
        <f>DATE(2014,5,6)</f>
        <v>41765</v>
      </c>
      <c r="E17244" s="8">
        <f t="shared" si="283"/>
        <v>2014</v>
      </c>
      <c r="F17244" t="s">
        <v>2784</v>
      </c>
      <c r="G17244" s="9">
        <v>8514</v>
      </c>
      <c r="H17244" s="8">
        <v>13174</v>
      </c>
    </row>
    <row r="17245" spans="2:8" ht="15" customHeight="1" x14ac:dyDescent="0.4">
      <c r="B17245" t="s">
        <v>7</v>
      </c>
      <c r="C17245" t="s">
        <v>2783</v>
      </c>
      <c r="D17245" s="7">
        <f>DATE(2012,3,6)</f>
        <v>40974</v>
      </c>
      <c r="E17245" s="8">
        <f t="shared" si="283"/>
        <v>2012</v>
      </c>
      <c r="F17245" t="s">
        <v>2784</v>
      </c>
      <c r="G17245" s="9">
        <v>1875.09</v>
      </c>
      <c r="H17245" s="8">
        <v>11424</v>
      </c>
    </row>
    <row r="17246" spans="2:8" ht="15" customHeight="1" x14ac:dyDescent="0.4">
      <c r="B17246" s="3" t="s">
        <v>7</v>
      </c>
      <c r="C17246" s="3" t="s">
        <v>2783</v>
      </c>
      <c r="D17246" s="4">
        <f>DATE(2006,5,17)</f>
        <v>38854</v>
      </c>
      <c r="E17246" s="5">
        <f t="shared" si="283"/>
        <v>2006</v>
      </c>
      <c r="F17246" s="3" t="s">
        <v>2784</v>
      </c>
      <c r="G17246" s="6">
        <v>2010</v>
      </c>
      <c r="H17246" s="5">
        <v>6737</v>
      </c>
    </row>
    <row r="17247" spans="2:8" ht="15" customHeight="1" x14ac:dyDescent="0.4">
      <c r="B17247" s="3" t="s">
        <v>7</v>
      </c>
      <c r="C17247" s="3" t="s">
        <v>2783</v>
      </c>
      <c r="D17247" s="4">
        <f>DATE(2008,5,9)</f>
        <v>39577</v>
      </c>
      <c r="E17247" s="5">
        <f t="shared" si="283"/>
        <v>2008</v>
      </c>
      <c r="F17247" s="3" t="s">
        <v>2784</v>
      </c>
      <c r="G17247" s="6">
        <v>34</v>
      </c>
      <c r="H17247" s="5">
        <v>10639</v>
      </c>
    </row>
    <row r="17248" spans="2:8" ht="15" customHeight="1" x14ac:dyDescent="0.4">
      <c r="B17248" s="3" t="s">
        <v>7</v>
      </c>
      <c r="C17248" s="3" t="s">
        <v>2783</v>
      </c>
      <c r="D17248" s="4">
        <f>DATE(2009,5,29)</f>
        <v>39962</v>
      </c>
      <c r="E17248" s="5">
        <f t="shared" si="283"/>
        <v>2009</v>
      </c>
      <c r="F17248" s="3" t="s">
        <v>2784</v>
      </c>
      <c r="G17248" s="6">
        <v>34</v>
      </c>
      <c r="H17248" s="5">
        <v>12578</v>
      </c>
    </row>
    <row r="17249" spans="2:8" ht="15" customHeight="1" x14ac:dyDescent="0.4">
      <c r="B17249" s="3" t="s">
        <v>7</v>
      </c>
      <c r="C17249" s="3" t="s">
        <v>2783</v>
      </c>
      <c r="D17249" s="4">
        <f>DATE(2009,10,21)</f>
        <v>40107</v>
      </c>
      <c r="E17249" s="5">
        <f t="shared" si="283"/>
        <v>2009</v>
      </c>
      <c r="F17249" s="3" t="s">
        <v>2784</v>
      </c>
      <c r="G17249" s="6">
        <v>11595</v>
      </c>
      <c r="H17249" s="5">
        <v>12968</v>
      </c>
    </row>
    <row r="17250" spans="2:8" ht="15" customHeight="1" x14ac:dyDescent="0.4">
      <c r="B17250" s="3" t="s">
        <v>7</v>
      </c>
      <c r="C17250" s="3" t="s">
        <v>2783</v>
      </c>
      <c r="D17250" s="4">
        <f>DATE(2011,5,13)</f>
        <v>40676</v>
      </c>
      <c r="E17250" s="5">
        <f t="shared" si="283"/>
        <v>2011</v>
      </c>
      <c r="F17250" s="3" t="s">
        <v>2784</v>
      </c>
      <c r="G17250" s="6">
        <v>34</v>
      </c>
      <c r="H17250" s="5">
        <v>15578</v>
      </c>
    </row>
    <row r="17251" spans="2:8" ht="15" customHeight="1" x14ac:dyDescent="0.4">
      <c r="B17251" s="3" t="s">
        <v>7</v>
      </c>
      <c r="C17251" s="3" t="s">
        <v>2783</v>
      </c>
      <c r="D17251" s="4">
        <f>DATE(2011,5,24)</f>
        <v>40687</v>
      </c>
      <c r="E17251" s="5">
        <f t="shared" si="283"/>
        <v>2011</v>
      </c>
      <c r="F17251" s="3" t="s">
        <v>2784</v>
      </c>
      <c r="G17251" s="6">
        <v>380</v>
      </c>
      <c r="H17251" s="5">
        <v>15591</v>
      </c>
    </row>
    <row r="17252" spans="2:8" ht="15" customHeight="1" x14ac:dyDescent="0.4">
      <c r="B17252" s="3" t="s">
        <v>7</v>
      </c>
      <c r="C17252" s="3" t="s">
        <v>2783</v>
      </c>
      <c r="D17252" s="4">
        <f>DATE(2011,5,26)</f>
        <v>40689</v>
      </c>
      <c r="E17252" s="5">
        <f t="shared" si="283"/>
        <v>2011</v>
      </c>
      <c r="F17252" s="3" t="s">
        <v>2784</v>
      </c>
      <c r="G17252" s="6">
        <v>589</v>
      </c>
      <c r="H17252" s="5">
        <v>15629</v>
      </c>
    </row>
    <row r="17253" spans="2:8" ht="15" customHeight="1" x14ac:dyDescent="0.4">
      <c r="B17253" s="3" t="s">
        <v>7</v>
      </c>
      <c r="C17253" s="3" t="s">
        <v>2783</v>
      </c>
      <c r="D17253" s="4">
        <f>DATE(2012,6,18)</f>
        <v>41078</v>
      </c>
      <c r="E17253" s="5">
        <f t="shared" si="283"/>
        <v>2012</v>
      </c>
      <c r="F17253" s="3" t="s">
        <v>2784</v>
      </c>
      <c r="G17253" s="6">
        <v>2375</v>
      </c>
      <c r="H17253" s="5">
        <v>17266</v>
      </c>
    </row>
    <row r="17254" spans="2:8" ht="15" customHeight="1" x14ac:dyDescent="0.4">
      <c r="B17254" s="3" t="s">
        <v>7</v>
      </c>
      <c r="C17254" s="3" t="s">
        <v>2783</v>
      </c>
      <c r="D17254" s="4">
        <f>DATE(2012,7,23)</f>
        <v>41113</v>
      </c>
      <c r="E17254" s="5">
        <f t="shared" si="283"/>
        <v>2012</v>
      </c>
      <c r="F17254" s="3" t="s">
        <v>2784</v>
      </c>
      <c r="G17254" s="6">
        <v>513</v>
      </c>
      <c r="H17254" s="5">
        <v>17375</v>
      </c>
    </row>
    <row r="17255" spans="2:8" ht="15" customHeight="1" x14ac:dyDescent="0.4">
      <c r="B17255" s="3" t="s">
        <v>7</v>
      </c>
      <c r="C17255" s="3" t="s">
        <v>2783</v>
      </c>
      <c r="D17255" s="4">
        <f>DATE(2013,6,4)</f>
        <v>41429</v>
      </c>
      <c r="E17255" s="5">
        <f t="shared" si="283"/>
        <v>2013</v>
      </c>
      <c r="F17255" s="3" t="s">
        <v>2784</v>
      </c>
      <c r="G17255" s="6">
        <v>102</v>
      </c>
      <c r="H17255" s="5">
        <v>18649</v>
      </c>
    </row>
    <row r="17256" spans="2:8" ht="15" customHeight="1" x14ac:dyDescent="0.4">
      <c r="B17256" t="s">
        <v>7</v>
      </c>
      <c r="C17256" t="s">
        <v>2783</v>
      </c>
      <c r="D17256" s="7">
        <f>DATE(2004,7,19)</f>
        <v>38187</v>
      </c>
      <c r="E17256" s="8">
        <f t="shared" si="283"/>
        <v>2004</v>
      </c>
      <c r="F17256" t="s">
        <v>2785</v>
      </c>
      <c r="G17256" s="9">
        <v>531</v>
      </c>
      <c r="H17256" s="8">
        <v>1939</v>
      </c>
    </row>
    <row r="17257" spans="2:8" ht="15" customHeight="1" x14ac:dyDescent="0.4">
      <c r="B17257" t="s">
        <v>7</v>
      </c>
      <c r="C17257" t="s">
        <v>2783</v>
      </c>
      <c r="D17257" s="7">
        <f>DATE(2004,6,15)</f>
        <v>38153</v>
      </c>
      <c r="E17257" s="8">
        <f t="shared" si="283"/>
        <v>2004</v>
      </c>
      <c r="F17257" t="s">
        <v>2785</v>
      </c>
      <c r="G17257" s="9">
        <v>3747.13</v>
      </c>
      <c r="H17257" s="8">
        <v>1877</v>
      </c>
    </row>
    <row r="17258" spans="2:8" ht="15" customHeight="1" x14ac:dyDescent="0.4">
      <c r="B17258" s="3" t="s">
        <v>7</v>
      </c>
      <c r="C17258" s="3" t="s">
        <v>2783</v>
      </c>
      <c r="D17258" s="4">
        <f>DATE(2003,3,11)</f>
        <v>37691</v>
      </c>
      <c r="E17258" s="5">
        <f t="shared" si="283"/>
        <v>2003</v>
      </c>
      <c r="F17258" s="3" t="s">
        <v>2785</v>
      </c>
      <c r="G17258" s="6">
        <v>37</v>
      </c>
      <c r="H17258" s="5">
        <v>492</v>
      </c>
    </row>
    <row r="17259" spans="2:8" ht="15" customHeight="1" x14ac:dyDescent="0.4">
      <c r="B17259" s="3" t="s">
        <v>7</v>
      </c>
      <c r="C17259" s="3" t="s">
        <v>2783</v>
      </c>
      <c r="D17259" s="4">
        <f>DATE(2003,3,28)</f>
        <v>37708</v>
      </c>
      <c r="E17259" s="5">
        <f t="shared" si="283"/>
        <v>2003</v>
      </c>
      <c r="F17259" s="3" t="s">
        <v>2785</v>
      </c>
      <c r="G17259" s="6">
        <v>2293</v>
      </c>
      <c r="H17259" s="5">
        <v>602</v>
      </c>
    </row>
    <row r="17260" spans="2:8" ht="15" customHeight="1" x14ac:dyDescent="0.4">
      <c r="B17260" s="3" t="s">
        <v>7</v>
      </c>
      <c r="C17260" s="3" t="s">
        <v>2783</v>
      </c>
      <c r="D17260" s="4">
        <f>DATE(2003,5,13)</f>
        <v>37754</v>
      </c>
      <c r="E17260" s="5">
        <f t="shared" si="283"/>
        <v>2003</v>
      </c>
      <c r="F17260" s="3" t="s">
        <v>2785</v>
      </c>
      <c r="G17260" s="6">
        <v>1807</v>
      </c>
      <c r="H17260" s="5">
        <v>917</v>
      </c>
    </row>
    <row r="17261" spans="2:8" ht="15" customHeight="1" x14ac:dyDescent="0.4">
      <c r="B17261" s="3" t="s">
        <v>7</v>
      </c>
      <c r="C17261" s="3" t="s">
        <v>2783</v>
      </c>
      <c r="D17261" s="4">
        <f>DATE(2003,6,17)</f>
        <v>37789</v>
      </c>
      <c r="E17261" s="5">
        <f t="shared" si="283"/>
        <v>2003</v>
      </c>
      <c r="F17261" s="3" t="s">
        <v>2785</v>
      </c>
      <c r="G17261" s="6">
        <v>37</v>
      </c>
      <c r="H17261" s="5">
        <v>1118</v>
      </c>
    </row>
    <row r="17262" spans="2:8" ht="15" customHeight="1" x14ac:dyDescent="0.4">
      <c r="B17262" s="3" t="s">
        <v>7</v>
      </c>
      <c r="C17262" s="3" t="s">
        <v>2783</v>
      </c>
      <c r="D17262" s="4">
        <f>DATE(2004,5,12)</f>
        <v>38119</v>
      </c>
      <c r="E17262" s="5">
        <f t="shared" si="283"/>
        <v>2004</v>
      </c>
      <c r="F17262" s="3" t="s">
        <v>2785</v>
      </c>
      <c r="G17262" s="6">
        <v>32</v>
      </c>
      <c r="H17262" s="5">
        <v>2880</v>
      </c>
    </row>
    <row r="17263" spans="2:8" ht="15" customHeight="1" x14ac:dyDescent="0.4">
      <c r="B17263" s="3" t="s">
        <v>7</v>
      </c>
      <c r="C17263" s="3" t="s">
        <v>2783</v>
      </c>
      <c r="D17263" s="4">
        <f>DATE(2004,5,3)</f>
        <v>38110</v>
      </c>
      <c r="E17263" s="5">
        <f t="shared" si="283"/>
        <v>2004</v>
      </c>
      <c r="F17263" s="3" t="s">
        <v>2785</v>
      </c>
      <c r="G17263" s="6">
        <v>1800</v>
      </c>
      <c r="H17263" s="5">
        <v>2800</v>
      </c>
    </row>
    <row r="17264" spans="2:8" ht="15" customHeight="1" x14ac:dyDescent="0.4">
      <c r="B17264" s="3" t="s">
        <v>7</v>
      </c>
      <c r="C17264" s="3" t="s">
        <v>2783</v>
      </c>
      <c r="D17264" s="4">
        <f>DATE(2005,8,19)</f>
        <v>38583</v>
      </c>
      <c r="E17264" s="5">
        <f t="shared" si="283"/>
        <v>2005</v>
      </c>
      <c r="F17264" s="3" t="s">
        <v>2785</v>
      </c>
      <c r="G17264" s="6">
        <v>34</v>
      </c>
      <c r="H17264" s="5">
        <v>5154</v>
      </c>
    </row>
    <row r="17265" spans="2:8" ht="15" customHeight="1" x14ac:dyDescent="0.4">
      <c r="B17265" s="3" t="s">
        <v>7</v>
      </c>
      <c r="C17265" s="3" t="s">
        <v>2786</v>
      </c>
      <c r="D17265" s="4">
        <f>DATE(2011,3,17)</f>
        <v>40619</v>
      </c>
      <c r="E17265" s="5">
        <f t="shared" si="283"/>
        <v>2011</v>
      </c>
      <c r="F17265" s="3" t="s">
        <v>2787</v>
      </c>
      <c r="G17265" s="6">
        <v>3895.42</v>
      </c>
      <c r="H17265" s="5">
        <v>15233</v>
      </c>
    </row>
    <row r="17266" spans="2:8" ht="15" customHeight="1" x14ac:dyDescent="0.4">
      <c r="B17266" t="s">
        <v>7</v>
      </c>
      <c r="C17266" t="s">
        <v>2788</v>
      </c>
      <c r="D17266" s="7">
        <f>DATE(2015,8,26)</f>
        <v>42242</v>
      </c>
      <c r="E17266" s="8">
        <f t="shared" si="283"/>
        <v>2015</v>
      </c>
      <c r="F17266" t="s">
        <v>2789</v>
      </c>
      <c r="G17266" s="9">
        <v>11005.17</v>
      </c>
      <c r="H17266" s="8">
        <v>20403</v>
      </c>
    </row>
    <row r="17267" spans="2:8" ht="15" customHeight="1" x14ac:dyDescent="0.4">
      <c r="B17267" t="s">
        <v>7</v>
      </c>
      <c r="C17267" t="s">
        <v>2788</v>
      </c>
      <c r="D17267" s="7">
        <f>DATE(2016,1,21)</f>
        <v>42390</v>
      </c>
      <c r="E17267" s="8">
        <f t="shared" si="283"/>
        <v>2016</v>
      </c>
      <c r="F17267" t="s">
        <v>2789</v>
      </c>
      <c r="G17267" s="9">
        <v>6730.69</v>
      </c>
      <c r="H17267" s="8">
        <v>21923</v>
      </c>
    </row>
    <row r="17268" spans="2:8" ht="15" customHeight="1" x14ac:dyDescent="0.4">
      <c r="B17268" t="s">
        <v>7</v>
      </c>
      <c r="C17268" t="s">
        <v>2788</v>
      </c>
      <c r="D17268" s="7">
        <f>DATE(2003,1,31)</f>
        <v>37652</v>
      </c>
      <c r="E17268" s="8">
        <f t="shared" si="283"/>
        <v>2003</v>
      </c>
      <c r="F17268" t="s">
        <v>2789</v>
      </c>
      <c r="G17268" s="9">
        <v>54904.5</v>
      </c>
      <c r="H17268" s="8">
        <v>32</v>
      </c>
    </row>
    <row r="17269" spans="2:8" ht="15" customHeight="1" x14ac:dyDescent="0.4">
      <c r="B17269" t="s">
        <v>7</v>
      </c>
      <c r="C17269" t="s">
        <v>2788</v>
      </c>
      <c r="D17269" s="7">
        <f>DATE(2006,2,11)</f>
        <v>38759</v>
      </c>
      <c r="E17269" s="8">
        <f t="shared" si="283"/>
        <v>2006</v>
      </c>
      <c r="F17269" t="s">
        <v>2789</v>
      </c>
      <c r="G17269" s="9">
        <v>26805.64</v>
      </c>
      <c r="H17269" s="8">
        <v>4298</v>
      </c>
    </row>
    <row r="17270" spans="2:8" ht="15" customHeight="1" x14ac:dyDescent="0.4">
      <c r="B17270" t="s">
        <v>7</v>
      </c>
      <c r="C17270" t="s">
        <v>2788</v>
      </c>
      <c r="D17270" s="7">
        <f>DATE(2009,10,20)</f>
        <v>40106</v>
      </c>
      <c r="E17270" s="8">
        <f t="shared" si="283"/>
        <v>2009</v>
      </c>
      <c r="F17270" t="s">
        <v>2789</v>
      </c>
      <c r="G17270" s="9">
        <v>30763.279999999999</v>
      </c>
      <c r="H17270" s="8">
        <v>9142</v>
      </c>
    </row>
    <row r="17271" spans="2:8" ht="15" customHeight="1" x14ac:dyDescent="0.4">
      <c r="B17271" t="s">
        <v>7</v>
      </c>
      <c r="C17271" t="s">
        <v>2788</v>
      </c>
      <c r="D17271" s="7">
        <f>DATE(2011,1,27)</f>
        <v>40570</v>
      </c>
      <c r="E17271" s="8">
        <f t="shared" si="283"/>
        <v>2011</v>
      </c>
      <c r="F17271" t="s">
        <v>2789</v>
      </c>
      <c r="G17271" s="9">
        <v>8430.9500000000007</v>
      </c>
      <c r="H17271" s="8">
        <v>10406</v>
      </c>
    </row>
    <row r="17272" spans="2:8" ht="15" customHeight="1" x14ac:dyDescent="0.4">
      <c r="B17272" t="s">
        <v>7</v>
      </c>
      <c r="C17272" t="s">
        <v>2788</v>
      </c>
      <c r="D17272" s="7">
        <f>DATE(2014,8,26)</f>
        <v>41877</v>
      </c>
      <c r="E17272" s="8">
        <f t="shared" si="283"/>
        <v>2014</v>
      </c>
      <c r="F17272" t="s">
        <v>2789</v>
      </c>
      <c r="G17272" s="9">
        <v>9658.39</v>
      </c>
      <c r="H17272" s="8">
        <v>13364</v>
      </c>
    </row>
    <row r="17273" spans="2:8" ht="15" customHeight="1" x14ac:dyDescent="0.4">
      <c r="B17273" t="s">
        <v>7</v>
      </c>
      <c r="C17273" t="s">
        <v>2788</v>
      </c>
      <c r="D17273" s="7">
        <f>DATE(2014,9,16)</f>
        <v>41898</v>
      </c>
      <c r="E17273" s="8">
        <f t="shared" si="283"/>
        <v>2014</v>
      </c>
      <c r="F17273" t="s">
        <v>2789</v>
      </c>
      <c r="G17273" s="9">
        <v>9200.82</v>
      </c>
      <c r="H17273" s="8">
        <v>13441</v>
      </c>
    </row>
    <row r="17274" spans="2:8" ht="15" customHeight="1" x14ac:dyDescent="0.4">
      <c r="B17274" s="3" t="s">
        <v>7</v>
      </c>
      <c r="C17274" s="3" t="s">
        <v>2788</v>
      </c>
      <c r="D17274" s="4">
        <f>DATE(2003,2,10)</f>
        <v>37662</v>
      </c>
      <c r="E17274" s="5">
        <f t="shared" si="283"/>
        <v>2003</v>
      </c>
      <c r="F17274" s="3" t="s">
        <v>2789</v>
      </c>
      <c r="G17274" s="6">
        <v>188.7</v>
      </c>
      <c r="H17274" s="5">
        <v>253</v>
      </c>
    </row>
    <row r="17275" spans="2:8" ht="15" customHeight="1" x14ac:dyDescent="0.4">
      <c r="B17275" s="3" t="s">
        <v>7</v>
      </c>
      <c r="C17275" s="3" t="s">
        <v>2788</v>
      </c>
      <c r="D17275" s="4">
        <f>DATE(2003,8,20)</f>
        <v>37853</v>
      </c>
      <c r="E17275" s="5">
        <f t="shared" si="283"/>
        <v>2003</v>
      </c>
      <c r="F17275" s="3" t="s">
        <v>2789</v>
      </c>
      <c r="G17275" s="6">
        <v>7450</v>
      </c>
      <c r="H17275" s="5">
        <v>1377</v>
      </c>
    </row>
    <row r="17276" spans="2:8" ht="15" customHeight="1" x14ac:dyDescent="0.4">
      <c r="B17276" s="3" t="s">
        <v>7</v>
      </c>
      <c r="C17276" s="3" t="s">
        <v>2788</v>
      </c>
      <c r="D17276" s="4">
        <f>DATE(2004,1,29)</f>
        <v>38015</v>
      </c>
      <c r="E17276" s="5">
        <f t="shared" si="283"/>
        <v>2004</v>
      </c>
      <c r="F17276" s="3" t="s">
        <v>2789</v>
      </c>
      <c r="G17276" s="6">
        <v>7560</v>
      </c>
      <c r="H17276" s="5">
        <v>2046</v>
      </c>
    </row>
    <row r="17277" spans="2:8" ht="15" customHeight="1" x14ac:dyDescent="0.4">
      <c r="B17277" s="3" t="s">
        <v>7</v>
      </c>
      <c r="C17277" s="3" t="s">
        <v>2788</v>
      </c>
      <c r="D17277" s="4">
        <f>DATE(2004,3,29)</f>
        <v>38075</v>
      </c>
      <c r="E17277" s="5">
        <f t="shared" si="283"/>
        <v>2004</v>
      </c>
      <c r="F17277" s="3" t="s">
        <v>2789</v>
      </c>
      <c r="G17277" s="6">
        <v>7800</v>
      </c>
      <c r="H17277" s="5">
        <v>2483</v>
      </c>
    </row>
    <row r="17278" spans="2:8" ht="15" customHeight="1" x14ac:dyDescent="0.4">
      <c r="B17278" s="3" t="s">
        <v>7</v>
      </c>
      <c r="C17278" s="3" t="s">
        <v>2788</v>
      </c>
      <c r="D17278" s="4">
        <f>DATE(2004,6,11)</f>
        <v>38149</v>
      </c>
      <c r="E17278" s="5">
        <f t="shared" si="283"/>
        <v>2004</v>
      </c>
      <c r="F17278" s="3" t="s">
        <v>2789</v>
      </c>
      <c r="G17278" s="6">
        <v>7410</v>
      </c>
      <c r="H17278" s="5">
        <v>2980</v>
      </c>
    </row>
    <row r="17279" spans="2:8" ht="15" customHeight="1" x14ac:dyDescent="0.4">
      <c r="B17279" s="3" t="s">
        <v>7</v>
      </c>
      <c r="C17279" s="3" t="s">
        <v>2788</v>
      </c>
      <c r="D17279" s="4">
        <f>DATE(2005,2,1)</f>
        <v>38384</v>
      </c>
      <c r="E17279" s="5">
        <f t="shared" si="283"/>
        <v>2005</v>
      </c>
      <c r="F17279" s="3" t="s">
        <v>2789</v>
      </c>
      <c r="G17279" s="6">
        <v>3120</v>
      </c>
      <c r="H17279" s="5">
        <v>4058</v>
      </c>
    </row>
    <row r="17280" spans="2:8" ht="15" customHeight="1" x14ac:dyDescent="0.4">
      <c r="B17280" s="3" t="s">
        <v>7</v>
      </c>
      <c r="C17280" s="3" t="s">
        <v>2788</v>
      </c>
      <c r="D17280" s="4">
        <f>DATE(2005,3,8)</f>
        <v>38419</v>
      </c>
      <c r="E17280" s="5">
        <f t="shared" si="283"/>
        <v>2005</v>
      </c>
      <c r="F17280" s="3" t="s">
        <v>2789</v>
      </c>
      <c r="G17280" s="6">
        <v>7980</v>
      </c>
      <c r="H17280" s="5">
        <v>4273</v>
      </c>
    </row>
    <row r="17281" spans="2:8" ht="15" customHeight="1" x14ac:dyDescent="0.4">
      <c r="B17281" s="3" t="s">
        <v>7</v>
      </c>
      <c r="C17281" s="3" t="s">
        <v>2788</v>
      </c>
      <c r="D17281" s="4">
        <f>DATE(2005,3,25)</f>
        <v>38436</v>
      </c>
      <c r="E17281" s="5">
        <f t="shared" si="283"/>
        <v>2005</v>
      </c>
      <c r="F17281" s="3" t="s">
        <v>2789</v>
      </c>
      <c r="G17281" s="6">
        <v>2050</v>
      </c>
      <c r="H17281" s="5">
        <v>4382</v>
      </c>
    </row>
    <row r="17282" spans="2:8" ht="15" customHeight="1" x14ac:dyDescent="0.4">
      <c r="B17282" s="3" t="s">
        <v>7</v>
      </c>
      <c r="C17282" s="3" t="s">
        <v>2788</v>
      </c>
      <c r="D17282" s="4">
        <f>DATE(2005,7,14)</f>
        <v>38547</v>
      </c>
      <c r="E17282" s="5">
        <f t="shared" si="283"/>
        <v>2005</v>
      </c>
      <c r="F17282" s="3" t="s">
        <v>2789</v>
      </c>
      <c r="G17282" s="6">
        <v>8200</v>
      </c>
      <c r="H17282" s="5">
        <v>4934</v>
      </c>
    </row>
    <row r="17283" spans="2:8" ht="15" customHeight="1" x14ac:dyDescent="0.4">
      <c r="B17283" s="3" t="s">
        <v>7</v>
      </c>
      <c r="C17283" s="3" t="s">
        <v>2788</v>
      </c>
      <c r="D17283" s="4">
        <f>DATE(2005,7,25)</f>
        <v>38558</v>
      </c>
      <c r="E17283" s="5">
        <f t="shared" ref="E17283:E17346" si="284">YEAR(D17283)</f>
        <v>2005</v>
      </c>
      <c r="F17283" s="3" t="s">
        <v>2789</v>
      </c>
      <c r="G17283" s="6">
        <v>7980</v>
      </c>
      <c r="H17283" s="5">
        <v>5017</v>
      </c>
    </row>
    <row r="17284" spans="2:8" ht="15" customHeight="1" x14ac:dyDescent="0.4">
      <c r="B17284" s="3" t="s">
        <v>7</v>
      </c>
      <c r="C17284" s="3" t="s">
        <v>2788</v>
      </c>
      <c r="D17284" s="4">
        <f>DATE(2006,8,16)</f>
        <v>38945</v>
      </c>
      <c r="E17284" s="5">
        <f t="shared" si="284"/>
        <v>2006</v>
      </c>
      <c r="F17284" s="3" t="s">
        <v>2789</v>
      </c>
      <c r="G17284" s="6">
        <v>785</v>
      </c>
      <c r="H17284" s="5">
        <v>7094</v>
      </c>
    </row>
    <row r="17285" spans="2:8" ht="15" customHeight="1" x14ac:dyDescent="0.4">
      <c r="B17285" s="3" t="s">
        <v>7</v>
      </c>
      <c r="C17285" s="3" t="s">
        <v>2788</v>
      </c>
      <c r="D17285" s="4">
        <f>DATE(2006,9,25)</f>
        <v>38985</v>
      </c>
      <c r="E17285" s="5">
        <f t="shared" si="284"/>
        <v>2006</v>
      </c>
      <c r="F17285" s="3" t="s">
        <v>2789</v>
      </c>
      <c r="G17285" s="6">
        <v>288.75</v>
      </c>
      <c r="H17285" s="5">
        <v>7292</v>
      </c>
    </row>
    <row r="17286" spans="2:8" ht="15" customHeight="1" x14ac:dyDescent="0.4">
      <c r="B17286" s="3" t="s">
        <v>7</v>
      </c>
      <c r="C17286" s="3" t="s">
        <v>2788</v>
      </c>
      <c r="D17286" s="4">
        <f>DATE(2008,8,21)</f>
        <v>39681</v>
      </c>
      <c r="E17286" s="5">
        <f t="shared" si="284"/>
        <v>2008</v>
      </c>
      <c r="F17286" s="3" t="s">
        <v>2789</v>
      </c>
      <c r="G17286" s="6">
        <v>3690</v>
      </c>
      <c r="H17286" s="5">
        <v>11133</v>
      </c>
    </row>
    <row r="17287" spans="2:8" ht="15" customHeight="1" x14ac:dyDescent="0.4">
      <c r="B17287" s="3" t="s">
        <v>7</v>
      </c>
      <c r="C17287" s="3" t="s">
        <v>2788</v>
      </c>
      <c r="D17287" s="4">
        <f>DATE(2008,8,25)</f>
        <v>39685</v>
      </c>
      <c r="E17287" s="5">
        <f t="shared" si="284"/>
        <v>2008</v>
      </c>
      <c r="F17287" s="3" t="s">
        <v>2789</v>
      </c>
      <c r="G17287" s="6">
        <v>266</v>
      </c>
      <c r="H17287" s="5">
        <v>11129</v>
      </c>
    </row>
    <row r="17288" spans="2:8" ht="15" customHeight="1" x14ac:dyDescent="0.4">
      <c r="B17288" s="3" t="s">
        <v>7</v>
      </c>
      <c r="C17288" s="3" t="s">
        <v>2788</v>
      </c>
      <c r="D17288" s="4">
        <f>DATE(2009,1,19)</f>
        <v>39832</v>
      </c>
      <c r="E17288" s="5">
        <f t="shared" si="284"/>
        <v>2009</v>
      </c>
      <c r="F17288" s="3" t="s">
        <v>2789</v>
      </c>
      <c r="G17288" s="6">
        <v>3690</v>
      </c>
      <c r="H17288" s="5">
        <v>11726</v>
      </c>
    </row>
    <row r="17289" spans="2:8" ht="15" customHeight="1" x14ac:dyDescent="0.4">
      <c r="B17289" s="3" t="s">
        <v>7</v>
      </c>
      <c r="C17289" s="3" t="s">
        <v>2788</v>
      </c>
      <c r="D17289" s="4">
        <f>DATE(2009,11,13)</f>
        <v>40130</v>
      </c>
      <c r="E17289" s="5">
        <f t="shared" si="284"/>
        <v>2009</v>
      </c>
      <c r="F17289" s="3" t="s">
        <v>2789</v>
      </c>
      <c r="G17289" s="6">
        <v>3075</v>
      </c>
      <c r="H17289" s="5">
        <v>13088</v>
      </c>
    </row>
    <row r="17290" spans="2:8" ht="15" customHeight="1" x14ac:dyDescent="0.4">
      <c r="B17290" s="3" t="s">
        <v>7</v>
      </c>
      <c r="C17290" s="3" t="s">
        <v>2788</v>
      </c>
      <c r="D17290" s="4">
        <f>DATE(2010,2,25)</f>
        <v>40234</v>
      </c>
      <c r="E17290" s="5">
        <f t="shared" si="284"/>
        <v>2010</v>
      </c>
      <c r="F17290" s="3" t="s">
        <v>2789</v>
      </c>
      <c r="G17290" s="6">
        <v>260</v>
      </c>
      <c r="H17290" s="5">
        <v>13576</v>
      </c>
    </row>
    <row r="17291" spans="2:8" ht="15" customHeight="1" x14ac:dyDescent="0.4">
      <c r="B17291" s="3" t="s">
        <v>7</v>
      </c>
      <c r="C17291" s="3" t="s">
        <v>2788</v>
      </c>
      <c r="D17291" s="4">
        <f>DATE(2010,6,11)</f>
        <v>40340</v>
      </c>
      <c r="E17291" s="5">
        <f t="shared" si="284"/>
        <v>2010</v>
      </c>
      <c r="F17291" s="3" t="s">
        <v>2789</v>
      </c>
      <c r="G17291" s="6">
        <v>8200</v>
      </c>
      <c r="H17291" s="5">
        <v>14164</v>
      </c>
    </row>
    <row r="17292" spans="2:8" ht="15" customHeight="1" x14ac:dyDescent="0.4">
      <c r="B17292" s="3" t="s">
        <v>7</v>
      </c>
      <c r="C17292" s="3" t="s">
        <v>2788</v>
      </c>
      <c r="D17292" s="4">
        <f>DATE(2010,6,17)</f>
        <v>40346</v>
      </c>
      <c r="E17292" s="5">
        <f t="shared" si="284"/>
        <v>2010</v>
      </c>
      <c r="F17292" s="3" t="s">
        <v>2789</v>
      </c>
      <c r="G17292" s="6">
        <v>650</v>
      </c>
      <c r="H17292" s="5">
        <v>14189</v>
      </c>
    </row>
    <row r="17293" spans="2:8" ht="15" customHeight="1" x14ac:dyDescent="0.4">
      <c r="B17293" s="3" t="s">
        <v>7</v>
      </c>
      <c r="C17293" s="3" t="s">
        <v>2788</v>
      </c>
      <c r="D17293" s="4">
        <f>DATE(2011,1,14)</f>
        <v>40557</v>
      </c>
      <c r="E17293" s="5">
        <f t="shared" si="284"/>
        <v>2011</v>
      </c>
      <c r="F17293" s="3" t="s">
        <v>2789</v>
      </c>
      <c r="G17293" s="6">
        <v>3690</v>
      </c>
      <c r="H17293" s="5">
        <v>14889</v>
      </c>
    </row>
    <row r="17294" spans="2:8" ht="15" customHeight="1" x14ac:dyDescent="0.4">
      <c r="B17294" t="s">
        <v>7</v>
      </c>
      <c r="C17294" t="s">
        <v>2790</v>
      </c>
      <c r="D17294" s="7">
        <f>DATE(2016,11,9)</f>
        <v>42683</v>
      </c>
      <c r="E17294" s="8">
        <f t="shared" si="284"/>
        <v>2016</v>
      </c>
      <c r="F17294" t="s">
        <v>2791</v>
      </c>
      <c r="G17294" s="9">
        <v>16325</v>
      </c>
      <c r="H17294" s="8">
        <v>23764</v>
      </c>
    </row>
    <row r="17295" spans="2:8" ht="15" customHeight="1" x14ac:dyDescent="0.4">
      <c r="B17295" t="s">
        <v>7</v>
      </c>
      <c r="C17295" t="s">
        <v>2790</v>
      </c>
      <c r="D17295" s="7">
        <f>DATE(2017,5,30)</f>
        <v>42885</v>
      </c>
      <c r="E17295" s="8">
        <f t="shared" si="284"/>
        <v>2017</v>
      </c>
      <c r="F17295" t="s">
        <v>2791</v>
      </c>
      <c r="G17295" s="9">
        <v>40396.26</v>
      </c>
      <c r="H17295" s="8">
        <v>24631</v>
      </c>
    </row>
    <row r="17296" spans="2:8" ht="15" customHeight="1" x14ac:dyDescent="0.4">
      <c r="B17296" t="s">
        <v>7</v>
      </c>
      <c r="C17296" t="s">
        <v>2790</v>
      </c>
      <c r="D17296" s="7">
        <f>DATE(2018,4,19)</f>
        <v>43209</v>
      </c>
      <c r="E17296" s="8">
        <f t="shared" si="284"/>
        <v>2018</v>
      </c>
      <c r="F17296" t="s">
        <v>2791</v>
      </c>
      <c r="G17296" s="9">
        <v>66000</v>
      </c>
      <c r="H17296" s="8">
        <v>26568</v>
      </c>
    </row>
    <row r="17297" spans="2:8" ht="15" customHeight="1" x14ac:dyDescent="0.4">
      <c r="B17297" t="s">
        <v>7</v>
      </c>
      <c r="C17297" t="s">
        <v>2790</v>
      </c>
      <c r="D17297" s="7">
        <f>DATE(2019,2,26)</f>
        <v>43522</v>
      </c>
      <c r="E17297" s="8">
        <f t="shared" si="284"/>
        <v>2019</v>
      </c>
      <c r="F17297" t="s">
        <v>2791</v>
      </c>
      <c r="G17297" s="9">
        <v>32900</v>
      </c>
      <c r="H17297" s="8">
        <v>28166</v>
      </c>
    </row>
    <row r="17298" spans="2:8" ht="15" customHeight="1" x14ac:dyDescent="0.4">
      <c r="B17298" t="s">
        <v>7</v>
      </c>
      <c r="C17298" t="s">
        <v>2790</v>
      </c>
      <c r="D17298" s="7">
        <f>DATE(2019,3,7)</f>
        <v>43531</v>
      </c>
      <c r="E17298" s="8">
        <f t="shared" si="284"/>
        <v>2019</v>
      </c>
      <c r="F17298" t="s">
        <v>2791</v>
      </c>
      <c r="G17298" s="9">
        <v>2613.71</v>
      </c>
      <c r="H17298" s="8">
        <v>28505</v>
      </c>
    </row>
    <row r="17299" spans="2:8" ht="15" customHeight="1" x14ac:dyDescent="0.4">
      <c r="B17299" s="3" t="s">
        <v>7</v>
      </c>
      <c r="C17299" s="3" t="s">
        <v>2792</v>
      </c>
      <c r="D17299" s="4">
        <f>DATE(2014,10,10)</f>
        <v>41922</v>
      </c>
      <c r="E17299" s="5">
        <f t="shared" si="284"/>
        <v>2014</v>
      </c>
      <c r="F17299" s="3" t="s">
        <v>2793</v>
      </c>
      <c r="G17299" s="6">
        <v>5400</v>
      </c>
      <c r="H17299" s="5">
        <v>20511</v>
      </c>
    </row>
    <row r="17300" spans="2:8" ht="15" customHeight="1" x14ac:dyDescent="0.4">
      <c r="B17300" s="3" t="s">
        <v>7</v>
      </c>
      <c r="C17300" s="3" t="s">
        <v>2792</v>
      </c>
      <c r="D17300" s="4">
        <f>DATE(2014,10,20)</f>
        <v>41932</v>
      </c>
      <c r="E17300" s="5">
        <f t="shared" si="284"/>
        <v>2014</v>
      </c>
      <c r="F17300" s="3" t="s">
        <v>2793</v>
      </c>
      <c r="G17300" s="6">
        <v>6600</v>
      </c>
      <c r="H17300" s="5">
        <v>20511</v>
      </c>
    </row>
    <row r="17301" spans="2:8" ht="15" customHeight="1" x14ac:dyDescent="0.4">
      <c r="B17301" s="3" t="s">
        <v>7</v>
      </c>
      <c r="C17301" s="3" t="s">
        <v>2794</v>
      </c>
      <c r="D17301" s="4">
        <f>DATE(2014,3,14)</f>
        <v>41712</v>
      </c>
      <c r="E17301" s="5">
        <f t="shared" si="284"/>
        <v>2014</v>
      </c>
      <c r="F17301" s="3" t="s">
        <v>2795</v>
      </c>
      <c r="G17301" s="6">
        <v>677.28</v>
      </c>
      <c r="H17301" s="5">
        <v>6110</v>
      </c>
    </row>
    <row r="17302" spans="2:8" ht="15" customHeight="1" x14ac:dyDescent="0.4">
      <c r="B17302" t="s">
        <v>7</v>
      </c>
      <c r="C17302" t="s">
        <v>2796</v>
      </c>
      <c r="D17302" s="7">
        <f>DATE(2018,12,11)</f>
        <v>43445</v>
      </c>
      <c r="E17302" s="8">
        <f t="shared" si="284"/>
        <v>2018</v>
      </c>
      <c r="F17302" t="s">
        <v>2797</v>
      </c>
      <c r="G17302" s="9">
        <v>11782.82</v>
      </c>
      <c r="H17302" s="8">
        <v>27424</v>
      </c>
    </row>
    <row r="17303" spans="2:8" ht="15" customHeight="1" x14ac:dyDescent="0.4">
      <c r="B17303" t="s">
        <v>7</v>
      </c>
      <c r="C17303" t="s">
        <v>2796</v>
      </c>
      <c r="D17303" s="7">
        <f>DATE(2018,12,11)</f>
        <v>43445</v>
      </c>
      <c r="E17303" s="8">
        <f t="shared" si="284"/>
        <v>2018</v>
      </c>
      <c r="F17303" t="s">
        <v>2797</v>
      </c>
      <c r="G17303" s="9">
        <v>4800</v>
      </c>
      <c r="H17303" s="8">
        <v>27426</v>
      </c>
    </row>
    <row r="17304" spans="2:8" ht="15" customHeight="1" x14ac:dyDescent="0.4">
      <c r="B17304" t="s">
        <v>7</v>
      </c>
      <c r="C17304" t="s">
        <v>2796</v>
      </c>
      <c r="D17304" s="7">
        <f>DATE(2014,11,5)</f>
        <v>41948</v>
      </c>
      <c r="E17304" s="8">
        <f t="shared" si="284"/>
        <v>2014</v>
      </c>
      <c r="F17304" t="s">
        <v>2797</v>
      </c>
      <c r="G17304" s="9">
        <v>5999</v>
      </c>
      <c r="H17304" s="8">
        <v>13435</v>
      </c>
    </row>
    <row r="17305" spans="2:8" ht="15" customHeight="1" x14ac:dyDescent="0.4">
      <c r="B17305" t="s">
        <v>7</v>
      </c>
      <c r="C17305" t="s">
        <v>2796</v>
      </c>
      <c r="D17305" s="7">
        <f>DATE(2014,11,5)</f>
        <v>41948</v>
      </c>
      <c r="E17305" s="8">
        <f t="shared" si="284"/>
        <v>2014</v>
      </c>
      <c r="F17305" t="s">
        <v>2797</v>
      </c>
      <c r="G17305" s="9">
        <v>5990</v>
      </c>
      <c r="H17305" s="8">
        <v>13584</v>
      </c>
    </row>
    <row r="17306" spans="2:8" ht="15" customHeight="1" x14ac:dyDescent="0.4">
      <c r="B17306" t="s">
        <v>7</v>
      </c>
      <c r="C17306" t="s">
        <v>2796</v>
      </c>
      <c r="D17306" s="7">
        <f>DATE(2003,7,16)</f>
        <v>37818</v>
      </c>
      <c r="E17306" s="8">
        <f t="shared" si="284"/>
        <v>2003</v>
      </c>
      <c r="F17306" t="s">
        <v>2797</v>
      </c>
      <c r="G17306" s="9">
        <v>8200</v>
      </c>
      <c r="H17306" s="8">
        <v>671</v>
      </c>
    </row>
    <row r="17307" spans="2:8" ht="15" customHeight="1" x14ac:dyDescent="0.4">
      <c r="B17307" t="s">
        <v>7</v>
      </c>
      <c r="C17307" t="s">
        <v>2796</v>
      </c>
      <c r="D17307" s="7">
        <f>DATE(2004,7,16)</f>
        <v>38184</v>
      </c>
      <c r="E17307" s="8">
        <f t="shared" si="284"/>
        <v>2004</v>
      </c>
      <c r="F17307" t="s">
        <v>2797</v>
      </c>
      <c r="G17307" s="9">
        <v>8200</v>
      </c>
      <c r="H17307" s="8">
        <v>1629</v>
      </c>
    </row>
    <row r="17308" spans="2:8" ht="15" customHeight="1" x14ac:dyDescent="0.4">
      <c r="B17308" t="s">
        <v>7</v>
      </c>
      <c r="C17308" t="s">
        <v>2796</v>
      </c>
      <c r="D17308" s="7">
        <f>DATE(2004,7,15)</f>
        <v>38183</v>
      </c>
      <c r="E17308" s="8">
        <f t="shared" si="284"/>
        <v>2004</v>
      </c>
      <c r="F17308" t="s">
        <v>2797</v>
      </c>
      <c r="G17308" s="9">
        <v>3941.25</v>
      </c>
      <c r="H17308" s="8">
        <v>1766</v>
      </c>
    </row>
    <row r="17309" spans="2:8" ht="15" customHeight="1" x14ac:dyDescent="0.4">
      <c r="B17309" t="s">
        <v>7</v>
      </c>
      <c r="C17309" t="s">
        <v>2796</v>
      </c>
      <c r="D17309" s="7">
        <f>DATE(2005,3,16)</f>
        <v>38427</v>
      </c>
      <c r="E17309" s="8">
        <f t="shared" si="284"/>
        <v>2005</v>
      </c>
      <c r="F17309" t="s">
        <v>2797</v>
      </c>
      <c r="G17309" s="9">
        <v>3500</v>
      </c>
      <c r="H17309" s="8">
        <v>2759</v>
      </c>
    </row>
    <row r="17310" spans="2:8" ht="15" customHeight="1" x14ac:dyDescent="0.4">
      <c r="B17310" t="s">
        <v>7</v>
      </c>
      <c r="C17310" t="s">
        <v>2796</v>
      </c>
      <c r="D17310" s="7">
        <f>DATE(2005,3,17)</f>
        <v>38428</v>
      </c>
      <c r="E17310" s="8">
        <f t="shared" si="284"/>
        <v>2005</v>
      </c>
      <c r="F17310" t="s">
        <v>2797</v>
      </c>
      <c r="G17310" s="9">
        <v>8500</v>
      </c>
      <c r="H17310" s="8">
        <v>2755</v>
      </c>
    </row>
    <row r="17311" spans="2:8" ht="15" customHeight="1" x14ac:dyDescent="0.4">
      <c r="B17311" t="s">
        <v>7</v>
      </c>
      <c r="C17311" t="s">
        <v>2796</v>
      </c>
      <c r="D17311" s="7">
        <f>DATE(2005,3,17)</f>
        <v>38428</v>
      </c>
      <c r="E17311" s="8">
        <f t="shared" si="284"/>
        <v>2005</v>
      </c>
      <c r="F17311" t="s">
        <v>2797</v>
      </c>
      <c r="G17311" s="9">
        <v>15891.96</v>
      </c>
      <c r="H17311" s="8">
        <v>2813</v>
      </c>
    </row>
    <row r="17312" spans="2:8" ht="15" customHeight="1" x14ac:dyDescent="0.4">
      <c r="B17312" t="s">
        <v>7</v>
      </c>
      <c r="C17312" t="s">
        <v>2796</v>
      </c>
      <c r="D17312" s="7">
        <f>DATE(2006,3,30)</f>
        <v>38806</v>
      </c>
      <c r="E17312" s="8">
        <f t="shared" si="284"/>
        <v>2006</v>
      </c>
      <c r="F17312" t="s">
        <v>2797</v>
      </c>
      <c r="G17312" s="9">
        <v>8800</v>
      </c>
      <c r="H17312" s="8">
        <v>4081</v>
      </c>
    </row>
    <row r="17313" spans="2:8" ht="15" customHeight="1" x14ac:dyDescent="0.4">
      <c r="B17313" t="s">
        <v>7</v>
      </c>
      <c r="C17313" t="s">
        <v>2796</v>
      </c>
      <c r="D17313" s="7">
        <f>DATE(2007,3,29)</f>
        <v>39170</v>
      </c>
      <c r="E17313" s="8">
        <f t="shared" si="284"/>
        <v>2007</v>
      </c>
      <c r="F17313" t="s">
        <v>2797</v>
      </c>
      <c r="G17313" s="9">
        <v>8800</v>
      </c>
      <c r="H17313" s="8">
        <v>5665</v>
      </c>
    </row>
    <row r="17314" spans="2:8" ht="15" customHeight="1" x14ac:dyDescent="0.4">
      <c r="B17314" t="s">
        <v>7</v>
      </c>
      <c r="C17314" t="s">
        <v>2796</v>
      </c>
      <c r="D17314" s="7">
        <f>DATE(2007,3,28)</f>
        <v>39169</v>
      </c>
      <c r="E17314" s="8">
        <f t="shared" si="284"/>
        <v>2007</v>
      </c>
      <c r="F17314" t="s">
        <v>2797</v>
      </c>
      <c r="G17314" s="9">
        <v>5200</v>
      </c>
      <c r="H17314" s="8">
        <v>5537</v>
      </c>
    </row>
    <row r="17315" spans="2:8" ht="15" customHeight="1" x14ac:dyDescent="0.4">
      <c r="B17315" t="s">
        <v>7</v>
      </c>
      <c r="C17315" t="s">
        <v>2796</v>
      </c>
      <c r="D17315" s="7">
        <f>DATE(2008,3,27)</f>
        <v>39534</v>
      </c>
      <c r="E17315" s="8">
        <f t="shared" si="284"/>
        <v>2008</v>
      </c>
      <c r="F17315" t="s">
        <v>2797</v>
      </c>
      <c r="G17315" s="9">
        <v>9243.5</v>
      </c>
      <c r="H17315" s="8">
        <v>6961</v>
      </c>
    </row>
    <row r="17316" spans="2:8" ht="15" customHeight="1" x14ac:dyDescent="0.4">
      <c r="B17316" t="s">
        <v>7</v>
      </c>
      <c r="C17316" t="s">
        <v>2796</v>
      </c>
      <c r="D17316" s="7">
        <f>DATE(2008,3,26)</f>
        <v>39533</v>
      </c>
      <c r="E17316" s="8">
        <f t="shared" si="284"/>
        <v>2008</v>
      </c>
      <c r="F17316" t="s">
        <v>2797</v>
      </c>
      <c r="G17316" s="9">
        <v>4965</v>
      </c>
      <c r="H17316" s="8">
        <v>6954</v>
      </c>
    </row>
    <row r="17317" spans="2:8" ht="15" customHeight="1" x14ac:dyDescent="0.4">
      <c r="B17317" t="s">
        <v>7</v>
      </c>
      <c r="C17317" t="s">
        <v>2796</v>
      </c>
      <c r="D17317" s="7">
        <f>DATE(2008,4,1)</f>
        <v>39539</v>
      </c>
      <c r="E17317" s="8">
        <f t="shared" si="284"/>
        <v>2008</v>
      </c>
      <c r="F17317" t="s">
        <v>2797</v>
      </c>
      <c r="G17317" s="9">
        <v>4500</v>
      </c>
      <c r="H17317" s="8">
        <v>7401</v>
      </c>
    </row>
    <row r="17318" spans="2:8" ht="15" customHeight="1" x14ac:dyDescent="0.4">
      <c r="B17318" t="s">
        <v>7</v>
      </c>
      <c r="C17318" t="s">
        <v>2796</v>
      </c>
      <c r="D17318" s="7">
        <f>DATE(2009,11,24)</f>
        <v>40141</v>
      </c>
      <c r="E17318" s="8">
        <f t="shared" si="284"/>
        <v>2009</v>
      </c>
      <c r="F17318" t="s">
        <v>2797</v>
      </c>
      <c r="G17318" s="9">
        <v>6500</v>
      </c>
      <c r="H17318" s="8">
        <v>8750</v>
      </c>
    </row>
    <row r="17319" spans="2:8" ht="15" customHeight="1" x14ac:dyDescent="0.4">
      <c r="B17319" t="s">
        <v>7</v>
      </c>
      <c r="C17319" t="s">
        <v>2796</v>
      </c>
      <c r="D17319" s="7">
        <f>DATE(2009,11,24)</f>
        <v>40141</v>
      </c>
      <c r="E17319" s="8">
        <f t="shared" si="284"/>
        <v>2009</v>
      </c>
      <c r="F17319" t="s">
        <v>2797</v>
      </c>
      <c r="G17319" s="9">
        <v>13550</v>
      </c>
      <c r="H17319" s="8">
        <v>8741</v>
      </c>
    </row>
    <row r="17320" spans="2:8" ht="15" customHeight="1" x14ac:dyDescent="0.4">
      <c r="B17320" t="s">
        <v>7</v>
      </c>
      <c r="C17320" t="s">
        <v>2796</v>
      </c>
      <c r="D17320" s="7">
        <f>DATE(2010,5,13)</f>
        <v>40311</v>
      </c>
      <c r="E17320" s="8">
        <f t="shared" si="284"/>
        <v>2010</v>
      </c>
      <c r="F17320" t="s">
        <v>2797</v>
      </c>
      <c r="G17320" s="9">
        <v>7500</v>
      </c>
      <c r="H17320" s="8">
        <v>9655</v>
      </c>
    </row>
    <row r="17321" spans="2:8" ht="15" customHeight="1" x14ac:dyDescent="0.4">
      <c r="B17321" t="s">
        <v>7</v>
      </c>
      <c r="C17321" t="s">
        <v>2796</v>
      </c>
      <c r="D17321" s="7">
        <f>DATE(2011,5,24)</f>
        <v>40687</v>
      </c>
      <c r="E17321" s="8">
        <f t="shared" si="284"/>
        <v>2011</v>
      </c>
      <c r="F17321" t="s">
        <v>2797</v>
      </c>
      <c r="G17321" s="9">
        <v>9982</v>
      </c>
      <c r="H17321" s="8">
        <v>10498</v>
      </c>
    </row>
    <row r="17322" spans="2:8" ht="15" customHeight="1" x14ac:dyDescent="0.4">
      <c r="B17322" t="s">
        <v>7</v>
      </c>
      <c r="C17322" t="s">
        <v>2796</v>
      </c>
      <c r="D17322" s="7">
        <f>DATE(2014,11,5)</f>
        <v>41948</v>
      </c>
      <c r="E17322" s="8">
        <f t="shared" si="284"/>
        <v>2014</v>
      </c>
      <c r="F17322" t="s">
        <v>2797</v>
      </c>
      <c r="G17322" s="9">
        <v>13170</v>
      </c>
      <c r="H17322" s="8">
        <v>13436</v>
      </c>
    </row>
    <row r="17323" spans="2:8" ht="15" customHeight="1" x14ac:dyDescent="0.4">
      <c r="B17323" t="s">
        <v>16</v>
      </c>
      <c r="C17323" t="s">
        <v>2796</v>
      </c>
      <c r="D17323" s="7">
        <f>DATE(2014,11,5)</f>
        <v>41948</v>
      </c>
      <c r="E17323" s="8">
        <f t="shared" si="284"/>
        <v>2014</v>
      </c>
      <c r="F17323" t="s">
        <v>2797</v>
      </c>
      <c r="G17323" s="9">
        <v>5999</v>
      </c>
      <c r="H17323" s="8">
        <v>13583</v>
      </c>
    </row>
    <row r="17324" spans="2:8" ht="15" customHeight="1" x14ac:dyDescent="0.4">
      <c r="B17324" t="s">
        <v>16</v>
      </c>
      <c r="C17324" t="s">
        <v>2796</v>
      </c>
      <c r="D17324" s="7">
        <f>DATE(2008,4,1)</f>
        <v>39539</v>
      </c>
      <c r="E17324" s="8">
        <f t="shared" si="284"/>
        <v>2008</v>
      </c>
      <c r="F17324" t="s">
        <v>2797</v>
      </c>
      <c r="G17324" s="9">
        <v>4965</v>
      </c>
      <c r="H17324" s="8">
        <v>7398</v>
      </c>
    </row>
    <row r="17325" spans="2:8" ht="15" customHeight="1" x14ac:dyDescent="0.4">
      <c r="B17325" t="s">
        <v>7</v>
      </c>
      <c r="C17325" t="s">
        <v>2798</v>
      </c>
      <c r="D17325" s="7">
        <f>DATE(2017,8,9)</f>
        <v>42956</v>
      </c>
      <c r="E17325" s="8">
        <f t="shared" si="284"/>
        <v>2017</v>
      </c>
      <c r="F17325" t="s">
        <v>2799</v>
      </c>
      <c r="G17325" s="9">
        <v>63008.54</v>
      </c>
      <c r="H17325" s="8">
        <v>25275</v>
      </c>
    </row>
    <row r="17326" spans="2:8" ht="15" customHeight="1" x14ac:dyDescent="0.4">
      <c r="B17326" t="s">
        <v>7</v>
      </c>
      <c r="C17326" t="s">
        <v>2798</v>
      </c>
      <c r="D17326" s="7">
        <f>DATE(2017,8,9)</f>
        <v>42956</v>
      </c>
      <c r="E17326" s="8">
        <f t="shared" si="284"/>
        <v>2017</v>
      </c>
      <c r="F17326" t="s">
        <v>2799</v>
      </c>
      <c r="G17326" s="9">
        <v>24974.15</v>
      </c>
      <c r="H17326" s="8">
        <v>25288</v>
      </c>
    </row>
    <row r="17327" spans="2:8" ht="15" customHeight="1" x14ac:dyDescent="0.4">
      <c r="B17327" t="s">
        <v>7</v>
      </c>
      <c r="C17327" t="s">
        <v>2798</v>
      </c>
      <c r="D17327" s="7">
        <f>DATE(2017,8,9)</f>
        <v>42956</v>
      </c>
      <c r="E17327" s="8">
        <f t="shared" si="284"/>
        <v>2017</v>
      </c>
      <c r="F17327" t="s">
        <v>2799</v>
      </c>
      <c r="G17327" s="9">
        <v>12233.36</v>
      </c>
      <c r="H17327" s="8">
        <v>25289</v>
      </c>
    </row>
    <row r="17328" spans="2:8" ht="15" customHeight="1" x14ac:dyDescent="0.4">
      <c r="B17328" t="s">
        <v>7</v>
      </c>
      <c r="C17328" t="s">
        <v>2798</v>
      </c>
      <c r="D17328" s="7">
        <f>DATE(2017,8,9)</f>
        <v>42956</v>
      </c>
      <c r="E17328" s="8">
        <f t="shared" si="284"/>
        <v>2017</v>
      </c>
      <c r="F17328" t="s">
        <v>2799</v>
      </c>
      <c r="G17328" s="9">
        <v>13632.04</v>
      </c>
      <c r="H17328" s="8">
        <v>25290</v>
      </c>
    </row>
    <row r="17329" spans="2:8" ht="15" customHeight="1" x14ac:dyDescent="0.4">
      <c r="B17329" t="s">
        <v>7</v>
      </c>
      <c r="C17329" t="s">
        <v>2800</v>
      </c>
      <c r="D17329" s="7">
        <f>DATE(2015,4,1)</f>
        <v>42095</v>
      </c>
      <c r="E17329" s="8">
        <f t="shared" si="284"/>
        <v>2015</v>
      </c>
      <c r="F17329" t="s">
        <v>2801</v>
      </c>
      <c r="G17329" s="9">
        <v>833</v>
      </c>
      <c r="H17329" s="8">
        <v>20309</v>
      </c>
    </row>
    <row r="17330" spans="2:8" ht="15" customHeight="1" x14ac:dyDescent="0.4">
      <c r="B17330" t="s">
        <v>7</v>
      </c>
      <c r="C17330" t="s">
        <v>2800</v>
      </c>
      <c r="D17330" s="7">
        <f>DATE(2018,4,26)</f>
        <v>43216</v>
      </c>
      <c r="E17330" s="8">
        <f t="shared" si="284"/>
        <v>2018</v>
      </c>
      <c r="F17330" t="s">
        <v>2801</v>
      </c>
      <c r="G17330" s="9">
        <v>168</v>
      </c>
      <c r="H17330" s="8">
        <v>26817</v>
      </c>
    </row>
    <row r="17331" spans="2:8" ht="15" customHeight="1" x14ac:dyDescent="0.4">
      <c r="B17331" s="3" t="s">
        <v>7</v>
      </c>
      <c r="C17331" s="3" t="s">
        <v>2800</v>
      </c>
      <c r="D17331" s="4">
        <f>DATE(2003,2,21)</f>
        <v>37673</v>
      </c>
      <c r="E17331" s="5">
        <f t="shared" si="284"/>
        <v>2003</v>
      </c>
      <c r="F17331" s="3" t="s">
        <v>2801</v>
      </c>
      <c r="G17331" s="6">
        <v>727</v>
      </c>
      <c r="H17331" s="5">
        <v>312</v>
      </c>
    </row>
    <row r="17332" spans="2:8" ht="15" customHeight="1" x14ac:dyDescent="0.4">
      <c r="B17332" s="3" t="s">
        <v>7</v>
      </c>
      <c r="C17332" s="3" t="s">
        <v>2800</v>
      </c>
      <c r="D17332" s="4">
        <f>DATE(2004,3,9)</f>
        <v>38055</v>
      </c>
      <c r="E17332" s="5">
        <f t="shared" si="284"/>
        <v>2004</v>
      </c>
      <c r="F17332" s="3" t="s">
        <v>2801</v>
      </c>
      <c r="G17332" s="6">
        <v>1083</v>
      </c>
      <c r="H17332" s="5">
        <v>2321</v>
      </c>
    </row>
    <row r="17333" spans="2:8" ht="15" customHeight="1" x14ac:dyDescent="0.4">
      <c r="B17333" s="3" t="s">
        <v>7</v>
      </c>
      <c r="C17333" s="3" t="s">
        <v>2800</v>
      </c>
      <c r="D17333" s="4">
        <f>DATE(2004,7,2)</f>
        <v>38170</v>
      </c>
      <c r="E17333" s="5">
        <f t="shared" si="284"/>
        <v>2004</v>
      </c>
      <c r="F17333" s="3" t="s">
        <v>2801</v>
      </c>
      <c r="G17333" s="6">
        <v>1198.75</v>
      </c>
      <c r="H17333" s="5">
        <v>3102</v>
      </c>
    </row>
    <row r="17334" spans="2:8" ht="15" customHeight="1" x14ac:dyDescent="0.4">
      <c r="B17334" s="3" t="s">
        <v>7</v>
      </c>
      <c r="C17334" s="3" t="s">
        <v>2800</v>
      </c>
      <c r="D17334" s="4">
        <f>DATE(2004,8,3)</f>
        <v>38202</v>
      </c>
      <c r="E17334" s="5">
        <f t="shared" si="284"/>
        <v>2004</v>
      </c>
      <c r="F17334" s="3" t="s">
        <v>2801</v>
      </c>
      <c r="G17334" s="6">
        <v>166</v>
      </c>
      <c r="H17334" s="5">
        <v>3218</v>
      </c>
    </row>
    <row r="17335" spans="2:8" ht="15" customHeight="1" x14ac:dyDescent="0.4">
      <c r="B17335" s="3" t="s">
        <v>7</v>
      </c>
      <c r="C17335" s="3" t="s">
        <v>2800</v>
      </c>
      <c r="D17335" s="4">
        <f>DATE(2005,3,10)</f>
        <v>38421</v>
      </c>
      <c r="E17335" s="5">
        <f t="shared" si="284"/>
        <v>2005</v>
      </c>
      <c r="F17335" s="3" t="s">
        <v>2801</v>
      </c>
      <c r="G17335" s="6">
        <v>1240</v>
      </c>
      <c r="H17335" s="5">
        <v>4282</v>
      </c>
    </row>
    <row r="17336" spans="2:8" ht="15" customHeight="1" x14ac:dyDescent="0.4">
      <c r="B17336" s="3" t="s">
        <v>7</v>
      </c>
      <c r="C17336" s="3" t="s">
        <v>2800</v>
      </c>
      <c r="D17336" s="4">
        <f>DATE(2005,4,18)</f>
        <v>38460</v>
      </c>
      <c r="E17336" s="5">
        <f t="shared" si="284"/>
        <v>2005</v>
      </c>
      <c r="F17336" s="3" t="s">
        <v>2801</v>
      </c>
      <c r="G17336" s="6">
        <v>422</v>
      </c>
      <c r="H17336" s="5">
        <v>4586</v>
      </c>
    </row>
    <row r="17337" spans="2:8" ht="15" customHeight="1" x14ac:dyDescent="0.4">
      <c r="B17337" s="3" t="s">
        <v>7</v>
      </c>
      <c r="C17337" s="3" t="s">
        <v>2800</v>
      </c>
      <c r="D17337" s="4">
        <f>DATE(2006,3,15)</f>
        <v>38791</v>
      </c>
      <c r="E17337" s="5">
        <f t="shared" si="284"/>
        <v>2006</v>
      </c>
      <c r="F17337" s="3" t="s">
        <v>2801</v>
      </c>
      <c r="G17337" s="6">
        <v>828</v>
      </c>
      <c r="H17337" s="5">
        <v>6285</v>
      </c>
    </row>
    <row r="17338" spans="2:8" ht="15" customHeight="1" x14ac:dyDescent="0.4">
      <c r="B17338" s="3" t="s">
        <v>7</v>
      </c>
      <c r="C17338" s="3" t="s">
        <v>2800</v>
      </c>
      <c r="D17338" s="4">
        <f>DATE(2007,2,28)</f>
        <v>39141</v>
      </c>
      <c r="E17338" s="5">
        <f t="shared" si="284"/>
        <v>2007</v>
      </c>
      <c r="F17338" s="3" t="s">
        <v>2801</v>
      </c>
      <c r="G17338" s="6">
        <v>1653</v>
      </c>
      <c r="H17338" s="5">
        <v>8028</v>
      </c>
    </row>
    <row r="17339" spans="2:8" ht="15" customHeight="1" x14ac:dyDescent="0.4">
      <c r="B17339" s="3" t="s">
        <v>7</v>
      </c>
      <c r="C17339" s="3" t="s">
        <v>2800</v>
      </c>
      <c r="D17339" s="4">
        <f>DATE(2008,3,21)</f>
        <v>39528</v>
      </c>
      <c r="E17339" s="5">
        <f t="shared" si="284"/>
        <v>2008</v>
      </c>
      <c r="F17339" s="3" t="s">
        <v>2801</v>
      </c>
      <c r="G17339" s="6">
        <v>829</v>
      </c>
      <c r="H17339" s="5">
        <v>10202</v>
      </c>
    </row>
    <row r="17340" spans="2:8" ht="15" customHeight="1" x14ac:dyDescent="0.4">
      <c r="B17340" s="3" t="s">
        <v>7</v>
      </c>
      <c r="C17340" s="3" t="s">
        <v>2800</v>
      </c>
      <c r="D17340" s="4">
        <f>DATE(2009,1,21)</f>
        <v>39834</v>
      </c>
      <c r="E17340" s="5">
        <f t="shared" si="284"/>
        <v>2009</v>
      </c>
      <c r="F17340" s="3" t="s">
        <v>2801</v>
      </c>
      <c r="G17340" s="6">
        <v>830</v>
      </c>
      <c r="H17340" s="5">
        <v>11855</v>
      </c>
    </row>
    <row r="17341" spans="2:8" ht="15" customHeight="1" x14ac:dyDescent="0.4">
      <c r="B17341" s="3" t="s">
        <v>7</v>
      </c>
      <c r="C17341" s="3" t="s">
        <v>2800</v>
      </c>
      <c r="D17341" s="4">
        <f>DATE(2010,2,17)</f>
        <v>40226</v>
      </c>
      <c r="E17341" s="5">
        <f t="shared" si="284"/>
        <v>2010</v>
      </c>
      <c r="F17341" s="3" t="s">
        <v>2801</v>
      </c>
      <c r="G17341" s="6">
        <v>830</v>
      </c>
      <c r="H17341" s="5">
        <v>13594</v>
      </c>
    </row>
    <row r="17342" spans="2:8" ht="15" customHeight="1" x14ac:dyDescent="0.4">
      <c r="B17342" s="3" t="s">
        <v>7</v>
      </c>
      <c r="C17342" s="3" t="s">
        <v>2800</v>
      </c>
      <c r="D17342" s="4">
        <f>DATE(2012,5,18)</f>
        <v>41047</v>
      </c>
      <c r="E17342" s="5">
        <f t="shared" si="284"/>
        <v>2012</v>
      </c>
      <c r="F17342" s="3" t="s">
        <v>2801</v>
      </c>
      <c r="G17342" s="6">
        <v>1969</v>
      </c>
      <c r="H17342" s="5">
        <v>17153</v>
      </c>
    </row>
    <row r="17343" spans="2:8" ht="15" customHeight="1" x14ac:dyDescent="0.4">
      <c r="B17343" s="3" t="s">
        <v>7</v>
      </c>
      <c r="C17343" s="3" t="s">
        <v>2800</v>
      </c>
      <c r="D17343" s="4">
        <f>DATE(2014,4,1)</f>
        <v>41730</v>
      </c>
      <c r="E17343" s="5">
        <f t="shared" si="284"/>
        <v>2014</v>
      </c>
      <c r="F17343" s="3" t="s">
        <v>2801</v>
      </c>
      <c r="G17343" s="6">
        <v>1659</v>
      </c>
      <c r="H17343" s="5">
        <v>19763</v>
      </c>
    </row>
    <row r="17344" spans="2:8" ht="15" customHeight="1" x14ac:dyDescent="0.4">
      <c r="B17344" s="3" t="s">
        <v>7</v>
      </c>
      <c r="C17344" s="3" t="s">
        <v>2800</v>
      </c>
      <c r="D17344" s="4">
        <f>DATE(2014,4,11)</f>
        <v>41740</v>
      </c>
      <c r="E17344" s="5">
        <f t="shared" si="284"/>
        <v>2014</v>
      </c>
      <c r="F17344" s="3" t="s">
        <v>2801</v>
      </c>
      <c r="G17344" s="6">
        <v>634.25</v>
      </c>
      <c r="H17344" s="5">
        <v>19818</v>
      </c>
    </row>
    <row r="17345" spans="2:8" ht="15" customHeight="1" x14ac:dyDescent="0.4">
      <c r="B17345" t="s">
        <v>7</v>
      </c>
      <c r="C17345" t="s">
        <v>2802</v>
      </c>
      <c r="D17345" s="7">
        <f>DATE(2011,12,21)</f>
        <v>40898</v>
      </c>
      <c r="E17345" s="8">
        <f t="shared" si="284"/>
        <v>2011</v>
      </c>
      <c r="F17345" t="s">
        <v>2803</v>
      </c>
      <c r="G17345" s="9">
        <v>8320</v>
      </c>
      <c r="H17345" s="8">
        <v>11067</v>
      </c>
    </row>
    <row r="17346" spans="2:8" ht="15" customHeight="1" x14ac:dyDescent="0.4">
      <c r="B17346" t="s">
        <v>7</v>
      </c>
      <c r="C17346" t="s">
        <v>2804</v>
      </c>
      <c r="D17346" s="7">
        <f>DATE(2003,7,23)</f>
        <v>37825</v>
      </c>
      <c r="E17346" s="8">
        <f t="shared" si="284"/>
        <v>2003</v>
      </c>
      <c r="F17346" t="s">
        <v>2805</v>
      </c>
      <c r="G17346" s="9">
        <v>3700</v>
      </c>
      <c r="H17346" s="8">
        <v>216</v>
      </c>
    </row>
    <row r="17347" spans="2:8" ht="15" customHeight="1" x14ac:dyDescent="0.4">
      <c r="B17347" t="s">
        <v>7</v>
      </c>
      <c r="C17347" t="s">
        <v>2806</v>
      </c>
      <c r="D17347" s="7">
        <f>DATE(2009,2,27)</f>
        <v>39871</v>
      </c>
      <c r="E17347" s="8">
        <f t="shared" ref="E17347:E17410" si="285">YEAR(D17347)</f>
        <v>2009</v>
      </c>
      <c r="F17347" t="s">
        <v>2807</v>
      </c>
      <c r="G17347" s="9">
        <v>3505</v>
      </c>
      <c r="H17347" s="8">
        <v>8380</v>
      </c>
    </row>
    <row r="17348" spans="2:8" ht="15" customHeight="1" x14ac:dyDescent="0.4">
      <c r="B17348" t="s">
        <v>7</v>
      </c>
      <c r="C17348" t="s">
        <v>2806</v>
      </c>
      <c r="D17348" s="7">
        <f>DATE(2009,4,2)</f>
        <v>39905</v>
      </c>
      <c r="E17348" s="8">
        <f t="shared" si="285"/>
        <v>2009</v>
      </c>
      <c r="F17348" t="s">
        <v>2807</v>
      </c>
      <c r="G17348" s="9">
        <v>2414.6799999999998</v>
      </c>
      <c r="H17348" s="8">
        <v>8553</v>
      </c>
    </row>
    <row r="17349" spans="2:8" ht="15" customHeight="1" x14ac:dyDescent="0.4">
      <c r="B17349" t="s">
        <v>7</v>
      </c>
      <c r="C17349" t="s">
        <v>2804</v>
      </c>
      <c r="D17349" s="7">
        <f>DATE(2004,4,1)</f>
        <v>38078</v>
      </c>
      <c r="E17349" s="8">
        <f t="shared" si="285"/>
        <v>2004</v>
      </c>
      <c r="F17349" t="s">
        <v>2808</v>
      </c>
      <c r="G17349" s="9">
        <v>2656.33</v>
      </c>
      <c r="H17349" s="8">
        <v>1528</v>
      </c>
    </row>
    <row r="17350" spans="2:8" ht="15" customHeight="1" x14ac:dyDescent="0.4">
      <c r="B17350" t="s">
        <v>7</v>
      </c>
      <c r="C17350" t="s">
        <v>2804</v>
      </c>
      <c r="D17350" s="7">
        <f>DATE(2004,3,22)</f>
        <v>38068</v>
      </c>
      <c r="E17350" s="8">
        <f t="shared" si="285"/>
        <v>2004</v>
      </c>
      <c r="F17350" t="s">
        <v>2808</v>
      </c>
      <c r="G17350" s="9">
        <v>3723.26</v>
      </c>
      <c r="H17350" s="8">
        <v>1562</v>
      </c>
    </row>
    <row r="17351" spans="2:8" ht="15" customHeight="1" x14ac:dyDescent="0.4">
      <c r="B17351" t="s">
        <v>7</v>
      </c>
      <c r="C17351" t="s">
        <v>2804</v>
      </c>
      <c r="D17351" s="7">
        <f>DATE(2006,2,22)</f>
        <v>38770</v>
      </c>
      <c r="E17351" s="8">
        <f t="shared" si="285"/>
        <v>2006</v>
      </c>
      <c r="F17351" t="s">
        <v>2808</v>
      </c>
      <c r="G17351" s="9">
        <v>1297.9100000000001</v>
      </c>
      <c r="H17351" s="8">
        <v>4019</v>
      </c>
    </row>
    <row r="17352" spans="2:8" ht="15" customHeight="1" x14ac:dyDescent="0.4">
      <c r="B17352" t="s">
        <v>7</v>
      </c>
      <c r="C17352" t="s">
        <v>2804</v>
      </c>
      <c r="D17352" s="7">
        <f>DATE(2006,3,21)</f>
        <v>38797</v>
      </c>
      <c r="E17352" s="8">
        <f t="shared" si="285"/>
        <v>2006</v>
      </c>
      <c r="F17352" t="s">
        <v>2808</v>
      </c>
      <c r="G17352" s="9">
        <v>2385.25</v>
      </c>
      <c r="H17352" s="8">
        <v>3909</v>
      </c>
    </row>
    <row r="17353" spans="2:8" ht="15" customHeight="1" x14ac:dyDescent="0.4">
      <c r="B17353" t="s">
        <v>7</v>
      </c>
      <c r="C17353" t="s">
        <v>2804</v>
      </c>
      <c r="D17353" s="7">
        <f>DATE(2006,3,27)</f>
        <v>38803</v>
      </c>
      <c r="E17353" s="8">
        <f t="shared" si="285"/>
        <v>2006</v>
      </c>
      <c r="F17353" t="s">
        <v>2808</v>
      </c>
      <c r="G17353" s="9">
        <v>4643.8</v>
      </c>
      <c r="H17353" s="8">
        <v>4382</v>
      </c>
    </row>
    <row r="17354" spans="2:8" ht="15" customHeight="1" x14ac:dyDescent="0.4">
      <c r="B17354" t="s">
        <v>7</v>
      </c>
      <c r="C17354" t="s">
        <v>2804</v>
      </c>
      <c r="D17354" s="7">
        <f>DATE(2006,3,21)</f>
        <v>38797</v>
      </c>
      <c r="E17354" s="8">
        <f t="shared" si="285"/>
        <v>2006</v>
      </c>
      <c r="F17354" t="s">
        <v>2808</v>
      </c>
      <c r="G17354" s="9">
        <v>166.97</v>
      </c>
      <c r="H17354" s="8">
        <v>4442</v>
      </c>
    </row>
    <row r="17355" spans="2:8" ht="15" customHeight="1" x14ac:dyDescent="0.4">
      <c r="B17355" t="s">
        <v>7</v>
      </c>
      <c r="C17355" t="s">
        <v>2804</v>
      </c>
      <c r="D17355" s="7">
        <f>DATE(2006,2,22)</f>
        <v>38770</v>
      </c>
      <c r="E17355" s="8">
        <f t="shared" si="285"/>
        <v>2006</v>
      </c>
      <c r="F17355" t="s">
        <v>2808</v>
      </c>
      <c r="G17355" s="9">
        <v>185.11</v>
      </c>
      <c r="H17355" s="8">
        <v>4480</v>
      </c>
    </row>
    <row r="17356" spans="2:8" ht="15" customHeight="1" x14ac:dyDescent="0.4">
      <c r="B17356" t="s">
        <v>7</v>
      </c>
      <c r="C17356" t="s">
        <v>2804</v>
      </c>
      <c r="D17356" s="7">
        <f>DATE(2007,1,31)</f>
        <v>39113</v>
      </c>
      <c r="E17356" s="8">
        <f t="shared" si="285"/>
        <v>2007</v>
      </c>
      <c r="F17356" t="s">
        <v>2808</v>
      </c>
      <c r="G17356" s="9">
        <v>2552.2199999999998</v>
      </c>
      <c r="H17356" s="8">
        <v>5400</v>
      </c>
    </row>
    <row r="17357" spans="2:8" ht="15" customHeight="1" x14ac:dyDescent="0.4">
      <c r="B17357" t="s">
        <v>7</v>
      </c>
      <c r="C17357" t="s">
        <v>2804</v>
      </c>
      <c r="D17357" s="7">
        <f>DATE(2008,2,18)</f>
        <v>39496</v>
      </c>
      <c r="E17357" s="8">
        <f t="shared" si="285"/>
        <v>2008</v>
      </c>
      <c r="F17357" t="s">
        <v>2808</v>
      </c>
      <c r="G17357" s="9">
        <v>3147.94</v>
      </c>
      <c r="H17357" s="8">
        <v>6897</v>
      </c>
    </row>
    <row r="17358" spans="2:8" ht="15" customHeight="1" x14ac:dyDescent="0.4">
      <c r="B17358" t="s">
        <v>7</v>
      </c>
      <c r="C17358" t="s">
        <v>2804</v>
      </c>
      <c r="D17358" s="7">
        <f>DATE(2008,2,29)</f>
        <v>39507</v>
      </c>
      <c r="E17358" s="8">
        <f t="shared" si="285"/>
        <v>2008</v>
      </c>
      <c r="F17358" t="s">
        <v>2808</v>
      </c>
      <c r="G17358" s="9">
        <v>6808.41</v>
      </c>
      <c r="H17358" s="8">
        <v>6940</v>
      </c>
    </row>
    <row r="17359" spans="2:8" ht="15" customHeight="1" x14ac:dyDescent="0.4">
      <c r="B17359" t="s">
        <v>7</v>
      </c>
      <c r="C17359" t="s">
        <v>2804</v>
      </c>
      <c r="D17359" s="7">
        <f>DATE(2008,2,28)</f>
        <v>39506</v>
      </c>
      <c r="E17359" s="8">
        <f t="shared" si="285"/>
        <v>2008</v>
      </c>
      <c r="F17359" t="s">
        <v>2808</v>
      </c>
      <c r="G17359" s="9">
        <v>1922.98</v>
      </c>
      <c r="H17359" s="8">
        <v>7033</v>
      </c>
    </row>
    <row r="17360" spans="2:8" ht="15" customHeight="1" x14ac:dyDescent="0.4">
      <c r="B17360" t="s">
        <v>7</v>
      </c>
      <c r="C17360" t="s">
        <v>2804</v>
      </c>
      <c r="D17360" s="7">
        <f>DATE(2010,3,29)</f>
        <v>40266</v>
      </c>
      <c r="E17360" s="8">
        <f t="shared" si="285"/>
        <v>2010</v>
      </c>
      <c r="F17360" t="s">
        <v>2808</v>
      </c>
      <c r="G17360" s="9">
        <v>2483</v>
      </c>
      <c r="H17360" s="8">
        <v>9629</v>
      </c>
    </row>
    <row r="17361" spans="2:8" ht="15" customHeight="1" x14ac:dyDescent="0.4">
      <c r="B17361" t="s">
        <v>7</v>
      </c>
      <c r="C17361" t="s">
        <v>2804</v>
      </c>
      <c r="D17361" s="7">
        <f>DATE(2010,4,7)</f>
        <v>40275</v>
      </c>
      <c r="E17361" s="8">
        <f t="shared" si="285"/>
        <v>2010</v>
      </c>
      <c r="F17361" t="s">
        <v>2808</v>
      </c>
      <c r="G17361" s="9">
        <v>2483</v>
      </c>
      <c r="H17361" s="8">
        <v>9751</v>
      </c>
    </row>
    <row r="17362" spans="2:8" ht="15" customHeight="1" x14ac:dyDescent="0.4">
      <c r="B17362" t="s">
        <v>16</v>
      </c>
      <c r="C17362" t="s">
        <v>2804</v>
      </c>
      <c r="D17362" s="7">
        <f>DATE(2006,2,22)</f>
        <v>38770</v>
      </c>
      <c r="E17362" s="8">
        <f t="shared" si="285"/>
        <v>2006</v>
      </c>
      <c r="F17362" t="s">
        <v>2808</v>
      </c>
      <c r="G17362" s="9">
        <v>185.11</v>
      </c>
      <c r="H17362" s="8">
        <v>4479</v>
      </c>
    </row>
    <row r="17363" spans="2:8" ht="15" customHeight="1" x14ac:dyDescent="0.4">
      <c r="B17363" t="s">
        <v>16</v>
      </c>
      <c r="C17363" t="s">
        <v>2804</v>
      </c>
      <c r="D17363" s="7">
        <f>DATE(2008,4,1)</f>
        <v>39539</v>
      </c>
      <c r="E17363" s="8">
        <f t="shared" si="285"/>
        <v>2008</v>
      </c>
      <c r="F17363" t="s">
        <v>2808</v>
      </c>
      <c r="G17363" s="9">
        <v>608.17999999999995</v>
      </c>
      <c r="H17363" s="8">
        <v>7348</v>
      </c>
    </row>
    <row r="17364" spans="2:8" ht="15" customHeight="1" x14ac:dyDescent="0.4">
      <c r="B17364" t="s">
        <v>16</v>
      </c>
      <c r="C17364" t="s">
        <v>2804</v>
      </c>
      <c r="D17364" s="7">
        <f>DATE(2010,3,29)</f>
        <v>40266</v>
      </c>
      <c r="E17364" s="8">
        <f t="shared" si="285"/>
        <v>2010</v>
      </c>
      <c r="F17364" t="s">
        <v>2808</v>
      </c>
      <c r="G17364" s="9">
        <v>2483</v>
      </c>
      <c r="H17364" s="8">
        <v>9750</v>
      </c>
    </row>
    <row r="17365" spans="2:8" ht="15" customHeight="1" x14ac:dyDescent="0.4">
      <c r="B17365" s="3" t="s">
        <v>7</v>
      </c>
      <c r="C17365" s="3" t="s">
        <v>2804</v>
      </c>
      <c r="D17365" s="4">
        <f>DATE(2006,2,16)</f>
        <v>38764</v>
      </c>
      <c r="E17365" s="5">
        <f t="shared" si="285"/>
        <v>2006</v>
      </c>
      <c r="F17365" s="3" t="s">
        <v>2808</v>
      </c>
      <c r="G17365" s="6">
        <v>136.31</v>
      </c>
      <c r="H17365" s="5">
        <v>5875</v>
      </c>
    </row>
    <row r="17366" spans="2:8" ht="15" customHeight="1" x14ac:dyDescent="0.4">
      <c r="B17366" s="3" t="s">
        <v>7</v>
      </c>
      <c r="C17366" s="3" t="s">
        <v>2804</v>
      </c>
      <c r="D17366" s="4">
        <f>DATE(2007,12,4)</f>
        <v>39420</v>
      </c>
      <c r="E17366" s="5">
        <f t="shared" si="285"/>
        <v>2007</v>
      </c>
      <c r="F17366" s="3" t="s">
        <v>2808</v>
      </c>
      <c r="G17366" s="6">
        <v>271.57</v>
      </c>
      <c r="H17366" s="5">
        <v>9558</v>
      </c>
    </row>
    <row r="17367" spans="2:8" ht="15" customHeight="1" x14ac:dyDescent="0.4">
      <c r="B17367" t="s">
        <v>7</v>
      </c>
      <c r="C17367" t="s">
        <v>2809</v>
      </c>
      <c r="D17367" s="7">
        <f>DATE(2008,2,29)</f>
        <v>39507</v>
      </c>
      <c r="E17367" s="8">
        <f t="shared" si="285"/>
        <v>2008</v>
      </c>
      <c r="F17367" t="s">
        <v>2810</v>
      </c>
      <c r="G17367" s="9">
        <v>4867.33</v>
      </c>
      <c r="H17367" s="8">
        <v>7149</v>
      </c>
    </row>
    <row r="17368" spans="2:8" ht="15" customHeight="1" x14ac:dyDescent="0.4">
      <c r="B17368" t="s">
        <v>7</v>
      </c>
      <c r="C17368" t="s">
        <v>2809</v>
      </c>
      <c r="D17368" s="7">
        <f>DATE(2008,2,1)</f>
        <v>39479</v>
      </c>
      <c r="E17368" s="8">
        <f t="shared" si="285"/>
        <v>2008</v>
      </c>
      <c r="F17368" t="s">
        <v>2810</v>
      </c>
      <c r="G17368" s="9">
        <v>4867.33</v>
      </c>
      <c r="H17368" s="8">
        <v>6904</v>
      </c>
    </row>
    <row r="17369" spans="2:8" ht="15" customHeight="1" x14ac:dyDescent="0.4">
      <c r="B17369" t="s">
        <v>7</v>
      </c>
      <c r="C17369" t="s">
        <v>2811</v>
      </c>
      <c r="D17369" s="7">
        <f>DATE(2003,4,25)</f>
        <v>37736</v>
      </c>
      <c r="E17369" s="8">
        <f t="shared" si="285"/>
        <v>2003</v>
      </c>
      <c r="F17369" t="s">
        <v>2812</v>
      </c>
      <c r="G17369" s="9">
        <v>2641.83</v>
      </c>
      <c r="H17369" s="8">
        <v>261</v>
      </c>
    </row>
    <row r="17370" spans="2:8" ht="15" customHeight="1" x14ac:dyDescent="0.4">
      <c r="B17370" t="s">
        <v>7</v>
      </c>
      <c r="C17370" t="s">
        <v>2811</v>
      </c>
      <c r="D17370" s="7">
        <f>DATE(2005,3,10)</f>
        <v>38421</v>
      </c>
      <c r="E17370" s="8">
        <f t="shared" si="285"/>
        <v>2005</v>
      </c>
      <c r="F17370" t="s">
        <v>2812</v>
      </c>
      <c r="G17370" s="9">
        <v>2656.33</v>
      </c>
      <c r="H17370" s="8">
        <v>2842</v>
      </c>
    </row>
    <row r="17371" spans="2:8" ht="15" customHeight="1" x14ac:dyDescent="0.4">
      <c r="B17371" t="s">
        <v>7</v>
      </c>
      <c r="C17371" t="s">
        <v>2813</v>
      </c>
      <c r="D17371" s="7">
        <f>DATE(2005,2,24)</f>
        <v>38407</v>
      </c>
      <c r="E17371" s="8">
        <f t="shared" si="285"/>
        <v>2005</v>
      </c>
      <c r="F17371" t="s">
        <v>2814</v>
      </c>
      <c r="G17371" s="9">
        <v>3553</v>
      </c>
      <c r="H17371" s="8">
        <v>2661</v>
      </c>
    </row>
    <row r="17372" spans="2:8" ht="15" customHeight="1" x14ac:dyDescent="0.4">
      <c r="B17372" t="s">
        <v>7</v>
      </c>
      <c r="C17372" t="s">
        <v>2813</v>
      </c>
      <c r="D17372" s="7">
        <f>DATE(2003,7,16)</f>
        <v>37818</v>
      </c>
      <c r="E17372" s="8">
        <f t="shared" si="285"/>
        <v>2003</v>
      </c>
      <c r="F17372" t="s">
        <v>2815</v>
      </c>
      <c r="G17372" s="9">
        <v>2281.41</v>
      </c>
      <c r="H17372" s="8">
        <v>262</v>
      </c>
    </row>
    <row r="17373" spans="2:8" ht="15" customHeight="1" x14ac:dyDescent="0.4">
      <c r="B17373" t="s">
        <v>7</v>
      </c>
      <c r="C17373" t="s">
        <v>2813</v>
      </c>
      <c r="D17373" s="7">
        <f>DATE(2004,1,27)</f>
        <v>38013</v>
      </c>
      <c r="E17373" s="8">
        <f t="shared" si="285"/>
        <v>2004</v>
      </c>
      <c r="F17373" t="s">
        <v>2815</v>
      </c>
      <c r="G17373" s="9">
        <v>2656.33</v>
      </c>
      <c r="H17373" s="8">
        <v>1157</v>
      </c>
    </row>
    <row r="17374" spans="2:8" ht="15" customHeight="1" x14ac:dyDescent="0.4">
      <c r="B17374" t="s">
        <v>7</v>
      </c>
      <c r="C17374" t="s">
        <v>2813</v>
      </c>
      <c r="D17374" s="7">
        <f>DATE(2005,2,9)</f>
        <v>38392</v>
      </c>
      <c r="E17374" s="8">
        <f t="shared" si="285"/>
        <v>2005</v>
      </c>
      <c r="F17374" t="s">
        <v>2815</v>
      </c>
      <c r="G17374" s="9">
        <v>2656.33</v>
      </c>
      <c r="H17374" s="8">
        <v>2660</v>
      </c>
    </row>
    <row r="17375" spans="2:8" ht="15" customHeight="1" x14ac:dyDescent="0.4">
      <c r="B17375" t="s">
        <v>7</v>
      </c>
      <c r="C17375" t="s">
        <v>2813</v>
      </c>
      <c r="D17375" s="7">
        <f>DATE(2007,4,1)</f>
        <v>39173</v>
      </c>
      <c r="E17375" s="8">
        <f t="shared" si="285"/>
        <v>2007</v>
      </c>
      <c r="F17375" t="s">
        <v>2815</v>
      </c>
      <c r="G17375" s="9">
        <v>811.06</v>
      </c>
      <c r="H17375" s="8">
        <v>5749</v>
      </c>
    </row>
    <row r="17376" spans="2:8" ht="15" customHeight="1" x14ac:dyDescent="0.4">
      <c r="B17376" t="s">
        <v>7</v>
      </c>
      <c r="C17376" t="s">
        <v>2816</v>
      </c>
      <c r="D17376" s="7">
        <f>DATE(2018,6,14)</f>
        <v>43265</v>
      </c>
      <c r="E17376" s="8">
        <f t="shared" si="285"/>
        <v>2018</v>
      </c>
      <c r="F17376" t="s">
        <v>2817</v>
      </c>
      <c r="G17376" s="9">
        <v>13153.6</v>
      </c>
      <c r="H17376" s="8">
        <v>26129</v>
      </c>
    </row>
    <row r="17377" spans="2:8" ht="15" customHeight="1" x14ac:dyDescent="0.4">
      <c r="B17377" t="s">
        <v>7</v>
      </c>
      <c r="C17377" t="s">
        <v>64</v>
      </c>
      <c r="D17377" s="7">
        <f>DATE(2012,1,6)</f>
        <v>40914</v>
      </c>
      <c r="E17377" s="8">
        <f t="shared" si="285"/>
        <v>2012</v>
      </c>
      <c r="F17377" t="s">
        <v>2818</v>
      </c>
      <c r="G17377" s="9">
        <v>1795.14</v>
      </c>
      <c r="H17377" s="8">
        <v>11096</v>
      </c>
    </row>
    <row r="17378" spans="2:8" ht="15" customHeight="1" x14ac:dyDescent="0.4">
      <c r="B17378" t="s">
        <v>7</v>
      </c>
      <c r="C17378" t="s">
        <v>64</v>
      </c>
      <c r="D17378" s="7">
        <f>DATE(2011,11,22)</f>
        <v>40869</v>
      </c>
      <c r="E17378" s="8">
        <f t="shared" si="285"/>
        <v>2011</v>
      </c>
      <c r="F17378" t="s">
        <v>2818</v>
      </c>
      <c r="G17378" s="9">
        <v>15527.58</v>
      </c>
      <c r="H17378" s="8">
        <v>11095</v>
      </c>
    </row>
    <row r="17379" spans="2:8" ht="15" customHeight="1" x14ac:dyDescent="0.4">
      <c r="B17379" s="3" t="s">
        <v>7</v>
      </c>
      <c r="C17379" s="3" t="s">
        <v>2819</v>
      </c>
      <c r="D17379" s="4">
        <f>DATE(2005,4,26)</f>
        <v>38468</v>
      </c>
      <c r="E17379" s="5">
        <f t="shared" si="285"/>
        <v>2005</v>
      </c>
      <c r="F17379" s="3" t="s">
        <v>2820</v>
      </c>
      <c r="G17379" s="6">
        <v>1794.5</v>
      </c>
      <c r="H17379" s="5">
        <v>4556</v>
      </c>
    </row>
    <row r="17380" spans="2:8" ht="15" customHeight="1" x14ac:dyDescent="0.4">
      <c r="B17380" s="3" t="s">
        <v>7</v>
      </c>
      <c r="C17380" s="3" t="s">
        <v>2819</v>
      </c>
      <c r="D17380" s="4">
        <f>DATE(2005,5,25)</f>
        <v>38497</v>
      </c>
      <c r="E17380" s="5">
        <f t="shared" si="285"/>
        <v>2005</v>
      </c>
      <c r="F17380" s="3" t="s">
        <v>2820</v>
      </c>
      <c r="G17380" s="6">
        <v>2314.33</v>
      </c>
      <c r="H17380" s="5">
        <v>4793</v>
      </c>
    </row>
    <row r="17381" spans="2:8" ht="15" customHeight="1" x14ac:dyDescent="0.4">
      <c r="B17381" s="3" t="s">
        <v>7</v>
      </c>
      <c r="C17381" s="3" t="s">
        <v>2819</v>
      </c>
      <c r="D17381" s="4">
        <f>DATE(2007,5,7)</f>
        <v>39209</v>
      </c>
      <c r="E17381" s="5">
        <f t="shared" si="285"/>
        <v>2007</v>
      </c>
      <c r="F17381" s="3" t="s">
        <v>2820</v>
      </c>
      <c r="G17381" s="6">
        <v>1098</v>
      </c>
      <c r="H17381" s="5">
        <v>8523</v>
      </c>
    </row>
    <row r="17382" spans="2:8" ht="15" customHeight="1" x14ac:dyDescent="0.4">
      <c r="B17382" s="3" t="s">
        <v>7</v>
      </c>
      <c r="C17382" s="3" t="s">
        <v>2819</v>
      </c>
      <c r="D17382" s="4">
        <f>DATE(2008,2,8)</f>
        <v>39486</v>
      </c>
      <c r="E17382" s="5">
        <f t="shared" si="285"/>
        <v>2008</v>
      </c>
      <c r="F17382" s="3" t="s">
        <v>2820</v>
      </c>
      <c r="G17382" s="6">
        <v>1338</v>
      </c>
      <c r="H17382" s="5">
        <v>9835</v>
      </c>
    </row>
    <row r="17383" spans="2:8" ht="15" customHeight="1" x14ac:dyDescent="0.4">
      <c r="B17383" s="3" t="s">
        <v>7</v>
      </c>
      <c r="C17383" s="3" t="s">
        <v>2819</v>
      </c>
      <c r="D17383" s="4">
        <f>DATE(2008,4,22)</f>
        <v>39560</v>
      </c>
      <c r="E17383" s="5">
        <f t="shared" si="285"/>
        <v>2008</v>
      </c>
      <c r="F17383" s="3" t="s">
        <v>2820</v>
      </c>
      <c r="G17383" s="6">
        <v>1143</v>
      </c>
      <c r="H17383" s="5">
        <v>10495</v>
      </c>
    </row>
    <row r="17384" spans="2:8" ht="15" customHeight="1" x14ac:dyDescent="0.4">
      <c r="B17384" s="3" t="s">
        <v>7</v>
      </c>
      <c r="C17384" s="3" t="s">
        <v>2819</v>
      </c>
      <c r="D17384" s="4">
        <f>DATE(2008,12,16)</f>
        <v>39798</v>
      </c>
      <c r="E17384" s="5">
        <f t="shared" si="285"/>
        <v>2008</v>
      </c>
      <c r="F17384" s="3" t="s">
        <v>2820</v>
      </c>
      <c r="G17384" s="6">
        <v>3345</v>
      </c>
      <c r="H17384" s="5">
        <v>11652</v>
      </c>
    </row>
    <row r="17385" spans="2:8" ht="15" customHeight="1" x14ac:dyDescent="0.4">
      <c r="B17385" s="3" t="s">
        <v>7</v>
      </c>
      <c r="C17385" s="3" t="s">
        <v>2819</v>
      </c>
      <c r="D17385" s="4">
        <f>DATE(2010,5,3)</f>
        <v>40301</v>
      </c>
      <c r="E17385" s="5">
        <f t="shared" si="285"/>
        <v>2010</v>
      </c>
      <c r="F17385" s="3" t="s">
        <v>2820</v>
      </c>
      <c r="G17385" s="6">
        <v>2638</v>
      </c>
      <c r="H17385" s="5">
        <v>13960</v>
      </c>
    </row>
    <row r="17386" spans="2:8" ht="15" customHeight="1" x14ac:dyDescent="0.4">
      <c r="B17386" s="3" t="s">
        <v>7</v>
      </c>
      <c r="C17386" s="3" t="s">
        <v>2819</v>
      </c>
      <c r="D17386" s="4">
        <f>DATE(2011,3,9)</f>
        <v>40611</v>
      </c>
      <c r="E17386" s="5">
        <f t="shared" si="285"/>
        <v>2011</v>
      </c>
      <c r="F17386" s="3" t="s">
        <v>2820</v>
      </c>
      <c r="G17386" s="6">
        <v>1950</v>
      </c>
      <c r="H17386" s="5">
        <v>15138</v>
      </c>
    </row>
    <row r="17387" spans="2:8" ht="15" customHeight="1" x14ac:dyDescent="0.4">
      <c r="B17387" s="3" t="s">
        <v>7</v>
      </c>
      <c r="C17387" s="3" t="s">
        <v>2819</v>
      </c>
      <c r="D17387" s="4">
        <f>DATE(2011,3,23)</f>
        <v>40625</v>
      </c>
      <c r="E17387" s="5">
        <f t="shared" si="285"/>
        <v>2011</v>
      </c>
      <c r="F17387" s="3" t="s">
        <v>2820</v>
      </c>
      <c r="G17387" s="6">
        <v>3957</v>
      </c>
      <c r="H17387" s="5">
        <v>15272</v>
      </c>
    </row>
    <row r="17388" spans="2:8" ht="15" customHeight="1" x14ac:dyDescent="0.4">
      <c r="B17388" s="3" t="s">
        <v>7</v>
      </c>
      <c r="C17388" s="3" t="s">
        <v>2819</v>
      </c>
      <c r="D17388" s="4">
        <f>DATE(2012,9,12)</f>
        <v>41164</v>
      </c>
      <c r="E17388" s="5">
        <f t="shared" si="285"/>
        <v>2012</v>
      </c>
      <c r="F17388" s="3" t="s">
        <v>2820</v>
      </c>
      <c r="G17388" s="6">
        <v>4450</v>
      </c>
      <c r="H17388" s="5">
        <v>17578</v>
      </c>
    </row>
    <row r="17389" spans="2:8" ht="15" customHeight="1" x14ac:dyDescent="0.4">
      <c r="B17389" s="3" t="s">
        <v>7</v>
      </c>
      <c r="C17389" s="3" t="s">
        <v>2819</v>
      </c>
      <c r="D17389" s="4">
        <f>DATE(2013,6,28)</f>
        <v>41453</v>
      </c>
      <c r="E17389" s="5">
        <f t="shared" si="285"/>
        <v>2013</v>
      </c>
      <c r="F17389" s="3" t="s">
        <v>2820</v>
      </c>
      <c r="G17389" s="6">
        <v>1375</v>
      </c>
      <c r="H17389" s="5">
        <v>18695</v>
      </c>
    </row>
    <row r="17390" spans="2:8" ht="15" customHeight="1" x14ac:dyDescent="0.4">
      <c r="B17390" s="3" t="s">
        <v>7</v>
      </c>
      <c r="C17390" s="3" t="s">
        <v>2819</v>
      </c>
      <c r="D17390" s="4">
        <f>DATE(2014,1,13)</f>
        <v>41652</v>
      </c>
      <c r="E17390" s="5">
        <f t="shared" si="285"/>
        <v>2014</v>
      </c>
      <c r="F17390" s="3" t="s">
        <v>2820</v>
      </c>
      <c r="G17390" s="6">
        <v>1540</v>
      </c>
      <c r="H17390" s="5">
        <v>19364</v>
      </c>
    </row>
    <row r="17391" spans="2:8" ht="15" customHeight="1" x14ac:dyDescent="0.4">
      <c r="B17391" t="s">
        <v>7</v>
      </c>
      <c r="C17391" t="s">
        <v>2821</v>
      </c>
      <c r="D17391" s="7">
        <f>DATE(2005,5,6)</f>
        <v>38478</v>
      </c>
      <c r="E17391" s="8">
        <f t="shared" si="285"/>
        <v>2005</v>
      </c>
      <c r="F17391" t="s">
        <v>2822</v>
      </c>
      <c r="G17391" s="9">
        <v>29834.2</v>
      </c>
      <c r="H17391" s="8">
        <v>2706</v>
      </c>
    </row>
    <row r="17392" spans="2:8" ht="15" customHeight="1" x14ac:dyDescent="0.4">
      <c r="B17392" t="s">
        <v>7</v>
      </c>
      <c r="C17392" t="s">
        <v>2821</v>
      </c>
      <c r="D17392" s="7">
        <f>DATE(2006,3,31)</f>
        <v>38807</v>
      </c>
      <c r="E17392" s="8">
        <f t="shared" si="285"/>
        <v>2006</v>
      </c>
      <c r="F17392" t="s">
        <v>2822</v>
      </c>
      <c r="G17392" s="9">
        <v>15437.1</v>
      </c>
      <c r="H17392" s="8">
        <v>4033</v>
      </c>
    </row>
    <row r="17393" spans="2:8" ht="15" customHeight="1" x14ac:dyDescent="0.4">
      <c r="B17393" t="s">
        <v>7</v>
      </c>
      <c r="C17393" t="s">
        <v>2821</v>
      </c>
      <c r="D17393" s="7">
        <f>DATE(2007,2,22)</f>
        <v>39135</v>
      </c>
      <c r="E17393" s="8">
        <f t="shared" si="285"/>
        <v>2007</v>
      </c>
      <c r="F17393" t="s">
        <v>2822</v>
      </c>
      <c r="G17393" s="9">
        <v>16477.099999999999</v>
      </c>
      <c r="H17393" s="8">
        <v>5543</v>
      </c>
    </row>
    <row r="17394" spans="2:8" ht="15" customHeight="1" x14ac:dyDescent="0.4">
      <c r="B17394" t="s">
        <v>7</v>
      </c>
      <c r="C17394" t="s">
        <v>2821</v>
      </c>
      <c r="D17394" s="7">
        <f>DATE(2007,5,17)</f>
        <v>39219</v>
      </c>
      <c r="E17394" s="8">
        <f t="shared" si="285"/>
        <v>2007</v>
      </c>
      <c r="F17394" t="s">
        <v>2822</v>
      </c>
      <c r="G17394" s="9">
        <v>3879.63</v>
      </c>
      <c r="H17394" s="8">
        <v>5893</v>
      </c>
    </row>
    <row r="17395" spans="2:8" ht="15" customHeight="1" x14ac:dyDescent="0.4">
      <c r="B17395" t="s">
        <v>7</v>
      </c>
      <c r="C17395" t="s">
        <v>2821</v>
      </c>
      <c r="D17395" s="7">
        <f>DATE(2007,7,1)</f>
        <v>39264</v>
      </c>
      <c r="E17395" s="8">
        <f t="shared" si="285"/>
        <v>2007</v>
      </c>
      <c r="F17395" t="s">
        <v>2822</v>
      </c>
      <c r="G17395" s="9">
        <v>3602</v>
      </c>
      <c r="H17395" s="8">
        <v>6227</v>
      </c>
    </row>
    <row r="17396" spans="2:8" ht="15" customHeight="1" x14ac:dyDescent="0.4">
      <c r="B17396" t="s">
        <v>7</v>
      </c>
      <c r="C17396" t="s">
        <v>2821</v>
      </c>
      <c r="D17396" s="7">
        <f>DATE(2007,7,27)</f>
        <v>39290</v>
      </c>
      <c r="E17396" s="8">
        <f t="shared" si="285"/>
        <v>2007</v>
      </c>
      <c r="F17396" t="s">
        <v>2822</v>
      </c>
      <c r="G17396" s="9">
        <v>20559</v>
      </c>
      <c r="H17396" s="8">
        <v>6209</v>
      </c>
    </row>
    <row r="17397" spans="2:8" ht="15" customHeight="1" x14ac:dyDescent="0.4">
      <c r="B17397" t="s">
        <v>7</v>
      </c>
      <c r="C17397" t="s">
        <v>2821</v>
      </c>
      <c r="D17397" s="7">
        <f>DATE(2007,8,5)</f>
        <v>39299</v>
      </c>
      <c r="E17397" s="8">
        <f t="shared" si="285"/>
        <v>2007</v>
      </c>
      <c r="F17397" t="s">
        <v>2822</v>
      </c>
      <c r="G17397" s="9">
        <v>23154.6</v>
      </c>
      <c r="H17397" s="8">
        <v>6241</v>
      </c>
    </row>
    <row r="17398" spans="2:8" ht="15" customHeight="1" x14ac:dyDescent="0.4">
      <c r="B17398" t="s">
        <v>7</v>
      </c>
      <c r="C17398" t="s">
        <v>2821</v>
      </c>
      <c r="D17398" s="7">
        <f>DATE(2008,4,25)</f>
        <v>39563</v>
      </c>
      <c r="E17398" s="8">
        <f t="shared" si="285"/>
        <v>2008</v>
      </c>
      <c r="F17398" t="s">
        <v>2822</v>
      </c>
      <c r="G17398" s="9">
        <v>16749.599999999999</v>
      </c>
      <c r="H17398" s="8">
        <v>7341</v>
      </c>
    </row>
    <row r="17399" spans="2:8" ht="15" customHeight="1" x14ac:dyDescent="0.4">
      <c r="B17399" t="s">
        <v>7</v>
      </c>
      <c r="C17399" t="s">
        <v>2821</v>
      </c>
      <c r="D17399" s="7">
        <f>DATE(2008,5,9)</f>
        <v>39577</v>
      </c>
      <c r="E17399" s="8">
        <f t="shared" si="285"/>
        <v>2008</v>
      </c>
      <c r="F17399" t="s">
        <v>2822</v>
      </c>
      <c r="G17399" s="9">
        <v>16749.599999999999</v>
      </c>
      <c r="H17399" s="8">
        <v>7355</v>
      </c>
    </row>
    <row r="17400" spans="2:8" ht="15" customHeight="1" x14ac:dyDescent="0.4">
      <c r="B17400" t="s">
        <v>7</v>
      </c>
      <c r="C17400" t="s">
        <v>2821</v>
      </c>
      <c r="D17400" s="7">
        <f>DATE(2008,10,14)</f>
        <v>39735</v>
      </c>
      <c r="E17400" s="8">
        <f t="shared" si="285"/>
        <v>2008</v>
      </c>
      <c r="F17400" t="s">
        <v>2822</v>
      </c>
      <c r="G17400" s="9">
        <v>6534.78</v>
      </c>
      <c r="H17400" s="8">
        <v>7811</v>
      </c>
    </row>
    <row r="17401" spans="2:8" ht="15" customHeight="1" x14ac:dyDescent="0.4">
      <c r="B17401" t="s">
        <v>7</v>
      </c>
      <c r="C17401" t="s">
        <v>2821</v>
      </c>
      <c r="D17401" s="7">
        <f>DATE(2008,10,1)</f>
        <v>39722</v>
      </c>
      <c r="E17401" s="8">
        <f t="shared" si="285"/>
        <v>2008</v>
      </c>
      <c r="F17401" t="s">
        <v>2822</v>
      </c>
      <c r="G17401" s="9">
        <v>1000</v>
      </c>
      <c r="H17401" s="8">
        <v>7833</v>
      </c>
    </row>
    <row r="17402" spans="2:8" ht="15" customHeight="1" x14ac:dyDescent="0.4">
      <c r="B17402" t="s">
        <v>7</v>
      </c>
      <c r="C17402" t="s">
        <v>2821</v>
      </c>
      <c r="D17402" s="7">
        <f>DATE(2009,6,3)</f>
        <v>39967</v>
      </c>
      <c r="E17402" s="8">
        <f t="shared" si="285"/>
        <v>2009</v>
      </c>
      <c r="F17402" t="s">
        <v>2822</v>
      </c>
      <c r="G17402" s="9">
        <v>3050</v>
      </c>
      <c r="H17402" s="8">
        <v>8766</v>
      </c>
    </row>
    <row r="17403" spans="2:8" ht="15" customHeight="1" x14ac:dyDescent="0.4">
      <c r="B17403" t="s">
        <v>7</v>
      </c>
      <c r="C17403" t="s">
        <v>2821</v>
      </c>
      <c r="D17403" s="7">
        <f>DATE(2010,8,24)</f>
        <v>40414</v>
      </c>
      <c r="E17403" s="8">
        <f t="shared" si="285"/>
        <v>2010</v>
      </c>
      <c r="F17403" t="s">
        <v>2822</v>
      </c>
      <c r="G17403" s="9">
        <v>39524.730000000003</v>
      </c>
      <c r="H17403" s="8">
        <v>10042</v>
      </c>
    </row>
    <row r="17404" spans="2:8" ht="15" customHeight="1" x14ac:dyDescent="0.4">
      <c r="B17404" t="s">
        <v>16</v>
      </c>
      <c r="C17404" t="s">
        <v>2821</v>
      </c>
      <c r="D17404" s="7">
        <f>DATE(2007,5,17)</f>
        <v>39219</v>
      </c>
      <c r="E17404" s="8">
        <f t="shared" si="285"/>
        <v>2007</v>
      </c>
      <c r="F17404" t="s">
        <v>2822</v>
      </c>
      <c r="G17404" s="9">
        <v>3879.63</v>
      </c>
      <c r="H17404" s="8">
        <v>6226</v>
      </c>
    </row>
    <row r="17405" spans="2:8" ht="15" customHeight="1" x14ac:dyDescent="0.4">
      <c r="B17405" s="3" t="s">
        <v>7</v>
      </c>
      <c r="C17405" s="3" t="s">
        <v>2821</v>
      </c>
      <c r="D17405" s="4">
        <f>DATE(2003,4,16)</f>
        <v>37727</v>
      </c>
      <c r="E17405" s="5">
        <f t="shared" si="285"/>
        <v>2003</v>
      </c>
      <c r="F17405" s="3" t="s">
        <v>2822</v>
      </c>
      <c r="G17405" s="6">
        <v>7514.53</v>
      </c>
      <c r="H17405" s="5">
        <v>660</v>
      </c>
    </row>
    <row r="17406" spans="2:8" ht="15" customHeight="1" x14ac:dyDescent="0.4">
      <c r="B17406" s="3" t="s">
        <v>7</v>
      </c>
      <c r="C17406" s="3" t="s">
        <v>2821</v>
      </c>
      <c r="D17406" s="4">
        <f>DATE(2003,4,16)</f>
        <v>37727</v>
      </c>
      <c r="E17406" s="5">
        <f t="shared" si="285"/>
        <v>2003</v>
      </c>
      <c r="F17406" s="3" t="s">
        <v>2822</v>
      </c>
      <c r="G17406" s="6">
        <v>274</v>
      </c>
      <c r="H17406" s="5">
        <v>779</v>
      </c>
    </row>
    <row r="17407" spans="2:8" ht="15" customHeight="1" x14ac:dyDescent="0.4">
      <c r="B17407" s="3" t="s">
        <v>7</v>
      </c>
      <c r="C17407" s="3" t="s">
        <v>2821</v>
      </c>
      <c r="D17407" s="4">
        <f>DATE(2003,4,22)</f>
        <v>37733</v>
      </c>
      <c r="E17407" s="5">
        <f t="shared" si="285"/>
        <v>2003</v>
      </c>
      <c r="F17407" s="3" t="s">
        <v>2822</v>
      </c>
      <c r="G17407" s="6">
        <v>148</v>
      </c>
      <c r="H17407" s="5">
        <v>794</v>
      </c>
    </row>
    <row r="17408" spans="2:8" ht="15" customHeight="1" x14ac:dyDescent="0.4">
      <c r="B17408" s="3" t="s">
        <v>7</v>
      </c>
      <c r="C17408" s="3" t="s">
        <v>2821</v>
      </c>
      <c r="D17408" s="4">
        <f>DATE(2003,4,22)</f>
        <v>37733</v>
      </c>
      <c r="E17408" s="5">
        <f t="shared" si="285"/>
        <v>2003</v>
      </c>
      <c r="F17408" s="3" t="s">
        <v>2822</v>
      </c>
      <c r="G17408" s="6">
        <v>167.25</v>
      </c>
      <c r="H17408" s="5">
        <v>809</v>
      </c>
    </row>
    <row r="17409" spans="2:8" ht="15" customHeight="1" x14ac:dyDescent="0.4">
      <c r="B17409" s="3" t="s">
        <v>7</v>
      </c>
      <c r="C17409" s="3" t="s">
        <v>2821</v>
      </c>
      <c r="D17409" s="4">
        <f>DATE(2003,4,30)</f>
        <v>37741</v>
      </c>
      <c r="E17409" s="5">
        <f t="shared" si="285"/>
        <v>2003</v>
      </c>
      <c r="F17409" s="3" t="s">
        <v>2822</v>
      </c>
      <c r="G17409" s="6">
        <v>1449.5</v>
      </c>
      <c r="H17409" s="5">
        <v>874</v>
      </c>
    </row>
    <row r="17410" spans="2:8" ht="15" customHeight="1" x14ac:dyDescent="0.4">
      <c r="B17410" s="3" t="s">
        <v>7</v>
      </c>
      <c r="C17410" s="3" t="s">
        <v>2821</v>
      </c>
      <c r="D17410" s="4">
        <f>DATE(2003,5,6)</f>
        <v>37747</v>
      </c>
      <c r="E17410" s="5">
        <f t="shared" si="285"/>
        <v>2003</v>
      </c>
      <c r="F17410" s="3" t="s">
        <v>2822</v>
      </c>
      <c r="G17410" s="6">
        <v>611</v>
      </c>
      <c r="H17410" s="5">
        <v>875</v>
      </c>
    </row>
    <row r="17411" spans="2:8" ht="15" customHeight="1" x14ac:dyDescent="0.4">
      <c r="B17411" s="3" t="s">
        <v>7</v>
      </c>
      <c r="C17411" s="3" t="s">
        <v>2821</v>
      </c>
      <c r="D17411" s="4">
        <f>DATE(2004,2,3)</f>
        <v>38020</v>
      </c>
      <c r="E17411" s="5">
        <f t="shared" ref="E17411:E17474" si="286">YEAR(D17411)</f>
        <v>2004</v>
      </c>
      <c r="F17411" s="3" t="s">
        <v>2822</v>
      </c>
      <c r="G17411" s="6">
        <v>2376.52</v>
      </c>
      <c r="H17411" s="5">
        <v>2098</v>
      </c>
    </row>
    <row r="17412" spans="2:8" ht="15" customHeight="1" x14ac:dyDescent="0.4">
      <c r="B17412" s="3" t="s">
        <v>7</v>
      </c>
      <c r="C17412" s="3" t="s">
        <v>2821</v>
      </c>
      <c r="D17412" s="4">
        <f>DATE(2004,3,1)</f>
        <v>38047</v>
      </c>
      <c r="E17412" s="5">
        <f t="shared" si="286"/>
        <v>2004</v>
      </c>
      <c r="F17412" s="3" t="s">
        <v>2822</v>
      </c>
      <c r="G17412" s="6">
        <v>2134</v>
      </c>
      <c r="H17412" s="5">
        <v>2297</v>
      </c>
    </row>
    <row r="17413" spans="2:8" ht="15" customHeight="1" x14ac:dyDescent="0.4">
      <c r="B17413" s="3" t="s">
        <v>7</v>
      </c>
      <c r="C17413" s="3" t="s">
        <v>2821</v>
      </c>
      <c r="D17413" s="4">
        <f>DATE(2004,4,14)</f>
        <v>38091</v>
      </c>
      <c r="E17413" s="5">
        <f t="shared" si="286"/>
        <v>2004</v>
      </c>
      <c r="F17413" s="3" t="s">
        <v>2822</v>
      </c>
      <c r="G17413" s="6">
        <v>2986</v>
      </c>
      <c r="H17413" s="5">
        <v>2347</v>
      </c>
    </row>
    <row r="17414" spans="2:8" ht="15" customHeight="1" x14ac:dyDescent="0.4">
      <c r="B17414" s="3" t="s">
        <v>7</v>
      </c>
      <c r="C17414" s="3" t="s">
        <v>2821</v>
      </c>
      <c r="D17414" s="4">
        <f>DATE(2005,3,4)</f>
        <v>38415</v>
      </c>
      <c r="E17414" s="5">
        <f t="shared" si="286"/>
        <v>2005</v>
      </c>
      <c r="F17414" s="3" t="s">
        <v>2822</v>
      </c>
      <c r="G17414" s="6">
        <v>11125</v>
      </c>
      <c r="H17414" s="5">
        <v>4199</v>
      </c>
    </row>
    <row r="17415" spans="2:8" ht="15" customHeight="1" x14ac:dyDescent="0.4">
      <c r="B17415" s="3" t="s">
        <v>7</v>
      </c>
      <c r="C17415" s="3" t="s">
        <v>2821</v>
      </c>
      <c r="D17415" s="4">
        <f>DATE(2005,5,19)</f>
        <v>38491</v>
      </c>
      <c r="E17415" s="5">
        <f t="shared" si="286"/>
        <v>2005</v>
      </c>
      <c r="F17415" s="3" t="s">
        <v>2822</v>
      </c>
      <c r="G17415" s="6">
        <v>3126</v>
      </c>
      <c r="H17415" s="5">
        <v>4735</v>
      </c>
    </row>
    <row r="17416" spans="2:8" ht="15" customHeight="1" x14ac:dyDescent="0.4">
      <c r="B17416" s="3" t="s">
        <v>7</v>
      </c>
      <c r="C17416" s="3" t="s">
        <v>2821</v>
      </c>
      <c r="D17416" s="4">
        <f>DATE(2006,4,21)</f>
        <v>38828</v>
      </c>
      <c r="E17416" s="5">
        <f t="shared" si="286"/>
        <v>2006</v>
      </c>
      <c r="F17416" s="3" t="s">
        <v>2822</v>
      </c>
      <c r="G17416" s="6">
        <v>1577</v>
      </c>
      <c r="H17416" s="5">
        <v>6574</v>
      </c>
    </row>
    <row r="17417" spans="2:8" ht="15" customHeight="1" x14ac:dyDescent="0.4">
      <c r="B17417" s="3" t="s">
        <v>7</v>
      </c>
      <c r="C17417" s="3" t="s">
        <v>2821</v>
      </c>
      <c r="D17417" s="4">
        <f>DATE(2006,5,9)</f>
        <v>38846</v>
      </c>
      <c r="E17417" s="5">
        <f t="shared" si="286"/>
        <v>2006</v>
      </c>
      <c r="F17417" s="3" t="s">
        <v>2822</v>
      </c>
      <c r="G17417" s="6">
        <v>1557.5</v>
      </c>
      <c r="H17417" s="5">
        <v>6678</v>
      </c>
    </row>
    <row r="17418" spans="2:8" ht="15" customHeight="1" x14ac:dyDescent="0.4">
      <c r="B17418" s="3" t="s">
        <v>7</v>
      </c>
      <c r="C17418" s="3" t="s">
        <v>2821</v>
      </c>
      <c r="D17418" s="4">
        <f>DATE(2006,5,10)</f>
        <v>38847</v>
      </c>
      <c r="E17418" s="5">
        <f t="shared" si="286"/>
        <v>2006</v>
      </c>
      <c r="F17418" s="3" t="s">
        <v>2822</v>
      </c>
      <c r="G17418" s="6">
        <v>1557.5</v>
      </c>
      <c r="H17418" s="5">
        <v>6697</v>
      </c>
    </row>
    <row r="17419" spans="2:8" ht="15" customHeight="1" x14ac:dyDescent="0.4">
      <c r="B17419" s="3" t="s">
        <v>7</v>
      </c>
      <c r="C17419" s="3" t="s">
        <v>2821</v>
      </c>
      <c r="D17419" s="4">
        <f>DATE(2007,2,2)</f>
        <v>39115</v>
      </c>
      <c r="E17419" s="5">
        <f t="shared" si="286"/>
        <v>2007</v>
      </c>
      <c r="F17419" s="3" t="s">
        <v>2822</v>
      </c>
      <c r="G17419" s="6">
        <v>3115</v>
      </c>
      <c r="H17419" s="5">
        <v>7872</v>
      </c>
    </row>
    <row r="17420" spans="2:8" ht="15" customHeight="1" x14ac:dyDescent="0.4">
      <c r="B17420" s="3" t="s">
        <v>7</v>
      </c>
      <c r="C17420" s="3" t="s">
        <v>2821</v>
      </c>
      <c r="D17420" s="4">
        <f>DATE(2007,6,4)</f>
        <v>39237</v>
      </c>
      <c r="E17420" s="5">
        <f t="shared" si="286"/>
        <v>2007</v>
      </c>
      <c r="F17420" s="3" t="s">
        <v>2822</v>
      </c>
      <c r="G17420" s="6">
        <v>3115</v>
      </c>
      <c r="H17420" s="5">
        <v>8659</v>
      </c>
    </row>
    <row r="17421" spans="2:8" ht="15" customHeight="1" x14ac:dyDescent="0.4">
      <c r="B17421" s="3" t="s">
        <v>7</v>
      </c>
      <c r="C17421" s="3" t="s">
        <v>2821</v>
      </c>
      <c r="D17421" s="4">
        <f>DATE(2007,7,27)</f>
        <v>39290</v>
      </c>
      <c r="E17421" s="5">
        <f t="shared" si="286"/>
        <v>2007</v>
      </c>
      <c r="F17421" s="3" t="s">
        <v>2822</v>
      </c>
      <c r="G17421" s="6">
        <v>20470</v>
      </c>
      <c r="H17421" s="5">
        <v>8922</v>
      </c>
    </row>
    <row r="17422" spans="2:8" ht="15" customHeight="1" x14ac:dyDescent="0.4">
      <c r="B17422" s="3" t="s">
        <v>7</v>
      </c>
      <c r="C17422" s="3" t="s">
        <v>2821</v>
      </c>
      <c r="D17422" s="4">
        <f>DATE(2008,4,17)</f>
        <v>39555</v>
      </c>
      <c r="E17422" s="5">
        <f t="shared" si="286"/>
        <v>2008</v>
      </c>
      <c r="F17422" s="3" t="s">
        <v>2822</v>
      </c>
      <c r="G17422" s="6">
        <v>6255</v>
      </c>
      <c r="H17422" s="5">
        <v>10475</v>
      </c>
    </row>
    <row r="17423" spans="2:8" ht="15" customHeight="1" x14ac:dyDescent="0.4">
      <c r="B17423" s="3" t="s">
        <v>7</v>
      </c>
      <c r="C17423" s="3" t="s">
        <v>2821</v>
      </c>
      <c r="D17423" s="4">
        <f>DATE(2009,12,10)</f>
        <v>40157</v>
      </c>
      <c r="E17423" s="5">
        <f t="shared" si="286"/>
        <v>2009</v>
      </c>
      <c r="F17423" s="3" t="s">
        <v>2822</v>
      </c>
      <c r="G17423" s="6">
        <v>898</v>
      </c>
      <c r="H17423" s="5">
        <v>13328</v>
      </c>
    </row>
    <row r="17424" spans="2:8" ht="15" customHeight="1" x14ac:dyDescent="0.4">
      <c r="B17424" s="3" t="s">
        <v>7</v>
      </c>
      <c r="C17424" s="3" t="s">
        <v>2821</v>
      </c>
      <c r="D17424" s="4">
        <f>DATE(2010,3,31)</f>
        <v>40268</v>
      </c>
      <c r="E17424" s="5">
        <f t="shared" si="286"/>
        <v>2010</v>
      </c>
      <c r="F17424" s="3" t="s">
        <v>2822</v>
      </c>
      <c r="G17424" s="6">
        <v>300.61</v>
      </c>
      <c r="H17424" s="5">
        <v>13832</v>
      </c>
    </row>
    <row r="17425" spans="2:8" ht="15" customHeight="1" x14ac:dyDescent="0.4">
      <c r="B17425" s="3" t="s">
        <v>7</v>
      </c>
      <c r="C17425" s="3" t="s">
        <v>2821</v>
      </c>
      <c r="D17425" s="4">
        <f>DATE(2010,7,7)</f>
        <v>40366</v>
      </c>
      <c r="E17425" s="5">
        <f t="shared" si="286"/>
        <v>2010</v>
      </c>
      <c r="F17425" s="3" t="s">
        <v>2822</v>
      </c>
      <c r="G17425" s="6">
        <v>3115</v>
      </c>
      <c r="H17425" s="5">
        <v>14247</v>
      </c>
    </row>
    <row r="17426" spans="2:8" ht="15" customHeight="1" x14ac:dyDescent="0.4">
      <c r="B17426" s="3" t="s">
        <v>7</v>
      </c>
      <c r="C17426" s="3" t="s">
        <v>2821</v>
      </c>
      <c r="D17426" s="4">
        <f>DATE(2010,8,25)</f>
        <v>40415</v>
      </c>
      <c r="E17426" s="5">
        <f t="shared" si="286"/>
        <v>2010</v>
      </c>
      <c r="F17426" s="3" t="s">
        <v>2822</v>
      </c>
      <c r="G17426" s="6">
        <v>9940</v>
      </c>
      <c r="H17426" s="5">
        <v>14374</v>
      </c>
    </row>
    <row r="17427" spans="2:8" ht="15" customHeight="1" x14ac:dyDescent="0.4">
      <c r="B17427" s="3" t="s">
        <v>7</v>
      </c>
      <c r="C17427" s="3" t="s">
        <v>2821</v>
      </c>
      <c r="D17427" s="4">
        <f>DATE(2010,9,15)</f>
        <v>40436</v>
      </c>
      <c r="E17427" s="5">
        <f t="shared" si="286"/>
        <v>2010</v>
      </c>
      <c r="F17427" s="3" t="s">
        <v>2822</v>
      </c>
      <c r="G17427" s="6">
        <v>619.14</v>
      </c>
      <c r="H17427" s="5">
        <v>14504</v>
      </c>
    </row>
    <row r="17428" spans="2:8" ht="15" customHeight="1" x14ac:dyDescent="0.4">
      <c r="B17428" s="3" t="s">
        <v>16</v>
      </c>
      <c r="C17428" s="3" t="s">
        <v>2821</v>
      </c>
      <c r="D17428" s="4">
        <f>DATE(2003,4,16)</f>
        <v>37727</v>
      </c>
      <c r="E17428" s="5">
        <f t="shared" si="286"/>
        <v>2003</v>
      </c>
      <c r="F17428" s="3" t="s">
        <v>2822</v>
      </c>
      <c r="G17428" s="6">
        <v>84</v>
      </c>
      <c r="H17428" s="5">
        <v>793</v>
      </c>
    </row>
    <row r="17429" spans="2:8" ht="15" customHeight="1" x14ac:dyDescent="0.4">
      <c r="B17429" s="3" t="s">
        <v>16</v>
      </c>
      <c r="C17429" s="3" t="s">
        <v>2821</v>
      </c>
      <c r="D17429" s="4">
        <f>DATE(2010,8,25)</f>
        <v>40415</v>
      </c>
      <c r="E17429" s="5">
        <f t="shared" si="286"/>
        <v>2010</v>
      </c>
      <c r="F17429" s="3" t="s">
        <v>2822</v>
      </c>
      <c r="G17429" s="6">
        <v>9940</v>
      </c>
      <c r="H17429" s="5">
        <v>16264</v>
      </c>
    </row>
    <row r="17430" spans="2:8" ht="15" customHeight="1" x14ac:dyDescent="0.4">
      <c r="B17430" s="3" t="s">
        <v>7</v>
      </c>
      <c r="C17430" s="3" t="s">
        <v>2823</v>
      </c>
      <c r="D17430" s="4">
        <f>DATE(2011,11,17)</f>
        <v>40864</v>
      </c>
      <c r="E17430" s="5">
        <f t="shared" si="286"/>
        <v>2011</v>
      </c>
      <c r="F17430" s="3" t="s">
        <v>2824</v>
      </c>
      <c r="G17430" s="6">
        <v>2550.63</v>
      </c>
      <c r="H17430" s="5">
        <v>16223</v>
      </c>
    </row>
    <row r="17431" spans="2:8" ht="15" customHeight="1" x14ac:dyDescent="0.4">
      <c r="B17431" s="3" t="s">
        <v>7</v>
      </c>
      <c r="C17431" s="3" t="s">
        <v>2823</v>
      </c>
      <c r="D17431" s="4">
        <f>DATE(2011,11,28)</f>
        <v>40875</v>
      </c>
      <c r="E17431" s="5">
        <f t="shared" si="286"/>
        <v>2011</v>
      </c>
      <c r="F17431" s="3" t="s">
        <v>2824</v>
      </c>
      <c r="G17431" s="6">
        <v>120.67</v>
      </c>
      <c r="H17431" s="5">
        <v>16255</v>
      </c>
    </row>
    <row r="17432" spans="2:8" ht="15" customHeight="1" x14ac:dyDescent="0.4">
      <c r="B17432" t="s">
        <v>7</v>
      </c>
      <c r="C17432" t="s">
        <v>2825</v>
      </c>
      <c r="D17432" s="7">
        <f>DATE(2015,8,27)</f>
        <v>42243</v>
      </c>
      <c r="E17432" s="8">
        <f t="shared" si="286"/>
        <v>2015</v>
      </c>
      <c r="F17432" t="s">
        <v>2826</v>
      </c>
      <c r="G17432" s="9">
        <v>7810.54</v>
      </c>
      <c r="H17432" s="8">
        <v>21109</v>
      </c>
    </row>
    <row r="17433" spans="2:8" ht="15" customHeight="1" x14ac:dyDescent="0.4">
      <c r="B17433" t="s">
        <v>7</v>
      </c>
      <c r="C17433" t="s">
        <v>2825</v>
      </c>
      <c r="D17433" s="7">
        <f>DATE(2003,2,23)</f>
        <v>37675</v>
      </c>
      <c r="E17433" s="8">
        <f t="shared" si="286"/>
        <v>2003</v>
      </c>
      <c r="F17433" t="s">
        <v>2826</v>
      </c>
      <c r="G17433" s="9">
        <v>24667</v>
      </c>
      <c r="H17433" s="8">
        <v>213</v>
      </c>
    </row>
    <row r="17434" spans="2:8" ht="15" customHeight="1" x14ac:dyDescent="0.4">
      <c r="B17434" t="s">
        <v>7</v>
      </c>
      <c r="C17434" t="s">
        <v>2825</v>
      </c>
      <c r="D17434" s="7">
        <f>DATE(2003,5,28)</f>
        <v>37769</v>
      </c>
      <c r="E17434" s="8">
        <f t="shared" si="286"/>
        <v>2003</v>
      </c>
      <c r="F17434" t="s">
        <v>2826</v>
      </c>
      <c r="G17434" s="9">
        <v>24667</v>
      </c>
      <c r="H17434" s="8">
        <v>252</v>
      </c>
    </row>
    <row r="17435" spans="2:8" ht="15" customHeight="1" x14ac:dyDescent="0.4">
      <c r="B17435" t="s">
        <v>7</v>
      </c>
      <c r="C17435" t="s">
        <v>2825</v>
      </c>
      <c r="D17435" s="7">
        <f>DATE(2004,4,8)</f>
        <v>38085</v>
      </c>
      <c r="E17435" s="8">
        <f t="shared" si="286"/>
        <v>2004</v>
      </c>
      <c r="F17435" t="s">
        <v>2826</v>
      </c>
      <c r="G17435" s="9">
        <v>19500</v>
      </c>
      <c r="H17435" s="8">
        <v>1205</v>
      </c>
    </row>
    <row r="17436" spans="2:8" ht="15" customHeight="1" x14ac:dyDescent="0.4">
      <c r="B17436" t="s">
        <v>7</v>
      </c>
      <c r="C17436" t="s">
        <v>2825</v>
      </c>
      <c r="D17436" s="7">
        <f>DATE(2004,4,9)</f>
        <v>38086</v>
      </c>
      <c r="E17436" s="8">
        <f t="shared" si="286"/>
        <v>2004</v>
      </c>
      <c r="F17436" t="s">
        <v>2826</v>
      </c>
      <c r="G17436" s="9">
        <v>5110.17</v>
      </c>
      <c r="H17436" s="8">
        <v>1550</v>
      </c>
    </row>
    <row r="17437" spans="2:8" ht="15" customHeight="1" x14ac:dyDescent="0.4">
      <c r="B17437" t="s">
        <v>7</v>
      </c>
      <c r="C17437" t="s">
        <v>2825</v>
      </c>
      <c r="D17437" s="7">
        <f>DATE(2004,5,13)</f>
        <v>38120</v>
      </c>
      <c r="E17437" s="8">
        <f t="shared" si="286"/>
        <v>2004</v>
      </c>
      <c r="F17437" t="s">
        <v>2826</v>
      </c>
      <c r="G17437" s="9">
        <v>1375.23</v>
      </c>
      <c r="H17437" s="8">
        <v>1776</v>
      </c>
    </row>
    <row r="17438" spans="2:8" ht="15" customHeight="1" x14ac:dyDescent="0.4">
      <c r="B17438" t="s">
        <v>7</v>
      </c>
      <c r="C17438" t="s">
        <v>2825</v>
      </c>
      <c r="D17438" s="7">
        <f>DATE(2004,5,26)</f>
        <v>38133</v>
      </c>
      <c r="E17438" s="8">
        <f t="shared" si="286"/>
        <v>2004</v>
      </c>
      <c r="F17438" t="s">
        <v>2826</v>
      </c>
      <c r="G17438" s="9">
        <v>21749</v>
      </c>
      <c r="H17438" s="8">
        <v>1207</v>
      </c>
    </row>
    <row r="17439" spans="2:8" ht="15" customHeight="1" x14ac:dyDescent="0.4">
      <c r="B17439" t="s">
        <v>7</v>
      </c>
      <c r="C17439" t="s">
        <v>2825</v>
      </c>
      <c r="D17439" s="7">
        <f>DATE(2004,5,27)</f>
        <v>38134</v>
      </c>
      <c r="E17439" s="8">
        <f t="shared" si="286"/>
        <v>2004</v>
      </c>
      <c r="F17439" t="s">
        <v>2826</v>
      </c>
      <c r="G17439" s="9">
        <v>8000</v>
      </c>
      <c r="H17439" s="8">
        <v>1548</v>
      </c>
    </row>
    <row r="17440" spans="2:8" ht="15" customHeight="1" x14ac:dyDescent="0.4">
      <c r="B17440" t="s">
        <v>7</v>
      </c>
      <c r="C17440" t="s">
        <v>2825</v>
      </c>
      <c r="D17440" s="7">
        <f>DATE(2005,4,8)</f>
        <v>38450</v>
      </c>
      <c r="E17440" s="8">
        <f t="shared" si="286"/>
        <v>2005</v>
      </c>
      <c r="F17440" t="s">
        <v>2826</v>
      </c>
      <c r="G17440" s="9">
        <v>20810</v>
      </c>
      <c r="H17440" s="8">
        <v>2484</v>
      </c>
    </row>
    <row r="17441" spans="2:8" ht="15" customHeight="1" x14ac:dyDescent="0.4">
      <c r="B17441" t="s">
        <v>7</v>
      </c>
      <c r="C17441" t="s">
        <v>2825</v>
      </c>
      <c r="D17441" s="7">
        <f>DATE(2005,4,7)</f>
        <v>38449</v>
      </c>
      <c r="E17441" s="8">
        <f t="shared" si="286"/>
        <v>2005</v>
      </c>
      <c r="F17441" t="s">
        <v>2826</v>
      </c>
      <c r="G17441" s="9">
        <v>10155.68</v>
      </c>
      <c r="H17441" s="8">
        <v>2582</v>
      </c>
    </row>
    <row r="17442" spans="2:8" ht="15" customHeight="1" x14ac:dyDescent="0.4">
      <c r="B17442" t="s">
        <v>7</v>
      </c>
      <c r="C17442" t="s">
        <v>2825</v>
      </c>
      <c r="D17442" s="7">
        <f>DATE(2005,4,14)</f>
        <v>38456</v>
      </c>
      <c r="E17442" s="8">
        <f t="shared" si="286"/>
        <v>2005</v>
      </c>
      <c r="F17442" t="s">
        <v>2826</v>
      </c>
      <c r="G17442" s="9">
        <v>10900</v>
      </c>
      <c r="H17442" s="8">
        <v>2576</v>
      </c>
    </row>
    <row r="17443" spans="2:8" ht="15" customHeight="1" x14ac:dyDescent="0.4">
      <c r="B17443" t="s">
        <v>7</v>
      </c>
      <c r="C17443" t="s">
        <v>2825</v>
      </c>
      <c r="D17443" s="7">
        <f>DATE(2005,4,8)</f>
        <v>38450</v>
      </c>
      <c r="E17443" s="8">
        <f t="shared" si="286"/>
        <v>2005</v>
      </c>
      <c r="F17443" t="s">
        <v>2826</v>
      </c>
      <c r="G17443" s="9">
        <v>3371</v>
      </c>
      <c r="H17443" s="8">
        <v>2758</v>
      </c>
    </row>
    <row r="17444" spans="2:8" ht="15" customHeight="1" x14ac:dyDescent="0.4">
      <c r="B17444" t="s">
        <v>7</v>
      </c>
      <c r="C17444" t="s">
        <v>2825</v>
      </c>
      <c r="D17444" s="7">
        <f>DATE(2005,5,21)</f>
        <v>38493</v>
      </c>
      <c r="E17444" s="8">
        <f t="shared" si="286"/>
        <v>2005</v>
      </c>
      <c r="F17444" t="s">
        <v>2826</v>
      </c>
      <c r="G17444" s="9">
        <v>19500</v>
      </c>
      <c r="H17444" s="8">
        <v>2628</v>
      </c>
    </row>
    <row r="17445" spans="2:8" ht="15" customHeight="1" x14ac:dyDescent="0.4">
      <c r="B17445" t="s">
        <v>7</v>
      </c>
      <c r="C17445" t="s">
        <v>2825</v>
      </c>
      <c r="D17445" s="7">
        <f>DATE(2005,5,20)</f>
        <v>38492</v>
      </c>
      <c r="E17445" s="8">
        <f t="shared" si="286"/>
        <v>2005</v>
      </c>
      <c r="F17445" t="s">
        <v>2826</v>
      </c>
      <c r="G17445" s="9">
        <v>7165.49</v>
      </c>
      <c r="H17445" s="8">
        <v>2629</v>
      </c>
    </row>
    <row r="17446" spans="2:8" ht="15" customHeight="1" x14ac:dyDescent="0.4">
      <c r="B17446" t="s">
        <v>7</v>
      </c>
      <c r="C17446" t="s">
        <v>2825</v>
      </c>
      <c r="D17446" s="7">
        <f>DATE(2006,2,4)</f>
        <v>38752</v>
      </c>
      <c r="E17446" s="8">
        <f t="shared" si="286"/>
        <v>2006</v>
      </c>
      <c r="F17446" t="s">
        <v>2826</v>
      </c>
      <c r="G17446" s="9">
        <v>28984.75</v>
      </c>
      <c r="H17446" s="8">
        <v>3624</v>
      </c>
    </row>
    <row r="17447" spans="2:8" ht="15" customHeight="1" x14ac:dyDescent="0.4">
      <c r="B17447" t="s">
        <v>7</v>
      </c>
      <c r="C17447" t="s">
        <v>2825</v>
      </c>
      <c r="D17447" s="7">
        <f>DATE(2006,3,29)</f>
        <v>38805</v>
      </c>
      <c r="E17447" s="8">
        <f t="shared" si="286"/>
        <v>2006</v>
      </c>
      <c r="F17447" t="s">
        <v>2826</v>
      </c>
      <c r="G17447" s="9">
        <v>6366.77</v>
      </c>
      <c r="H17447" s="8">
        <v>4326</v>
      </c>
    </row>
    <row r="17448" spans="2:8" ht="15" customHeight="1" x14ac:dyDescent="0.4">
      <c r="B17448" t="s">
        <v>7</v>
      </c>
      <c r="C17448" t="s">
        <v>2825</v>
      </c>
      <c r="D17448" s="7">
        <f>DATE(2006,4,20)</f>
        <v>38827</v>
      </c>
      <c r="E17448" s="8">
        <f t="shared" si="286"/>
        <v>2006</v>
      </c>
      <c r="F17448" t="s">
        <v>2826</v>
      </c>
      <c r="G17448" s="9">
        <v>24988.83</v>
      </c>
      <c r="H17448" s="8">
        <v>4487</v>
      </c>
    </row>
    <row r="17449" spans="2:8" ht="15" customHeight="1" x14ac:dyDescent="0.4">
      <c r="B17449" t="s">
        <v>7</v>
      </c>
      <c r="C17449" t="s">
        <v>2825</v>
      </c>
      <c r="D17449" s="7">
        <f>DATE(2007,3,19)</f>
        <v>39160</v>
      </c>
      <c r="E17449" s="8">
        <f t="shared" si="286"/>
        <v>2007</v>
      </c>
      <c r="F17449" t="s">
        <v>2826</v>
      </c>
      <c r="G17449" s="9">
        <v>34368.400000000001</v>
      </c>
      <c r="H17449" s="8">
        <v>5394</v>
      </c>
    </row>
    <row r="17450" spans="2:8" ht="15" customHeight="1" x14ac:dyDescent="0.4">
      <c r="B17450" t="s">
        <v>7</v>
      </c>
      <c r="C17450" t="s">
        <v>2825</v>
      </c>
      <c r="D17450" s="7">
        <f>DATE(2007,4,1)</f>
        <v>39173</v>
      </c>
      <c r="E17450" s="8">
        <f t="shared" si="286"/>
        <v>2007</v>
      </c>
      <c r="F17450" t="s">
        <v>2826</v>
      </c>
      <c r="G17450" s="9">
        <v>30508.25</v>
      </c>
      <c r="H17450" s="8">
        <v>5975</v>
      </c>
    </row>
    <row r="17451" spans="2:8" ht="15" customHeight="1" x14ac:dyDescent="0.4">
      <c r="B17451" t="s">
        <v>16</v>
      </c>
      <c r="C17451" t="s">
        <v>2825</v>
      </c>
      <c r="D17451" s="7">
        <f>DATE(2007,4,1)</f>
        <v>39173</v>
      </c>
      <c r="E17451" s="8">
        <f t="shared" si="286"/>
        <v>2007</v>
      </c>
      <c r="F17451" t="s">
        <v>2826</v>
      </c>
      <c r="G17451" s="9">
        <v>34368.400000000001</v>
      </c>
      <c r="H17451" s="8">
        <v>5973</v>
      </c>
    </row>
    <row r="17452" spans="2:8" ht="15" customHeight="1" x14ac:dyDescent="0.4">
      <c r="B17452" s="3" t="s">
        <v>7</v>
      </c>
      <c r="C17452" s="3" t="s">
        <v>2827</v>
      </c>
      <c r="D17452" s="4">
        <f>DATE(2010,3,9)</f>
        <v>40246</v>
      </c>
      <c r="E17452" s="5">
        <f t="shared" si="286"/>
        <v>2010</v>
      </c>
      <c r="F17452" s="3" t="s">
        <v>2828</v>
      </c>
      <c r="G17452" s="6">
        <v>55400.04</v>
      </c>
      <c r="H17452" s="5">
        <v>13361</v>
      </c>
    </row>
    <row r="17453" spans="2:8" ht="15" customHeight="1" x14ac:dyDescent="0.4">
      <c r="B17453" s="3" t="s">
        <v>7</v>
      </c>
      <c r="C17453" s="3" t="s">
        <v>2827</v>
      </c>
      <c r="D17453" s="4">
        <f>DATE(2011,3,2)</f>
        <v>40604</v>
      </c>
      <c r="E17453" s="5">
        <f t="shared" si="286"/>
        <v>2011</v>
      </c>
      <c r="F17453" s="3" t="s">
        <v>2828</v>
      </c>
      <c r="G17453" s="6">
        <v>38065.53</v>
      </c>
      <c r="H17453" s="5">
        <v>14975</v>
      </c>
    </row>
    <row r="17454" spans="2:8" ht="15" customHeight="1" x14ac:dyDescent="0.4">
      <c r="B17454" t="s">
        <v>7</v>
      </c>
      <c r="C17454" t="s">
        <v>2829</v>
      </c>
      <c r="D17454" s="7">
        <f>DATE(2006,5,14)</f>
        <v>38851</v>
      </c>
      <c r="E17454" s="8">
        <f t="shared" si="286"/>
        <v>2006</v>
      </c>
      <c r="F17454" t="s">
        <v>2830</v>
      </c>
      <c r="G17454" s="9">
        <v>24659.69</v>
      </c>
      <c r="H17454" s="8">
        <v>4525</v>
      </c>
    </row>
    <row r="17455" spans="2:8" ht="15" customHeight="1" x14ac:dyDescent="0.4">
      <c r="B17455" t="s">
        <v>7</v>
      </c>
      <c r="C17455" t="s">
        <v>2829</v>
      </c>
      <c r="D17455" s="7">
        <f>DATE(2006,9,16)</f>
        <v>38976</v>
      </c>
      <c r="E17455" s="8">
        <f t="shared" si="286"/>
        <v>2006</v>
      </c>
      <c r="F17455" t="s">
        <v>2830</v>
      </c>
      <c r="G17455" s="9">
        <v>24864.28</v>
      </c>
      <c r="H17455" s="8">
        <v>4905</v>
      </c>
    </row>
    <row r="17456" spans="2:8" ht="15" customHeight="1" x14ac:dyDescent="0.4">
      <c r="B17456" t="s">
        <v>7</v>
      </c>
      <c r="C17456" t="s">
        <v>2829</v>
      </c>
      <c r="D17456" s="7">
        <f>DATE(2007,5,1)</f>
        <v>39203</v>
      </c>
      <c r="E17456" s="8">
        <f t="shared" si="286"/>
        <v>2007</v>
      </c>
      <c r="F17456" t="s">
        <v>2830</v>
      </c>
      <c r="G17456" s="9">
        <v>17000</v>
      </c>
      <c r="H17456" s="8">
        <v>5616</v>
      </c>
    </row>
    <row r="17457" spans="2:8" ht="15" customHeight="1" x14ac:dyDescent="0.4">
      <c r="B17457" t="s">
        <v>7</v>
      </c>
      <c r="C17457" t="s">
        <v>2829</v>
      </c>
      <c r="D17457" s="7">
        <f>DATE(2008,7,22)</f>
        <v>39651</v>
      </c>
      <c r="E17457" s="8">
        <f t="shared" si="286"/>
        <v>2008</v>
      </c>
      <c r="F17457" t="s">
        <v>2830</v>
      </c>
      <c r="G17457" s="9">
        <v>5415.4</v>
      </c>
      <c r="H17457" s="8">
        <v>7632</v>
      </c>
    </row>
    <row r="17458" spans="2:8" ht="15" customHeight="1" x14ac:dyDescent="0.4">
      <c r="B17458" t="s">
        <v>7</v>
      </c>
      <c r="C17458" t="s">
        <v>2829</v>
      </c>
      <c r="D17458" s="7">
        <f>DATE(2010,7,1)</f>
        <v>40360</v>
      </c>
      <c r="E17458" s="8">
        <f t="shared" si="286"/>
        <v>2010</v>
      </c>
      <c r="F17458" t="s">
        <v>2830</v>
      </c>
      <c r="G17458" s="9">
        <v>6180.44</v>
      </c>
      <c r="H17458" s="8">
        <v>9941</v>
      </c>
    </row>
    <row r="17459" spans="2:8" ht="15" customHeight="1" x14ac:dyDescent="0.4">
      <c r="B17459" t="s">
        <v>7</v>
      </c>
      <c r="C17459" t="s">
        <v>2831</v>
      </c>
      <c r="D17459" s="7">
        <f>DATE(2012,5,3)</f>
        <v>41032</v>
      </c>
      <c r="E17459" s="8">
        <f t="shared" si="286"/>
        <v>2012</v>
      </c>
      <c r="F17459" t="s">
        <v>2832</v>
      </c>
      <c r="G17459" s="9">
        <v>19800</v>
      </c>
      <c r="H17459" s="8">
        <v>11544</v>
      </c>
    </row>
    <row r="17460" spans="2:8" ht="15" customHeight="1" x14ac:dyDescent="0.4">
      <c r="B17460" t="s">
        <v>7</v>
      </c>
      <c r="C17460" t="s">
        <v>2831</v>
      </c>
      <c r="D17460" s="7">
        <f>DATE(2017,12,5)</f>
        <v>43074</v>
      </c>
      <c r="E17460" s="8">
        <f t="shared" si="286"/>
        <v>2017</v>
      </c>
      <c r="F17460" t="s">
        <v>2833</v>
      </c>
      <c r="G17460" s="9">
        <v>30374.58</v>
      </c>
      <c r="H17460" s="8">
        <v>25729</v>
      </c>
    </row>
    <row r="17461" spans="2:8" ht="15" customHeight="1" x14ac:dyDescent="0.4">
      <c r="B17461" t="s">
        <v>7</v>
      </c>
      <c r="C17461" t="s">
        <v>2831</v>
      </c>
      <c r="D17461" s="7">
        <f>DATE(2018,5,24)</f>
        <v>43244</v>
      </c>
      <c r="E17461" s="8">
        <f t="shared" si="286"/>
        <v>2018</v>
      </c>
      <c r="F17461" t="s">
        <v>2833</v>
      </c>
      <c r="G17461" s="9">
        <v>40560</v>
      </c>
      <c r="H17461" s="8">
        <v>27058</v>
      </c>
    </row>
    <row r="17462" spans="2:8" ht="15" customHeight="1" x14ac:dyDescent="0.4">
      <c r="B17462" t="s">
        <v>7</v>
      </c>
      <c r="C17462" t="s">
        <v>2831</v>
      </c>
      <c r="D17462" s="7">
        <f>DATE(2018,5,24)</f>
        <v>43244</v>
      </c>
      <c r="E17462" s="8">
        <f t="shared" si="286"/>
        <v>2018</v>
      </c>
      <c r="F17462" t="s">
        <v>2833</v>
      </c>
      <c r="G17462" s="9">
        <v>21330</v>
      </c>
      <c r="H17462" s="8">
        <v>27059</v>
      </c>
    </row>
    <row r="17463" spans="2:8" ht="15" customHeight="1" x14ac:dyDescent="0.4">
      <c r="B17463" s="3" t="s">
        <v>7</v>
      </c>
      <c r="C17463" s="3" t="s">
        <v>2831</v>
      </c>
      <c r="D17463" s="4">
        <f>DATE(2012,4,18)</f>
        <v>41017</v>
      </c>
      <c r="E17463" s="5">
        <f t="shared" si="286"/>
        <v>2012</v>
      </c>
      <c r="F17463" s="3" t="s">
        <v>2833</v>
      </c>
      <c r="G17463" s="6">
        <v>1380</v>
      </c>
      <c r="H17463" s="5">
        <v>16991</v>
      </c>
    </row>
    <row r="17464" spans="2:8" ht="15" customHeight="1" x14ac:dyDescent="0.4">
      <c r="B17464" s="3" t="s">
        <v>7</v>
      </c>
      <c r="C17464" s="3" t="s">
        <v>2831</v>
      </c>
      <c r="D17464" s="4">
        <f>DATE(2012,4,20)</f>
        <v>41019</v>
      </c>
      <c r="E17464" s="5">
        <f t="shared" si="286"/>
        <v>2012</v>
      </c>
      <c r="F17464" s="3" t="s">
        <v>2833</v>
      </c>
      <c r="G17464" s="6">
        <v>28324.34</v>
      </c>
      <c r="H17464" s="5">
        <v>16823</v>
      </c>
    </row>
    <row r="17465" spans="2:8" ht="15" customHeight="1" x14ac:dyDescent="0.4">
      <c r="B17465" t="s">
        <v>7</v>
      </c>
      <c r="C17465" t="s">
        <v>2834</v>
      </c>
      <c r="D17465" s="7">
        <f>DATE(2015,3,24)</f>
        <v>42087</v>
      </c>
      <c r="E17465" s="8">
        <f t="shared" si="286"/>
        <v>2015</v>
      </c>
      <c r="F17465" t="s">
        <v>2835</v>
      </c>
      <c r="G17465" s="9">
        <v>43914</v>
      </c>
      <c r="H17465" s="8">
        <v>215</v>
      </c>
    </row>
    <row r="17466" spans="2:8" ht="15" customHeight="1" x14ac:dyDescent="0.4">
      <c r="B17466" t="s">
        <v>7</v>
      </c>
      <c r="C17466" t="s">
        <v>2834</v>
      </c>
      <c r="D17466" s="7">
        <f>DATE(2015,11,18)</f>
        <v>42326</v>
      </c>
      <c r="E17466" s="8">
        <f t="shared" si="286"/>
        <v>2015</v>
      </c>
      <c r="F17466" t="s">
        <v>2835</v>
      </c>
      <c r="G17466" s="9">
        <v>26681.15</v>
      </c>
      <c r="H17466" s="8">
        <v>21068</v>
      </c>
    </row>
    <row r="17467" spans="2:8" ht="15" customHeight="1" x14ac:dyDescent="0.4">
      <c r="B17467" t="s">
        <v>7</v>
      </c>
      <c r="C17467" t="s">
        <v>2834</v>
      </c>
      <c r="D17467" s="7">
        <f>DATE(2015,12,15)</f>
        <v>42353</v>
      </c>
      <c r="E17467" s="8">
        <f t="shared" si="286"/>
        <v>2015</v>
      </c>
      <c r="F17467" t="s">
        <v>2835</v>
      </c>
      <c r="G17467" s="9">
        <v>25052</v>
      </c>
      <c r="H17467" s="8">
        <v>21180</v>
      </c>
    </row>
    <row r="17468" spans="2:8" ht="15" customHeight="1" x14ac:dyDescent="0.4">
      <c r="B17468" t="s">
        <v>7</v>
      </c>
      <c r="C17468" t="s">
        <v>2834</v>
      </c>
      <c r="D17468" s="7">
        <f>DATE(2017,3,13)</f>
        <v>42807</v>
      </c>
      <c r="E17468" s="8">
        <f t="shared" si="286"/>
        <v>2017</v>
      </c>
      <c r="F17468" t="s">
        <v>2835</v>
      </c>
      <c r="G17468" s="9">
        <v>44292.52</v>
      </c>
      <c r="H17468" s="8">
        <v>23997</v>
      </c>
    </row>
    <row r="17469" spans="2:8" ht="15" customHeight="1" x14ac:dyDescent="0.4">
      <c r="B17469" t="s">
        <v>7</v>
      </c>
      <c r="C17469" t="s">
        <v>2834</v>
      </c>
      <c r="D17469" s="7">
        <f>DATE(2011,5,19)</f>
        <v>40682</v>
      </c>
      <c r="E17469" s="8">
        <f t="shared" si="286"/>
        <v>2011</v>
      </c>
      <c r="F17469" t="s">
        <v>2835</v>
      </c>
      <c r="G17469" s="9">
        <v>45256.43</v>
      </c>
      <c r="H17469" s="8">
        <v>10744</v>
      </c>
    </row>
    <row r="17470" spans="2:8" ht="15" customHeight="1" x14ac:dyDescent="0.4">
      <c r="B17470" t="s">
        <v>7</v>
      </c>
      <c r="C17470" t="s">
        <v>2834</v>
      </c>
      <c r="D17470" s="7">
        <f>DATE(2012,6,5)</f>
        <v>41065</v>
      </c>
      <c r="E17470" s="8">
        <f t="shared" si="286"/>
        <v>2012</v>
      </c>
      <c r="F17470" t="s">
        <v>2835</v>
      </c>
      <c r="G17470" s="9">
        <v>6673</v>
      </c>
      <c r="H17470" s="8">
        <v>11375</v>
      </c>
    </row>
    <row r="17471" spans="2:8" ht="15" customHeight="1" x14ac:dyDescent="0.4">
      <c r="B17471" t="s">
        <v>7</v>
      </c>
      <c r="C17471" t="s">
        <v>2834</v>
      </c>
      <c r="D17471" s="7">
        <f>DATE(2009,4,2)</f>
        <v>39905</v>
      </c>
      <c r="E17471" s="8">
        <f t="shared" si="286"/>
        <v>2009</v>
      </c>
      <c r="F17471" t="s">
        <v>2835</v>
      </c>
      <c r="G17471" s="9">
        <v>37999.22</v>
      </c>
      <c r="H17471" s="8">
        <v>8158</v>
      </c>
    </row>
    <row r="17472" spans="2:8" ht="15" customHeight="1" x14ac:dyDescent="0.4">
      <c r="B17472" t="s">
        <v>7</v>
      </c>
      <c r="C17472" t="s">
        <v>2834</v>
      </c>
      <c r="D17472" s="7">
        <f>DATE(2010,4,7)</f>
        <v>40275</v>
      </c>
      <c r="E17472" s="8">
        <f t="shared" si="286"/>
        <v>2010</v>
      </c>
      <c r="F17472" t="s">
        <v>2835</v>
      </c>
      <c r="G17472" s="9">
        <v>41096.400000000001</v>
      </c>
      <c r="H17472" s="8">
        <v>8881</v>
      </c>
    </row>
    <row r="17473" spans="2:8" ht="15" customHeight="1" x14ac:dyDescent="0.4">
      <c r="B17473" t="s">
        <v>7</v>
      </c>
      <c r="C17473" t="s">
        <v>2834</v>
      </c>
      <c r="D17473" s="7">
        <f>DATE(2011,5,19)</f>
        <v>40682</v>
      </c>
      <c r="E17473" s="8">
        <f t="shared" si="286"/>
        <v>2011</v>
      </c>
      <c r="F17473" t="s">
        <v>2835</v>
      </c>
      <c r="G17473" s="9">
        <v>46850.400000000001</v>
      </c>
      <c r="H17473" s="8">
        <v>10743</v>
      </c>
    </row>
    <row r="17474" spans="2:8" ht="15" customHeight="1" x14ac:dyDescent="0.4">
      <c r="B17474" t="s">
        <v>7</v>
      </c>
      <c r="C17474" t="s">
        <v>2834</v>
      </c>
      <c r="D17474" s="7">
        <f>DATE(2011,5,26)</f>
        <v>40689</v>
      </c>
      <c r="E17474" s="8">
        <f t="shared" si="286"/>
        <v>2011</v>
      </c>
      <c r="F17474" t="s">
        <v>2835</v>
      </c>
      <c r="G17474" s="9">
        <v>37343.480000000003</v>
      </c>
      <c r="H17474" s="8">
        <v>10788</v>
      </c>
    </row>
    <row r="17475" spans="2:8" ht="15" customHeight="1" x14ac:dyDescent="0.4">
      <c r="B17475" t="s">
        <v>7</v>
      </c>
      <c r="C17475" t="s">
        <v>2834</v>
      </c>
      <c r="D17475" s="7">
        <f>DATE(2011,11,16)</f>
        <v>40863</v>
      </c>
      <c r="E17475" s="8">
        <f t="shared" ref="E17475:E17538" si="287">YEAR(D17475)</f>
        <v>2011</v>
      </c>
      <c r="F17475" t="s">
        <v>2835</v>
      </c>
      <c r="G17475" s="9">
        <v>25257.77</v>
      </c>
      <c r="H17475" s="8">
        <v>11043</v>
      </c>
    </row>
    <row r="17476" spans="2:8" ht="15" customHeight="1" x14ac:dyDescent="0.4">
      <c r="B17476" t="s">
        <v>7</v>
      </c>
      <c r="C17476" t="s">
        <v>2834</v>
      </c>
      <c r="D17476" s="7">
        <f>DATE(2012,6,5)</f>
        <v>41065</v>
      </c>
      <c r="E17476" s="8">
        <f t="shared" si="287"/>
        <v>2012</v>
      </c>
      <c r="F17476" t="s">
        <v>2835</v>
      </c>
      <c r="G17476" s="9">
        <v>44811.74</v>
      </c>
      <c r="H17476" s="8">
        <v>11373</v>
      </c>
    </row>
    <row r="17477" spans="2:8" ht="15" customHeight="1" x14ac:dyDescent="0.4">
      <c r="B17477" t="s">
        <v>7</v>
      </c>
      <c r="C17477" t="s">
        <v>2834</v>
      </c>
      <c r="D17477" s="7">
        <f>DATE(2012,11,6)</f>
        <v>41219</v>
      </c>
      <c r="E17477" s="8">
        <f t="shared" si="287"/>
        <v>2012</v>
      </c>
      <c r="F17477" t="s">
        <v>2835</v>
      </c>
      <c r="G17477" s="9">
        <v>49231.87</v>
      </c>
      <c r="H17477" s="8">
        <v>11941</v>
      </c>
    </row>
    <row r="17478" spans="2:8" ht="15" customHeight="1" x14ac:dyDescent="0.4">
      <c r="B17478" t="s">
        <v>7</v>
      </c>
      <c r="C17478" t="s">
        <v>2834</v>
      </c>
      <c r="D17478" s="7">
        <f>DATE(2014,1,21)</f>
        <v>41660</v>
      </c>
      <c r="E17478" s="8">
        <f t="shared" si="287"/>
        <v>2014</v>
      </c>
      <c r="F17478" t="s">
        <v>2835</v>
      </c>
      <c r="G17478" s="9">
        <v>24827.61</v>
      </c>
      <c r="H17478" s="8">
        <v>12828</v>
      </c>
    </row>
    <row r="17479" spans="2:8" ht="15" customHeight="1" x14ac:dyDescent="0.4">
      <c r="B17479" t="s">
        <v>7</v>
      </c>
      <c r="C17479" t="s">
        <v>2834</v>
      </c>
      <c r="D17479" s="7">
        <f>DATE(2014,4,15)</f>
        <v>41744</v>
      </c>
      <c r="E17479" s="8">
        <f t="shared" si="287"/>
        <v>2014</v>
      </c>
      <c r="F17479" t="s">
        <v>2835</v>
      </c>
      <c r="G17479" s="9">
        <v>25202.61</v>
      </c>
      <c r="H17479" s="8">
        <v>12829</v>
      </c>
    </row>
    <row r="17480" spans="2:8" ht="15" customHeight="1" x14ac:dyDescent="0.4">
      <c r="B17480" t="s">
        <v>7</v>
      </c>
      <c r="C17480" t="s">
        <v>2834</v>
      </c>
      <c r="D17480" s="7">
        <f>DATE(2011,5,25)</f>
        <v>40688</v>
      </c>
      <c r="E17480" s="8">
        <f t="shared" si="287"/>
        <v>2011</v>
      </c>
      <c r="F17480" t="s">
        <v>2835</v>
      </c>
      <c r="G17480" s="9">
        <v>10444.07</v>
      </c>
      <c r="H17480" s="8">
        <v>10763</v>
      </c>
    </row>
    <row r="17481" spans="2:8" ht="15" customHeight="1" x14ac:dyDescent="0.4">
      <c r="B17481" t="s">
        <v>7</v>
      </c>
      <c r="C17481" t="s">
        <v>2834</v>
      </c>
      <c r="D17481" s="7">
        <f>DATE(2011,6,8)</f>
        <v>40702</v>
      </c>
      <c r="E17481" s="8">
        <f t="shared" si="287"/>
        <v>2011</v>
      </c>
      <c r="F17481" t="s">
        <v>2835</v>
      </c>
      <c r="G17481" s="9">
        <v>9293.92</v>
      </c>
      <c r="H17481" s="8">
        <v>10792</v>
      </c>
    </row>
    <row r="17482" spans="2:8" ht="15" customHeight="1" x14ac:dyDescent="0.4">
      <c r="B17482" t="s">
        <v>7</v>
      </c>
      <c r="C17482" t="s">
        <v>2834</v>
      </c>
      <c r="D17482" s="7">
        <f>DATE(2012,5,2)</f>
        <v>41031</v>
      </c>
      <c r="E17482" s="8">
        <f t="shared" si="287"/>
        <v>2012</v>
      </c>
      <c r="F17482" t="s">
        <v>2835</v>
      </c>
      <c r="G17482" s="9">
        <v>7380.26</v>
      </c>
      <c r="H17482" s="8">
        <v>11598</v>
      </c>
    </row>
    <row r="17483" spans="2:8" ht="15" customHeight="1" x14ac:dyDescent="0.4">
      <c r="B17483" t="s">
        <v>16</v>
      </c>
      <c r="C17483" t="s">
        <v>2834</v>
      </c>
      <c r="D17483" s="7">
        <f>DATE(2011,7,21)</f>
        <v>40745</v>
      </c>
      <c r="E17483" s="8">
        <f t="shared" si="287"/>
        <v>2011</v>
      </c>
      <c r="F17483" t="s">
        <v>2835</v>
      </c>
      <c r="G17483" s="9">
        <v>296</v>
      </c>
      <c r="H17483" s="8">
        <v>10907</v>
      </c>
    </row>
    <row r="17484" spans="2:8" ht="15" customHeight="1" x14ac:dyDescent="0.4">
      <c r="B17484" t="s">
        <v>16</v>
      </c>
      <c r="C17484" t="s">
        <v>2834</v>
      </c>
      <c r="D17484" s="7">
        <f>DATE(2011,5,25)</f>
        <v>40688</v>
      </c>
      <c r="E17484" s="8">
        <f t="shared" si="287"/>
        <v>2011</v>
      </c>
      <c r="F17484" t="s">
        <v>2835</v>
      </c>
      <c r="G17484" s="9">
        <v>46850.400000000001</v>
      </c>
      <c r="H17484" s="8">
        <v>10784</v>
      </c>
    </row>
    <row r="17485" spans="2:8" ht="15" customHeight="1" x14ac:dyDescent="0.4">
      <c r="B17485" t="s">
        <v>7</v>
      </c>
      <c r="C17485" t="s">
        <v>2834</v>
      </c>
      <c r="D17485" s="7">
        <f>DATE(2004,11,8)</f>
        <v>38299</v>
      </c>
      <c r="E17485" s="8">
        <f t="shared" si="287"/>
        <v>2004</v>
      </c>
      <c r="F17485" t="s">
        <v>2836</v>
      </c>
      <c r="G17485" s="9">
        <v>37245.519999999997</v>
      </c>
      <c r="H17485" s="8">
        <v>2164</v>
      </c>
    </row>
    <row r="17486" spans="2:8" ht="15" customHeight="1" x14ac:dyDescent="0.4">
      <c r="B17486" t="s">
        <v>7</v>
      </c>
      <c r="C17486" t="s">
        <v>2834</v>
      </c>
      <c r="D17486" s="7">
        <f>DATE(2006,5,17)</f>
        <v>38854</v>
      </c>
      <c r="E17486" s="8">
        <f t="shared" si="287"/>
        <v>2006</v>
      </c>
      <c r="F17486" t="s">
        <v>2836</v>
      </c>
      <c r="G17486" s="9">
        <v>38755.160000000003</v>
      </c>
      <c r="H17486" s="8">
        <v>3800</v>
      </c>
    </row>
    <row r="17487" spans="2:8" ht="15" customHeight="1" x14ac:dyDescent="0.4">
      <c r="B17487" t="s">
        <v>7</v>
      </c>
      <c r="C17487" t="s">
        <v>2834</v>
      </c>
      <c r="D17487" s="7">
        <f>DATE(2007,4,1)</f>
        <v>39173</v>
      </c>
      <c r="E17487" s="8">
        <f t="shared" si="287"/>
        <v>2007</v>
      </c>
      <c r="F17487" t="s">
        <v>2836</v>
      </c>
      <c r="G17487" s="9">
        <v>39298.89</v>
      </c>
      <c r="H17487" s="8">
        <v>5341</v>
      </c>
    </row>
    <row r="17488" spans="2:8" ht="15" customHeight="1" x14ac:dyDescent="0.4">
      <c r="B17488" t="s">
        <v>7</v>
      </c>
      <c r="C17488" t="s">
        <v>2834</v>
      </c>
      <c r="D17488" s="7">
        <f>DATE(2008,4,1)</f>
        <v>39539</v>
      </c>
      <c r="E17488" s="8">
        <f t="shared" si="287"/>
        <v>2008</v>
      </c>
      <c r="F17488" t="s">
        <v>2836</v>
      </c>
      <c r="G17488" s="9">
        <v>47578.14</v>
      </c>
      <c r="H17488" s="8">
        <v>6723</v>
      </c>
    </row>
    <row r="17489" spans="2:8" ht="15" customHeight="1" x14ac:dyDescent="0.4">
      <c r="B17489" s="3" t="s">
        <v>7</v>
      </c>
      <c r="C17489" s="3" t="s">
        <v>2837</v>
      </c>
      <c r="D17489" s="4">
        <f>DATE(2006,10,4)</f>
        <v>38994</v>
      </c>
      <c r="E17489" s="5">
        <f t="shared" si="287"/>
        <v>2006</v>
      </c>
      <c r="F17489" s="3" t="s">
        <v>2838</v>
      </c>
      <c r="G17489" s="6">
        <v>1092</v>
      </c>
      <c r="H17489" s="5">
        <v>7337</v>
      </c>
    </row>
    <row r="17490" spans="2:8" ht="15" customHeight="1" x14ac:dyDescent="0.4">
      <c r="B17490" s="3" t="s">
        <v>7</v>
      </c>
      <c r="C17490" s="3" t="s">
        <v>2837</v>
      </c>
      <c r="D17490" s="4">
        <f>DATE(2003,5,2)</f>
        <v>37743</v>
      </c>
      <c r="E17490" s="5">
        <f t="shared" si="287"/>
        <v>2003</v>
      </c>
      <c r="F17490" s="3" t="s">
        <v>2839</v>
      </c>
      <c r="G17490" s="6">
        <v>969.75</v>
      </c>
      <c r="H17490" s="5">
        <v>889</v>
      </c>
    </row>
    <row r="17491" spans="2:8" ht="15" customHeight="1" x14ac:dyDescent="0.4">
      <c r="B17491" t="s">
        <v>7</v>
      </c>
      <c r="C17491" t="s">
        <v>2840</v>
      </c>
      <c r="D17491" s="7">
        <f>DATE(2016,5,2)</f>
        <v>42492</v>
      </c>
      <c r="E17491" s="8">
        <f t="shared" si="287"/>
        <v>2016</v>
      </c>
      <c r="F17491" t="s">
        <v>2841</v>
      </c>
      <c r="G17491" s="9">
        <v>4423.6499999999996</v>
      </c>
      <c r="H17491" s="8">
        <v>22728</v>
      </c>
    </row>
    <row r="17492" spans="2:8" ht="15" customHeight="1" x14ac:dyDescent="0.4">
      <c r="B17492" t="s">
        <v>7</v>
      </c>
      <c r="C17492" t="s">
        <v>2840</v>
      </c>
      <c r="D17492" s="7">
        <f>DATE(2017,3,21)</f>
        <v>42815</v>
      </c>
      <c r="E17492" s="8">
        <f t="shared" si="287"/>
        <v>2017</v>
      </c>
      <c r="F17492" t="s">
        <v>2841</v>
      </c>
      <c r="G17492" s="9">
        <v>3936.05</v>
      </c>
      <c r="H17492" s="8">
        <v>24292</v>
      </c>
    </row>
    <row r="17493" spans="2:8" ht="15" customHeight="1" x14ac:dyDescent="0.4">
      <c r="B17493" t="s">
        <v>7</v>
      </c>
      <c r="C17493" t="s">
        <v>2842</v>
      </c>
      <c r="D17493" s="7">
        <f>DATE(2015,5,11)</f>
        <v>42135</v>
      </c>
      <c r="E17493" s="8">
        <f t="shared" si="287"/>
        <v>2015</v>
      </c>
      <c r="F17493" t="s">
        <v>2843</v>
      </c>
      <c r="G17493" s="9">
        <v>40359.050000000003</v>
      </c>
      <c r="H17493" s="8">
        <v>361</v>
      </c>
    </row>
    <row r="17494" spans="2:8" ht="15" customHeight="1" x14ac:dyDescent="0.4">
      <c r="B17494" t="s">
        <v>7</v>
      </c>
      <c r="C17494" t="s">
        <v>2842</v>
      </c>
      <c r="D17494" s="7">
        <f>DATE(2015,5,21)</f>
        <v>42145</v>
      </c>
      <c r="E17494" s="8">
        <f t="shared" si="287"/>
        <v>2015</v>
      </c>
      <c r="F17494" t="s">
        <v>2843</v>
      </c>
      <c r="G17494" s="9">
        <v>29500</v>
      </c>
      <c r="H17494" s="8">
        <v>362</v>
      </c>
    </row>
    <row r="17495" spans="2:8" ht="15" customHeight="1" x14ac:dyDescent="0.4">
      <c r="B17495" t="s">
        <v>7</v>
      </c>
      <c r="C17495" t="s">
        <v>2842</v>
      </c>
      <c r="D17495" s="7">
        <f>DATE(2015,5,21)</f>
        <v>42145</v>
      </c>
      <c r="E17495" s="8">
        <f t="shared" si="287"/>
        <v>2015</v>
      </c>
      <c r="F17495" t="s">
        <v>2843</v>
      </c>
      <c r="G17495" s="9">
        <v>1709</v>
      </c>
      <c r="H17495" s="8">
        <v>20672</v>
      </c>
    </row>
    <row r="17496" spans="2:8" ht="15" customHeight="1" x14ac:dyDescent="0.4">
      <c r="B17496" t="s">
        <v>7</v>
      </c>
      <c r="C17496" t="s">
        <v>2842</v>
      </c>
      <c r="D17496" s="7">
        <f>DATE(2017,5,17)</f>
        <v>42872</v>
      </c>
      <c r="E17496" s="8">
        <f t="shared" si="287"/>
        <v>2017</v>
      </c>
      <c r="F17496" t="s">
        <v>2843</v>
      </c>
      <c r="G17496" s="9">
        <v>31410</v>
      </c>
      <c r="H17496" s="8">
        <v>24664</v>
      </c>
    </row>
    <row r="17497" spans="2:8" ht="15" customHeight="1" x14ac:dyDescent="0.4">
      <c r="B17497" t="s">
        <v>7</v>
      </c>
      <c r="C17497" t="s">
        <v>2842</v>
      </c>
      <c r="D17497" s="7">
        <f>DATE(2017,5,17)</f>
        <v>42872</v>
      </c>
      <c r="E17497" s="8">
        <f t="shared" si="287"/>
        <v>2017</v>
      </c>
      <c r="F17497" t="s">
        <v>2843</v>
      </c>
      <c r="G17497" s="9">
        <v>27359</v>
      </c>
      <c r="H17497" s="8">
        <v>24662</v>
      </c>
    </row>
    <row r="17498" spans="2:8" ht="15" customHeight="1" x14ac:dyDescent="0.4">
      <c r="B17498" t="s">
        <v>7</v>
      </c>
      <c r="C17498" t="s">
        <v>2842</v>
      </c>
      <c r="D17498" s="7">
        <f>DATE(2016,7,13)</f>
        <v>42564</v>
      </c>
      <c r="E17498" s="8">
        <f t="shared" si="287"/>
        <v>2016</v>
      </c>
      <c r="F17498" t="s">
        <v>2843</v>
      </c>
      <c r="G17498" s="9">
        <v>62.3</v>
      </c>
      <c r="H17498" s="8">
        <v>23113</v>
      </c>
    </row>
    <row r="17499" spans="2:8" ht="15" customHeight="1" x14ac:dyDescent="0.4">
      <c r="B17499" t="s">
        <v>7</v>
      </c>
      <c r="C17499" t="s">
        <v>2842</v>
      </c>
      <c r="D17499" s="7">
        <f>DATE(2017,5,18)</f>
        <v>42873</v>
      </c>
      <c r="E17499" s="8">
        <f t="shared" si="287"/>
        <v>2017</v>
      </c>
      <c r="F17499" t="s">
        <v>2843</v>
      </c>
      <c r="G17499" s="9">
        <v>104.6</v>
      </c>
      <c r="H17499" s="8">
        <v>24951</v>
      </c>
    </row>
    <row r="17500" spans="2:8" ht="15" customHeight="1" x14ac:dyDescent="0.4">
      <c r="B17500" t="s">
        <v>7</v>
      </c>
      <c r="C17500" t="s">
        <v>2842</v>
      </c>
      <c r="D17500" s="7">
        <f>DATE(2017,6,12)</f>
        <v>42898</v>
      </c>
      <c r="E17500" s="8">
        <f t="shared" si="287"/>
        <v>2017</v>
      </c>
      <c r="F17500" t="s">
        <v>2843</v>
      </c>
      <c r="G17500" s="9">
        <v>156.9</v>
      </c>
      <c r="H17500" s="8">
        <v>25003</v>
      </c>
    </row>
    <row r="17501" spans="2:8" ht="15" customHeight="1" x14ac:dyDescent="0.4">
      <c r="B17501" t="s">
        <v>7</v>
      </c>
      <c r="C17501" t="s">
        <v>2842</v>
      </c>
      <c r="D17501" s="7">
        <f>DATE(2010,6,7)</f>
        <v>40336</v>
      </c>
      <c r="E17501" s="8">
        <f t="shared" si="287"/>
        <v>2010</v>
      </c>
      <c r="F17501" t="s">
        <v>2843</v>
      </c>
      <c r="G17501" s="9">
        <v>9946.01</v>
      </c>
      <c r="H17501" s="8">
        <v>9894</v>
      </c>
    </row>
    <row r="17502" spans="2:8" ht="15" customHeight="1" x14ac:dyDescent="0.4">
      <c r="B17502" t="s">
        <v>7</v>
      </c>
      <c r="C17502" t="s">
        <v>2842</v>
      </c>
      <c r="D17502" s="7">
        <f>DATE(2003,3,5)</f>
        <v>37685</v>
      </c>
      <c r="E17502" s="8">
        <f t="shared" si="287"/>
        <v>2003</v>
      </c>
      <c r="F17502" t="s">
        <v>2843</v>
      </c>
      <c r="G17502" s="9">
        <v>3082.32</v>
      </c>
      <c r="H17502" s="8">
        <v>63</v>
      </c>
    </row>
    <row r="17503" spans="2:8" ht="15" customHeight="1" x14ac:dyDescent="0.4">
      <c r="B17503" t="s">
        <v>7</v>
      </c>
      <c r="C17503" t="s">
        <v>2842</v>
      </c>
      <c r="D17503" s="7">
        <f>DATE(2004,11,9)</f>
        <v>38300</v>
      </c>
      <c r="E17503" s="8">
        <f t="shared" si="287"/>
        <v>2004</v>
      </c>
      <c r="F17503" t="s">
        <v>2843</v>
      </c>
      <c r="G17503" s="9">
        <v>3981.57</v>
      </c>
      <c r="H17503" s="8">
        <v>2309</v>
      </c>
    </row>
    <row r="17504" spans="2:8" ht="15" customHeight="1" x14ac:dyDescent="0.4">
      <c r="B17504" t="s">
        <v>7</v>
      </c>
      <c r="C17504" t="s">
        <v>2842</v>
      </c>
      <c r="D17504" s="7">
        <f>DATE(2005,8,15)</f>
        <v>38579</v>
      </c>
      <c r="E17504" s="8">
        <f t="shared" si="287"/>
        <v>2005</v>
      </c>
      <c r="F17504" t="s">
        <v>2843</v>
      </c>
      <c r="G17504" s="9">
        <v>6144.96</v>
      </c>
      <c r="H17504" s="8">
        <v>3467</v>
      </c>
    </row>
    <row r="17505" spans="2:8" ht="15" customHeight="1" x14ac:dyDescent="0.4">
      <c r="B17505" t="s">
        <v>7</v>
      </c>
      <c r="C17505" t="s">
        <v>2842</v>
      </c>
      <c r="D17505" s="7">
        <f>DATE(2006,11,1)</f>
        <v>39022</v>
      </c>
      <c r="E17505" s="8">
        <f t="shared" si="287"/>
        <v>2006</v>
      </c>
      <c r="F17505" t="s">
        <v>2843</v>
      </c>
      <c r="G17505" s="9">
        <v>2378.19</v>
      </c>
      <c r="H17505" s="8">
        <v>5074</v>
      </c>
    </row>
    <row r="17506" spans="2:8" ht="15" customHeight="1" x14ac:dyDescent="0.4">
      <c r="B17506" t="s">
        <v>7</v>
      </c>
      <c r="C17506" t="s">
        <v>2842</v>
      </c>
      <c r="D17506" s="7">
        <f>DATE(2006,11,1)</f>
        <v>39022</v>
      </c>
      <c r="E17506" s="8">
        <f t="shared" si="287"/>
        <v>2006</v>
      </c>
      <c r="F17506" t="s">
        <v>2843</v>
      </c>
      <c r="G17506" s="9">
        <v>2378.19</v>
      </c>
      <c r="H17506" s="8">
        <v>5119</v>
      </c>
    </row>
    <row r="17507" spans="2:8" ht="15" customHeight="1" x14ac:dyDescent="0.4">
      <c r="B17507" t="s">
        <v>7</v>
      </c>
      <c r="C17507" t="s">
        <v>2842</v>
      </c>
      <c r="D17507" s="7">
        <f>DATE(2007,10,4)</f>
        <v>39359</v>
      </c>
      <c r="E17507" s="8">
        <f t="shared" si="287"/>
        <v>2007</v>
      </c>
      <c r="F17507" t="s">
        <v>2843</v>
      </c>
      <c r="G17507" s="9">
        <v>21067.98</v>
      </c>
      <c r="H17507" s="8">
        <v>6364</v>
      </c>
    </row>
    <row r="17508" spans="2:8" ht="15" customHeight="1" x14ac:dyDescent="0.4">
      <c r="B17508" t="s">
        <v>7</v>
      </c>
      <c r="C17508" t="s">
        <v>2842</v>
      </c>
      <c r="D17508" s="7">
        <f>DATE(2007,10,27)</f>
        <v>39382</v>
      </c>
      <c r="E17508" s="8">
        <f t="shared" si="287"/>
        <v>2007</v>
      </c>
      <c r="F17508" t="s">
        <v>2843</v>
      </c>
      <c r="G17508" s="9">
        <v>24144</v>
      </c>
      <c r="H17508" s="8">
        <v>6548</v>
      </c>
    </row>
    <row r="17509" spans="2:8" ht="15" customHeight="1" x14ac:dyDescent="0.4">
      <c r="B17509" t="s">
        <v>7</v>
      </c>
      <c r="C17509" t="s">
        <v>2842</v>
      </c>
      <c r="D17509" s="7">
        <f>DATE(2007,10,31)</f>
        <v>39386</v>
      </c>
      <c r="E17509" s="8">
        <f t="shared" si="287"/>
        <v>2007</v>
      </c>
      <c r="F17509" t="s">
        <v>2843</v>
      </c>
      <c r="G17509" s="9">
        <v>191225.53</v>
      </c>
      <c r="H17509" s="8">
        <v>6438</v>
      </c>
    </row>
    <row r="17510" spans="2:8" ht="15" customHeight="1" x14ac:dyDescent="0.4">
      <c r="B17510" t="s">
        <v>7</v>
      </c>
      <c r="C17510" t="s">
        <v>2842</v>
      </c>
      <c r="D17510" s="7">
        <f>DATE(2008,1,17)</f>
        <v>39464</v>
      </c>
      <c r="E17510" s="8">
        <f t="shared" si="287"/>
        <v>2008</v>
      </c>
      <c r="F17510" t="s">
        <v>2843</v>
      </c>
      <c r="G17510" s="9">
        <v>9877.1</v>
      </c>
      <c r="H17510" s="8">
        <v>6782</v>
      </c>
    </row>
    <row r="17511" spans="2:8" ht="15" customHeight="1" x14ac:dyDescent="0.4">
      <c r="B17511" t="s">
        <v>7</v>
      </c>
      <c r="C17511" t="s">
        <v>2842</v>
      </c>
      <c r="D17511" s="7">
        <f>DATE(2008,3,24)</f>
        <v>39531</v>
      </c>
      <c r="E17511" s="8">
        <f t="shared" si="287"/>
        <v>2008</v>
      </c>
      <c r="F17511" t="s">
        <v>2843</v>
      </c>
      <c r="G17511" s="9">
        <v>12338</v>
      </c>
      <c r="H17511" s="8">
        <v>7233</v>
      </c>
    </row>
    <row r="17512" spans="2:8" ht="15" customHeight="1" x14ac:dyDescent="0.4">
      <c r="B17512" t="s">
        <v>7</v>
      </c>
      <c r="C17512" t="s">
        <v>2842</v>
      </c>
      <c r="D17512" s="7">
        <f>DATE(2008,4,26)</f>
        <v>39564</v>
      </c>
      <c r="E17512" s="8">
        <f t="shared" si="287"/>
        <v>2008</v>
      </c>
      <c r="F17512" t="s">
        <v>2843</v>
      </c>
      <c r="G17512" s="9">
        <v>30850</v>
      </c>
      <c r="H17512" s="8">
        <v>7275</v>
      </c>
    </row>
    <row r="17513" spans="2:8" ht="15" customHeight="1" x14ac:dyDescent="0.4">
      <c r="B17513" t="s">
        <v>7</v>
      </c>
      <c r="C17513" t="s">
        <v>2842</v>
      </c>
      <c r="D17513" s="7">
        <f>DATE(2008,5,1)</f>
        <v>39569</v>
      </c>
      <c r="E17513" s="8">
        <f t="shared" si="287"/>
        <v>2008</v>
      </c>
      <c r="F17513" t="s">
        <v>2843</v>
      </c>
      <c r="G17513" s="9">
        <v>20162.21</v>
      </c>
      <c r="H17513" s="8">
        <v>6762</v>
      </c>
    </row>
    <row r="17514" spans="2:8" ht="15" customHeight="1" x14ac:dyDescent="0.4">
      <c r="B17514" t="s">
        <v>7</v>
      </c>
      <c r="C17514" t="s">
        <v>2842</v>
      </c>
      <c r="D17514" s="7">
        <f>DATE(2008,5,22)</f>
        <v>39590</v>
      </c>
      <c r="E17514" s="8">
        <f t="shared" si="287"/>
        <v>2008</v>
      </c>
      <c r="F17514" t="s">
        <v>2843</v>
      </c>
      <c r="G17514" s="9">
        <v>21309.53</v>
      </c>
      <c r="H17514" s="8">
        <v>7363</v>
      </c>
    </row>
    <row r="17515" spans="2:8" ht="15" customHeight="1" x14ac:dyDescent="0.4">
      <c r="B17515" t="s">
        <v>7</v>
      </c>
      <c r="C17515" t="s">
        <v>2842</v>
      </c>
      <c r="D17515" s="7">
        <f>DATE(2008,5,22)</f>
        <v>39590</v>
      </c>
      <c r="E17515" s="8">
        <f t="shared" si="287"/>
        <v>2008</v>
      </c>
      <c r="F17515" t="s">
        <v>2843</v>
      </c>
      <c r="G17515" s="9">
        <v>9436</v>
      </c>
      <c r="H17515" s="8">
        <v>6761</v>
      </c>
    </row>
    <row r="17516" spans="2:8" ht="15" customHeight="1" x14ac:dyDescent="0.4">
      <c r="B17516" t="s">
        <v>7</v>
      </c>
      <c r="C17516" t="s">
        <v>2842</v>
      </c>
      <c r="D17516" s="7">
        <f>DATE(2008,10,30)</f>
        <v>39751</v>
      </c>
      <c r="E17516" s="8">
        <f t="shared" si="287"/>
        <v>2008</v>
      </c>
      <c r="F17516" t="s">
        <v>2843</v>
      </c>
      <c r="G17516" s="9">
        <v>24566.25</v>
      </c>
      <c r="H17516" s="8">
        <v>7959</v>
      </c>
    </row>
    <row r="17517" spans="2:8" ht="15" customHeight="1" x14ac:dyDescent="0.4">
      <c r="B17517" t="s">
        <v>7</v>
      </c>
      <c r="C17517" t="s">
        <v>2842</v>
      </c>
      <c r="D17517" s="7">
        <f>DATE(2009,1,15)</f>
        <v>39828</v>
      </c>
      <c r="E17517" s="8">
        <f t="shared" si="287"/>
        <v>2009</v>
      </c>
      <c r="F17517" t="s">
        <v>2843</v>
      </c>
      <c r="G17517" s="9">
        <v>8381.4500000000007</v>
      </c>
      <c r="H17517" s="8">
        <v>8205</v>
      </c>
    </row>
    <row r="17518" spans="2:8" ht="15" customHeight="1" x14ac:dyDescent="0.4">
      <c r="B17518" t="s">
        <v>7</v>
      </c>
      <c r="C17518" t="s">
        <v>2842</v>
      </c>
      <c r="D17518" s="7">
        <f>DATE(2009,6,9)</f>
        <v>39973</v>
      </c>
      <c r="E17518" s="8">
        <f t="shared" si="287"/>
        <v>2009</v>
      </c>
      <c r="F17518" t="s">
        <v>2843</v>
      </c>
      <c r="G17518" s="9">
        <v>29467.75</v>
      </c>
      <c r="H17518" s="8">
        <v>8712</v>
      </c>
    </row>
    <row r="17519" spans="2:8" ht="15" customHeight="1" x14ac:dyDescent="0.4">
      <c r="B17519" t="s">
        <v>7</v>
      </c>
      <c r="C17519" t="s">
        <v>2842</v>
      </c>
      <c r="D17519" s="7">
        <f>DATE(2009,6,18)</f>
        <v>39982</v>
      </c>
      <c r="E17519" s="8">
        <f t="shared" si="287"/>
        <v>2009</v>
      </c>
      <c r="F17519" t="s">
        <v>2843</v>
      </c>
      <c r="G17519" s="9">
        <v>21285.55</v>
      </c>
      <c r="H17519" s="8">
        <v>8802</v>
      </c>
    </row>
    <row r="17520" spans="2:8" ht="15" customHeight="1" x14ac:dyDescent="0.4">
      <c r="B17520" t="s">
        <v>7</v>
      </c>
      <c r="C17520" t="s">
        <v>2842</v>
      </c>
      <c r="D17520" s="7">
        <f>DATE(2010,5,20)</f>
        <v>40318</v>
      </c>
      <c r="E17520" s="8">
        <f t="shared" si="287"/>
        <v>2010</v>
      </c>
      <c r="F17520" t="s">
        <v>2843</v>
      </c>
      <c r="G17520" s="9">
        <v>23300</v>
      </c>
      <c r="H17520" s="8">
        <v>9853</v>
      </c>
    </row>
    <row r="17521" spans="2:8" ht="15" customHeight="1" x14ac:dyDescent="0.4">
      <c r="B17521" t="s">
        <v>7</v>
      </c>
      <c r="C17521" t="s">
        <v>2842</v>
      </c>
      <c r="D17521" s="7">
        <f>DATE(2010,6,7)</f>
        <v>40336</v>
      </c>
      <c r="E17521" s="8">
        <f t="shared" si="287"/>
        <v>2010</v>
      </c>
      <c r="F17521" t="s">
        <v>2843</v>
      </c>
      <c r="G17521" s="9">
        <v>24363.26</v>
      </c>
      <c r="H17521" s="8">
        <v>9892</v>
      </c>
    </row>
    <row r="17522" spans="2:8" ht="15" customHeight="1" x14ac:dyDescent="0.4">
      <c r="B17522" t="s">
        <v>7</v>
      </c>
      <c r="C17522" t="s">
        <v>2842</v>
      </c>
      <c r="D17522" s="7">
        <f>DATE(2010,8,2)</f>
        <v>40392</v>
      </c>
      <c r="E17522" s="8">
        <f t="shared" si="287"/>
        <v>2010</v>
      </c>
      <c r="F17522" t="s">
        <v>2843</v>
      </c>
      <c r="G17522" s="9">
        <v>23300</v>
      </c>
      <c r="H17522" s="8">
        <v>10003</v>
      </c>
    </row>
    <row r="17523" spans="2:8" ht="15" customHeight="1" x14ac:dyDescent="0.4">
      <c r="B17523" t="s">
        <v>7</v>
      </c>
      <c r="C17523" t="s">
        <v>2842</v>
      </c>
      <c r="D17523" s="7">
        <f>DATE(2010,10,11)</f>
        <v>40462</v>
      </c>
      <c r="E17523" s="8">
        <f t="shared" si="287"/>
        <v>2010</v>
      </c>
      <c r="F17523" t="s">
        <v>2843</v>
      </c>
      <c r="G17523" s="9">
        <v>2992.2</v>
      </c>
      <c r="H17523" s="8">
        <v>10025</v>
      </c>
    </row>
    <row r="17524" spans="2:8" ht="15" customHeight="1" x14ac:dyDescent="0.4">
      <c r="B17524" t="s">
        <v>7</v>
      </c>
      <c r="C17524" t="s">
        <v>2842</v>
      </c>
      <c r="D17524" s="7">
        <f>DATE(2010,11,29)</f>
        <v>40511</v>
      </c>
      <c r="E17524" s="8">
        <f t="shared" si="287"/>
        <v>2010</v>
      </c>
      <c r="F17524" t="s">
        <v>2843</v>
      </c>
      <c r="G17524" s="9">
        <v>4491.3599999999997</v>
      </c>
      <c r="H17524" s="8">
        <v>10261</v>
      </c>
    </row>
    <row r="17525" spans="2:8" ht="15" customHeight="1" x14ac:dyDescent="0.4">
      <c r="B17525" t="s">
        <v>7</v>
      </c>
      <c r="C17525" t="s">
        <v>2842</v>
      </c>
      <c r="D17525" s="7">
        <f>DATE(2011,3,29)</f>
        <v>40631</v>
      </c>
      <c r="E17525" s="8">
        <f t="shared" si="287"/>
        <v>2011</v>
      </c>
      <c r="F17525" t="s">
        <v>2843</v>
      </c>
      <c r="G17525" s="9">
        <v>18780</v>
      </c>
      <c r="H17525" s="8">
        <v>10530</v>
      </c>
    </row>
    <row r="17526" spans="2:8" ht="15" customHeight="1" x14ac:dyDescent="0.4">
      <c r="B17526" t="s">
        <v>7</v>
      </c>
      <c r="C17526" t="s">
        <v>2842</v>
      </c>
      <c r="D17526" s="7">
        <f>DATE(2011,4,6)</f>
        <v>40639</v>
      </c>
      <c r="E17526" s="8">
        <f t="shared" si="287"/>
        <v>2011</v>
      </c>
      <c r="F17526" t="s">
        <v>2843</v>
      </c>
      <c r="G17526" s="9">
        <v>3847.74</v>
      </c>
      <c r="H17526" s="8">
        <v>10531</v>
      </c>
    </row>
    <row r="17527" spans="2:8" ht="15" customHeight="1" x14ac:dyDescent="0.4">
      <c r="B17527" t="s">
        <v>7</v>
      </c>
      <c r="C17527" t="s">
        <v>2842</v>
      </c>
      <c r="D17527" s="7">
        <f>DATE(2011,5,16)</f>
        <v>40679</v>
      </c>
      <c r="E17527" s="8">
        <f t="shared" si="287"/>
        <v>2011</v>
      </c>
      <c r="F17527" t="s">
        <v>2843</v>
      </c>
      <c r="G17527" s="9">
        <v>4439.55</v>
      </c>
      <c r="H17527" s="8">
        <v>10572</v>
      </c>
    </row>
    <row r="17528" spans="2:8" ht="15" customHeight="1" x14ac:dyDescent="0.4">
      <c r="B17528" t="s">
        <v>7</v>
      </c>
      <c r="C17528" t="s">
        <v>2842</v>
      </c>
      <c r="D17528" s="7">
        <f>DATE(2011,9,12)</f>
        <v>40798</v>
      </c>
      <c r="E17528" s="8">
        <f t="shared" si="287"/>
        <v>2011</v>
      </c>
      <c r="F17528" t="s">
        <v>2843</v>
      </c>
      <c r="G17528" s="9">
        <v>24150</v>
      </c>
      <c r="H17528" s="8">
        <v>11002</v>
      </c>
    </row>
    <row r="17529" spans="2:8" ht="15" customHeight="1" x14ac:dyDescent="0.4">
      <c r="B17529" t="s">
        <v>7</v>
      </c>
      <c r="C17529" t="s">
        <v>2842</v>
      </c>
      <c r="D17529" s="7">
        <f>DATE(2011,10,12)</f>
        <v>40828</v>
      </c>
      <c r="E17529" s="8">
        <f t="shared" si="287"/>
        <v>2011</v>
      </c>
      <c r="F17529" t="s">
        <v>2843</v>
      </c>
      <c r="G17529" s="9">
        <v>3970.43</v>
      </c>
      <c r="H17529" s="8">
        <v>11071</v>
      </c>
    </row>
    <row r="17530" spans="2:8" ht="15" customHeight="1" x14ac:dyDescent="0.4">
      <c r="B17530" t="s">
        <v>7</v>
      </c>
      <c r="C17530" t="s">
        <v>2842</v>
      </c>
      <c r="D17530" s="7">
        <f>DATE(2012,2,21)</f>
        <v>40960</v>
      </c>
      <c r="E17530" s="8">
        <f t="shared" si="287"/>
        <v>2012</v>
      </c>
      <c r="F17530" t="s">
        <v>2843</v>
      </c>
      <c r="G17530" s="9">
        <v>19381</v>
      </c>
      <c r="H17530" s="8">
        <v>11356</v>
      </c>
    </row>
    <row r="17531" spans="2:8" ht="15" customHeight="1" x14ac:dyDescent="0.4">
      <c r="B17531" t="s">
        <v>7</v>
      </c>
      <c r="C17531" t="s">
        <v>2842</v>
      </c>
      <c r="D17531" s="7">
        <f>DATE(2012,5,2)</f>
        <v>41031</v>
      </c>
      <c r="E17531" s="8">
        <f t="shared" si="287"/>
        <v>2012</v>
      </c>
      <c r="F17531" t="s">
        <v>2843</v>
      </c>
      <c r="G17531" s="9">
        <v>35823.24</v>
      </c>
      <c r="H17531" s="8">
        <v>11563</v>
      </c>
    </row>
    <row r="17532" spans="2:8" ht="15" customHeight="1" x14ac:dyDescent="0.4">
      <c r="B17532" t="s">
        <v>7</v>
      </c>
      <c r="C17532" t="s">
        <v>2842</v>
      </c>
      <c r="D17532" s="7">
        <f>DATE(2013,2,25)</f>
        <v>41330</v>
      </c>
      <c r="E17532" s="8">
        <f t="shared" si="287"/>
        <v>2013</v>
      </c>
      <c r="F17532" t="s">
        <v>2843</v>
      </c>
      <c r="G17532" s="9">
        <v>4749.6400000000003</v>
      </c>
      <c r="H17532" s="8">
        <v>12219</v>
      </c>
    </row>
    <row r="17533" spans="2:8" ht="15" customHeight="1" x14ac:dyDescent="0.4">
      <c r="B17533" t="s">
        <v>7</v>
      </c>
      <c r="C17533" t="s">
        <v>2842</v>
      </c>
      <c r="D17533" s="7">
        <f>DATE(2013,8,27)</f>
        <v>41513</v>
      </c>
      <c r="E17533" s="8">
        <f t="shared" si="287"/>
        <v>2013</v>
      </c>
      <c r="F17533" t="s">
        <v>2843</v>
      </c>
      <c r="G17533" s="9">
        <v>5071.8999999999996</v>
      </c>
      <c r="H17533" s="8">
        <v>12624</v>
      </c>
    </row>
    <row r="17534" spans="2:8" ht="15" customHeight="1" x14ac:dyDescent="0.4">
      <c r="B17534" t="s">
        <v>7</v>
      </c>
      <c r="C17534" t="s">
        <v>2842</v>
      </c>
      <c r="D17534" s="7">
        <f>DATE(2013,11,19)</f>
        <v>41597</v>
      </c>
      <c r="E17534" s="8">
        <f t="shared" si="287"/>
        <v>2013</v>
      </c>
      <c r="F17534" t="s">
        <v>2843</v>
      </c>
      <c r="G17534" s="9">
        <v>6497.37</v>
      </c>
      <c r="H17534" s="8">
        <v>12794</v>
      </c>
    </row>
    <row r="17535" spans="2:8" ht="15" customHeight="1" x14ac:dyDescent="0.4">
      <c r="B17535" t="s">
        <v>7</v>
      </c>
      <c r="C17535" t="s">
        <v>2842</v>
      </c>
      <c r="D17535" s="7">
        <f>DATE(2014,4,14)</f>
        <v>41743</v>
      </c>
      <c r="E17535" s="8">
        <f t="shared" si="287"/>
        <v>2014</v>
      </c>
      <c r="F17535" t="s">
        <v>2843</v>
      </c>
      <c r="G17535" s="9">
        <v>34289</v>
      </c>
      <c r="H17535" s="8">
        <v>12914</v>
      </c>
    </row>
    <row r="17536" spans="2:8" ht="15" customHeight="1" x14ac:dyDescent="0.4">
      <c r="B17536" t="s">
        <v>7</v>
      </c>
      <c r="C17536" t="s">
        <v>2842</v>
      </c>
      <c r="D17536" s="7">
        <f>DATE(2014,4,14)</f>
        <v>41743</v>
      </c>
      <c r="E17536" s="8">
        <f t="shared" si="287"/>
        <v>2014</v>
      </c>
      <c r="F17536" t="s">
        <v>2843</v>
      </c>
      <c r="G17536" s="9">
        <v>5319.7</v>
      </c>
      <c r="H17536" s="8">
        <v>12916</v>
      </c>
    </row>
    <row r="17537" spans="2:8" ht="15" customHeight="1" x14ac:dyDescent="0.4">
      <c r="B17537" t="s">
        <v>7</v>
      </c>
      <c r="C17537" t="s">
        <v>2842</v>
      </c>
      <c r="D17537" s="7">
        <f>DATE(2014,4,14)</f>
        <v>41743</v>
      </c>
      <c r="E17537" s="8">
        <f t="shared" si="287"/>
        <v>2014</v>
      </c>
      <c r="F17537" t="s">
        <v>2843</v>
      </c>
      <c r="G17537" s="9">
        <v>7914</v>
      </c>
      <c r="H17537" s="8">
        <v>12915</v>
      </c>
    </row>
    <row r="17538" spans="2:8" ht="15" customHeight="1" x14ac:dyDescent="0.4">
      <c r="B17538" t="s">
        <v>7</v>
      </c>
      <c r="C17538" t="s">
        <v>2842</v>
      </c>
      <c r="D17538" s="7">
        <f>DATE(2014,5,6)</f>
        <v>41765</v>
      </c>
      <c r="E17538" s="8">
        <f t="shared" si="287"/>
        <v>2014</v>
      </c>
      <c r="F17538" t="s">
        <v>2843</v>
      </c>
      <c r="G17538" s="9">
        <v>3899.29</v>
      </c>
      <c r="H17538" s="8">
        <v>13155</v>
      </c>
    </row>
    <row r="17539" spans="2:8" ht="15" customHeight="1" x14ac:dyDescent="0.4">
      <c r="B17539" s="3" t="s">
        <v>7</v>
      </c>
      <c r="C17539" s="3" t="s">
        <v>2842</v>
      </c>
      <c r="D17539" s="4">
        <f>DATE(2009,6,9)</f>
        <v>39973</v>
      </c>
      <c r="E17539" s="5">
        <f t="shared" ref="E17539:E17602" si="288">YEAR(D17539)</f>
        <v>2009</v>
      </c>
      <c r="F17539" s="3" t="s">
        <v>2843</v>
      </c>
      <c r="G17539" s="6">
        <v>13350</v>
      </c>
      <c r="H17539" s="5">
        <v>12553</v>
      </c>
    </row>
    <row r="17540" spans="2:8" ht="15" customHeight="1" x14ac:dyDescent="0.4">
      <c r="B17540" s="3" t="s">
        <v>7</v>
      </c>
      <c r="C17540" s="3" t="s">
        <v>2842</v>
      </c>
      <c r="D17540" s="4">
        <f>DATE(2009,6,24)</f>
        <v>39988</v>
      </c>
      <c r="E17540" s="5">
        <f t="shared" si="288"/>
        <v>2009</v>
      </c>
      <c r="F17540" s="3" t="s">
        <v>2843</v>
      </c>
      <c r="G17540" s="6">
        <v>5700</v>
      </c>
      <c r="H17540" s="5">
        <v>12686</v>
      </c>
    </row>
    <row r="17541" spans="2:8" ht="15" customHeight="1" x14ac:dyDescent="0.4">
      <c r="B17541" s="3" t="s">
        <v>7</v>
      </c>
      <c r="C17541" s="3" t="s">
        <v>2842</v>
      </c>
      <c r="D17541" s="4">
        <f>DATE(2010,6,9)</f>
        <v>40338</v>
      </c>
      <c r="E17541" s="5">
        <f t="shared" si="288"/>
        <v>2010</v>
      </c>
      <c r="F17541" s="3" t="s">
        <v>2843</v>
      </c>
      <c r="G17541" s="6">
        <v>2765.28</v>
      </c>
      <c r="H17541" s="5">
        <v>14127</v>
      </c>
    </row>
    <row r="17542" spans="2:8" ht="15" customHeight="1" x14ac:dyDescent="0.4">
      <c r="B17542" s="3" t="s">
        <v>7</v>
      </c>
      <c r="C17542" s="3" t="s">
        <v>2842</v>
      </c>
      <c r="D17542" s="4">
        <f>DATE(2010,6,9)</f>
        <v>40338</v>
      </c>
      <c r="E17542" s="5">
        <f t="shared" si="288"/>
        <v>2010</v>
      </c>
      <c r="F17542" s="3" t="s">
        <v>2843</v>
      </c>
      <c r="G17542" s="6">
        <v>959.42</v>
      </c>
      <c r="H17542" s="5">
        <v>14127</v>
      </c>
    </row>
    <row r="17543" spans="2:8" ht="15" customHeight="1" x14ac:dyDescent="0.4">
      <c r="B17543" s="3" t="s">
        <v>7</v>
      </c>
      <c r="C17543" s="3" t="s">
        <v>2842</v>
      </c>
      <c r="D17543" s="4">
        <f>DATE(2011,6,6)</f>
        <v>40700</v>
      </c>
      <c r="E17543" s="5">
        <f t="shared" si="288"/>
        <v>2011</v>
      </c>
      <c r="F17543" s="3" t="s">
        <v>2843</v>
      </c>
      <c r="G17543" s="6">
        <v>52.3</v>
      </c>
      <c r="H17543" s="5">
        <v>15653</v>
      </c>
    </row>
    <row r="17544" spans="2:8" ht="15" customHeight="1" x14ac:dyDescent="0.4">
      <c r="B17544" s="3" t="s">
        <v>7</v>
      </c>
      <c r="C17544" s="3" t="s">
        <v>2842</v>
      </c>
      <c r="D17544" s="4">
        <f>DATE(2011,6,10)</f>
        <v>40704</v>
      </c>
      <c r="E17544" s="5">
        <f t="shared" si="288"/>
        <v>2011</v>
      </c>
      <c r="F17544" s="3" t="s">
        <v>2843</v>
      </c>
      <c r="G17544" s="6">
        <v>104.6</v>
      </c>
      <c r="H17544" s="5">
        <v>15664</v>
      </c>
    </row>
    <row r="17545" spans="2:8" ht="15" customHeight="1" x14ac:dyDescent="0.4">
      <c r="B17545" s="3" t="s">
        <v>7</v>
      </c>
      <c r="C17545" s="3" t="s">
        <v>2842</v>
      </c>
      <c r="D17545" s="4">
        <f>DATE(2012,2,3)</f>
        <v>40942</v>
      </c>
      <c r="E17545" s="5">
        <f t="shared" si="288"/>
        <v>2012</v>
      </c>
      <c r="F17545" s="3" t="s">
        <v>2843</v>
      </c>
      <c r="G17545" s="6">
        <v>104.6</v>
      </c>
      <c r="H17545" s="5">
        <v>16481</v>
      </c>
    </row>
    <row r="17546" spans="2:8" ht="15" customHeight="1" x14ac:dyDescent="0.4">
      <c r="B17546" s="3" t="s">
        <v>7</v>
      </c>
      <c r="C17546" s="3" t="s">
        <v>2842</v>
      </c>
      <c r="D17546" s="4">
        <f>DATE(2012,5,3)</f>
        <v>41032</v>
      </c>
      <c r="E17546" s="5">
        <f t="shared" si="288"/>
        <v>2012</v>
      </c>
      <c r="F17546" s="3" t="s">
        <v>2843</v>
      </c>
      <c r="G17546" s="6">
        <v>104.6</v>
      </c>
      <c r="H17546" s="5">
        <v>17082</v>
      </c>
    </row>
    <row r="17547" spans="2:8" ht="15" customHeight="1" x14ac:dyDescent="0.4">
      <c r="B17547" s="3" t="s">
        <v>7</v>
      </c>
      <c r="C17547" s="3" t="s">
        <v>2842</v>
      </c>
      <c r="D17547" s="4">
        <f>DATE(2013,5,23)</f>
        <v>41417</v>
      </c>
      <c r="E17547" s="5">
        <f t="shared" si="288"/>
        <v>2013</v>
      </c>
      <c r="F17547" s="3" t="s">
        <v>2843</v>
      </c>
      <c r="G17547" s="6">
        <v>104.6</v>
      </c>
      <c r="H17547" s="5">
        <v>18603</v>
      </c>
    </row>
    <row r="17548" spans="2:8" ht="15" customHeight="1" x14ac:dyDescent="0.4">
      <c r="B17548" s="3" t="s">
        <v>7</v>
      </c>
      <c r="C17548" s="3" t="s">
        <v>2842</v>
      </c>
      <c r="D17548" s="4">
        <f>DATE(2014,5,21)</f>
        <v>41780</v>
      </c>
      <c r="E17548" s="5">
        <f t="shared" si="288"/>
        <v>2014</v>
      </c>
      <c r="F17548" s="3" t="s">
        <v>2843</v>
      </c>
      <c r="G17548" s="6">
        <v>104.6</v>
      </c>
      <c r="H17548" s="5">
        <v>19974</v>
      </c>
    </row>
    <row r="17549" spans="2:8" ht="15" customHeight="1" x14ac:dyDescent="0.4">
      <c r="B17549" t="s">
        <v>7</v>
      </c>
      <c r="C17549" t="s">
        <v>2844</v>
      </c>
      <c r="D17549" s="7">
        <f>DATE(2003,11,9)</f>
        <v>37934</v>
      </c>
      <c r="E17549" s="8">
        <f t="shared" si="288"/>
        <v>2003</v>
      </c>
      <c r="F17549" t="s">
        <v>2845</v>
      </c>
      <c r="G17549" s="9">
        <v>11307.53</v>
      </c>
      <c r="H17549" s="8">
        <v>837</v>
      </c>
    </row>
    <row r="17550" spans="2:8" ht="15" customHeight="1" x14ac:dyDescent="0.4">
      <c r="B17550" t="s">
        <v>7</v>
      </c>
      <c r="C17550" t="s">
        <v>2844</v>
      </c>
      <c r="D17550" s="7">
        <f>DATE(2004,10,3)</f>
        <v>38263</v>
      </c>
      <c r="E17550" s="8">
        <f t="shared" si="288"/>
        <v>2004</v>
      </c>
      <c r="F17550" t="s">
        <v>2845</v>
      </c>
      <c r="G17550" s="9">
        <v>11291</v>
      </c>
      <c r="H17550" s="8">
        <v>2168</v>
      </c>
    </row>
    <row r="17551" spans="2:8" ht="15" customHeight="1" x14ac:dyDescent="0.4">
      <c r="B17551" t="s">
        <v>7</v>
      </c>
      <c r="C17551" t="s">
        <v>2844</v>
      </c>
      <c r="D17551" s="7">
        <f>DATE(2009,7,22)</f>
        <v>40016</v>
      </c>
      <c r="E17551" s="8">
        <f t="shared" si="288"/>
        <v>2009</v>
      </c>
      <c r="F17551" t="s">
        <v>2845</v>
      </c>
      <c r="G17551" s="9">
        <v>16090</v>
      </c>
      <c r="H17551" s="8">
        <v>8892</v>
      </c>
    </row>
    <row r="17552" spans="2:8" ht="15" customHeight="1" x14ac:dyDescent="0.4">
      <c r="B17552" t="s">
        <v>7</v>
      </c>
      <c r="C17552" t="s">
        <v>2844</v>
      </c>
      <c r="D17552" s="7">
        <f>DATE(2012,11,20)</f>
        <v>41233</v>
      </c>
      <c r="E17552" s="8">
        <f t="shared" si="288"/>
        <v>2012</v>
      </c>
      <c r="F17552" t="s">
        <v>2845</v>
      </c>
      <c r="G17552" s="9">
        <v>12000</v>
      </c>
      <c r="H17552" s="8">
        <v>11848</v>
      </c>
    </row>
    <row r="17553" spans="2:8" ht="15" customHeight="1" x14ac:dyDescent="0.4">
      <c r="B17553" t="s">
        <v>7</v>
      </c>
      <c r="C17553" t="s">
        <v>2844</v>
      </c>
      <c r="D17553" s="7">
        <f>DATE(2012,9,13)</f>
        <v>41165</v>
      </c>
      <c r="E17553" s="8">
        <f t="shared" si="288"/>
        <v>2012</v>
      </c>
      <c r="F17553" t="s">
        <v>2845</v>
      </c>
      <c r="G17553" s="9">
        <v>4467.6099999999997</v>
      </c>
      <c r="H17553" s="8">
        <v>11846</v>
      </c>
    </row>
    <row r="17554" spans="2:8" ht="15" customHeight="1" x14ac:dyDescent="0.4">
      <c r="B17554" s="3" t="s">
        <v>7</v>
      </c>
      <c r="C17554" s="3" t="s">
        <v>2846</v>
      </c>
      <c r="D17554" s="4">
        <f>DATE(2012,10,19)</f>
        <v>41201</v>
      </c>
      <c r="E17554" s="5">
        <f t="shared" si="288"/>
        <v>2012</v>
      </c>
      <c r="F17554" s="3" t="s">
        <v>2847</v>
      </c>
      <c r="G17554" s="6">
        <v>3244.13</v>
      </c>
      <c r="H17554" s="5">
        <v>17744</v>
      </c>
    </row>
    <row r="17555" spans="2:8" ht="15" customHeight="1" x14ac:dyDescent="0.4">
      <c r="B17555" s="3" t="s">
        <v>7</v>
      </c>
      <c r="C17555" s="3" t="s">
        <v>2848</v>
      </c>
      <c r="D17555" s="4">
        <f>DATE(2009,9,21)</f>
        <v>40077</v>
      </c>
      <c r="E17555" s="5">
        <f t="shared" si="288"/>
        <v>2009</v>
      </c>
      <c r="F17555" s="3" t="s">
        <v>2849</v>
      </c>
      <c r="G17555" s="6">
        <v>13404.1</v>
      </c>
      <c r="H17555" s="5">
        <v>3570</v>
      </c>
    </row>
    <row r="17556" spans="2:8" ht="15" customHeight="1" x14ac:dyDescent="0.4">
      <c r="B17556" s="3" t="s">
        <v>16</v>
      </c>
      <c r="C17556" s="3" t="s">
        <v>2848</v>
      </c>
      <c r="D17556" s="4">
        <f>DATE(2009,10,1)</f>
        <v>40087</v>
      </c>
      <c r="E17556" s="5">
        <f t="shared" si="288"/>
        <v>2009</v>
      </c>
      <c r="F17556" s="3" t="s">
        <v>2849</v>
      </c>
      <c r="G17556" s="6">
        <v>542.5</v>
      </c>
      <c r="H17556" s="5">
        <v>3627</v>
      </c>
    </row>
    <row r="17557" spans="2:8" ht="15" customHeight="1" x14ac:dyDescent="0.4">
      <c r="B17557" t="s">
        <v>7</v>
      </c>
      <c r="C17557" t="s">
        <v>2850</v>
      </c>
      <c r="D17557" s="7">
        <f>DATE(2010,7,1)</f>
        <v>40360</v>
      </c>
      <c r="E17557" s="8">
        <f t="shared" si="288"/>
        <v>2010</v>
      </c>
      <c r="F17557" t="s">
        <v>2851</v>
      </c>
      <c r="G17557" s="9">
        <v>4555.8599999999997</v>
      </c>
      <c r="H17557" s="8">
        <v>9951</v>
      </c>
    </row>
    <row r="17558" spans="2:8" ht="15" customHeight="1" x14ac:dyDescent="0.4">
      <c r="B17558" t="s">
        <v>7</v>
      </c>
      <c r="C17558" t="s">
        <v>2850</v>
      </c>
      <c r="D17558" s="7">
        <f>DATE(2011,7,14)</f>
        <v>40738</v>
      </c>
      <c r="E17558" s="8">
        <f t="shared" si="288"/>
        <v>2011</v>
      </c>
      <c r="F17558" t="s">
        <v>2851</v>
      </c>
      <c r="G17558" s="9">
        <v>11347.11</v>
      </c>
      <c r="H17558" s="8">
        <v>10857</v>
      </c>
    </row>
    <row r="17559" spans="2:8" ht="15" customHeight="1" x14ac:dyDescent="0.4">
      <c r="B17559" t="s">
        <v>16</v>
      </c>
      <c r="C17559" t="s">
        <v>2850</v>
      </c>
      <c r="D17559" s="7">
        <f>DATE(2011,7,28)</f>
        <v>40752</v>
      </c>
      <c r="E17559" s="8">
        <f t="shared" si="288"/>
        <v>2011</v>
      </c>
      <c r="F17559" t="s">
        <v>2851</v>
      </c>
      <c r="G17559" s="9">
        <v>11347.11</v>
      </c>
      <c r="H17559" s="8">
        <v>10924</v>
      </c>
    </row>
    <row r="17560" spans="2:8" ht="15" customHeight="1" x14ac:dyDescent="0.4">
      <c r="B17560" t="s">
        <v>7</v>
      </c>
      <c r="C17560" t="s">
        <v>2850</v>
      </c>
      <c r="D17560" s="7">
        <f>DATE(2005,3,15)</f>
        <v>38426</v>
      </c>
      <c r="E17560" s="8">
        <f t="shared" si="288"/>
        <v>2005</v>
      </c>
      <c r="F17560" t="s">
        <v>2852</v>
      </c>
      <c r="G17560" s="9">
        <v>3299.97</v>
      </c>
      <c r="H17560" s="8">
        <v>2914</v>
      </c>
    </row>
    <row r="17561" spans="2:8" ht="15" customHeight="1" x14ac:dyDescent="0.4">
      <c r="B17561" t="s">
        <v>7</v>
      </c>
      <c r="C17561" t="s">
        <v>2850</v>
      </c>
      <c r="D17561" s="7">
        <f>DATE(2003,8,12)</f>
        <v>37845</v>
      </c>
      <c r="E17561" s="8">
        <f t="shared" si="288"/>
        <v>2003</v>
      </c>
      <c r="F17561" t="s">
        <v>2853</v>
      </c>
      <c r="G17561" s="9">
        <v>4602.9399999999996</v>
      </c>
      <c r="H17561" s="8">
        <v>804</v>
      </c>
    </row>
    <row r="17562" spans="2:8" ht="15" customHeight="1" x14ac:dyDescent="0.4">
      <c r="B17562" t="s">
        <v>7</v>
      </c>
      <c r="C17562" t="s">
        <v>2850</v>
      </c>
      <c r="D17562" s="7">
        <f>DATE(2004,5,4)</f>
        <v>38111</v>
      </c>
      <c r="E17562" s="8">
        <f t="shared" si="288"/>
        <v>2004</v>
      </c>
      <c r="F17562" t="s">
        <v>2853</v>
      </c>
      <c r="G17562" s="9">
        <v>2934.8</v>
      </c>
      <c r="H17562" s="8">
        <v>1742</v>
      </c>
    </row>
    <row r="17563" spans="2:8" ht="15" customHeight="1" x14ac:dyDescent="0.4">
      <c r="B17563" t="s">
        <v>7</v>
      </c>
      <c r="C17563" t="s">
        <v>2854</v>
      </c>
      <c r="D17563" s="7">
        <f>DATE(2016,6,20)</f>
        <v>42541</v>
      </c>
      <c r="E17563" s="8">
        <f t="shared" si="288"/>
        <v>2016</v>
      </c>
      <c r="F17563" t="s">
        <v>2855</v>
      </c>
      <c r="G17563" s="9">
        <v>4985.6899999999996</v>
      </c>
      <c r="H17563" s="8">
        <v>23005</v>
      </c>
    </row>
    <row r="17564" spans="2:8" ht="15" customHeight="1" x14ac:dyDescent="0.4">
      <c r="B17564" t="s">
        <v>7</v>
      </c>
      <c r="C17564" t="s">
        <v>2854</v>
      </c>
      <c r="D17564" s="7">
        <f>DATE(2010,5,4)</f>
        <v>40302</v>
      </c>
      <c r="E17564" s="8">
        <f t="shared" si="288"/>
        <v>2010</v>
      </c>
      <c r="F17564" t="s">
        <v>2855</v>
      </c>
      <c r="G17564" s="9">
        <v>6630.04</v>
      </c>
      <c r="H17564" s="8">
        <v>9794</v>
      </c>
    </row>
    <row r="17565" spans="2:8" ht="15" customHeight="1" x14ac:dyDescent="0.4">
      <c r="B17565" t="s">
        <v>7</v>
      </c>
      <c r="C17565" t="s">
        <v>2854</v>
      </c>
      <c r="D17565" s="7">
        <f>DATE(2012,3,8)</f>
        <v>40976</v>
      </c>
      <c r="E17565" s="8">
        <f t="shared" si="288"/>
        <v>2012</v>
      </c>
      <c r="F17565" t="s">
        <v>2855</v>
      </c>
      <c r="G17565" s="9">
        <v>5527.29</v>
      </c>
      <c r="H17565" s="8">
        <v>11398</v>
      </c>
    </row>
    <row r="17566" spans="2:8" ht="15" customHeight="1" x14ac:dyDescent="0.4">
      <c r="B17566" t="s">
        <v>7</v>
      </c>
      <c r="C17566" t="s">
        <v>2856</v>
      </c>
      <c r="D17566" s="7">
        <f>DATE(2003,2,20)</f>
        <v>37672</v>
      </c>
      <c r="E17566" s="8">
        <f t="shared" si="288"/>
        <v>2003</v>
      </c>
      <c r="F17566" t="s">
        <v>2857</v>
      </c>
      <c r="G17566" s="9">
        <v>2717.9</v>
      </c>
      <c r="H17566" s="8">
        <v>202</v>
      </c>
    </row>
    <row r="17567" spans="2:8" ht="15" customHeight="1" x14ac:dyDescent="0.4">
      <c r="B17567" t="s">
        <v>7</v>
      </c>
      <c r="C17567" t="s">
        <v>2856</v>
      </c>
      <c r="D17567" s="7">
        <f>DATE(2003,2,22)</f>
        <v>37674</v>
      </c>
      <c r="E17567" s="8">
        <f t="shared" si="288"/>
        <v>2003</v>
      </c>
      <c r="F17567" t="s">
        <v>2857</v>
      </c>
      <c r="G17567" s="9">
        <v>6065.5</v>
      </c>
      <c r="H17567" s="8">
        <v>203</v>
      </c>
    </row>
    <row r="17568" spans="2:8" ht="15" customHeight="1" x14ac:dyDescent="0.4">
      <c r="B17568" t="s">
        <v>7</v>
      </c>
      <c r="C17568" t="s">
        <v>2856</v>
      </c>
      <c r="D17568" s="7">
        <f>DATE(2003,11,24)</f>
        <v>37949</v>
      </c>
      <c r="E17568" s="8">
        <f t="shared" si="288"/>
        <v>2003</v>
      </c>
      <c r="F17568" t="s">
        <v>2857</v>
      </c>
      <c r="G17568" s="9">
        <v>2717.9</v>
      </c>
      <c r="H17568" s="8">
        <v>906</v>
      </c>
    </row>
    <row r="17569" spans="2:8" ht="15" customHeight="1" x14ac:dyDescent="0.4">
      <c r="B17569" t="s">
        <v>7</v>
      </c>
      <c r="C17569" t="s">
        <v>2856</v>
      </c>
      <c r="D17569" s="7">
        <f>DATE(2003,11,24)</f>
        <v>37949</v>
      </c>
      <c r="E17569" s="8">
        <f t="shared" si="288"/>
        <v>2003</v>
      </c>
      <c r="F17569" t="s">
        <v>2857</v>
      </c>
      <c r="G17569" s="9">
        <v>5995.32</v>
      </c>
      <c r="H17569" s="8">
        <v>909</v>
      </c>
    </row>
    <row r="17570" spans="2:8" ht="15" customHeight="1" x14ac:dyDescent="0.4">
      <c r="B17570" t="s">
        <v>7</v>
      </c>
      <c r="C17570" t="s">
        <v>2856</v>
      </c>
      <c r="D17570" s="7">
        <f>DATE(2004,3,30)</f>
        <v>38076</v>
      </c>
      <c r="E17570" s="8">
        <f t="shared" si="288"/>
        <v>2004</v>
      </c>
      <c r="F17570" t="s">
        <v>2857</v>
      </c>
      <c r="G17570" s="9">
        <v>5395.6</v>
      </c>
      <c r="H17570" s="8">
        <v>1533</v>
      </c>
    </row>
    <row r="17571" spans="2:8" ht="15" customHeight="1" x14ac:dyDescent="0.4">
      <c r="B17571" t="s">
        <v>7</v>
      </c>
      <c r="C17571" t="s">
        <v>2856</v>
      </c>
      <c r="D17571" s="7">
        <f>DATE(2004,3,31)</f>
        <v>38077</v>
      </c>
      <c r="E17571" s="8">
        <f t="shared" si="288"/>
        <v>2004</v>
      </c>
      <c r="F17571" t="s">
        <v>2857</v>
      </c>
      <c r="G17571" s="9">
        <v>3077.42</v>
      </c>
      <c r="H17571" s="8">
        <v>1531</v>
      </c>
    </row>
    <row r="17572" spans="2:8" ht="15" customHeight="1" x14ac:dyDescent="0.4">
      <c r="B17572" t="s">
        <v>7</v>
      </c>
      <c r="C17572" t="s">
        <v>2856</v>
      </c>
      <c r="D17572" s="7">
        <f>DATE(2005,5,25)</f>
        <v>38497</v>
      </c>
      <c r="E17572" s="8">
        <f t="shared" si="288"/>
        <v>2005</v>
      </c>
      <c r="F17572" t="s">
        <v>2857</v>
      </c>
      <c r="G17572" s="9">
        <v>3244.12</v>
      </c>
      <c r="H17572" s="8">
        <v>3094</v>
      </c>
    </row>
    <row r="17573" spans="2:8" ht="15" customHeight="1" x14ac:dyDescent="0.4">
      <c r="B17573" t="s">
        <v>7</v>
      </c>
      <c r="C17573" t="s">
        <v>2856</v>
      </c>
      <c r="D17573" s="7">
        <f>DATE(2005,5,28)</f>
        <v>38500</v>
      </c>
      <c r="E17573" s="8">
        <f t="shared" si="288"/>
        <v>2005</v>
      </c>
      <c r="F17573" t="s">
        <v>2857</v>
      </c>
      <c r="G17573" s="9">
        <v>5395.6</v>
      </c>
      <c r="H17573" s="8">
        <v>3095</v>
      </c>
    </row>
    <row r="17574" spans="2:8" ht="15" customHeight="1" x14ac:dyDescent="0.4">
      <c r="B17574" t="s">
        <v>7</v>
      </c>
      <c r="C17574" t="s">
        <v>2858</v>
      </c>
      <c r="D17574" s="7">
        <f>DATE(2017,3,29)</f>
        <v>42823</v>
      </c>
      <c r="E17574" s="8">
        <f t="shared" si="288"/>
        <v>2017</v>
      </c>
      <c r="F17574" t="s">
        <v>2859</v>
      </c>
      <c r="G17574" s="9">
        <v>4661.96</v>
      </c>
      <c r="H17574" s="8">
        <v>24581</v>
      </c>
    </row>
    <row r="17575" spans="2:8" ht="15" customHeight="1" x14ac:dyDescent="0.4">
      <c r="B17575" t="s">
        <v>7</v>
      </c>
      <c r="C17575" t="s">
        <v>2858</v>
      </c>
      <c r="D17575" s="7">
        <f>DATE(2018,1,2)</f>
        <v>43102</v>
      </c>
      <c r="E17575" s="8">
        <f t="shared" si="288"/>
        <v>2018</v>
      </c>
      <c r="F17575" t="s">
        <v>2859</v>
      </c>
      <c r="G17575" s="9">
        <v>9039.92</v>
      </c>
      <c r="H17575" s="8">
        <v>26067</v>
      </c>
    </row>
    <row r="17576" spans="2:8" ht="15" customHeight="1" x14ac:dyDescent="0.4">
      <c r="B17576" t="s">
        <v>7</v>
      </c>
      <c r="C17576" t="s">
        <v>2858</v>
      </c>
      <c r="D17576" s="7">
        <f>DATE(2018,1,29)</f>
        <v>43129</v>
      </c>
      <c r="E17576" s="8">
        <f t="shared" si="288"/>
        <v>2018</v>
      </c>
      <c r="F17576" t="s">
        <v>2859</v>
      </c>
      <c r="G17576" s="9">
        <v>8981.15</v>
      </c>
      <c r="H17576" s="8">
        <v>26315</v>
      </c>
    </row>
    <row r="17577" spans="2:8" ht="15" customHeight="1" x14ac:dyDescent="0.4">
      <c r="B17577" t="s">
        <v>7</v>
      </c>
      <c r="C17577" t="s">
        <v>2858</v>
      </c>
      <c r="D17577" s="7">
        <f>DATE(2018,10,29)</f>
        <v>43402</v>
      </c>
      <c r="E17577" s="8">
        <f t="shared" si="288"/>
        <v>2018</v>
      </c>
      <c r="F17577" t="s">
        <v>2859</v>
      </c>
      <c r="G17577" s="9">
        <v>3377.36</v>
      </c>
      <c r="H17577" s="8">
        <v>27836</v>
      </c>
    </row>
    <row r="17578" spans="2:8" ht="15" customHeight="1" x14ac:dyDescent="0.4">
      <c r="B17578" t="s">
        <v>7</v>
      </c>
      <c r="C17578" t="s">
        <v>2858</v>
      </c>
      <c r="D17578" s="7">
        <f>DATE(2019,2,12)</f>
        <v>43508</v>
      </c>
      <c r="E17578" s="8">
        <f t="shared" si="288"/>
        <v>2019</v>
      </c>
      <c r="F17578" t="s">
        <v>2859</v>
      </c>
      <c r="G17578" s="9">
        <v>8631.1200000000008</v>
      </c>
      <c r="H17578" s="8">
        <v>28362</v>
      </c>
    </row>
    <row r="17579" spans="2:8" ht="15" customHeight="1" x14ac:dyDescent="0.4">
      <c r="B17579" t="s">
        <v>7</v>
      </c>
      <c r="C17579" t="s">
        <v>2858</v>
      </c>
      <c r="D17579" s="7">
        <f>DATE(2006,1,27)</f>
        <v>38744</v>
      </c>
      <c r="E17579" s="8">
        <f t="shared" si="288"/>
        <v>2006</v>
      </c>
      <c r="F17579" t="s">
        <v>2859</v>
      </c>
      <c r="G17579" s="9">
        <v>24952</v>
      </c>
      <c r="H17579" s="8">
        <v>3905</v>
      </c>
    </row>
    <row r="17580" spans="2:8" ht="15" customHeight="1" x14ac:dyDescent="0.4">
      <c r="B17580" t="s">
        <v>7</v>
      </c>
      <c r="C17580" t="s">
        <v>2858</v>
      </c>
      <c r="D17580" s="7">
        <f>DATE(2012,2,28)</f>
        <v>40967</v>
      </c>
      <c r="E17580" s="8">
        <f t="shared" si="288"/>
        <v>2012</v>
      </c>
      <c r="F17580" t="s">
        <v>2860</v>
      </c>
      <c r="G17580" s="9">
        <v>30848.84</v>
      </c>
      <c r="H17580" s="8">
        <v>11201</v>
      </c>
    </row>
    <row r="17581" spans="2:8" ht="15" customHeight="1" x14ac:dyDescent="0.4">
      <c r="B17581" t="s">
        <v>7</v>
      </c>
      <c r="C17581" t="s">
        <v>2858</v>
      </c>
      <c r="D17581" s="7">
        <f>DATE(2009,4,24)</f>
        <v>39927</v>
      </c>
      <c r="E17581" s="8">
        <f t="shared" si="288"/>
        <v>2009</v>
      </c>
      <c r="F17581" t="s">
        <v>2860</v>
      </c>
      <c r="G17581" s="9">
        <v>6226.34</v>
      </c>
      <c r="H17581" s="8">
        <v>8579</v>
      </c>
    </row>
    <row r="17582" spans="2:8" ht="15" customHeight="1" x14ac:dyDescent="0.4">
      <c r="B17582" t="s">
        <v>7</v>
      </c>
      <c r="C17582" t="s">
        <v>2858</v>
      </c>
      <c r="D17582" s="7">
        <f>DATE(2012,2,27)</f>
        <v>40966</v>
      </c>
      <c r="E17582" s="8">
        <f t="shared" si="288"/>
        <v>2012</v>
      </c>
      <c r="F17582" t="s">
        <v>2860</v>
      </c>
      <c r="G17582" s="9">
        <v>28726</v>
      </c>
      <c r="H17582" s="8">
        <v>11200</v>
      </c>
    </row>
    <row r="17583" spans="2:8" ht="15" customHeight="1" x14ac:dyDescent="0.4">
      <c r="B17583" t="s">
        <v>7</v>
      </c>
      <c r="C17583" t="s">
        <v>2858</v>
      </c>
      <c r="D17583" s="7">
        <f>DATE(2012,11,28)</f>
        <v>41241</v>
      </c>
      <c r="E17583" s="8">
        <f t="shared" si="288"/>
        <v>2012</v>
      </c>
      <c r="F17583" t="s">
        <v>2860</v>
      </c>
      <c r="G17583" s="9">
        <v>10607.34</v>
      </c>
      <c r="H17583" s="8">
        <v>12008</v>
      </c>
    </row>
    <row r="17584" spans="2:8" ht="15" customHeight="1" x14ac:dyDescent="0.4">
      <c r="B17584" t="s">
        <v>7</v>
      </c>
      <c r="C17584" t="s">
        <v>2858</v>
      </c>
      <c r="D17584" s="7">
        <f>DATE(2013,4,25)</f>
        <v>41389</v>
      </c>
      <c r="E17584" s="8">
        <f t="shared" si="288"/>
        <v>2013</v>
      </c>
      <c r="F17584" t="s">
        <v>2860</v>
      </c>
      <c r="G17584" s="9">
        <v>9578.94</v>
      </c>
      <c r="H17584" s="8">
        <v>12406</v>
      </c>
    </row>
    <row r="17585" spans="2:8" ht="15" customHeight="1" x14ac:dyDescent="0.4">
      <c r="B17585" t="s">
        <v>7</v>
      </c>
      <c r="C17585" t="s">
        <v>2858</v>
      </c>
      <c r="D17585" s="7">
        <f>DATE(2014,1,30)</f>
        <v>41669</v>
      </c>
      <c r="E17585" s="8">
        <f t="shared" si="288"/>
        <v>2014</v>
      </c>
      <c r="F17585" t="s">
        <v>2860</v>
      </c>
      <c r="G17585" s="9">
        <v>7599.09</v>
      </c>
      <c r="H17585" s="8">
        <v>12894</v>
      </c>
    </row>
    <row r="17586" spans="2:8" ht="15" customHeight="1" x14ac:dyDescent="0.4">
      <c r="B17586" t="s">
        <v>7</v>
      </c>
      <c r="C17586" t="s">
        <v>2858</v>
      </c>
      <c r="D17586" s="7">
        <f>DATE(2014,2,14)</f>
        <v>41684</v>
      </c>
      <c r="E17586" s="8">
        <f t="shared" si="288"/>
        <v>2014</v>
      </c>
      <c r="F17586" t="s">
        <v>2860</v>
      </c>
      <c r="G17586" s="9">
        <v>9250.2000000000007</v>
      </c>
      <c r="H17586" s="8">
        <v>12876</v>
      </c>
    </row>
    <row r="17587" spans="2:8" ht="15" customHeight="1" x14ac:dyDescent="0.4">
      <c r="B17587" t="s">
        <v>7</v>
      </c>
      <c r="C17587" t="s">
        <v>2858</v>
      </c>
      <c r="D17587" s="7">
        <f>DATE(2014,2,14)</f>
        <v>41684</v>
      </c>
      <c r="E17587" s="8">
        <f t="shared" si="288"/>
        <v>2014</v>
      </c>
      <c r="F17587" t="s">
        <v>2860</v>
      </c>
      <c r="G17587" s="9">
        <v>9247.23</v>
      </c>
      <c r="H17587" s="8">
        <v>12920</v>
      </c>
    </row>
    <row r="17588" spans="2:8" ht="15" customHeight="1" x14ac:dyDescent="0.4">
      <c r="B17588" s="3" t="s">
        <v>7</v>
      </c>
      <c r="C17588" s="3" t="s">
        <v>2858</v>
      </c>
      <c r="D17588" s="4">
        <f>DATE(2012,2,29)</f>
        <v>40968</v>
      </c>
      <c r="E17588" s="5">
        <f t="shared" si="288"/>
        <v>2012</v>
      </c>
      <c r="F17588" s="3" t="s">
        <v>2860</v>
      </c>
      <c r="G17588" s="6">
        <v>220.5</v>
      </c>
      <c r="H17588" s="5">
        <v>16650</v>
      </c>
    </row>
    <row r="17589" spans="2:8" ht="15" customHeight="1" x14ac:dyDescent="0.4">
      <c r="B17589" s="3" t="s">
        <v>7</v>
      </c>
      <c r="C17589" s="3" t="s">
        <v>2858</v>
      </c>
      <c r="D17589" s="4">
        <f>DATE(2012,5,14)</f>
        <v>41043</v>
      </c>
      <c r="E17589" s="5">
        <f t="shared" si="288"/>
        <v>2012</v>
      </c>
      <c r="F17589" s="3" t="s">
        <v>2860</v>
      </c>
      <c r="G17589" s="6">
        <v>441</v>
      </c>
      <c r="H17589" s="5">
        <v>17098</v>
      </c>
    </row>
    <row r="17590" spans="2:8" ht="15" customHeight="1" x14ac:dyDescent="0.4">
      <c r="B17590" t="s">
        <v>7</v>
      </c>
      <c r="C17590" t="s">
        <v>2861</v>
      </c>
      <c r="D17590" s="7">
        <f>DATE(2015,5,19)</f>
        <v>42143</v>
      </c>
      <c r="E17590" s="8">
        <f t="shared" si="288"/>
        <v>2015</v>
      </c>
      <c r="F17590" t="s">
        <v>2862</v>
      </c>
      <c r="G17590" s="9">
        <v>71674.5</v>
      </c>
      <c r="H17590" s="8">
        <v>20267</v>
      </c>
    </row>
    <row r="17591" spans="2:8" ht="15" customHeight="1" x14ac:dyDescent="0.4">
      <c r="B17591" t="s">
        <v>7</v>
      </c>
      <c r="C17591" t="s">
        <v>2861</v>
      </c>
      <c r="D17591" s="7">
        <f>DATE(2017,3,13)</f>
        <v>42807</v>
      </c>
      <c r="E17591" s="8">
        <f t="shared" si="288"/>
        <v>2017</v>
      </c>
      <c r="F17591" t="s">
        <v>2862</v>
      </c>
      <c r="G17591" s="9">
        <v>29768.75</v>
      </c>
      <c r="H17591" s="8">
        <v>24135</v>
      </c>
    </row>
    <row r="17592" spans="2:8" ht="15" customHeight="1" x14ac:dyDescent="0.4">
      <c r="B17592" t="s">
        <v>7</v>
      </c>
      <c r="C17592" t="s">
        <v>2861</v>
      </c>
      <c r="D17592" s="7">
        <f>DATE(2018,5,16)</f>
        <v>43236</v>
      </c>
      <c r="E17592" s="8">
        <f t="shared" si="288"/>
        <v>2018</v>
      </c>
      <c r="F17592" t="s">
        <v>2862</v>
      </c>
      <c r="G17592" s="9">
        <v>149709.75</v>
      </c>
      <c r="H17592" s="8">
        <v>26800</v>
      </c>
    </row>
    <row r="17593" spans="2:8" ht="15" customHeight="1" x14ac:dyDescent="0.4">
      <c r="B17593" t="s">
        <v>7</v>
      </c>
      <c r="C17593" t="s">
        <v>2861</v>
      </c>
      <c r="D17593" s="7">
        <f>DATE(2008,10,13)</f>
        <v>39734</v>
      </c>
      <c r="E17593" s="8">
        <f t="shared" si="288"/>
        <v>2008</v>
      </c>
      <c r="F17593" t="s">
        <v>2862</v>
      </c>
      <c r="G17593" s="9">
        <v>58030</v>
      </c>
      <c r="H17593" s="8">
        <v>7861</v>
      </c>
    </row>
    <row r="17594" spans="2:8" ht="15" customHeight="1" x14ac:dyDescent="0.4">
      <c r="B17594" t="s">
        <v>7</v>
      </c>
      <c r="C17594" t="s">
        <v>2861</v>
      </c>
      <c r="D17594" s="7">
        <f>DATE(2009,4,9)</f>
        <v>39912</v>
      </c>
      <c r="E17594" s="8">
        <f t="shared" si="288"/>
        <v>2009</v>
      </c>
      <c r="F17594" t="s">
        <v>2862</v>
      </c>
      <c r="G17594" s="9">
        <v>92655</v>
      </c>
      <c r="H17594" s="8">
        <v>7911</v>
      </c>
    </row>
    <row r="17595" spans="2:8" ht="15" customHeight="1" x14ac:dyDescent="0.4">
      <c r="B17595" t="s">
        <v>7</v>
      </c>
      <c r="C17595" t="s">
        <v>2861</v>
      </c>
      <c r="D17595" s="7">
        <f>DATE(2013,5,8)</f>
        <v>41402</v>
      </c>
      <c r="E17595" s="8">
        <f t="shared" si="288"/>
        <v>2013</v>
      </c>
      <c r="F17595" t="s">
        <v>2862</v>
      </c>
      <c r="G17595" s="9">
        <v>131800</v>
      </c>
      <c r="H17595" s="8">
        <v>12270</v>
      </c>
    </row>
    <row r="17596" spans="2:8" ht="15" customHeight="1" x14ac:dyDescent="0.4">
      <c r="B17596" t="s">
        <v>7</v>
      </c>
      <c r="C17596" t="s">
        <v>2861</v>
      </c>
      <c r="D17596" s="7">
        <f>DATE(2014,12,4)</f>
        <v>41977</v>
      </c>
      <c r="E17596" s="8">
        <f t="shared" si="288"/>
        <v>2014</v>
      </c>
      <c r="F17596" t="s">
        <v>2862</v>
      </c>
      <c r="G17596" s="9">
        <v>63955</v>
      </c>
      <c r="H17596" s="8">
        <v>13585</v>
      </c>
    </row>
    <row r="17597" spans="2:8" ht="15" customHeight="1" x14ac:dyDescent="0.4">
      <c r="B17597" s="3" t="s">
        <v>7</v>
      </c>
      <c r="C17597" s="3" t="s">
        <v>2863</v>
      </c>
      <c r="D17597" s="4">
        <f>DATE(2008,4,1)</f>
        <v>39539</v>
      </c>
      <c r="E17597" s="5">
        <f t="shared" si="288"/>
        <v>2008</v>
      </c>
      <c r="F17597" s="3" t="s">
        <v>2864</v>
      </c>
      <c r="G17597" s="6">
        <v>141880</v>
      </c>
      <c r="H17597" s="5">
        <v>10130</v>
      </c>
    </row>
    <row r="17598" spans="2:8" ht="15" customHeight="1" x14ac:dyDescent="0.4">
      <c r="B17598" s="3" t="s">
        <v>7</v>
      </c>
      <c r="C17598" s="3" t="s">
        <v>2863</v>
      </c>
      <c r="D17598" s="4">
        <f>DATE(2008,4,1)</f>
        <v>39539</v>
      </c>
      <c r="E17598" s="5">
        <f t="shared" si="288"/>
        <v>2008</v>
      </c>
      <c r="F17598" s="3" t="s">
        <v>2864</v>
      </c>
      <c r="G17598" s="6">
        <v>3800</v>
      </c>
      <c r="H17598" s="5">
        <v>10286</v>
      </c>
    </row>
    <row r="17599" spans="2:8" ht="15" customHeight="1" x14ac:dyDescent="0.4">
      <c r="B17599" t="s">
        <v>7</v>
      </c>
      <c r="C17599" t="s">
        <v>2863</v>
      </c>
      <c r="D17599" s="7">
        <f>DATE(2016,1,26)</f>
        <v>42395</v>
      </c>
      <c r="E17599" s="8">
        <f t="shared" si="288"/>
        <v>2016</v>
      </c>
      <c r="F17599" t="s">
        <v>2865</v>
      </c>
      <c r="G17599" s="9">
        <v>68092.27</v>
      </c>
      <c r="H17599" s="8">
        <v>21987</v>
      </c>
    </row>
    <row r="17600" spans="2:8" ht="15" customHeight="1" x14ac:dyDescent="0.4">
      <c r="B17600" t="s">
        <v>7</v>
      </c>
      <c r="C17600" t="s">
        <v>2863</v>
      </c>
      <c r="D17600" s="7">
        <f>DATE(2017,10,19)</f>
        <v>43027</v>
      </c>
      <c r="E17600" s="8">
        <f t="shared" si="288"/>
        <v>2017</v>
      </c>
      <c r="F17600" t="s">
        <v>2865</v>
      </c>
      <c r="G17600" s="9">
        <v>5347.38</v>
      </c>
      <c r="H17600" s="8">
        <v>25707</v>
      </c>
    </row>
    <row r="17601" spans="2:8" ht="15" customHeight="1" x14ac:dyDescent="0.4">
      <c r="B17601" t="s">
        <v>7</v>
      </c>
      <c r="C17601" t="s">
        <v>2863</v>
      </c>
      <c r="D17601" s="7">
        <f>DATE(2011,3,9)</f>
        <v>40611</v>
      </c>
      <c r="E17601" s="8">
        <f t="shared" si="288"/>
        <v>2011</v>
      </c>
      <c r="F17601" t="s">
        <v>2865</v>
      </c>
      <c r="G17601" s="9">
        <v>3200</v>
      </c>
      <c r="H17601" s="8">
        <v>10550</v>
      </c>
    </row>
    <row r="17602" spans="2:8" ht="15" customHeight="1" x14ac:dyDescent="0.4">
      <c r="B17602" t="s">
        <v>7</v>
      </c>
      <c r="C17602" t="s">
        <v>2863</v>
      </c>
      <c r="D17602" s="7">
        <f>DATE(2008,4,1)</f>
        <v>39539</v>
      </c>
      <c r="E17602" s="8">
        <f t="shared" si="288"/>
        <v>2008</v>
      </c>
      <c r="F17602" t="s">
        <v>2865</v>
      </c>
      <c r="G17602" s="9">
        <v>80500</v>
      </c>
      <c r="H17602" s="8">
        <v>7156</v>
      </c>
    </row>
    <row r="17603" spans="2:8" ht="15" customHeight="1" x14ac:dyDescent="0.4">
      <c r="B17603" t="s">
        <v>7</v>
      </c>
      <c r="C17603" t="s">
        <v>2863</v>
      </c>
      <c r="D17603" s="7">
        <f>DATE(2008,4,1)</f>
        <v>39539</v>
      </c>
      <c r="E17603" s="8">
        <f t="shared" ref="E17603:E17666" si="289">YEAR(D17603)</f>
        <v>2008</v>
      </c>
      <c r="F17603" t="s">
        <v>2865</v>
      </c>
      <c r="G17603" s="9">
        <v>3841.77</v>
      </c>
      <c r="H17603" s="8">
        <v>7424</v>
      </c>
    </row>
    <row r="17604" spans="2:8" ht="15" customHeight="1" x14ac:dyDescent="0.4">
      <c r="B17604" t="s">
        <v>7</v>
      </c>
      <c r="C17604" t="s">
        <v>2863</v>
      </c>
      <c r="D17604" s="7">
        <f>DATE(2008,6,18)</f>
        <v>39617</v>
      </c>
      <c r="E17604" s="8">
        <f t="shared" si="289"/>
        <v>2008</v>
      </c>
      <c r="F17604" t="s">
        <v>2865</v>
      </c>
      <c r="G17604" s="9">
        <v>6772.83</v>
      </c>
      <c r="H17604" s="8">
        <v>7529</v>
      </c>
    </row>
    <row r="17605" spans="2:8" ht="15" customHeight="1" x14ac:dyDescent="0.4">
      <c r="B17605" t="s">
        <v>7</v>
      </c>
      <c r="C17605" t="s">
        <v>2863</v>
      </c>
      <c r="D17605" s="7">
        <f>DATE(2011,3,9)</f>
        <v>40611</v>
      </c>
      <c r="E17605" s="8">
        <f t="shared" si="289"/>
        <v>2011</v>
      </c>
      <c r="F17605" t="s">
        <v>2865</v>
      </c>
      <c r="G17605" s="9">
        <v>36400</v>
      </c>
      <c r="H17605" s="8">
        <v>10488</v>
      </c>
    </row>
    <row r="17606" spans="2:8" ht="15" customHeight="1" x14ac:dyDescent="0.4">
      <c r="B17606" t="s">
        <v>7</v>
      </c>
      <c r="C17606" t="s">
        <v>2863</v>
      </c>
      <c r="D17606" s="7">
        <f>DATE(2010,8,13)</f>
        <v>40403</v>
      </c>
      <c r="E17606" s="8">
        <f t="shared" si="289"/>
        <v>2010</v>
      </c>
      <c r="F17606" t="s">
        <v>2865</v>
      </c>
      <c r="G17606" s="9">
        <v>5156.8500000000004</v>
      </c>
      <c r="H17606" s="8">
        <v>10033</v>
      </c>
    </row>
    <row r="17607" spans="2:8" ht="15" customHeight="1" x14ac:dyDescent="0.4">
      <c r="B17607" t="s">
        <v>7</v>
      </c>
      <c r="C17607" t="s">
        <v>2863</v>
      </c>
      <c r="D17607" s="7">
        <f>DATE(2010,9,1)</f>
        <v>40422</v>
      </c>
      <c r="E17607" s="8">
        <f t="shared" si="289"/>
        <v>2010</v>
      </c>
      <c r="F17607" t="s">
        <v>2865</v>
      </c>
      <c r="G17607" s="9">
        <v>4553.68</v>
      </c>
      <c r="H17607" s="8">
        <v>10070</v>
      </c>
    </row>
    <row r="17608" spans="2:8" ht="15" customHeight="1" x14ac:dyDescent="0.4">
      <c r="B17608" t="s">
        <v>7</v>
      </c>
      <c r="C17608" t="s">
        <v>2863</v>
      </c>
      <c r="D17608" s="7">
        <f>DATE(2010,10,11)</f>
        <v>40462</v>
      </c>
      <c r="E17608" s="8">
        <f t="shared" si="289"/>
        <v>2010</v>
      </c>
      <c r="F17608" t="s">
        <v>2865</v>
      </c>
      <c r="G17608" s="9">
        <v>14881.44</v>
      </c>
      <c r="H17608" s="8">
        <v>10140</v>
      </c>
    </row>
    <row r="17609" spans="2:8" ht="15" customHeight="1" x14ac:dyDescent="0.4">
      <c r="B17609" t="s">
        <v>7</v>
      </c>
      <c r="C17609" t="s">
        <v>2863</v>
      </c>
      <c r="D17609" s="7">
        <f>DATE(2011,2,17)</f>
        <v>40591</v>
      </c>
      <c r="E17609" s="8">
        <f t="shared" si="289"/>
        <v>2011</v>
      </c>
      <c r="F17609" t="s">
        <v>2865</v>
      </c>
      <c r="G17609" s="9">
        <v>4746.6400000000003</v>
      </c>
      <c r="H17609" s="8">
        <v>10399</v>
      </c>
    </row>
    <row r="17610" spans="2:8" ht="15" customHeight="1" x14ac:dyDescent="0.4">
      <c r="B17610" t="s">
        <v>7</v>
      </c>
      <c r="C17610" t="s">
        <v>2863</v>
      </c>
      <c r="D17610" s="7">
        <f>DATE(2011,6,14)</f>
        <v>40708</v>
      </c>
      <c r="E17610" s="8">
        <f t="shared" si="289"/>
        <v>2011</v>
      </c>
      <c r="F17610" t="s">
        <v>2865</v>
      </c>
      <c r="G17610" s="9">
        <v>4338.1099999999997</v>
      </c>
      <c r="H17610" s="8">
        <v>10796</v>
      </c>
    </row>
    <row r="17611" spans="2:8" ht="15" customHeight="1" x14ac:dyDescent="0.4">
      <c r="B17611" t="s">
        <v>7</v>
      </c>
      <c r="C17611" t="s">
        <v>2863</v>
      </c>
      <c r="D17611" s="7">
        <f>DATE(2011,8,3)</f>
        <v>40758</v>
      </c>
      <c r="E17611" s="8">
        <f t="shared" si="289"/>
        <v>2011</v>
      </c>
      <c r="F17611" t="s">
        <v>2865</v>
      </c>
      <c r="G17611" s="9">
        <v>5342.46</v>
      </c>
      <c r="H17611" s="8">
        <v>10847</v>
      </c>
    </row>
    <row r="17612" spans="2:8" ht="15" customHeight="1" x14ac:dyDescent="0.4">
      <c r="B17612" t="s">
        <v>7</v>
      </c>
      <c r="C17612" t="s">
        <v>2863</v>
      </c>
      <c r="D17612" s="7">
        <f>DATE(2013,6,6)</f>
        <v>41431</v>
      </c>
      <c r="E17612" s="8">
        <f t="shared" si="289"/>
        <v>2013</v>
      </c>
      <c r="F17612" t="s">
        <v>2865</v>
      </c>
      <c r="G17612" s="9">
        <v>5674.73</v>
      </c>
      <c r="H17612" s="8">
        <v>12487</v>
      </c>
    </row>
    <row r="17613" spans="2:8" ht="15" customHeight="1" x14ac:dyDescent="0.4">
      <c r="B17613" t="s">
        <v>7</v>
      </c>
      <c r="C17613" t="s">
        <v>2863</v>
      </c>
      <c r="D17613" s="7">
        <f>DATE(2013,8,1)</f>
        <v>41487</v>
      </c>
      <c r="E17613" s="8">
        <f t="shared" si="289"/>
        <v>2013</v>
      </c>
      <c r="F17613" t="s">
        <v>2865</v>
      </c>
      <c r="G17613" s="9">
        <v>5318.37</v>
      </c>
      <c r="H17613" s="8">
        <v>12580</v>
      </c>
    </row>
    <row r="17614" spans="2:8" ht="15" customHeight="1" x14ac:dyDescent="0.4">
      <c r="B17614" s="3" t="s">
        <v>7</v>
      </c>
      <c r="C17614" s="3" t="s">
        <v>2866</v>
      </c>
      <c r="D17614" s="4">
        <f>DATE(2005,1,31)</f>
        <v>38383</v>
      </c>
      <c r="E17614" s="5">
        <f t="shared" si="289"/>
        <v>2005</v>
      </c>
      <c r="F17614" s="3" t="s">
        <v>2867</v>
      </c>
      <c r="G17614" s="6">
        <v>379.49</v>
      </c>
      <c r="H17614" s="5">
        <v>935</v>
      </c>
    </row>
    <row r="17615" spans="2:8" ht="15" customHeight="1" x14ac:dyDescent="0.4">
      <c r="B17615" t="s">
        <v>7</v>
      </c>
      <c r="C17615" t="s">
        <v>2868</v>
      </c>
      <c r="D17615" s="7">
        <f>DATE(2019,2,18)</f>
        <v>43514</v>
      </c>
      <c r="E17615" s="8">
        <f t="shared" si="289"/>
        <v>2019</v>
      </c>
      <c r="F17615" t="s">
        <v>2869</v>
      </c>
      <c r="G17615" s="9">
        <v>13853</v>
      </c>
      <c r="H17615" s="8">
        <v>28355</v>
      </c>
    </row>
    <row r="17616" spans="2:8" ht="15" customHeight="1" x14ac:dyDescent="0.4">
      <c r="B17616" t="s">
        <v>7</v>
      </c>
      <c r="C17616" t="s">
        <v>2868</v>
      </c>
      <c r="D17616" s="7">
        <f>DATE(2019,4,4)</f>
        <v>43559</v>
      </c>
      <c r="E17616" s="8">
        <f t="shared" si="289"/>
        <v>2019</v>
      </c>
      <c r="F17616" t="s">
        <v>2869</v>
      </c>
      <c r="G17616" s="9">
        <v>11381.58</v>
      </c>
      <c r="H17616" s="8">
        <v>28563</v>
      </c>
    </row>
    <row r="17617" spans="2:8" ht="15" customHeight="1" x14ac:dyDescent="0.4">
      <c r="B17617" t="s">
        <v>7</v>
      </c>
      <c r="C17617" t="s">
        <v>2868</v>
      </c>
      <c r="D17617" s="7">
        <f>DATE(2018,12,27)</f>
        <v>43461</v>
      </c>
      <c r="E17617" s="8">
        <f t="shared" si="289"/>
        <v>2018</v>
      </c>
      <c r="F17617" t="s">
        <v>2869</v>
      </c>
      <c r="G17617" s="9">
        <v>10091.530000000001</v>
      </c>
      <c r="H17617" s="8">
        <v>28128</v>
      </c>
    </row>
    <row r="17618" spans="2:8" ht="15" customHeight="1" x14ac:dyDescent="0.4">
      <c r="B17618" t="s">
        <v>7</v>
      </c>
      <c r="C17618" t="s">
        <v>2868</v>
      </c>
      <c r="D17618" s="7">
        <f>DATE(2010,6,30)</f>
        <v>40359</v>
      </c>
      <c r="E17618" s="8">
        <f t="shared" si="289"/>
        <v>2010</v>
      </c>
      <c r="F17618" t="s">
        <v>2869</v>
      </c>
      <c r="G17618" s="9">
        <v>11997.5</v>
      </c>
      <c r="H17618" s="8">
        <v>9946</v>
      </c>
    </row>
    <row r="17619" spans="2:8" ht="15" customHeight="1" x14ac:dyDescent="0.4">
      <c r="B17619" t="s">
        <v>7</v>
      </c>
      <c r="C17619" t="s">
        <v>2868</v>
      </c>
      <c r="D17619" s="7">
        <f>DATE(2010,7,6)</f>
        <v>40365</v>
      </c>
      <c r="E17619" s="8">
        <f t="shared" si="289"/>
        <v>2010</v>
      </c>
      <c r="F17619" t="s">
        <v>2869</v>
      </c>
      <c r="G17619" s="9">
        <v>11997.5</v>
      </c>
      <c r="H17619" s="8">
        <v>9952</v>
      </c>
    </row>
    <row r="17620" spans="2:8" ht="15" customHeight="1" x14ac:dyDescent="0.4">
      <c r="B17620" t="s">
        <v>7</v>
      </c>
      <c r="C17620" t="s">
        <v>2868</v>
      </c>
      <c r="D17620" s="7">
        <f>DATE(2010,7,28)</f>
        <v>40387</v>
      </c>
      <c r="E17620" s="8">
        <f t="shared" si="289"/>
        <v>2010</v>
      </c>
      <c r="F17620" t="s">
        <v>2869</v>
      </c>
      <c r="G17620" s="9">
        <v>18066</v>
      </c>
      <c r="H17620" s="8">
        <v>9969</v>
      </c>
    </row>
    <row r="17621" spans="2:8" ht="15" customHeight="1" x14ac:dyDescent="0.4">
      <c r="B17621" t="s">
        <v>7</v>
      </c>
      <c r="C17621" t="s">
        <v>2868</v>
      </c>
      <c r="D17621" s="7">
        <f>DATE(2010,7,28)</f>
        <v>40387</v>
      </c>
      <c r="E17621" s="8">
        <f t="shared" si="289"/>
        <v>2010</v>
      </c>
      <c r="F17621" t="s">
        <v>2869</v>
      </c>
      <c r="G17621" s="9">
        <v>11997.5</v>
      </c>
      <c r="H17621" s="8">
        <v>9970</v>
      </c>
    </row>
    <row r="17622" spans="2:8" ht="15" customHeight="1" x14ac:dyDescent="0.4">
      <c r="B17622" t="s">
        <v>7</v>
      </c>
      <c r="C17622" t="s">
        <v>2868</v>
      </c>
      <c r="D17622" s="7">
        <f>DATE(2009,2,20)</f>
        <v>39864</v>
      </c>
      <c r="E17622" s="8">
        <f t="shared" si="289"/>
        <v>2009</v>
      </c>
      <c r="F17622" t="s">
        <v>2869</v>
      </c>
      <c r="G17622" s="9">
        <v>65500</v>
      </c>
      <c r="H17622" s="8">
        <v>8289</v>
      </c>
    </row>
    <row r="17623" spans="2:8" ht="15" customHeight="1" x14ac:dyDescent="0.4">
      <c r="B17623" t="s">
        <v>7</v>
      </c>
      <c r="C17623" t="s">
        <v>2868</v>
      </c>
      <c r="D17623" s="7">
        <f>DATE(2009,2,20)</f>
        <v>39864</v>
      </c>
      <c r="E17623" s="8">
        <f t="shared" si="289"/>
        <v>2009</v>
      </c>
      <c r="F17623" t="s">
        <v>2869</v>
      </c>
      <c r="G17623" s="9">
        <v>6379.4</v>
      </c>
      <c r="H17623" s="8">
        <v>8317</v>
      </c>
    </row>
    <row r="17624" spans="2:8" ht="15" customHeight="1" x14ac:dyDescent="0.4">
      <c r="B17624" t="s">
        <v>7</v>
      </c>
      <c r="C17624" t="s">
        <v>2868</v>
      </c>
      <c r="D17624" s="7">
        <f>DATE(2009,4,21)</f>
        <v>39924</v>
      </c>
      <c r="E17624" s="8">
        <f t="shared" si="289"/>
        <v>2009</v>
      </c>
      <c r="F17624" t="s">
        <v>2869</v>
      </c>
      <c r="G17624" s="9">
        <v>60146</v>
      </c>
      <c r="H17624" s="8">
        <v>8417</v>
      </c>
    </row>
    <row r="17625" spans="2:8" ht="15" customHeight="1" x14ac:dyDescent="0.4">
      <c r="B17625" t="s">
        <v>7</v>
      </c>
      <c r="C17625" t="s">
        <v>2870</v>
      </c>
      <c r="D17625" s="7">
        <f>DATE(2017,4,14)</f>
        <v>42839</v>
      </c>
      <c r="E17625" s="8">
        <f t="shared" si="289"/>
        <v>2017</v>
      </c>
      <c r="F17625" t="s">
        <v>2871</v>
      </c>
      <c r="G17625" s="9">
        <v>14370.05</v>
      </c>
      <c r="H17625" s="8">
        <v>24368</v>
      </c>
    </row>
    <row r="17626" spans="2:8" ht="15" customHeight="1" x14ac:dyDescent="0.4">
      <c r="B17626" t="s">
        <v>7</v>
      </c>
      <c r="C17626" t="s">
        <v>2870</v>
      </c>
      <c r="D17626" s="7">
        <f>DATE(2015,8,13)</f>
        <v>42229</v>
      </c>
      <c r="E17626" s="8">
        <f t="shared" si="289"/>
        <v>2015</v>
      </c>
      <c r="F17626" t="s">
        <v>2871</v>
      </c>
      <c r="G17626" s="9">
        <v>163.1</v>
      </c>
      <c r="H17626" s="8">
        <v>21083</v>
      </c>
    </row>
    <row r="17627" spans="2:8" ht="15" customHeight="1" x14ac:dyDescent="0.4">
      <c r="B17627" t="s">
        <v>7</v>
      </c>
      <c r="C17627" t="s">
        <v>2870</v>
      </c>
      <c r="D17627" s="7">
        <f>DATE(2015,11,27)</f>
        <v>42335</v>
      </c>
      <c r="E17627" s="8">
        <f t="shared" si="289"/>
        <v>2015</v>
      </c>
      <c r="F17627" t="s">
        <v>2871</v>
      </c>
      <c r="G17627" s="9">
        <v>3163.03</v>
      </c>
      <c r="H17627" s="8">
        <v>21685</v>
      </c>
    </row>
    <row r="17628" spans="2:8" ht="15" customHeight="1" x14ac:dyDescent="0.4">
      <c r="B17628" t="s">
        <v>7</v>
      </c>
      <c r="C17628" t="s">
        <v>2870</v>
      </c>
      <c r="D17628" s="7">
        <f>DATE(2016,1,8)</f>
        <v>42377</v>
      </c>
      <c r="E17628" s="8">
        <f t="shared" si="289"/>
        <v>2016</v>
      </c>
      <c r="F17628" t="s">
        <v>2871</v>
      </c>
      <c r="G17628" s="9">
        <v>938</v>
      </c>
      <c r="H17628" s="8">
        <v>21939</v>
      </c>
    </row>
    <row r="17629" spans="2:8" ht="15" customHeight="1" x14ac:dyDescent="0.4">
      <c r="B17629" t="s">
        <v>7</v>
      </c>
      <c r="C17629" t="s">
        <v>2870</v>
      </c>
      <c r="D17629" s="7">
        <f>DATE(2016,1,8)</f>
        <v>42377</v>
      </c>
      <c r="E17629" s="8">
        <f t="shared" si="289"/>
        <v>2016</v>
      </c>
      <c r="F17629" t="s">
        <v>2871</v>
      </c>
      <c r="G17629" s="9">
        <v>938</v>
      </c>
      <c r="H17629" s="8">
        <v>21940</v>
      </c>
    </row>
    <row r="17630" spans="2:8" ht="15" customHeight="1" x14ac:dyDescent="0.4">
      <c r="B17630" t="s">
        <v>7</v>
      </c>
      <c r="C17630" t="s">
        <v>2870</v>
      </c>
      <c r="D17630" s="7">
        <f>DATE(2016,3,16)</f>
        <v>42445</v>
      </c>
      <c r="E17630" s="8">
        <f t="shared" si="289"/>
        <v>2016</v>
      </c>
      <c r="F17630" t="s">
        <v>2871</v>
      </c>
      <c r="G17630" s="9">
        <v>1876</v>
      </c>
      <c r="H17630" s="8">
        <v>22397</v>
      </c>
    </row>
    <row r="17631" spans="2:8" ht="15" customHeight="1" x14ac:dyDescent="0.4">
      <c r="B17631" t="s">
        <v>7</v>
      </c>
      <c r="C17631" t="s">
        <v>2870</v>
      </c>
      <c r="D17631" s="7">
        <f>DATE(2016,4,12)</f>
        <v>42472</v>
      </c>
      <c r="E17631" s="8">
        <f t="shared" si="289"/>
        <v>2016</v>
      </c>
      <c r="F17631" t="s">
        <v>2871</v>
      </c>
      <c r="G17631" s="9">
        <v>468</v>
      </c>
      <c r="H17631" s="8">
        <v>22629</v>
      </c>
    </row>
    <row r="17632" spans="2:8" ht="15" customHeight="1" x14ac:dyDescent="0.4">
      <c r="B17632" t="s">
        <v>7</v>
      </c>
      <c r="C17632" t="s">
        <v>2870</v>
      </c>
      <c r="D17632" s="7">
        <f>DATE(2016,5,23)</f>
        <v>42513</v>
      </c>
      <c r="E17632" s="8">
        <f t="shared" si="289"/>
        <v>2016</v>
      </c>
      <c r="F17632" t="s">
        <v>2871</v>
      </c>
      <c r="G17632" s="9">
        <v>652.4</v>
      </c>
      <c r="H17632" s="8">
        <v>22870</v>
      </c>
    </row>
    <row r="17633" spans="2:8" ht="15" customHeight="1" x14ac:dyDescent="0.4">
      <c r="B17633" t="s">
        <v>7</v>
      </c>
      <c r="C17633" t="s">
        <v>2870</v>
      </c>
      <c r="D17633" s="7">
        <f>DATE(2016,9,22)</f>
        <v>42635</v>
      </c>
      <c r="E17633" s="8">
        <f t="shared" si="289"/>
        <v>2016</v>
      </c>
      <c r="F17633" t="s">
        <v>2871</v>
      </c>
      <c r="G17633" s="9">
        <v>8626.58</v>
      </c>
      <c r="H17633" s="8">
        <v>23378</v>
      </c>
    </row>
    <row r="17634" spans="2:8" ht="15" customHeight="1" x14ac:dyDescent="0.4">
      <c r="B17634" t="s">
        <v>7</v>
      </c>
      <c r="C17634" t="s">
        <v>2870</v>
      </c>
      <c r="D17634" s="7">
        <f>DATE(2017,4,3)</f>
        <v>42828</v>
      </c>
      <c r="E17634" s="8">
        <f t="shared" si="289"/>
        <v>2017</v>
      </c>
      <c r="F17634" t="s">
        <v>2871</v>
      </c>
      <c r="G17634" s="9">
        <v>2205</v>
      </c>
      <c r="H17634" s="8">
        <v>24634</v>
      </c>
    </row>
    <row r="17635" spans="2:8" ht="15" customHeight="1" x14ac:dyDescent="0.4">
      <c r="B17635" t="s">
        <v>7</v>
      </c>
      <c r="C17635" t="s">
        <v>2870</v>
      </c>
      <c r="D17635" s="7">
        <f>DATE(2017,11,6)</f>
        <v>43045</v>
      </c>
      <c r="E17635" s="8">
        <f t="shared" si="289"/>
        <v>2017</v>
      </c>
      <c r="F17635" t="s">
        <v>2871</v>
      </c>
      <c r="G17635" s="9">
        <v>3068.75</v>
      </c>
      <c r="H17635" s="8">
        <v>25763</v>
      </c>
    </row>
    <row r="17636" spans="2:8" ht="15" customHeight="1" x14ac:dyDescent="0.4">
      <c r="B17636" t="s">
        <v>7</v>
      </c>
      <c r="C17636" t="s">
        <v>2870</v>
      </c>
      <c r="D17636" s="7">
        <f>DATE(2017,11,14)</f>
        <v>43053</v>
      </c>
      <c r="E17636" s="8">
        <f t="shared" si="289"/>
        <v>2017</v>
      </c>
      <c r="F17636" t="s">
        <v>2871</v>
      </c>
      <c r="G17636" s="9">
        <v>1323</v>
      </c>
      <c r="H17636" s="8">
        <v>25904</v>
      </c>
    </row>
    <row r="17637" spans="2:8" ht="15" customHeight="1" x14ac:dyDescent="0.4">
      <c r="B17637" t="s">
        <v>7</v>
      </c>
      <c r="C17637" t="s">
        <v>2870</v>
      </c>
      <c r="D17637" s="7">
        <f>DATE(2018,11,2)</f>
        <v>43406</v>
      </c>
      <c r="E17637" s="8">
        <f t="shared" si="289"/>
        <v>2018</v>
      </c>
      <c r="F17637" t="s">
        <v>2871</v>
      </c>
      <c r="G17637" s="9">
        <v>2263.17</v>
      </c>
      <c r="H17637" s="8">
        <v>27875</v>
      </c>
    </row>
    <row r="17638" spans="2:8" ht="15" customHeight="1" x14ac:dyDescent="0.4">
      <c r="B17638" t="s">
        <v>7</v>
      </c>
      <c r="C17638" t="s">
        <v>2870</v>
      </c>
      <c r="D17638" s="7">
        <f>DATE(2019,4,4)</f>
        <v>43559</v>
      </c>
      <c r="E17638" s="8">
        <f t="shared" si="289"/>
        <v>2019</v>
      </c>
      <c r="F17638" t="s">
        <v>2871</v>
      </c>
      <c r="G17638" s="9">
        <v>1322.8</v>
      </c>
      <c r="H17638" s="8">
        <v>28712</v>
      </c>
    </row>
    <row r="17639" spans="2:8" ht="15" customHeight="1" x14ac:dyDescent="0.4">
      <c r="B17639" t="s">
        <v>7</v>
      </c>
      <c r="C17639" t="s">
        <v>2870</v>
      </c>
      <c r="D17639" s="7">
        <f>DATE(2019,4,4)</f>
        <v>43559</v>
      </c>
      <c r="E17639" s="8">
        <f t="shared" si="289"/>
        <v>2019</v>
      </c>
      <c r="F17639" t="s">
        <v>2871</v>
      </c>
      <c r="G17639" s="9">
        <v>2822.38</v>
      </c>
      <c r="H17639" s="8">
        <v>28712</v>
      </c>
    </row>
    <row r="17640" spans="2:8" ht="15" customHeight="1" x14ac:dyDescent="0.4">
      <c r="B17640" t="s">
        <v>7</v>
      </c>
      <c r="C17640" t="s">
        <v>2870</v>
      </c>
      <c r="D17640" s="7">
        <f>DATE(2015,12,22)</f>
        <v>42360</v>
      </c>
      <c r="E17640" s="8">
        <f t="shared" si="289"/>
        <v>2015</v>
      </c>
      <c r="F17640" t="s">
        <v>2871</v>
      </c>
      <c r="G17640" s="9">
        <v>8915</v>
      </c>
      <c r="H17640" s="8">
        <v>21783</v>
      </c>
    </row>
    <row r="17641" spans="2:8" ht="15" customHeight="1" x14ac:dyDescent="0.4">
      <c r="B17641" t="s">
        <v>7</v>
      </c>
      <c r="C17641" t="s">
        <v>2870</v>
      </c>
      <c r="D17641" s="7">
        <f>DATE(2016,12,28)</f>
        <v>42732</v>
      </c>
      <c r="E17641" s="8">
        <f t="shared" si="289"/>
        <v>2016</v>
      </c>
      <c r="F17641" t="s">
        <v>2871</v>
      </c>
      <c r="G17641" s="9">
        <v>10055.73</v>
      </c>
      <c r="H17641" s="8">
        <v>23974</v>
      </c>
    </row>
    <row r="17642" spans="2:8" ht="15" customHeight="1" x14ac:dyDescent="0.4">
      <c r="B17642" t="s">
        <v>7</v>
      </c>
      <c r="C17642" t="s">
        <v>2870</v>
      </c>
      <c r="D17642" s="7">
        <f>DATE(2019,1,28)</f>
        <v>43493</v>
      </c>
      <c r="E17642" s="8">
        <f t="shared" si="289"/>
        <v>2019</v>
      </c>
      <c r="F17642" t="s">
        <v>2871</v>
      </c>
      <c r="G17642" s="9">
        <v>7506.62</v>
      </c>
      <c r="H17642" s="8">
        <v>28201</v>
      </c>
    </row>
    <row r="17643" spans="2:8" ht="15" customHeight="1" x14ac:dyDescent="0.4">
      <c r="B17643" t="s">
        <v>7</v>
      </c>
      <c r="C17643" t="s">
        <v>2870</v>
      </c>
      <c r="D17643" s="7">
        <f>DATE(2012,2,17)</f>
        <v>40956</v>
      </c>
      <c r="E17643" s="8">
        <f t="shared" si="289"/>
        <v>2012</v>
      </c>
      <c r="F17643" t="s">
        <v>2871</v>
      </c>
      <c r="G17643" s="9">
        <v>7602.46</v>
      </c>
      <c r="H17643" s="8">
        <v>11314</v>
      </c>
    </row>
    <row r="17644" spans="2:8" ht="15" customHeight="1" x14ac:dyDescent="0.4">
      <c r="B17644" t="s">
        <v>7</v>
      </c>
      <c r="C17644" t="s">
        <v>2870</v>
      </c>
      <c r="D17644" s="7">
        <f>DATE(2012,7,19)</f>
        <v>41109</v>
      </c>
      <c r="E17644" s="8">
        <f t="shared" si="289"/>
        <v>2012</v>
      </c>
      <c r="F17644" t="s">
        <v>2871</v>
      </c>
      <c r="G17644" s="9">
        <v>9336.7099999999991</v>
      </c>
      <c r="H17644" s="8">
        <v>11730</v>
      </c>
    </row>
    <row r="17645" spans="2:8" ht="15" customHeight="1" x14ac:dyDescent="0.4">
      <c r="B17645" t="s">
        <v>7</v>
      </c>
      <c r="C17645" t="s">
        <v>2870</v>
      </c>
      <c r="D17645" s="7">
        <f>DATE(2012,11,12)</f>
        <v>41225</v>
      </c>
      <c r="E17645" s="8">
        <f t="shared" si="289"/>
        <v>2012</v>
      </c>
      <c r="F17645" t="s">
        <v>2871</v>
      </c>
      <c r="G17645" s="9">
        <v>15643.48</v>
      </c>
      <c r="H17645" s="8">
        <v>11952</v>
      </c>
    </row>
    <row r="17646" spans="2:8" ht="15" customHeight="1" x14ac:dyDescent="0.4">
      <c r="B17646" s="3" t="s">
        <v>7</v>
      </c>
      <c r="C17646" s="3" t="s">
        <v>2870</v>
      </c>
      <c r="D17646" s="4">
        <f>DATE(2007,10,10)</f>
        <v>39365</v>
      </c>
      <c r="E17646" s="5">
        <f t="shared" si="289"/>
        <v>2007</v>
      </c>
      <c r="F17646" s="3" t="s">
        <v>2871</v>
      </c>
      <c r="G17646" s="6">
        <v>446.16</v>
      </c>
      <c r="H17646" s="5">
        <v>9299</v>
      </c>
    </row>
    <row r="17647" spans="2:8" ht="15" customHeight="1" x14ac:dyDescent="0.4">
      <c r="B17647" s="3" t="s">
        <v>7</v>
      </c>
      <c r="C17647" s="3" t="s">
        <v>2870</v>
      </c>
      <c r="D17647" s="4">
        <f>DATE(2008,4,7)</f>
        <v>39545</v>
      </c>
      <c r="E17647" s="5">
        <f t="shared" si="289"/>
        <v>2008</v>
      </c>
      <c r="F17647" s="3" t="s">
        <v>2871</v>
      </c>
      <c r="G17647" s="6">
        <v>99.5</v>
      </c>
      <c r="H17647" s="5">
        <v>10406</v>
      </c>
    </row>
    <row r="17648" spans="2:8" ht="15" customHeight="1" x14ac:dyDescent="0.4">
      <c r="B17648" s="3" t="s">
        <v>7</v>
      </c>
      <c r="C17648" s="3" t="s">
        <v>2870</v>
      </c>
      <c r="D17648" s="4">
        <f>DATE(2008,12,30)</f>
        <v>39812</v>
      </c>
      <c r="E17648" s="5">
        <f t="shared" si="289"/>
        <v>2008</v>
      </c>
      <c r="F17648" s="3" t="s">
        <v>2871</v>
      </c>
      <c r="G17648" s="6">
        <v>469</v>
      </c>
      <c r="H17648" s="5">
        <v>11731</v>
      </c>
    </row>
    <row r="17649" spans="2:8" ht="15" customHeight="1" x14ac:dyDescent="0.4">
      <c r="B17649" s="3" t="s">
        <v>7</v>
      </c>
      <c r="C17649" s="3" t="s">
        <v>2870</v>
      </c>
      <c r="D17649" s="4">
        <f>DATE(2009,3,11)</f>
        <v>39883</v>
      </c>
      <c r="E17649" s="5">
        <f t="shared" si="289"/>
        <v>2009</v>
      </c>
      <c r="F17649" s="3" t="s">
        <v>2871</v>
      </c>
      <c r="G17649" s="6">
        <v>760</v>
      </c>
      <c r="H17649" s="5">
        <v>12120</v>
      </c>
    </row>
    <row r="17650" spans="2:8" ht="15" customHeight="1" x14ac:dyDescent="0.4">
      <c r="B17650" s="3" t="s">
        <v>7</v>
      </c>
      <c r="C17650" s="3" t="s">
        <v>2870</v>
      </c>
      <c r="D17650" s="4">
        <f>DATE(2009,11,13)</f>
        <v>40130</v>
      </c>
      <c r="E17650" s="5">
        <f t="shared" si="289"/>
        <v>2009</v>
      </c>
      <c r="F17650" s="3" t="s">
        <v>2871</v>
      </c>
      <c r="G17650" s="6">
        <v>478</v>
      </c>
      <c r="H17650" s="5">
        <v>13262</v>
      </c>
    </row>
    <row r="17651" spans="2:8" ht="15" customHeight="1" x14ac:dyDescent="0.4">
      <c r="B17651" s="3" t="s">
        <v>7</v>
      </c>
      <c r="C17651" s="3" t="s">
        <v>2870</v>
      </c>
      <c r="D17651" s="4">
        <f>DATE(2010,2,17)</f>
        <v>40226</v>
      </c>
      <c r="E17651" s="5">
        <f t="shared" si="289"/>
        <v>2010</v>
      </c>
      <c r="F17651" s="3" t="s">
        <v>2871</v>
      </c>
      <c r="G17651" s="6">
        <v>68</v>
      </c>
      <c r="H17651" s="5">
        <v>13577</v>
      </c>
    </row>
    <row r="17652" spans="2:8" ht="15" customHeight="1" x14ac:dyDescent="0.4">
      <c r="B17652" s="3" t="s">
        <v>7</v>
      </c>
      <c r="C17652" s="3" t="s">
        <v>2870</v>
      </c>
      <c r="D17652" s="4">
        <f>DATE(2011,1,21)</f>
        <v>40564</v>
      </c>
      <c r="E17652" s="5">
        <f t="shared" si="289"/>
        <v>2011</v>
      </c>
      <c r="F17652" s="3" t="s">
        <v>2871</v>
      </c>
      <c r="G17652" s="6">
        <v>293</v>
      </c>
      <c r="H17652" s="5">
        <v>14946</v>
      </c>
    </row>
    <row r="17653" spans="2:8" ht="15" customHeight="1" x14ac:dyDescent="0.4">
      <c r="B17653" s="3" t="s">
        <v>7</v>
      </c>
      <c r="C17653" s="3" t="s">
        <v>2870</v>
      </c>
      <c r="D17653" s="4">
        <f>DATE(2011,3,15)</f>
        <v>40617</v>
      </c>
      <c r="E17653" s="5">
        <f t="shared" si="289"/>
        <v>2011</v>
      </c>
      <c r="F17653" s="3" t="s">
        <v>2871</v>
      </c>
      <c r="G17653" s="6">
        <v>828</v>
      </c>
      <c r="H17653" s="5">
        <v>15242</v>
      </c>
    </row>
    <row r="17654" spans="2:8" ht="15" customHeight="1" x14ac:dyDescent="0.4">
      <c r="B17654" s="3" t="s">
        <v>7</v>
      </c>
      <c r="C17654" s="3" t="s">
        <v>2870</v>
      </c>
      <c r="D17654" s="4">
        <f>DATE(2013,1,17)</f>
        <v>41291</v>
      </c>
      <c r="E17654" s="5">
        <f t="shared" si="289"/>
        <v>2013</v>
      </c>
      <c r="F17654" s="3" t="s">
        <v>2871</v>
      </c>
      <c r="G17654" s="6">
        <v>938</v>
      </c>
      <c r="H17654" s="5">
        <v>17994</v>
      </c>
    </row>
    <row r="17655" spans="2:8" ht="15" customHeight="1" x14ac:dyDescent="0.4">
      <c r="B17655" s="3" t="s">
        <v>7</v>
      </c>
      <c r="C17655" s="3" t="s">
        <v>2870</v>
      </c>
      <c r="D17655" s="4">
        <f>DATE(2013,4,1)</f>
        <v>41365</v>
      </c>
      <c r="E17655" s="5">
        <f t="shared" si="289"/>
        <v>2013</v>
      </c>
      <c r="F17655" s="3" t="s">
        <v>2871</v>
      </c>
      <c r="G17655" s="6">
        <v>2500</v>
      </c>
      <c r="H17655" s="5">
        <v>18364</v>
      </c>
    </row>
    <row r="17656" spans="2:8" ht="15" customHeight="1" x14ac:dyDescent="0.4">
      <c r="B17656" s="3" t="s">
        <v>7</v>
      </c>
      <c r="C17656" s="3" t="s">
        <v>2870</v>
      </c>
      <c r="D17656" s="4">
        <f>DATE(2013,9,20)</f>
        <v>41537</v>
      </c>
      <c r="E17656" s="5">
        <f t="shared" si="289"/>
        <v>2013</v>
      </c>
      <c r="F17656" s="3" t="s">
        <v>2871</v>
      </c>
      <c r="G17656" s="6">
        <v>4577.58</v>
      </c>
      <c r="H17656" s="5">
        <v>18977</v>
      </c>
    </row>
    <row r="17657" spans="2:8" ht="15" customHeight="1" x14ac:dyDescent="0.4">
      <c r="B17657" s="3" t="s">
        <v>7</v>
      </c>
      <c r="C17657" s="3" t="s">
        <v>2870</v>
      </c>
      <c r="D17657" s="4">
        <f>DATE(2014,3,5)</f>
        <v>41703</v>
      </c>
      <c r="E17657" s="5">
        <f t="shared" si="289"/>
        <v>2014</v>
      </c>
      <c r="F17657" s="3" t="s">
        <v>2871</v>
      </c>
      <c r="G17657" s="6">
        <v>204</v>
      </c>
      <c r="H17657" s="5">
        <v>19592</v>
      </c>
    </row>
    <row r="17658" spans="2:8" ht="15" customHeight="1" x14ac:dyDescent="0.4">
      <c r="B17658" s="3" t="s">
        <v>7</v>
      </c>
      <c r="C17658" s="3" t="s">
        <v>2870</v>
      </c>
      <c r="D17658" s="4">
        <f>DATE(2014,4,11)</f>
        <v>41740</v>
      </c>
      <c r="E17658" s="5">
        <f t="shared" si="289"/>
        <v>2014</v>
      </c>
      <c r="F17658" s="3" t="s">
        <v>2871</v>
      </c>
      <c r="G17658" s="6">
        <v>5082.0200000000004</v>
      </c>
      <c r="H17658" s="5">
        <v>19757</v>
      </c>
    </row>
    <row r="17659" spans="2:8" ht="15" customHeight="1" x14ac:dyDescent="0.4">
      <c r="B17659" s="3" t="s">
        <v>7</v>
      </c>
      <c r="C17659" s="3" t="s">
        <v>2870</v>
      </c>
      <c r="D17659" s="4">
        <f>DATE(2014,9,25)</f>
        <v>41907</v>
      </c>
      <c r="E17659" s="5">
        <f t="shared" si="289"/>
        <v>2014</v>
      </c>
      <c r="F17659" s="3" t="s">
        <v>2871</v>
      </c>
      <c r="G17659" s="6">
        <v>6081.64</v>
      </c>
      <c r="H17659" s="5">
        <v>20349</v>
      </c>
    </row>
    <row r="17660" spans="2:8" ht="15" customHeight="1" x14ac:dyDescent="0.4">
      <c r="B17660" s="3" t="s">
        <v>7</v>
      </c>
      <c r="C17660" s="3" t="s">
        <v>2870</v>
      </c>
      <c r="D17660" s="4">
        <f>DATE(2014,10,2)</f>
        <v>41914</v>
      </c>
      <c r="E17660" s="5">
        <f t="shared" si="289"/>
        <v>2014</v>
      </c>
      <c r="F17660" s="3" t="s">
        <v>2871</v>
      </c>
      <c r="G17660" s="6">
        <v>6495.12</v>
      </c>
      <c r="H17660" s="5">
        <v>20437</v>
      </c>
    </row>
    <row r="17661" spans="2:8" ht="15" customHeight="1" x14ac:dyDescent="0.4">
      <c r="B17661" s="3" t="s">
        <v>7</v>
      </c>
      <c r="C17661" s="3" t="s">
        <v>2870</v>
      </c>
      <c r="D17661" s="4">
        <f>DATE(2006,1,6)</f>
        <v>38723</v>
      </c>
      <c r="E17661" s="5">
        <f t="shared" si="289"/>
        <v>2006</v>
      </c>
      <c r="F17661" s="3" t="s">
        <v>2872</v>
      </c>
      <c r="G17661" s="6">
        <v>5075</v>
      </c>
      <c r="H17661" s="5">
        <v>5782</v>
      </c>
    </row>
    <row r="17662" spans="2:8" ht="15" customHeight="1" x14ac:dyDescent="0.4">
      <c r="B17662" s="3" t="s">
        <v>7</v>
      </c>
      <c r="C17662" s="3" t="s">
        <v>2870</v>
      </c>
      <c r="D17662" s="4">
        <f>DATE(2006,1,25)</f>
        <v>38742</v>
      </c>
      <c r="E17662" s="5">
        <f t="shared" si="289"/>
        <v>2006</v>
      </c>
      <c r="F17662" s="3" t="s">
        <v>2872</v>
      </c>
      <c r="G17662" s="6">
        <v>435</v>
      </c>
      <c r="H17662" s="5">
        <v>5907</v>
      </c>
    </row>
    <row r="17663" spans="2:8" ht="15" customHeight="1" x14ac:dyDescent="0.4">
      <c r="B17663" s="3" t="s">
        <v>7</v>
      </c>
      <c r="C17663" s="3" t="s">
        <v>2870</v>
      </c>
      <c r="D17663" s="4">
        <f>DATE(2006,2,7)</f>
        <v>38755</v>
      </c>
      <c r="E17663" s="5">
        <f t="shared" si="289"/>
        <v>2006</v>
      </c>
      <c r="F17663" s="3" t="s">
        <v>2872</v>
      </c>
      <c r="G17663" s="6">
        <v>79.25</v>
      </c>
      <c r="H17663" s="5">
        <v>5996</v>
      </c>
    </row>
    <row r="17664" spans="2:8" ht="15" customHeight="1" x14ac:dyDescent="0.4">
      <c r="B17664" s="3" t="s">
        <v>7</v>
      </c>
      <c r="C17664" s="3" t="s">
        <v>2870</v>
      </c>
      <c r="D17664" s="4">
        <f>DATE(2006,2,9)</f>
        <v>38757</v>
      </c>
      <c r="E17664" s="5">
        <f t="shared" si="289"/>
        <v>2006</v>
      </c>
      <c r="F17664" s="3" t="s">
        <v>2872</v>
      </c>
      <c r="G17664" s="6">
        <v>363.56</v>
      </c>
      <c r="H17664" s="5">
        <v>6012</v>
      </c>
    </row>
    <row r="17665" spans="2:8" ht="15" customHeight="1" x14ac:dyDescent="0.4">
      <c r="B17665" s="3" t="s">
        <v>7</v>
      </c>
      <c r="C17665" s="3" t="s">
        <v>2870</v>
      </c>
      <c r="D17665" s="4">
        <f>DATE(2007,3,21)</f>
        <v>39162</v>
      </c>
      <c r="E17665" s="5">
        <f t="shared" si="289"/>
        <v>2007</v>
      </c>
      <c r="F17665" s="3" t="s">
        <v>2872</v>
      </c>
      <c r="G17665" s="6">
        <v>820</v>
      </c>
      <c r="H17665" s="5">
        <v>8128</v>
      </c>
    </row>
    <row r="17666" spans="2:8" ht="15" customHeight="1" x14ac:dyDescent="0.4">
      <c r="B17666" s="3" t="s">
        <v>7</v>
      </c>
      <c r="C17666" s="3" t="s">
        <v>2870</v>
      </c>
      <c r="D17666" s="4">
        <f>DATE(2007,4,10)</f>
        <v>39182</v>
      </c>
      <c r="E17666" s="5">
        <f t="shared" si="289"/>
        <v>2007</v>
      </c>
      <c r="F17666" s="3" t="s">
        <v>2872</v>
      </c>
      <c r="G17666" s="6">
        <v>444.25</v>
      </c>
      <c r="H17666" s="5">
        <v>8347</v>
      </c>
    </row>
    <row r="17667" spans="2:8" ht="15" customHeight="1" x14ac:dyDescent="0.4">
      <c r="B17667" s="3" t="s">
        <v>16</v>
      </c>
      <c r="C17667" s="3" t="s">
        <v>2870</v>
      </c>
      <c r="D17667" s="4">
        <f>DATE(2007,4,9)</f>
        <v>39181</v>
      </c>
      <c r="E17667" s="5">
        <f t="shared" ref="E17667:E17730" si="290">YEAR(D17667)</f>
        <v>2007</v>
      </c>
      <c r="F17667" s="3" t="s">
        <v>2872</v>
      </c>
      <c r="G17667" s="6">
        <v>400</v>
      </c>
      <c r="H17667" s="5">
        <v>8346</v>
      </c>
    </row>
    <row r="17668" spans="2:8" ht="15" customHeight="1" x14ac:dyDescent="0.4">
      <c r="B17668" s="3" t="s">
        <v>7</v>
      </c>
      <c r="C17668" s="3" t="s">
        <v>2870</v>
      </c>
      <c r="D17668" s="4">
        <f>DATE(2003,3,6)</f>
        <v>37686</v>
      </c>
      <c r="E17668" s="5">
        <f t="shared" si="290"/>
        <v>2003</v>
      </c>
      <c r="F17668" s="3" t="s">
        <v>2873</v>
      </c>
      <c r="G17668" s="6">
        <v>3678.4</v>
      </c>
      <c r="H17668" s="5">
        <v>471</v>
      </c>
    </row>
    <row r="17669" spans="2:8" ht="15" customHeight="1" x14ac:dyDescent="0.4">
      <c r="B17669" s="3" t="s">
        <v>7</v>
      </c>
      <c r="C17669" s="3" t="s">
        <v>2870</v>
      </c>
      <c r="D17669" s="4">
        <f>DATE(2004,3,15)</f>
        <v>38061</v>
      </c>
      <c r="E17669" s="5">
        <f t="shared" si="290"/>
        <v>2004</v>
      </c>
      <c r="F17669" s="3" t="s">
        <v>2873</v>
      </c>
      <c r="G17669" s="6">
        <v>203.5</v>
      </c>
      <c r="H17669" s="5">
        <v>2387</v>
      </c>
    </row>
    <row r="17670" spans="2:8" ht="15" customHeight="1" x14ac:dyDescent="0.4">
      <c r="B17670" s="3" t="s">
        <v>7</v>
      </c>
      <c r="C17670" s="3" t="s">
        <v>2870</v>
      </c>
      <c r="D17670" s="4">
        <f>DATE(2004,3,29)</f>
        <v>38075</v>
      </c>
      <c r="E17670" s="5">
        <f t="shared" si="290"/>
        <v>2004</v>
      </c>
      <c r="F17670" s="3" t="s">
        <v>2873</v>
      </c>
      <c r="G17670" s="6">
        <v>496</v>
      </c>
      <c r="H17670" s="5">
        <v>2514</v>
      </c>
    </row>
    <row r="17671" spans="2:8" ht="15" customHeight="1" x14ac:dyDescent="0.4">
      <c r="B17671" s="3" t="s">
        <v>7</v>
      </c>
      <c r="C17671" s="3" t="s">
        <v>2870</v>
      </c>
      <c r="D17671" s="4">
        <f>DATE(2004,3,31)</f>
        <v>38077</v>
      </c>
      <c r="E17671" s="5">
        <f t="shared" si="290"/>
        <v>2004</v>
      </c>
      <c r="F17671" s="3" t="s">
        <v>2873</v>
      </c>
      <c r="G17671" s="6">
        <v>557.25</v>
      </c>
      <c r="H17671" s="5">
        <v>2540</v>
      </c>
    </row>
    <row r="17672" spans="2:8" ht="15" customHeight="1" x14ac:dyDescent="0.4">
      <c r="B17672" s="3" t="s">
        <v>7</v>
      </c>
      <c r="C17672" s="3" t="s">
        <v>2870</v>
      </c>
      <c r="D17672" s="4">
        <f>DATE(2004,4,2)</f>
        <v>38079</v>
      </c>
      <c r="E17672" s="5">
        <f t="shared" si="290"/>
        <v>2004</v>
      </c>
      <c r="F17672" s="3" t="s">
        <v>2873</v>
      </c>
      <c r="G17672" s="6">
        <v>295.5</v>
      </c>
      <c r="H17672" s="5">
        <v>2564</v>
      </c>
    </row>
    <row r="17673" spans="2:8" ht="15" customHeight="1" x14ac:dyDescent="0.4">
      <c r="B17673" s="3" t="s">
        <v>7</v>
      </c>
      <c r="C17673" s="3" t="s">
        <v>2870</v>
      </c>
      <c r="D17673" s="4">
        <f>DATE(2005,3,21)</f>
        <v>38432</v>
      </c>
      <c r="E17673" s="5">
        <f t="shared" si="290"/>
        <v>2005</v>
      </c>
      <c r="F17673" s="3" t="s">
        <v>2873</v>
      </c>
      <c r="G17673" s="6">
        <v>421</v>
      </c>
      <c r="H17673" s="5">
        <v>4379</v>
      </c>
    </row>
    <row r="17674" spans="2:8" ht="15" customHeight="1" x14ac:dyDescent="0.4">
      <c r="B17674" s="3" t="s">
        <v>7</v>
      </c>
      <c r="C17674" s="3" t="s">
        <v>2870</v>
      </c>
      <c r="D17674" s="4">
        <f>DATE(2005,4,5)</f>
        <v>38447</v>
      </c>
      <c r="E17674" s="5">
        <f t="shared" si="290"/>
        <v>2005</v>
      </c>
      <c r="F17674" s="3" t="s">
        <v>2873</v>
      </c>
      <c r="G17674" s="6">
        <v>616</v>
      </c>
      <c r="H17674" s="5">
        <v>4503</v>
      </c>
    </row>
    <row r="17675" spans="2:8" ht="15" customHeight="1" x14ac:dyDescent="0.4">
      <c r="B17675" s="3" t="s">
        <v>16</v>
      </c>
      <c r="C17675" s="3" t="s">
        <v>2870</v>
      </c>
      <c r="D17675" s="4">
        <f>DATE(2004,4,13)</f>
        <v>38090</v>
      </c>
      <c r="E17675" s="5">
        <f t="shared" si="290"/>
        <v>2004</v>
      </c>
      <c r="F17675" s="3" t="s">
        <v>2873</v>
      </c>
      <c r="G17675" s="6">
        <v>187.5</v>
      </c>
      <c r="H17675" s="5">
        <v>2516</v>
      </c>
    </row>
    <row r="17676" spans="2:8" ht="15" customHeight="1" x14ac:dyDescent="0.4">
      <c r="B17676" s="3" t="s">
        <v>16</v>
      </c>
      <c r="C17676" s="3" t="s">
        <v>2870</v>
      </c>
      <c r="D17676" s="4">
        <f>DATE(2004,4,13)</f>
        <v>38090</v>
      </c>
      <c r="E17676" s="5">
        <f t="shared" si="290"/>
        <v>2004</v>
      </c>
      <c r="F17676" s="3" t="s">
        <v>2873</v>
      </c>
      <c r="G17676" s="6">
        <v>375</v>
      </c>
      <c r="H17676" s="5">
        <v>2541</v>
      </c>
    </row>
    <row r="17677" spans="2:8" ht="15" customHeight="1" x14ac:dyDescent="0.4">
      <c r="B17677" t="s">
        <v>7</v>
      </c>
      <c r="C17677" t="s">
        <v>2874</v>
      </c>
      <c r="D17677" s="7">
        <f>DATE(2015,3,19)</f>
        <v>42082</v>
      </c>
      <c r="E17677" s="8">
        <f t="shared" si="290"/>
        <v>2015</v>
      </c>
      <c r="F17677" t="s">
        <v>2875</v>
      </c>
      <c r="G17677" s="9">
        <v>11589.04</v>
      </c>
      <c r="H17677" s="8">
        <v>20056</v>
      </c>
    </row>
    <row r="17678" spans="2:8" ht="15" customHeight="1" x14ac:dyDescent="0.4">
      <c r="B17678" t="s">
        <v>7</v>
      </c>
      <c r="C17678" t="s">
        <v>2874</v>
      </c>
      <c r="D17678" s="7">
        <f>DATE(2016,1,26)</f>
        <v>42395</v>
      </c>
      <c r="E17678" s="8">
        <f t="shared" si="290"/>
        <v>2016</v>
      </c>
      <c r="F17678" t="s">
        <v>2875</v>
      </c>
      <c r="G17678" s="9">
        <v>13147</v>
      </c>
      <c r="H17678" s="8">
        <v>21985</v>
      </c>
    </row>
    <row r="17679" spans="2:8" ht="15" customHeight="1" x14ac:dyDescent="0.4">
      <c r="B17679" t="s">
        <v>7</v>
      </c>
      <c r="C17679" t="s">
        <v>2874</v>
      </c>
      <c r="D17679" s="7">
        <f>DATE(2017,7,24)</f>
        <v>42940</v>
      </c>
      <c r="E17679" s="8">
        <f t="shared" si="290"/>
        <v>2017</v>
      </c>
      <c r="F17679" t="s">
        <v>2875</v>
      </c>
      <c r="G17679" s="9">
        <v>11990</v>
      </c>
      <c r="H17679" s="8">
        <v>25147</v>
      </c>
    </row>
    <row r="17680" spans="2:8" ht="15" customHeight="1" x14ac:dyDescent="0.4">
      <c r="B17680" t="s">
        <v>7</v>
      </c>
      <c r="C17680" t="s">
        <v>2874</v>
      </c>
      <c r="D17680" s="7">
        <f>DATE(2017,10,10)</f>
        <v>43018</v>
      </c>
      <c r="E17680" s="8">
        <f t="shared" si="290"/>
        <v>2017</v>
      </c>
      <c r="F17680" t="s">
        <v>2875</v>
      </c>
      <c r="G17680" s="9">
        <v>6356.18</v>
      </c>
      <c r="H17680" s="8">
        <v>25136</v>
      </c>
    </row>
    <row r="17681" spans="2:8" ht="15" customHeight="1" x14ac:dyDescent="0.4">
      <c r="B17681" t="s">
        <v>7</v>
      </c>
      <c r="C17681" t="s">
        <v>2874</v>
      </c>
      <c r="D17681" s="7">
        <f>DATE(2017,10,23)</f>
        <v>43031</v>
      </c>
      <c r="E17681" s="8">
        <f t="shared" si="290"/>
        <v>2017</v>
      </c>
      <c r="F17681" t="s">
        <v>2875</v>
      </c>
      <c r="G17681" s="9">
        <v>5307</v>
      </c>
      <c r="H17681" s="8">
        <v>25652</v>
      </c>
    </row>
    <row r="17682" spans="2:8" ht="15" customHeight="1" x14ac:dyDescent="0.4">
      <c r="B17682" t="s">
        <v>7</v>
      </c>
      <c r="C17682" t="s">
        <v>2874</v>
      </c>
      <c r="D17682" s="7">
        <f>DATE(2017,10,23)</f>
        <v>43031</v>
      </c>
      <c r="E17682" s="8">
        <f t="shared" si="290"/>
        <v>2017</v>
      </c>
      <c r="F17682" t="s">
        <v>2875</v>
      </c>
      <c r="G17682" s="9">
        <v>7787.72</v>
      </c>
      <c r="H17682" s="8">
        <v>25613</v>
      </c>
    </row>
    <row r="17683" spans="2:8" ht="15" customHeight="1" x14ac:dyDescent="0.4">
      <c r="B17683" t="s">
        <v>7</v>
      </c>
      <c r="C17683" t="s">
        <v>2874</v>
      </c>
      <c r="D17683" s="7">
        <f>DATE(2018,6,21)</f>
        <v>43272</v>
      </c>
      <c r="E17683" s="8">
        <f t="shared" si="290"/>
        <v>2018</v>
      </c>
      <c r="F17683" t="s">
        <v>2875</v>
      </c>
      <c r="G17683" s="9">
        <v>9969.0400000000009</v>
      </c>
      <c r="H17683" s="8">
        <v>26912</v>
      </c>
    </row>
    <row r="17684" spans="2:8" ht="15" customHeight="1" x14ac:dyDescent="0.4">
      <c r="B17684" t="s">
        <v>7</v>
      </c>
      <c r="C17684" t="s">
        <v>2874</v>
      </c>
      <c r="D17684" s="7">
        <f>DATE(2019,4,25)</f>
        <v>43580</v>
      </c>
      <c r="E17684" s="8">
        <f t="shared" si="290"/>
        <v>2019</v>
      </c>
      <c r="F17684" t="s">
        <v>2875</v>
      </c>
      <c r="G17684" s="9">
        <v>10324.129999999999</v>
      </c>
      <c r="H17684" s="8">
        <v>28611</v>
      </c>
    </row>
    <row r="17685" spans="2:8" ht="15" customHeight="1" x14ac:dyDescent="0.4">
      <c r="B17685" t="s">
        <v>7</v>
      </c>
      <c r="C17685" t="s">
        <v>2874</v>
      </c>
      <c r="D17685" s="7">
        <f>DATE(2017,10,10)</f>
        <v>43018</v>
      </c>
      <c r="E17685" s="8">
        <f t="shared" si="290"/>
        <v>2017</v>
      </c>
      <c r="F17685" t="s">
        <v>2875</v>
      </c>
      <c r="G17685" s="9">
        <v>2900</v>
      </c>
      <c r="H17685" s="8">
        <v>25137</v>
      </c>
    </row>
    <row r="17686" spans="2:8" ht="15" customHeight="1" x14ac:dyDescent="0.4">
      <c r="B17686" t="s">
        <v>7</v>
      </c>
      <c r="C17686" t="s">
        <v>2874</v>
      </c>
      <c r="D17686" s="7">
        <f>DATE(2017,10,23)</f>
        <v>43031</v>
      </c>
      <c r="E17686" s="8">
        <f t="shared" si="290"/>
        <v>2017</v>
      </c>
      <c r="F17686" t="s">
        <v>2875</v>
      </c>
      <c r="G17686" s="9">
        <v>8100</v>
      </c>
      <c r="H17686" s="8">
        <v>25654</v>
      </c>
    </row>
    <row r="17687" spans="2:8" ht="15" customHeight="1" x14ac:dyDescent="0.4">
      <c r="B17687" t="s">
        <v>7</v>
      </c>
      <c r="C17687" t="s">
        <v>2874</v>
      </c>
      <c r="D17687" s="7">
        <f>DATE(2017,10,17)</f>
        <v>43025</v>
      </c>
      <c r="E17687" s="8">
        <f t="shared" si="290"/>
        <v>2017</v>
      </c>
      <c r="F17687" t="s">
        <v>2875</v>
      </c>
      <c r="G17687" s="9">
        <v>342.8</v>
      </c>
      <c r="H17687" s="8">
        <v>25716</v>
      </c>
    </row>
    <row r="17688" spans="2:8" ht="15" customHeight="1" x14ac:dyDescent="0.4">
      <c r="B17688" t="s">
        <v>7</v>
      </c>
      <c r="C17688" t="s">
        <v>2874</v>
      </c>
      <c r="D17688" s="7">
        <f>DATE(2017,11,1)</f>
        <v>43040</v>
      </c>
      <c r="E17688" s="8">
        <f t="shared" si="290"/>
        <v>2017</v>
      </c>
      <c r="F17688" t="s">
        <v>2875</v>
      </c>
      <c r="G17688" s="9">
        <v>8431.81</v>
      </c>
      <c r="H17688" s="8">
        <v>25822</v>
      </c>
    </row>
    <row r="17689" spans="2:8" ht="15" customHeight="1" x14ac:dyDescent="0.4">
      <c r="B17689" t="s">
        <v>7</v>
      </c>
      <c r="C17689" t="s">
        <v>2874</v>
      </c>
      <c r="D17689" s="7">
        <f>DATE(2003,7,26)</f>
        <v>37828</v>
      </c>
      <c r="E17689" s="8">
        <f t="shared" si="290"/>
        <v>2003</v>
      </c>
      <c r="F17689" t="s">
        <v>2875</v>
      </c>
      <c r="G17689" s="9">
        <v>10508.46</v>
      </c>
      <c r="H17689" s="8">
        <v>706</v>
      </c>
    </row>
    <row r="17690" spans="2:8" ht="15" customHeight="1" x14ac:dyDescent="0.4">
      <c r="B17690" t="s">
        <v>7</v>
      </c>
      <c r="C17690" t="s">
        <v>2874</v>
      </c>
      <c r="D17690" s="7">
        <f>DATE(2004,2,9)</f>
        <v>38026</v>
      </c>
      <c r="E17690" s="8">
        <f t="shared" si="290"/>
        <v>2004</v>
      </c>
      <c r="F17690" t="s">
        <v>2875</v>
      </c>
      <c r="G17690" s="9">
        <v>16352.1</v>
      </c>
      <c r="H17690" s="8">
        <v>1170</v>
      </c>
    </row>
    <row r="17691" spans="2:8" ht="15" customHeight="1" x14ac:dyDescent="0.4">
      <c r="B17691" t="s">
        <v>7</v>
      </c>
      <c r="C17691" t="s">
        <v>2874</v>
      </c>
      <c r="D17691" s="7">
        <f>DATE(2004,7,23)</f>
        <v>38191</v>
      </c>
      <c r="E17691" s="8">
        <f t="shared" si="290"/>
        <v>2004</v>
      </c>
      <c r="F17691" t="s">
        <v>2875</v>
      </c>
      <c r="G17691" s="9">
        <v>14556</v>
      </c>
      <c r="H17691" s="8">
        <v>1933</v>
      </c>
    </row>
    <row r="17692" spans="2:8" ht="15" customHeight="1" x14ac:dyDescent="0.4">
      <c r="B17692" t="s">
        <v>7</v>
      </c>
      <c r="C17692" t="s">
        <v>2874</v>
      </c>
      <c r="D17692" s="7">
        <f>DATE(2005,7,16)</f>
        <v>38549</v>
      </c>
      <c r="E17692" s="8">
        <f t="shared" si="290"/>
        <v>2005</v>
      </c>
      <c r="F17692" t="s">
        <v>2875</v>
      </c>
      <c r="G17692" s="9">
        <v>12896.41</v>
      </c>
      <c r="H17692" s="8">
        <v>3333</v>
      </c>
    </row>
    <row r="17693" spans="2:8" ht="15" customHeight="1" x14ac:dyDescent="0.4">
      <c r="B17693" t="s">
        <v>7</v>
      </c>
      <c r="C17693" t="s">
        <v>2874</v>
      </c>
      <c r="D17693" s="7">
        <f>DATE(2006,5,26)</f>
        <v>38863</v>
      </c>
      <c r="E17693" s="8">
        <f t="shared" si="290"/>
        <v>2006</v>
      </c>
      <c r="F17693" t="s">
        <v>2875</v>
      </c>
      <c r="G17693" s="9">
        <v>11341.31</v>
      </c>
      <c r="H17693" s="8">
        <v>4493</v>
      </c>
    </row>
    <row r="17694" spans="2:8" ht="15" customHeight="1" x14ac:dyDescent="0.4">
      <c r="B17694" t="s">
        <v>7</v>
      </c>
      <c r="C17694" t="s">
        <v>2874</v>
      </c>
      <c r="D17694" s="7">
        <f>DATE(2007,4,13)</f>
        <v>39185</v>
      </c>
      <c r="E17694" s="8">
        <f t="shared" si="290"/>
        <v>2007</v>
      </c>
      <c r="F17694" t="s">
        <v>2875</v>
      </c>
      <c r="G17694" s="9">
        <v>9707.41</v>
      </c>
      <c r="H17694" s="8">
        <v>5305</v>
      </c>
    </row>
    <row r="17695" spans="2:8" ht="15" customHeight="1" x14ac:dyDescent="0.4">
      <c r="B17695" t="s">
        <v>7</v>
      </c>
      <c r="C17695" t="s">
        <v>2874</v>
      </c>
      <c r="D17695" s="7">
        <f>DATE(2009,2,3)</f>
        <v>39847</v>
      </c>
      <c r="E17695" s="8">
        <f t="shared" si="290"/>
        <v>2009</v>
      </c>
      <c r="F17695" t="s">
        <v>2875</v>
      </c>
      <c r="G17695" s="9">
        <v>7621.65</v>
      </c>
      <c r="H17695" s="8">
        <v>8216</v>
      </c>
    </row>
    <row r="17696" spans="2:8" ht="15" customHeight="1" x14ac:dyDescent="0.4">
      <c r="B17696" t="s">
        <v>7</v>
      </c>
      <c r="C17696" t="s">
        <v>2874</v>
      </c>
      <c r="D17696" s="7">
        <f>DATE(2009,2,3)</f>
        <v>39847</v>
      </c>
      <c r="E17696" s="8">
        <f t="shared" si="290"/>
        <v>2009</v>
      </c>
      <c r="F17696" t="s">
        <v>2875</v>
      </c>
      <c r="G17696" s="9">
        <v>2411.75</v>
      </c>
      <c r="H17696" s="8">
        <v>8217</v>
      </c>
    </row>
    <row r="17697" spans="2:8" ht="15" customHeight="1" x14ac:dyDescent="0.4">
      <c r="B17697" t="s">
        <v>7</v>
      </c>
      <c r="C17697" t="s">
        <v>2874</v>
      </c>
      <c r="D17697" s="7">
        <f>DATE(2012,3,30)</f>
        <v>40998</v>
      </c>
      <c r="E17697" s="8">
        <f t="shared" si="290"/>
        <v>2012</v>
      </c>
      <c r="F17697" t="s">
        <v>2875</v>
      </c>
      <c r="G17697" s="9">
        <v>9542</v>
      </c>
      <c r="H17697" s="8">
        <v>11462</v>
      </c>
    </row>
    <row r="17698" spans="2:8" ht="15" customHeight="1" x14ac:dyDescent="0.4">
      <c r="B17698" t="s">
        <v>7</v>
      </c>
      <c r="C17698" t="s">
        <v>2874</v>
      </c>
      <c r="D17698" s="7">
        <f>DATE(2012,3,30)</f>
        <v>40998</v>
      </c>
      <c r="E17698" s="8">
        <f t="shared" si="290"/>
        <v>2012</v>
      </c>
      <c r="F17698" t="s">
        <v>2875</v>
      </c>
      <c r="G17698" s="9">
        <v>1675</v>
      </c>
      <c r="H17698" s="8">
        <v>11462</v>
      </c>
    </row>
    <row r="17699" spans="2:8" ht="15" customHeight="1" x14ac:dyDescent="0.4">
      <c r="B17699" t="s">
        <v>7</v>
      </c>
      <c r="C17699" t="s">
        <v>2874</v>
      </c>
      <c r="D17699" s="7">
        <f>DATE(2012,8,22)</f>
        <v>41143</v>
      </c>
      <c r="E17699" s="8">
        <f t="shared" si="290"/>
        <v>2012</v>
      </c>
      <c r="F17699" t="s">
        <v>2875</v>
      </c>
      <c r="G17699" s="9">
        <v>9541.83</v>
      </c>
      <c r="H17699" s="8">
        <v>11794</v>
      </c>
    </row>
    <row r="17700" spans="2:8" ht="15" customHeight="1" x14ac:dyDescent="0.4">
      <c r="B17700" t="s">
        <v>7</v>
      </c>
      <c r="C17700" t="s">
        <v>2874</v>
      </c>
      <c r="D17700" s="7">
        <f>DATE(2013,4,10)</f>
        <v>41374</v>
      </c>
      <c r="E17700" s="8">
        <f t="shared" si="290"/>
        <v>2013</v>
      </c>
      <c r="F17700" t="s">
        <v>2875</v>
      </c>
      <c r="G17700" s="9">
        <v>11509.24</v>
      </c>
      <c r="H17700" s="8">
        <v>12243</v>
      </c>
    </row>
    <row r="17701" spans="2:8" ht="15" customHeight="1" x14ac:dyDescent="0.4">
      <c r="B17701" t="s">
        <v>7</v>
      </c>
      <c r="C17701" t="s">
        <v>2874</v>
      </c>
      <c r="D17701" s="7">
        <f>DATE(2014,2,25)</f>
        <v>41695</v>
      </c>
      <c r="E17701" s="8">
        <f t="shared" si="290"/>
        <v>2014</v>
      </c>
      <c r="F17701" t="s">
        <v>2875</v>
      </c>
      <c r="G17701" s="9">
        <v>11509.24</v>
      </c>
      <c r="H17701" s="8">
        <v>12956</v>
      </c>
    </row>
    <row r="17702" spans="2:8" ht="15" customHeight="1" x14ac:dyDescent="0.4">
      <c r="B17702" t="s">
        <v>7</v>
      </c>
      <c r="C17702" t="s">
        <v>2876</v>
      </c>
      <c r="D17702" s="7">
        <f>DATE(2015,1,30)</f>
        <v>42034</v>
      </c>
      <c r="E17702" s="8">
        <f t="shared" si="290"/>
        <v>2015</v>
      </c>
      <c r="F17702" t="s">
        <v>2877</v>
      </c>
      <c r="G17702" s="9">
        <v>11584</v>
      </c>
      <c r="H17702" s="8">
        <v>6</v>
      </c>
    </row>
    <row r="17703" spans="2:8" ht="15" customHeight="1" x14ac:dyDescent="0.4">
      <c r="B17703" t="s">
        <v>7</v>
      </c>
      <c r="C17703" t="s">
        <v>2876</v>
      </c>
      <c r="D17703" s="7">
        <f>DATE(2012,2,16)</f>
        <v>40955</v>
      </c>
      <c r="E17703" s="8">
        <f t="shared" si="290"/>
        <v>2012</v>
      </c>
      <c r="F17703" t="s">
        <v>2877</v>
      </c>
      <c r="G17703" s="9">
        <v>43250</v>
      </c>
      <c r="H17703" s="8">
        <v>11273</v>
      </c>
    </row>
    <row r="17704" spans="2:8" ht="15" customHeight="1" x14ac:dyDescent="0.4">
      <c r="B17704" t="s">
        <v>7</v>
      </c>
      <c r="C17704" t="s">
        <v>2876</v>
      </c>
      <c r="D17704" s="7">
        <f>DATE(2009,12,16)</f>
        <v>40163</v>
      </c>
      <c r="E17704" s="8">
        <f t="shared" si="290"/>
        <v>2009</v>
      </c>
      <c r="F17704" t="s">
        <v>2877</v>
      </c>
      <c r="G17704" s="9">
        <v>34788.58</v>
      </c>
      <c r="H17704" s="8">
        <v>9183</v>
      </c>
    </row>
    <row r="17705" spans="2:8" ht="15" customHeight="1" x14ac:dyDescent="0.4">
      <c r="B17705" t="s">
        <v>7</v>
      </c>
      <c r="C17705" t="s">
        <v>2876</v>
      </c>
      <c r="D17705" s="7">
        <f>DATE(2009,12,22)</f>
        <v>40169</v>
      </c>
      <c r="E17705" s="8">
        <f t="shared" si="290"/>
        <v>2009</v>
      </c>
      <c r="F17705" t="s">
        <v>2877</v>
      </c>
      <c r="G17705" s="9">
        <v>36670</v>
      </c>
      <c r="H17705" s="8">
        <v>9278</v>
      </c>
    </row>
    <row r="17706" spans="2:8" ht="15" customHeight="1" x14ac:dyDescent="0.4">
      <c r="B17706" t="s">
        <v>7</v>
      </c>
      <c r="C17706" t="s">
        <v>2876</v>
      </c>
      <c r="D17706" s="7">
        <f>DATE(2010,3,18)</f>
        <v>40255</v>
      </c>
      <c r="E17706" s="8">
        <f t="shared" si="290"/>
        <v>2010</v>
      </c>
      <c r="F17706" t="s">
        <v>2877</v>
      </c>
      <c r="G17706" s="9">
        <v>36278.269999999997</v>
      </c>
      <c r="H17706" s="8">
        <v>9279</v>
      </c>
    </row>
    <row r="17707" spans="2:8" ht="15" customHeight="1" x14ac:dyDescent="0.4">
      <c r="B17707" t="s">
        <v>7</v>
      </c>
      <c r="C17707" t="s">
        <v>2876</v>
      </c>
      <c r="D17707" s="7">
        <f>DATE(2011,12,21)</f>
        <v>40898</v>
      </c>
      <c r="E17707" s="8">
        <f t="shared" si="290"/>
        <v>2011</v>
      </c>
      <c r="F17707" t="s">
        <v>2877</v>
      </c>
      <c r="G17707" s="9">
        <v>15104.96</v>
      </c>
      <c r="H17707" s="8">
        <v>11190</v>
      </c>
    </row>
    <row r="17708" spans="2:8" ht="15" customHeight="1" x14ac:dyDescent="0.4">
      <c r="B17708" t="s">
        <v>7</v>
      </c>
      <c r="C17708" t="s">
        <v>2876</v>
      </c>
      <c r="D17708" s="7">
        <f>DATE(2012,2,16)</f>
        <v>40955</v>
      </c>
      <c r="E17708" s="8">
        <f t="shared" si="290"/>
        <v>2012</v>
      </c>
      <c r="F17708" t="s">
        <v>2877</v>
      </c>
      <c r="G17708" s="9">
        <v>9690</v>
      </c>
      <c r="H17708" s="8">
        <v>11271</v>
      </c>
    </row>
    <row r="17709" spans="2:8" ht="15" customHeight="1" x14ac:dyDescent="0.4">
      <c r="B17709" t="s">
        <v>7</v>
      </c>
      <c r="C17709" t="s">
        <v>2876</v>
      </c>
      <c r="D17709" s="7">
        <f>DATE(2012,3,28)</f>
        <v>40996</v>
      </c>
      <c r="E17709" s="8">
        <f t="shared" si="290"/>
        <v>2012</v>
      </c>
      <c r="F17709" t="s">
        <v>2877</v>
      </c>
      <c r="G17709" s="9">
        <v>9690</v>
      </c>
      <c r="H17709" s="8">
        <v>11272</v>
      </c>
    </row>
    <row r="17710" spans="2:8" ht="15" customHeight="1" x14ac:dyDescent="0.4">
      <c r="B17710" t="s">
        <v>7</v>
      </c>
      <c r="C17710" t="s">
        <v>2876</v>
      </c>
      <c r="D17710" s="7">
        <f>DATE(2014,5,30)</f>
        <v>41789</v>
      </c>
      <c r="E17710" s="8">
        <f t="shared" si="290"/>
        <v>2014</v>
      </c>
      <c r="F17710" t="s">
        <v>2877</v>
      </c>
      <c r="G17710" s="9">
        <v>24864.16</v>
      </c>
      <c r="H17710" s="8">
        <v>13218</v>
      </c>
    </row>
    <row r="17711" spans="2:8" ht="15" customHeight="1" x14ac:dyDescent="0.4">
      <c r="B17711" s="3" t="s">
        <v>7</v>
      </c>
      <c r="C17711" s="3" t="s">
        <v>2876</v>
      </c>
      <c r="D17711" s="4">
        <f>DATE(2010,9,29)</f>
        <v>40450</v>
      </c>
      <c r="E17711" s="5">
        <f t="shared" si="290"/>
        <v>2010</v>
      </c>
      <c r="F17711" s="3" t="s">
        <v>2877</v>
      </c>
      <c r="G17711" s="6">
        <v>26800</v>
      </c>
      <c r="H17711" s="5">
        <v>14436</v>
      </c>
    </row>
    <row r="17712" spans="2:8" ht="15" customHeight="1" x14ac:dyDescent="0.4">
      <c r="B17712" s="3" t="s">
        <v>7</v>
      </c>
      <c r="C17712" s="3" t="s">
        <v>2876</v>
      </c>
      <c r="D17712" s="4">
        <f>DATE(2010,11,3)</f>
        <v>40485</v>
      </c>
      <c r="E17712" s="5">
        <f t="shared" si="290"/>
        <v>2010</v>
      </c>
      <c r="F17712" s="3" t="s">
        <v>2877</v>
      </c>
      <c r="G17712" s="6">
        <v>12963</v>
      </c>
      <c r="H17712" s="5">
        <v>14565</v>
      </c>
    </row>
    <row r="17713" spans="2:8" ht="15" customHeight="1" x14ac:dyDescent="0.4">
      <c r="B17713" s="3" t="s">
        <v>7</v>
      </c>
      <c r="C17713" s="3" t="s">
        <v>2876</v>
      </c>
      <c r="D17713" s="4">
        <f>DATE(2012,12,18)</f>
        <v>41261</v>
      </c>
      <c r="E17713" s="5">
        <f t="shared" si="290"/>
        <v>2012</v>
      </c>
      <c r="F17713" s="3" t="s">
        <v>2877</v>
      </c>
      <c r="G17713" s="6">
        <v>428.14</v>
      </c>
      <c r="H17713" s="5">
        <v>17888</v>
      </c>
    </row>
    <row r="17714" spans="2:8" ht="15" customHeight="1" x14ac:dyDescent="0.4">
      <c r="B17714" t="s">
        <v>7</v>
      </c>
      <c r="C17714" t="s">
        <v>2878</v>
      </c>
      <c r="D17714" s="7">
        <f>DATE(2003,7,14)</f>
        <v>37816</v>
      </c>
      <c r="E17714" s="8">
        <f t="shared" si="290"/>
        <v>2003</v>
      </c>
      <c r="F17714" t="s">
        <v>2879</v>
      </c>
      <c r="G17714" s="9">
        <v>7518.17</v>
      </c>
      <c r="H17714" s="8">
        <v>744</v>
      </c>
    </row>
    <row r="17715" spans="2:8" ht="15" customHeight="1" x14ac:dyDescent="0.4">
      <c r="B17715" t="s">
        <v>7</v>
      </c>
      <c r="C17715" t="s">
        <v>2880</v>
      </c>
      <c r="D17715" s="7">
        <f>DATE(2003,4,11)</f>
        <v>37722</v>
      </c>
      <c r="E17715" s="8">
        <f t="shared" si="290"/>
        <v>2003</v>
      </c>
      <c r="F17715" t="s">
        <v>2881</v>
      </c>
      <c r="G17715" s="9">
        <v>910</v>
      </c>
      <c r="H17715" s="8">
        <v>456</v>
      </c>
    </row>
    <row r="17716" spans="2:8" ht="15" customHeight="1" x14ac:dyDescent="0.4">
      <c r="B17716" s="3" t="s">
        <v>7</v>
      </c>
      <c r="C17716" s="3" t="s">
        <v>2880</v>
      </c>
      <c r="D17716" s="4">
        <f>DATE(2006,1,12)</f>
        <v>38729</v>
      </c>
      <c r="E17716" s="5">
        <f t="shared" si="290"/>
        <v>2006</v>
      </c>
      <c r="F17716" s="3" t="s">
        <v>2882</v>
      </c>
      <c r="G17716" s="6">
        <v>2325</v>
      </c>
      <c r="H17716" s="5">
        <v>5824</v>
      </c>
    </row>
    <row r="17717" spans="2:8" ht="15" customHeight="1" x14ac:dyDescent="0.4">
      <c r="B17717" t="s">
        <v>7</v>
      </c>
      <c r="C17717" t="s">
        <v>2880</v>
      </c>
      <c r="D17717" s="7">
        <f>DATE(2015,2,26)</f>
        <v>42061</v>
      </c>
      <c r="E17717" s="8">
        <f t="shared" si="290"/>
        <v>2015</v>
      </c>
      <c r="F17717" t="s">
        <v>2883</v>
      </c>
      <c r="G17717" s="9">
        <v>238.68</v>
      </c>
      <c r="H17717" s="8">
        <v>20017</v>
      </c>
    </row>
    <row r="17718" spans="2:8" ht="15" customHeight="1" x14ac:dyDescent="0.4">
      <c r="B17718" t="s">
        <v>7</v>
      </c>
      <c r="C17718" t="s">
        <v>2880</v>
      </c>
      <c r="D17718" s="7">
        <f>DATE(2015,11,18)</f>
        <v>42326</v>
      </c>
      <c r="E17718" s="8">
        <f t="shared" si="290"/>
        <v>2015</v>
      </c>
      <c r="F17718" t="s">
        <v>2883</v>
      </c>
      <c r="G17718" s="9">
        <v>318.24</v>
      </c>
      <c r="H17718" s="8">
        <v>21604</v>
      </c>
    </row>
    <row r="17719" spans="2:8" ht="15" customHeight="1" x14ac:dyDescent="0.4">
      <c r="B17719" t="s">
        <v>7</v>
      </c>
      <c r="C17719" t="s">
        <v>2880</v>
      </c>
      <c r="D17719" s="7">
        <f>DATE(2015,4,16)</f>
        <v>42110</v>
      </c>
      <c r="E17719" s="8">
        <f t="shared" si="290"/>
        <v>2015</v>
      </c>
      <c r="F17719" t="s">
        <v>2883</v>
      </c>
      <c r="G17719" s="9">
        <v>11507.63</v>
      </c>
      <c r="H17719" s="8">
        <v>20395</v>
      </c>
    </row>
    <row r="17720" spans="2:8" ht="15" customHeight="1" x14ac:dyDescent="0.4">
      <c r="B17720" t="s">
        <v>7</v>
      </c>
      <c r="C17720" t="s">
        <v>2880</v>
      </c>
      <c r="D17720" s="7">
        <f>DATE(2015,12,22)</f>
        <v>42360</v>
      </c>
      <c r="E17720" s="8">
        <f t="shared" si="290"/>
        <v>2015</v>
      </c>
      <c r="F17720" t="s">
        <v>2883</v>
      </c>
      <c r="G17720" s="9">
        <v>8576.2199999999993</v>
      </c>
      <c r="H17720" s="8">
        <v>21185</v>
      </c>
    </row>
    <row r="17721" spans="2:8" ht="15" customHeight="1" x14ac:dyDescent="0.4">
      <c r="B17721" t="s">
        <v>7</v>
      </c>
      <c r="C17721" t="s">
        <v>2880</v>
      </c>
      <c r="D17721" s="7">
        <f>DATE(2003,10,22)</f>
        <v>37916</v>
      </c>
      <c r="E17721" s="8">
        <f t="shared" si="290"/>
        <v>2003</v>
      </c>
      <c r="F17721" t="s">
        <v>2883</v>
      </c>
      <c r="G17721" s="9">
        <v>45730.1</v>
      </c>
      <c r="H17721" s="8">
        <v>774</v>
      </c>
    </row>
    <row r="17722" spans="2:8" ht="15" customHeight="1" x14ac:dyDescent="0.4">
      <c r="B17722" t="s">
        <v>7</v>
      </c>
      <c r="C17722" t="s">
        <v>2880</v>
      </c>
      <c r="D17722" s="7">
        <f>DATE(2004,4,23)</f>
        <v>38100</v>
      </c>
      <c r="E17722" s="8">
        <f t="shared" si="290"/>
        <v>2004</v>
      </c>
      <c r="F17722" t="s">
        <v>2883</v>
      </c>
      <c r="G17722" s="9">
        <v>41904.160000000003</v>
      </c>
      <c r="H17722" s="8">
        <v>1167</v>
      </c>
    </row>
    <row r="17723" spans="2:8" ht="15" customHeight="1" x14ac:dyDescent="0.4">
      <c r="B17723" t="s">
        <v>7</v>
      </c>
      <c r="C17723" t="s">
        <v>2880</v>
      </c>
      <c r="D17723" s="7">
        <f>DATE(2009,12,1)</f>
        <v>40148</v>
      </c>
      <c r="E17723" s="8">
        <f t="shared" si="290"/>
        <v>2009</v>
      </c>
      <c r="F17723" t="s">
        <v>2883</v>
      </c>
      <c r="G17723" s="9">
        <v>11009.77</v>
      </c>
      <c r="H17723" s="8">
        <v>9264</v>
      </c>
    </row>
    <row r="17724" spans="2:8" ht="15" customHeight="1" x14ac:dyDescent="0.4">
      <c r="B17724" t="s">
        <v>7</v>
      </c>
      <c r="C17724" t="s">
        <v>2880</v>
      </c>
      <c r="D17724" s="7">
        <f>DATE(2010,3,8)</f>
        <v>40245</v>
      </c>
      <c r="E17724" s="8">
        <f t="shared" si="290"/>
        <v>2010</v>
      </c>
      <c r="F17724" t="s">
        <v>2883</v>
      </c>
      <c r="G17724" s="9">
        <v>6116.34</v>
      </c>
      <c r="H17724" s="8">
        <v>9606</v>
      </c>
    </row>
    <row r="17725" spans="2:8" ht="15" customHeight="1" x14ac:dyDescent="0.4">
      <c r="B17725" t="s">
        <v>7</v>
      </c>
      <c r="C17725" t="s">
        <v>2880</v>
      </c>
      <c r="D17725" s="7">
        <f>DATE(2011,6,29)</f>
        <v>40723</v>
      </c>
      <c r="E17725" s="8">
        <f t="shared" si="290"/>
        <v>2011</v>
      </c>
      <c r="F17725" t="s">
        <v>2883</v>
      </c>
      <c r="G17725" s="9">
        <v>47360.65</v>
      </c>
      <c r="H17725" s="8">
        <v>10810</v>
      </c>
    </row>
    <row r="17726" spans="2:8" ht="15" customHeight="1" x14ac:dyDescent="0.4">
      <c r="B17726" t="s">
        <v>7</v>
      </c>
      <c r="C17726" t="s">
        <v>2880</v>
      </c>
      <c r="D17726" s="7">
        <f>DATE(2011,9,28)</f>
        <v>40814</v>
      </c>
      <c r="E17726" s="8">
        <f t="shared" si="290"/>
        <v>2011</v>
      </c>
      <c r="F17726" t="s">
        <v>2883</v>
      </c>
      <c r="G17726" s="9">
        <v>32696.89</v>
      </c>
      <c r="H17726" s="8">
        <v>11030</v>
      </c>
    </row>
    <row r="17727" spans="2:8" ht="15" customHeight="1" x14ac:dyDescent="0.4">
      <c r="B17727" t="s">
        <v>7</v>
      </c>
      <c r="C17727" t="s">
        <v>2880</v>
      </c>
      <c r="D17727" s="7">
        <f>DATE(2012,11,28)</f>
        <v>41241</v>
      </c>
      <c r="E17727" s="8">
        <f t="shared" si="290"/>
        <v>2012</v>
      </c>
      <c r="F17727" t="s">
        <v>2883</v>
      </c>
      <c r="G17727" s="9">
        <v>10717.31</v>
      </c>
      <c r="H17727" s="8">
        <v>12020</v>
      </c>
    </row>
    <row r="17728" spans="2:8" ht="15" customHeight="1" x14ac:dyDescent="0.4">
      <c r="B17728" t="s">
        <v>7</v>
      </c>
      <c r="C17728" t="s">
        <v>2880</v>
      </c>
      <c r="D17728" s="7">
        <f>DATE(2013,7,19)</f>
        <v>41474</v>
      </c>
      <c r="E17728" s="8">
        <f t="shared" si="290"/>
        <v>2013</v>
      </c>
      <c r="F17728" t="s">
        <v>2883</v>
      </c>
      <c r="G17728" s="9">
        <v>22153.51</v>
      </c>
      <c r="H17728" s="8">
        <v>12545</v>
      </c>
    </row>
    <row r="17729" spans="2:8" ht="15" customHeight="1" x14ac:dyDescent="0.4">
      <c r="B17729" t="s">
        <v>7</v>
      </c>
      <c r="C17729" t="s">
        <v>2880</v>
      </c>
      <c r="D17729" s="7">
        <f>DATE(2014,1,23)</f>
        <v>41662</v>
      </c>
      <c r="E17729" s="8">
        <f t="shared" si="290"/>
        <v>2014</v>
      </c>
      <c r="F17729" t="s">
        <v>2883</v>
      </c>
      <c r="G17729" s="9">
        <v>26509.71</v>
      </c>
      <c r="H17729" s="8">
        <v>12864</v>
      </c>
    </row>
    <row r="17730" spans="2:8" ht="15" customHeight="1" x14ac:dyDescent="0.4">
      <c r="B17730" s="3" t="s">
        <v>7</v>
      </c>
      <c r="C17730" s="3" t="s">
        <v>2880</v>
      </c>
      <c r="D17730" s="4">
        <f>DATE(2004,9,20)</f>
        <v>38250</v>
      </c>
      <c r="E17730" s="5">
        <f t="shared" si="290"/>
        <v>2004</v>
      </c>
      <c r="F17730" s="3" t="s">
        <v>2883</v>
      </c>
      <c r="G17730" s="6">
        <v>10000</v>
      </c>
      <c r="H17730" s="5">
        <v>3401</v>
      </c>
    </row>
    <row r="17731" spans="2:8" ht="15" customHeight="1" x14ac:dyDescent="0.4">
      <c r="B17731" s="3" t="s">
        <v>7</v>
      </c>
      <c r="C17731" s="3" t="s">
        <v>2880</v>
      </c>
      <c r="D17731" s="4">
        <f>DATE(2004,10,1)</f>
        <v>38261</v>
      </c>
      <c r="E17731" s="5">
        <f t="shared" ref="E17731:E17794" si="291">YEAR(D17731)</f>
        <v>2004</v>
      </c>
      <c r="F17731" s="3" t="s">
        <v>2883</v>
      </c>
      <c r="G17731" s="6">
        <v>25372.5</v>
      </c>
      <c r="H17731" s="5">
        <v>3373</v>
      </c>
    </row>
    <row r="17732" spans="2:8" ht="15" customHeight="1" x14ac:dyDescent="0.4">
      <c r="B17732" s="3" t="s">
        <v>7</v>
      </c>
      <c r="C17732" s="3" t="s">
        <v>2880</v>
      </c>
      <c r="D17732" s="4">
        <f>DATE(2004,12,9)</f>
        <v>38330</v>
      </c>
      <c r="E17732" s="5">
        <f t="shared" si="291"/>
        <v>2004</v>
      </c>
      <c r="F17732" s="3" t="s">
        <v>2883</v>
      </c>
      <c r="G17732" s="6">
        <v>5738.7</v>
      </c>
      <c r="H17732" s="5">
        <v>3622</v>
      </c>
    </row>
    <row r="17733" spans="2:8" ht="15" customHeight="1" x14ac:dyDescent="0.4">
      <c r="B17733" s="3" t="s">
        <v>7</v>
      </c>
      <c r="C17733" s="3" t="s">
        <v>2880</v>
      </c>
      <c r="D17733" s="4">
        <f>DATE(2005,5,25)</f>
        <v>38497</v>
      </c>
      <c r="E17733" s="5">
        <f t="shared" si="291"/>
        <v>2005</v>
      </c>
      <c r="F17733" s="3" t="s">
        <v>2883</v>
      </c>
      <c r="G17733" s="6">
        <v>5125</v>
      </c>
      <c r="H17733" s="5">
        <v>4802</v>
      </c>
    </row>
    <row r="17734" spans="2:8" ht="15" customHeight="1" x14ac:dyDescent="0.4">
      <c r="B17734" s="3" t="s">
        <v>7</v>
      </c>
      <c r="C17734" s="3" t="s">
        <v>2880</v>
      </c>
      <c r="D17734" s="4">
        <f>DATE(2005,5,25)</f>
        <v>38497</v>
      </c>
      <c r="E17734" s="5">
        <f t="shared" si="291"/>
        <v>2005</v>
      </c>
      <c r="F17734" s="3" t="s">
        <v>2883</v>
      </c>
      <c r="G17734" s="6">
        <v>134.75</v>
      </c>
      <c r="H17734" s="5">
        <v>4809</v>
      </c>
    </row>
    <row r="17735" spans="2:8" ht="15" customHeight="1" x14ac:dyDescent="0.4">
      <c r="B17735" s="3" t="s">
        <v>7</v>
      </c>
      <c r="C17735" s="3" t="s">
        <v>2880</v>
      </c>
      <c r="D17735" s="4">
        <f>DATE(2006,9,8)</f>
        <v>38968</v>
      </c>
      <c r="E17735" s="5">
        <f t="shared" si="291"/>
        <v>2006</v>
      </c>
      <c r="F17735" s="3" t="s">
        <v>2883</v>
      </c>
      <c r="G17735" s="6">
        <v>391.17</v>
      </c>
      <c r="H17735" s="5">
        <v>7207</v>
      </c>
    </row>
    <row r="17736" spans="2:8" ht="15" customHeight="1" x14ac:dyDescent="0.4">
      <c r="B17736" s="3" t="s">
        <v>7</v>
      </c>
      <c r="C17736" s="3" t="s">
        <v>2880</v>
      </c>
      <c r="D17736" s="4">
        <f>DATE(2006,9,13)</f>
        <v>38973</v>
      </c>
      <c r="E17736" s="5">
        <f t="shared" si="291"/>
        <v>2006</v>
      </c>
      <c r="F17736" s="3" t="s">
        <v>2883</v>
      </c>
      <c r="G17736" s="6">
        <v>363.75</v>
      </c>
      <c r="H17736" s="5">
        <v>7223</v>
      </c>
    </row>
    <row r="17737" spans="2:8" ht="15" customHeight="1" x14ac:dyDescent="0.4">
      <c r="B17737" s="3" t="s">
        <v>7</v>
      </c>
      <c r="C17737" s="3" t="s">
        <v>2880</v>
      </c>
      <c r="D17737" s="4">
        <f>DATE(2006,12,8)</f>
        <v>39059</v>
      </c>
      <c r="E17737" s="5">
        <f t="shared" si="291"/>
        <v>2006</v>
      </c>
      <c r="F17737" s="3" t="s">
        <v>2883</v>
      </c>
      <c r="G17737" s="6">
        <v>298.35000000000002</v>
      </c>
      <c r="H17737" s="5">
        <v>7623</v>
      </c>
    </row>
    <row r="17738" spans="2:8" ht="15" customHeight="1" x14ac:dyDescent="0.4">
      <c r="B17738" s="3" t="s">
        <v>7</v>
      </c>
      <c r="C17738" s="3" t="s">
        <v>2880</v>
      </c>
      <c r="D17738" s="4">
        <f>DATE(2006,12,29)</f>
        <v>39080</v>
      </c>
      <c r="E17738" s="5">
        <f t="shared" si="291"/>
        <v>2006</v>
      </c>
      <c r="F17738" s="3" t="s">
        <v>2883</v>
      </c>
      <c r="G17738" s="6">
        <v>3475</v>
      </c>
      <c r="H17738" s="5">
        <v>7700</v>
      </c>
    </row>
    <row r="17739" spans="2:8" ht="15" customHeight="1" x14ac:dyDescent="0.4">
      <c r="B17739" s="3" t="s">
        <v>7</v>
      </c>
      <c r="C17739" s="3" t="s">
        <v>2880</v>
      </c>
      <c r="D17739" s="4">
        <f>DATE(2007,2,9)</f>
        <v>39122</v>
      </c>
      <c r="E17739" s="5">
        <f t="shared" si="291"/>
        <v>2007</v>
      </c>
      <c r="F17739" s="3" t="s">
        <v>2883</v>
      </c>
      <c r="G17739" s="6">
        <v>2875</v>
      </c>
      <c r="H17739" s="5">
        <v>7879</v>
      </c>
    </row>
    <row r="17740" spans="2:8" ht="15" customHeight="1" x14ac:dyDescent="0.4">
      <c r="B17740" s="3" t="s">
        <v>7</v>
      </c>
      <c r="C17740" s="3" t="s">
        <v>2880</v>
      </c>
      <c r="D17740" s="4">
        <f>DATE(2007,3,14)</f>
        <v>39155</v>
      </c>
      <c r="E17740" s="5">
        <f t="shared" si="291"/>
        <v>2007</v>
      </c>
      <c r="F17740" s="3" t="s">
        <v>2883</v>
      </c>
      <c r="G17740" s="6">
        <v>1950</v>
      </c>
      <c r="H17740" s="5">
        <v>8039</v>
      </c>
    </row>
    <row r="17741" spans="2:8" ht="15" customHeight="1" x14ac:dyDescent="0.4">
      <c r="B17741" s="3" t="s">
        <v>7</v>
      </c>
      <c r="C17741" s="3" t="s">
        <v>2880</v>
      </c>
      <c r="D17741" s="4">
        <f>DATE(2007,4,16)</f>
        <v>39188</v>
      </c>
      <c r="E17741" s="5">
        <f t="shared" si="291"/>
        <v>2007</v>
      </c>
      <c r="F17741" s="3" t="s">
        <v>2883</v>
      </c>
      <c r="G17741" s="6">
        <v>2250</v>
      </c>
      <c r="H17741" s="5">
        <v>8367</v>
      </c>
    </row>
    <row r="17742" spans="2:8" ht="15" customHeight="1" x14ac:dyDescent="0.4">
      <c r="B17742" s="3" t="s">
        <v>7</v>
      </c>
      <c r="C17742" s="3" t="s">
        <v>2880</v>
      </c>
      <c r="D17742" s="4">
        <f>DATE(2007,6,27)</f>
        <v>39260</v>
      </c>
      <c r="E17742" s="5">
        <f t="shared" si="291"/>
        <v>2007</v>
      </c>
      <c r="F17742" s="3" t="s">
        <v>2883</v>
      </c>
      <c r="G17742" s="6">
        <v>2250</v>
      </c>
      <c r="H17742" s="5">
        <v>8838</v>
      </c>
    </row>
    <row r="17743" spans="2:8" ht="15" customHeight="1" x14ac:dyDescent="0.4">
      <c r="B17743" s="3" t="s">
        <v>7</v>
      </c>
      <c r="C17743" s="3" t="s">
        <v>2880</v>
      </c>
      <c r="D17743" s="4">
        <f>DATE(2007,6,29)</f>
        <v>39262</v>
      </c>
      <c r="E17743" s="5">
        <f t="shared" si="291"/>
        <v>2007</v>
      </c>
      <c r="F17743" s="3" t="s">
        <v>2883</v>
      </c>
      <c r="G17743" s="6">
        <v>15850</v>
      </c>
      <c r="H17743" s="5">
        <v>8795</v>
      </c>
    </row>
    <row r="17744" spans="2:8" ht="15" customHeight="1" x14ac:dyDescent="0.4">
      <c r="B17744" s="3" t="s">
        <v>7</v>
      </c>
      <c r="C17744" s="3" t="s">
        <v>2880</v>
      </c>
      <c r="D17744" s="4">
        <f>DATE(2007,7,24)</f>
        <v>39287</v>
      </c>
      <c r="E17744" s="5">
        <f t="shared" si="291"/>
        <v>2007</v>
      </c>
      <c r="F17744" s="3" t="s">
        <v>2883</v>
      </c>
      <c r="G17744" s="6">
        <v>1134</v>
      </c>
      <c r="H17744" s="5">
        <v>8914</v>
      </c>
    </row>
    <row r="17745" spans="2:8" ht="15" customHeight="1" x14ac:dyDescent="0.4">
      <c r="B17745" s="3" t="s">
        <v>7</v>
      </c>
      <c r="C17745" s="3" t="s">
        <v>2880</v>
      </c>
      <c r="D17745" s="4">
        <f>DATE(2007,11,1)</f>
        <v>39387</v>
      </c>
      <c r="E17745" s="5">
        <f t="shared" si="291"/>
        <v>2007</v>
      </c>
      <c r="F17745" s="3" t="s">
        <v>2883</v>
      </c>
      <c r="G17745" s="6">
        <v>8520</v>
      </c>
      <c r="H17745" s="5">
        <v>9408</v>
      </c>
    </row>
    <row r="17746" spans="2:8" ht="15" customHeight="1" x14ac:dyDescent="0.4">
      <c r="B17746" s="3" t="s">
        <v>7</v>
      </c>
      <c r="C17746" s="3" t="s">
        <v>2880</v>
      </c>
      <c r="D17746" s="4">
        <f>DATE(2008,1,25)</f>
        <v>39472</v>
      </c>
      <c r="E17746" s="5">
        <f t="shared" si="291"/>
        <v>2008</v>
      </c>
      <c r="F17746" s="3" t="s">
        <v>2883</v>
      </c>
      <c r="G17746" s="6">
        <v>11484</v>
      </c>
      <c r="H17746" s="5">
        <v>9755</v>
      </c>
    </row>
    <row r="17747" spans="2:8" ht="15" customHeight="1" x14ac:dyDescent="0.4">
      <c r="B17747" s="3" t="s">
        <v>7</v>
      </c>
      <c r="C17747" s="3" t="s">
        <v>2880</v>
      </c>
      <c r="D17747" s="4">
        <f>DATE(2008,4,22)</f>
        <v>39560</v>
      </c>
      <c r="E17747" s="5">
        <f t="shared" si="291"/>
        <v>2008</v>
      </c>
      <c r="F17747" s="3" t="s">
        <v>2883</v>
      </c>
      <c r="G17747" s="6">
        <v>677</v>
      </c>
      <c r="H17747" s="5">
        <v>10526</v>
      </c>
    </row>
    <row r="17748" spans="2:8" ht="15" customHeight="1" x14ac:dyDescent="0.4">
      <c r="B17748" s="3" t="s">
        <v>7</v>
      </c>
      <c r="C17748" s="3" t="s">
        <v>2880</v>
      </c>
      <c r="D17748" s="4">
        <f>DATE(2008,8,7)</f>
        <v>39667</v>
      </c>
      <c r="E17748" s="5">
        <f t="shared" si="291"/>
        <v>2008</v>
      </c>
      <c r="F17748" s="3" t="s">
        <v>2883</v>
      </c>
      <c r="G17748" s="6">
        <v>865</v>
      </c>
      <c r="H17748" s="5">
        <v>11075</v>
      </c>
    </row>
    <row r="17749" spans="2:8" ht="15" customHeight="1" x14ac:dyDescent="0.4">
      <c r="B17749" s="3" t="s">
        <v>7</v>
      </c>
      <c r="C17749" s="3" t="s">
        <v>2880</v>
      </c>
      <c r="D17749" s="4">
        <f>DATE(2008,9,9)</f>
        <v>39700</v>
      </c>
      <c r="E17749" s="5">
        <f t="shared" si="291"/>
        <v>2008</v>
      </c>
      <c r="F17749" s="3" t="s">
        <v>2883</v>
      </c>
      <c r="G17749" s="6">
        <v>583</v>
      </c>
      <c r="H17749" s="5">
        <v>11230</v>
      </c>
    </row>
    <row r="17750" spans="2:8" ht="15" customHeight="1" x14ac:dyDescent="0.4">
      <c r="B17750" s="3" t="s">
        <v>7</v>
      </c>
      <c r="C17750" s="3" t="s">
        <v>2880</v>
      </c>
      <c r="D17750" s="4">
        <f>DATE(2008,12,22)</f>
        <v>39804</v>
      </c>
      <c r="E17750" s="5">
        <f t="shared" si="291"/>
        <v>2008</v>
      </c>
      <c r="F17750" s="3" t="s">
        <v>2883</v>
      </c>
      <c r="G17750" s="6">
        <v>4100</v>
      </c>
      <c r="H17750" s="5">
        <v>11716</v>
      </c>
    </row>
    <row r="17751" spans="2:8" ht="15" customHeight="1" x14ac:dyDescent="0.4">
      <c r="B17751" s="3" t="s">
        <v>7</v>
      </c>
      <c r="C17751" s="3" t="s">
        <v>2880</v>
      </c>
      <c r="D17751" s="4">
        <f>DATE(2009,3,11)</f>
        <v>39883</v>
      </c>
      <c r="E17751" s="5">
        <f t="shared" si="291"/>
        <v>2009</v>
      </c>
      <c r="F17751" s="3" t="s">
        <v>2883</v>
      </c>
      <c r="G17751" s="6">
        <v>3000</v>
      </c>
      <c r="H17751" s="5">
        <v>12143</v>
      </c>
    </row>
    <row r="17752" spans="2:8" ht="15" customHeight="1" x14ac:dyDescent="0.4">
      <c r="B17752" s="3" t="s">
        <v>7</v>
      </c>
      <c r="C17752" s="3" t="s">
        <v>2880</v>
      </c>
      <c r="D17752" s="4">
        <f>DATE(2009,3,11)</f>
        <v>39883</v>
      </c>
      <c r="E17752" s="5">
        <f t="shared" si="291"/>
        <v>2009</v>
      </c>
      <c r="F17752" s="3" t="s">
        <v>2883</v>
      </c>
      <c r="G17752" s="6">
        <v>750</v>
      </c>
      <c r="H17752" s="5">
        <v>12107</v>
      </c>
    </row>
    <row r="17753" spans="2:8" ht="15" customHeight="1" x14ac:dyDescent="0.4">
      <c r="B17753" s="3" t="s">
        <v>7</v>
      </c>
      <c r="C17753" s="3" t="s">
        <v>2880</v>
      </c>
      <c r="D17753" s="4">
        <f>DATE(2009,6,11)</f>
        <v>39975</v>
      </c>
      <c r="E17753" s="5">
        <f t="shared" si="291"/>
        <v>2009</v>
      </c>
      <c r="F17753" s="3" t="s">
        <v>2883</v>
      </c>
      <c r="G17753" s="6">
        <v>3000</v>
      </c>
      <c r="H17753" s="5">
        <v>12596</v>
      </c>
    </row>
    <row r="17754" spans="2:8" ht="15" customHeight="1" x14ac:dyDescent="0.4">
      <c r="B17754" s="3" t="s">
        <v>7</v>
      </c>
      <c r="C17754" s="3" t="s">
        <v>2880</v>
      </c>
      <c r="D17754" s="4">
        <f>DATE(2009,9,18)</f>
        <v>40074</v>
      </c>
      <c r="E17754" s="5">
        <f t="shared" si="291"/>
        <v>2009</v>
      </c>
      <c r="F17754" s="3" t="s">
        <v>2883</v>
      </c>
      <c r="G17754" s="6">
        <v>86.19</v>
      </c>
      <c r="H17754" s="5">
        <v>13017</v>
      </c>
    </row>
    <row r="17755" spans="2:8" ht="15" customHeight="1" x14ac:dyDescent="0.4">
      <c r="B17755" s="3" t="s">
        <v>7</v>
      </c>
      <c r="C17755" s="3" t="s">
        <v>2880</v>
      </c>
      <c r="D17755" s="4">
        <f>DATE(2010,3,31)</f>
        <v>40268</v>
      </c>
      <c r="E17755" s="5">
        <f t="shared" si="291"/>
        <v>2010</v>
      </c>
      <c r="F17755" s="3" t="s">
        <v>2883</v>
      </c>
      <c r="G17755" s="6">
        <v>10009.209999999999</v>
      </c>
      <c r="H17755" s="5">
        <v>13708</v>
      </c>
    </row>
    <row r="17756" spans="2:8" ht="15" customHeight="1" x14ac:dyDescent="0.4">
      <c r="B17756" s="3" t="s">
        <v>7</v>
      </c>
      <c r="C17756" s="3" t="s">
        <v>2880</v>
      </c>
      <c r="D17756" s="4">
        <f>DATE(2010,4,21)</f>
        <v>40289</v>
      </c>
      <c r="E17756" s="5">
        <f t="shared" si="291"/>
        <v>2010</v>
      </c>
      <c r="F17756" s="3" t="s">
        <v>2883</v>
      </c>
      <c r="G17756" s="6">
        <v>8232.34</v>
      </c>
      <c r="H17756" s="5">
        <v>13748</v>
      </c>
    </row>
    <row r="17757" spans="2:8" ht="15" customHeight="1" x14ac:dyDescent="0.4">
      <c r="B17757" s="3" t="s">
        <v>7</v>
      </c>
      <c r="C17757" s="3" t="s">
        <v>2880</v>
      </c>
      <c r="D17757" s="4">
        <f>DATE(2010,8,23)</f>
        <v>40413</v>
      </c>
      <c r="E17757" s="5">
        <f t="shared" si="291"/>
        <v>2010</v>
      </c>
      <c r="F17757" s="3" t="s">
        <v>2883</v>
      </c>
      <c r="G17757" s="6">
        <v>258.57</v>
      </c>
      <c r="H17757" s="5">
        <v>14370</v>
      </c>
    </row>
    <row r="17758" spans="2:8" ht="15" customHeight="1" x14ac:dyDescent="0.4">
      <c r="B17758" s="3" t="s">
        <v>7</v>
      </c>
      <c r="C17758" s="3" t="s">
        <v>2880</v>
      </c>
      <c r="D17758" s="4">
        <f>DATE(2010,12,1)</f>
        <v>40513</v>
      </c>
      <c r="E17758" s="5">
        <f t="shared" si="291"/>
        <v>2010</v>
      </c>
      <c r="F17758" s="3" t="s">
        <v>2883</v>
      </c>
      <c r="G17758" s="6">
        <v>5320</v>
      </c>
      <c r="H17758" s="5">
        <v>14757</v>
      </c>
    </row>
    <row r="17759" spans="2:8" ht="15" customHeight="1" x14ac:dyDescent="0.4">
      <c r="B17759" s="3" t="s">
        <v>7</v>
      </c>
      <c r="C17759" s="3" t="s">
        <v>2880</v>
      </c>
      <c r="D17759" s="4">
        <f>DATE(2011,2,25)</f>
        <v>40599</v>
      </c>
      <c r="E17759" s="5">
        <f t="shared" si="291"/>
        <v>2011</v>
      </c>
      <c r="F17759" s="3" t="s">
        <v>2883</v>
      </c>
      <c r="G17759" s="6">
        <v>4100</v>
      </c>
      <c r="H17759" s="5">
        <v>15149</v>
      </c>
    </row>
    <row r="17760" spans="2:8" ht="15" customHeight="1" x14ac:dyDescent="0.4">
      <c r="B17760" s="3" t="s">
        <v>7</v>
      </c>
      <c r="C17760" s="3" t="s">
        <v>2880</v>
      </c>
      <c r="D17760" s="4">
        <f>DATE(2011,4,21)</f>
        <v>40654</v>
      </c>
      <c r="E17760" s="5">
        <f t="shared" si="291"/>
        <v>2011</v>
      </c>
      <c r="F17760" s="3" t="s">
        <v>2883</v>
      </c>
      <c r="G17760" s="6">
        <v>795.6</v>
      </c>
      <c r="H17760" s="5">
        <v>15465</v>
      </c>
    </row>
    <row r="17761" spans="2:8" ht="15" customHeight="1" x14ac:dyDescent="0.4">
      <c r="B17761" s="3" t="s">
        <v>7</v>
      </c>
      <c r="C17761" s="3" t="s">
        <v>2880</v>
      </c>
      <c r="D17761" s="4">
        <f>DATE(2011,4,21)</f>
        <v>40654</v>
      </c>
      <c r="E17761" s="5">
        <f t="shared" si="291"/>
        <v>2011</v>
      </c>
      <c r="F17761" s="3" t="s">
        <v>2883</v>
      </c>
      <c r="G17761" s="6">
        <v>364.65</v>
      </c>
      <c r="H17761" s="5">
        <v>15467</v>
      </c>
    </row>
    <row r="17762" spans="2:8" ht="15" customHeight="1" x14ac:dyDescent="0.4">
      <c r="B17762" s="3" t="s">
        <v>7</v>
      </c>
      <c r="C17762" s="3" t="s">
        <v>2880</v>
      </c>
      <c r="D17762" s="4">
        <f>DATE(2011,5,4)</f>
        <v>40667</v>
      </c>
      <c r="E17762" s="5">
        <f t="shared" si="291"/>
        <v>2011</v>
      </c>
      <c r="F17762" s="3" t="s">
        <v>2883</v>
      </c>
      <c r="G17762" s="6">
        <v>4120</v>
      </c>
      <c r="H17762" s="5">
        <v>15421</v>
      </c>
    </row>
    <row r="17763" spans="2:8" ht="15" customHeight="1" x14ac:dyDescent="0.4">
      <c r="B17763" s="3" t="s">
        <v>7</v>
      </c>
      <c r="C17763" s="3" t="s">
        <v>2880</v>
      </c>
      <c r="D17763" s="4">
        <f>DATE(2011,6,27)</f>
        <v>40721</v>
      </c>
      <c r="E17763" s="5">
        <f t="shared" si="291"/>
        <v>2011</v>
      </c>
      <c r="F17763" s="3" t="s">
        <v>2883</v>
      </c>
      <c r="G17763" s="6">
        <v>10080</v>
      </c>
      <c r="H17763" s="5">
        <v>15608</v>
      </c>
    </row>
    <row r="17764" spans="2:8" ht="15" customHeight="1" x14ac:dyDescent="0.4">
      <c r="B17764" s="3" t="s">
        <v>7</v>
      </c>
      <c r="C17764" s="3" t="s">
        <v>2880</v>
      </c>
      <c r="D17764" s="4">
        <f>DATE(2012,1,11)</f>
        <v>40919</v>
      </c>
      <c r="E17764" s="5">
        <f t="shared" si="291"/>
        <v>2012</v>
      </c>
      <c r="F17764" s="3" t="s">
        <v>2883</v>
      </c>
      <c r="G17764" s="6">
        <v>247.68</v>
      </c>
      <c r="H17764" s="5">
        <v>16354</v>
      </c>
    </row>
    <row r="17765" spans="2:8" ht="15" customHeight="1" x14ac:dyDescent="0.4">
      <c r="B17765" s="3" t="s">
        <v>7</v>
      </c>
      <c r="C17765" s="3" t="s">
        <v>2880</v>
      </c>
      <c r="D17765" s="4">
        <f>DATE(2012,6,22)</f>
        <v>41082</v>
      </c>
      <c r="E17765" s="5">
        <f t="shared" si="291"/>
        <v>2012</v>
      </c>
      <c r="F17765" s="3" t="s">
        <v>2883</v>
      </c>
      <c r="G17765" s="6">
        <v>624</v>
      </c>
      <c r="H17765" s="5">
        <v>17288</v>
      </c>
    </row>
    <row r="17766" spans="2:8" ht="15" customHeight="1" x14ac:dyDescent="0.4">
      <c r="B17766" s="3" t="s">
        <v>7</v>
      </c>
      <c r="C17766" s="3" t="s">
        <v>2880</v>
      </c>
      <c r="D17766" s="4">
        <f>DATE(2014,3,27)</f>
        <v>41725</v>
      </c>
      <c r="E17766" s="5">
        <f t="shared" si="291"/>
        <v>2014</v>
      </c>
      <c r="F17766" s="3" t="s">
        <v>2883</v>
      </c>
      <c r="G17766" s="6">
        <v>563.54999999999995</v>
      </c>
      <c r="H17766" s="5">
        <v>19708</v>
      </c>
    </row>
    <row r="17767" spans="2:8" ht="15" customHeight="1" x14ac:dyDescent="0.4">
      <c r="B17767" t="s">
        <v>7</v>
      </c>
      <c r="C17767" t="s">
        <v>2884</v>
      </c>
      <c r="D17767" s="7">
        <f>DATE(2015,8,12)</f>
        <v>42228</v>
      </c>
      <c r="E17767" s="8">
        <f t="shared" si="291"/>
        <v>2015</v>
      </c>
      <c r="F17767" t="s">
        <v>2885</v>
      </c>
      <c r="G17767" s="9">
        <v>5175.88</v>
      </c>
      <c r="H17767" s="8">
        <v>21030</v>
      </c>
    </row>
    <row r="17768" spans="2:8" ht="15" customHeight="1" x14ac:dyDescent="0.4">
      <c r="B17768" t="s">
        <v>7</v>
      </c>
      <c r="C17768" t="s">
        <v>2886</v>
      </c>
      <c r="D17768" s="7">
        <f>DATE(2007,11,5)</f>
        <v>39391</v>
      </c>
      <c r="E17768" s="8">
        <f t="shared" si="291"/>
        <v>2007</v>
      </c>
      <c r="F17768" t="s">
        <v>2887</v>
      </c>
      <c r="G17768" s="9">
        <v>5615</v>
      </c>
      <c r="H17768" s="8">
        <v>5339</v>
      </c>
    </row>
    <row r="17769" spans="2:8" ht="15" customHeight="1" x14ac:dyDescent="0.4">
      <c r="B17769" t="s">
        <v>7</v>
      </c>
      <c r="C17769" t="s">
        <v>2886</v>
      </c>
      <c r="D17769" s="7">
        <f>DATE(2007,11,7)</f>
        <v>39393</v>
      </c>
      <c r="E17769" s="8">
        <f t="shared" si="291"/>
        <v>2007</v>
      </c>
      <c r="F17769" t="s">
        <v>2887</v>
      </c>
      <c r="G17769" s="9">
        <v>9955</v>
      </c>
      <c r="H17769" s="8">
        <v>5331</v>
      </c>
    </row>
    <row r="17770" spans="2:8" ht="15" customHeight="1" x14ac:dyDescent="0.4">
      <c r="B17770" t="s">
        <v>7</v>
      </c>
      <c r="C17770" t="s">
        <v>2888</v>
      </c>
      <c r="D17770" s="7">
        <f>DATE(2012,7,9)</f>
        <v>41099</v>
      </c>
      <c r="E17770" s="8">
        <f t="shared" si="291"/>
        <v>2012</v>
      </c>
      <c r="F17770" t="s">
        <v>2889</v>
      </c>
      <c r="G17770" s="9">
        <v>973</v>
      </c>
      <c r="H17770" s="8">
        <v>11722</v>
      </c>
    </row>
    <row r="17771" spans="2:8" ht="15" customHeight="1" x14ac:dyDescent="0.4">
      <c r="B17771" t="s">
        <v>7</v>
      </c>
      <c r="C17771" t="s">
        <v>2888</v>
      </c>
      <c r="D17771" s="7">
        <f>DATE(2012,8,17)</f>
        <v>41138</v>
      </c>
      <c r="E17771" s="8">
        <f t="shared" si="291"/>
        <v>2012</v>
      </c>
      <c r="F17771" t="s">
        <v>2889</v>
      </c>
      <c r="G17771" s="9">
        <v>452</v>
      </c>
      <c r="H17771" s="8">
        <v>11792</v>
      </c>
    </row>
    <row r="17772" spans="2:8" ht="15" customHeight="1" x14ac:dyDescent="0.4">
      <c r="B17772" t="s">
        <v>7</v>
      </c>
      <c r="C17772" t="s">
        <v>2890</v>
      </c>
      <c r="D17772" s="7">
        <f>DATE(2008,5,7)</f>
        <v>39575</v>
      </c>
      <c r="E17772" s="8">
        <f t="shared" si="291"/>
        <v>2008</v>
      </c>
      <c r="F17772" t="s">
        <v>2891</v>
      </c>
      <c r="G17772" s="9">
        <v>7912.46</v>
      </c>
      <c r="H17772" s="8">
        <v>7408</v>
      </c>
    </row>
    <row r="17773" spans="2:8" ht="15" customHeight="1" x14ac:dyDescent="0.4">
      <c r="B17773" t="s">
        <v>7</v>
      </c>
      <c r="C17773" t="s">
        <v>2890</v>
      </c>
      <c r="D17773" s="7">
        <f>DATE(2009,1,30)</f>
        <v>39843</v>
      </c>
      <c r="E17773" s="8">
        <f t="shared" si="291"/>
        <v>2009</v>
      </c>
      <c r="F17773" t="s">
        <v>2891</v>
      </c>
      <c r="G17773" s="9">
        <v>4856.87</v>
      </c>
      <c r="H17773" s="8">
        <v>8273</v>
      </c>
    </row>
    <row r="17774" spans="2:8" ht="15" customHeight="1" x14ac:dyDescent="0.4">
      <c r="B17774" t="s">
        <v>7</v>
      </c>
      <c r="C17774" t="s">
        <v>2890</v>
      </c>
      <c r="D17774" s="7">
        <f>DATE(2014,8,14)</f>
        <v>41865</v>
      </c>
      <c r="E17774" s="8">
        <f t="shared" si="291"/>
        <v>2014</v>
      </c>
      <c r="F17774" t="s">
        <v>2891</v>
      </c>
      <c r="G17774" s="9">
        <v>6325.95</v>
      </c>
      <c r="H17774" s="8">
        <v>13352</v>
      </c>
    </row>
    <row r="17775" spans="2:8" ht="15" customHeight="1" x14ac:dyDescent="0.4">
      <c r="B17775" t="s">
        <v>7</v>
      </c>
      <c r="C17775" t="s">
        <v>2892</v>
      </c>
      <c r="D17775" s="7">
        <f>DATE(2006,11,1)</f>
        <v>39022</v>
      </c>
      <c r="E17775" s="8">
        <f t="shared" si="291"/>
        <v>2006</v>
      </c>
      <c r="F17775" t="s">
        <v>2893</v>
      </c>
      <c r="G17775" s="9">
        <v>13800</v>
      </c>
      <c r="H17775" s="8">
        <v>4697</v>
      </c>
    </row>
    <row r="17776" spans="2:8" ht="15" customHeight="1" x14ac:dyDescent="0.4">
      <c r="B17776" t="s">
        <v>7</v>
      </c>
      <c r="C17776" t="s">
        <v>2892</v>
      </c>
      <c r="D17776" s="7">
        <f>DATE(2006,11,1)</f>
        <v>39022</v>
      </c>
      <c r="E17776" s="8">
        <f t="shared" si="291"/>
        <v>2006</v>
      </c>
      <c r="F17776" t="s">
        <v>2893</v>
      </c>
      <c r="G17776" s="9">
        <v>12499</v>
      </c>
      <c r="H17776" s="8">
        <v>4698</v>
      </c>
    </row>
    <row r="17777" spans="2:8" ht="15" customHeight="1" x14ac:dyDescent="0.4">
      <c r="B17777" s="3" t="s">
        <v>7</v>
      </c>
      <c r="C17777" s="3" t="s">
        <v>2894</v>
      </c>
      <c r="D17777" s="4">
        <f>DATE(2011,11,1)</f>
        <v>40848</v>
      </c>
      <c r="E17777" s="5">
        <f t="shared" si="291"/>
        <v>2011</v>
      </c>
      <c r="F17777" s="3" t="s">
        <v>2895</v>
      </c>
      <c r="G17777" s="6">
        <v>26157.45</v>
      </c>
      <c r="H17777" s="5">
        <v>16035</v>
      </c>
    </row>
    <row r="17778" spans="2:8" ht="15" customHeight="1" x14ac:dyDescent="0.4">
      <c r="B17778" s="3" t="s">
        <v>7</v>
      </c>
      <c r="C17778" s="3" t="s">
        <v>2896</v>
      </c>
      <c r="D17778" s="4">
        <f>DATE(2003,8,22)</f>
        <v>37855</v>
      </c>
      <c r="E17778" s="5">
        <f t="shared" si="291"/>
        <v>2003</v>
      </c>
      <c r="F17778" s="3" t="s">
        <v>2897</v>
      </c>
      <c r="G17778" s="6">
        <v>331.58</v>
      </c>
      <c r="H17778" s="5">
        <v>299</v>
      </c>
    </row>
    <row r="17779" spans="2:8" ht="15" customHeight="1" x14ac:dyDescent="0.4">
      <c r="B17779" s="3" t="s">
        <v>7</v>
      </c>
      <c r="C17779" s="3" t="s">
        <v>2896</v>
      </c>
      <c r="D17779" s="4">
        <f>DATE(2006,6,1)</f>
        <v>38869</v>
      </c>
      <c r="E17779" s="5">
        <f t="shared" si="291"/>
        <v>2006</v>
      </c>
      <c r="F17779" s="3" t="s">
        <v>2897</v>
      </c>
      <c r="G17779" s="6">
        <v>677.73</v>
      </c>
      <c r="H17779" s="5">
        <v>1574</v>
      </c>
    </row>
    <row r="17780" spans="2:8" ht="15" customHeight="1" x14ac:dyDescent="0.4">
      <c r="B17780" t="s">
        <v>7</v>
      </c>
      <c r="C17780" t="s">
        <v>2898</v>
      </c>
      <c r="D17780" s="7">
        <f>DATE(2015,4,3)</f>
        <v>42097</v>
      </c>
      <c r="E17780" s="8">
        <f t="shared" si="291"/>
        <v>2015</v>
      </c>
      <c r="F17780" t="s">
        <v>2899</v>
      </c>
      <c r="G17780" s="9">
        <v>47219.18</v>
      </c>
      <c r="H17780" s="8">
        <v>407</v>
      </c>
    </row>
    <row r="17781" spans="2:8" ht="15" customHeight="1" x14ac:dyDescent="0.4">
      <c r="B17781" t="s">
        <v>7</v>
      </c>
      <c r="C17781" t="s">
        <v>2898</v>
      </c>
      <c r="D17781" s="7">
        <f>DATE(2015,5,7)</f>
        <v>42131</v>
      </c>
      <c r="E17781" s="8">
        <f t="shared" si="291"/>
        <v>2015</v>
      </c>
      <c r="F17781" t="s">
        <v>2899</v>
      </c>
      <c r="G17781" s="9">
        <v>43020.06</v>
      </c>
      <c r="H17781" s="8">
        <v>20338</v>
      </c>
    </row>
    <row r="17782" spans="2:8" ht="15" customHeight="1" x14ac:dyDescent="0.4">
      <c r="B17782" t="s">
        <v>7</v>
      </c>
      <c r="C17782" t="s">
        <v>2898</v>
      </c>
      <c r="D17782" s="7">
        <f>DATE(2012,3,12)</f>
        <v>40980</v>
      </c>
      <c r="E17782" s="8">
        <f t="shared" si="291"/>
        <v>2012</v>
      </c>
      <c r="F17782" t="s">
        <v>2899</v>
      </c>
      <c r="G17782" s="9">
        <v>10417.09</v>
      </c>
      <c r="H17782" s="8">
        <v>11405</v>
      </c>
    </row>
    <row r="17783" spans="2:8" ht="15" customHeight="1" x14ac:dyDescent="0.4">
      <c r="B17783" t="s">
        <v>7</v>
      </c>
      <c r="C17783" t="s">
        <v>2898</v>
      </c>
      <c r="D17783" s="7">
        <f>DATE(2012,3,16)</f>
        <v>40984</v>
      </c>
      <c r="E17783" s="8">
        <f t="shared" si="291"/>
        <v>2012</v>
      </c>
      <c r="F17783" t="s">
        <v>2899</v>
      </c>
      <c r="G17783" s="9">
        <v>5673.31</v>
      </c>
      <c r="H17783" s="8">
        <v>11404</v>
      </c>
    </row>
    <row r="17784" spans="2:8" ht="15" customHeight="1" x14ac:dyDescent="0.4">
      <c r="B17784" t="s">
        <v>7</v>
      </c>
      <c r="C17784" t="s">
        <v>2898</v>
      </c>
      <c r="D17784" s="7">
        <f>DATE(2008,10,31)</f>
        <v>39752</v>
      </c>
      <c r="E17784" s="8">
        <f t="shared" si="291"/>
        <v>2008</v>
      </c>
      <c r="F17784" t="s">
        <v>2899</v>
      </c>
      <c r="G17784" s="9">
        <v>26280</v>
      </c>
      <c r="H17784" s="8">
        <v>7744</v>
      </c>
    </row>
    <row r="17785" spans="2:8" ht="15" customHeight="1" x14ac:dyDescent="0.4">
      <c r="B17785" t="s">
        <v>7</v>
      </c>
      <c r="C17785" t="s">
        <v>2898</v>
      </c>
      <c r="D17785" s="7">
        <f>DATE(2008,11,2)</f>
        <v>39754</v>
      </c>
      <c r="E17785" s="8">
        <f t="shared" si="291"/>
        <v>2008</v>
      </c>
      <c r="F17785" t="s">
        <v>2899</v>
      </c>
      <c r="G17785" s="9">
        <v>7661.03</v>
      </c>
      <c r="H17785" s="8">
        <v>7877</v>
      </c>
    </row>
    <row r="17786" spans="2:8" ht="15" customHeight="1" x14ac:dyDescent="0.4">
      <c r="B17786" t="s">
        <v>7</v>
      </c>
      <c r="C17786" t="s">
        <v>2898</v>
      </c>
      <c r="D17786" s="7">
        <f>DATE(2009,5,12)</f>
        <v>39945</v>
      </c>
      <c r="E17786" s="8">
        <f t="shared" si="291"/>
        <v>2009</v>
      </c>
      <c r="F17786" t="s">
        <v>2899</v>
      </c>
      <c r="G17786" s="9">
        <v>26780</v>
      </c>
      <c r="H17786" s="8">
        <v>8372</v>
      </c>
    </row>
    <row r="17787" spans="2:8" ht="15" customHeight="1" x14ac:dyDescent="0.4">
      <c r="B17787" t="s">
        <v>7</v>
      </c>
      <c r="C17787" t="s">
        <v>2898</v>
      </c>
      <c r="D17787" s="7">
        <f>DATE(2009,5,12)</f>
        <v>39945</v>
      </c>
      <c r="E17787" s="8">
        <f t="shared" si="291"/>
        <v>2009</v>
      </c>
      <c r="F17787" t="s">
        <v>2899</v>
      </c>
      <c r="G17787" s="9">
        <v>10193.42</v>
      </c>
      <c r="H17787" s="8">
        <v>8505</v>
      </c>
    </row>
    <row r="17788" spans="2:8" ht="15" customHeight="1" x14ac:dyDescent="0.4">
      <c r="B17788" t="s">
        <v>7</v>
      </c>
      <c r="C17788" t="s">
        <v>2898</v>
      </c>
      <c r="D17788" s="7">
        <f>DATE(2009,11,17)</f>
        <v>40134</v>
      </c>
      <c r="E17788" s="8">
        <f t="shared" si="291"/>
        <v>2009</v>
      </c>
      <c r="F17788" t="s">
        <v>2899</v>
      </c>
      <c r="G17788" s="9">
        <v>28794</v>
      </c>
      <c r="H17788" s="8">
        <v>8997</v>
      </c>
    </row>
    <row r="17789" spans="2:8" ht="15" customHeight="1" x14ac:dyDescent="0.4">
      <c r="B17789" t="s">
        <v>7</v>
      </c>
      <c r="C17789" t="s">
        <v>2898</v>
      </c>
      <c r="D17789" s="7">
        <f>DATE(2009,11,18)</f>
        <v>40135</v>
      </c>
      <c r="E17789" s="8">
        <f t="shared" si="291"/>
        <v>2009</v>
      </c>
      <c r="F17789" t="s">
        <v>2899</v>
      </c>
      <c r="G17789" s="9">
        <v>2878.64</v>
      </c>
      <c r="H17789" s="8">
        <v>9029</v>
      </c>
    </row>
    <row r="17790" spans="2:8" ht="15" customHeight="1" x14ac:dyDescent="0.4">
      <c r="B17790" t="s">
        <v>7</v>
      </c>
      <c r="C17790" t="s">
        <v>2898</v>
      </c>
      <c r="D17790" s="7">
        <f>DATE(2010,6,4)</f>
        <v>40333</v>
      </c>
      <c r="E17790" s="8">
        <f t="shared" si="291"/>
        <v>2010</v>
      </c>
      <c r="F17790" t="s">
        <v>2899</v>
      </c>
      <c r="G17790" s="9">
        <v>26780</v>
      </c>
      <c r="H17790" s="8">
        <v>9713</v>
      </c>
    </row>
    <row r="17791" spans="2:8" ht="15" customHeight="1" x14ac:dyDescent="0.4">
      <c r="B17791" t="s">
        <v>7</v>
      </c>
      <c r="C17791" t="s">
        <v>2898</v>
      </c>
      <c r="D17791" s="7">
        <f>DATE(2010,6,4)</f>
        <v>40333</v>
      </c>
      <c r="E17791" s="8">
        <f t="shared" si="291"/>
        <v>2010</v>
      </c>
      <c r="F17791" t="s">
        <v>2899</v>
      </c>
      <c r="G17791" s="9">
        <v>7692.69</v>
      </c>
      <c r="H17791" s="8">
        <v>9834</v>
      </c>
    </row>
    <row r="17792" spans="2:8" ht="15" customHeight="1" x14ac:dyDescent="0.4">
      <c r="B17792" t="s">
        <v>7</v>
      </c>
      <c r="C17792" t="s">
        <v>2898</v>
      </c>
      <c r="D17792" s="7">
        <f>DATE(2011,3,2)</f>
        <v>40604</v>
      </c>
      <c r="E17792" s="8">
        <f t="shared" si="291"/>
        <v>2011</v>
      </c>
      <c r="F17792" t="s">
        <v>2899</v>
      </c>
      <c r="G17792" s="9">
        <v>47399.360000000001</v>
      </c>
      <c r="H17792" s="8">
        <v>10357</v>
      </c>
    </row>
    <row r="17793" spans="2:8" ht="15" customHeight="1" x14ac:dyDescent="0.4">
      <c r="B17793" t="s">
        <v>7</v>
      </c>
      <c r="C17793" t="s">
        <v>2898</v>
      </c>
      <c r="D17793" s="7">
        <f>DATE(2011,5,2)</f>
        <v>40665</v>
      </c>
      <c r="E17793" s="8">
        <f t="shared" si="291"/>
        <v>2011</v>
      </c>
      <c r="F17793" t="s">
        <v>2899</v>
      </c>
      <c r="G17793" s="9">
        <v>43905.94</v>
      </c>
      <c r="H17793" s="8">
        <v>10358</v>
      </c>
    </row>
    <row r="17794" spans="2:8" ht="15" customHeight="1" x14ac:dyDescent="0.4">
      <c r="B17794" t="s">
        <v>7</v>
      </c>
      <c r="C17794" t="s">
        <v>2898</v>
      </c>
      <c r="D17794" s="7">
        <f>DATE(2012,3,28)</f>
        <v>40996</v>
      </c>
      <c r="E17794" s="8">
        <f t="shared" si="291"/>
        <v>2012</v>
      </c>
      <c r="F17794" t="s">
        <v>2899</v>
      </c>
      <c r="G17794" s="9">
        <v>45704.77</v>
      </c>
      <c r="H17794" s="8">
        <v>11157</v>
      </c>
    </row>
    <row r="17795" spans="2:8" ht="15" customHeight="1" x14ac:dyDescent="0.4">
      <c r="B17795" t="s">
        <v>7</v>
      </c>
      <c r="C17795" t="s">
        <v>2898</v>
      </c>
      <c r="D17795" s="7">
        <f>DATE(2012,5,30)</f>
        <v>41059</v>
      </c>
      <c r="E17795" s="8">
        <f t="shared" ref="E17795:E17858" si="292">YEAR(D17795)</f>
        <v>2012</v>
      </c>
      <c r="F17795" t="s">
        <v>2899</v>
      </c>
      <c r="G17795" s="9">
        <v>5573.02</v>
      </c>
      <c r="H17795" s="8">
        <v>11651</v>
      </c>
    </row>
    <row r="17796" spans="2:8" ht="15" customHeight="1" x14ac:dyDescent="0.4">
      <c r="B17796" t="s">
        <v>7</v>
      </c>
      <c r="C17796" t="s">
        <v>2898</v>
      </c>
      <c r="D17796" s="7">
        <f>DATE(2012,5,30)</f>
        <v>41059</v>
      </c>
      <c r="E17796" s="8">
        <f t="shared" si="292"/>
        <v>2012</v>
      </c>
      <c r="F17796" t="s">
        <v>2899</v>
      </c>
      <c r="G17796" s="9">
        <v>2847.16</v>
      </c>
      <c r="H17796" s="8">
        <v>11650</v>
      </c>
    </row>
    <row r="17797" spans="2:8" ht="15" customHeight="1" x14ac:dyDescent="0.4">
      <c r="B17797" t="s">
        <v>7</v>
      </c>
      <c r="C17797" t="s">
        <v>2898</v>
      </c>
      <c r="D17797" s="7">
        <f>DATE(2013,3,18)</f>
        <v>41351</v>
      </c>
      <c r="E17797" s="8">
        <f t="shared" si="292"/>
        <v>2013</v>
      </c>
      <c r="F17797" t="s">
        <v>2899</v>
      </c>
      <c r="G17797" s="9">
        <v>45102.94</v>
      </c>
      <c r="H17797" s="8">
        <v>11993</v>
      </c>
    </row>
    <row r="17798" spans="2:8" ht="15" customHeight="1" x14ac:dyDescent="0.4">
      <c r="B17798" t="s">
        <v>7</v>
      </c>
      <c r="C17798" t="s">
        <v>2898</v>
      </c>
      <c r="D17798" s="7">
        <f>DATE(2013,5,24)</f>
        <v>41418</v>
      </c>
      <c r="E17798" s="8">
        <f t="shared" si="292"/>
        <v>2013</v>
      </c>
      <c r="F17798" t="s">
        <v>2899</v>
      </c>
      <c r="G17798" s="9">
        <v>49848.800000000003</v>
      </c>
      <c r="H17798" s="8">
        <v>11992</v>
      </c>
    </row>
    <row r="17799" spans="2:8" ht="15" customHeight="1" x14ac:dyDescent="0.4">
      <c r="B17799" t="s">
        <v>7</v>
      </c>
      <c r="C17799" t="s">
        <v>2898</v>
      </c>
      <c r="D17799" s="7">
        <f>DATE(2013,6,10)</f>
        <v>41435</v>
      </c>
      <c r="E17799" s="8">
        <f t="shared" si="292"/>
        <v>2013</v>
      </c>
      <c r="F17799" t="s">
        <v>2899</v>
      </c>
      <c r="G17799" s="9">
        <v>10092.76</v>
      </c>
      <c r="H17799" s="8">
        <v>12482</v>
      </c>
    </row>
    <row r="17800" spans="2:8" ht="15" customHeight="1" x14ac:dyDescent="0.4">
      <c r="B17800" t="s">
        <v>7</v>
      </c>
      <c r="C17800" t="s">
        <v>2898</v>
      </c>
      <c r="D17800" s="7">
        <f>DATE(2014,5,22)</f>
        <v>41781</v>
      </c>
      <c r="E17800" s="8">
        <f t="shared" si="292"/>
        <v>2014</v>
      </c>
      <c r="F17800" t="s">
        <v>2899</v>
      </c>
      <c r="G17800" s="9">
        <v>43864</v>
      </c>
      <c r="H17800" s="8">
        <v>13109</v>
      </c>
    </row>
    <row r="17801" spans="2:8" ht="15" customHeight="1" x14ac:dyDescent="0.4">
      <c r="B17801" t="s">
        <v>7</v>
      </c>
      <c r="C17801" t="s">
        <v>2898</v>
      </c>
      <c r="D17801" s="7">
        <f>DATE(2014,5,30)</f>
        <v>41789</v>
      </c>
      <c r="E17801" s="8">
        <f t="shared" si="292"/>
        <v>2014</v>
      </c>
      <c r="F17801" t="s">
        <v>2899</v>
      </c>
      <c r="G17801" s="9">
        <v>48448</v>
      </c>
      <c r="H17801" s="8">
        <v>13108</v>
      </c>
    </row>
    <row r="17802" spans="2:8" ht="15" customHeight="1" x14ac:dyDescent="0.4">
      <c r="B17802" t="s">
        <v>7</v>
      </c>
      <c r="C17802" t="s">
        <v>2898</v>
      </c>
      <c r="D17802" s="7">
        <f>DATE(2014,11,5)</f>
        <v>41948</v>
      </c>
      <c r="E17802" s="8">
        <f t="shared" si="292"/>
        <v>2014</v>
      </c>
      <c r="F17802" t="s">
        <v>2899</v>
      </c>
      <c r="G17802" s="9">
        <v>34108.879999999997</v>
      </c>
      <c r="H17802" s="8">
        <v>13512</v>
      </c>
    </row>
    <row r="17803" spans="2:8" ht="15" customHeight="1" x14ac:dyDescent="0.4">
      <c r="B17803" t="s">
        <v>7</v>
      </c>
      <c r="C17803" t="s">
        <v>2898</v>
      </c>
      <c r="D17803" s="7">
        <f>DATE(2014,11,5)</f>
        <v>41948</v>
      </c>
      <c r="E17803" s="8">
        <f t="shared" si="292"/>
        <v>2014</v>
      </c>
      <c r="F17803" t="s">
        <v>2899</v>
      </c>
      <c r="G17803" s="9">
        <v>12814.69</v>
      </c>
      <c r="H17803" s="8">
        <v>13455</v>
      </c>
    </row>
    <row r="17804" spans="2:8" ht="15" customHeight="1" x14ac:dyDescent="0.4">
      <c r="B17804" t="s">
        <v>7</v>
      </c>
      <c r="C17804" t="s">
        <v>2898</v>
      </c>
      <c r="D17804" s="7">
        <f>DATE(2014,4,4)</f>
        <v>41733</v>
      </c>
      <c r="E17804" s="8">
        <f t="shared" si="292"/>
        <v>2014</v>
      </c>
      <c r="F17804" t="s">
        <v>2899</v>
      </c>
      <c r="G17804" s="9">
        <v>10115.77</v>
      </c>
      <c r="H17804" s="8">
        <v>12831</v>
      </c>
    </row>
    <row r="17805" spans="2:8" ht="15" customHeight="1" x14ac:dyDescent="0.4">
      <c r="B17805" s="3" t="s">
        <v>7</v>
      </c>
      <c r="C17805" s="3" t="s">
        <v>2898</v>
      </c>
      <c r="D17805" s="4">
        <f>DATE(2008,10,27)</f>
        <v>39748</v>
      </c>
      <c r="E17805" s="5">
        <f t="shared" si="292"/>
        <v>2008</v>
      </c>
      <c r="F17805" s="3" t="s">
        <v>2899</v>
      </c>
      <c r="G17805" s="6">
        <v>14106.5</v>
      </c>
      <c r="H17805" s="5">
        <v>11158</v>
      </c>
    </row>
    <row r="17806" spans="2:8" ht="15" customHeight="1" x14ac:dyDescent="0.4">
      <c r="B17806" s="3" t="s">
        <v>7</v>
      </c>
      <c r="C17806" s="3" t="s">
        <v>2898</v>
      </c>
      <c r="D17806" s="4">
        <f>DATE(2009,5,14)</f>
        <v>39947</v>
      </c>
      <c r="E17806" s="5">
        <f t="shared" si="292"/>
        <v>2009</v>
      </c>
      <c r="F17806" s="3" t="s">
        <v>2899</v>
      </c>
      <c r="G17806" s="6">
        <v>14106.5</v>
      </c>
      <c r="H17806" s="5">
        <v>12010</v>
      </c>
    </row>
    <row r="17807" spans="2:8" ht="15" customHeight="1" x14ac:dyDescent="0.4">
      <c r="B17807" s="3" t="s">
        <v>7</v>
      </c>
      <c r="C17807" s="3" t="s">
        <v>2898</v>
      </c>
      <c r="D17807" s="4">
        <f>DATE(2009,11,16)</f>
        <v>40133</v>
      </c>
      <c r="E17807" s="5">
        <f t="shared" si="292"/>
        <v>2009</v>
      </c>
      <c r="F17807" s="3" t="s">
        <v>2899</v>
      </c>
      <c r="G17807" s="6">
        <v>14106.5</v>
      </c>
      <c r="H17807" s="5">
        <v>12932</v>
      </c>
    </row>
    <row r="17808" spans="2:8" ht="15" customHeight="1" x14ac:dyDescent="0.4">
      <c r="B17808" s="3" t="s">
        <v>7</v>
      </c>
      <c r="C17808" s="3" t="s">
        <v>2898</v>
      </c>
      <c r="D17808" s="4">
        <f>DATE(2010,6,3)</f>
        <v>40332</v>
      </c>
      <c r="E17808" s="5">
        <f t="shared" si="292"/>
        <v>2010</v>
      </c>
      <c r="F17808" s="3" t="s">
        <v>2899</v>
      </c>
      <c r="G17808" s="6">
        <v>14106.5</v>
      </c>
      <c r="H17808" s="5">
        <v>13830</v>
      </c>
    </row>
    <row r="17809" spans="2:8" ht="15" customHeight="1" x14ac:dyDescent="0.4">
      <c r="B17809" t="s">
        <v>7</v>
      </c>
      <c r="C17809" t="s">
        <v>2898</v>
      </c>
      <c r="D17809" s="7">
        <f>DATE(2017,2,28)</f>
        <v>42794</v>
      </c>
      <c r="E17809" s="8">
        <f t="shared" si="292"/>
        <v>2017</v>
      </c>
      <c r="F17809" t="s">
        <v>2900</v>
      </c>
      <c r="G17809" s="9">
        <v>9500</v>
      </c>
      <c r="H17809" s="8">
        <v>24317</v>
      </c>
    </row>
    <row r="17810" spans="2:8" ht="15" customHeight="1" x14ac:dyDescent="0.4">
      <c r="B17810" t="s">
        <v>7</v>
      </c>
      <c r="C17810" t="s">
        <v>2898</v>
      </c>
      <c r="D17810" s="7">
        <f>DATE(2017,7,19)</f>
        <v>42935</v>
      </c>
      <c r="E17810" s="8">
        <f t="shared" si="292"/>
        <v>2017</v>
      </c>
      <c r="F17810" t="s">
        <v>2900</v>
      </c>
      <c r="G17810" s="9">
        <v>9500</v>
      </c>
      <c r="H17810" s="8">
        <v>25261</v>
      </c>
    </row>
    <row r="17811" spans="2:8" ht="15" customHeight="1" x14ac:dyDescent="0.4">
      <c r="B17811" t="s">
        <v>7</v>
      </c>
      <c r="C17811" t="s">
        <v>2898</v>
      </c>
      <c r="D17811" s="7">
        <f>DATE(2018,2,19)</f>
        <v>43150</v>
      </c>
      <c r="E17811" s="8">
        <f t="shared" si="292"/>
        <v>2018</v>
      </c>
      <c r="F17811" t="s">
        <v>2900</v>
      </c>
      <c r="G17811" s="9">
        <v>1900</v>
      </c>
      <c r="H17811" s="8">
        <v>26278</v>
      </c>
    </row>
    <row r="17812" spans="2:8" ht="15" customHeight="1" x14ac:dyDescent="0.4">
      <c r="B17812" t="s">
        <v>7</v>
      </c>
      <c r="C17812" t="s">
        <v>2898</v>
      </c>
      <c r="D17812" s="7">
        <f>DATE(2018,3,26)</f>
        <v>43185</v>
      </c>
      <c r="E17812" s="8">
        <f t="shared" si="292"/>
        <v>2018</v>
      </c>
      <c r="F17812" t="s">
        <v>2900</v>
      </c>
      <c r="G17812" s="9">
        <v>9500</v>
      </c>
      <c r="H17812" s="8">
        <v>26719</v>
      </c>
    </row>
    <row r="17813" spans="2:8" ht="15" customHeight="1" x14ac:dyDescent="0.4">
      <c r="B17813" t="s">
        <v>7</v>
      </c>
      <c r="C17813" t="s">
        <v>2898</v>
      </c>
      <c r="D17813" s="7">
        <f>DATE(2019,3,28)</f>
        <v>43552</v>
      </c>
      <c r="E17813" s="8">
        <f t="shared" si="292"/>
        <v>2019</v>
      </c>
      <c r="F17813" t="s">
        <v>2900</v>
      </c>
      <c r="G17813" s="9">
        <v>9500</v>
      </c>
      <c r="H17813" s="8">
        <v>28708</v>
      </c>
    </row>
    <row r="17814" spans="2:8" ht="15" customHeight="1" x14ac:dyDescent="0.4">
      <c r="B17814" s="3" t="s">
        <v>7</v>
      </c>
      <c r="C17814" s="3" t="s">
        <v>2901</v>
      </c>
      <c r="D17814" s="4">
        <f>DATE(2007,6,18)</f>
        <v>39251</v>
      </c>
      <c r="E17814" s="5">
        <f t="shared" si="292"/>
        <v>2007</v>
      </c>
      <c r="F17814" s="3" t="s">
        <v>2902</v>
      </c>
      <c r="G17814" s="6">
        <v>1259</v>
      </c>
      <c r="H17814" s="5">
        <v>8777</v>
      </c>
    </row>
    <row r="17815" spans="2:8" ht="15" customHeight="1" x14ac:dyDescent="0.4">
      <c r="B17815" t="s">
        <v>7</v>
      </c>
      <c r="C17815" t="s">
        <v>2898</v>
      </c>
      <c r="D17815" s="7">
        <f>DATE(2006,4,25)</f>
        <v>38832</v>
      </c>
      <c r="E17815" s="8">
        <f t="shared" si="292"/>
        <v>2006</v>
      </c>
      <c r="F17815" t="s">
        <v>2903</v>
      </c>
      <c r="G17815" s="9">
        <v>9083.75</v>
      </c>
      <c r="H17815" s="8">
        <v>4481</v>
      </c>
    </row>
    <row r="17816" spans="2:8" ht="15" customHeight="1" x14ac:dyDescent="0.4">
      <c r="B17816" t="s">
        <v>7</v>
      </c>
      <c r="C17816" t="s">
        <v>2898</v>
      </c>
      <c r="D17816" s="7">
        <f>DATE(2006,4,25)</f>
        <v>38832</v>
      </c>
      <c r="E17816" s="8">
        <f t="shared" si="292"/>
        <v>2006</v>
      </c>
      <c r="F17816" t="s">
        <v>2903</v>
      </c>
      <c r="G17816" s="9">
        <v>9083.75</v>
      </c>
      <c r="H17816" s="8">
        <v>4680</v>
      </c>
    </row>
    <row r="17817" spans="2:8" ht="15" customHeight="1" x14ac:dyDescent="0.4">
      <c r="B17817" t="s">
        <v>7</v>
      </c>
      <c r="C17817" t="s">
        <v>2898</v>
      </c>
      <c r="D17817" s="7">
        <f>DATE(2006,10,8)</f>
        <v>38998</v>
      </c>
      <c r="E17817" s="8">
        <f t="shared" si="292"/>
        <v>2006</v>
      </c>
      <c r="F17817" t="s">
        <v>2903</v>
      </c>
      <c r="G17817" s="9">
        <v>35050</v>
      </c>
      <c r="H17817" s="8">
        <v>4892</v>
      </c>
    </row>
    <row r="17818" spans="2:8" ht="15" customHeight="1" x14ac:dyDescent="0.4">
      <c r="B17818" t="s">
        <v>7</v>
      </c>
      <c r="C17818" t="s">
        <v>2898</v>
      </c>
      <c r="D17818" s="7">
        <f>DATE(2006,10,6)</f>
        <v>38996</v>
      </c>
      <c r="E17818" s="8">
        <f t="shared" si="292"/>
        <v>2006</v>
      </c>
      <c r="F17818" t="s">
        <v>2903</v>
      </c>
      <c r="G17818" s="9">
        <v>8773.15</v>
      </c>
      <c r="H17818" s="8">
        <v>4950</v>
      </c>
    </row>
    <row r="17819" spans="2:8" ht="15" customHeight="1" x14ac:dyDescent="0.4">
      <c r="B17819" t="s">
        <v>7</v>
      </c>
      <c r="C17819" t="s">
        <v>2898</v>
      </c>
      <c r="D17819" s="7">
        <f>DATE(2007,2,5)</f>
        <v>39118</v>
      </c>
      <c r="E17819" s="8">
        <f t="shared" si="292"/>
        <v>2007</v>
      </c>
      <c r="F17819" t="s">
        <v>2903</v>
      </c>
      <c r="G17819" s="9">
        <v>37800</v>
      </c>
      <c r="H17819" s="8">
        <v>5219</v>
      </c>
    </row>
    <row r="17820" spans="2:8" ht="15" customHeight="1" x14ac:dyDescent="0.4">
      <c r="B17820" t="s">
        <v>7</v>
      </c>
      <c r="C17820" t="s">
        <v>2898</v>
      </c>
      <c r="D17820" s="7">
        <f>DATE(2007,2,6)</f>
        <v>39119</v>
      </c>
      <c r="E17820" s="8">
        <f t="shared" si="292"/>
        <v>2007</v>
      </c>
      <c r="F17820" t="s">
        <v>2903</v>
      </c>
      <c r="G17820" s="9">
        <v>9458.6200000000008</v>
      </c>
      <c r="H17820" s="8">
        <v>5351</v>
      </c>
    </row>
    <row r="17821" spans="2:8" ht="15" customHeight="1" x14ac:dyDescent="0.4">
      <c r="B17821" t="s">
        <v>16</v>
      </c>
      <c r="C17821" t="s">
        <v>2898</v>
      </c>
      <c r="D17821" s="7">
        <f>DATE(2006,4,25)</f>
        <v>38832</v>
      </c>
      <c r="E17821" s="8">
        <f t="shared" si="292"/>
        <v>2006</v>
      </c>
      <c r="F17821" t="s">
        <v>2903</v>
      </c>
      <c r="G17821" s="9">
        <v>9083.75</v>
      </c>
      <c r="H17821" s="8">
        <v>4678</v>
      </c>
    </row>
    <row r="17822" spans="2:8" ht="15" customHeight="1" x14ac:dyDescent="0.4">
      <c r="B17822" t="s">
        <v>7</v>
      </c>
      <c r="C17822" t="s">
        <v>2898</v>
      </c>
      <c r="D17822" s="7">
        <f>DATE(2004,5,21)</f>
        <v>38128</v>
      </c>
      <c r="E17822" s="8">
        <f t="shared" si="292"/>
        <v>2004</v>
      </c>
      <c r="F17822" t="s">
        <v>2904</v>
      </c>
      <c r="G17822" s="9">
        <v>37662.379999999997</v>
      </c>
      <c r="H17822" s="8">
        <v>1635</v>
      </c>
    </row>
    <row r="17823" spans="2:8" ht="15" customHeight="1" x14ac:dyDescent="0.4">
      <c r="B17823" t="s">
        <v>7</v>
      </c>
      <c r="C17823" t="s">
        <v>2905</v>
      </c>
      <c r="D17823" s="7">
        <f>DATE(2007,5,25)</f>
        <v>39227</v>
      </c>
      <c r="E17823" s="8">
        <f t="shared" si="292"/>
        <v>2007</v>
      </c>
      <c r="F17823" t="s">
        <v>2906</v>
      </c>
      <c r="G17823" s="9">
        <v>10950</v>
      </c>
      <c r="H17823" s="8">
        <v>5821</v>
      </c>
    </row>
    <row r="17824" spans="2:8" ht="15" customHeight="1" x14ac:dyDescent="0.4">
      <c r="B17824" t="s">
        <v>7</v>
      </c>
      <c r="C17824" t="s">
        <v>2905</v>
      </c>
      <c r="D17824" s="7">
        <f>DATE(2007,6,5)</f>
        <v>39238</v>
      </c>
      <c r="E17824" s="8">
        <f t="shared" si="292"/>
        <v>2007</v>
      </c>
      <c r="F17824" t="s">
        <v>2906</v>
      </c>
      <c r="G17824" s="9">
        <v>7500</v>
      </c>
      <c r="H17824" s="8">
        <v>6056</v>
      </c>
    </row>
    <row r="17825" spans="2:8" ht="15" customHeight="1" x14ac:dyDescent="0.4">
      <c r="B17825" t="s">
        <v>7</v>
      </c>
      <c r="C17825" t="s">
        <v>2905</v>
      </c>
      <c r="D17825" s="7">
        <f>DATE(2009,7,7)</f>
        <v>40001</v>
      </c>
      <c r="E17825" s="8">
        <f t="shared" si="292"/>
        <v>2009</v>
      </c>
      <c r="F17825" t="s">
        <v>2906</v>
      </c>
      <c r="G17825" s="9">
        <v>7100</v>
      </c>
      <c r="H17825" s="8">
        <v>8854</v>
      </c>
    </row>
    <row r="17826" spans="2:8" ht="15" customHeight="1" x14ac:dyDescent="0.4">
      <c r="B17826" t="s">
        <v>7</v>
      </c>
      <c r="C17826" t="s">
        <v>2905</v>
      </c>
      <c r="D17826" s="7">
        <f>DATE(2009,8,3)</f>
        <v>40028</v>
      </c>
      <c r="E17826" s="8">
        <f t="shared" si="292"/>
        <v>2009</v>
      </c>
      <c r="F17826" t="s">
        <v>2906</v>
      </c>
      <c r="G17826" s="9">
        <v>12200</v>
      </c>
      <c r="H17826" s="8">
        <v>8655</v>
      </c>
    </row>
    <row r="17827" spans="2:8" ht="15" customHeight="1" x14ac:dyDescent="0.4">
      <c r="B17827" t="s">
        <v>7</v>
      </c>
      <c r="C17827" t="s">
        <v>2905</v>
      </c>
      <c r="D17827" s="7">
        <f>DATE(2010,1,8)</f>
        <v>40186</v>
      </c>
      <c r="E17827" s="8">
        <f t="shared" si="292"/>
        <v>2010</v>
      </c>
      <c r="F17827" t="s">
        <v>2906</v>
      </c>
      <c r="G17827" s="9">
        <v>4182.8900000000003</v>
      </c>
      <c r="H17827" s="8">
        <v>9332</v>
      </c>
    </row>
    <row r="17828" spans="2:8" ht="15" customHeight="1" x14ac:dyDescent="0.4">
      <c r="B17828" s="3" t="s">
        <v>7</v>
      </c>
      <c r="C17828" s="3" t="s">
        <v>2905</v>
      </c>
      <c r="D17828" s="4">
        <f>DATE(2003,4,11)</f>
        <v>37722</v>
      </c>
      <c r="E17828" s="5">
        <f t="shared" si="292"/>
        <v>2003</v>
      </c>
      <c r="F17828" s="3" t="s">
        <v>2906</v>
      </c>
      <c r="G17828" s="6">
        <v>69</v>
      </c>
      <c r="H17828" s="5">
        <v>727</v>
      </c>
    </row>
    <row r="17829" spans="2:8" ht="15" customHeight="1" x14ac:dyDescent="0.4">
      <c r="B17829" s="3" t="s">
        <v>7</v>
      </c>
      <c r="C17829" s="3" t="s">
        <v>2905</v>
      </c>
      <c r="D17829" s="4">
        <f>DATE(2003,7,9)</f>
        <v>37811</v>
      </c>
      <c r="E17829" s="5">
        <f t="shared" si="292"/>
        <v>2003</v>
      </c>
      <c r="F17829" s="3" t="s">
        <v>2906</v>
      </c>
      <c r="G17829" s="6">
        <v>86.6</v>
      </c>
      <c r="H17829" s="5">
        <v>1189</v>
      </c>
    </row>
    <row r="17830" spans="2:8" ht="15" customHeight="1" x14ac:dyDescent="0.4">
      <c r="B17830" s="3" t="s">
        <v>7</v>
      </c>
      <c r="C17830" s="3" t="s">
        <v>2905</v>
      </c>
      <c r="D17830" s="4">
        <f>DATE(2004,6,30)</f>
        <v>38168</v>
      </c>
      <c r="E17830" s="5">
        <f t="shared" si="292"/>
        <v>2004</v>
      </c>
      <c r="F17830" s="3" t="s">
        <v>2906</v>
      </c>
      <c r="G17830" s="6">
        <v>1808</v>
      </c>
      <c r="H17830" s="5">
        <v>3063</v>
      </c>
    </row>
    <row r="17831" spans="2:8" ht="15" customHeight="1" x14ac:dyDescent="0.4">
      <c r="B17831" s="3" t="s">
        <v>7</v>
      </c>
      <c r="C17831" s="3" t="s">
        <v>2905</v>
      </c>
      <c r="D17831" s="4">
        <f>DATE(2004,7,20)</f>
        <v>38188</v>
      </c>
      <c r="E17831" s="5">
        <f t="shared" si="292"/>
        <v>2004</v>
      </c>
      <c r="F17831" s="3" t="s">
        <v>2906</v>
      </c>
      <c r="G17831" s="6">
        <v>1808</v>
      </c>
      <c r="H17831" s="5">
        <v>3174</v>
      </c>
    </row>
    <row r="17832" spans="2:8" ht="15" customHeight="1" x14ac:dyDescent="0.4">
      <c r="B17832" s="3" t="s">
        <v>7</v>
      </c>
      <c r="C17832" s="3" t="s">
        <v>2905</v>
      </c>
      <c r="D17832" s="4">
        <f>DATE(2004,8,11)</f>
        <v>38210</v>
      </c>
      <c r="E17832" s="5">
        <f t="shared" si="292"/>
        <v>2004</v>
      </c>
      <c r="F17832" s="3" t="s">
        <v>2906</v>
      </c>
      <c r="G17832" s="6">
        <v>446.5</v>
      </c>
      <c r="H17832" s="5">
        <v>3253</v>
      </c>
    </row>
    <row r="17833" spans="2:8" ht="15" customHeight="1" x14ac:dyDescent="0.4">
      <c r="B17833" s="3" t="s">
        <v>7</v>
      </c>
      <c r="C17833" s="3" t="s">
        <v>2905</v>
      </c>
      <c r="D17833" s="4">
        <f>DATE(2005,2,1)</f>
        <v>38384</v>
      </c>
      <c r="E17833" s="5">
        <f t="shared" si="292"/>
        <v>2005</v>
      </c>
      <c r="F17833" s="3" t="s">
        <v>2906</v>
      </c>
      <c r="G17833" s="6">
        <v>486.2</v>
      </c>
      <c r="H17833" s="5">
        <v>4052</v>
      </c>
    </row>
    <row r="17834" spans="2:8" ht="15" customHeight="1" x14ac:dyDescent="0.4">
      <c r="B17834" s="3" t="s">
        <v>7</v>
      </c>
      <c r="C17834" s="3" t="s">
        <v>2905</v>
      </c>
      <c r="D17834" s="4">
        <f>DATE(2005,2,3)</f>
        <v>38386</v>
      </c>
      <c r="E17834" s="5">
        <f t="shared" si="292"/>
        <v>2005</v>
      </c>
      <c r="F17834" s="3" t="s">
        <v>2906</v>
      </c>
      <c r="G17834" s="6">
        <v>386</v>
      </c>
      <c r="H17834" s="5">
        <v>4071</v>
      </c>
    </row>
    <row r="17835" spans="2:8" ht="15" customHeight="1" x14ac:dyDescent="0.4">
      <c r="B17835" s="3" t="s">
        <v>7</v>
      </c>
      <c r="C17835" s="3" t="s">
        <v>2905</v>
      </c>
      <c r="D17835" s="4">
        <f>DATE(2005,2,4)</f>
        <v>38387</v>
      </c>
      <c r="E17835" s="5">
        <f t="shared" si="292"/>
        <v>2005</v>
      </c>
      <c r="F17835" s="3" t="s">
        <v>2906</v>
      </c>
      <c r="G17835" s="6">
        <v>1908</v>
      </c>
      <c r="H17835" s="5">
        <v>4075</v>
      </c>
    </row>
    <row r="17836" spans="2:8" ht="15" customHeight="1" x14ac:dyDescent="0.4">
      <c r="B17836" s="3" t="s">
        <v>7</v>
      </c>
      <c r="C17836" s="3" t="s">
        <v>2905</v>
      </c>
      <c r="D17836" s="4">
        <f>DATE(2005,4,28)</f>
        <v>38470</v>
      </c>
      <c r="E17836" s="5">
        <f t="shared" si="292"/>
        <v>2005</v>
      </c>
      <c r="F17836" s="3" t="s">
        <v>2906</v>
      </c>
      <c r="G17836" s="6">
        <v>386</v>
      </c>
      <c r="H17836" s="5">
        <v>4643</v>
      </c>
    </row>
    <row r="17837" spans="2:8" ht="15" customHeight="1" x14ac:dyDescent="0.4">
      <c r="B17837" s="3" t="s">
        <v>7</v>
      </c>
      <c r="C17837" s="3" t="s">
        <v>2905</v>
      </c>
      <c r="D17837" s="4">
        <f>DATE(2005,8,23)</f>
        <v>38587</v>
      </c>
      <c r="E17837" s="5">
        <f t="shared" si="292"/>
        <v>2005</v>
      </c>
      <c r="F17837" s="3" t="s">
        <v>2906</v>
      </c>
      <c r="G17837" s="6">
        <v>1908</v>
      </c>
      <c r="H17837" s="5">
        <v>5159</v>
      </c>
    </row>
    <row r="17838" spans="2:8" ht="15" customHeight="1" x14ac:dyDescent="0.4">
      <c r="B17838" s="3" t="s">
        <v>7</v>
      </c>
      <c r="C17838" s="3" t="s">
        <v>2905</v>
      </c>
      <c r="D17838" s="4">
        <f>DATE(2005,9,23)</f>
        <v>38618</v>
      </c>
      <c r="E17838" s="5">
        <f t="shared" si="292"/>
        <v>2005</v>
      </c>
      <c r="F17838" s="3" t="s">
        <v>2906</v>
      </c>
      <c r="G17838" s="6">
        <v>1908</v>
      </c>
      <c r="H17838" s="5">
        <v>5327</v>
      </c>
    </row>
    <row r="17839" spans="2:8" ht="15" customHeight="1" x14ac:dyDescent="0.4">
      <c r="B17839" s="3" t="s">
        <v>7</v>
      </c>
      <c r="C17839" s="3" t="s">
        <v>2905</v>
      </c>
      <c r="D17839" s="4">
        <f>DATE(2006,2,14)</f>
        <v>38762</v>
      </c>
      <c r="E17839" s="5">
        <f t="shared" si="292"/>
        <v>2006</v>
      </c>
      <c r="F17839" s="3" t="s">
        <v>2906</v>
      </c>
      <c r="G17839" s="6">
        <v>114</v>
      </c>
      <c r="H17839" s="5">
        <v>6242</v>
      </c>
    </row>
    <row r="17840" spans="2:8" ht="15" customHeight="1" x14ac:dyDescent="0.4">
      <c r="B17840" s="3" t="s">
        <v>7</v>
      </c>
      <c r="C17840" s="3" t="s">
        <v>2905</v>
      </c>
      <c r="D17840" s="4">
        <f>DATE(2006,3,10)</f>
        <v>38786</v>
      </c>
      <c r="E17840" s="5">
        <f t="shared" si="292"/>
        <v>2006</v>
      </c>
      <c r="F17840" s="3" t="s">
        <v>2906</v>
      </c>
      <c r="G17840" s="6">
        <v>846</v>
      </c>
      <c r="H17840" s="5">
        <v>6270</v>
      </c>
    </row>
    <row r="17841" spans="2:8" ht="15" customHeight="1" x14ac:dyDescent="0.4">
      <c r="B17841" s="3" t="s">
        <v>7</v>
      </c>
      <c r="C17841" s="3" t="s">
        <v>2905</v>
      </c>
      <c r="D17841" s="4">
        <f>DATE(2006,3,10)</f>
        <v>38786</v>
      </c>
      <c r="E17841" s="5">
        <f t="shared" si="292"/>
        <v>2006</v>
      </c>
      <c r="F17841" s="3" t="s">
        <v>2906</v>
      </c>
      <c r="G17841" s="6">
        <v>964.8</v>
      </c>
      <c r="H17841" s="5">
        <v>6070</v>
      </c>
    </row>
    <row r="17842" spans="2:8" ht="15" customHeight="1" x14ac:dyDescent="0.4">
      <c r="B17842" s="3" t="s">
        <v>7</v>
      </c>
      <c r="C17842" s="3" t="s">
        <v>2905</v>
      </c>
      <c r="D17842" s="4">
        <f>DATE(2006,3,15)</f>
        <v>38791</v>
      </c>
      <c r="E17842" s="5">
        <f t="shared" si="292"/>
        <v>2006</v>
      </c>
      <c r="F17842" s="3" t="s">
        <v>2906</v>
      </c>
      <c r="G17842" s="6">
        <v>109</v>
      </c>
      <c r="H17842" s="5">
        <v>6295</v>
      </c>
    </row>
    <row r="17843" spans="2:8" ht="15" customHeight="1" x14ac:dyDescent="0.4">
      <c r="B17843" s="3" t="s">
        <v>7</v>
      </c>
      <c r="C17843" s="3" t="s">
        <v>2905</v>
      </c>
      <c r="D17843" s="4">
        <f>DATE(2006,3,21)</f>
        <v>38797</v>
      </c>
      <c r="E17843" s="5">
        <f t="shared" si="292"/>
        <v>2006</v>
      </c>
      <c r="F17843" s="3" t="s">
        <v>2906</v>
      </c>
      <c r="G17843" s="6">
        <v>1900</v>
      </c>
      <c r="H17843" s="5">
        <v>6338</v>
      </c>
    </row>
    <row r="17844" spans="2:8" ht="15" customHeight="1" x14ac:dyDescent="0.4">
      <c r="B17844" s="3" t="s">
        <v>7</v>
      </c>
      <c r="C17844" s="3" t="s">
        <v>2905</v>
      </c>
      <c r="D17844" s="4">
        <f>DATE(2006,3,29)</f>
        <v>38805</v>
      </c>
      <c r="E17844" s="5">
        <f t="shared" si="292"/>
        <v>2006</v>
      </c>
      <c r="F17844" s="3" t="s">
        <v>2906</v>
      </c>
      <c r="G17844" s="6">
        <v>1452.4</v>
      </c>
      <c r="H17844" s="5">
        <v>6300</v>
      </c>
    </row>
    <row r="17845" spans="2:8" ht="15" customHeight="1" x14ac:dyDescent="0.4">
      <c r="B17845" s="3" t="s">
        <v>7</v>
      </c>
      <c r="C17845" s="3" t="s">
        <v>2905</v>
      </c>
      <c r="D17845" s="4">
        <f>DATE(2006,6,12)</f>
        <v>38880</v>
      </c>
      <c r="E17845" s="5">
        <f t="shared" si="292"/>
        <v>2006</v>
      </c>
      <c r="F17845" s="3" t="s">
        <v>2906</v>
      </c>
      <c r="G17845" s="6">
        <v>417.6</v>
      </c>
      <c r="H17845" s="5">
        <v>6843</v>
      </c>
    </row>
    <row r="17846" spans="2:8" ht="15" customHeight="1" x14ac:dyDescent="0.4">
      <c r="B17846" s="3" t="s">
        <v>7</v>
      </c>
      <c r="C17846" s="3" t="s">
        <v>2905</v>
      </c>
      <c r="D17846" s="4">
        <f>DATE(2006,10,12)</f>
        <v>39002</v>
      </c>
      <c r="E17846" s="5">
        <f t="shared" si="292"/>
        <v>2006</v>
      </c>
      <c r="F17846" s="3" t="s">
        <v>2906</v>
      </c>
      <c r="G17846" s="6">
        <v>1909</v>
      </c>
      <c r="H17846" s="5">
        <v>7380</v>
      </c>
    </row>
    <row r="17847" spans="2:8" ht="15" customHeight="1" x14ac:dyDescent="0.4">
      <c r="B17847" s="3" t="s">
        <v>7</v>
      </c>
      <c r="C17847" s="3" t="s">
        <v>2905</v>
      </c>
      <c r="D17847" s="4">
        <f>DATE(2007,2,5)</f>
        <v>39118</v>
      </c>
      <c r="E17847" s="5">
        <f t="shared" si="292"/>
        <v>2007</v>
      </c>
      <c r="F17847" s="3" t="s">
        <v>2906</v>
      </c>
      <c r="G17847" s="6">
        <v>3350</v>
      </c>
      <c r="H17847" s="5">
        <v>7856</v>
      </c>
    </row>
    <row r="17848" spans="2:8" ht="15" customHeight="1" x14ac:dyDescent="0.4">
      <c r="B17848" s="3" t="s">
        <v>7</v>
      </c>
      <c r="C17848" s="3" t="s">
        <v>2905</v>
      </c>
      <c r="D17848" s="4">
        <f>DATE(2008,4,16)</f>
        <v>39554</v>
      </c>
      <c r="E17848" s="5">
        <f t="shared" si="292"/>
        <v>2008</v>
      </c>
      <c r="F17848" s="3" t="s">
        <v>2906</v>
      </c>
      <c r="G17848" s="6">
        <v>1910</v>
      </c>
      <c r="H17848" s="5">
        <v>10469</v>
      </c>
    </row>
    <row r="17849" spans="2:8" ht="15" customHeight="1" x14ac:dyDescent="0.4">
      <c r="B17849" s="3" t="s">
        <v>7</v>
      </c>
      <c r="C17849" s="3" t="s">
        <v>2905</v>
      </c>
      <c r="D17849" s="4">
        <f>DATE(2008,5,22)</f>
        <v>39590</v>
      </c>
      <c r="E17849" s="5">
        <f t="shared" si="292"/>
        <v>2008</v>
      </c>
      <c r="F17849" s="3" t="s">
        <v>2906</v>
      </c>
      <c r="G17849" s="6">
        <v>1910</v>
      </c>
      <c r="H17849" s="5">
        <v>10716</v>
      </c>
    </row>
    <row r="17850" spans="2:8" ht="15" customHeight="1" x14ac:dyDescent="0.4">
      <c r="B17850" s="3" t="s">
        <v>7</v>
      </c>
      <c r="C17850" s="3" t="s">
        <v>2905</v>
      </c>
      <c r="D17850" s="4">
        <f>DATE(2008,9,26)</f>
        <v>39717</v>
      </c>
      <c r="E17850" s="5">
        <f t="shared" si="292"/>
        <v>2008</v>
      </c>
      <c r="F17850" s="3" t="s">
        <v>2906</v>
      </c>
      <c r="G17850" s="6">
        <v>1910</v>
      </c>
      <c r="H17850" s="5">
        <v>11323</v>
      </c>
    </row>
    <row r="17851" spans="2:8" ht="15" customHeight="1" x14ac:dyDescent="0.4">
      <c r="B17851" s="3" t="s">
        <v>7</v>
      </c>
      <c r="C17851" s="3" t="s">
        <v>2905</v>
      </c>
      <c r="D17851" s="4">
        <f>DATE(2009,3,24)</f>
        <v>39896</v>
      </c>
      <c r="E17851" s="5">
        <f t="shared" si="292"/>
        <v>2009</v>
      </c>
      <c r="F17851" s="3" t="s">
        <v>2906</v>
      </c>
      <c r="G17851" s="6">
        <v>1910</v>
      </c>
      <c r="H17851" s="5">
        <v>12274</v>
      </c>
    </row>
    <row r="17852" spans="2:8" ht="15" customHeight="1" x14ac:dyDescent="0.4">
      <c r="B17852" s="3" t="s">
        <v>7</v>
      </c>
      <c r="C17852" s="3" t="s">
        <v>2905</v>
      </c>
      <c r="D17852" s="4">
        <f>DATE(2009,4,2)</f>
        <v>39905</v>
      </c>
      <c r="E17852" s="5">
        <f t="shared" si="292"/>
        <v>2009</v>
      </c>
      <c r="F17852" s="3" t="s">
        <v>2906</v>
      </c>
      <c r="G17852" s="6">
        <v>262.5</v>
      </c>
      <c r="H17852" s="5">
        <v>12291</v>
      </c>
    </row>
    <row r="17853" spans="2:8" ht="15" customHeight="1" x14ac:dyDescent="0.4">
      <c r="B17853" s="3" t="s">
        <v>7</v>
      </c>
      <c r="C17853" s="3" t="s">
        <v>2905</v>
      </c>
      <c r="D17853" s="4">
        <f>DATE(2009,5,11)</f>
        <v>39944</v>
      </c>
      <c r="E17853" s="5">
        <f t="shared" si="292"/>
        <v>2009</v>
      </c>
      <c r="F17853" s="3" t="s">
        <v>2906</v>
      </c>
      <c r="G17853" s="6">
        <v>385</v>
      </c>
      <c r="H17853" s="5">
        <v>12497</v>
      </c>
    </row>
    <row r="17854" spans="2:8" ht="15" customHeight="1" x14ac:dyDescent="0.4">
      <c r="B17854" s="3" t="s">
        <v>7</v>
      </c>
      <c r="C17854" s="3" t="s">
        <v>2905</v>
      </c>
      <c r="D17854" s="4">
        <f>DATE(2009,7,9)</f>
        <v>40003</v>
      </c>
      <c r="E17854" s="5">
        <f t="shared" si="292"/>
        <v>2009</v>
      </c>
      <c r="F17854" s="3" t="s">
        <v>2906</v>
      </c>
      <c r="G17854" s="6">
        <v>3100</v>
      </c>
      <c r="H17854" s="5">
        <v>12760</v>
      </c>
    </row>
    <row r="17855" spans="2:8" ht="15" customHeight="1" x14ac:dyDescent="0.4">
      <c r="B17855" s="3" t="s">
        <v>7</v>
      </c>
      <c r="C17855" s="3" t="s">
        <v>2905</v>
      </c>
      <c r="D17855" s="4">
        <f>DATE(2009,9,11)</f>
        <v>40067</v>
      </c>
      <c r="E17855" s="5">
        <f t="shared" si="292"/>
        <v>2009</v>
      </c>
      <c r="F17855" s="3" t="s">
        <v>2906</v>
      </c>
      <c r="G17855" s="6">
        <v>1910</v>
      </c>
      <c r="H17855" s="5">
        <v>13005</v>
      </c>
    </row>
    <row r="17856" spans="2:8" ht="15" customHeight="1" x14ac:dyDescent="0.4">
      <c r="B17856" s="3" t="s">
        <v>7</v>
      </c>
      <c r="C17856" s="3" t="s">
        <v>2905</v>
      </c>
      <c r="D17856" s="4">
        <f>DATE(2009,10,15)</f>
        <v>40101</v>
      </c>
      <c r="E17856" s="5">
        <f t="shared" si="292"/>
        <v>2009</v>
      </c>
      <c r="F17856" s="3" t="s">
        <v>2906</v>
      </c>
      <c r="G17856" s="6">
        <v>71.599999999999994</v>
      </c>
      <c r="H17856" s="5">
        <v>13130</v>
      </c>
    </row>
    <row r="17857" spans="2:8" ht="15" customHeight="1" x14ac:dyDescent="0.4">
      <c r="B17857" s="3" t="s">
        <v>7</v>
      </c>
      <c r="C17857" s="3" t="s">
        <v>2905</v>
      </c>
      <c r="D17857" s="4">
        <f>DATE(2010,5,28)</f>
        <v>40326</v>
      </c>
      <c r="E17857" s="5">
        <f t="shared" si="292"/>
        <v>2010</v>
      </c>
      <c r="F17857" s="3" t="s">
        <v>2906</v>
      </c>
      <c r="G17857" s="6">
        <v>1911</v>
      </c>
      <c r="H17857" s="5">
        <v>14108</v>
      </c>
    </row>
    <row r="17858" spans="2:8" ht="15" customHeight="1" x14ac:dyDescent="0.4">
      <c r="B17858" s="3" t="s">
        <v>7</v>
      </c>
      <c r="C17858" s="3" t="s">
        <v>2905</v>
      </c>
      <c r="D17858" s="4">
        <f>DATE(2010,6,3)</f>
        <v>40332</v>
      </c>
      <c r="E17858" s="5">
        <f t="shared" si="292"/>
        <v>2010</v>
      </c>
      <c r="F17858" s="3" t="s">
        <v>2906</v>
      </c>
      <c r="G17858" s="6">
        <v>523</v>
      </c>
      <c r="H17858" s="5">
        <v>14110</v>
      </c>
    </row>
    <row r="17859" spans="2:8" ht="15" customHeight="1" x14ac:dyDescent="0.4">
      <c r="B17859" s="3" t="s">
        <v>7</v>
      </c>
      <c r="C17859" s="3" t="s">
        <v>2905</v>
      </c>
      <c r="D17859" s="4">
        <f>DATE(2010,6,11)</f>
        <v>40340</v>
      </c>
      <c r="E17859" s="5">
        <f t="shared" ref="E17859:E17922" si="293">YEAR(D17859)</f>
        <v>2010</v>
      </c>
      <c r="F17859" s="3" t="s">
        <v>2906</v>
      </c>
      <c r="G17859" s="6">
        <v>554</v>
      </c>
      <c r="H17859" s="5">
        <v>14143</v>
      </c>
    </row>
    <row r="17860" spans="2:8" ht="15" customHeight="1" x14ac:dyDescent="0.4">
      <c r="B17860" s="3" t="s">
        <v>7</v>
      </c>
      <c r="C17860" s="3" t="s">
        <v>2905</v>
      </c>
      <c r="D17860" s="4">
        <f>DATE(2011,3,24)</f>
        <v>40626</v>
      </c>
      <c r="E17860" s="5">
        <f t="shared" si="293"/>
        <v>2011</v>
      </c>
      <c r="F17860" s="3" t="s">
        <v>2906</v>
      </c>
      <c r="G17860" s="6">
        <v>287</v>
      </c>
      <c r="H17860" s="5">
        <v>15305</v>
      </c>
    </row>
    <row r="17861" spans="2:8" ht="15" customHeight="1" x14ac:dyDescent="0.4">
      <c r="B17861" s="3" t="s">
        <v>7</v>
      </c>
      <c r="C17861" s="3" t="s">
        <v>2905</v>
      </c>
      <c r="D17861" s="4">
        <f>DATE(2011,3,24)</f>
        <v>40626</v>
      </c>
      <c r="E17861" s="5">
        <f t="shared" si="293"/>
        <v>2011</v>
      </c>
      <c r="F17861" s="3" t="s">
        <v>2906</v>
      </c>
      <c r="G17861" s="6">
        <v>287</v>
      </c>
      <c r="H17861" s="5">
        <v>15307</v>
      </c>
    </row>
    <row r="17862" spans="2:8" ht="15" customHeight="1" x14ac:dyDescent="0.4">
      <c r="B17862" s="3" t="s">
        <v>7</v>
      </c>
      <c r="C17862" s="3" t="s">
        <v>2905</v>
      </c>
      <c r="D17862" s="4">
        <f>DATE(2011,3,31)</f>
        <v>40633</v>
      </c>
      <c r="E17862" s="5">
        <f t="shared" si="293"/>
        <v>2011</v>
      </c>
      <c r="F17862" s="3" t="s">
        <v>2906</v>
      </c>
      <c r="G17862" s="6">
        <v>1912</v>
      </c>
      <c r="H17862" s="5">
        <v>15316</v>
      </c>
    </row>
    <row r="17863" spans="2:8" ht="15" customHeight="1" x14ac:dyDescent="0.4">
      <c r="B17863" s="3" t="s">
        <v>7</v>
      </c>
      <c r="C17863" s="3" t="s">
        <v>2905</v>
      </c>
      <c r="D17863" s="4">
        <f>DATE(2011,4,5)</f>
        <v>40638</v>
      </c>
      <c r="E17863" s="5">
        <f t="shared" si="293"/>
        <v>2011</v>
      </c>
      <c r="F17863" s="3" t="s">
        <v>2906</v>
      </c>
      <c r="G17863" s="6">
        <v>3815</v>
      </c>
      <c r="H17863" s="5">
        <v>15388</v>
      </c>
    </row>
    <row r="17864" spans="2:8" ht="15" customHeight="1" x14ac:dyDescent="0.4">
      <c r="B17864" s="3" t="s">
        <v>7</v>
      </c>
      <c r="C17864" s="3" t="s">
        <v>2905</v>
      </c>
      <c r="D17864" s="4">
        <f>DATE(2011,9,19)</f>
        <v>40805</v>
      </c>
      <c r="E17864" s="5">
        <f t="shared" si="293"/>
        <v>2011</v>
      </c>
      <c r="F17864" s="3" t="s">
        <v>2906</v>
      </c>
      <c r="G17864" s="6">
        <v>1912</v>
      </c>
      <c r="H17864" s="5">
        <v>16003</v>
      </c>
    </row>
    <row r="17865" spans="2:8" ht="15" customHeight="1" x14ac:dyDescent="0.4">
      <c r="B17865" s="3" t="s">
        <v>7</v>
      </c>
      <c r="C17865" s="3" t="s">
        <v>2905</v>
      </c>
      <c r="D17865" s="4">
        <f>DATE(2012,1,19)</f>
        <v>40927</v>
      </c>
      <c r="E17865" s="5">
        <f t="shared" si="293"/>
        <v>2012</v>
      </c>
      <c r="F17865" s="3" t="s">
        <v>2906</v>
      </c>
      <c r="G17865" s="6">
        <v>105</v>
      </c>
      <c r="H17865" s="5">
        <v>16396</v>
      </c>
    </row>
    <row r="17866" spans="2:8" ht="15" customHeight="1" x14ac:dyDescent="0.4">
      <c r="B17866" s="3" t="s">
        <v>7</v>
      </c>
      <c r="C17866" s="3" t="s">
        <v>2905</v>
      </c>
      <c r="D17866" s="4">
        <f>DATE(2012,2,9)</f>
        <v>40948</v>
      </c>
      <c r="E17866" s="5">
        <f t="shared" si="293"/>
        <v>2012</v>
      </c>
      <c r="F17866" s="3" t="s">
        <v>2906</v>
      </c>
      <c r="G17866" s="6">
        <v>554</v>
      </c>
      <c r="H17866" s="5">
        <v>16501</v>
      </c>
    </row>
    <row r="17867" spans="2:8" ht="15" customHeight="1" x14ac:dyDescent="0.4">
      <c r="B17867" s="3" t="s">
        <v>7</v>
      </c>
      <c r="C17867" s="3" t="s">
        <v>2905</v>
      </c>
      <c r="D17867" s="4">
        <f>DATE(2012,2,29)</f>
        <v>40968</v>
      </c>
      <c r="E17867" s="5">
        <f t="shared" si="293"/>
        <v>2012</v>
      </c>
      <c r="F17867" s="3" t="s">
        <v>2906</v>
      </c>
      <c r="G17867" s="6">
        <v>380</v>
      </c>
      <c r="H17867" s="5">
        <v>16653</v>
      </c>
    </row>
    <row r="17868" spans="2:8" ht="15" customHeight="1" x14ac:dyDescent="0.4">
      <c r="B17868" s="3" t="s">
        <v>7</v>
      </c>
      <c r="C17868" s="3" t="s">
        <v>2905</v>
      </c>
      <c r="D17868" s="4">
        <f>DATE(2012,3,1)</f>
        <v>40969</v>
      </c>
      <c r="E17868" s="5">
        <f t="shared" si="293"/>
        <v>2012</v>
      </c>
      <c r="F17868" s="3" t="s">
        <v>2906</v>
      </c>
      <c r="G17868" s="6">
        <v>376</v>
      </c>
      <c r="H17868" s="5">
        <v>16682</v>
      </c>
    </row>
    <row r="17869" spans="2:8" ht="15" customHeight="1" x14ac:dyDescent="0.4">
      <c r="B17869" s="3" t="s">
        <v>7</v>
      </c>
      <c r="C17869" s="3" t="s">
        <v>2905</v>
      </c>
      <c r="D17869" s="4">
        <f>DATE(2012,10,2)</f>
        <v>41184</v>
      </c>
      <c r="E17869" s="5">
        <f t="shared" si="293"/>
        <v>2012</v>
      </c>
      <c r="F17869" s="3" t="s">
        <v>2906</v>
      </c>
      <c r="G17869" s="6">
        <v>172.5</v>
      </c>
      <c r="H17869" s="5">
        <v>17655</v>
      </c>
    </row>
    <row r="17870" spans="2:8" ht="15" customHeight="1" x14ac:dyDescent="0.4">
      <c r="B17870" s="3" t="s">
        <v>16</v>
      </c>
      <c r="C17870" s="3" t="s">
        <v>2905</v>
      </c>
      <c r="D17870" s="4">
        <f>DATE(2005,4,27)</f>
        <v>38469</v>
      </c>
      <c r="E17870" s="5">
        <f t="shared" si="293"/>
        <v>2005</v>
      </c>
      <c r="F17870" s="3" t="s">
        <v>2906</v>
      </c>
      <c r="G17870" s="6">
        <v>380</v>
      </c>
      <c r="H17870" s="5">
        <v>4072</v>
      </c>
    </row>
    <row r="17871" spans="2:8" ht="15" customHeight="1" x14ac:dyDescent="0.4">
      <c r="B17871" s="3" t="s">
        <v>7</v>
      </c>
      <c r="C17871" s="3" t="s">
        <v>2907</v>
      </c>
      <c r="D17871" s="4">
        <f>DATE(2003,9,26)</f>
        <v>37890</v>
      </c>
      <c r="E17871" s="5">
        <f t="shared" si="293"/>
        <v>2003</v>
      </c>
      <c r="F17871" s="3" t="s">
        <v>2908</v>
      </c>
      <c r="G17871" s="6">
        <v>379.16</v>
      </c>
      <c r="H17871" s="5">
        <v>339</v>
      </c>
    </row>
    <row r="17872" spans="2:8" ht="15" customHeight="1" x14ac:dyDescent="0.4">
      <c r="B17872" s="3" t="s">
        <v>7</v>
      </c>
      <c r="C17872" s="3" t="s">
        <v>2907</v>
      </c>
      <c r="D17872" s="4">
        <f>DATE(2007,6,22)</f>
        <v>39255</v>
      </c>
      <c r="E17872" s="5">
        <f t="shared" si="293"/>
        <v>2007</v>
      </c>
      <c r="F17872" s="3" t="s">
        <v>2908</v>
      </c>
      <c r="G17872" s="6">
        <v>259</v>
      </c>
      <c r="H17872" s="5">
        <v>2313</v>
      </c>
    </row>
    <row r="17873" spans="2:8" ht="15" customHeight="1" x14ac:dyDescent="0.4">
      <c r="B17873" s="3" t="s">
        <v>7</v>
      </c>
      <c r="C17873" s="3" t="s">
        <v>2907</v>
      </c>
      <c r="D17873" s="4">
        <f>DATE(2007,9,14)</f>
        <v>39339</v>
      </c>
      <c r="E17873" s="5">
        <f t="shared" si="293"/>
        <v>2007</v>
      </c>
      <c r="F17873" s="3" t="s">
        <v>2908</v>
      </c>
      <c r="G17873" s="6">
        <v>1184.9000000000001</v>
      </c>
      <c r="H17873" s="5">
        <v>2395</v>
      </c>
    </row>
    <row r="17874" spans="2:8" ht="15" customHeight="1" x14ac:dyDescent="0.4">
      <c r="B17874" s="3" t="s">
        <v>7</v>
      </c>
      <c r="C17874" s="3" t="s">
        <v>2907</v>
      </c>
      <c r="D17874" s="4">
        <f>DATE(2007,12,17)</f>
        <v>39433</v>
      </c>
      <c r="E17874" s="5">
        <f t="shared" si="293"/>
        <v>2007</v>
      </c>
      <c r="F17874" s="3" t="s">
        <v>2908</v>
      </c>
      <c r="G17874" s="6">
        <v>500</v>
      </c>
      <c r="H17874" s="5">
        <v>2551</v>
      </c>
    </row>
    <row r="17875" spans="2:8" ht="15" customHeight="1" x14ac:dyDescent="0.4">
      <c r="B17875" s="3" t="s">
        <v>7</v>
      </c>
      <c r="C17875" s="3" t="s">
        <v>2907</v>
      </c>
      <c r="D17875" s="4">
        <f>DATE(2008,6,4)</f>
        <v>39603</v>
      </c>
      <c r="E17875" s="5">
        <f t="shared" si="293"/>
        <v>2008</v>
      </c>
      <c r="F17875" s="3" t="s">
        <v>2908</v>
      </c>
      <c r="G17875" s="6">
        <v>1113.3</v>
      </c>
      <c r="H17875" s="5">
        <v>2871</v>
      </c>
    </row>
    <row r="17876" spans="2:8" ht="15" customHeight="1" x14ac:dyDescent="0.4">
      <c r="B17876" s="3" t="s">
        <v>7</v>
      </c>
      <c r="C17876" s="3" t="s">
        <v>2907</v>
      </c>
      <c r="D17876" s="4">
        <f>DATE(2011,5,4)</f>
        <v>40667</v>
      </c>
      <c r="E17876" s="5">
        <f t="shared" si="293"/>
        <v>2011</v>
      </c>
      <c r="F17876" s="3" t="s">
        <v>2908</v>
      </c>
      <c r="G17876" s="6">
        <v>1740.42</v>
      </c>
      <c r="H17876" s="5">
        <v>4404</v>
      </c>
    </row>
    <row r="17877" spans="2:8" ht="15" customHeight="1" x14ac:dyDescent="0.4">
      <c r="B17877" s="3" t="s">
        <v>7</v>
      </c>
      <c r="C17877" s="3" t="s">
        <v>2907</v>
      </c>
      <c r="D17877" s="4">
        <f>DATE(2004,6,15)</f>
        <v>38153</v>
      </c>
      <c r="E17877" s="5">
        <f t="shared" si="293"/>
        <v>2004</v>
      </c>
      <c r="F17877" s="3" t="s">
        <v>2909</v>
      </c>
      <c r="G17877" s="6">
        <v>476.31</v>
      </c>
      <c r="H17877" s="5">
        <v>693</v>
      </c>
    </row>
    <row r="17878" spans="2:8" ht="15" customHeight="1" x14ac:dyDescent="0.4">
      <c r="B17878" s="3" t="s">
        <v>7</v>
      </c>
      <c r="C17878" s="3" t="s">
        <v>2907</v>
      </c>
      <c r="D17878" s="4">
        <f>DATE(2005,3,24)</f>
        <v>38435</v>
      </c>
      <c r="E17878" s="5">
        <f t="shared" si="293"/>
        <v>2005</v>
      </c>
      <c r="F17878" s="3" t="s">
        <v>2909</v>
      </c>
      <c r="G17878" s="6">
        <v>2960.79</v>
      </c>
      <c r="H17878" s="5">
        <v>1024</v>
      </c>
    </row>
    <row r="17879" spans="2:8" ht="15" customHeight="1" x14ac:dyDescent="0.4">
      <c r="B17879" s="3" t="s">
        <v>7</v>
      </c>
      <c r="C17879" s="3" t="s">
        <v>2907</v>
      </c>
      <c r="D17879" s="4">
        <f>DATE(2005,9,7)</f>
        <v>38602</v>
      </c>
      <c r="E17879" s="5">
        <f t="shared" si="293"/>
        <v>2005</v>
      </c>
      <c r="F17879" s="3" t="s">
        <v>2909</v>
      </c>
      <c r="G17879" s="6">
        <v>753.25</v>
      </c>
      <c r="H17879" s="5">
        <v>1223</v>
      </c>
    </row>
    <row r="17880" spans="2:8" ht="15" customHeight="1" x14ac:dyDescent="0.4">
      <c r="B17880" t="s">
        <v>7</v>
      </c>
      <c r="C17880" t="s">
        <v>2910</v>
      </c>
      <c r="D17880" s="7">
        <f>DATE(2015,5,29)</f>
        <v>42153</v>
      </c>
      <c r="E17880" s="8">
        <f t="shared" si="293"/>
        <v>2015</v>
      </c>
      <c r="F17880" t="s">
        <v>2911</v>
      </c>
      <c r="G17880" s="9">
        <v>14246.46</v>
      </c>
      <c r="H17880" s="8">
        <v>20660</v>
      </c>
    </row>
    <row r="17881" spans="2:8" ht="15" customHeight="1" x14ac:dyDescent="0.4">
      <c r="B17881" t="s">
        <v>7</v>
      </c>
      <c r="C17881" t="s">
        <v>2912</v>
      </c>
      <c r="D17881" s="7">
        <f>DATE(2015,3,19)</f>
        <v>42082</v>
      </c>
      <c r="E17881" s="8">
        <f t="shared" si="293"/>
        <v>2015</v>
      </c>
      <c r="F17881" t="s">
        <v>2913</v>
      </c>
      <c r="G17881" s="9">
        <v>3030</v>
      </c>
      <c r="H17881" s="8">
        <v>183</v>
      </c>
    </row>
    <row r="17882" spans="2:8" ht="15" customHeight="1" x14ac:dyDescent="0.4">
      <c r="B17882" t="s">
        <v>7</v>
      </c>
      <c r="C17882" t="s">
        <v>2912</v>
      </c>
      <c r="D17882" s="7">
        <f>DATE(2016,10,7)</f>
        <v>42650</v>
      </c>
      <c r="E17882" s="8">
        <f t="shared" si="293"/>
        <v>2016</v>
      </c>
      <c r="F17882" t="s">
        <v>2913</v>
      </c>
      <c r="G17882" s="9">
        <v>2280</v>
      </c>
      <c r="H17882" s="8">
        <v>23271</v>
      </c>
    </row>
    <row r="17883" spans="2:8" ht="15" customHeight="1" x14ac:dyDescent="0.4">
      <c r="B17883" t="s">
        <v>7</v>
      </c>
      <c r="C17883" t="s">
        <v>2912</v>
      </c>
      <c r="D17883" s="7">
        <f>DATE(2017,3,23)</f>
        <v>42817</v>
      </c>
      <c r="E17883" s="8">
        <f t="shared" si="293"/>
        <v>2017</v>
      </c>
      <c r="F17883" t="s">
        <v>2913</v>
      </c>
      <c r="G17883" s="9">
        <v>750</v>
      </c>
      <c r="H17883" s="8">
        <v>24168</v>
      </c>
    </row>
    <row r="17884" spans="2:8" ht="15" customHeight="1" x14ac:dyDescent="0.4">
      <c r="B17884" t="s">
        <v>7</v>
      </c>
      <c r="C17884" t="s">
        <v>2912</v>
      </c>
      <c r="D17884" s="7">
        <f>DATE(2011,4,7)</f>
        <v>40640</v>
      </c>
      <c r="E17884" s="8">
        <f t="shared" si="293"/>
        <v>2011</v>
      </c>
      <c r="F17884" t="s">
        <v>2913</v>
      </c>
      <c r="G17884" s="9">
        <v>1065.93</v>
      </c>
      <c r="H17884" s="8">
        <v>10411</v>
      </c>
    </row>
    <row r="17885" spans="2:8" ht="15" customHeight="1" x14ac:dyDescent="0.4">
      <c r="B17885" t="s">
        <v>7</v>
      </c>
      <c r="C17885" t="s">
        <v>2912</v>
      </c>
      <c r="D17885" s="7">
        <f>DATE(2012,4,27)</f>
        <v>41026</v>
      </c>
      <c r="E17885" s="8">
        <f t="shared" si="293"/>
        <v>2012</v>
      </c>
      <c r="F17885" t="s">
        <v>2913</v>
      </c>
      <c r="G17885" s="9">
        <v>750</v>
      </c>
      <c r="H17885" s="8">
        <v>11247</v>
      </c>
    </row>
    <row r="17886" spans="2:8" ht="15" customHeight="1" x14ac:dyDescent="0.4">
      <c r="B17886" t="s">
        <v>7</v>
      </c>
      <c r="C17886" t="s">
        <v>2912</v>
      </c>
      <c r="D17886" s="7">
        <f>DATE(2013,11,11)</f>
        <v>41589</v>
      </c>
      <c r="E17886" s="8">
        <f t="shared" si="293"/>
        <v>2013</v>
      </c>
      <c r="F17886" t="s">
        <v>2913</v>
      </c>
      <c r="G17886" s="9">
        <v>750</v>
      </c>
      <c r="H17886" s="8">
        <v>12618</v>
      </c>
    </row>
    <row r="17887" spans="2:8" ht="15" customHeight="1" x14ac:dyDescent="0.4">
      <c r="B17887" t="s">
        <v>7</v>
      </c>
      <c r="C17887" t="s">
        <v>2912</v>
      </c>
      <c r="D17887" s="7">
        <f>DATE(2010,3,9)</f>
        <v>40246</v>
      </c>
      <c r="E17887" s="8">
        <f t="shared" si="293"/>
        <v>2010</v>
      </c>
      <c r="F17887" t="s">
        <v>2913</v>
      </c>
      <c r="G17887" s="9">
        <v>1670.93</v>
      </c>
      <c r="H17887" s="8">
        <v>9365</v>
      </c>
    </row>
    <row r="17888" spans="2:8" ht="15" customHeight="1" x14ac:dyDescent="0.4">
      <c r="B17888" s="3" t="s">
        <v>7</v>
      </c>
      <c r="C17888" s="3" t="s">
        <v>2912</v>
      </c>
      <c r="D17888" s="4">
        <f>DATE(2006,3,14)</f>
        <v>38790</v>
      </c>
      <c r="E17888" s="5">
        <f t="shared" si="293"/>
        <v>2006</v>
      </c>
      <c r="F17888" s="3" t="s">
        <v>2913</v>
      </c>
      <c r="G17888" s="6">
        <v>2290</v>
      </c>
      <c r="H17888" s="5">
        <v>6224</v>
      </c>
    </row>
    <row r="17889" spans="2:8" ht="15" customHeight="1" x14ac:dyDescent="0.4">
      <c r="B17889" s="3" t="s">
        <v>7</v>
      </c>
      <c r="C17889" s="3" t="s">
        <v>2912</v>
      </c>
      <c r="D17889" s="4">
        <f>DATE(2007,2,2)</f>
        <v>39115</v>
      </c>
      <c r="E17889" s="5">
        <f t="shared" si="293"/>
        <v>2007</v>
      </c>
      <c r="F17889" s="3" t="s">
        <v>2913</v>
      </c>
      <c r="G17889" s="6">
        <v>2290</v>
      </c>
      <c r="H17889" s="5">
        <v>7877</v>
      </c>
    </row>
    <row r="17890" spans="2:8" ht="15" customHeight="1" x14ac:dyDescent="0.4">
      <c r="B17890" s="3" t="s">
        <v>7</v>
      </c>
      <c r="C17890" s="3" t="s">
        <v>2912</v>
      </c>
      <c r="D17890" s="4">
        <f>DATE(2008,2,22)</f>
        <v>39500</v>
      </c>
      <c r="E17890" s="5">
        <f t="shared" si="293"/>
        <v>2008</v>
      </c>
      <c r="F17890" s="3" t="s">
        <v>2913</v>
      </c>
      <c r="G17890" s="6">
        <v>2291</v>
      </c>
      <c r="H17890" s="5">
        <v>9998</v>
      </c>
    </row>
    <row r="17891" spans="2:8" ht="15" customHeight="1" x14ac:dyDescent="0.4">
      <c r="B17891" s="3" t="s">
        <v>7</v>
      </c>
      <c r="C17891" s="3" t="s">
        <v>2912</v>
      </c>
      <c r="D17891" s="4">
        <f>DATE(2008,9,4)</f>
        <v>39695</v>
      </c>
      <c r="E17891" s="5">
        <f t="shared" si="293"/>
        <v>2008</v>
      </c>
      <c r="F17891" s="3" t="s">
        <v>2913</v>
      </c>
      <c r="G17891" s="6">
        <v>2291</v>
      </c>
      <c r="H17891" s="5">
        <v>11211</v>
      </c>
    </row>
    <row r="17892" spans="2:8" ht="15" customHeight="1" x14ac:dyDescent="0.4">
      <c r="B17892" s="3" t="s">
        <v>7</v>
      </c>
      <c r="C17892" s="3" t="s">
        <v>2912</v>
      </c>
      <c r="D17892" s="4">
        <f>DATE(2010,1,21)</f>
        <v>40199</v>
      </c>
      <c r="E17892" s="5">
        <f t="shared" si="293"/>
        <v>2010</v>
      </c>
      <c r="F17892" s="3" t="s">
        <v>2913</v>
      </c>
      <c r="G17892" s="6">
        <v>2292</v>
      </c>
      <c r="H17892" s="5">
        <v>13408</v>
      </c>
    </row>
    <row r="17893" spans="2:8" ht="15" customHeight="1" x14ac:dyDescent="0.4">
      <c r="B17893" s="3" t="s">
        <v>7</v>
      </c>
      <c r="C17893" s="3" t="s">
        <v>2912</v>
      </c>
      <c r="D17893" s="4">
        <f>DATE(2011,2,2)</f>
        <v>40576</v>
      </c>
      <c r="E17893" s="5">
        <f t="shared" si="293"/>
        <v>2011</v>
      </c>
      <c r="F17893" s="3" t="s">
        <v>2913</v>
      </c>
      <c r="G17893" s="6">
        <v>2292</v>
      </c>
      <c r="H17893" s="5">
        <v>14971</v>
      </c>
    </row>
    <row r="17894" spans="2:8" ht="15" customHeight="1" x14ac:dyDescent="0.4">
      <c r="B17894" s="3" t="s">
        <v>7</v>
      </c>
      <c r="C17894" s="3" t="s">
        <v>2912</v>
      </c>
      <c r="D17894" s="4">
        <f>DATE(2012,2,1)</f>
        <v>40940</v>
      </c>
      <c r="E17894" s="5">
        <f t="shared" si="293"/>
        <v>2012</v>
      </c>
      <c r="F17894" s="3" t="s">
        <v>2913</v>
      </c>
      <c r="G17894" s="6">
        <v>2280</v>
      </c>
      <c r="H17894" s="5">
        <v>16402</v>
      </c>
    </row>
    <row r="17895" spans="2:8" ht="15" customHeight="1" x14ac:dyDescent="0.4">
      <c r="B17895" s="3" t="s">
        <v>7</v>
      </c>
      <c r="C17895" s="3" t="s">
        <v>2912</v>
      </c>
      <c r="D17895" s="4">
        <f>DATE(2013,9,18)</f>
        <v>41535</v>
      </c>
      <c r="E17895" s="5">
        <f t="shared" si="293"/>
        <v>2013</v>
      </c>
      <c r="F17895" s="3" t="s">
        <v>2913</v>
      </c>
      <c r="G17895" s="6">
        <v>2295</v>
      </c>
      <c r="H17895" s="5">
        <v>18876</v>
      </c>
    </row>
    <row r="17896" spans="2:8" ht="15" customHeight="1" x14ac:dyDescent="0.4">
      <c r="B17896" t="s">
        <v>7</v>
      </c>
      <c r="C17896" t="s">
        <v>2914</v>
      </c>
      <c r="D17896" s="7">
        <f>DATE(2006,3,13)</f>
        <v>38789</v>
      </c>
      <c r="E17896" s="8">
        <f t="shared" si="293"/>
        <v>2006</v>
      </c>
      <c r="F17896" t="s">
        <v>2915</v>
      </c>
      <c r="G17896" s="9">
        <v>2500</v>
      </c>
      <c r="H17896" s="8">
        <v>3937</v>
      </c>
    </row>
    <row r="17897" spans="2:8" ht="15" customHeight="1" x14ac:dyDescent="0.4">
      <c r="B17897" s="3" t="s">
        <v>7</v>
      </c>
      <c r="C17897" s="3" t="s">
        <v>2914</v>
      </c>
      <c r="D17897" s="4">
        <f>DATE(2004,1,22)</f>
        <v>38008</v>
      </c>
      <c r="E17897" s="5">
        <f t="shared" si="293"/>
        <v>2004</v>
      </c>
      <c r="F17897" s="3" t="s">
        <v>2915</v>
      </c>
      <c r="G17897" s="6">
        <v>960</v>
      </c>
      <c r="H17897" s="5">
        <v>2029</v>
      </c>
    </row>
    <row r="17898" spans="2:8" ht="15" customHeight="1" x14ac:dyDescent="0.4">
      <c r="B17898" s="3" t="s">
        <v>7</v>
      </c>
      <c r="C17898" s="3" t="s">
        <v>2914</v>
      </c>
      <c r="D17898" s="4">
        <f>DATE(2004,1,28)</f>
        <v>38014</v>
      </c>
      <c r="E17898" s="5">
        <f t="shared" si="293"/>
        <v>2004</v>
      </c>
      <c r="F17898" s="3" t="s">
        <v>2915</v>
      </c>
      <c r="G17898" s="6">
        <v>1800</v>
      </c>
      <c r="H17898" s="5">
        <v>2065</v>
      </c>
    </row>
    <row r="17899" spans="2:8" ht="15" customHeight="1" x14ac:dyDescent="0.4">
      <c r="B17899" s="3" t="s">
        <v>7</v>
      </c>
      <c r="C17899" s="3" t="s">
        <v>2914</v>
      </c>
      <c r="D17899" s="4">
        <f>DATE(2006,4,12)</f>
        <v>38819</v>
      </c>
      <c r="E17899" s="5">
        <f t="shared" si="293"/>
        <v>2006</v>
      </c>
      <c r="F17899" s="3" t="s">
        <v>2915</v>
      </c>
      <c r="G17899" s="6">
        <v>345.04</v>
      </c>
      <c r="H17899" s="5">
        <v>6494</v>
      </c>
    </row>
    <row r="17900" spans="2:8" ht="15" customHeight="1" x14ac:dyDescent="0.4">
      <c r="B17900" s="3" t="s">
        <v>7</v>
      </c>
      <c r="C17900" s="3" t="s">
        <v>2914</v>
      </c>
      <c r="D17900" s="4">
        <f>DATE(2004,1,26)</f>
        <v>38012</v>
      </c>
      <c r="E17900" s="5">
        <f t="shared" si="293"/>
        <v>2004</v>
      </c>
      <c r="F17900" s="3" t="s">
        <v>2916</v>
      </c>
      <c r="G17900" s="6">
        <v>2640</v>
      </c>
      <c r="H17900" s="5">
        <v>2029</v>
      </c>
    </row>
    <row r="17901" spans="2:8" ht="15" customHeight="1" x14ac:dyDescent="0.4">
      <c r="B17901" t="s">
        <v>7</v>
      </c>
      <c r="C17901" t="s">
        <v>2917</v>
      </c>
      <c r="D17901" s="7">
        <f>DATE(2004,3,10)</f>
        <v>38056</v>
      </c>
      <c r="E17901" s="8">
        <f t="shared" si="293"/>
        <v>2004</v>
      </c>
      <c r="F17901" t="s">
        <v>2918</v>
      </c>
      <c r="G17901" s="9">
        <v>9611.6</v>
      </c>
      <c r="H17901" s="8">
        <v>1049</v>
      </c>
    </row>
    <row r="17902" spans="2:8" ht="15" customHeight="1" x14ac:dyDescent="0.4">
      <c r="B17902" t="s">
        <v>7</v>
      </c>
      <c r="C17902" t="s">
        <v>2917</v>
      </c>
      <c r="D17902" s="7">
        <f>DATE(2004,3,9)</f>
        <v>38055</v>
      </c>
      <c r="E17902" s="8">
        <f t="shared" si="293"/>
        <v>2004</v>
      </c>
      <c r="F17902" t="s">
        <v>2918</v>
      </c>
      <c r="G17902" s="9">
        <v>3208</v>
      </c>
      <c r="H17902" s="8">
        <v>1050</v>
      </c>
    </row>
    <row r="17903" spans="2:8" ht="15" customHeight="1" x14ac:dyDescent="0.4">
      <c r="B17903" s="3" t="s">
        <v>7</v>
      </c>
      <c r="C17903" s="3" t="s">
        <v>2917</v>
      </c>
      <c r="D17903" s="4">
        <f>DATE(2004,3,20)</f>
        <v>38066</v>
      </c>
      <c r="E17903" s="5">
        <f t="shared" si="293"/>
        <v>2004</v>
      </c>
      <c r="F17903" s="3" t="s">
        <v>2918</v>
      </c>
      <c r="G17903" s="6">
        <v>117.44</v>
      </c>
      <c r="H17903" s="5">
        <v>2543</v>
      </c>
    </row>
    <row r="17904" spans="2:8" ht="15" customHeight="1" x14ac:dyDescent="0.4">
      <c r="B17904" t="s">
        <v>7</v>
      </c>
      <c r="C17904" t="s">
        <v>2919</v>
      </c>
      <c r="D17904" s="7">
        <f>DATE(2016,2,9)</f>
        <v>42409</v>
      </c>
      <c r="E17904" s="8">
        <f t="shared" si="293"/>
        <v>2016</v>
      </c>
      <c r="F17904" t="s">
        <v>2920</v>
      </c>
      <c r="G17904" s="9">
        <v>34530.050000000003</v>
      </c>
      <c r="H17904" s="8">
        <v>21046</v>
      </c>
    </row>
    <row r="17905" spans="2:8" ht="15" customHeight="1" x14ac:dyDescent="0.4">
      <c r="B17905" t="s">
        <v>7</v>
      </c>
      <c r="C17905" t="s">
        <v>2919</v>
      </c>
      <c r="D17905" s="7">
        <f>DATE(2016,2,9)</f>
        <v>42409</v>
      </c>
      <c r="E17905" s="8">
        <f t="shared" si="293"/>
        <v>2016</v>
      </c>
      <c r="F17905" t="s">
        <v>2920</v>
      </c>
      <c r="G17905" s="9">
        <v>24559.22</v>
      </c>
      <c r="H17905" s="8">
        <v>21049</v>
      </c>
    </row>
    <row r="17906" spans="2:8" ht="15" customHeight="1" x14ac:dyDescent="0.4">
      <c r="B17906" t="s">
        <v>7</v>
      </c>
      <c r="C17906" t="s">
        <v>2919</v>
      </c>
      <c r="D17906" s="7">
        <f>DATE(2017,11,7)</f>
        <v>43046</v>
      </c>
      <c r="E17906" s="8">
        <f t="shared" si="293"/>
        <v>2017</v>
      </c>
      <c r="F17906" t="s">
        <v>2920</v>
      </c>
      <c r="G17906" s="9">
        <v>11047.71</v>
      </c>
      <c r="H17906" s="8">
        <v>25826</v>
      </c>
    </row>
    <row r="17907" spans="2:8" ht="15" customHeight="1" x14ac:dyDescent="0.4">
      <c r="B17907" t="s">
        <v>7</v>
      </c>
      <c r="C17907" t="s">
        <v>2919</v>
      </c>
      <c r="D17907" s="7">
        <f>DATE(2013,10,17)</f>
        <v>41564</v>
      </c>
      <c r="E17907" s="8">
        <f t="shared" si="293"/>
        <v>2013</v>
      </c>
      <c r="F17907" t="s">
        <v>2920</v>
      </c>
      <c r="G17907" s="9">
        <v>172266.26</v>
      </c>
      <c r="H17907" s="8">
        <v>12658</v>
      </c>
    </row>
    <row r="17908" spans="2:8" ht="15" customHeight="1" x14ac:dyDescent="0.4">
      <c r="B17908" t="s">
        <v>7</v>
      </c>
      <c r="C17908" t="s">
        <v>2919</v>
      </c>
      <c r="D17908" s="7">
        <f>DATE(2014,2,10)</f>
        <v>41680</v>
      </c>
      <c r="E17908" s="8">
        <f t="shared" si="293"/>
        <v>2014</v>
      </c>
      <c r="F17908" t="s">
        <v>2920</v>
      </c>
      <c r="G17908" s="9">
        <v>76820.25</v>
      </c>
      <c r="H17908" s="8">
        <v>12887</v>
      </c>
    </row>
    <row r="17909" spans="2:8" ht="15" customHeight="1" x14ac:dyDescent="0.4">
      <c r="B17909" t="s">
        <v>7</v>
      </c>
      <c r="C17909" t="s">
        <v>2919</v>
      </c>
      <c r="D17909" s="7">
        <f>DATE(2014,2,28)</f>
        <v>41698</v>
      </c>
      <c r="E17909" s="8">
        <f t="shared" si="293"/>
        <v>2014</v>
      </c>
      <c r="F17909" t="s">
        <v>2920</v>
      </c>
      <c r="G17909" s="9">
        <v>37292.379999999997</v>
      </c>
      <c r="H17909" s="8">
        <v>12854</v>
      </c>
    </row>
    <row r="17910" spans="2:8" ht="15" customHeight="1" x14ac:dyDescent="0.4">
      <c r="B17910" t="s">
        <v>7</v>
      </c>
      <c r="C17910" t="s">
        <v>2919</v>
      </c>
      <c r="D17910" s="7">
        <f>DATE(2013,12,5)</f>
        <v>41613</v>
      </c>
      <c r="E17910" s="8">
        <f t="shared" si="293"/>
        <v>2013</v>
      </c>
      <c r="F17910" t="s">
        <v>2920</v>
      </c>
      <c r="G17910" s="9">
        <v>32433.16</v>
      </c>
      <c r="H17910" s="8">
        <v>12739</v>
      </c>
    </row>
    <row r="17911" spans="2:8" ht="15" customHeight="1" x14ac:dyDescent="0.4">
      <c r="B17911" t="s">
        <v>7</v>
      </c>
      <c r="C17911" t="s">
        <v>2919</v>
      </c>
      <c r="D17911" s="7">
        <f>DATE(2014,2,18)</f>
        <v>41688</v>
      </c>
      <c r="E17911" s="8">
        <f t="shared" si="293"/>
        <v>2014</v>
      </c>
      <c r="F17911" t="s">
        <v>2920</v>
      </c>
      <c r="G17911" s="9">
        <v>68249.48</v>
      </c>
      <c r="H17911" s="8">
        <v>12882</v>
      </c>
    </row>
    <row r="17912" spans="2:8" ht="15" customHeight="1" x14ac:dyDescent="0.4">
      <c r="B17912" t="s">
        <v>7</v>
      </c>
      <c r="C17912" t="s">
        <v>2919</v>
      </c>
      <c r="D17912" s="7">
        <f>DATE(2013,10,18)</f>
        <v>41565</v>
      </c>
      <c r="E17912" s="8">
        <f t="shared" si="293"/>
        <v>2013</v>
      </c>
      <c r="F17912" t="s">
        <v>2920</v>
      </c>
      <c r="G17912" s="9">
        <v>157378.19</v>
      </c>
      <c r="H17912" s="8">
        <v>312</v>
      </c>
    </row>
    <row r="17913" spans="2:8" ht="15" customHeight="1" x14ac:dyDescent="0.4">
      <c r="B17913" t="s">
        <v>7</v>
      </c>
      <c r="C17913" t="s">
        <v>2921</v>
      </c>
      <c r="D17913" s="7">
        <f>DATE(2018,7,9)</f>
        <v>43290</v>
      </c>
      <c r="E17913" s="8">
        <f t="shared" si="293"/>
        <v>2018</v>
      </c>
      <c r="F17913" t="s">
        <v>2922</v>
      </c>
      <c r="G17913" s="9">
        <v>6252.66</v>
      </c>
      <c r="H17913" s="8">
        <v>27242</v>
      </c>
    </row>
    <row r="17914" spans="2:8" ht="15" customHeight="1" x14ac:dyDescent="0.4">
      <c r="B17914" t="s">
        <v>7</v>
      </c>
      <c r="C17914" t="s">
        <v>873</v>
      </c>
      <c r="D17914" s="7">
        <f>DATE(2005,2,2)</f>
        <v>38385</v>
      </c>
      <c r="E17914" s="8">
        <f t="shared" si="293"/>
        <v>2005</v>
      </c>
      <c r="F17914" t="s">
        <v>2923</v>
      </c>
      <c r="G17914" s="9">
        <v>4440</v>
      </c>
      <c r="H17914" s="8">
        <v>2671</v>
      </c>
    </row>
    <row r="17915" spans="2:8" ht="15" customHeight="1" x14ac:dyDescent="0.4">
      <c r="B17915" t="s">
        <v>7</v>
      </c>
      <c r="C17915" t="s">
        <v>2924</v>
      </c>
      <c r="D17915" s="7">
        <f>DATE(2018,7,18)</f>
        <v>43299</v>
      </c>
      <c r="E17915" s="8">
        <f t="shared" si="293"/>
        <v>2018</v>
      </c>
      <c r="F17915" t="s">
        <v>2925</v>
      </c>
      <c r="G17915" s="9">
        <v>10326.450000000001</v>
      </c>
      <c r="H17915" s="8">
        <v>27351</v>
      </c>
    </row>
    <row r="17916" spans="2:8" ht="15" customHeight="1" x14ac:dyDescent="0.4">
      <c r="B17916" t="s">
        <v>7</v>
      </c>
      <c r="C17916" t="s">
        <v>2926</v>
      </c>
      <c r="D17916" s="7">
        <f>DATE(2008,1,19)</f>
        <v>39466</v>
      </c>
      <c r="E17916" s="8">
        <f t="shared" si="293"/>
        <v>2008</v>
      </c>
      <c r="F17916" t="s">
        <v>2927</v>
      </c>
      <c r="G17916" s="9">
        <v>5760.18</v>
      </c>
      <c r="H17916" s="8">
        <v>6820</v>
      </c>
    </row>
    <row r="17917" spans="2:8" ht="15" customHeight="1" x14ac:dyDescent="0.4">
      <c r="B17917" t="s">
        <v>7</v>
      </c>
      <c r="C17917" t="s">
        <v>2926</v>
      </c>
      <c r="D17917" s="7">
        <f>DATE(2008,1,17)</f>
        <v>39464</v>
      </c>
      <c r="E17917" s="8">
        <f t="shared" si="293"/>
        <v>2008</v>
      </c>
      <c r="F17917" t="s">
        <v>2927</v>
      </c>
      <c r="G17917" s="9">
        <v>3266.64</v>
      </c>
      <c r="H17917" s="8">
        <v>6812</v>
      </c>
    </row>
    <row r="17918" spans="2:8" ht="15" customHeight="1" x14ac:dyDescent="0.4">
      <c r="B17918" t="s">
        <v>7</v>
      </c>
      <c r="C17918" t="s">
        <v>2926</v>
      </c>
      <c r="D17918" s="7">
        <f>DATE(2015,1,20)</f>
        <v>42024</v>
      </c>
      <c r="E17918" s="8">
        <f t="shared" si="293"/>
        <v>2015</v>
      </c>
      <c r="F17918" t="s">
        <v>2928</v>
      </c>
      <c r="G17918" s="9">
        <v>2345</v>
      </c>
      <c r="H17918" s="8">
        <v>14</v>
      </c>
    </row>
    <row r="17919" spans="2:8" ht="15" customHeight="1" x14ac:dyDescent="0.4">
      <c r="B17919" t="s">
        <v>7</v>
      </c>
      <c r="C17919" t="s">
        <v>2926</v>
      </c>
      <c r="D17919" s="7">
        <f>DATE(2015,1,23)</f>
        <v>42027</v>
      </c>
      <c r="E17919" s="8">
        <f t="shared" si="293"/>
        <v>2015</v>
      </c>
      <c r="F17919" t="s">
        <v>2928</v>
      </c>
      <c r="G17919" s="9">
        <v>1416</v>
      </c>
      <c r="H17919" s="8">
        <v>226</v>
      </c>
    </row>
    <row r="17920" spans="2:8" ht="15" customHeight="1" x14ac:dyDescent="0.4">
      <c r="B17920" t="s">
        <v>7</v>
      </c>
      <c r="C17920" t="s">
        <v>2926</v>
      </c>
      <c r="D17920" s="7">
        <f>DATE(2015,3,19)</f>
        <v>42082</v>
      </c>
      <c r="E17920" s="8">
        <f t="shared" si="293"/>
        <v>2015</v>
      </c>
      <c r="F17920" t="s">
        <v>2928</v>
      </c>
      <c r="G17920" s="9">
        <v>2345</v>
      </c>
      <c r="H17920" s="8">
        <v>20142</v>
      </c>
    </row>
    <row r="17921" spans="2:8" ht="15" customHeight="1" x14ac:dyDescent="0.4">
      <c r="B17921" t="s">
        <v>7</v>
      </c>
      <c r="C17921" t="s">
        <v>2926</v>
      </c>
      <c r="D17921" s="7">
        <f>DATE(2015,5,21)</f>
        <v>42145</v>
      </c>
      <c r="E17921" s="8">
        <f t="shared" si="293"/>
        <v>2015</v>
      </c>
      <c r="F17921" t="s">
        <v>2928</v>
      </c>
      <c r="G17921" s="9">
        <v>2345</v>
      </c>
      <c r="H17921" s="8">
        <v>20649</v>
      </c>
    </row>
    <row r="17922" spans="2:8" ht="15" customHeight="1" x14ac:dyDescent="0.4">
      <c r="B17922" t="s">
        <v>7</v>
      </c>
      <c r="C17922" t="s">
        <v>2926</v>
      </c>
      <c r="D17922" s="7">
        <f>DATE(2015,12,3)</f>
        <v>42341</v>
      </c>
      <c r="E17922" s="8">
        <f t="shared" si="293"/>
        <v>2015</v>
      </c>
      <c r="F17922" t="s">
        <v>2928</v>
      </c>
      <c r="G17922" s="9">
        <v>163.1</v>
      </c>
      <c r="H17922" s="8">
        <v>21718</v>
      </c>
    </row>
    <row r="17923" spans="2:8" ht="15" customHeight="1" x14ac:dyDescent="0.4">
      <c r="B17923" t="s">
        <v>7</v>
      </c>
      <c r="C17923" t="s">
        <v>2926</v>
      </c>
      <c r="D17923" s="7">
        <f>DATE(2015,12,18)</f>
        <v>42356</v>
      </c>
      <c r="E17923" s="8">
        <f t="shared" ref="E17923:E17986" si="294">YEAR(D17923)</f>
        <v>2015</v>
      </c>
      <c r="F17923" t="s">
        <v>2928</v>
      </c>
      <c r="G17923" s="9">
        <v>2345</v>
      </c>
      <c r="H17923" s="8">
        <v>21861</v>
      </c>
    </row>
    <row r="17924" spans="2:8" ht="15" customHeight="1" x14ac:dyDescent="0.4">
      <c r="B17924" t="s">
        <v>7</v>
      </c>
      <c r="C17924" t="s">
        <v>2926</v>
      </c>
      <c r="D17924" s="7">
        <f>DATE(2016,1,27)</f>
        <v>42396</v>
      </c>
      <c r="E17924" s="8">
        <f t="shared" si="294"/>
        <v>2016</v>
      </c>
      <c r="F17924" t="s">
        <v>2928</v>
      </c>
      <c r="G17924" s="9">
        <v>2345</v>
      </c>
      <c r="H17924" s="8">
        <v>21991</v>
      </c>
    </row>
    <row r="17925" spans="2:8" ht="15" customHeight="1" x14ac:dyDescent="0.4">
      <c r="B17925" t="s">
        <v>7</v>
      </c>
      <c r="C17925" t="s">
        <v>2926</v>
      </c>
      <c r="D17925" s="7">
        <f>DATE(2016,2,17)</f>
        <v>42417</v>
      </c>
      <c r="E17925" s="8">
        <f t="shared" si="294"/>
        <v>2016</v>
      </c>
      <c r="F17925" t="s">
        <v>2928</v>
      </c>
      <c r="G17925" s="9">
        <v>506</v>
      </c>
      <c r="H17925" s="8">
        <v>22173</v>
      </c>
    </row>
    <row r="17926" spans="2:8" ht="15" customHeight="1" x14ac:dyDescent="0.4">
      <c r="B17926" t="s">
        <v>7</v>
      </c>
      <c r="C17926" t="s">
        <v>2926</v>
      </c>
      <c r="D17926" s="7">
        <f>DATE(2016,3,30)</f>
        <v>42459</v>
      </c>
      <c r="E17926" s="8">
        <f t="shared" si="294"/>
        <v>2016</v>
      </c>
      <c r="F17926" t="s">
        <v>2928</v>
      </c>
      <c r="G17926" s="9">
        <v>2345</v>
      </c>
      <c r="H17926" s="8">
        <v>22438</v>
      </c>
    </row>
    <row r="17927" spans="2:8" ht="15" customHeight="1" x14ac:dyDescent="0.4">
      <c r="B17927" t="s">
        <v>7</v>
      </c>
      <c r="C17927" t="s">
        <v>2926</v>
      </c>
      <c r="D17927" s="7">
        <f>DATE(2016,10,12)</f>
        <v>42655</v>
      </c>
      <c r="E17927" s="8">
        <f t="shared" si="294"/>
        <v>2016</v>
      </c>
      <c r="F17927" t="s">
        <v>2928</v>
      </c>
      <c r="G17927" s="9">
        <v>2345</v>
      </c>
      <c r="H17927" s="8">
        <v>23610</v>
      </c>
    </row>
    <row r="17928" spans="2:8" ht="15" customHeight="1" x14ac:dyDescent="0.4">
      <c r="B17928" t="s">
        <v>7</v>
      </c>
      <c r="C17928" t="s">
        <v>2926</v>
      </c>
      <c r="D17928" s="7">
        <f>DATE(2017,1,26)</f>
        <v>42761</v>
      </c>
      <c r="E17928" s="8">
        <f t="shared" si="294"/>
        <v>2017</v>
      </c>
      <c r="F17928" t="s">
        <v>2928</v>
      </c>
      <c r="G17928" s="9">
        <v>153.80000000000001</v>
      </c>
      <c r="H17928" s="8">
        <v>24199</v>
      </c>
    </row>
    <row r="17929" spans="2:8" ht="15" customHeight="1" x14ac:dyDescent="0.4">
      <c r="B17929" t="s">
        <v>7</v>
      </c>
      <c r="C17929" t="s">
        <v>2926</v>
      </c>
      <c r="D17929" s="7">
        <f>DATE(2017,3,1)</f>
        <v>42795</v>
      </c>
      <c r="E17929" s="8">
        <f t="shared" si="294"/>
        <v>2017</v>
      </c>
      <c r="F17929" t="s">
        <v>2928</v>
      </c>
      <c r="G17929" s="9">
        <v>2345</v>
      </c>
      <c r="H17929" s="8">
        <v>24361</v>
      </c>
    </row>
    <row r="17930" spans="2:8" ht="15" customHeight="1" x14ac:dyDescent="0.4">
      <c r="B17930" t="s">
        <v>7</v>
      </c>
      <c r="C17930" t="s">
        <v>2926</v>
      </c>
      <c r="D17930" s="7">
        <f>DATE(2017,4,3)</f>
        <v>42828</v>
      </c>
      <c r="E17930" s="8">
        <f t="shared" si="294"/>
        <v>2017</v>
      </c>
      <c r="F17930" t="s">
        <v>2928</v>
      </c>
      <c r="G17930" s="9">
        <v>2345</v>
      </c>
      <c r="H17930" s="8">
        <v>24622</v>
      </c>
    </row>
    <row r="17931" spans="2:8" ht="15" customHeight="1" x14ac:dyDescent="0.4">
      <c r="B17931" t="s">
        <v>7</v>
      </c>
      <c r="C17931" t="s">
        <v>2926</v>
      </c>
      <c r="D17931" s="7">
        <f>DATE(2017,8,15)</f>
        <v>42962</v>
      </c>
      <c r="E17931" s="8">
        <f t="shared" si="294"/>
        <v>2017</v>
      </c>
      <c r="F17931" t="s">
        <v>2928</v>
      </c>
      <c r="G17931" s="9">
        <v>2345</v>
      </c>
      <c r="H17931" s="8">
        <v>25374</v>
      </c>
    </row>
    <row r="17932" spans="2:8" ht="15" customHeight="1" x14ac:dyDescent="0.4">
      <c r="B17932" t="s">
        <v>7</v>
      </c>
      <c r="C17932" t="s">
        <v>2926</v>
      </c>
      <c r="D17932" s="7">
        <f>DATE(2018,2,20)</f>
        <v>43151</v>
      </c>
      <c r="E17932" s="8">
        <f t="shared" si="294"/>
        <v>2018</v>
      </c>
      <c r="F17932" t="s">
        <v>2928</v>
      </c>
      <c r="G17932" s="9">
        <v>2345</v>
      </c>
      <c r="H17932" s="8">
        <v>26472</v>
      </c>
    </row>
    <row r="17933" spans="2:8" ht="15" customHeight="1" x14ac:dyDescent="0.4">
      <c r="B17933" t="s">
        <v>7</v>
      </c>
      <c r="C17933" t="s">
        <v>2926</v>
      </c>
      <c r="D17933" s="7">
        <f>DATE(2018,3,28)</f>
        <v>43187</v>
      </c>
      <c r="E17933" s="8">
        <f t="shared" si="294"/>
        <v>2018</v>
      </c>
      <c r="F17933" t="s">
        <v>2928</v>
      </c>
      <c r="G17933" s="9">
        <v>2345</v>
      </c>
      <c r="H17933" s="8">
        <v>26700</v>
      </c>
    </row>
    <row r="17934" spans="2:8" ht="15" customHeight="1" x14ac:dyDescent="0.4">
      <c r="B17934" t="s">
        <v>7</v>
      </c>
      <c r="C17934" t="s">
        <v>2926</v>
      </c>
      <c r="D17934" s="7">
        <f>DATE(2018,5,10)</f>
        <v>43230</v>
      </c>
      <c r="E17934" s="8">
        <f t="shared" si="294"/>
        <v>2018</v>
      </c>
      <c r="F17934" t="s">
        <v>2928</v>
      </c>
      <c r="G17934" s="9">
        <v>142.5</v>
      </c>
      <c r="H17934" s="8">
        <v>27009</v>
      </c>
    </row>
    <row r="17935" spans="2:8" ht="15" customHeight="1" x14ac:dyDescent="0.4">
      <c r="B17935" t="s">
        <v>7</v>
      </c>
      <c r="C17935" t="s">
        <v>2926</v>
      </c>
      <c r="D17935" s="7">
        <f>DATE(2018,5,17)</f>
        <v>43237</v>
      </c>
      <c r="E17935" s="8">
        <f t="shared" si="294"/>
        <v>2018</v>
      </c>
      <c r="F17935" t="s">
        <v>2928</v>
      </c>
      <c r="G17935" s="9">
        <v>230.7</v>
      </c>
      <c r="H17935" s="8">
        <v>27074</v>
      </c>
    </row>
    <row r="17936" spans="2:8" ht="15" customHeight="1" x14ac:dyDescent="0.4">
      <c r="B17936" t="s">
        <v>7</v>
      </c>
      <c r="C17936" t="s">
        <v>2926</v>
      </c>
      <c r="D17936" s="7">
        <f>DATE(2018,6,8)</f>
        <v>43259</v>
      </c>
      <c r="E17936" s="8">
        <f t="shared" si="294"/>
        <v>2018</v>
      </c>
      <c r="F17936" t="s">
        <v>2928</v>
      </c>
      <c r="G17936" s="9">
        <v>2345</v>
      </c>
      <c r="H17936" s="8">
        <v>27177</v>
      </c>
    </row>
    <row r="17937" spans="2:8" ht="15" customHeight="1" x14ac:dyDescent="0.4">
      <c r="B17937" t="s">
        <v>7</v>
      </c>
      <c r="C17937" t="s">
        <v>2926</v>
      </c>
      <c r="D17937" s="7">
        <f>DATE(2018,11,12)</f>
        <v>43416</v>
      </c>
      <c r="E17937" s="8">
        <f t="shared" si="294"/>
        <v>2018</v>
      </c>
      <c r="F17937" t="s">
        <v>2928</v>
      </c>
      <c r="G17937" s="9">
        <v>2345</v>
      </c>
      <c r="H17937" s="8">
        <v>27956</v>
      </c>
    </row>
    <row r="17938" spans="2:8" ht="15" customHeight="1" x14ac:dyDescent="0.4">
      <c r="B17938" t="s">
        <v>7</v>
      </c>
      <c r="C17938" t="s">
        <v>2926</v>
      </c>
      <c r="D17938" s="7">
        <f>DATE(2018,11,14)</f>
        <v>43418</v>
      </c>
      <c r="E17938" s="8">
        <f t="shared" si="294"/>
        <v>2018</v>
      </c>
      <c r="F17938" t="s">
        <v>2928</v>
      </c>
      <c r="G17938" s="9">
        <v>163.1</v>
      </c>
      <c r="H17938" s="8">
        <v>27973</v>
      </c>
    </row>
    <row r="17939" spans="2:8" ht="15" customHeight="1" x14ac:dyDescent="0.4">
      <c r="B17939" t="s">
        <v>7</v>
      </c>
      <c r="C17939" t="s">
        <v>2926</v>
      </c>
      <c r="D17939" s="7">
        <f>DATE(2018,12,12)</f>
        <v>43446</v>
      </c>
      <c r="E17939" s="8">
        <f t="shared" si="294"/>
        <v>2018</v>
      </c>
      <c r="F17939" t="s">
        <v>2928</v>
      </c>
      <c r="G17939" s="9">
        <v>2415</v>
      </c>
      <c r="H17939" s="8">
        <v>28103</v>
      </c>
    </row>
    <row r="17940" spans="2:8" ht="15" customHeight="1" x14ac:dyDescent="0.4">
      <c r="B17940" t="s">
        <v>7</v>
      </c>
      <c r="C17940" t="s">
        <v>2926</v>
      </c>
      <c r="D17940" s="7">
        <f>DATE(2019,4,4)</f>
        <v>43559</v>
      </c>
      <c r="E17940" s="8">
        <f t="shared" si="294"/>
        <v>2019</v>
      </c>
      <c r="F17940" t="s">
        <v>2928</v>
      </c>
      <c r="G17940" s="9">
        <v>2345</v>
      </c>
      <c r="H17940" s="8">
        <v>28747</v>
      </c>
    </row>
    <row r="17941" spans="2:8" ht="15" customHeight="1" x14ac:dyDescent="0.4">
      <c r="B17941" t="s">
        <v>7</v>
      </c>
      <c r="C17941" t="s">
        <v>2926</v>
      </c>
      <c r="D17941" s="7">
        <f>DATE(2019,5,6)</f>
        <v>43591</v>
      </c>
      <c r="E17941" s="8">
        <f t="shared" si="294"/>
        <v>2019</v>
      </c>
      <c r="F17941" t="s">
        <v>2928</v>
      </c>
      <c r="G17941" s="9">
        <v>2345</v>
      </c>
      <c r="H17941" s="8">
        <v>28937</v>
      </c>
    </row>
    <row r="17942" spans="2:8" ht="15" customHeight="1" x14ac:dyDescent="0.4">
      <c r="B17942" t="s">
        <v>7</v>
      </c>
      <c r="C17942" t="s">
        <v>2926</v>
      </c>
      <c r="D17942" s="7">
        <f>DATE(2015,4,27)</f>
        <v>42121</v>
      </c>
      <c r="E17942" s="8">
        <f t="shared" si="294"/>
        <v>2015</v>
      </c>
      <c r="F17942" t="s">
        <v>2928</v>
      </c>
      <c r="G17942" s="9">
        <v>7334.55</v>
      </c>
      <c r="H17942" s="8">
        <v>20430</v>
      </c>
    </row>
    <row r="17943" spans="2:8" ht="15" customHeight="1" x14ac:dyDescent="0.4">
      <c r="B17943" t="s">
        <v>7</v>
      </c>
      <c r="C17943" t="s">
        <v>2926</v>
      </c>
      <c r="D17943" s="7">
        <f>DATE(2007,3,7)</f>
        <v>39148</v>
      </c>
      <c r="E17943" s="8">
        <f t="shared" si="294"/>
        <v>2007</v>
      </c>
      <c r="F17943" t="s">
        <v>2928</v>
      </c>
      <c r="G17943" s="9">
        <v>5941.92</v>
      </c>
      <c r="H17943" s="8">
        <v>5663</v>
      </c>
    </row>
    <row r="17944" spans="2:8" ht="15" customHeight="1" x14ac:dyDescent="0.4">
      <c r="B17944" t="s">
        <v>7</v>
      </c>
      <c r="C17944" t="s">
        <v>2926</v>
      </c>
      <c r="D17944" s="7">
        <f>DATE(2009,2,13)</f>
        <v>39857</v>
      </c>
      <c r="E17944" s="8">
        <f t="shared" si="294"/>
        <v>2009</v>
      </c>
      <c r="F17944" t="s">
        <v>2928</v>
      </c>
      <c r="G17944" s="9">
        <v>14547.27</v>
      </c>
      <c r="H17944" s="8">
        <v>8179</v>
      </c>
    </row>
    <row r="17945" spans="2:8" ht="15" customHeight="1" x14ac:dyDescent="0.4">
      <c r="B17945" t="s">
        <v>7</v>
      </c>
      <c r="C17945" t="s">
        <v>2926</v>
      </c>
      <c r="D17945" s="7">
        <f>DATE(2009,3,16)</f>
        <v>39888</v>
      </c>
      <c r="E17945" s="8">
        <f t="shared" si="294"/>
        <v>2009</v>
      </c>
      <c r="F17945" t="s">
        <v>2928</v>
      </c>
      <c r="G17945" s="9">
        <v>24064.71</v>
      </c>
      <c r="H17945" s="8">
        <v>8256</v>
      </c>
    </row>
    <row r="17946" spans="2:8" ht="15" customHeight="1" x14ac:dyDescent="0.4">
      <c r="B17946" t="s">
        <v>7</v>
      </c>
      <c r="C17946" t="s">
        <v>2926</v>
      </c>
      <c r="D17946" s="7">
        <f>DATE(2009,3,19)</f>
        <v>39891</v>
      </c>
      <c r="E17946" s="8">
        <f t="shared" si="294"/>
        <v>2009</v>
      </c>
      <c r="F17946" t="s">
        <v>2928</v>
      </c>
      <c r="G17946" s="9">
        <v>5920.7</v>
      </c>
      <c r="H17946" s="8">
        <v>8301</v>
      </c>
    </row>
    <row r="17947" spans="2:8" ht="15" customHeight="1" x14ac:dyDescent="0.4">
      <c r="B17947" t="s">
        <v>7</v>
      </c>
      <c r="C17947" t="s">
        <v>2926</v>
      </c>
      <c r="D17947" s="7">
        <f>DATE(2009,11,9)</f>
        <v>40126</v>
      </c>
      <c r="E17947" s="8">
        <f t="shared" si="294"/>
        <v>2009</v>
      </c>
      <c r="F17947" t="s">
        <v>2928</v>
      </c>
      <c r="G17947" s="9">
        <v>23500</v>
      </c>
      <c r="H17947" s="8">
        <v>9088</v>
      </c>
    </row>
    <row r="17948" spans="2:8" ht="15" customHeight="1" x14ac:dyDescent="0.4">
      <c r="B17948" t="s">
        <v>7</v>
      </c>
      <c r="C17948" t="s">
        <v>2926</v>
      </c>
      <c r="D17948" s="7">
        <f>DATE(2009,12,1)</f>
        <v>40148</v>
      </c>
      <c r="E17948" s="8">
        <f t="shared" si="294"/>
        <v>2009</v>
      </c>
      <c r="F17948" t="s">
        <v>2928</v>
      </c>
      <c r="G17948" s="9">
        <v>12255.33</v>
      </c>
      <c r="H17948" s="8">
        <v>9089</v>
      </c>
    </row>
    <row r="17949" spans="2:8" ht="15" customHeight="1" x14ac:dyDescent="0.4">
      <c r="B17949" t="s">
        <v>7</v>
      </c>
      <c r="C17949" t="s">
        <v>2926</v>
      </c>
      <c r="D17949" s="7">
        <f>DATE(2010,6,9)</f>
        <v>40338</v>
      </c>
      <c r="E17949" s="8">
        <f t="shared" si="294"/>
        <v>2010</v>
      </c>
      <c r="F17949" t="s">
        <v>2928</v>
      </c>
      <c r="G17949" s="9">
        <v>54444.67</v>
      </c>
      <c r="H17949" s="8">
        <v>9575</v>
      </c>
    </row>
    <row r="17950" spans="2:8" ht="15" customHeight="1" x14ac:dyDescent="0.4">
      <c r="B17950" t="s">
        <v>7</v>
      </c>
      <c r="C17950" t="s">
        <v>2926</v>
      </c>
      <c r="D17950" s="7">
        <f>DATE(2010,6,9)</f>
        <v>40338</v>
      </c>
      <c r="E17950" s="8">
        <f t="shared" si="294"/>
        <v>2010</v>
      </c>
      <c r="F17950" t="s">
        <v>2928</v>
      </c>
      <c r="G17950" s="9">
        <v>12201.91</v>
      </c>
      <c r="H17950" s="8">
        <v>9602</v>
      </c>
    </row>
    <row r="17951" spans="2:8" ht="15" customHeight="1" x14ac:dyDescent="0.4">
      <c r="B17951" t="s">
        <v>7</v>
      </c>
      <c r="C17951" t="s">
        <v>2926</v>
      </c>
      <c r="D17951" s="7">
        <f>DATE(2012,2,16)</f>
        <v>40955</v>
      </c>
      <c r="E17951" s="8">
        <f t="shared" si="294"/>
        <v>2012</v>
      </c>
      <c r="F17951" t="s">
        <v>2928</v>
      </c>
      <c r="G17951" s="9">
        <v>18653</v>
      </c>
      <c r="H17951" s="8">
        <v>11156</v>
      </c>
    </row>
    <row r="17952" spans="2:8" ht="15" customHeight="1" x14ac:dyDescent="0.4">
      <c r="B17952" t="s">
        <v>7</v>
      </c>
      <c r="C17952" t="s">
        <v>2926</v>
      </c>
      <c r="D17952" s="7">
        <f>DATE(2012,3,16)</f>
        <v>40984</v>
      </c>
      <c r="E17952" s="8">
        <f t="shared" si="294"/>
        <v>2012</v>
      </c>
      <c r="F17952" t="s">
        <v>2928</v>
      </c>
      <c r="G17952" s="9">
        <v>10438</v>
      </c>
      <c r="H17952" s="8">
        <v>11402</v>
      </c>
    </row>
    <row r="17953" spans="2:8" ht="15" customHeight="1" x14ac:dyDescent="0.4">
      <c r="B17953" t="s">
        <v>7</v>
      </c>
      <c r="C17953" t="s">
        <v>2926</v>
      </c>
      <c r="D17953" s="7">
        <f>DATE(2013,11,6)</f>
        <v>41584</v>
      </c>
      <c r="E17953" s="8">
        <f t="shared" si="294"/>
        <v>2013</v>
      </c>
      <c r="F17953" t="s">
        <v>2928</v>
      </c>
      <c r="G17953" s="9">
        <v>24622</v>
      </c>
      <c r="H17953" s="8">
        <v>12626</v>
      </c>
    </row>
    <row r="17954" spans="2:8" ht="15" customHeight="1" x14ac:dyDescent="0.4">
      <c r="B17954" t="s">
        <v>7</v>
      </c>
      <c r="C17954" t="s">
        <v>2926</v>
      </c>
      <c r="D17954" s="7">
        <f>DATE(2011,1,26)</f>
        <v>40569</v>
      </c>
      <c r="E17954" s="8">
        <f t="shared" si="294"/>
        <v>2011</v>
      </c>
      <c r="F17954" t="s">
        <v>2928</v>
      </c>
      <c r="G17954" s="9">
        <v>9180.52</v>
      </c>
      <c r="H17954" s="8">
        <v>10356</v>
      </c>
    </row>
    <row r="17955" spans="2:8" ht="15" customHeight="1" x14ac:dyDescent="0.4">
      <c r="B17955" t="s">
        <v>7</v>
      </c>
      <c r="C17955" t="s">
        <v>2926</v>
      </c>
      <c r="D17955" s="7">
        <f>DATE(2012,1,17)</f>
        <v>40925</v>
      </c>
      <c r="E17955" s="8">
        <f t="shared" si="294"/>
        <v>2012</v>
      </c>
      <c r="F17955" t="s">
        <v>2928</v>
      </c>
      <c r="G17955" s="9">
        <v>6211.39</v>
      </c>
      <c r="H17955" s="8">
        <v>11222</v>
      </c>
    </row>
    <row r="17956" spans="2:8" ht="15" customHeight="1" x14ac:dyDescent="0.4">
      <c r="B17956" t="s">
        <v>7</v>
      </c>
      <c r="C17956" t="s">
        <v>2926</v>
      </c>
      <c r="D17956" s="7">
        <f>DATE(2012,7,9)</f>
        <v>41099</v>
      </c>
      <c r="E17956" s="8">
        <f t="shared" si="294"/>
        <v>2012</v>
      </c>
      <c r="F17956" t="s">
        <v>2928</v>
      </c>
      <c r="G17956" s="9">
        <v>4637.0200000000004</v>
      </c>
      <c r="H17956" s="8">
        <v>11711</v>
      </c>
    </row>
    <row r="17957" spans="2:8" ht="15" customHeight="1" x14ac:dyDescent="0.4">
      <c r="B17957" t="s">
        <v>7</v>
      </c>
      <c r="C17957" t="s">
        <v>2926</v>
      </c>
      <c r="D17957" s="7">
        <f>DATE(2013,2,6)</f>
        <v>41311</v>
      </c>
      <c r="E17957" s="8">
        <f t="shared" si="294"/>
        <v>2013</v>
      </c>
      <c r="F17957" t="s">
        <v>2928</v>
      </c>
      <c r="G17957" s="9">
        <v>7084.99</v>
      </c>
      <c r="H17957" s="8">
        <v>12143</v>
      </c>
    </row>
    <row r="17958" spans="2:8" ht="15" customHeight="1" x14ac:dyDescent="0.4">
      <c r="B17958" t="s">
        <v>7</v>
      </c>
      <c r="C17958" t="s">
        <v>2926</v>
      </c>
      <c r="D17958" s="7">
        <f>DATE(2013,3,21)</f>
        <v>41354</v>
      </c>
      <c r="E17958" s="8">
        <f t="shared" si="294"/>
        <v>2013</v>
      </c>
      <c r="F17958" t="s">
        <v>2928</v>
      </c>
      <c r="G17958" s="9">
        <v>12925.91</v>
      </c>
      <c r="H17958" s="8">
        <v>12282</v>
      </c>
    </row>
    <row r="17959" spans="2:8" ht="15" customHeight="1" x14ac:dyDescent="0.4">
      <c r="B17959" t="s">
        <v>7</v>
      </c>
      <c r="C17959" t="s">
        <v>2926</v>
      </c>
      <c r="D17959" s="7">
        <f>DATE(2014,4,4)</f>
        <v>41733</v>
      </c>
      <c r="E17959" s="8">
        <f t="shared" si="294"/>
        <v>2014</v>
      </c>
      <c r="F17959" t="s">
        <v>2928</v>
      </c>
      <c r="G17959" s="9">
        <v>7702.68</v>
      </c>
      <c r="H17959" s="8">
        <v>13095</v>
      </c>
    </row>
    <row r="17960" spans="2:8" ht="15" customHeight="1" x14ac:dyDescent="0.4">
      <c r="B17960" t="s">
        <v>7</v>
      </c>
      <c r="C17960" t="s">
        <v>2926</v>
      </c>
      <c r="D17960" s="7">
        <f>DATE(2014,6,19)</f>
        <v>41809</v>
      </c>
      <c r="E17960" s="8">
        <f t="shared" si="294"/>
        <v>2014</v>
      </c>
      <c r="F17960" t="s">
        <v>2928</v>
      </c>
      <c r="G17960" s="9">
        <v>5038.88</v>
      </c>
      <c r="H17960" s="8">
        <v>13262</v>
      </c>
    </row>
    <row r="17961" spans="2:8" ht="15" customHeight="1" x14ac:dyDescent="0.4">
      <c r="B17961" s="3" t="s">
        <v>7</v>
      </c>
      <c r="C17961" s="3" t="s">
        <v>2926</v>
      </c>
      <c r="D17961" s="4">
        <f>DATE(2011,1,13)</f>
        <v>40556</v>
      </c>
      <c r="E17961" s="5">
        <f t="shared" si="294"/>
        <v>2011</v>
      </c>
      <c r="F17961" s="3" t="s">
        <v>2928</v>
      </c>
      <c r="G17961" s="6">
        <v>938</v>
      </c>
      <c r="H17961" s="5">
        <v>14885</v>
      </c>
    </row>
    <row r="17962" spans="2:8" ht="15" customHeight="1" x14ac:dyDescent="0.4">
      <c r="B17962" s="3" t="s">
        <v>7</v>
      </c>
      <c r="C17962" s="3" t="s">
        <v>2926</v>
      </c>
      <c r="D17962" s="4">
        <f>DATE(2011,1,14)</f>
        <v>40557</v>
      </c>
      <c r="E17962" s="5">
        <f t="shared" si="294"/>
        <v>2011</v>
      </c>
      <c r="F17962" s="3" t="s">
        <v>2928</v>
      </c>
      <c r="G17962" s="6">
        <v>1876</v>
      </c>
      <c r="H17962" s="5">
        <v>14881</v>
      </c>
    </row>
    <row r="17963" spans="2:8" ht="15" customHeight="1" x14ac:dyDescent="0.4">
      <c r="B17963" s="3" t="s">
        <v>7</v>
      </c>
      <c r="C17963" s="3" t="s">
        <v>2926</v>
      </c>
      <c r="D17963" s="4">
        <f>DATE(2011,1,28)</f>
        <v>40571</v>
      </c>
      <c r="E17963" s="5">
        <f t="shared" si="294"/>
        <v>2011</v>
      </c>
      <c r="F17963" s="3" t="s">
        <v>2928</v>
      </c>
      <c r="G17963" s="6">
        <v>938</v>
      </c>
      <c r="H17963" s="5">
        <v>14965</v>
      </c>
    </row>
    <row r="17964" spans="2:8" ht="15" customHeight="1" x14ac:dyDescent="0.4">
      <c r="B17964" s="3" t="s">
        <v>7</v>
      </c>
      <c r="C17964" s="3" t="s">
        <v>2926</v>
      </c>
      <c r="D17964" s="4">
        <f>DATE(2011,2,3)</f>
        <v>40577</v>
      </c>
      <c r="E17964" s="5">
        <f t="shared" si="294"/>
        <v>2011</v>
      </c>
      <c r="F17964" s="3" t="s">
        <v>2928</v>
      </c>
      <c r="G17964" s="6">
        <v>7973</v>
      </c>
      <c r="H17964" s="5">
        <v>15007</v>
      </c>
    </row>
    <row r="17965" spans="2:8" ht="15" customHeight="1" x14ac:dyDescent="0.4">
      <c r="B17965" s="3" t="s">
        <v>7</v>
      </c>
      <c r="C17965" s="3" t="s">
        <v>2926</v>
      </c>
      <c r="D17965" s="4">
        <f>DATE(2011,2,9)</f>
        <v>40583</v>
      </c>
      <c r="E17965" s="5">
        <f t="shared" si="294"/>
        <v>2011</v>
      </c>
      <c r="F17965" s="3" t="s">
        <v>2928</v>
      </c>
      <c r="G17965" s="6">
        <v>938</v>
      </c>
      <c r="H17965" s="5">
        <v>15039</v>
      </c>
    </row>
    <row r="17966" spans="2:8" ht="15" customHeight="1" x14ac:dyDescent="0.4">
      <c r="B17966" s="3" t="s">
        <v>7</v>
      </c>
      <c r="C17966" s="3" t="s">
        <v>2926</v>
      </c>
      <c r="D17966" s="4">
        <f>DATE(2011,2,24)</f>
        <v>40598</v>
      </c>
      <c r="E17966" s="5">
        <f t="shared" si="294"/>
        <v>2011</v>
      </c>
      <c r="F17966" s="3" t="s">
        <v>2928</v>
      </c>
      <c r="G17966" s="6">
        <v>2814</v>
      </c>
      <c r="H17966" s="5">
        <v>15082</v>
      </c>
    </row>
    <row r="17967" spans="2:8" ht="15" customHeight="1" x14ac:dyDescent="0.4">
      <c r="B17967" s="3" t="s">
        <v>7</v>
      </c>
      <c r="C17967" s="3" t="s">
        <v>2926</v>
      </c>
      <c r="D17967" s="4">
        <f>DATE(2011,5,12)</f>
        <v>40675</v>
      </c>
      <c r="E17967" s="5">
        <f t="shared" si="294"/>
        <v>2011</v>
      </c>
      <c r="F17967" s="3" t="s">
        <v>2928</v>
      </c>
      <c r="G17967" s="6">
        <v>4221</v>
      </c>
      <c r="H17967" s="5">
        <v>15560</v>
      </c>
    </row>
    <row r="17968" spans="2:8" ht="15" customHeight="1" x14ac:dyDescent="0.4">
      <c r="B17968" s="3" t="s">
        <v>7</v>
      </c>
      <c r="C17968" s="3" t="s">
        <v>2926</v>
      </c>
      <c r="D17968" s="4">
        <f>DATE(2011,5,12)</f>
        <v>40675</v>
      </c>
      <c r="E17968" s="5">
        <f t="shared" si="294"/>
        <v>2011</v>
      </c>
      <c r="F17968" s="3" t="s">
        <v>2928</v>
      </c>
      <c r="G17968" s="6">
        <v>2814</v>
      </c>
      <c r="H17968" s="5">
        <v>15571</v>
      </c>
    </row>
    <row r="17969" spans="2:8" ht="15" customHeight="1" x14ac:dyDescent="0.4">
      <c r="B17969" s="3" t="s">
        <v>7</v>
      </c>
      <c r="C17969" s="3" t="s">
        <v>2926</v>
      </c>
      <c r="D17969" s="4">
        <f>DATE(2011,5,13)</f>
        <v>40676</v>
      </c>
      <c r="E17969" s="5">
        <f t="shared" si="294"/>
        <v>2011</v>
      </c>
      <c r="F17969" s="3" t="s">
        <v>2928</v>
      </c>
      <c r="G17969" s="6">
        <v>5628</v>
      </c>
      <c r="H17969" s="5">
        <v>15584</v>
      </c>
    </row>
    <row r="17970" spans="2:8" ht="15" customHeight="1" x14ac:dyDescent="0.4">
      <c r="B17970" s="3" t="s">
        <v>7</v>
      </c>
      <c r="C17970" s="3" t="s">
        <v>2926</v>
      </c>
      <c r="D17970" s="4">
        <f>DATE(2011,5,17)</f>
        <v>40680</v>
      </c>
      <c r="E17970" s="5">
        <f t="shared" si="294"/>
        <v>2011</v>
      </c>
      <c r="F17970" s="3" t="s">
        <v>2928</v>
      </c>
      <c r="G17970" s="6">
        <v>469</v>
      </c>
      <c r="H17970" s="5">
        <v>15584</v>
      </c>
    </row>
    <row r="17971" spans="2:8" ht="15" customHeight="1" x14ac:dyDescent="0.4">
      <c r="B17971" s="3" t="s">
        <v>7</v>
      </c>
      <c r="C17971" s="3" t="s">
        <v>2926</v>
      </c>
      <c r="D17971" s="4">
        <f>DATE(2011,5,24)</f>
        <v>40687</v>
      </c>
      <c r="E17971" s="5">
        <f t="shared" si="294"/>
        <v>2011</v>
      </c>
      <c r="F17971" s="3" t="s">
        <v>2928</v>
      </c>
      <c r="G17971" s="6">
        <v>1876</v>
      </c>
      <c r="H17971" s="5">
        <v>15602</v>
      </c>
    </row>
    <row r="17972" spans="2:8" ht="15" customHeight="1" x14ac:dyDescent="0.4">
      <c r="B17972" s="3" t="s">
        <v>7</v>
      </c>
      <c r="C17972" s="3" t="s">
        <v>2926</v>
      </c>
      <c r="D17972" s="4">
        <f>DATE(2011,6,6)</f>
        <v>40700</v>
      </c>
      <c r="E17972" s="5">
        <f t="shared" si="294"/>
        <v>2011</v>
      </c>
      <c r="F17972" s="3" t="s">
        <v>2928</v>
      </c>
      <c r="G17972" s="6">
        <v>3752</v>
      </c>
      <c r="H17972" s="5">
        <v>15623</v>
      </c>
    </row>
    <row r="17973" spans="2:8" ht="15" customHeight="1" x14ac:dyDescent="0.4">
      <c r="B17973" s="3" t="s">
        <v>7</v>
      </c>
      <c r="C17973" s="3" t="s">
        <v>2926</v>
      </c>
      <c r="D17973" s="4">
        <f>DATE(2011,7,28)</f>
        <v>40752</v>
      </c>
      <c r="E17973" s="5">
        <f t="shared" si="294"/>
        <v>2011</v>
      </c>
      <c r="F17973" s="3" t="s">
        <v>2928</v>
      </c>
      <c r="G17973" s="6">
        <v>1876</v>
      </c>
      <c r="H17973" s="5">
        <v>15814</v>
      </c>
    </row>
    <row r="17974" spans="2:8" ht="15" customHeight="1" x14ac:dyDescent="0.4">
      <c r="B17974" s="3" t="s">
        <v>7</v>
      </c>
      <c r="C17974" s="3" t="s">
        <v>2926</v>
      </c>
      <c r="D17974" s="4">
        <f>DATE(2011,12,13)</f>
        <v>40890</v>
      </c>
      <c r="E17974" s="5">
        <f t="shared" si="294"/>
        <v>2011</v>
      </c>
      <c r="F17974" s="3" t="s">
        <v>2928</v>
      </c>
      <c r="G17974" s="6">
        <v>2345</v>
      </c>
      <c r="H17974" s="5">
        <v>16299</v>
      </c>
    </row>
    <row r="17975" spans="2:8" ht="15" customHeight="1" x14ac:dyDescent="0.4">
      <c r="B17975" s="3" t="s">
        <v>7</v>
      </c>
      <c r="C17975" s="3" t="s">
        <v>2926</v>
      </c>
      <c r="D17975" s="4">
        <f>DATE(2012,1,11)</f>
        <v>40919</v>
      </c>
      <c r="E17975" s="5">
        <f t="shared" si="294"/>
        <v>2012</v>
      </c>
      <c r="F17975" s="3" t="s">
        <v>2928</v>
      </c>
      <c r="G17975" s="6">
        <v>2345</v>
      </c>
      <c r="H17975" s="5">
        <v>16351</v>
      </c>
    </row>
    <row r="17976" spans="2:8" ht="15" customHeight="1" x14ac:dyDescent="0.4">
      <c r="B17976" s="3" t="s">
        <v>7</v>
      </c>
      <c r="C17976" s="3" t="s">
        <v>2926</v>
      </c>
      <c r="D17976" s="4">
        <f>DATE(2012,1,27)</f>
        <v>40935</v>
      </c>
      <c r="E17976" s="5">
        <f t="shared" si="294"/>
        <v>2012</v>
      </c>
      <c r="F17976" s="3" t="s">
        <v>2928</v>
      </c>
      <c r="G17976" s="6">
        <v>6097</v>
      </c>
      <c r="H17976" s="5">
        <v>16408</v>
      </c>
    </row>
    <row r="17977" spans="2:8" ht="15" customHeight="1" x14ac:dyDescent="0.4">
      <c r="B17977" s="3" t="s">
        <v>7</v>
      </c>
      <c r="C17977" s="3" t="s">
        <v>2926</v>
      </c>
      <c r="D17977" s="4">
        <f>DATE(2012,2,24)</f>
        <v>40963</v>
      </c>
      <c r="E17977" s="5">
        <f t="shared" si="294"/>
        <v>2012</v>
      </c>
      <c r="F17977" s="3" t="s">
        <v>2928</v>
      </c>
      <c r="G17977" s="6">
        <v>2345</v>
      </c>
      <c r="H17977" s="5">
        <v>16579</v>
      </c>
    </row>
    <row r="17978" spans="2:8" ht="15" customHeight="1" x14ac:dyDescent="0.4">
      <c r="B17978" s="3" t="s">
        <v>7</v>
      </c>
      <c r="C17978" s="3" t="s">
        <v>2926</v>
      </c>
      <c r="D17978" s="4">
        <f>DATE(2012,7,24)</f>
        <v>41114</v>
      </c>
      <c r="E17978" s="5">
        <f t="shared" si="294"/>
        <v>2012</v>
      </c>
      <c r="F17978" s="3" t="s">
        <v>2928</v>
      </c>
      <c r="G17978" s="6">
        <v>7035</v>
      </c>
      <c r="H17978" s="5">
        <v>17360</v>
      </c>
    </row>
    <row r="17979" spans="2:8" ht="15" customHeight="1" x14ac:dyDescent="0.4">
      <c r="B17979" s="3" t="s">
        <v>7</v>
      </c>
      <c r="C17979" s="3" t="s">
        <v>2926</v>
      </c>
      <c r="D17979" s="4">
        <f>DATE(2012,12,6)</f>
        <v>41249</v>
      </c>
      <c r="E17979" s="5">
        <f t="shared" si="294"/>
        <v>2012</v>
      </c>
      <c r="F17979" s="3" t="s">
        <v>2928</v>
      </c>
      <c r="G17979" s="6">
        <v>9380</v>
      </c>
      <c r="H17979" s="5">
        <v>17868</v>
      </c>
    </row>
    <row r="17980" spans="2:8" ht="15" customHeight="1" x14ac:dyDescent="0.4">
      <c r="B17980" s="3" t="s">
        <v>7</v>
      </c>
      <c r="C17980" s="3" t="s">
        <v>2926</v>
      </c>
      <c r="D17980" s="4">
        <f>DATE(2012,12,11)</f>
        <v>41254</v>
      </c>
      <c r="E17980" s="5">
        <f t="shared" si="294"/>
        <v>2012</v>
      </c>
      <c r="F17980" s="3" t="s">
        <v>2928</v>
      </c>
      <c r="G17980" s="6">
        <v>2814</v>
      </c>
      <c r="H17980" s="5">
        <v>17890</v>
      </c>
    </row>
    <row r="17981" spans="2:8" ht="15" customHeight="1" x14ac:dyDescent="0.4">
      <c r="B17981" s="3" t="s">
        <v>7</v>
      </c>
      <c r="C17981" s="3" t="s">
        <v>2926</v>
      </c>
      <c r="D17981" s="4">
        <f>DATE(2013,10,17)</f>
        <v>41564</v>
      </c>
      <c r="E17981" s="5">
        <f t="shared" si="294"/>
        <v>2013</v>
      </c>
      <c r="F17981" s="3" t="s">
        <v>2928</v>
      </c>
      <c r="G17981" s="6">
        <v>2345</v>
      </c>
      <c r="H17981" s="5">
        <v>19092</v>
      </c>
    </row>
    <row r="17982" spans="2:8" ht="15" customHeight="1" x14ac:dyDescent="0.4">
      <c r="B17982" s="3" t="s">
        <v>7</v>
      </c>
      <c r="C17982" s="3" t="s">
        <v>2926</v>
      </c>
      <c r="D17982" s="4">
        <f>DATE(2013,10,24)</f>
        <v>41571</v>
      </c>
      <c r="E17982" s="5">
        <f t="shared" si="294"/>
        <v>2013</v>
      </c>
      <c r="F17982" s="3" t="s">
        <v>2928</v>
      </c>
      <c r="G17982" s="6">
        <v>2345</v>
      </c>
      <c r="H17982" s="5">
        <v>19121</v>
      </c>
    </row>
    <row r="17983" spans="2:8" ht="15" customHeight="1" x14ac:dyDescent="0.4">
      <c r="B17983" s="3" t="s">
        <v>7</v>
      </c>
      <c r="C17983" s="3" t="s">
        <v>2926</v>
      </c>
      <c r="D17983" s="4">
        <f>DATE(2014,1,28)</f>
        <v>41667</v>
      </c>
      <c r="E17983" s="5">
        <f t="shared" si="294"/>
        <v>2014</v>
      </c>
      <c r="F17983" s="3" t="s">
        <v>2928</v>
      </c>
      <c r="G17983" s="6">
        <v>2345</v>
      </c>
      <c r="H17983" s="5">
        <v>19422</v>
      </c>
    </row>
    <row r="17984" spans="2:8" ht="15" customHeight="1" x14ac:dyDescent="0.4">
      <c r="B17984" t="s">
        <v>7</v>
      </c>
      <c r="C17984" t="s">
        <v>2926</v>
      </c>
      <c r="D17984" s="7">
        <f>DATE(2004,9,12)</f>
        <v>38242</v>
      </c>
      <c r="E17984" s="8">
        <f t="shared" si="294"/>
        <v>2004</v>
      </c>
      <c r="F17984" t="s">
        <v>2929</v>
      </c>
      <c r="G17984" s="9">
        <v>30680</v>
      </c>
      <c r="H17984" s="8">
        <v>2128</v>
      </c>
    </row>
    <row r="17985" spans="2:8" ht="15" customHeight="1" x14ac:dyDescent="0.4">
      <c r="B17985" t="s">
        <v>7</v>
      </c>
      <c r="C17985" t="s">
        <v>2930</v>
      </c>
      <c r="D17985" s="7">
        <f>DATE(2005,12,18)</f>
        <v>38704</v>
      </c>
      <c r="E17985" s="8">
        <f t="shared" si="294"/>
        <v>2005</v>
      </c>
      <c r="F17985" t="s">
        <v>2931</v>
      </c>
      <c r="G17985" s="9">
        <v>6740.22</v>
      </c>
      <c r="H17985" s="8">
        <v>3839</v>
      </c>
    </row>
    <row r="17986" spans="2:8" ht="15" customHeight="1" x14ac:dyDescent="0.4">
      <c r="B17986" t="s">
        <v>7</v>
      </c>
      <c r="C17986" t="s">
        <v>2932</v>
      </c>
      <c r="D17986" s="7">
        <f>DATE(2015,10,21)</f>
        <v>42298</v>
      </c>
      <c r="E17986" s="8">
        <f t="shared" si="294"/>
        <v>2015</v>
      </c>
      <c r="F17986" t="s">
        <v>2933</v>
      </c>
      <c r="G17986" s="9">
        <v>19256.12</v>
      </c>
      <c r="H17986" s="8">
        <v>21324</v>
      </c>
    </row>
    <row r="17987" spans="2:8" ht="15" customHeight="1" x14ac:dyDescent="0.4">
      <c r="B17987" t="s">
        <v>7</v>
      </c>
      <c r="C17987" t="s">
        <v>2932</v>
      </c>
      <c r="D17987" s="7">
        <f>DATE(2016,1,25)</f>
        <v>42394</v>
      </c>
      <c r="E17987" s="8">
        <f t="shared" ref="E17987:E18050" si="295">YEAR(D17987)</f>
        <v>2016</v>
      </c>
      <c r="F17987" t="s">
        <v>2933</v>
      </c>
      <c r="G17987" s="9">
        <v>14034.8</v>
      </c>
      <c r="H17987" s="8">
        <v>21865</v>
      </c>
    </row>
    <row r="17988" spans="2:8" ht="15" customHeight="1" x14ac:dyDescent="0.4">
      <c r="B17988" t="s">
        <v>7</v>
      </c>
      <c r="C17988" t="s">
        <v>2932</v>
      </c>
      <c r="D17988" s="7">
        <f>DATE(2016,3,14)</f>
        <v>42443</v>
      </c>
      <c r="E17988" s="8">
        <f t="shared" si="295"/>
        <v>2016</v>
      </c>
      <c r="F17988" t="s">
        <v>2933</v>
      </c>
      <c r="G17988" s="9">
        <v>9963.85</v>
      </c>
      <c r="H17988" s="8">
        <v>22211</v>
      </c>
    </row>
    <row r="17989" spans="2:8" ht="15" customHeight="1" x14ac:dyDescent="0.4">
      <c r="B17989" t="s">
        <v>7</v>
      </c>
      <c r="C17989" t="s">
        <v>2932</v>
      </c>
      <c r="D17989" s="7">
        <f>DATE(2016,5,12)</f>
        <v>42502</v>
      </c>
      <c r="E17989" s="8">
        <f t="shared" si="295"/>
        <v>2016</v>
      </c>
      <c r="F17989" t="s">
        <v>2933</v>
      </c>
      <c r="G17989" s="9">
        <v>16056.43</v>
      </c>
      <c r="H17989" s="8">
        <v>22813</v>
      </c>
    </row>
    <row r="17990" spans="2:8" ht="15" customHeight="1" x14ac:dyDescent="0.4">
      <c r="B17990" t="s">
        <v>7</v>
      </c>
      <c r="C17990" t="s">
        <v>2932</v>
      </c>
      <c r="D17990" s="7">
        <f>DATE(2018,9,6)</f>
        <v>43349</v>
      </c>
      <c r="E17990" s="8">
        <f t="shared" si="295"/>
        <v>2018</v>
      </c>
      <c r="F17990" t="s">
        <v>2933</v>
      </c>
      <c r="G17990" s="9">
        <v>33248.47</v>
      </c>
      <c r="H17990" s="8">
        <v>27018</v>
      </c>
    </row>
    <row r="17991" spans="2:8" ht="15" customHeight="1" x14ac:dyDescent="0.4">
      <c r="B17991" t="s">
        <v>7</v>
      </c>
      <c r="C17991" t="s">
        <v>2932</v>
      </c>
      <c r="D17991" s="7">
        <f>DATE(2018,12,11)</f>
        <v>43445</v>
      </c>
      <c r="E17991" s="8">
        <f t="shared" si="295"/>
        <v>2018</v>
      </c>
      <c r="F17991" t="s">
        <v>2933</v>
      </c>
      <c r="G17991" s="9">
        <v>16533</v>
      </c>
      <c r="H17991" s="8">
        <v>27712</v>
      </c>
    </row>
    <row r="17992" spans="2:8" ht="15" customHeight="1" x14ac:dyDescent="0.4">
      <c r="B17992" t="s">
        <v>7</v>
      </c>
      <c r="C17992" t="s">
        <v>2932</v>
      </c>
      <c r="D17992" s="7">
        <f>DATE(2019,4,8)</f>
        <v>43563</v>
      </c>
      <c r="E17992" s="8">
        <f t="shared" si="295"/>
        <v>2019</v>
      </c>
      <c r="F17992" t="s">
        <v>2933</v>
      </c>
      <c r="G17992" s="9">
        <v>11980.84</v>
      </c>
      <c r="H17992" s="8">
        <v>28493</v>
      </c>
    </row>
    <row r="17993" spans="2:8" ht="15" customHeight="1" x14ac:dyDescent="0.4">
      <c r="B17993" s="3" t="s">
        <v>7</v>
      </c>
      <c r="C17993" s="3" t="s">
        <v>1571</v>
      </c>
      <c r="D17993" s="4">
        <f>DATE(2004,1,22)</f>
        <v>38008</v>
      </c>
      <c r="E17993" s="5">
        <f t="shared" si="295"/>
        <v>2004</v>
      </c>
      <c r="F17993" s="3" t="s">
        <v>2934</v>
      </c>
      <c r="G17993" s="6">
        <v>11999.25</v>
      </c>
      <c r="H17993" s="5">
        <v>507</v>
      </c>
    </row>
    <row r="17994" spans="2:8" ht="15" customHeight="1" x14ac:dyDescent="0.4">
      <c r="B17994" s="3" t="s">
        <v>7</v>
      </c>
      <c r="C17994" s="3" t="s">
        <v>1571</v>
      </c>
      <c r="D17994" s="4">
        <f>DATE(2004,8,12)</f>
        <v>38211</v>
      </c>
      <c r="E17994" s="5">
        <f t="shared" si="295"/>
        <v>2004</v>
      </c>
      <c r="F17994" s="3" t="s">
        <v>2934</v>
      </c>
      <c r="G17994" s="6">
        <v>16512.900000000001</v>
      </c>
      <c r="H17994" s="5">
        <v>729</v>
      </c>
    </row>
    <row r="17995" spans="2:8" ht="15" customHeight="1" x14ac:dyDescent="0.4">
      <c r="B17995" s="3" t="s">
        <v>7</v>
      </c>
      <c r="C17995" s="3" t="s">
        <v>1571</v>
      </c>
      <c r="D17995" s="4">
        <f>DATE(2004,10,24)</f>
        <v>38284</v>
      </c>
      <c r="E17995" s="5">
        <f t="shared" si="295"/>
        <v>2004</v>
      </c>
      <c r="F17995" s="3" t="s">
        <v>2934</v>
      </c>
      <c r="G17995" s="6">
        <v>55592</v>
      </c>
      <c r="H17995" s="5">
        <v>789</v>
      </c>
    </row>
    <row r="17996" spans="2:8" ht="15" customHeight="1" x14ac:dyDescent="0.4">
      <c r="B17996" s="3" t="s">
        <v>7</v>
      </c>
      <c r="C17996" s="3" t="s">
        <v>1571</v>
      </c>
      <c r="D17996" s="4">
        <f>DATE(2005,3,8)</f>
        <v>38419</v>
      </c>
      <c r="E17996" s="5">
        <f t="shared" si="295"/>
        <v>2005</v>
      </c>
      <c r="F17996" s="3" t="s">
        <v>2934</v>
      </c>
      <c r="G17996" s="6">
        <v>9282.1</v>
      </c>
      <c r="H17996" s="5">
        <v>956</v>
      </c>
    </row>
    <row r="17997" spans="2:8" ht="15" customHeight="1" x14ac:dyDescent="0.4">
      <c r="B17997" s="3" t="s">
        <v>7</v>
      </c>
      <c r="C17997" s="3" t="s">
        <v>1571</v>
      </c>
      <c r="D17997" s="4">
        <f>DATE(2005,9,16)</f>
        <v>38611</v>
      </c>
      <c r="E17997" s="5">
        <f t="shared" si="295"/>
        <v>2005</v>
      </c>
      <c r="F17997" s="3" t="s">
        <v>2934</v>
      </c>
      <c r="G17997" s="6">
        <v>31222.61</v>
      </c>
      <c r="H17997" s="5">
        <v>1228</v>
      </c>
    </row>
    <row r="17998" spans="2:8" ht="15" customHeight="1" x14ac:dyDescent="0.4">
      <c r="B17998" s="3" t="s">
        <v>7</v>
      </c>
      <c r="C17998" s="3" t="s">
        <v>1571</v>
      </c>
      <c r="D17998" s="4">
        <f>DATE(2006,4,25)</f>
        <v>38832</v>
      </c>
      <c r="E17998" s="5">
        <f t="shared" si="295"/>
        <v>2006</v>
      </c>
      <c r="F17998" s="3" t="s">
        <v>2934</v>
      </c>
      <c r="G17998" s="6">
        <v>5523.2</v>
      </c>
      <c r="H17998" s="5">
        <v>1545</v>
      </c>
    </row>
    <row r="17999" spans="2:8" ht="15" customHeight="1" x14ac:dyDescent="0.4">
      <c r="B17999" s="3" t="s">
        <v>7</v>
      </c>
      <c r="C17999" s="3" t="s">
        <v>1571</v>
      </c>
      <c r="D17999" s="4">
        <f>DATE(2006,4,27)</f>
        <v>38834</v>
      </c>
      <c r="E17999" s="5">
        <f t="shared" si="295"/>
        <v>2006</v>
      </c>
      <c r="F17999" s="3" t="s">
        <v>2934</v>
      </c>
      <c r="G17999" s="6">
        <v>19757.95</v>
      </c>
      <c r="H17999" s="5">
        <v>1550</v>
      </c>
    </row>
    <row r="18000" spans="2:8" ht="15" customHeight="1" x14ac:dyDescent="0.4">
      <c r="B18000" s="3" t="s">
        <v>7</v>
      </c>
      <c r="C18000" s="3" t="s">
        <v>1571</v>
      </c>
      <c r="D18000" s="4">
        <f>DATE(2006,4,28)</f>
        <v>38835</v>
      </c>
      <c r="E18000" s="5">
        <f t="shared" si="295"/>
        <v>2006</v>
      </c>
      <c r="F18000" s="3" t="s">
        <v>2934</v>
      </c>
      <c r="G18000" s="6">
        <v>16699.75</v>
      </c>
      <c r="H18000" s="5">
        <v>1551</v>
      </c>
    </row>
    <row r="18001" spans="2:8" ht="15" customHeight="1" x14ac:dyDescent="0.4">
      <c r="B18001" s="3" t="s">
        <v>7</v>
      </c>
      <c r="C18001" s="3" t="s">
        <v>1571</v>
      </c>
      <c r="D18001" s="4">
        <f>DATE(2006,5,8)</f>
        <v>38845</v>
      </c>
      <c r="E18001" s="5">
        <f t="shared" si="295"/>
        <v>2006</v>
      </c>
      <c r="F18001" s="3" t="s">
        <v>2934</v>
      </c>
      <c r="G18001" s="6">
        <v>2511.1</v>
      </c>
      <c r="H18001" s="5">
        <v>1566</v>
      </c>
    </row>
    <row r="18002" spans="2:8" ht="15" customHeight="1" x14ac:dyDescent="0.4">
      <c r="B18002" s="3" t="s">
        <v>7</v>
      </c>
      <c r="C18002" s="3" t="s">
        <v>1571</v>
      </c>
      <c r="D18002" s="4">
        <f>DATE(2008,2,1)</f>
        <v>39479</v>
      </c>
      <c r="E18002" s="5">
        <f t="shared" si="295"/>
        <v>2008</v>
      </c>
      <c r="F18002" s="3" t="s">
        <v>2934</v>
      </c>
      <c r="G18002" s="6">
        <v>7268.25</v>
      </c>
      <c r="H18002" s="5">
        <v>2595</v>
      </c>
    </row>
    <row r="18003" spans="2:8" ht="15" customHeight="1" x14ac:dyDescent="0.4">
      <c r="B18003" s="3" t="s">
        <v>7</v>
      </c>
      <c r="C18003" s="3" t="s">
        <v>1571</v>
      </c>
      <c r="D18003" s="4">
        <f>DATE(2008,5,1)</f>
        <v>39569</v>
      </c>
      <c r="E18003" s="5">
        <f t="shared" si="295"/>
        <v>2008</v>
      </c>
      <c r="F18003" s="3" t="s">
        <v>2934</v>
      </c>
      <c r="G18003" s="6">
        <v>124699.1</v>
      </c>
      <c r="H18003" s="5">
        <v>2668</v>
      </c>
    </row>
    <row r="18004" spans="2:8" ht="15" customHeight="1" x14ac:dyDescent="0.4">
      <c r="B18004" s="3" t="s">
        <v>7</v>
      </c>
      <c r="C18004" s="3" t="s">
        <v>1571</v>
      </c>
      <c r="D18004" s="4">
        <f>DATE(2008,7,1)</f>
        <v>39630</v>
      </c>
      <c r="E18004" s="5">
        <f t="shared" si="295"/>
        <v>2008</v>
      </c>
      <c r="F18004" s="3" t="s">
        <v>2934</v>
      </c>
      <c r="G18004" s="6">
        <v>58042.5</v>
      </c>
      <c r="H18004" s="5">
        <v>2783</v>
      </c>
    </row>
    <row r="18005" spans="2:8" ht="15" customHeight="1" x14ac:dyDescent="0.4">
      <c r="B18005" s="3" t="s">
        <v>7</v>
      </c>
      <c r="C18005" s="3" t="s">
        <v>1571</v>
      </c>
      <c r="D18005" s="4">
        <f>DATE(2009,4,6)</f>
        <v>39909</v>
      </c>
      <c r="E18005" s="5">
        <f t="shared" si="295"/>
        <v>2009</v>
      </c>
      <c r="F18005" s="3" t="s">
        <v>2934</v>
      </c>
      <c r="G18005" s="6">
        <v>9003.1</v>
      </c>
      <c r="H18005" s="5">
        <v>3340</v>
      </c>
    </row>
    <row r="18006" spans="2:8" ht="15" customHeight="1" x14ac:dyDescent="0.4">
      <c r="B18006" s="3" t="s">
        <v>7</v>
      </c>
      <c r="C18006" s="3" t="s">
        <v>1571</v>
      </c>
      <c r="D18006" s="4">
        <f>DATE(2010,6,4)</f>
        <v>40333</v>
      </c>
      <c r="E18006" s="5">
        <f t="shared" si="295"/>
        <v>2010</v>
      </c>
      <c r="F18006" s="3" t="s">
        <v>2934</v>
      </c>
      <c r="G18006" s="6">
        <v>84134.91</v>
      </c>
      <c r="H18006" s="5">
        <v>3757</v>
      </c>
    </row>
    <row r="18007" spans="2:8" ht="15" customHeight="1" x14ac:dyDescent="0.4">
      <c r="B18007" s="3" t="s">
        <v>7</v>
      </c>
      <c r="C18007" s="3" t="s">
        <v>1571</v>
      </c>
      <c r="D18007" s="4">
        <f>DATE(2011,9,23)</f>
        <v>40809</v>
      </c>
      <c r="E18007" s="5">
        <f t="shared" si="295"/>
        <v>2011</v>
      </c>
      <c r="F18007" s="3" t="s">
        <v>2934</v>
      </c>
      <c r="G18007" s="6">
        <v>7805.5</v>
      </c>
      <c r="H18007" s="5">
        <v>4553</v>
      </c>
    </row>
    <row r="18008" spans="2:8" ht="15" customHeight="1" x14ac:dyDescent="0.4">
      <c r="B18008" s="3" t="s">
        <v>7</v>
      </c>
      <c r="C18008" s="3" t="s">
        <v>1571</v>
      </c>
      <c r="D18008" s="4">
        <f>DATE(2011,9,23)</f>
        <v>40809</v>
      </c>
      <c r="E18008" s="5">
        <f t="shared" si="295"/>
        <v>2011</v>
      </c>
      <c r="F18008" s="3" t="s">
        <v>2934</v>
      </c>
      <c r="G18008" s="6">
        <v>3371.5</v>
      </c>
      <c r="H18008" s="5">
        <v>4559</v>
      </c>
    </row>
    <row r="18009" spans="2:8" ht="15" customHeight="1" x14ac:dyDescent="0.4">
      <c r="B18009" s="3" t="s">
        <v>7</v>
      </c>
      <c r="C18009" s="3" t="s">
        <v>1571</v>
      </c>
      <c r="D18009" s="4">
        <f>DATE(2011,9,23)</f>
        <v>40809</v>
      </c>
      <c r="E18009" s="5">
        <f t="shared" si="295"/>
        <v>2011</v>
      </c>
      <c r="F18009" s="3" t="s">
        <v>2934</v>
      </c>
      <c r="G18009" s="6">
        <v>4980.2</v>
      </c>
      <c r="H18009" s="5">
        <v>4559</v>
      </c>
    </row>
    <row r="18010" spans="2:8" ht="15" customHeight="1" x14ac:dyDescent="0.4">
      <c r="B18010" s="3" t="s">
        <v>7</v>
      </c>
      <c r="C18010" s="3" t="s">
        <v>1571</v>
      </c>
      <c r="D18010" s="4">
        <f>DATE(2011,9,23)</f>
        <v>40809</v>
      </c>
      <c r="E18010" s="5">
        <f t="shared" si="295"/>
        <v>2011</v>
      </c>
      <c r="F18010" s="3" t="s">
        <v>2934</v>
      </c>
      <c r="G18010" s="6">
        <v>1898</v>
      </c>
      <c r="H18010" s="5">
        <v>4552</v>
      </c>
    </row>
    <row r="18011" spans="2:8" ht="15" customHeight="1" x14ac:dyDescent="0.4">
      <c r="B18011" s="3" t="s">
        <v>7</v>
      </c>
      <c r="C18011" s="3" t="s">
        <v>1571</v>
      </c>
      <c r="D18011" s="4">
        <f>DATE(2011,12,7)</f>
        <v>40884</v>
      </c>
      <c r="E18011" s="5">
        <f t="shared" si="295"/>
        <v>2011</v>
      </c>
      <c r="F18011" s="3" t="s">
        <v>2934</v>
      </c>
      <c r="G18011" s="6">
        <v>4910</v>
      </c>
      <c r="H18011" s="5">
        <v>4702</v>
      </c>
    </row>
    <row r="18012" spans="2:8" ht="15" customHeight="1" x14ac:dyDescent="0.4">
      <c r="B18012" s="3" t="s">
        <v>7</v>
      </c>
      <c r="C18012" s="3" t="s">
        <v>1571</v>
      </c>
      <c r="D18012" s="4">
        <f>DATE(2011,12,7)</f>
        <v>40884</v>
      </c>
      <c r="E18012" s="5">
        <f t="shared" si="295"/>
        <v>2011</v>
      </c>
      <c r="F18012" s="3" t="s">
        <v>2934</v>
      </c>
      <c r="G18012" s="6">
        <v>7184.7</v>
      </c>
      <c r="H18012" s="5">
        <v>4703</v>
      </c>
    </row>
    <row r="18013" spans="2:8" ht="15" customHeight="1" x14ac:dyDescent="0.4">
      <c r="B18013" s="3" t="s">
        <v>7</v>
      </c>
      <c r="C18013" s="3" t="s">
        <v>1571</v>
      </c>
      <c r="D18013" s="4">
        <f>DATE(2011,12,7)</f>
        <v>40884</v>
      </c>
      <c r="E18013" s="5">
        <f t="shared" si="295"/>
        <v>2011</v>
      </c>
      <c r="F18013" s="3" t="s">
        <v>2934</v>
      </c>
      <c r="G18013" s="6">
        <v>8695.9500000000007</v>
      </c>
      <c r="H18013" s="5">
        <v>4711</v>
      </c>
    </row>
    <row r="18014" spans="2:8" ht="15" customHeight="1" x14ac:dyDescent="0.4">
      <c r="B18014" s="3" t="s">
        <v>7</v>
      </c>
      <c r="C18014" s="3" t="s">
        <v>1571</v>
      </c>
      <c r="D18014" s="4">
        <f>DATE(2012,1,17)</f>
        <v>40925</v>
      </c>
      <c r="E18014" s="5">
        <f t="shared" si="295"/>
        <v>2012</v>
      </c>
      <c r="F18014" s="3" t="s">
        <v>2934</v>
      </c>
      <c r="G18014" s="6">
        <v>28934</v>
      </c>
      <c r="H18014" s="5">
        <v>4762</v>
      </c>
    </row>
    <row r="18015" spans="2:8" ht="15" customHeight="1" x14ac:dyDescent="0.4">
      <c r="B18015" s="3" t="s">
        <v>16</v>
      </c>
      <c r="C18015" s="3" t="s">
        <v>1571</v>
      </c>
      <c r="D18015" s="4">
        <f>DATE(2005,3,8)</f>
        <v>38419</v>
      </c>
      <c r="E18015" s="5">
        <f t="shared" si="295"/>
        <v>2005</v>
      </c>
      <c r="F18015" s="3" t="s">
        <v>2934</v>
      </c>
      <c r="G18015" s="6">
        <v>2320</v>
      </c>
      <c r="H18015" s="5">
        <v>1009</v>
      </c>
    </row>
    <row r="18016" spans="2:8" ht="15" customHeight="1" x14ac:dyDescent="0.4">
      <c r="B18016" t="s">
        <v>7</v>
      </c>
      <c r="C18016" t="s">
        <v>2935</v>
      </c>
      <c r="D18016" s="7">
        <f>DATE(2012,6,13)</f>
        <v>41073</v>
      </c>
      <c r="E18016" s="8">
        <f t="shared" si="295"/>
        <v>2012</v>
      </c>
      <c r="F18016" t="s">
        <v>2936</v>
      </c>
      <c r="G18016" s="9">
        <v>1909.29</v>
      </c>
      <c r="H18016" s="8">
        <v>11693</v>
      </c>
    </row>
    <row r="18017" spans="2:8" ht="15" customHeight="1" x14ac:dyDescent="0.4">
      <c r="B18017" t="s">
        <v>7</v>
      </c>
      <c r="C18017" t="s">
        <v>2935</v>
      </c>
      <c r="D18017" s="7">
        <f>DATE(2012,9,10)</f>
        <v>41162</v>
      </c>
      <c r="E18017" s="8">
        <f t="shared" si="295"/>
        <v>2012</v>
      </c>
      <c r="F18017" t="s">
        <v>2936</v>
      </c>
      <c r="G18017" s="9">
        <v>6754.49</v>
      </c>
      <c r="H18017" s="8">
        <v>11818</v>
      </c>
    </row>
    <row r="18018" spans="2:8" ht="15" customHeight="1" x14ac:dyDescent="0.4">
      <c r="B18018" s="3" t="s">
        <v>7</v>
      </c>
      <c r="C18018" s="3" t="s">
        <v>2937</v>
      </c>
      <c r="D18018" s="4">
        <f>DATE(2005,9,14)</f>
        <v>38609</v>
      </c>
      <c r="E18018" s="5">
        <f t="shared" si="295"/>
        <v>2005</v>
      </c>
      <c r="F18018" s="3" t="s">
        <v>2938</v>
      </c>
      <c r="G18018" s="6">
        <v>2965.25</v>
      </c>
      <c r="H18018" s="5">
        <v>5188</v>
      </c>
    </row>
    <row r="18019" spans="2:8" ht="15" customHeight="1" x14ac:dyDescent="0.4">
      <c r="B18019" s="3" t="s">
        <v>7</v>
      </c>
      <c r="C18019" s="3" t="s">
        <v>2937</v>
      </c>
      <c r="D18019" s="4">
        <f>DATE(2005,10,6)</f>
        <v>38631</v>
      </c>
      <c r="E18019" s="5">
        <f t="shared" si="295"/>
        <v>2005</v>
      </c>
      <c r="F18019" s="3" t="s">
        <v>2938</v>
      </c>
      <c r="G18019" s="6">
        <v>958</v>
      </c>
      <c r="H18019" s="5">
        <v>5388</v>
      </c>
    </row>
    <row r="18020" spans="2:8" ht="15" customHeight="1" x14ac:dyDescent="0.4">
      <c r="B18020" s="3" t="s">
        <v>7</v>
      </c>
      <c r="C18020" s="3" t="s">
        <v>2937</v>
      </c>
      <c r="D18020" s="4">
        <f>DATE(2006,9,13)</f>
        <v>38973</v>
      </c>
      <c r="E18020" s="5">
        <f t="shared" si="295"/>
        <v>2006</v>
      </c>
      <c r="F18020" s="3" t="s">
        <v>2938</v>
      </c>
      <c r="G18020" s="6">
        <v>2947.21</v>
      </c>
      <c r="H18020" s="5">
        <v>7216</v>
      </c>
    </row>
    <row r="18021" spans="2:8" ht="15" customHeight="1" x14ac:dyDescent="0.4">
      <c r="B18021" t="s">
        <v>7</v>
      </c>
      <c r="C18021" t="s">
        <v>2939</v>
      </c>
      <c r="D18021" s="7">
        <f>DATE(2005,5,5)</f>
        <v>38477</v>
      </c>
      <c r="E18021" s="8">
        <f t="shared" si="295"/>
        <v>2005</v>
      </c>
      <c r="F18021" t="s">
        <v>2940</v>
      </c>
      <c r="G18021" s="9">
        <v>4316.07</v>
      </c>
      <c r="H18021" s="8">
        <v>3033</v>
      </c>
    </row>
    <row r="18022" spans="2:8" ht="15" customHeight="1" x14ac:dyDescent="0.4">
      <c r="B18022" t="s">
        <v>7</v>
      </c>
      <c r="C18022" t="s">
        <v>2939</v>
      </c>
      <c r="D18022" s="7">
        <f>DATE(2004,1,15)</f>
        <v>38001</v>
      </c>
      <c r="E18022" s="8">
        <f t="shared" si="295"/>
        <v>2004</v>
      </c>
      <c r="F18022" t="s">
        <v>2941</v>
      </c>
      <c r="G18022" s="9">
        <v>12558</v>
      </c>
      <c r="H18022" s="8">
        <v>1124</v>
      </c>
    </row>
    <row r="18023" spans="2:8" ht="15" customHeight="1" x14ac:dyDescent="0.4">
      <c r="B18023" t="s">
        <v>7</v>
      </c>
      <c r="C18023" t="s">
        <v>2939</v>
      </c>
      <c r="D18023" s="7">
        <f>DATE(2004,11,17)</f>
        <v>38308</v>
      </c>
      <c r="E18023" s="8">
        <f t="shared" si="295"/>
        <v>2004</v>
      </c>
      <c r="F18023" t="s">
        <v>2941</v>
      </c>
      <c r="G18023" s="9">
        <v>2711.86</v>
      </c>
      <c r="H18023" s="8">
        <v>2392</v>
      </c>
    </row>
    <row r="18024" spans="2:8" ht="15" customHeight="1" x14ac:dyDescent="0.4">
      <c r="B18024" t="s">
        <v>7</v>
      </c>
      <c r="C18024" t="s">
        <v>2939</v>
      </c>
      <c r="D18024" s="7">
        <f>DATE(2005,5,3)</f>
        <v>38475</v>
      </c>
      <c r="E18024" s="8">
        <f t="shared" si="295"/>
        <v>2005</v>
      </c>
      <c r="F18024" t="s">
        <v>2941</v>
      </c>
      <c r="G18024" s="9">
        <v>13848</v>
      </c>
      <c r="H18024" s="8">
        <v>3009</v>
      </c>
    </row>
    <row r="18025" spans="2:8" ht="15" customHeight="1" x14ac:dyDescent="0.4">
      <c r="B18025" t="s">
        <v>7</v>
      </c>
      <c r="C18025" t="s">
        <v>2939</v>
      </c>
      <c r="D18025" s="7">
        <f>DATE(2006,5,11)</f>
        <v>38848</v>
      </c>
      <c r="E18025" s="8">
        <f t="shared" si="295"/>
        <v>2006</v>
      </c>
      <c r="F18025" t="s">
        <v>2941</v>
      </c>
      <c r="G18025" s="9">
        <v>14690.1</v>
      </c>
      <c r="H18025" s="8">
        <v>4351</v>
      </c>
    </row>
    <row r="18026" spans="2:8" ht="15" customHeight="1" x14ac:dyDescent="0.4">
      <c r="B18026" t="s">
        <v>7</v>
      </c>
      <c r="C18026" t="s">
        <v>2939</v>
      </c>
      <c r="D18026" s="7">
        <f>DATE(2007,5,2)</f>
        <v>39204</v>
      </c>
      <c r="E18026" s="8">
        <f t="shared" si="295"/>
        <v>2007</v>
      </c>
      <c r="F18026" t="s">
        <v>2941</v>
      </c>
      <c r="G18026" s="9">
        <v>14952</v>
      </c>
      <c r="H18026" s="8">
        <v>5737</v>
      </c>
    </row>
    <row r="18027" spans="2:8" ht="15" customHeight="1" x14ac:dyDescent="0.4">
      <c r="B18027" t="s">
        <v>7</v>
      </c>
      <c r="C18027" t="s">
        <v>2939</v>
      </c>
      <c r="D18027" s="7">
        <f>DATE(2008,7,10)</f>
        <v>39639</v>
      </c>
      <c r="E18027" s="8">
        <f t="shared" si="295"/>
        <v>2008</v>
      </c>
      <c r="F18027" t="s">
        <v>2941</v>
      </c>
      <c r="G18027" s="9">
        <v>6009.24</v>
      </c>
      <c r="H18027" s="8">
        <v>7594</v>
      </c>
    </row>
    <row r="18028" spans="2:8" ht="15" customHeight="1" x14ac:dyDescent="0.4">
      <c r="B18028" s="3" t="s">
        <v>7</v>
      </c>
      <c r="C18028" s="3" t="s">
        <v>2939</v>
      </c>
      <c r="D18028" s="4">
        <f>DATE(2005,6,17)</f>
        <v>38520</v>
      </c>
      <c r="E18028" s="5">
        <f t="shared" si="295"/>
        <v>2005</v>
      </c>
      <c r="F18028" s="3" t="s">
        <v>2941</v>
      </c>
      <c r="G18028" s="6">
        <v>148.6</v>
      </c>
      <c r="H18028" s="5">
        <v>4896</v>
      </c>
    </row>
    <row r="18029" spans="2:8" ht="15" customHeight="1" x14ac:dyDescent="0.4">
      <c r="B18029" t="s">
        <v>7</v>
      </c>
      <c r="C18029" t="s">
        <v>363</v>
      </c>
      <c r="D18029" s="7">
        <f>DATE(2004,3,19)</f>
        <v>38065</v>
      </c>
      <c r="E18029" s="8">
        <f t="shared" si="295"/>
        <v>2004</v>
      </c>
      <c r="F18029" t="s">
        <v>2942</v>
      </c>
      <c r="G18029" s="9">
        <v>4483.72</v>
      </c>
      <c r="H18029" s="8">
        <v>1532</v>
      </c>
    </row>
    <row r="18030" spans="2:8" ht="15" customHeight="1" x14ac:dyDescent="0.4">
      <c r="B18030" t="s">
        <v>7</v>
      </c>
      <c r="C18030" t="s">
        <v>363</v>
      </c>
      <c r="D18030" s="7">
        <f>DATE(2005,1,6)</f>
        <v>38358</v>
      </c>
      <c r="E18030" s="8">
        <f t="shared" si="295"/>
        <v>2005</v>
      </c>
      <c r="F18030" t="s">
        <v>2942</v>
      </c>
      <c r="G18030" s="9">
        <v>3141.36</v>
      </c>
      <c r="H18030" s="8">
        <v>2524</v>
      </c>
    </row>
    <row r="18031" spans="2:8" ht="15" customHeight="1" x14ac:dyDescent="0.4">
      <c r="B18031" t="s">
        <v>7</v>
      </c>
      <c r="C18031" t="s">
        <v>363</v>
      </c>
      <c r="D18031" s="7">
        <f>DATE(2005,2,19)</f>
        <v>38402</v>
      </c>
      <c r="E18031" s="8">
        <f t="shared" si="295"/>
        <v>2005</v>
      </c>
      <c r="F18031" t="s">
        <v>2942</v>
      </c>
      <c r="G18031" s="9">
        <v>7500</v>
      </c>
      <c r="H18031" s="8">
        <v>2561</v>
      </c>
    </row>
    <row r="18032" spans="2:8" ht="15" customHeight="1" x14ac:dyDescent="0.4">
      <c r="B18032" t="s">
        <v>7</v>
      </c>
      <c r="C18032" t="s">
        <v>363</v>
      </c>
      <c r="D18032" s="7">
        <f>DATE(2005,3,24)</f>
        <v>38435</v>
      </c>
      <c r="E18032" s="8">
        <f t="shared" si="295"/>
        <v>2005</v>
      </c>
      <c r="F18032" t="s">
        <v>2942</v>
      </c>
      <c r="G18032" s="9">
        <v>7500</v>
      </c>
      <c r="H18032" s="8">
        <v>2886</v>
      </c>
    </row>
    <row r="18033" spans="2:8" ht="15" customHeight="1" x14ac:dyDescent="0.4">
      <c r="B18033" t="s">
        <v>7</v>
      </c>
      <c r="C18033" t="s">
        <v>1158</v>
      </c>
      <c r="D18033" s="7">
        <f>DATE(2006,1,13)</f>
        <v>38730</v>
      </c>
      <c r="E18033" s="8">
        <f t="shared" si="295"/>
        <v>2006</v>
      </c>
      <c r="F18033" t="s">
        <v>2942</v>
      </c>
      <c r="G18033" s="9">
        <v>4839.8500000000004</v>
      </c>
      <c r="H18033" s="8">
        <v>3922</v>
      </c>
    </row>
    <row r="18034" spans="2:8" ht="15" customHeight="1" x14ac:dyDescent="0.4">
      <c r="B18034" t="s">
        <v>7</v>
      </c>
      <c r="C18034" t="s">
        <v>1158</v>
      </c>
      <c r="D18034" s="7">
        <f>DATE(2006,3,16)</f>
        <v>38792</v>
      </c>
      <c r="E18034" s="8">
        <f t="shared" si="295"/>
        <v>2006</v>
      </c>
      <c r="F18034" t="s">
        <v>2942</v>
      </c>
      <c r="G18034" s="9">
        <v>7680</v>
      </c>
      <c r="H18034" s="8">
        <v>4272</v>
      </c>
    </row>
    <row r="18035" spans="2:8" ht="15" customHeight="1" x14ac:dyDescent="0.4">
      <c r="B18035" t="s">
        <v>7</v>
      </c>
      <c r="C18035" t="s">
        <v>1158</v>
      </c>
      <c r="D18035" s="7">
        <f>DATE(2006,9,14)</f>
        <v>38974</v>
      </c>
      <c r="E18035" s="8">
        <f t="shared" si="295"/>
        <v>2006</v>
      </c>
      <c r="F18035" t="s">
        <v>2942</v>
      </c>
      <c r="G18035" s="9">
        <v>7324.52</v>
      </c>
      <c r="H18035" s="8">
        <v>4941</v>
      </c>
    </row>
    <row r="18036" spans="2:8" ht="15" customHeight="1" x14ac:dyDescent="0.4">
      <c r="B18036" t="s">
        <v>16</v>
      </c>
      <c r="C18036" t="s">
        <v>1158</v>
      </c>
      <c r="D18036" s="7">
        <f>DATE(2006,3,16)</f>
        <v>38792</v>
      </c>
      <c r="E18036" s="8">
        <f t="shared" si="295"/>
        <v>2006</v>
      </c>
      <c r="F18036" t="s">
        <v>2942</v>
      </c>
      <c r="G18036" s="9">
        <v>180</v>
      </c>
      <c r="H18036" s="8">
        <v>4700</v>
      </c>
    </row>
    <row r="18037" spans="2:8" ht="15" customHeight="1" x14ac:dyDescent="0.4">
      <c r="B18037" s="3" t="s">
        <v>7</v>
      </c>
      <c r="C18037" s="3" t="s">
        <v>1158</v>
      </c>
      <c r="D18037" s="4">
        <f>DATE(2006,1,20)</f>
        <v>38737</v>
      </c>
      <c r="E18037" s="5">
        <f t="shared" si="295"/>
        <v>2006</v>
      </c>
      <c r="F18037" s="3" t="s">
        <v>2942</v>
      </c>
      <c r="G18037" s="6">
        <v>1215.5999999999999</v>
      </c>
      <c r="H18037" s="5">
        <v>5888</v>
      </c>
    </row>
    <row r="18038" spans="2:8" ht="15" customHeight="1" x14ac:dyDescent="0.4">
      <c r="B18038" s="3" t="s">
        <v>7</v>
      </c>
      <c r="C18038" s="3" t="s">
        <v>1158</v>
      </c>
      <c r="D18038" s="4">
        <f>DATE(2006,11,3)</f>
        <v>39024</v>
      </c>
      <c r="E18038" s="5">
        <f t="shared" si="295"/>
        <v>2006</v>
      </c>
      <c r="F18038" s="3" t="s">
        <v>2942</v>
      </c>
      <c r="G18038" s="6">
        <v>480.06</v>
      </c>
      <c r="H18038" s="5">
        <v>7460</v>
      </c>
    </row>
    <row r="18039" spans="2:8" ht="15" customHeight="1" x14ac:dyDescent="0.4">
      <c r="B18039" t="s">
        <v>7</v>
      </c>
      <c r="C18039" t="s">
        <v>2939</v>
      </c>
      <c r="D18039" s="7">
        <f>DATE(2003,5,16)</f>
        <v>37757</v>
      </c>
      <c r="E18039" s="8">
        <f t="shared" si="295"/>
        <v>2003</v>
      </c>
      <c r="F18039" t="s">
        <v>2943</v>
      </c>
      <c r="G18039" s="9">
        <v>12772.9</v>
      </c>
      <c r="H18039" s="8">
        <v>634</v>
      </c>
    </row>
    <row r="18040" spans="2:8" ht="15" customHeight="1" x14ac:dyDescent="0.4">
      <c r="B18040" t="s">
        <v>7</v>
      </c>
      <c r="C18040" t="s">
        <v>2944</v>
      </c>
      <c r="D18040" s="7">
        <f>DATE(2004,3,26)</f>
        <v>38072</v>
      </c>
      <c r="E18040" s="8">
        <f t="shared" si="295"/>
        <v>2004</v>
      </c>
      <c r="F18040" t="s">
        <v>2945</v>
      </c>
      <c r="G18040" s="9">
        <v>7800</v>
      </c>
      <c r="H18040" s="8">
        <v>1477</v>
      </c>
    </row>
    <row r="18041" spans="2:8" ht="15" customHeight="1" x14ac:dyDescent="0.4">
      <c r="B18041" s="3" t="s">
        <v>7</v>
      </c>
      <c r="C18041" s="3" t="s">
        <v>2944</v>
      </c>
      <c r="D18041" s="4">
        <f>DATE(2004,11,9)</f>
        <v>38300</v>
      </c>
      <c r="E18041" s="5">
        <f t="shared" si="295"/>
        <v>2004</v>
      </c>
      <c r="F18041" s="3" t="s">
        <v>2945</v>
      </c>
      <c r="G18041" s="6">
        <v>180.24</v>
      </c>
      <c r="H18041" s="5">
        <v>3674</v>
      </c>
    </row>
    <row r="18042" spans="2:8" ht="15" customHeight="1" x14ac:dyDescent="0.4">
      <c r="B18042" t="s">
        <v>7</v>
      </c>
      <c r="C18042" t="s">
        <v>2946</v>
      </c>
      <c r="D18042" s="7">
        <f>DATE(2008,6,27)</f>
        <v>39626</v>
      </c>
      <c r="E18042" s="8">
        <f t="shared" si="295"/>
        <v>2008</v>
      </c>
      <c r="F18042" t="s">
        <v>2947</v>
      </c>
      <c r="G18042" s="9">
        <v>1313.98</v>
      </c>
      <c r="H18042" s="8">
        <v>7565</v>
      </c>
    </row>
    <row r="18043" spans="2:8" ht="15" customHeight="1" x14ac:dyDescent="0.4">
      <c r="B18043" t="s">
        <v>7</v>
      </c>
      <c r="C18043" t="s">
        <v>2946</v>
      </c>
      <c r="D18043" s="7">
        <f>DATE(2016,4,1)</f>
        <v>42461</v>
      </c>
      <c r="E18043" s="8">
        <f t="shared" si="295"/>
        <v>2016</v>
      </c>
      <c r="F18043" t="s">
        <v>2948</v>
      </c>
      <c r="G18043" s="9">
        <v>2932</v>
      </c>
      <c r="H18043" s="8">
        <v>22015</v>
      </c>
    </row>
    <row r="18044" spans="2:8" ht="15" customHeight="1" x14ac:dyDescent="0.4">
      <c r="B18044" t="s">
        <v>7</v>
      </c>
      <c r="C18044" t="s">
        <v>2946</v>
      </c>
      <c r="D18044" s="7">
        <f>DATE(2016,4,1)</f>
        <v>42461</v>
      </c>
      <c r="E18044" s="8">
        <f t="shared" si="295"/>
        <v>2016</v>
      </c>
      <c r="F18044" t="s">
        <v>2948</v>
      </c>
      <c r="G18044" s="9">
        <v>14431.86</v>
      </c>
      <c r="H18044" s="8">
        <v>22014</v>
      </c>
    </row>
    <row r="18045" spans="2:8" ht="15" customHeight="1" x14ac:dyDescent="0.4">
      <c r="B18045" t="s">
        <v>7</v>
      </c>
      <c r="C18045" t="s">
        <v>2946</v>
      </c>
      <c r="D18045" s="7">
        <f>DATE(2018,6,1)</f>
        <v>43252</v>
      </c>
      <c r="E18045" s="8">
        <f t="shared" si="295"/>
        <v>2018</v>
      </c>
      <c r="F18045" t="s">
        <v>2948</v>
      </c>
      <c r="G18045" s="9">
        <v>10328.4</v>
      </c>
      <c r="H18045" s="8">
        <v>26937</v>
      </c>
    </row>
    <row r="18046" spans="2:8" ht="15" customHeight="1" x14ac:dyDescent="0.4">
      <c r="B18046" t="s">
        <v>7</v>
      </c>
      <c r="C18046" t="s">
        <v>2946</v>
      </c>
      <c r="D18046" s="7">
        <f>DATE(2019,3,13)</f>
        <v>43537</v>
      </c>
      <c r="E18046" s="8">
        <f t="shared" si="295"/>
        <v>2019</v>
      </c>
      <c r="F18046" t="s">
        <v>2948</v>
      </c>
      <c r="G18046" s="9">
        <v>11484.48</v>
      </c>
      <c r="H18046" s="8">
        <v>28427</v>
      </c>
    </row>
    <row r="18047" spans="2:8" ht="15" customHeight="1" x14ac:dyDescent="0.4">
      <c r="B18047" t="s">
        <v>7</v>
      </c>
      <c r="C18047" t="s">
        <v>2946</v>
      </c>
      <c r="D18047" s="7">
        <f>DATE(2016,4,1)</f>
        <v>42461</v>
      </c>
      <c r="E18047" s="8">
        <f t="shared" si="295"/>
        <v>2016</v>
      </c>
      <c r="F18047" t="s">
        <v>2948</v>
      </c>
      <c r="G18047" s="9">
        <v>50512</v>
      </c>
      <c r="H18047" s="8">
        <v>22016</v>
      </c>
    </row>
    <row r="18048" spans="2:8" ht="15" customHeight="1" x14ac:dyDescent="0.4">
      <c r="B18048" t="s">
        <v>7</v>
      </c>
      <c r="C18048" t="s">
        <v>2946</v>
      </c>
      <c r="D18048" s="7">
        <f>DATE(2016,4,1)</f>
        <v>42461</v>
      </c>
      <c r="E18048" s="8">
        <f t="shared" si="295"/>
        <v>2016</v>
      </c>
      <c r="F18048" t="s">
        <v>2948</v>
      </c>
      <c r="G18048" s="9">
        <v>7450</v>
      </c>
      <c r="H18048" s="8">
        <v>22017</v>
      </c>
    </row>
    <row r="18049" spans="2:8" ht="15" customHeight="1" x14ac:dyDescent="0.4">
      <c r="B18049" t="s">
        <v>7</v>
      </c>
      <c r="C18049" t="s">
        <v>2946</v>
      </c>
      <c r="D18049" s="7">
        <f>DATE(2017,8,31)</f>
        <v>42978</v>
      </c>
      <c r="E18049" s="8">
        <f t="shared" si="295"/>
        <v>2017</v>
      </c>
      <c r="F18049" t="s">
        <v>2948</v>
      </c>
      <c r="G18049" s="9">
        <v>1754.53</v>
      </c>
      <c r="H18049" s="8">
        <v>25119</v>
      </c>
    </row>
    <row r="18050" spans="2:8" ht="15" customHeight="1" x14ac:dyDescent="0.4">
      <c r="B18050" t="s">
        <v>7</v>
      </c>
      <c r="C18050" t="s">
        <v>2660</v>
      </c>
      <c r="D18050" s="7">
        <f>DATE(2015,11,12)</f>
        <v>42320</v>
      </c>
      <c r="E18050" s="8">
        <f t="shared" si="295"/>
        <v>2015</v>
      </c>
      <c r="F18050" t="s">
        <v>2949</v>
      </c>
      <c r="G18050" s="9">
        <v>33279.620000000003</v>
      </c>
      <c r="H18050" s="8">
        <v>21308</v>
      </c>
    </row>
    <row r="18051" spans="2:8" ht="15" customHeight="1" x14ac:dyDescent="0.4">
      <c r="B18051" t="s">
        <v>7</v>
      </c>
      <c r="C18051" t="s">
        <v>2660</v>
      </c>
      <c r="D18051" s="7">
        <f>DATE(2015,11,12)</f>
        <v>42320</v>
      </c>
      <c r="E18051" s="8">
        <f t="shared" ref="E18051:E18114" si="296">YEAR(D18051)</f>
        <v>2015</v>
      </c>
      <c r="F18051" t="s">
        <v>2949</v>
      </c>
      <c r="G18051" s="9">
        <v>52216.15</v>
      </c>
      <c r="H18051" s="8">
        <v>21104</v>
      </c>
    </row>
    <row r="18052" spans="2:8" ht="15" customHeight="1" x14ac:dyDescent="0.4">
      <c r="B18052" t="s">
        <v>7</v>
      </c>
      <c r="C18052" t="s">
        <v>2660</v>
      </c>
      <c r="D18052" s="7">
        <f>DATE(2015,11,12)</f>
        <v>42320</v>
      </c>
      <c r="E18052" s="8">
        <f t="shared" si="296"/>
        <v>2015</v>
      </c>
      <c r="F18052" t="s">
        <v>2949</v>
      </c>
      <c r="G18052" s="9">
        <v>48579.8</v>
      </c>
      <c r="H18052" s="8">
        <v>21780</v>
      </c>
    </row>
    <row r="18053" spans="2:8" ht="15" customHeight="1" x14ac:dyDescent="0.4">
      <c r="B18053" t="s">
        <v>7</v>
      </c>
      <c r="C18053" t="s">
        <v>2660</v>
      </c>
      <c r="D18053" s="7">
        <f>DATE(2015,11,12)</f>
        <v>42320</v>
      </c>
      <c r="E18053" s="8">
        <f t="shared" si="296"/>
        <v>2015</v>
      </c>
      <c r="F18053" t="s">
        <v>2949</v>
      </c>
      <c r="G18053" s="9">
        <v>30718.81</v>
      </c>
      <c r="H18053" s="8">
        <v>21777</v>
      </c>
    </row>
    <row r="18054" spans="2:8" ht="15" customHeight="1" x14ac:dyDescent="0.4">
      <c r="B18054" t="s">
        <v>7</v>
      </c>
      <c r="C18054" t="s">
        <v>2660</v>
      </c>
      <c r="D18054" s="7">
        <f>DATE(2015,11,12)</f>
        <v>42320</v>
      </c>
      <c r="E18054" s="8">
        <f t="shared" si="296"/>
        <v>2015</v>
      </c>
      <c r="F18054" t="s">
        <v>2949</v>
      </c>
      <c r="G18054" s="9">
        <v>43784.72</v>
      </c>
      <c r="H18054" s="8">
        <v>21774</v>
      </c>
    </row>
    <row r="18055" spans="2:8" ht="15" customHeight="1" x14ac:dyDescent="0.4">
      <c r="B18055" t="s">
        <v>7</v>
      </c>
      <c r="C18055" t="s">
        <v>2660</v>
      </c>
      <c r="D18055" s="7">
        <f>DATE(2017,1,31)</f>
        <v>42766</v>
      </c>
      <c r="E18055" s="8">
        <f t="shared" si="296"/>
        <v>2017</v>
      </c>
      <c r="F18055" t="s">
        <v>2949</v>
      </c>
      <c r="G18055" s="9">
        <v>34417.160000000003</v>
      </c>
      <c r="H18055" s="8">
        <v>23940</v>
      </c>
    </row>
    <row r="18056" spans="2:8" ht="15" customHeight="1" x14ac:dyDescent="0.4">
      <c r="B18056" t="s">
        <v>7</v>
      </c>
      <c r="C18056" t="s">
        <v>2660</v>
      </c>
      <c r="D18056" s="7">
        <f>DATE(2017,3,14)</f>
        <v>42808</v>
      </c>
      <c r="E18056" s="8">
        <f t="shared" si="296"/>
        <v>2017</v>
      </c>
      <c r="F18056" t="s">
        <v>2949</v>
      </c>
      <c r="G18056" s="9">
        <v>29455.83</v>
      </c>
      <c r="H18056" s="8">
        <v>23941</v>
      </c>
    </row>
    <row r="18057" spans="2:8" ht="15" customHeight="1" x14ac:dyDescent="0.4">
      <c r="B18057" t="s">
        <v>7</v>
      </c>
      <c r="C18057" t="s">
        <v>2660</v>
      </c>
      <c r="D18057" s="7">
        <f>DATE(2017,3,15)</f>
        <v>42809</v>
      </c>
      <c r="E18057" s="8">
        <f t="shared" si="296"/>
        <v>2017</v>
      </c>
      <c r="F18057" t="s">
        <v>2949</v>
      </c>
      <c r="G18057" s="9">
        <v>41139.360000000001</v>
      </c>
      <c r="H18057" s="8">
        <v>23942</v>
      </c>
    </row>
    <row r="18058" spans="2:8" ht="15" customHeight="1" x14ac:dyDescent="0.4">
      <c r="B18058" t="s">
        <v>7</v>
      </c>
      <c r="C18058" t="s">
        <v>2660</v>
      </c>
      <c r="D18058" s="7">
        <f>DATE(2015,10,6)</f>
        <v>42283</v>
      </c>
      <c r="E18058" s="8">
        <f t="shared" si="296"/>
        <v>2015</v>
      </c>
      <c r="F18058" t="s">
        <v>2949</v>
      </c>
      <c r="G18058" s="9">
        <v>20915</v>
      </c>
      <c r="H18058" s="8">
        <v>21305</v>
      </c>
    </row>
    <row r="18059" spans="2:8" ht="15" customHeight="1" x14ac:dyDescent="0.4">
      <c r="B18059" t="s">
        <v>7</v>
      </c>
      <c r="C18059" t="s">
        <v>2660</v>
      </c>
      <c r="D18059" s="7">
        <f>DATE(2016,3,4)</f>
        <v>42433</v>
      </c>
      <c r="E18059" s="8">
        <f t="shared" si="296"/>
        <v>2016</v>
      </c>
      <c r="F18059" t="s">
        <v>2949</v>
      </c>
      <c r="G18059" s="9">
        <v>1046</v>
      </c>
      <c r="H18059" s="8">
        <v>22283</v>
      </c>
    </row>
    <row r="18060" spans="2:8" ht="15" customHeight="1" x14ac:dyDescent="0.4">
      <c r="B18060" t="s">
        <v>7</v>
      </c>
      <c r="C18060" t="s">
        <v>2660</v>
      </c>
      <c r="D18060" s="7">
        <f>DATE(2016,6,22)</f>
        <v>42543</v>
      </c>
      <c r="E18060" s="8">
        <f t="shared" si="296"/>
        <v>2016</v>
      </c>
      <c r="F18060" t="s">
        <v>2949</v>
      </c>
      <c r="G18060" s="9">
        <v>1016</v>
      </c>
      <c r="H18060" s="8">
        <v>23013</v>
      </c>
    </row>
    <row r="18061" spans="2:8" ht="15" customHeight="1" x14ac:dyDescent="0.4">
      <c r="B18061" t="s">
        <v>7</v>
      </c>
      <c r="C18061" t="s">
        <v>2660</v>
      </c>
      <c r="D18061" s="7">
        <f>DATE(2016,12,6)</f>
        <v>42710</v>
      </c>
      <c r="E18061" s="8">
        <f t="shared" si="296"/>
        <v>2016</v>
      </c>
      <c r="F18061" t="s">
        <v>2949</v>
      </c>
      <c r="G18061" s="9">
        <v>17000</v>
      </c>
      <c r="H18061" s="8">
        <v>23703</v>
      </c>
    </row>
    <row r="18062" spans="2:8" ht="15" customHeight="1" x14ac:dyDescent="0.4">
      <c r="B18062" t="s">
        <v>7</v>
      </c>
      <c r="C18062" t="s">
        <v>2660</v>
      </c>
      <c r="D18062" s="7">
        <f>DATE(2016,12,14)</f>
        <v>42718</v>
      </c>
      <c r="E18062" s="8">
        <f t="shared" si="296"/>
        <v>2016</v>
      </c>
      <c r="F18062" t="s">
        <v>2949</v>
      </c>
      <c r="G18062" s="9">
        <v>21050</v>
      </c>
      <c r="H18062" s="8">
        <v>23921</v>
      </c>
    </row>
    <row r="18063" spans="2:8" ht="15" customHeight="1" x14ac:dyDescent="0.4">
      <c r="B18063" t="s">
        <v>16</v>
      </c>
      <c r="C18063" t="s">
        <v>2660</v>
      </c>
      <c r="D18063" s="7">
        <f>DATE(2015,12,18)</f>
        <v>42356</v>
      </c>
      <c r="E18063" s="8">
        <f t="shared" si="296"/>
        <v>2015</v>
      </c>
      <c r="F18063" t="s">
        <v>2949</v>
      </c>
      <c r="G18063" s="9">
        <v>46623.360000000001</v>
      </c>
      <c r="H18063" s="8">
        <v>21874</v>
      </c>
    </row>
    <row r="18064" spans="2:8" ht="15" customHeight="1" x14ac:dyDescent="0.4">
      <c r="B18064" t="s">
        <v>16</v>
      </c>
      <c r="C18064" t="s">
        <v>2660</v>
      </c>
      <c r="D18064" s="7">
        <f>DATE(2015,12,18)</f>
        <v>42356</v>
      </c>
      <c r="E18064" s="8">
        <f t="shared" si="296"/>
        <v>2015</v>
      </c>
      <c r="F18064" t="s">
        <v>2949</v>
      </c>
      <c r="G18064" s="9">
        <v>33279.620000000003</v>
      </c>
      <c r="H18064" s="8">
        <v>21875</v>
      </c>
    </row>
    <row r="18065" spans="2:8" ht="15" customHeight="1" x14ac:dyDescent="0.4">
      <c r="B18065" t="s">
        <v>16</v>
      </c>
      <c r="C18065" t="s">
        <v>2660</v>
      </c>
      <c r="D18065" s="7">
        <f>DATE(2015,12,18)</f>
        <v>42356</v>
      </c>
      <c r="E18065" s="8">
        <f t="shared" si="296"/>
        <v>2015</v>
      </c>
      <c r="F18065" t="s">
        <v>2949</v>
      </c>
      <c r="G18065" s="9">
        <v>52216.15</v>
      </c>
      <c r="H18065" s="8">
        <v>21876</v>
      </c>
    </row>
    <row r="18066" spans="2:8" ht="15" customHeight="1" x14ac:dyDescent="0.4">
      <c r="B18066" t="s">
        <v>7</v>
      </c>
      <c r="C18066" t="s">
        <v>2660</v>
      </c>
      <c r="D18066" s="7">
        <f>DATE(2012,2,1)</f>
        <v>40940</v>
      </c>
      <c r="E18066" s="8">
        <f t="shared" si="296"/>
        <v>2012</v>
      </c>
      <c r="F18066" t="s">
        <v>2949</v>
      </c>
      <c r="G18066" s="9">
        <v>56574</v>
      </c>
      <c r="H18066" s="8">
        <v>11239</v>
      </c>
    </row>
    <row r="18067" spans="2:8" ht="15" customHeight="1" x14ac:dyDescent="0.4">
      <c r="B18067" t="s">
        <v>7</v>
      </c>
      <c r="C18067" t="s">
        <v>2660</v>
      </c>
      <c r="D18067" s="7">
        <f>DATE(2012,3,8)</f>
        <v>40976</v>
      </c>
      <c r="E18067" s="8">
        <f t="shared" si="296"/>
        <v>2012</v>
      </c>
      <c r="F18067" t="s">
        <v>2949</v>
      </c>
      <c r="G18067" s="9">
        <v>51602.69</v>
      </c>
      <c r="H18067" s="8">
        <v>11118</v>
      </c>
    </row>
    <row r="18068" spans="2:8" ht="15" customHeight="1" x14ac:dyDescent="0.4">
      <c r="B18068" t="s">
        <v>7</v>
      </c>
      <c r="C18068" t="s">
        <v>2660</v>
      </c>
      <c r="D18068" s="7">
        <f>DATE(2013,2,21)</f>
        <v>41326</v>
      </c>
      <c r="E18068" s="8">
        <f t="shared" si="296"/>
        <v>2013</v>
      </c>
      <c r="F18068" t="s">
        <v>2949</v>
      </c>
      <c r="G18068" s="9">
        <v>72366.34</v>
      </c>
      <c r="H18068" s="8">
        <v>12119</v>
      </c>
    </row>
    <row r="18069" spans="2:8" ht="15" customHeight="1" x14ac:dyDescent="0.4">
      <c r="B18069" t="s">
        <v>7</v>
      </c>
      <c r="C18069" t="s">
        <v>2660</v>
      </c>
      <c r="D18069" s="7">
        <f>DATE(2013,5,2)</f>
        <v>41396</v>
      </c>
      <c r="E18069" s="8">
        <f t="shared" si="296"/>
        <v>2013</v>
      </c>
      <c r="F18069" t="s">
        <v>2949</v>
      </c>
      <c r="G18069" s="9">
        <v>56826.43</v>
      </c>
      <c r="H18069" s="8">
        <v>12319</v>
      </c>
    </row>
    <row r="18070" spans="2:8" ht="15" customHeight="1" x14ac:dyDescent="0.4">
      <c r="B18070" t="s">
        <v>7</v>
      </c>
      <c r="C18070" t="s">
        <v>2660</v>
      </c>
      <c r="D18070" s="7">
        <f>DATE(2013,10,21)</f>
        <v>41568</v>
      </c>
      <c r="E18070" s="8">
        <f t="shared" si="296"/>
        <v>2013</v>
      </c>
      <c r="F18070" t="s">
        <v>2949</v>
      </c>
      <c r="G18070" s="9">
        <v>66240.009999999995</v>
      </c>
      <c r="H18070" s="8">
        <v>12651</v>
      </c>
    </row>
    <row r="18071" spans="2:8" ht="15" customHeight="1" x14ac:dyDescent="0.4">
      <c r="B18071" t="s">
        <v>7</v>
      </c>
      <c r="C18071" t="s">
        <v>2660</v>
      </c>
      <c r="D18071" s="7">
        <f>DATE(2014,3,10)</f>
        <v>41708</v>
      </c>
      <c r="E18071" s="8">
        <f t="shared" si="296"/>
        <v>2014</v>
      </c>
      <c r="F18071" t="s">
        <v>2949</v>
      </c>
      <c r="G18071" s="9">
        <v>66525.78</v>
      </c>
      <c r="H18071" s="8">
        <v>12933</v>
      </c>
    </row>
    <row r="18072" spans="2:8" ht="15" customHeight="1" x14ac:dyDescent="0.4">
      <c r="B18072" t="s">
        <v>7</v>
      </c>
      <c r="C18072" t="s">
        <v>2660</v>
      </c>
      <c r="D18072" s="7">
        <f>DATE(2014,12,3)</f>
        <v>41976</v>
      </c>
      <c r="E18072" s="8">
        <f t="shared" si="296"/>
        <v>2014</v>
      </c>
      <c r="F18072" t="s">
        <v>2949</v>
      </c>
      <c r="G18072" s="9">
        <v>46015.81</v>
      </c>
      <c r="H18072" s="8">
        <v>13525</v>
      </c>
    </row>
    <row r="18073" spans="2:8" ht="15" customHeight="1" x14ac:dyDescent="0.4">
      <c r="B18073" t="s">
        <v>7</v>
      </c>
      <c r="C18073" t="s">
        <v>2660</v>
      </c>
      <c r="D18073" s="7">
        <f>DATE(2014,12,3)</f>
        <v>41976</v>
      </c>
      <c r="E18073" s="8">
        <f t="shared" si="296"/>
        <v>2014</v>
      </c>
      <c r="F18073" t="s">
        <v>2949</v>
      </c>
      <c r="G18073" s="9">
        <v>17554.97</v>
      </c>
      <c r="H18073" s="8">
        <v>13494</v>
      </c>
    </row>
    <row r="18074" spans="2:8" ht="15" customHeight="1" x14ac:dyDescent="0.4">
      <c r="B18074" t="s">
        <v>7</v>
      </c>
      <c r="C18074" t="s">
        <v>2660</v>
      </c>
      <c r="D18074" s="7">
        <f>DATE(2014,12,3)</f>
        <v>41976</v>
      </c>
      <c r="E18074" s="8">
        <f t="shared" si="296"/>
        <v>2014</v>
      </c>
      <c r="F18074" t="s">
        <v>2949</v>
      </c>
      <c r="G18074" s="9">
        <v>28613.31</v>
      </c>
      <c r="H18074" s="8">
        <v>13495</v>
      </c>
    </row>
    <row r="18075" spans="2:8" ht="15" customHeight="1" x14ac:dyDescent="0.4">
      <c r="B18075" t="s">
        <v>7</v>
      </c>
      <c r="C18075" t="s">
        <v>2660</v>
      </c>
      <c r="D18075" s="7">
        <f>DATE(2011,4,20)</f>
        <v>40653</v>
      </c>
      <c r="E18075" s="8">
        <f t="shared" si="296"/>
        <v>2011</v>
      </c>
      <c r="F18075" t="s">
        <v>2949</v>
      </c>
      <c r="G18075" s="9">
        <v>11228.9</v>
      </c>
      <c r="H18075" s="8">
        <v>10627</v>
      </c>
    </row>
    <row r="18076" spans="2:8" ht="15" customHeight="1" x14ac:dyDescent="0.4">
      <c r="B18076" t="s">
        <v>7</v>
      </c>
      <c r="C18076" t="s">
        <v>2660</v>
      </c>
      <c r="D18076" s="7">
        <f>DATE(2012,10,19)</f>
        <v>41201</v>
      </c>
      <c r="E18076" s="8">
        <f t="shared" si="296"/>
        <v>2012</v>
      </c>
      <c r="F18076" t="s">
        <v>2949</v>
      </c>
      <c r="G18076" s="9">
        <v>13739.59</v>
      </c>
      <c r="H18076" s="8">
        <v>11888</v>
      </c>
    </row>
    <row r="18077" spans="2:8" ht="15" customHeight="1" x14ac:dyDescent="0.4">
      <c r="B18077" t="s">
        <v>7</v>
      </c>
      <c r="C18077" t="s">
        <v>2660</v>
      </c>
      <c r="D18077" s="7">
        <f>DATE(2013,9,13)</f>
        <v>41530</v>
      </c>
      <c r="E18077" s="8">
        <f t="shared" si="296"/>
        <v>2013</v>
      </c>
      <c r="F18077" t="s">
        <v>2949</v>
      </c>
      <c r="G18077" s="9">
        <v>14723.47</v>
      </c>
      <c r="H18077" s="8">
        <v>12647</v>
      </c>
    </row>
    <row r="18078" spans="2:8" ht="15" customHeight="1" x14ac:dyDescent="0.4">
      <c r="B18078" t="s">
        <v>7</v>
      </c>
      <c r="C18078" t="s">
        <v>2660</v>
      </c>
      <c r="D18078" s="7">
        <f>DATE(2014,7,31)</f>
        <v>41851</v>
      </c>
      <c r="E18078" s="8">
        <f t="shared" si="296"/>
        <v>2014</v>
      </c>
      <c r="F18078" t="s">
        <v>2949</v>
      </c>
      <c r="G18078" s="9">
        <v>13959.26</v>
      </c>
      <c r="H18078" s="8">
        <v>13348</v>
      </c>
    </row>
    <row r="18079" spans="2:8" ht="15" customHeight="1" x14ac:dyDescent="0.4">
      <c r="B18079" s="3" t="s">
        <v>7</v>
      </c>
      <c r="C18079" s="3" t="s">
        <v>2660</v>
      </c>
      <c r="D18079" s="4">
        <f>DATE(2012,1,3)</f>
        <v>40911</v>
      </c>
      <c r="E18079" s="5">
        <f t="shared" si="296"/>
        <v>2012</v>
      </c>
      <c r="F18079" s="3" t="s">
        <v>2949</v>
      </c>
      <c r="G18079" s="6">
        <v>5928</v>
      </c>
      <c r="H18079" s="5">
        <v>16310</v>
      </c>
    </row>
    <row r="18080" spans="2:8" ht="15" customHeight="1" x14ac:dyDescent="0.4">
      <c r="B18080" s="3" t="s">
        <v>7</v>
      </c>
      <c r="C18080" s="3" t="s">
        <v>2660</v>
      </c>
      <c r="D18080" s="4">
        <f>DATE(2012,1,3)</f>
        <v>40911</v>
      </c>
      <c r="E18080" s="5">
        <f t="shared" si="296"/>
        <v>2012</v>
      </c>
      <c r="F18080" s="3" t="s">
        <v>2949</v>
      </c>
      <c r="G18080" s="6">
        <v>30264</v>
      </c>
      <c r="H18080" s="5">
        <v>16330</v>
      </c>
    </row>
    <row r="18081" spans="2:8" ht="15" customHeight="1" x14ac:dyDescent="0.4">
      <c r="B18081" s="3" t="s">
        <v>7</v>
      </c>
      <c r="C18081" s="3" t="s">
        <v>2660</v>
      </c>
      <c r="D18081" s="4">
        <f>DATE(2012,1,20)</f>
        <v>40928</v>
      </c>
      <c r="E18081" s="5">
        <f t="shared" si="296"/>
        <v>2012</v>
      </c>
      <c r="F18081" s="3" t="s">
        <v>2949</v>
      </c>
      <c r="G18081" s="6">
        <v>29504.57</v>
      </c>
      <c r="H18081" s="5">
        <v>16420</v>
      </c>
    </row>
    <row r="18082" spans="2:8" ht="15" customHeight="1" x14ac:dyDescent="0.4">
      <c r="B18082" s="3" t="s">
        <v>7</v>
      </c>
      <c r="C18082" s="3" t="s">
        <v>2660</v>
      </c>
      <c r="D18082" s="4">
        <f>DATE(2012,4,17)</f>
        <v>41016</v>
      </c>
      <c r="E18082" s="5">
        <f t="shared" si="296"/>
        <v>2012</v>
      </c>
      <c r="F18082" s="3" t="s">
        <v>2949</v>
      </c>
      <c r="G18082" s="6">
        <v>115.5</v>
      </c>
      <c r="H18082" s="5">
        <v>16975</v>
      </c>
    </row>
    <row r="18083" spans="2:8" ht="15" customHeight="1" x14ac:dyDescent="0.4">
      <c r="B18083" s="3" t="s">
        <v>7</v>
      </c>
      <c r="C18083" s="3" t="s">
        <v>2660</v>
      </c>
      <c r="D18083" s="4">
        <f>DATE(2012,4,19)</f>
        <v>41018</v>
      </c>
      <c r="E18083" s="5">
        <f t="shared" si="296"/>
        <v>2012</v>
      </c>
      <c r="F18083" s="3" t="s">
        <v>2949</v>
      </c>
      <c r="G18083" s="6">
        <v>1046</v>
      </c>
      <c r="H18083" s="5">
        <v>16947</v>
      </c>
    </row>
    <row r="18084" spans="2:8" ht="15" customHeight="1" x14ac:dyDescent="0.4">
      <c r="B18084" s="3" t="s">
        <v>7</v>
      </c>
      <c r="C18084" s="3" t="s">
        <v>2660</v>
      </c>
      <c r="D18084" s="4">
        <f>DATE(2013,1,9)</f>
        <v>41283</v>
      </c>
      <c r="E18084" s="5">
        <f t="shared" si="296"/>
        <v>2013</v>
      </c>
      <c r="F18084" s="3" t="s">
        <v>2949</v>
      </c>
      <c r="G18084" s="6">
        <v>21050</v>
      </c>
      <c r="H18084" s="5">
        <v>17869</v>
      </c>
    </row>
    <row r="18085" spans="2:8" ht="15" customHeight="1" x14ac:dyDescent="0.4">
      <c r="B18085" s="3" t="s">
        <v>7</v>
      </c>
      <c r="C18085" s="3" t="s">
        <v>2660</v>
      </c>
      <c r="D18085" s="4">
        <f>DATE(2013,4,10)</f>
        <v>41374</v>
      </c>
      <c r="E18085" s="5">
        <f t="shared" si="296"/>
        <v>2013</v>
      </c>
      <c r="F18085" s="3" t="s">
        <v>2949</v>
      </c>
      <c r="G18085" s="6">
        <v>21137.5</v>
      </c>
      <c r="H18085" s="5">
        <v>18329</v>
      </c>
    </row>
    <row r="18086" spans="2:8" ht="15" customHeight="1" x14ac:dyDescent="0.4">
      <c r="B18086" s="3" t="s">
        <v>7</v>
      </c>
      <c r="C18086" s="3" t="s">
        <v>2660</v>
      </c>
      <c r="D18086" s="4">
        <f>DATE(2013,9,12)</f>
        <v>41529</v>
      </c>
      <c r="E18086" s="5">
        <f t="shared" si="296"/>
        <v>2013</v>
      </c>
      <c r="F18086" s="3" t="s">
        <v>2949</v>
      </c>
      <c r="G18086" s="6">
        <v>26700</v>
      </c>
      <c r="H18086" s="5">
        <v>18947</v>
      </c>
    </row>
    <row r="18087" spans="2:8" ht="15" customHeight="1" x14ac:dyDescent="0.4">
      <c r="B18087" s="3" t="s">
        <v>7</v>
      </c>
      <c r="C18087" s="3" t="s">
        <v>2660</v>
      </c>
      <c r="D18087" s="4">
        <f>DATE(2013,10,30)</f>
        <v>41577</v>
      </c>
      <c r="E18087" s="5">
        <f t="shared" si="296"/>
        <v>2013</v>
      </c>
      <c r="F18087" s="3" t="s">
        <v>2949</v>
      </c>
      <c r="G18087" s="6">
        <v>1219.83</v>
      </c>
      <c r="H18087" s="5">
        <v>19162</v>
      </c>
    </row>
    <row r="18088" spans="2:8" ht="15" customHeight="1" x14ac:dyDescent="0.4">
      <c r="B18088" s="3" t="s">
        <v>7</v>
      </c>
      <c r="C18088" s="3" t="s">
        <v>2660</v>
      </c>
      <c r="D18088" s="4">
        <f>DATE(2014,2,10)</f>
        <v>41680</v>
      </c>
      <c r="E18088" s="5">
        <f t="shared" si="296"/>
        <v>2014</v>
      </c>
      <c r="F18088" s="3" t="s">
        <v>2949</v>
      </c>
      <c r="G18088" s="6">
        <v>27178.07</v>
      </c>
      <c r="H18088" s="5">
        <v>19471</v>
      </c>
    </row>
    <row r="18089" spans="2:8" ht="15" customHeight="1" x14ac:dyDescent="0.4">
      <c r="B18089" s="3" t="s">
        <v>7</v>
      </c>
      <c r="C18089" s="3" t="s">
        <v>2660</v>
      </c>
      <c r="D18089" s="4">
        <f>DATE(2014,2,26)</f>
        <v>41696</v>
      </c>
      <c r="E18089" s="5">
        <f t="shared" si="296"/>
        <v>2014</v>
      </c>
      <c r="F18089" s="3" t="s">
        <v>2949</v>
      </c>
      <c r="G18089" s="6">
        <v>26700</v>
      </c>
      <c r="H18089" s="5">
        <v>19483</v>
      </c>
    </row>
    <row r="18090" spans="2:8" ht="15" customHeight="1" x14ac:dyDescent="0.4">
      <c r="B18090" s="3" t="s">
        <v>7</v>
      </c>
      <c r="C18090" s="3" t="s">
        <v>2660</v>
      </c>
      <c r="D18090" s="4">
        <f>DATE(2014,10,9)</f>
        <v>41921</v>
      </c>
      <c r="E18090" s="5">
        <f t="shared" si="296"/>
        <v>2014</v>
      </c>
      <c r="F18090" s="3" t="s">
        <v>2949</v>
      </c>
      <c r="G18090" s="6">
        <v>22250</v>
      </c>
      <c r="H18090" s="5">
        <v>20333</v>
      </c>
    </row>
    <row r="18091" spans="2:8" ht="15" customHeight="1" x14ac:dyDescent="0.4">
      <c r="B18091" s="3" t="s">
        <v>7</v>
      </c>
      <c r="C18091" s="3" t="s">
        <v>2660</v>
      </c>
      <c r="D18091" s="4">
        <f>DATE(2014,10,9)</f>
        <v>41921</v>
      </c>
      <c r="E18091" s="5">
        <f t="shared" si="296"/>
        <v>2014</v>
      </c>
      <c r="F18091" s="3" t="s">
        <v>2949</v>
      </c>
      <c r="G18091" s="6">
        <v>2092</v>
      </c>
      <c r="H18091" s="5">
        <v>20476</v>
      </c>
    </row>
    <row r="18092" spans="2:8" ht="15" customHeight="1" x14ac:dyDescent="0.4">
      <c r="B18092" s="3" t="s">
        <v>16</v>
      </c>
      <c r="C18092" s="3" t="s">
        <v>2660</v>
      </c>
      <c r="D18092" s="4">
        <f>DATE(2012,1,19)</f>
        <v>40927</v>
      </c>
      <c r="E18092" s="5">
        <f t="shared" si="296"/>
        <v>2012</v>
      </c>
      <c r="F18092" s="3" t="s">
        <v>2949</v>
      </c>
      <c r="G18092" s="6">
        <v>26384</v>
      </c>
      <c r="H18092" s="5">
        <v>16421</v>
      </c>
    </row>
    <row r="18093" spans="2:8" ht="15" customHeight="1" x14ac:dyDescent="0.4">
      <c r="B18093" s="3" t="s">
        <v>7</v>
      </c>
      <c r="C18093" s="3" t="s">
        <v>2950</v>
      </c>
      <c r="D18093" s="4">
        <f>DATE(2005,3,11)</f>
        <v>38422</v>
      </c>
      <c r="E18093" s="5">
        <f t="shared" si="296"/>
        <v>2005</v>
      </c>
      <c r="F18093" s="3" t="s">
        <v>2951</v>
      </c>
      <c r="G18093" s="6">
        <v>579</v>
      </c>
      <c r="H18093" s="5">
        <v>4320</v>
      </c>
    </row>
    <row r="18094" spans="2:8" ht="15" customHeight="1" x14ac:dyDescent="0.4">
      <c r="B18094" t="s">
        <v>7</v>
      </c>
      <c r="C18094" t="s">
        <v>2950</v>
      </c>
      <c r="D18094" s="7">
        <f>DATE(2015,5,1)</f>
        <v>42125</v>
      </c>
      <c r="E18094" s="8">
        <f t="shared" si="296"/>
        <v>2015</v>
      </c>
      <c r="F18094" t="s">
        <v>2952</v>
      </c>
      <c r="G18094" s="9">
        <v>29818.13</v>
      </c>
      <c r="H18094" s="8">
        <v>20334</v>
      </c>
    </row>
    <row r="18095" spans="2:8" ht="15" customHeight="1" x14ac:dyDescent="0.4">
      <c r="B18095" t="s">
        <v>7</v>
      </c>
      <c r="C18095" t="s">
        <v>2950</v>
      </c>
      <c r="D18095" s="7">
        <f>DATE(2016,6,15)</f>
        <v>42536</v>
      </c>
      <c r="E18095" s="8">
        <f t="shared" si="296"/>
        <v>2016</v>
      </c>
      <c r="F18095" t="s">
        <v>2952</v>
      </c>
      <c r="G18095" s="9">
        <v>49563.28</v>
      </c>
      <c r="H18095" s="8">
        <v>22898</v>
      </c>
    </row>
    <row r="18096" spans="2:8" ht="15" customHeight="1" x14ac:dyDescent="0.4">
      <c r="B18096" t="s">
        <v>7</v>
      </c>
      <c r="C18096" t="s">
        <v>2950</v>
      </c>
      <c r="D18096" s="7">
        <f>DATE(2017,1,11)</f>
        <v>42746</v>
      </c>
      <c r="E18096" s="8">
        <f t="shared" si="296"/>
        <v>2017</v>
      </c>
      <c r="F18096" t="s">
        <v>2952</v>
      </c>
      <c r="G18096" s="9">
        <v>1015.31</v>
      </c>
      <c r="H18096" s="8">
        <v>24077</v>
      </c>
    </row>
    <row r="18097" spans="2:8" ht="15" customHeight="1" x14ac:dyDescent="0.4">
      <c r="B18097" t="s">
        <v>7</v>
      </c>
      <c r="C18097" t="s">
        <v>2950</v>
      </c>
      <c r="D18097" s="7">
        <f>DATE(2017,1,13)</f>
        <v>42748</v>
      </c>
      <c r="E18097" s="8">
        <f t="shared" si="296"/>
        <v>2017</v>
      </c>
      <c r="F18097" t="s">
        <v>2952</v>
      </c>
      <c r="G18097" s="9">
        <v>41146.879999999997</v>
      </c>
      <c r="H18097" s="8">
        <v>24108</v>
      </c>
    </row>
    <row r="18098" spans="2:8" ht="15" customHeight="1" x14ac:dyDescent="0.4">
      <c r="B18098" t="s">
        <v>7</v>
      </c>
      <c r="C18098" t="s">
        <v>2950</v>
      </c>
      <c r="D18098" s="7">
        <f>DATE(2017,2,7)</f>
        <v>42773</v>
      </c>
      <c r="E18098" s="8">
        <f t="shared" si="296"/>
        <v>2017</v>
      </c>
      <c r="F18098" t="s">
        <v>2952</v>
      </c>
      <c r="G18098" s="9">
        <v>3233.24</v>
      </c>
      <c r="H18098" s="8">
        <v>24137</v>
      </c>
    </row>
    <row r="18099" spans="2:8" ht="15" customHeight="1" x14ac:dyDescent="0.4">
      <c r="B18099" t="s">
        <v>7</v>
      </c>
      <c r="C18099" t="s">
        <v>2950</v>
      </c>
      <c r="D18099" s="7">
        <f>DATE(2017,2,8)</f>
        <v>42774</v>
      </c>
      <c r="E18099" s="8">
        <f t="shared" si="296"/>
        <v>2017</v>
      </c>
      <c r="F18099" t="s">
        <v>2952</v>
      </c>
      <c r="G18099" s="9">
        <v>881.72</v>
      </c>
      <c r="H18099" s="8">
        <v>24244</v>
      </c>
    </row>
    <row r="18100" spans="2:8" ht="15" customHeight="1" x14ac:dyDescent="0.4">
      <c r="B18100" t="s">
        <v>7</v>
      </c>
      <c r="C18100" t="s">
        <v>2950</v>
      </c>
      <c r="D18100" s="7">
        <f>DATE(2017,4,13)</f>
        <v>42838</v>
      </c>
      <c r="E18100" s="8">
        <f t="shared" si="296"/>
        <v>2017</v>
      </c>
      <c r="F18100" t="s">
        <v>2952</v>
      </c>
      <c r="G18100" s="9">
        <v>293.91000000000003</v>
      </c>
      <c r="H18100" s="8">
        <v>24686</v>
      </c>
    </row>
    <row r="18101" spans="2:8" ht="15" customHeight="1" x14ac:dyDescent="0.4">
      <c r="B18101" t="s">
        <v>7</v>
      </c>
      <c r="C18101" t="s">
        <v>2950</v>
      </c>
      <c r="D18101" s="7">
        <f>DATE(2019,3,12)</f>
        <v>43536</v>
      </c>
      <c r="E18101" s="8">
        <f t="shared" si="296"/>
        <v>2019</v>
      </c>
      <c r="F18101" t="s">
        <v>2952</v>
      </c>
      <c r="G18101" s="9">
        <v>1730</v>
      </c>
      <c r="H18101" s="8">
        <v>28513</v>
      </c>
    </row>
    <row r="18102" spans="2:8" ht="15" customHeight="1" x14ac:dyDescent="0.4">
      <c r="B18102" t="s">
        <v>7</v>
      </c>
      <c r="C18102" t="s">
        <v>2950</v>
      </c>
      <c r="D18102" s="7">
        <f>DATE(2017,6,15)</f>
        <v>42901</v>
      </c>
      <c r="E18102" s="8">
        <f t="shared" si="296"/>
        <v>2017</v>
      </c>
      <c r="F18102" t="s">
        <v>2952</v>
      </c>
      <c r="G18102" s="9">
        <v>15146.41</v>
      </c>
      <c r="H18102" s="8">
        <v>25026</v>
      </c>
    </row>
    <row r="18103" spans="2:8" ht="15" customHeight="1" x14ac:dyDescent="0.4">
      <c r="B18103" t="s">
        <v>7</v>
      </c>
      <c r="C18103" t="s">
        <v>2950</v>
      </c>
      <c r="D18103" s="7">
        <f>DATE(2003,3,22)</f>
        <v>37702</v>
      </c>
      <c r="E18103" s="8">
        <f t="shared" si="296"/>
        <v>2003</v>
      </c>
      <c r="F18103" t="s">
        <v>2952</v>
      </c>
      <c r="G18103" s="9">
        <v>7281.58</v>
      </c>
      <c r="H18103" s="8">
        <v>322</v>
      </c>
    </row>
    <row r="18104" spans="2:8" ht="15" customHeight="1" x14ac:dyDescent="0.4">
      <c r="B18104" t="s">
        <v>7</v>
      </c>
      <c r="C18104" t="s">
        <v>2950</v>
      </c>
      <c r="D18104" s="7">
        <f>DATE(2011,6,2)</f>
        <v>40696</v>
      </c>
      <c r="E18104" s="8">
        <f t="shared" si="296"/>
        <v>2011</v>
      </c>
      <c r="F18104" t="s">
        <v>2952</v>
      </c>
      <c r="G18104" s="9">
        <v>28571.25</v>
      </c>
      <c r="H18104" s="8">
        <v>10771</v>
      </c>
    </row>
    <row r="18105" spans="2:8" ht="15" customHeight="1" x14ac:dyDescent="0.4">
      <c r="B18105" t="s">
        <v>7</v>
      </c>
      <c r="C18105" t="s">
        <v>2950</v>
      </c>
      <c r="D18105" s="7">
        <f>DATE(2013,8,2)</f>
        <v>41488</v>
      </c>
      <c r="E18105" s="8">
        <f t="shared" si="296"/>
        <v>2013</v>
      </c>
      <c r="F18105" t="s">
        <v>2952</v>
      </c>
      <c r="G18105" s="9">
        <v>6608.42</v>
      </c>
      <c r="H18105" s="8">
        <v>12435</v>
      </c>
    </row>
    <row r="18106" spans="2:8" ht="15" customHeight="1" x14ac:dyDescent="0.4">
      <c r="B18106" s="3" t="s">
        <v>7</v>
      </c>
      <c r="C18106" s="3" t="s">
        <v>2950</v>
      </c>
      <c r="D18106" s="4">
        <f>DATE(2003,5,9)</f>
        <v>37750</v>
      </c>
      <c r="E18106" s="5">
        <f t="shared" si="296"/>
        <v>2003</v>
      </c>
      <c r="F18106" s="3" t="s">
        <v>2952</v>
      </c>
      <c r="G18106" s="6">
        <v>28414.25</v>
      </c>
      <c r="H18106" s="5">
        <v>864</v>
      </c>
    </row>
    <row r="18107" spans="2:8" ht="15" customHeight="1" x14ac:dyDescent="0.4">
      <c r="B18107" s="3" t="s">
        <v>7</v>
      </c>
      <c r="C18107" s="3" t="s">
        <v>2950</v>
      </c>
      <c r="D18107" s="4">
        <f>DATE(2003,12,15)</f>
        <v>37970</v>
      </c>
      <c r="E18107" s="5">
        <f t="shared" si="296"/>
        <v>2003</v>
      </c>
      <c r="F18107" s="3" t="s">
        <v>2952</v>
      </c>
      <c r="G18107" s="6">
        <v>517</v>
      </c>
      <c r="H18107" s="5">
        <v>1890</v>
      </c>
    </row>
    <row r="18108" spans="2:8" ht="15" customHeight="1" x14ac:dyDescent="0.4">
      <c r="B18108" s="3" t="s">
        <v>7</v>
      </c>
      <c r="C18108" s="3" t="s">
        <v>2950</v>
      </c>
      <c r="D18108" s="4">
        <f>DATE(2005,3,21)</f>
        <v>38432</v>
      </c>
      <c r="E18108" s="5">
        <f t="shared" si="296"/>
        <v>2005</v>
      </c>
      <c r="F18108" s="3" t="s">
        <v>2952</v>
      </c>
      <c r="G18108" s="6">
        <v>171</v>
      </c>
      <c r="H18108" s="5">
        <v>4384</v>
      </c>
    </row>
    <row r="18109" spans="2:8" ht="15" customHeight="1" x14ac:dyDescent="0.4">
      <c r="B18109" s="3" t="s">
        <v>7</v>
      </c>
      <c r="C18109" s="3" t="s">
        <v>2950</v>
      </c>
      <c r="D18109" s="4">
        <f>DATE(2006,1,25)</f>
        <v>38742</v>
      </c>
      <c r="E18109" s="5">
        <f t="shared" si="296"/>
        <v>2006</v>
      </c>
      <c r="F18109" s="3" t="s">
        <v>2952</v>
      </c>
      <c r="G18109" s="6">
        <v>3237.6</v>
      </c>
      <c r="H18109" s="5">
        <v>5906</v>
      </c>
    </row>
    <row r="18110" spans="2:8" ht="15" customHeight="1" x14ac:dyDescent="0.4">
      <c r="B18110" s="3" t="s">
        <v>7</v>
      </c>
      <c r="C18110" s="3" t="s">
        <v>2950</v>
      </c>
      <c r="D18110" s="4">
        <f>DATE(2007,3,1)</f>
        <v>39142</v>
      </c>
      <c r="E18110" s="5">
        <f t="shared" si="296"/>
        <v>2007</v>
      </c>
      <c r="F18110" s="3" t="s">
        <v>2952</v>
      </c>
      <c r="G18110" s="6">
        <v>1728</v>
      </c>
      <c r="H18110" s="5">
        <v>8046</v>
      </c>
    </row>
    <row r="18111" spans="2:8" ht="15" customHeight="1" x14ac:dyDescent="0.4">
      <c r="B18111" s="3" t="s">
        <v>7</v>
      </c>
      <c r="C18111" s="3" t="s">
        <v>2950</v>
      </c>
      <c r="D18111" s="4">
        <f>DATE(2007,3,13)</f>
        <v>39154</v>
      </c>
      <c r="E18111" s="5">
        <f t="shared" si="296"/>
        <v>2007</v>
      </c>
      <c r="F18111" s="3" t="s">
        <v>2952</v>
      </c>
      <c r="G18111" s="6">
        <v>35000</v>
      </c>
      <c r="H18111" s="5">
        <v>8142</v>
      </c>
    </row>
    <row r="18112" spans="2:8" ht="15" customHeight="1" x14ac:dyDescent="0.4">
      <c r="B18112" s="3" t="s">
        <v>7</v>
      </c>
      <c r="C18112" s="3" t="s">
        <v>2950</v>
      </c>
      <c r="D18112" s="4">
        <f>DATE(2007,3,14)</f>
        <v>39155</v>
      </c>
      <c r="E18112" s="5">
        <f t="shared" si="296"/>
        <v>2007</v>
      </c>
      <c r="F18112" s="3" t="s">
        <v>2952</v>
      </c>
      <c r="G18112" s="6">
        <v>662.26</v>
      </c>
      <c r="H18112" s="5">
        <v>8147</v>
      </c>
    </row>
    <row r="18113" spans="2:8" ht="15" customHeight="1" x14ac:dyDescent="0.4">
      <c r="B18113" s="3" t="s">
        <v>7</v>
      </c>
      <c r="C18113" s="3" t="s">
        <v>2950</v>
      </c>
      <c r="D18113" s="4">
        <f>DATE(2008,6,23)</f>
        <v>39622</v>
      </c>
      <c r="E18113" s="5">
        <f t="shared" si="296"/>
        <v>2008</v>
      </c>
      <c r="F18113" s="3" t="s">
        <v>2952</v>
      </c>
      <c r="G18113" s="6">
        <v>1892</v>
      </c>
      <c r="H18113" s="5">
        <v>10795</v>
      </c>
    </row>
    <row r="18114" spans="2:8" ht="15" customHeight="1" x14ac:dyDescent="0.4">
      <c r="B18114" s="3" t="s">
        <v>7</v>
      </c>
      <c r="C18114" s="3" t="s">
        <v>2950</v>
      </c>
      <c r="D18114" s="4">
        <f>DATE(2009,3,11)</f>
        <v>39883</v>
      </c>
      <c r="E18114" s="5">
        <f t="shared" si="296"/>
        <v>2009</v>
      </c>
      <c r="F18114" s="3" t="s">
        <v>2952</v>
      </c>
      <c r="G18114" s="6">
        <v>236.43</v>
      </c>
      <c r="H18114" s="5">
        <v>12169</v>
      </c>
    </row>
    <row r="18115" spans="2:8" ht="15" customHeight="1" x14ac:dyDescent="0.4">
      <c r="B18115" s="3" t="s">
        <v>7</v>
      </c>
      <c r="C18115" s="3" t="s">
        <v>2950</v>
      </c>
      <c r="D18115" s="4">
        <f>DATE(2009,4,15)</f>
        <v>39918</v>
      </c>
      <c r="E18115" s="5">
        <f t="shared" ref="E18115:E18178" si="297">YEAR(D18115)</f>
        <v>2009</v>
      </c>
      <c r="F18115" s="3" t="s">
        <v>2952</v>
      </c>
      <c r="G18115" s="6">
        <v>1224.75</v>
      </c>
      <c r="H18115" s="5">
        <v>12395</v>
      </c>
    </row>
    <row r="18116" spans="2:8" ht="15" customHeight="1" x14ac:dyDescent="0.4">
      <c r="B18116" s="3" t="s">
        <v>7</v>
      </c>
      <c r="C18116" s="3" t="s">
        <v>2950</v>
      </c>
      <c r="D18116" s="4">
        <f>DATE(2009,4,15)</f>
        <v>39918</v>
      </c>
      <c r="E18116" s="5">
        <f t="shared" si="297"/>
        <v>2009</v>
      </c>
      <c r="F18116" s="3" t="s">
        <v>2952</v>
      </c>
      <c r="G18116" s="6">
        <v>50321.25</v>
      </c>
      <c r="H18116" s="5">
        <v>12365</v>
      </c>
    </row>
    <row r="18117" spans="2:8" ht="15" customHeight="1" x14ac:dyDescent="0.4">
      <c r="B18117" s="3" t="s">
        <v>7</v>
      </c>
      <c r="C18117" s="3" t="s">
        <v>2950</v>
      </c>
      <c r="D18117" s="4">
        <f>DATE(2009,6,26)</f>
        <v>39990</v>
      </c>
      <c r="E18117" s="5">
        <f t="shared" si="297"/>
        <v>2009</v>
      </c>
      <c r="F18117" s="3" t="s">
        <v>2952</v>
      </c>
      <c r="G18117" s="6">
        <v>6688.2</v>
      </c>
      <c r="H18117" s="5">
        <v>12732</v>
      </c>
    </row>
    <row r="18118" spans="2:8" ht="15" customHeight="1" x14ac:dyDescent="0.4">
      <c r="B18118" s="3" t="s">
        <v>7</v>
      </c>
      <c r="C18118" s="3" t="s">
        <v>2950</v>
      </c>
      <c r="D18118" s="4">
        <f>DATE(2010,1,21)</f>
        <v>40199</v>
      </c>
      <c r="E18118" s="5">
        <f t="shared" si="297"/>
        <v>2010</v>
      </c>
      <c r="F18118" s="3" t="s">
        <v>2952</v>
      </c>
      <c r="G18118" s="6">
        <v>614.54</v>
      </c>
      <c r="H18118" s="5">
        <v>13415</v>
      </c>
    </row>
    <row r="18119" spans="2:8" ht="15" customHeight="1" x14ac:dyDescent="0.4">
      <c r="B18119" s="3" t="s">
        <v>7</v>
      </c>
      <c r="C18119" s="3" t="s">
        <v>2950</v>
      </c>
      <c r="D18119" s="4">
        <f>DATE(2010,9,13)</f>
        <v>40434</v>
      </c>
      <c r="E18119" s="5">
        <f t="shared" si="297"/>
        <v>2010</v>
      </c>
      <c r="F18119" s="3" t="s">
        <v>2952</v>
      </c>
      <c r="G18119" s="6">
        <v>406.13</v>
      </c>
      <c r="H18119" s="5">
        <v>14496</v>
      </c>
    </row>
    <row r="18120" spans="2:8" ht="15" customHeight="1" x14ac:dyDescent="0.4">
      <c r="B18120" s="3" t="s">
        <v>7</v>
      </c>
      <c r="C18120" s="3" t="s">
        <v>2950</v>
      </c>
      <c r="D18120" s="4">
        <f>DATE(2010,9,15)</f>
        <v>40436</v>
      </c>
      <c r="E18120" s="5">
        <f t="shared" si="297"/>
        <v>2010</v>
      </c>
      <c r="F18120" s="3" t="s">
        <v>2952</v>
      </c>
      <c r="G18120" s="6">
        <v>12771.57</v>
      </c>
      <c r="H18120" s="5">
        <v>14434</v>
      </c>
    </row>
    <row r="18121" spans="2:8" ht="15" customHeight="1" x14ac:dyDescent="0.4">
      <c r="B18121" s="3" t="s">
        <v>7</v>
      </c>
      <c r="C18121" s="3" t="s">
        <v>2950</v>
      </c>
      <c r="D18121" s="4">
        <f>DATE(2011,3,10)</f>
        <v>40612</v>
      </c>
      <c r="E18121" s="5">
        <f t="shared" si="297"/>
        <v>2011</v>
      </c>
      <c r="F18121" s="3" t="s">
        <v>2952</v>
      </c>
      <c r="G18121" s="6">
        <v>14962.5</v>
      </c>
      <c r="H18121" s="5">
        <v>15140</v>
      </c>
    </row>
    <row r="18122" spans="2:8" ht="15" customHeight="1" x14ac:dyDescent="0.4">
      <c r="B18122" s="3" t="s">
        <v>7</v>
      </c>
      <c r="C18122" s="3" t="s">
        <v>2950</v>
      </c>
      <c r="D18122" s="4">
        <f>DATE(2011,3,15)</f>
        <v>40617</v>
      </c>
      <c r="E18122" s="5">
        <f t="shared" si="297"/>
        <v>2011</v>
      </c>
      <c r="F18122" s="3" t="s">
        <v>2952</v>
      </c>
      <c r="G18122" s="6">
        <v>28054.69</v>
      </c>
      <c r="H18122" s="5">
        <v>15140</v>
      </c>
    </row>
    <row r="18123" spans="2:8" ht="15" customHeight="1" x14ac:dyDescent="0.4">
      <c r="B18123" s="3" t="s">
        <v>7</v>
      </c>
      <c r="C18123" s="3" t="s">
        <v>2950</v>
      </c>
      <c r="D18123" s="4">
        <f>DATE(2011,5,13)</f>
        <v>40676</v>
      </c>
      <c r="E18123" s="5">
        <f t="shared" si="297"/>
        <v>2011</v>
      </c>
      <c r="F18123" s="3" t="s">
        <v>2952</v>
      </c>
      <c r="G18123" s="6">
        <v>213.75</v>
      </c>
      <c r="H18123" s="5">
        <v>15579</v>
      </c>
    </row>
    <row r="18124" spans="2:8" ht="15" customHeight="1" x14ac:dyDescent="0.4">
      <c r="B18124" s="3" t="s">
        <v>7</v>
      </c>
      <c r="C18124" s="3" t="s">
        <v>2950</v>
      </c>
      <c r="D18124" s="4">
        <f>DATE(2013,3,13)</f>
        <v>41346</v>
      </c>
      <c r="E18124" s="5">
        <f t="shared" si="297"/>
        <v>2013</v>
      </c>
      <c r="F18124" s="3" t="s">
        <v>2952</v>
      </c>
      <c r="G18124" s="6">
        <v>14962.5</v>
      </c>
      <c r="H18124" s="5">
        <v>18304</v>
      </c>
    </row>
    <row r="18125" spans="2:8" ht="15" customHeight="1" x14ac:dyDescent="0.4">
      <c r="B18125" s="3" t="s">
        <v>7</v>
      </c>
      <c r="C18125" s="3" t="s">
        <v>2950</v>
      </c>
      <c r="D18125" s="4">
        <f>DATE(2013,3,13)</f>
        <v>41346</v>
      </c>
      <c r="E18125" s="5">
        <f t="shared" si="297"/>
        <v>2013</v>
      </c>
      <c r="F18125" s="3" t="s">
        <v>2952</v>
      </c>
      <c r="G18125" s="6">
        <v>25062.19</v>
      </c>
      <c r="H18125" s="5">
        <v>18306</v>
      </c>
    </row>
    <row r="18126" spans="2:8" ht="15" customHeight="1" x14ac:dyDescent="0.4">
      <c r="B18126" s="3" t="s">
        <v>7</v>
      </c>
      <c r="C18126" s="3" t="s">
        <v>2950</v>
      </c>
      <c r="D18126" s="4">
        <f>DATE(2013,3,21)</f>
        <v>41354</v>
      </c>
      <c r="E18126" s="5">
        <f t="shared" si="297"/>
        <v>2013</v>
      </c>
      <c r="F18126" s="3" t="s">
        <v>2952</v>
      </c>
      <c r="G18126" s="6">
        <v>1015.31</v>
      </c>
      <c r="H18126" s="5">
        <v>18333</v>
      </c>
    </row>
    <row r="18127" spans="2:8" ht="15" customHeight="1" x14ac:dyDescent="0.4">
      <c r="B18127" s="3" t="s">
        <v>7</v>
      </c>
      <c r="C18127" s="3" t="s">
        <v>2950</v>
      </c>
      <c r="D18127" s="4">
        <f>DATE(2014,10,16)</f>
        <v>41928</v>
      </c>
      <c r="E18127" s="5">
        <f t="shared" si="297"/>
        <v>2014</v>
      </c>
      <c r="F18127" s="3" t="s">
        <v>2952</v>
      </c>
      <c r="G18127" s="6">
        <v>21161.25</v>
      </c>
      <c r="H18127" s="5">
        <v>20505</v>
      </c>
    </row>
    <row r="18128" spans="2:8" ht="15" customHeight="1" x14ac:dyDescent="0.4">
      <c r="B18128" s="3" t="s">
        <v>16</v>
      </c>
      <c r="C18128" s="3" t="s">
        <v>2950</v>
      </c>
      <c r="D18128" s="4">
        <f>DATE(2006,1,25)</f>
        <v>38742</v>
      </c>
      <c r="E18128" s="5">
        <f t="shared" si="297"/>
        <v>2006</v>
      </c>
      <c r="F18128" s="3" t="s">
        <v>2952</v>
      </c>
      <c r="G18128" s="6">
        <v>197.6</v>
      </c>
      <c r="H18128" s="5">
        <v>6348</v>
      </c>
    </row>
    <row r="18129" spans="2:8" ht="15" customHeight="1" x14ac:dyDescent="0.4">
      <c r="B18129" t="s">
        <v>7</v>
      </c>
      <c r="C18129" t="s">
        <v>2660</v>
      </c>
      <c r="D18129" s="7">
        <f>DATE(2017,6,16)</f>
        <v>42902</v>
      </c>
      <c r="E18129" s="8">
        <f t="shared" si="297"/>
        <v>2017</v>
      </c>
      <c r="F18129" t="s">
        <v>2953</v>
      </c>
      <c r="G18129" s="9">
        <v>2092</v>
      </c>
      <c r="H18129" s="8">
        <v>25107</v>
      </c>
    </row>
    <row r="18130" spans="2:8" ht="15" customHeight="1" x14ac:dyDescent="0.4">
      <c r="B18130" t="s">
        <v>7</v>
      </c>
      <c r="C18130" t="s">
        <v>2660</v>
      </c>
      <c r="D18130" s="7">
        <f>DATE(2003,3,17)</f>
        <v>37697</v>
      </c>
      <c r="E18130" s="8">
        <f t="shared" si="297"/>
        <v>2003</v>
      </c>
      <c r="F18130" t="s">
        <v>2953</v>
      </c>
      <c r="G18130" s="9">
        <v>20957.8</v>
      </c>
      <c r="H18130" s="8">
        <v>328</v>
      </c>
    </row>
    <row r="18131" spans="2:8" ht="15" customHeight="1" x14ac:dyDescent="0.4">
      <c r="B18131" t="s">
        <v>7</v>
      </c>
      <c r="C18131" t="s">
        <v>2660</v>
      </c>
      <c r="D18131" s="7">
        <f>DATE(2003,3,25)</f>
        <v>37705</v>
      </c>
      <c r="E18131" s="8">
        <f t="shared" si="297"/>
        <v>2003</v>
      </c>
      <c r="F18131" t="s">
        <v>2953</v>
      </c>
      <c r="G18131" s="9">
        <v>37098.629999999997</v>
      </c>
      <c r="H18131" s="8">
        <v>388</v>
      </c>
    </row>
    <row r="18132" spans="2:8" ht="15" customHeight="1" x14ac:dyDescent="0.4">
      <c r="B18132" t="s">
        <v>7</v>
      </c>
      <c r="C18132" t="s">
        <v>2660</v>
      </c>
      <c r="D18132" s="7">
        <f>DATE(2003,4,19)</f>
        <v>37730</v>
      </c>
      <c r="E18132" s="8">
        <f t="shared" si="297"/>
        <v>2003</v>
      </c>
      <c r="F18132" t="s">
        <v>2953</v>
      </c>
      <c r="G18132" s="9">
        <v>17507</v>
      </c>
      <c r="H18132" s="8">
        <v>458</v>
      </c>
    </row>
    <row r="18133" spans="2:8" ht="15" customHeight="1" x14ac:dyDescent="0.4">
      <c r="B18133" t="s">
        <v>7</v>
      </c>
      <c r="C18133" t="s">
        <v>2660</v>
      </c>
      <c r="D18133" s="7">
        <f>DATE(2003,7,31)</f>
        <v>37833</v>
      </c>
      <c r="E18133" s="8">
        <f t="shared" si="297"/>
        <v>2003</v>
      </c>
      <c r="F18133" t="s">
        <v>2953</v>
      </c>
      <c r="G18133" s="9">
        <v>36187.800000000003</v>
      </c>
      <c r="H18133" s="8">
        <v>770</v>
      </c>
    </row>
    <row r="18134" spans="2:8" ht="15" customHeight="1" x14ac:dyDescent="0.4">
      <c r="B18134" t="s">
        <v>7</v>
      </c>
      <c r="C18134" t="s">
        <v>2660</v>
      </c>
      <c r="D18134" s="7">
        <f>DATE(2004,3,20)</f>
        <v>38066</v>
      </c>
      <c r="E18134" s="8">
        <f t="shared" si="297"/>
        <v>2004</v>
      </c>
      <c r="F18134" t="s">
        <v>2953</v>
      </c>
      <c r="G18134" s="9">
        <v>21167.8</v>
      </c>
      <c r="H18134" s="8">
        <v>1341</v>
      </c>
    </row>
    <row r="18135" spans="2:8" ht="15" customHeight="1" x14ac:dyDescent="0.4">
      <c r="B18135" t="s">
        <v>7</v>
      </c>
      <c r="C18135" t="s">
        <v>2660</v>
      </c>
      <c r="D18135" s="7">
        <f>DATE(2004,3,21)</f>
        <v>38067</v>
      </c>
      <c r="E18135" s="8">
        <f t="shared" si="297"/>
        <v>2004</v>
      </c>
      <c r="F18135" t="s">
        <v>2953</v>
      </c>
      <c r="G18135" s="9">
        <v>29441.599999999999</v>
      </c>
      <c r="H18135" s="8">
        <v>1342</v>
      </c>
    </row>
    <row r="18136" spans="2:8" ht="15" customHeight="1" x14ac:dyDescent="0.4">
      <c r="B18136" t="s">
        <v>7</v>
      </c>
      <c r="C18136" t="s">
        <v>2660</v>
      </c>
      <c r="D18136" s="7">
        <f>DATE(2004,5,14)</f>
        <v>38121</v>
      </c>
      <c r="E18136" s="8">
        <f t="shared" si="297"/>
        <v>2004</v>
      </c>
      <c r="F18136" t="s">
        <v>2953</v>
      </c>
      <c r="G18136" s="9">
        <v>21940.6</v>
      </c>
      <c r="H18136" s="8">
        <v>1315</v>
      </c>
    </row>
    <row r="18137" spans="2:8" ht="15" customHeight="1" x14ac:dyDescent="0.4">
      <c r="B18137" t="s">
        <v>7</v>
      </c>
      <c r="C18137" t="s">
        <v>2660</v>
      </c>
      <c r="D18137" s="7">
        <f>DATE(2005,2,2)</f>
        <v>38385</v>
      </c>
      <c r="E18137" s="8">
        <f t="shared" si="297"/>
        <v>2005</v>
      </c>
      <c r="F18137" t="s">
        <v>2953</v>
      </c>
      <c r="G18137" s="9">
        <v>32443.47</v>
      </c>
      <c r="H18137" s="8">
        <v>2599</v>
      </c>
    </row>
    <row r="18138" spans="2:8" ht="15" customHeight="1" x14ac:dyDescent="0.4">
      <c r="B18138" t="s">
        <v>7</v>
      </c>
      <c r="C18138" t="s">
        <v>2660</v>
      </c>
      <c r="D18138" s="7">
        <f>DATE(2005,4,14)</f>
        <v>38456</v>
      </c>
      <c r="E18138" s="8">
        <f t="shared" si="297"/>
        <v>2005</v>
      </c>
      <c r="F18138" t="s">
        <v>2953</v>
      </c>
      <c r="G18138" s="9">
        <v>35755.599999999999</v>
      </c>
      <c r="H18138" s="8">
        <v>3053</v>
      </c>
    </row>
    <row r="18139" spans="2:8" ht="15" customHeight="1" x14ac:dyDescent="0.4">
      <c r="B18139" t="s">
        <v>7</v>
      </c>
      <c r="C18139" t="s">
        <v>2660</v>
      </c>
      <c r="D18139" s="7">
        <f>DATE(2005,4,22)</f>
        <v>38464</v>
      </c>
      <c r="E18139" s="8">
        <f t="shared" si="297"/>
        <v>2005</v>
      </c>
      <c r="F18139" t="s">
        <v>2953</v>
      </c>
      <c r="G18139" s="9">
        <v>52088.3</v>
      </c>
      <c r="H18139" s="8">
        <v>2821</v>
      </c>
    </row>
    <row r="18140" spans="2:8" ht="15" customHeight="1" x14ac:dyDescent="0.4">
      <c r="B18140" t="s">
        <v>7</v>
      </c>
      <c r="C18140" t="s">
        <v>2660</v>
      </c>
      <c r="D18140" s="7">
        <f>DATE(2005,4,25)</f>
        <v>38467</v>
      </c>
      <c r="E18140" s="8">
        <f t="shared" si="297"/>
        <v>2005</v>
      </c>
      <c r="F18140" t="s">
        <v>2953</v>
      </c>
      <c r="G18140" s="9">
        <v>17705</v>
      </c>
      <c r="H18140" s="8">
        <v>3039</v>
      </c>
    </row>
    <row r="18141" spans="2:8" ht="15" customHeight="1" x14ac:dyDescent="0.4">
      <c r="B18141" t="s">
        <v>7</v>
      </c>
      <c r="C18141" t="s">
        <v>2660</v>
      </c>
      <c r="D18141" s="7">
        <f>DATE(2005,4,26)</f>
        <v>38468</v>
      </c>
      <c r="E18141" s="8">
        <f t="shared" si="297"/>
        <v>2005</v>
      </c>
      <c r="F18141" t="s">
        <v>2953</v>
      </c>
      <c r="G18141" s="9">
        <v>1000</v>
      </c>
      <c r="H18141" s="8">
        <v>3196</v>
      </c>
    </row>
    <row r="18142" spans="2:8" ht="15" customHeight="1" x14ac:dyDescent="0.4">
      <c r="B18142" t="s">
        <v>7</v>
      </c>
      <c r="C18142" t="s">
        <v>2660</v>
      </c>
      <c r="D18142" s="7">
        <f>DATE(2005,8,14)</f>
        <v>38578</v>
      </c>
      <c r="E18142" s="8">
        <f t="shared" si="297"/>
        <v>2005</v>
      </c>
      <c r="F18142" t="s">
        <v>2953</v>
      </c>
      <c r="G18142" s="9">
        <v>18940</v>
      </c>
      <c r="H18142" s="8">
        <v>3478</v>
      </c>
    </row>
    <row r="18143" spans="2:8" ht="15" customHeight="1" x14ac:dyDescent="0.4">
      <c r="B18143" t="s">
        <v>7</v>
      </c>
      <c r="C18143" t="s">
        <v>2660</v>
      </c>
      <c r="D18143" s="7">
        <f>DATE(2005,10,3)</f>
        <v>38628</v>
      </c>
      <c r="E18143" s="8">
        <f t="shared" si="297"/>
        <v>2005</v>
      </c>
      <c r="F18143" t="s">
        <v>2953</v>
      </c>
      <c r="G18143" s="9">
        <v>37439.71</v>
      </c>
      <c r="H18143" s="8">
        <v>3638</v>
      </c>
    </row>
    <row r="18144" spans="2:8" ht="15" customHeight="1" x14ac:dyDescent="0.4">
      <c r="B18144" t="s">
        <v>7</v>
      </c>
      <c r="C18144" t="s">
        <v>2660</v>
      </c>
      <c r="D18144" s="7">
        <f>DATE(2006,2,17)</f>
        <v>38765</v>
      </c>
      <c r="E18144" s="8">
        <f t="shared" si="297"/>
        <v>2006</v>
      </c>
      <c r="F18144" t="s">
        <v>2953</v>
      </c>
      <c r="G18144" s="9">
        <v>33075.660000000003</v>
      </c>
      <c r="H18144" s="8">
        <v>4136</v>
      </c>
    </row>
    <row r="18145" spans="2:8" ht="15" customHeight="1" x14ac:dyDescent="0.4">
      <c r="B18145" t="s">
        <v>7</v>
      </c>
      <c r="C18145" t="s">
        <v>2660</v>
      </c>
      <c r="D18145" s="7">
        <f>DATE(2006,4,24)</f>
        <v>38831</v>
      </c>
      <c r="E18145" s="8">
        <f t="shared" si="297"/>
        <v>2006</v>
      </c>
      <c r="F18145" t="s">
        <v>2953</v>
      </c>
      <c r="G18145" s="9">
        <v>22835.599999999999</v>
      </c>
      <c r="H18145" s="8">
        <v>4070</v>
      </c>
    </row>
    <row r="18146" spans="2:8" ht="15" customHeight="1" x14ac:dyDescent="0.4">
      <c r="B18146" t="s">
        <v>7</v>
      </c>
      <c r="C18146" t="s">
        <v>2660</v>
      </c>
      <c r="D18146" s="7">
        <f>DATE(2006,4,21)</f>
        <v>38828</v>
      </c>
      <c r="E18146" s="8">
        <f t="shared" si="297"/>
        <v>2006</v>
      </c>
      <c r="F18146" t="s">
        <v>2953</v>
      </c>
      <c r="G18146" s="9">
        <v>57201.02</v>
      </c>
      <c r="H18146" s="8">
        <v>4281</v>
      </c>
    </row>
    <row r="18147" spans="2:8" ht="15" customHeight="1" x14ac:dyDescent="0.4">
      <c r="B18147" t="s">
        <v>7</v>
      </c>
      <c r="C18147" t="s">
        <v>2660</v>
      </c>
      <c r="D18147" s="7">
        <f>DATE(2006,5,2)</f>
        <v>38839</v>
      </c>
      <c r="E18147" s="8">
        <f t="shared" si="297"/>
        <v>2006</v>
      </c>
      <c r="F18147" t="s">
        <v>2953</v>
      </c>
      <c r="G18147" s="9">
        <v>29963.24</v>
      </c>
      <c r="H18147" s="8">
        <v>4282</v>
      </c>
    </row>
    <row r="18148" spans="2:8" ht="15" customHeight="1" x14ac:dyDescent="0.4">
      <c r="B18148" t="s">
        <v>7</v>
      </c>
      <c r="C18148" t="s">
        <v>2660</v>
      </c>
      <c r="D18148" s="7">
        <f>DATE(2006,5,9)</f>
        <v>38846</v>
      </c>
      <c r="E18148" s="8">
        <f t="shared" si="297"/>
        <v>2006</v>
      </c>
      <c r="F18148" t="s">
        <v>2953</v>
      </c>
      <c r="G18148" s="9">
        <v>81685.84</v>
      </c>
      <c r="H18148" s="8">
        <v>4283</v>
      </c>
    </row>
    <row r="18149" spans="2:8" ht="15" customHeight="1" x14ac:dyDescent="0.4">
      <c r="B18149" t="s">
        <v>7</v>
      </c>
      <c r="C18149" t="s">
        <v>2660</v>
      </c>
      <c r="D18149" s="7">
        <f>DATE(2006,10,31)</f>
        <v>39021</v>
      </c>
      <c r="E18149" s="8">
        <f t="shared" si="297"/>
        <v>2006</v>
      </c>
      <c r="F18149" t="s">
        <v>2953</v>
      </c>
      <c r="G18149" s="9">
        <v>22131.279999999999</v>
      </c>
      <c r="H18149" s="8">
        <v>5126</v>
      </c>
    </row>
    <row r="18150" spans="2:8" ht="15" customHeight="1" x14ac:dyDescent="0.4">
      <c r="B18150" t="s">
        <v>7</v>
      </c>
      <c r="C18150" t="s">
        <v>2660</v>
      </c>
      <c r="D18150" s="7">
        <f>DATE(2007,3,31)</f>
        <v>39172</v>
      </c>
      <c r="E18150" s="8">
        <f t="shared" si="297"/>
        <v>2007</v>
      </c>
      <c r="F18150" t="s">
        <v>2953</v>
      </c>
      <c r="G18150" s="9">
        <v>66626.2</v>
      </c>
      <c r="H18150" s="8">
        <v>5428</v>
      </c>
    </row>
    <row r="18151" spans="2:8" ht="15" customHeight="1" x14ac:dyDescent="0.4">
      <c r="B18151" t="s">
        <v>7</v>
      </c>
      <c r="C18151" t="s">
        <v>2660</v>
      </c>
      <c r="D18151" s="7">
        <f>DATE(2007,3,23)</f>
        <v>39164</v>
      </c>
      <c r="E18151" s="8">
        <f t="shared" si="297"/>
        <v>2007</v>
      </c>
      <c r="F18151" t="s">
        <v>2953</v>
      </c>
      <c r="G18151" s="9">
        <v>12088.35</v>
      </c>
      <c r="H18151" s="8">
        <v>5726</v>
      </c>
    </row>
    <row r="18152" spans="2:8" ht="15" customHeight="1" x14ac:dyDescent="0.4">
      <c r="B18152" t="s">
        <v>7</v>
      </c>
      <c r="C18152" t="s">
        <v>2660</v>
      </c>
      <c r="D18152" s="7">
        <f>DATE(2007,4,6)</f>
        <v>39178</v>
      </c>
      <c r="E18152" s="8">
        <f t="shared" si="297"/>
        <v>2007</v>
      </c>
      <c r="F18152" t="s">
        <v>2953</v>
      </c>
      <c r="G18152" s="9">
        <v>27135</v>
      </c>
      <c r="H18152" s="8">
        <v>5675</v>
      </c>
    </row>
    <row r="18153" spans="2:8" ht="15" customHeight="1" x14ac:dyDescent="0.4">
      <c r="B18153" t="s">
        <v>7</v>
      </c>
      <c r="C18153" t="s">
        <v>2660</v>
      </c>
      <c r="D18153" s="7">
        <f>DATE(2007,5,18)</f>
        <v>39220</v>
      </c>
      <c r="E18153" s="8">
        <f t="shared" si="297"/>
        <v>2007</v>
      </c>
      <c r="F18153" t="s">
        <v>2953</v>
      </c>
      <c r="G18153" s="9">
        <v>48646.6</v>
      </c>
      <c r="H18153" s="8">
        <v>5363</v>
      </c>
    </row>
    <row r="18154" spans="2:8" ht="15" customHeight="1" x14ac:dyDescent="0.4">
      <c r="B18154" t="s">
        <v>7</v>
      </c>
      <c r="C18154" t="s">
        <v>2660</v>
      </c>
      <c r="D18154" s="7">
        <f>DATE(2007,10,23)</f>
        <v>39378</v>
      </c>
      <c r="E18154" s="8">
        <f t="shared" si="297"/>
        <v>2007</v>
      </c>
      <c r="F18154" t="s">
        <v>2953</v>
      </c>
      <c r="G18154" s="9">
        <v>4880.43</v>
      </c>
      <c r="H18154" s="8">
        <v>6526</v>
      </c>
    </row>
    <row r="18155" spans="2:8" ht="15" customHeight="1" x14ac:dyDescent="0.4">
      <c r="B18155" t="s">
        <v>7</v>
      </c>
      <c r="C18155" t="s">
        <v>2660</v>
      </c>
      <c r="D18155" s="7">
        <f>DATE(2008,3,30)</f>
        <v>39537</v>
      </c>
      <c r="E18155" s="8">
        <f t="shared" si="297"/>
        <v>2008</v>
      </c>
      <c r="F18155" t="s">
        <v>2953</v>
      </c>
      <c r="G18155" s="9">
        <v>11048.04</v>
      </c>
      <c r="H18155" s="8">
        <v>7204</v>
      </c>
    </row>
    <row r="18156" spans="2:8" ht="15" customHeight="1" x14ac:dyDescent="0.4">
      <c r="B18156" t="s">
        <v>7</v>
      </c>
      <c r="C18156" t="s">
        <v>2660</v>
      </c>
      <c r="D18156" s="7">
        <f>DATE(2008,4,16)</f>
        <v>39554</v>
      </c>
      <c r="E18156" s="8">
        <f t="shared" si="297"/>
        <v>2008</v>
      </c>
      <c r="F18156" t="s">
        <v>2953</v>
      </c>
      <c r="G18156" s="9">
        <v>40730.800000000003</v>
      </c>
      <c r="H18156" s="8">
        <v>6875</v>
      </c>
    </row>
    <row r="18157" spans="2:8" ht="15" customHeight="1" x14ac:dyDescent="0.4">
      <c r="B18157" t="s">
        <v>7</v>
      </c>
      <c r="C18157" t="s">
        <v>2660</v>
      </c>
      <c r="D18157" s="7">
        <f>DATE(2009,5,19)</f>
        <v>39952</v>
      </c>
      <c r="E18157" s="8">
        <f t="shared" si="297"/>
        <v>2009</v>
      </c>
      <c r="F18157" t="s">
        <v>2953</v>
      </c>
      <c r="G18157" s="9">
        <v>59231.6</v>
      </c>
      <c r="H18157" s="8">
        <v>8343</v>
      </c>
    </row>
    <row r="18158" spans="2:8" ht="15" customHeight="1" x14ac:dyDescent="0.4">
      <c r="B18158" t="s">
        <v>7</v>
      </c>
      <c r="C18158" t="s">
        <v>2660</v>
      </c>
      <c r="D18158" s="7">
        <f>DATE(2009,6,18)</f>
        <v>39982</v>
      </c>
      <c r="E18158" s="8">
        <f t="shared" si="297"/>
        <v>2009</v>
      </c>
      <c r="F18158" t="s">
        <v>2953</v>
      </c>
      <c r="G18158" s="9">
        <v>16516.62</v>
      </c>
      <c r="H18158" s="8">
        <v>8400</v>
      </c>
    </row>
    <row r="18159" spans="2:8" ht="15" customHeight="1" x14ac:dyDescent="0.4">
      <c r="B18159" t="s">
        <v>7</v>
      </c>
      <c r="C18159" t="s">
        <v>2660</v>
      </c>
      <c r="D18159" s="7">
        <f>DATE(2009,6,18)</f>
        <v>39982</v>
      </c>
      <c r="E18159" s="8">
        <f t="shared" si="297"/>
        <v>2009</v>
      </c>
      <c r="F18159" t="s">
        <v>2953</v>
      </c>
      <c r="G18159" s="9">
        <v>28313.11</v>
      </c>
      <c r="H18159" s="8">
        <v>8402</v>
      </c>
    </row>
    <row r="18160" spans="2:8" ht="15" customHeight="1" x14ac:dyDescent="0.4">
      <c r="B18160" t="s">
        <v>7</v>
      </c>
      <c r="C18160" t="s">
        <v>2660</v>
      </c>
      <c r="D18160" s="7">
        <f>DATE(2009,6,18)</f>
        <v>39982</v>
      </c>
      <c r="E18160" s="8">
        <f t="shared" si="297"/>
        <v>2009</v>
      </c>
      <c r="F18160" t="s">
        <v>2953</v>
      </c>
      <c r="G18160" s="9">
        <v>7821.24</v>
      </c>
      <c r="H18160" s="8">
        <v>8794</v>
      </c>
    </row>
    <row r="18161" spans="2:8" ht="15" customHeight="1" x14ac:dyDescent="0.4">
      <c r="B18161" t="s">
        <v>7</v>
      </c>
      <c r="C18161" t="s">
        <v>2660</v>
      </c>
      <c r="D18161" s="7">
        <f>DATE(2009,6,29)</f>
        <v>39993</v>
      </c>
      <c r="E18161" s="8">
        <f t="shared" si="297"/>
        <v>2009</v>
      </c>
      <c r="F18161" t="s">
        <v>2953</v>
      </c>
      <c r="G18161" s="9">
        <v>15767</v>
      </c>
      <c r="H18161" s="8">
        <v>8786</v>
      </c>
    </row>
    <row r="18162" spans="2:8" ht="15" customHeight="1" x14ac:dyDescent="0.4">
      <c r="B18162" t="s">
        <v>7</v>
      </c>
      <c r="C18162" t="s">
        <v>2660</v>
      </c>
      <c r="D18162" s="7">
        <f>DATE(2009,6,29)</f>
        <v>39993</v>
      </c>
      <c r="E18162" s="8">
        <f t="shared" si="297"/>
        <v>2009</v>
      </c>
      <c r="F18162" t="s">
        <v>2953</v>
      </c>
      <c r="G18162" s="9">
        <v>31564.34</v>
      </c>
      <c r="H18162" s="8">
        <v>8789</v>
      </c>
    </row>
    <row r="18163" spans="2:8" ht="15" customHeight="1" x14ac:dyDescent="0.4">
      <c r="B18163" t="s">
        <v>7</v>
      </c>
      <c r="C18163" t="s">
        <v>2660</v>
      </c>
      <c r="D18163" s="7">
        <f>DATE(2009,6,24)</f>
        <v>39988</v>
      </c>
      <c r="E18163" s="8">
        <f t="shared" si="297"/>
        <v>2009</v>
      </c>
      <c r="F18163" t="s">
        <v>2953</v>
      </c>
      <c r="G18163" s="9">
        <v>34420</v>
      </c>
      <c r="H18163" s="8">
        <v>8798</v>
      </c>
    </row>
    <row r="18164" spans="2:8" ht="15" customHeight="1" x14ac:dyDescent="0.4">
      <c r="B18164" t="s">
        <v>7</v>
      </c>
      <c r="C18164" t="s">
        <v>2660</v>
      </c>
      <c r="D18164" s="7">
        <f>DATE(2010,4,14)</f>
        <v>40282</v>
      </c>
      <c r="E18164" s="8">
        <f t="shared" si="297"/>
        <v>2010</v>
      </c>
      <c r="F18164" t="s">
        <v>2953</v>
      </c>
      <c r="G18164" s="9">
        <v>59181</v>
      </c>
      <c r="H18164" s="8">
        <v>9403</v>
      </c>
    </row>
    <row r="18165" spans="2:8" ht="15" customHeight="1" x14ac:dyDescent="0.4">
      <c r="B18165" t="s">
        <v>7</v>
      </c>
      <c r="C18165" t="s">
        <v>2660</v>
      </c>
      <c r="D18165" s="7">
        <f>DATE(2011,2,28)</f>
        <v>40602</v>
      </c>
      <c r="E18165" s="8">
        <f t="shared" si="297"/>
        <v>2011</v>
      </c>
      <c r="F18165" t="s">
        <v>2953</v>
      </c>
      <c r="G18165" s="9">
        <v>52475</v>
      </c>
      <c r="H18165" s="8">
        <v>10443</v>
      </c>
    </row>
    <row r="18166" spans="2:8" ht="15" customHeight="1" x14ac:dyDescent="0.4">
      <c r="B18166" t="s">
        <v>7</v>
      </c>
      <c r="C18166" t="s">
        <v>2660</v>
      </c>
      <c r="D18166" s="7">
        <f>DATE(2011,3,9)</f>
        <v>40611</v>
      </c>
      <c r="E18166" s="8">
        <f t="shared" si="297"/>
        <v>2011</v>
      </c>
      <c r="F18166" t="s">
        <v>2953</v>
      </c>
      <c r="G18166" s="9">
        <v>44744</v>
      </c>
      <c r="H18166" s="8">
        <v>10444</v>
      </c>
    </row>
    <row r="18167" spans="2:8" ht="15" customHeight="1" x14ac:dyDescent="0.4">
      <c r="B18167" t="s">
        <v>7</v>
      </c>
      <c r="C18167" t="s">
        <v>2660</v>
      </c>
      <c r="D18167" s="7">
        <f>DATE(2011,4,21)</f>
        <v>40654</v>
      </c>
      <c r="E18167" s="8">
        <f t="shared" si="297"/>
        <v>2011</v>
      </c>
      <c r="F18167" t="s">
        <v>2953</v>
      </c>
      <c r="G18167" s="9">
        <v>28717</v>
      </c>
      <c r="H18167" s="8">
        <v>10445</v>
      </c>
    </row>
    <row r="18168" spans="2:8" ht="15" customHeight="1" x14ac:dyDescent="0.4">
      <c r="B18168" t="s">
        <v>7</v>
      </c>
      <c r="C18168" t="s">
        <v>2660</v>
      </c>
      <c r="D18168" s="7">
        <f>DATE(2010,7,21)</f>
        <v>40380</v>
      </c>
      <c r="E18168" s="8">
        <f t="shared" si="297"/>
        <v>2010</v>
      </c>
      <c r="F18168" t="s">
        <v>2953</v>
      </c>
      <c r="G18168" s="9">
        <v>7534.59</v>
      </c>
      <c r="H18168" s="8">
        <v>9964</v>
      </c>
    </row>
    <row r="18169" spans="2:8" ht="15" customHeight="1" x14ac:dyDescent="0.4">
      <c r="B18169" t="s">
        <v>7</v>
      </c>
      <c r="C18169" t="s">
        <v>2660</v>
      </c>
      <c r="D18169" s="7">
        <f>DATE(2010,11,2)</f>
        <v>40484</v>
      </c>
      <c r="E18169" s="8">
        <f t="shared" si="297"/>
        <v>2010</v>
      </c>
      <c r="F18169" t="s">
        <v>2953</v>
      </c>
      <c r="G18169" s="9">
        <v>10265.51</v>
      </c>
      <c r="H18169" s="8">
        <v>10178</v>
      </c>
    </row>
    <row r="18170" spans="2:8" ht="15" customHeight="1" x14ac:dyDescent="0.4">
      <c r="B18170" s="3" t="s">
        <v>7</v>
      </c>
      <c r="C18170" s="3" t="s">
        <v>2660</v>
      </c>
      <c r="D18170" s="4">
        <f>DATE(2003,3,19)</f>
        <v>37699</v>
      </c>
      <c r="E18170" s="5">
        <f t="shared" si="297"/>
        <v>2003</v>
      </c>
      <c r="F18170" s="3" t="s">
        <v>2953</v>
      </c>
      <c r="G18170" s="6">
        <v>3400</v>
      </c>
      <c r="H18170" s="5">
        <v>514</v>
      </c>
    </row>
    <row r="18171" spans="2:8" ht="15" customHeight="1" x14ac:dyDescent="0.4">
      <c r="B18171" s="3" t="s">
        <v>7</v>
      </c>
      <c r="C18171" s="3" t="s">
        <v>2660</v>
      </c>
      <c r="D18171" s="4">
        <f>DATE(2003,7,30)</f>
        <v>37832</v>
      </c>
      <c r="E18171" s="5">
        <f t="shared" si="297"/>
        <v>2003</v>
      </c>
      <c r="F18171" s="3" t="s">
        <v>2953</v>
      </c>
      <c r="G18171" s="6">
        <v>25955.84</v>
      </c>
      <c r="H18171" s="5">
        <v>1289</v>
      </c>
    </row>
    <row r="18172" spans="2:8" ht="15" customHeight="1" x14ac:dyDescent="0.4">
      <c r="B18172" s="3" t="s">
        <v>7</v>
      </c>
      <c r="C18172" s="3" t="s">
        <v>2660</v>
      </c>
      <c r="D18172" s="4">
        <f>DATE(2005,4,8)</f>
        <v>38450</v>
      </c>
      <c r="E18172" s="5">
        <f t="shared" si="297"/>
        <v>2005</v>
      </c>
      <c r="F18172" s="3" t="s">
        <v>2953</v>
      </c>
      <c r="G18172" s="6">
        <v>9052.64</v>
      </c>
      <c r="H18172" s="5">
        <v>4536</v>
      </c>
    </row>
    <row r="18173" spans="2:8" ht="15" customHeight="1" x14ac:dyDescent="0.4">
      <c r="B18173" s="3" t="s">
        <v>7</v>
      </c>
      <c r="C18173" s="3" t="s">
        <v>2660</v>
      </c>
      <c r="D18173" s="4">
        <f>DATE(2005,7,20)</f>
        <v>38553</v>
      </c>
      <c r="E18173" s="5">
        <f t="shared" si="297"/>
        <v>2005</v>
      </c>
      <c r="F18173" s="3" t="s">
        <v>2953</v>
      </c>
      <c r="G18173" s="6">
        <v>42195</v>
      </c>
      <c r="H18173" s="5">
        <v>4971</v>
      </c>
    </row>
    <row r="18174" spans="2:8" ht="15" customHeight="1" x14ac:dyDescent="0.4">
      <c r="B18174" s="3" t="s">
        <v>7</v>
      </c>
      <c r="C18174" s="3" t="s">
        <v>2660</v>
      </c>
      <c r="D18174" s="4">
        <f>DATE(2005,7,21)</f>
        <v>38554</v>
      </c>
      <c r="E18174" s="5">
        <f t="shared" si="297"/>
        <v>2005</v>
      </c>
      <c r="F18174" s="3" t="s">
        <v>2953</v>
      </c>
      <c r="G18174" s="6">
        <v>3480</v>
      </c>
      <c r="H18174" s="5">
        <v>4971</v>
      </c>
    </row>
    <row r="18175" spans="2:8" ht="15" customHeight="1" x14ac:dyDescent="0.4">
      <c r="B18175" s="3" t="s">
        <v>7</v>
      </c>
      <c r="C18175" s="3" t="s">
        <v>2660</v>
      </c>
      <c r="D18175" s="4">
        <f>DATE(2005,9,21)</f>
        <v>38616</v>
      </c>
      <c r="E18175" s="5">
        <f t="shared" si="297"/>
        <v>2005</v>
      </c>
      <c r="F18175" s="3" t="s">
        <v>2953</v>
      </c>
      <c r="G18175" s="6">
        <v>966</v>
      </c>
      <c r="H18175" s="5">
        <v>5294</v>
      </c>
    </row>
    <row r="18176" spans="2:8" ht="15" customHeight="1" x14ac:dyDescent="0.4">
      <c r="B18176" s="3" t="s">
        <v>7</v>
      </c>
      <c r="C18176" s="3" t="s">
        <v>2660</v>
      </c>
      <c r="D18176" s="4">
        <f>DATE(2006,2,3)</f>
        <v>38751</v>
      </c>
      <c r="E18176" s="5">
        <f t="shared" si="297"/>
        <v>2006</v>
      </c>
      <c r="F18176" s="3" t="s">
        <v>2953</v>
      </c>
      <c r="G18176" s="6">
        <v>24207.5</v>
      </c>
      <c r="H18176" s="5">
        <v>5939</v>
      </c>
    </row>
    <row r="18177" spans="2:8" ht="15" customHeight="1" x14ac:dyDescent="0.4">
      <c r="B18177" s="3" t="s">
        <v>7</v>
      </c>
      <c r="C18177" s="3" t="s">
        <v>2660</v>
      </c>
      <c r="D18177" s="4">
        <f>DATE(2006,2,16)</f>
        <v>38764</v>
      </c>
      <c r="E18177" s="5">
        <f t="shared" si="297"/>
        <v>2006</v>
      </c>
      <c r="F18177" s="3" t="s">
        <v>2953</v>
      </c>
      <c r="G18177" s="6">
        <v>11125</v>
      </c>
      <c r="H18177" s="5">
        <v>6067</v>
      </c>
    </row>
    <row r="18178" spans="2:8" ht="15" customHeight="1" x14ac:dyDescent="0.4">
      <c r="B18178" s="3" t="s">
        <v>7</v>
      </c>
      <c r="C18178" s="3" t="s">
        <v>2660</v>
      </c>
      <c r="D18178" s="4">
        <f>DATE(2006,3,13)</f>
        <v>38789</v>
      </c>
      <c r="E18178" s="5">
        <f t="shared" si="297"/>
        <v>2006</v>
      </c>
      <c r="F18178" s="3" t="s">
        <v>2953</v>
      </c>
      <c r="G18178" s="6">
        <v>624</v>
      </c>
      <c r="H18178" s="5">
        <v>6179</v>
      </c>
    </row>
    <row r="18179" spans="2:8" ht="15" customHeight="1" x14ac:dyDescent="0.4">
      <c r="B18179" s="3" t="s">
        <v>7</v>
      </c>
      <c r="C18179" s="3" t="s">
        <v>2660</v>
      </c>
      <c r="D18179" s="4">
        <f>DATE(2006,6,26)</f>
        <v>38894</v>
      </c>
      <c r="E18179" s="5">
        <f t="shared" ref="E18179:E18242" si="298">YEAR(D18179)</f>
        <v>2006</v>
      </c>
      <c r="F18179" s="3" t="s">
        <v>2953</v>
      </c>
      <c r="G18179" s="6">
        <v>42435</v>
      </c>
      <c r="H18179" s="5">
        <v>6849</v>
      </c>
    </row>
    <row r="18180" spans="2:8" ht="15" customHeight="1" x14ac:dyDescent="0.4">
      <c r="B18180" s="3" t="s">
        <v>7</v>
      </c>
      <c r="C18180" s="3" t="s">
        <v>2660</v>
      </c>
      <c r="D18180" s="4">
        <f>DATE(2007,1,26)</f>
        <v>39108</v>
      </c>
      <c r="E18180" s="5">
        <f t="shared" si="298"/>
        <v>2007</v>
      </c>
      <c r="F18180" s="3" t="s">
        <v>2953</v>
      </c>
      <c r="G18180" s="6">
        <v>48538.75</v>
      </c>
      <c r="H18180" s="5">
        <v>7809</v>
      </c>
    </row>
    <row r="18181" spans="2:8" ht="15" customHeight="1" x14ac:dyDescent="0.4">
      <c r="B18181" s="3" t="s">
        <v>7</v>
      </c>
      <c r="C18181" s="3" t="s">
        <v>2660</v>
      </c>
      <c r="D18181" s="4">
        <f>DATE(2007,3,19)</f>
        <v>39160</v>
      </c>
      <c r="E18181" s="5">
        <f t="shared" si="298"/>
        <v>2007</v>
      </c>
      <c r="F18181" s="3" t="s">
        <v>2953</v>
      </c>
      <c r="G18181" s="6">
        <v>7100</v>
      </c>
      <c r="H18181" s="5">
        <v>8059</v>
      </c>
    </row>
    <row r="18182" spans="2:8" ht="15" customHeight="1" x14ac:dyDescent="0.4">
      <c r="B18182" s="3" t="s">
        <v>7</v>
      </c>
      <c r="C18182" s="3" t="s">
        <v>2660</v>
      </c>
      <c r="D18182" s="4">
        <f>DATE(2007,6,7)</f>
        <v>39240</v>
      </c>
      <c r="E18182" s="5">
        <f t="shared" si="298"/>
        <v>2007</v>
      </c>
      <c r="F18182" s="3" t="s">
        <v>2953</v>
      </c>
      <c r="G18182" s="6">
        <v>508</v>
      </c>
      <c r="H18182" s="5">
        <v>8729</v>
      </c>
    </row>
    <row r="18183" spans="2:8" ht="15" customHeight="1" x14ac:dyDescent="0.4">
      <c r="B18183" s="3" t="s">
        <v>7</v>
      </c>
      <c r="C18183" s="3" t="s">
        <v>2660</v>
      </c>
      <c r="D18183" s="4">
        <f>DATE(2007,7,3)</f>
        <v>39266</v>
      </c>
      <c r="E18183" s="5">
        <f t="shared" si="298"/>
        <v>2007</v>
      </c>
      <c r="F18183" s="3" t="s">
        <v>2953</v>
      </c>
      <c r="G18183" s="6">
        <v>22310</v>
      </c>
      <c r="H18183" s="5">
        <v>8691</v>
      </c>
    </row>
    <row r="18184" spans="2:8" ht="15" customHeight="1" x14ac:dyDescent="0.4">
      <c r="B18184" s="3" t="s">
        <v>7</v>
      </c>
      <c r="C18184" s="3" t="s">
        <v>2660</v>
      </c>
      <c r="D18184" s="4">
        <f>DATE(2008,1,31)</f>
        <v>39478</v>
      </c>
      <c r="E18184" s="5">
        <f t="shared" si="298"/>
        <v>2008</v>
      </c>
      <c r="F18184" s="3" t="s">
        <v>2953</v>
      </c>
      <c r="G18184" s="6">
        <v>20959.5</v>
      </c>
      <c r="H18184" s="5">
        <v>9840</v>
      </c>
    </row>
    <row r="18185" spans="2:8" ht="15" customHeight="1" x14ac:dyDescent="0.4">
      <c r="B18185" s="3" t="s">
        <v>7</v>
      </c>
      <c r="C18185" s="3" t="s">
        <v>2660</v>
      </c>
      <c r="D18185" s="4">
        <f>DATE(2008,2,29)</f>
        <v>39507</v>
      </c>
      <c r="E18185" s="5">
        <f t="shared" si="298"/>
        <v>2008</v>
      </c>
      <c r="F18185" s="3" t="s">
        <v>2953</v>
      </c>
      <c r="G18185" s="6">
        <v>4794.0200000000004</v>
      </c>
      <c r="H18185" s="5">
        <v>9841</v>
      </c>
    </row>
    <row r="18186" spans="2:8" ht="15" customHeight="1" x14ac:dyDescent="0.4">
      <c r="B18186" s="3" t="s">
        <v>7</v>
      </c>
      <c r="C18186" s="3" t="s">
        <v>2660</v>
      </c>
      <c r="D18186" s="4">
        <f>DATE(2008,4,29)</f>
        <v>39567</v>
      </c>
      <c r="E18186" s="5">
        <f t="shared" si="298"/>
        <v>2008</v>
      </c>
      <c r="F18186" s="3" t="s">
        <v>2953</v>
      </c>
      <c r="G18186" s="6">
        <v>1016</v>
      </c>
      <c r="H18186" s="5">
        <v>10571</v>
      </c>
    </row>
    <row r="18187" spans="2:8" ht="15" customHeight="1" x14ac:dyDescent="0.4">
      <c r="B18187" s="3" t="s">
        <v>7</v>
      </c>
      <c r="C18187" s="3" t="s">
        <v>2660</v>
      </c>
      <c r="D18187" s="4">
        <f>DATE(2008,5,23)</f>
        <v>39591</v>
      </c>
      <c r="E18187" s="5">
        <f t="shared" si="298"/>
        <v>2008</v>
      </c>
      <c r="F18187" s="3" t="s">
        <v>2953</v>
      </c>
      <c r="G18187" s="6">
        <v>1524</v>
      </c>
      <c r="H18187" s="5">
        <v>10714</v>
      </c>
    </row>
    <row r="18188" spans="2:8" ht="15" customHeight="1" x14ac:dyDescent="0.4">
      <c r="B18188" s="3" t="s">
        <v>7</v>
      </c>
      <c r="C18188" s="3" t="s">
        <v>2660</v>
      </c>
      <c r="D18188" s="4">
        <f>DATE(2009,6,11)</f>
        <v>39975</v>
      </c>
      <c r="E18188" s="5">
        <f t="shared" si="298"/>
        <v>2009</v>
      </c>
      <c r="F18188" s="3" t="s">
        <v>2953</v>
      </c>
      <c r="G18188" s="6">
        <v>5346</v>
      </c>
      <c r="H18188" s="5">
        <v>12676</v>
      </c>
    </row>
    <row r="18189" spans="2:8" ht="15" customHeight="1" x14ac:dyDescent="0.4">
      <c r="B18189" s="3" t="s">
        <v>7</v>
      </c>
      <c r="C18189" s="3" t="s">
        <v>2660</v>
      </c>
      <c r="D18189" s="4">
        <f>DATE(2010,2,25)</f>
        <v>40234</v>
      </c>
      <c r="E18189" s="5">
        <f t="shared" si="298"/>
        <v>2010</v>
      </c>
      <c r="F18189" s="3" t="s">
        <v>2953</v>
      </c>
      <c r="G18189" s="6">
        <v>8455</v>
      </c>
      <c r="H18189" s="5">
        <v>13585</v>
      </c>
    </row>
    <row r="18190" spans="2:8" ht="15" customHeight="1" x14ac:dyDescent="0.4">
      <c r="B18190" s="3" t="s">
        <v>7</v>
      </c>
      <c r="C18190" s="3" t="s">
        <v>2660</v>
      </c>
      <c r="D18190" s="4">
        <f>DATE(2010,3,9)</f>
        <v>40246</v>
      </c>
      <c r="E18190" s="5">
        <f t="shared" si="298"/>
        <v>2010</v>
      </c>
      <c r="F18190" s="3" t="s">
        <v>2953</v>
      </c>
      <c r="G18190" s="6">
        <v>17132.5</v>
      </c>
      <c r="H18190" s="5">
        <v>13466</v>
      </c>
    </row>
    <row r="18191" spans="2:8" ht="15" customHeight="1" x14ac:dyDescent="0.4">
      <c r="B18191" s="3" t="s">
        <v>7</v>
      </c>
      <c r="C18191" s="3" t="s">
        <v>2660</v>
      </c>
      <c r="D18191" s="4">
        <f>DATE(2011,1,13)</f>
        <v>40556</v>
      </c>
      <c r="E18191" s="5">
        <f t="shared" si="298"/>
        <v>2011</v>
      </c>
      <c r="F18191" s="3" t="s">
        <v>2953</v>
      </c>
      <c r="G18191" s="6">
        <v>24396</v>
      </c>
      <c r="H18191" s="5">
        <v>14837</v>
      </c>
    </row>
    <row r="18192" spans="2:8" ht="15" customHeight="1" x14ac:dyDescent="0.4">
      <c r="B18192" s="3" t="s">
        <v>16</v>
      </c>
      <c r="C18192" s="3" t="s">
        <v>2660</v>
      </c>
      <c r="D18192" s="4">
        <f>DATE(2007,2,13)</f>
        <v>39126</v>
      </c>
      <c r="E18192" s="5">
        <f t="shared" si="298"/>
        <v>2007</v>
      </c>
      <c r="F18192" s="3" t="s">
        <v>2953</v>
      </c>
      <c r="G18192" s="6">
        <v>42435</v>
      </c>
      <c r="H18192" s="5">
        <v>7915</v>
      </c>
    </row>
    <row r="18193" spans="2:8" ht="15" customHeight="1" x14ac:dyDescent="0.4">
      <c r="B18193" t="s">
        <v>7</v>
      </c>
      <c r="C18193" t="s">
        <v>2954</v>
      </c>
      <c r="D18193" s="7">
        <f>DATE(2004,3,21)</f>
        <v>38067</v>
      </c>
      <c r="E18193" s="8">
        <f t="shared" si="298"/>
        <v>2004</v>
      </c>
      <c r="F18193" t="s">
        <v>2955</v>
      </c>
      <c r="G18193" s="9">
        <v>28107</v>
      </c>
      <c r="H18193" s="8">
        <v>1217</v>
      </c>
    </row>
    <row r="18194" spans="2:8" ht="15" customHeight="1" x14ac:dyDescent="0.4">
      <c r="B18194" t="s">
        <v>7</v>
      </c>
      <c r="C18194" t="s">
        <v>2954</v>
      </c>
      <c r="D18194" s="7">
        <f>DATE(2004,4,29)</f>
        <v>38106</v>
      </c>
      <c r="E18194" s="8">
        <f t="shared" si="298"/>
        <v>2004</v>
      </c>
      <c r="F18194" t="s">
        <v>2955</v>
      </c>
      <c r="G18194" s="9">
        <v>22500</v>
      </c>
      <c r="H18194" s="8">
        <v>1632</v>
      </c>
    </row>
    <row r="18195" spans="2:8" ht="15" customHeight="1" x14ac:dyDescent="0.4">
      <c r="B18195" t="s">
        <v>7</v>
      </c>
      <c r="C18195" t="s">
        <v>2954</v>
      </c>
      <c r="D18195" s="7">
        <f>DATE(2004,11,12)</f>
        <v>38303</v>
      </c>
      <c r="E18195" s="8">
        <f t="shared" si="298"/>
        <v>2004</v>
      </c>
      <c r="F18195" t="s">
        <v>2955</v>
      </c>
      <c r="G18195" s="9">
        <v>2915.58</v>
      </c>
      <c r="H18195" s="8">
        <v>2033</v>
      </c>
    </row>
    <row r="18196" spans="2:8" ht="15" customHeight="1" x14ac:dyDescent="0.4">
      <c r="B18196" t="s">
        <v>7</v>
      </c>
      <c r="C18196" t="s">
        <v>2954</v>
      </c>
      <c r="D18196" s="7">
        <f>DATE(2004,12,20)</f>
        <v>38341</v>
      </c>
      <c r="E18196" s="8">
        <f t="shared" si="298"/>
        <v>2004</v>
      </c>
      <c r="F18196" t="s">
        <v>2955</v>
      </c>
      <c r="G18196" s="9">
        <v>2918.07</v>
      </c>
      <c r="H18196" s="8">
        <v>2467</v>
      </c>
    </row>
    <row r="18197" spans="2:8" ht="15" customHeight="1" x14ac:dyDescent="0.4">
      <c r="B18197" t="s">
        <v>7</v>
      </c>
      <c r="C18197" t="s">
        <v>2954</v>
      </c>
      <c r="D18197" s="7">
        <f>DATE(2005,3,31)</f>
        <v>38442</v>
      </c>
      <c r="E18197" s="8">
        <f t="shared" si="298"/>
        <v>2005</v>
      </c>
      <c r="F18197" t="s">
        <v>2955</v>
      </c>
      <c r="G18197" s="9">
        <v>24645</v>
      </c>
      <c r="H18197" s="8">
        <v>2553</v>
      </c>
    </row>
    <row r="18198" spans="2:8" ht="15" customHeight="1" x14ac:dyDescent="0.4">
      <c r="B18198" t="s">
        <v>7</v>
      </c>
      <c r="C18198" t="s">
        <v>2954</v>
      </c>
      <c r="D18198" s="7">
        <f>DATE(2005,5,14)</f>
        <v>38486</v>
      </c>
      <c r="E18198" s="8">
        <f t="shared" si="298"/>
        <v>2005</v>
      </c>
      <c r="F18198" t="s">
        <v>2955</v>
      </c>
      <c r="G18198" s="9">
        <v>25165</v>
      </c>
      <c r="H18198" s="8">
        <v>2839</v>
      </c>
    </row>
    <row r="18199" spans="2:8" ht="15" customHeight="1" x14ac:dyDescent="0.4">
      <c r="B18199" t="s">
        <v>7</v>
      </c>
      <c r="C18199" t="s">
        <v>2954</v>
      </c>
      <c r="D18199" s="7">
        <f>DATE(2006,4,12)</f>
        <v>38819</v>
      </c>
      <c r="E18199" s="8">
        <f t="shared" si="298"/>
        <v>2006</v>
      </c>
      <c r="F18199" t="s">
        <v>2955</v>
      </c>
      <c r="G18199" s="9">
        <v>25220</v>
      </c>
      <c r="H18199" s="8">
        <v>3954</v>
      </c>
    </row>
    <row r="18200" spans="2:8" ht="15" customHeight="1" x14ac:dyDescent="0.4">
      <c r="B18200" t="s">
        <v>7</v>
      </c>
      <c r="C18200" t="s">
        <v>2954</v>
      </c>
      <c r="D18200" s="7">
        <f>DATE(2006,4,15)</f>
        <v>38822</v>
      </c>
      <c r="E18200" s="8">
        <f t="shared" si="298"/>
        <v>2006</v>
      </c>
      <c r="F18200" t="s">
        <v>2955</v>
      </c>
      <c r="G18200" s="9">
        <v>24645</v>
      </c>
      <c r="H18200" s="8">
        <v>4012</v>
      </c>
    </row>
    <row r="18201" spans="2:8" ht="15" customHeight="1" x14ac:dyDescent="0.4">
      <c r="B18201" t="s">
        <v>7</v>
      </c>
      <c r="C18201" t="s">
        <v>2954</v>
      </c>
      <c r="D18201" s="7">
        <f>DATE(2006,4,23)</f>
        <v>38830</v>
      </c>
      <c r="E18201" s="8">
        <f t="shared" si="298"/>
        <v>2006</v>
      </c>
      <c r="F18201" t="s">
        <v>2955</v>
      </c>
      <c r="G18201" s="9">
        <v>6009.32</v>
      </c>
      <c r="H18201" s="8">
        <v>4526</v>
      </c>
    </row>
    <row r="18202" spans="2:8" ht="15" customHeight="1" x14ac:dyDescent="0.4">
      <c r="B18202" t="s">
        <v>7</v>
      </c>
      <c r="C18202" t="s">
        <v>2954</v>
      </c>
      <c r="D18202" s="7">
        <f>DATE(2007,3,30)</f>
        <v>39171</v>
      </c>
      <c r="E18202" s="8">
        <f t="shared" si="298"/>
        <v>2007</v>
      </c>
      <c r="F18202" t="s">
        <v>2955</v>
      </c>
      <c r="G18202" s="9">
        <v>20000</v>
      </c>
      <c r="H18202" s="8">
        <v>5798</v>
      </c>
    </row>
    <row r="18203" spans="2:8" ht="15" customHeight="1" x14ac:dyDescent="0.4">
      <c r="B18203" t="s">
        <v>7</v>
      </c>
      <c r="C18203" t="s">
        <v>2954</v>
      </c>
      <c r="D18203" s="7">
        <f>DATE(2007,4,10)</f>
        <v>39182</v>
      </c>
      <c r="E18203" s="8">
        <f t="shared" si="298"/>
        <v>2007</v>
      </c>
      <c r="F18203" t="s">
        <v>2955</v>
      </c>
      <c r="G18203" s="9">
        <v>28675</v>
      </c>
      <c r="H18203" s="8">
        <v>5454</v>
      </c>
    </row>
    <row r="18204" spans="2:8" ht="15" customHeight="1" x14ac:dyDescent="0.4">
      <c r="B18204" t="s">
        <v>7</v>
      </c>
      <c r="C18204" t="s">
        <v>2954</v>
      </c>
      <c r="D18204" s="7">
        <f>DATE(2007,4,26)</f>
        <v>39198</v>
      </c>
      <c r="E18204" s="8">
        <f t="shared" si="298"/>
        <v>2007</v>
      </c>
      <c r="F18204" t="s">
        <v>2955</v>
      </c>
      <c r="G18204" s="9">
        <v>45950</v>
      </c>
      <c r="H18204" s="8">
        <v>5455</v>
      </c>
    </row>
    <row r="18205" spans="2:8" ht="15" customHeight="1" x14ac:dyDescent="0.4">
      <c r="B18205" t="s">
        <v>7</v>
      </c>
      <c r="C18205" t="s">
        <v>2954</v>
      </c>
      <c r="D18205" s="7">
        <f>DATE(2008,3,5)</f>
        <v>39512</v>
      </c>
      <c r="E18205" s="8">
        <f t="shared" si="298"/>
        <v>2008</v>
      </c>
      <c r="F18205" t="s">
        <v>2955</v>
      </c>
      <c r="G18205" s="9">
        <v>26675</v>
      </c>
      <c r="H18205" s="8">
        <v>6838</v>
      </c>
    </row>
    <row r="18206" spans="2:8" ht="15" customHeight="1" x14ac:dyDescent="0.4">
      <c r="B18206" t="s">
        <v>7</v>
      </c>
      <c r="C18206" t="s">
        <v>2954</v>
      </c>
      <c r="D18206" s="7">
        <f>DATE(2008,4,5)</f>
        <v>39543</v>
      </c>
      <c r="E18206" s="8">
        <f t="shared" si="298"/>
        <v>2008</v>
      </c>
      <c r="F18206" t="s">
        <v>2955</v>
      </c>
      <c r="G18206" s="9">
        <v>45950</v>
      </c>
      <c r="H18206" s="8">
        <v>6839</v>
      </c>
    </row>
    <row r="18207" spans="2:8" ht="15" customHeight="1" x14ac:dyDescent="0.4">
      <c r="B18207" t="s">
        <v>7</v>
      </c>
      <c r="C18207" t="s">
        <v>2954</v>
      </c>
      <c r="D18207" s="7">
        <f>DATE(2009,5,6)</f>
        <v>39939</v>
      </c>
      <c r="E18207" s="8">
        <f t="shared" si="298"/>
        <v>2009</v>
      </c>
      <c r="F18207" t="s">
        <v>2955</v>
      </c>
      <c r="G18207" s="9">
        <v>26675</v>
      </c>
      <c r="H18207" s="8">
        <v>8270</v>
      </c>
    </row>
    <row r="18208" spans="2:8" ht="15" customHeight="1" x14ac:dyDescent="0.4">
      <c r="B18208" t="s">
        <v>7</v>
      </c>
      <c r="C18208" t="s">
        <v>2954</v>
      </c>
      <c r="D18208" s="7">
        <f>DATE(2009,5,29)</f>
        <v>39962</v>
      </c>
      <c r="E18208" s="8">
        <f t="shared" si="298"/>
        <v>2009</v>
      </c>
      <c r="F18208" t="s">
        <v>2955</v>
      </c>
      <c r="G18208" s="9">
        <v>29448.19</v>
      </c>
      <c r="H18208" s="8">
        <v>8378</v>
      </c>
    </row>
    <row r="18209" spans="2:8" ht="15" customHeight="1" x14ac:dyDescent="0.4">
      <c r="B18209" t="s">
        <v>7</v>
      </c>
      <c r="C18209" t="s">
        <v>2954</v>
      </c>
      <c r="D18209" s="7">
        <f>DATE(2010,3,22)</f>
        <v>40259</v>
      </c>
      <c r="E18209" s="8">
        <f t="shared" si="298"/>
        <v>2010</v>
      </c>
      <c r="F18209" t="s">
        <v>2955</v>
      </c>
      <c r="G18209" s="9">
        <v>5788.59</v>
      </c>
      <c r="H18209" s="8">
        <v>9645</v>
      </c>
    </row>
    <row r="18210" spans="2:8" ht="15" customHeight="1" x14ac:dyDescent="0.4">
      <c r="B18210" s="3" t="s">
        <v>7</v>
      </c>
      <c r="C18210" s="3" t="s">
        <v>2954</v>
      </c>
      <c r="D18210" s="4">
        <f>DATE(2010,4,1)</f>
        <v>40269</v>
      </c>
      <c r="E18210" s="5">
        <f t="shared" si="298"/>
        <v>2010</v>
      </c>
      <c r="F18210" s="3" t="s">
        <v>2955</v>
      </c>
      <c r="G18210" s="6">
        <v>109717.36</v>
      </c>
      <c r="H18210" s="5">
        <v>3864</v>
      </c>
    </row>
    <row r="18211" spans="2:8" ht="15" customHeight="1" x14ac:dyDescent="0.4">
      <c r="B18211" s="3" t="s">
        <v>7</v>
      </c>
      <c r="C18211" s="3" t="s">
        <v>2954</v>
      </c>
      <c r="D18211" s="4">
        <f>DATE(2010,4,21)</f>
        <v>40289</v>
      </c>
      <c r="E18211" s="5">
        <f t="shared" si="298"/>
        <v>2010</v>
      </c>
      <c r="F18211" s="3" t="s">
        <v>2955</v>
      </c>
      <c r="G18211" s="6">
        <v>96339.45</v>
      </c>
      <c r="H18211" s="5">
        <v>3865</v>
      </c>
    </row>
    <row r="18212" spans="2:8" ht="15" customHeight="1" x14ac:dyDescent="0.4">
      <c r="B18212" s="3" t="s">
        <v>7</v>
      </c>
      <c r="C18212" s="3" t="s">
        <v>2954</v>
      </c>
      <c r="D18212" s="4">
        <f>DATE(2004,3,11)</f>
        <v>38057</v>
      </c>
      <c r="E18212" s="5">
        <f t="shared" si="298"/>
        <v>2004</v>
      </c>
      <c r="F18212" s="3" t="s">
        <v>2955</v>
      </c>
      <c r="G18212" s="6">
        <v>22173</v>
      </c>
      <c r="H18212" s="5">
        <v>2133</v>
      </c>
    </row>
    <row r="18213" spans="2:8" ht="15" customHeight="1" x14ac:dyDescent="0.4">
      <c r="B18213" s="3" t="s">
        <v>7</v>
      </c>
      <c r="C18213" s="3" t="s">
        <v>2954</v>
      </c>
      <c r="D18213" s="4">
        <f>DATE(2004,4,26)</f>
        <v>38103</v>
      </c>
      <c r="E18213" s="5">
        <f t="shared" si="298"/>
        <v>2004</v>
      </c>
      <c r="F18213" s="3" t="s">
        <v>2955</v>
      </c>
      <c r="G18213" s="6">
        <v>11251.5</v>
      </c>
      <c r="H18213" s="5">
        <v>2591</v>
      </c>
    </row>
    <row r="18214" spans="2:8" ht="15" customHeight="1" x14ac:dyDescent="0.4">
      <c r="B18214" s="3" t="s">
        <v>7</v>
      </c>
      <c r="C18214" s="3" t="s">
        <v>2954</v>
      </c>
      <c r="D18214" s="4">
        <f>DATE(2005,3,26)</f>
        <v>38437</v>
      </c>
      <c r="E18214" s="5">
        <f t="shared" si="298"/>
        <v>2005</v>
      </c>
      <c r="F18214" s="3" t="s">
        <v>2955</v>
      </c>
      <c r="G18214" s="6">
        <v>17385</v>
      </c>
      <c r="H18214" s="5">
        <v>4046</v>
      </c>
    </row>
    <row r="18215" spans="2:8" ht="15" customHeight="1" x14ac:dyDescent="0.4">
      <c r="B18215" s="3" t="s">
        <v>7</v>
      </c>
      <c r="C18215" s="3" t="s">
        <v>2954</v>
      </c>
      <c r="D18215" s="4">
        <f>DATE(2006,4,12)</f>
        <v>38819</v>
      </c>
      <c r="E18215" s="5">
        <f t="shared" si="298"/>
        <v>2006</v>
      </c>
      <c r="F18215" s="3" t="s">
        <v>2955</v>
      </c>
      <c r="G18215" s="6">
        <v>11911.6</v>
      </c>
      <c r="H18215" s="5">
        <v>5908</v>
      </c>
    </row>
    <row r="18216" spans="2:8" ht="15" customHeight="1" x14ac:dyDescent="0.4">
      <c r="B18216" s="3" t="s">
        <v>7</v>
      </c>
      <c r="C18216" s="3" t="s">
        <v>2954</v>
      </c>
      <c r="D18216" s="4">
        <f>DATE(2006,4,12)</f>
        <v>38819</v>
      </c>
      <c r="E18216" s="5">
        <f t="shared" si="298"/>
        <v>2006</v>
      </c>
      <c r="F18216" s="3" t="s">
        <v>2955</v>
      </c>
      <c r="G18216" s="6">
        <v>314.44</v>
      </c>
      <c r="H18216" s="5">
        <v>6641</v>
      </c>
    </row>
    <row r="18217" spans="2:8" ht="15" customHeight="1" x14ac:dyDescent="0.4">
      <c r="B18217" s="3" t="s">
        <v>7</v>
      </c>
      <c r="C18217" s="3" t="s">
        <v>2954</v>
      </c>
      <c r="D18217" s="4">
        <f>DATE(2006,4,7)</f>
        <v>38814</v>
      </c>
      <c r="E18217" s="5">
        <f t="shared" si="298"/>
        <v>2006</v>
      </c>
      <c r="F18217" s="3" t="s">
        <v>2955</v>
      </c>
      <c r="G18217" s="6">
        <v>11911.6</v>
      </c>
      <c r="H18217" s="5">
        <v>5845</v>
      </c>
    </row>
    <row r="18218" spans="2:8" ht="15" customHeight="1" x14ac:dyDescent="0.4">
      <c r="B18218" s="3" t="s">
        <v>7</v>
      </c>
      <c r="C18218" s="3" t="s">
        <v>2954</v>
      </c>
      <c r="D18218" s="4">
        <f>DATE(2007,3,29)</f>
        <v>39170</v>
      </c>
      <c r="E18218" s="5">
        <f t="shared" si="298"/>
        <v>2007</v>
      </c>
      <c r="F18218" s="3" t="s">
        <v>2955</v>
      </c>
      <c r="G18218" s="6">
        <v>27784.9</v>
      </c>
      <c r="H18218" s="5">
        <v>7984</v>
      </c>
    </row>
    <row r="18219" spans="2:8" ht="15" customHeight="1" x14ac:dyDescent="0.4">
      <c r="B18219" s="3" t="s">
        <v>7</v>
      </c>
      <c r="C18219" s="3" t="s">
        <v>2954</v>
      </c>
      <c r="D18219" s="4">
        <f>DATE(2007,4,6)</f>
        <v>39178</v>
      </c>
      <c r="E18219" s="5">
        <f t="shared" si="298"/>
        <v>2007</v>
      </c>
      <c r="F18219" s="3" t="s">
        <v>2955</v>
      </c>
      <c r="G18219" s="6">
        <v>13892.45</v>
      </c>
      <c r="H18219" s="5">
        <v>7955</v>
      </c>
    </row>
    <row r="18220" spans="2:8" ht="15" customHeight="1" x14ac:dyDescent="0.4">
      <c r="B18220" s="3" t="s">
        <v>7</v>
      </c>
      <c r="C18220" s="3" t="s">
        <v>2954</v>
      </c>
      <c r="D18220" s="4">
        <f>DATE(2008,3,5)</f>
        <v>39512</v>
      </c>
      <c r="E18220" s="5">
        <f t="shared" si="298"/>
        <v>2008</v>
      </c>
      <c r="F18220" s="3" t="s">
        <v>2955</v>
      </c>
      <c r="G18220" s="6">
        <v>13892.45</v>
      </c>
      <c r="H18220" s="5">
        <v>9769</v>
      </c>
    </row>
    <row r="18221" spans="2:8" ht="15" customHeight="1" x14ac:dyDescent="0.4">
      <c r="B18221" s="3" t="s">
        <v>7</v>
      </c>
      <c r="C18221" s="3" t="s">
        <v>2954</v>
      </c>
      <c r="D18221" s="4">
        <f>DATE(2008,4,5)</f>
        <v>39543</v>
      </c>
      <c r="E18221" s="5">
        <f t="shared" si="298"/>
        <v>2008</v>
      </c>
      <c r="F18221" s="3" t="s">
        <v>2955</v>
      </c>
      <c r="G18221" s="6">
        <v>27784.9</v>
      </c>
      <c r="H18221" s="5">
        <v>9770</v>
      </c>
    </row>
    <row r="18222" spans="2:8" ht="15" customHeight="1" x14ac:dyDescent="0.4">
      <c r="B18222" s="3" t="s">
        <v>7</v>
      </c>
      <c r="C18222" s="3" t="s">
        <v>2954</v>
      </c>
      <c r="D18222" s="4">
        <f>DATE(2009,5,14)</f>
        <v>39947</v>
      </c>
      <c r="E18222" s="5">
        <f t="shared" si="298"/>
        <v>2009</v>
      </c>
      <c r="F18222" s="3" t="s">
        <v>2955</v>
      </c>
      <c r="G18222" s="6">
        <v>14356</v>
      </c>
      <c r="H18222" s="5">
        <v>12052</v>
      </c>
    </row>
    <row r="18223" spans="2:8" ht="15" customHeight="1" x14ac:dyDescent="0.4">
      <c r="B18223" s="3" t="s">
        <v>7</v>
      </c>
      <c r="C18223" s="3" t="s">
        <v>2954</v>
      </c>
      <c r="D18223" s="4">
        <f>DATE(2009,5,20)</f>
        <v>39953</v>
      </c>
      <c r="E18223" s="5">
        <f t="shared" si="298"/>
        <v>2009</v>
      </c>
      <c r="F18223" s="3" t="s">
        <v>2955</v>
      </c>
      <c r="G18223" s="6">
        <v>14356</v>
      </c>
      <c r="H18223" s="5">
        <v>12053</v>
      </c>
    </row>
    <row r="18224" spans="2:8" ht="15" customHeight="1" x14ac:dyDescent="0.4">
      <c r="B18224" s="3" t="s">
        <v>7</v>
      </c>
      <c r="C18224" s="3" t="s">
        <v>2954</v>
      </c>
      <c r="D18224" s="4">
        <f>DATE(2012,11,15)</f>
        <v>41228</v>
      </c>
      <c r="E18224" s="5">
        <f t="shared" si="298"/>
        <v>2012</v>
      </c>
      <c r="F18224" s="3" t="s">
        <v>2955</v>
      </c>
      <c r="G18224" s="6">
        <v>402.8</v>
      </c>
      <c r="H18224" s="5">
        <v>17800</v>
      </c>
    </row>
    <row r="18225" spans="2:8" ht="15" customHeight="1" x14ac:dyDescent="0.4">
      <c r="B18225" s="3" t="s">
        <v>7</v>
      </c>
      <c r="C18225" s="3" t="s">
        <v>2954</v>
      </c>
      <c r="D18225" s="4">
        <f>DATE(2013,2,6)</f>
        <v>41311</v>
      </c>
      <c r="E18225" s="5">
        <f t="shared" si="298"/>
        <v>2013</v>
      </c>
      <c r="F18225" s="3" t="s">
        <v>2955</v>
      </c>
      <c r="G18225" s="6">
        <v>32902.400000000001</v>
      </c>
      <c r="H18225" s="5">
        <v>18034</v>
      </c>
    </row>
    <row r="18226" spans="2:8" ht="15" customHeight="1" x14ac:dyDescent="0.4">
      <c r="B18226" s="3" t="s">
        <v>7</v>
      </c>
      <c r="C18226" s="3" t="s">
        <v>2954</v>
      </c>
      <c r="D18226" s="4">
        <f>DATE(2014,1,22)</f>
        <v>41661</v>
      </c>
      <c r="E18226" s="5">
        <f t="shared" si="298"/>
        <v>2014</v>
      </c>
      <c r="F18226" s="3" t="s">
        <v>2955</v>
      </c>
      <c r="G18226" s="6">
        <v>16451.2</v>
      </c>
      <c r="H18226" s="5">
        <v>19382</v>
      </c>
    </row>
    <row r="18227" spans="2:8" ht="15" customHeight="1" x14ac:dyDescent="0.4">
      <c r="B18227" s="3" t="s">
        <v>7</v>
      </c>
      <c r="C18227" s="3" t="s">
        <v>2954</v>
      </c>
      <c r="D18227" s="4">
        <f>DATE(2014,1,22)</f>
        <v>41661</v>
      </c>
      <c r="E18227" s="5">
        <f t="shared" si="298"/>
        <v>2014</v>
      </c>
      <c r="F18227" s="3" t="s">
        <v>2955</v>
      </c>
      <c r="G18227" s="6">
        <v>16451.2</v>
      </c>
      <c r="H18227" s="5">
        <v>19381</v>
      </c>
    </row>
    <row r="18228" spans="2:8" ht="15" customHeight="1" x14ac:dyDescent="0.4">
      <c r="B18228" s="3" t="s">
        <v>7</v>
      </c>
      <c r="C18228" s="3" t="s">
        <v>2954</v>
      </c>
      <c r="D18228" s="4">
        <f>DATE(2014,7,11)</f>
        <v>41831</v>
      </c>
      <c r="E18228" s="5">
        <f t="shared" si="298"/>
        <v>2014</v>
      </c>
      <c r="F18228" s="3" t="s">
        <v>2955</v>
      </c>
      <c r="G18228" s="6">
        <v>32902.400000000001</v>
      </c>
      <c r="H18228" s="5">
        <v>20113</v>
      </c>
    </row>
    <row r="18229" spans="2:8" ht="15" customHeight="1" x14ac:dyDescent="0.4">
      <c r="B18229" t="s">
        <v>7</v>
      </c>
      <c r="C18229" t="s">
        <v>2956</v>
      </c>
      <c r="D18229" s="7">
        <f>DATE(2015,3,26)</f>
        <v>42089</v>
      </c>
      <c r="E18229" s="8">
        <f t="shared" si="298"/>
        <v>2015</v>
      </c>
      <c r="F18229" t="s">
        <v>2957</v>
      </c>
      <c r="G18229" s="9">
        <v>1155</v>
      </c>
      <c r="H18229" s="8">
        <v>20216</v>
      </c>
    </row>
    <row r="18230" spans="2:8" ht="15" customHeight="1" x14ac:dyDescent="0.4">
      <c r="B18230" t="s">
        <v>7</v>
      </c>
      <c r="C18230" t="s">
        <v>2956</v>
      </c>
      <c r="D18230" s="7">
        <f>DATE(2016,4,6)</f>
        <v>42466</v>
      </c>
      <c r="E18230" s="8">
        <f t="shared" si="298"/>
        <v>2016</v>
      </c>
      <c r="F18230" t="s">
        <v>2957</v>
      </c>
      <c r="G18230" s="9">
        <v>1140</v>
      </c>
      <c r="H18230" s="8">
        <v>22558</v>
      </c>
    </row>
    <row r="18231" spans="2:8" ht="15" customHeight="1" x14ac:dyDescent="0.4">
      <c r="B18231" t="s">
        <v>7</v>
      </c>
      <c r="C18231" t="s">
        <v>2956</v>
      </c>
      <c r="D18231" s="7">
        <f>DATE(2004,11,5)</f>
        <v>38296</v>
      </c>
      <c r="E18231" s="8">
        <f t="shared" si="298"/>
        <v>2004</v>
      </c>
      <c r="F18231" t="s">
        <v>2957</v>
      </c>
      <c r="G18231" s="9">
        <v>3451.05</v>
      </c>
      <c r="H18231" s="8">
        <v>2345</v>
      </c>
    </row>
    <row r="18232" spans="2:8" ht="15" customHeight="1" x14ac:dyDescent="0.4">
      <c r="B18232" t="s">
        <v>7</v>
      </c>
      <c r="C18232" t="s">
        <v>2956</v>
      </c>
      <c r="D18232" s="7">
        <f>DATE(2005,8,10)</f>
        <v>38574</v>
      </c>
      <c r="E18232" s="8">
        <f t="shared" si="298"/>
        <v>2005</v>
      </c>
      <c r="F18232" t="s">
        <v>2957</v>
      </c>
      <c r="G18232" s="9">
        <v>5504.41</v>
      </c>
      <c r="H18232" s="8">
        <v>3431</v>
      </c>
    </row>
    <row r="18233" spans="2:8" ht="15" customHeight="1" x14ac:dyDescent="0.4">
      <c r="B18233" s="3" t="s">
        <v>7</v>
      </c>
      <c r="C18233" s="3" t="s">
        <v>2956</v>
      </c>
      <c r="D18233" s="4">
        <f>DATE(2003,2,25)</f>
        <v>37677</v>
      </c>
      <c r="E18233" s="5">
        <f t="shared" si="298"/>
        <v>2003</v>
      </c>
      <c r="F18233" s="3" t="s">
        <v>2957</v>
      </c>
      <c r="G18233" s="6">
        <v>907</v>
      </c>
      <c r="H18233" s="5">
        <v>358</v>
      </c>
    </row>
    <row r="18234" spans="2:8" ht="15" customHeight="1" x14ac:dyDescent="0.4">
      <c r="B18234" s="3" t="s">
        <v>7</v>
      </c>
      <c r="C18234" s="3" t="s">
        <v>2956</v>
      </c>
      <c r="D18234" s="4">
        <f>DATE(2003,2,28)</f>
        <v>37680</v>
      </c>
      <c r="E18234" s="5">
        <f t="shared" si="298"/>
        <v>2003</v>
      </c>
      <c r="F18234" s="3" t="s">
        <v>2957</v>
      </c>
      <c r="G18234" s="6">
        <v>2057.77</v>
      </c>
      <c r="H18234" s="5">
        <v>373</v>
      </c>
    </row>
    <row r="18235" spans="2:8" ht="15" customHeight="1" x14ac:dyDescent="0.4">
      <c r="B18235" s="3" t="s">
        <v>7</v>
      </c>
      <c r="C18235" s="3" t="s">
        <v>2956</v>
      </c>
      <c r="D18235" s="4">
        <f>DATE(2003,3,3)</f>
        <v>37683</v>
      </c>
      <c r="E18235" s="5">
        <f t="shared" si="298"/>
        <v>2003</v>
      </c>
      <c r="F18235" s="3" t="s">
        <v>2957</v>
      </c>
      <c r="G18235" s="6">
        <v>131</v>
      </c>
      <c r="H18235" s="5">
        <v>438</v>
      </c>
    </row>
    <row r="18236" spans="2:8" ht="15" customHeight="1" x14ac:dyDescent="0.4">
      <c r="B18236" s="3" t="s">
        <v>7</v>
      </c>
      <c r="C18236" s="3" t="s">
        <v>2956</v>
      </c>
      <c r="D18236" s="4">
        <f>DATE(2003,3,7)</f>
        <v>37687</v>
      </c>
      <c r="E18236" s="5">
        <f t="shared" si="298"/>
        <v>2003</v>
      </c>
      <c r="F18236" s="3" t="s">
        <v>2957</v>
      </c>
      <c r="G18236" s="6">
        <v>417.75</v>
      </c>
      <c r="H18236" s="5">
        <v>476</v>
      </c>
    </row>
    <row r="18237" spans="2:8" ht="15" customHeight="1" x14ac:dyDescent="0.4">
      <c r="B18237" s="3" t="s">
        <v>7</v>
      </c>
      <c r="C18237" s="3" t="s">
        <v>2956</v>
      </c>
      <c r="D18237" s="4">
        <f>DATE(2003,3,19)</f>
        <v>37699</v>
      </c>
      <c r="E18237" s="5">
        <f t="shared" si="298"/>
        <v>2003</v>
      </c>
      <c r="F18237" s="3" t="s">
        <v>2957</v>
      </c>
      <c r="G18237" s="6">
        <v>256</v>
      </c>
      <c r="H18237" s="5">
        <v>553</v>
      </c>
    </row>
    <row r="18238" spans="2:8" ht="15" customHeight="1" x14ac:dyDescent="0.4">
      <c r="B18238" s="3" t="s">
        <v>7</v>
      </c>
      <c r="C18238" s="3" t="s">
        <v>2956</v>
      </c>
      <c r="D18238" s="4">
        <f>DATE(2003,4,14)</f>
        <v>37725</v>
      </c>
      <c r="E18238" s="5">
        <f t="shared" si="298"/>
        <v>2003</v>
      </c>
      <c r="F18238" s="3" t="s">
        <v>2957</v>
      </c>
      <c r="G18238" s="6">
        <v>256</v>
      </c>
      <c r="H18238" s="5">
        <v>749</v>
      </c>
    </row>
    <row r="18239" spans="2:8" ht="15" customHeight="1" x14ac:dyDescent="0.4">
      <c r="B18239" s="3" t="s">
        <v>7</v>
      </c>
      <c r="C18239" s="3" t="s">
        <v>2956</v>
      </c>
      <c r="D18239" s="4">
        <f>DATE(2003,4,16)</f>
        <v>37727</v>
      </c>
      <c r="E18239" s="5">
        <f t="shared" si="298"/>
        <v>2003</v>
      </c>
      <c r="F18239" s="3" t="s">
        <v>2957</v>
      </c>
      <c r="G18239" s="6">
        <v>1087</v>
      </c>
      <c r="H18239" s="5">
        <v>750</v>
      </c>
    </row>
    <row r="18240" spans="2:8" ht="15" customHeight="1" x14ac:dyDescent="0.4">
      <c r="B18240" s="3" t="s">
        <v>7</v>
      </c>
      <c r="C18240" s="3" t="s">
        <v>2956</v>
      </c>
      <c r="D18240" s="4">
        <f>DATE(2003,7,14)</f>
        <v>37816</v>
      </c>
      <c r="E18240" s="5">
        <f t="shared" si="298"/>
        <v>2003</v>
      </c>
      <c r="F18240" s="3" t="s">
        <v>2957</v>
      </c>
      <c r="G18240" s="6">
        <v>250</v>
      </c>
      <c r="H18240" s="5">
        <v>1198</v>
      </c>
    </row>
    <row r="18241" spans="2:8" ht="15" customHeight="1" x14ac:dyDescent="0.4">
      <c r="B18241" s="3" t="s">
        <v>7</v>
      </c>
      <c r="C18241" s="3" t="s">
        <v>2956</v>
      </c>
      <c r="D18241" s="4">
        <f>DATE(2003,7,16)</f>
        <v>37818</v>
      </c>
      <c r="E18241" s="5">
        <f t="shared" si="298"/>
        <v>2003</v>
      </c>
      <c r="F18241" s="3" t="s">
        <v>2957</v>
      </c>
      <c r="G18241" s="6">
        <v>8696.5</v>
      </c>
      <c r="H18241" s="5">
        <v>1229</v>
      </c>
    </row>
    <row r="18242" spans="2:8" ht="15" customHeight="1" x14ac:dyDescent="0.4">
      <c r="B18242" s="3" t="s">
        <v>7</v>
      </c>
      <c r="C18242" s="3" t="s">
        <v>2956</v>
      </c>
      <c r="D18242" s="4">
        <f>DATE(2003,7,22)</f>
        <v>37824</v>
      </c>
      <c r="E18242" s="5">
        <f t="shared" si="298"/>
        <v>2003</v>
      </c>
      <c r="F18242" s="3" t="s">
        <v>2957</v>
      </c>
      <c r="G18242" s="6">
        <v>8689.5</v>
      </c>
      <c r="H18242" s="5">
        <v>1191</v>
      </c>
    </row>
    <row r="18243" spans="2:8" ht="15" customHeight="1" x14ac:dyDescent="0.4">
      <c r="B18243" s="3" t="s">
        <v>7</v>
      </c>
      <c r="C18243" s="3" t="s">
        <v>2956</v>
      </c>
      <c r="D18243" s="4">
        <f>DATE(2003,7,25)</f>
        <v>37827</v>
      </c>
      <c r="E18243" s="5">
        <f t="shared" ref="E18243:E18306" si="299">YEAR(D18243)</f>
        <v>2003</v>
      </c>
      <c r="F18243" s="3" t="s">
        <v>2957</v>
      </c>
      <c r="G18243" s="6">
        <v>231</v>
      </c>
      <c r="H18243" s="5">
        <v>1264</v>
      </c>
    </row>
    <row r="18244" spans="2:8" ht="15" customHeight="1" x14ac:dyDescent="0.4">
      <c r="B18244" s="3" t="s">
        <v>7</v>
      </c>
      <c r="C18244" s="3" t="s">
        <v>2956</v>
      </c>
      <c r="D18244" s="4">
        <f>DATE(2003,8,6)</f>
        <v>37839</v>
      </c>
      <c r="E18244" s="5">
        <f t="shared" si="299"/>
        <v>2003</v>
      </c>
      <c r="F18244" s="3" t="s">
        <v>2957</v>
      </c>
      <c r="G18244" s="6">
        <v>231</v>
      </c>
      <c r="H18244" s="5">
        <v>1324</v>
      </c>
    </row>
    <row r="18245" spans="2:8" ht="15" customHeight="1" x14ac:dyDescent="0.4">
      <c r="B18245" s="3" t="s">
        <v>7</v>
      </c>
      <c r="C18245" s="3" t="s">
        <v>2956</v>
      </c>
      <c r="D18245" s="4">
        <f>DATE(2003,8,11)</f>
        <v>37844</v>
      </c>
      <c r="E18245" s="5">
        <f t="shared" si="299"/>
        <v>2003</v>
      </c>
      <c r="F18245" s="3" t="s">
        <v>2957</v>
      </c>
      <c r="G18245" s="6">
        <v>8689.5</v>
      </c>
      <c r="H18245" s="5">
        <v>1344</v>
      </c>
    </row>
    <row r="18246" spans="2:8" ht="15" customHeight="1" x14ac:dyDescent="0.4">
      <c r="B18246" s="3" t="s">
        <v>7</v>
      </c>
      <c r="C18246" s="3" t="s">
        <v>2956</v>
      </c>
      <c r="D18246" s="4">
        <f>DATE(2003,9,30)</f>
        <v>37894</v>
      </c>
      <c r="E18246" s="5">
        <f t="shared" si="299"/>
        <v>2003</v>
      </c>
      <c r="F18246" s="3" t="s">
        <v>2957</v>
      </c>
      <c r="G18246" s="6">
        <v>1080</v>
      </c>
      <c r="H18246" s="5">
        <v>1595</v>
      </c>
    </row>
    <row r="18247" spans="2:8" ht="15" customHeight="1" x14ac:dyDescent="0.4">
      <c r="B18247" s="3" t="s">
        <v>7</v>
      </c>
      <c r="C18247" s="3" t="s">
        <v>2956</v>
      </c>
      <c r="D18247" s="4">
        <f>DATE(2003,10,7)</f>
        <v>37901</v>
      </c>
      <c r="E18247" s="5">
        <f t="shared" si="299"/>
        <v>2003</v>
      </c>
      <c r="F18247" s="3" t="s">
        <v>2957</v>
      </c>
      <c r="G18247" s="6">
        <v>233.5</v>
      </c>
      <c r="H18247" s="5">
        <v>1614</v>
      </c>
    </row>
    <row r="18248" spans="2:8" ht="15" customHeight="1" x14ac:dyDescent="0.4">
      <c r="B18248" s="3" t="s">
        <v>7</v>
      </c>
      <c r="C18248" s="3" t="s">
        <v>2956</v>
      </c>
      <c r="D18248" s="4">
        <f>DATE(2003,10,22)</f>
        <v>37916</v>
      </c>
      <c r="E18248" s="5">
        <f t="shared" si="299"/>
        <v>2003</v>
      </c>
      <c r="F18248" s="3" t="s">
        <v>2957</v>
      </c>
      <c r="G18248" s="6">
        <v>350</v>
      </c>
      <c r="H18248" s="5">
        <v>1668</v>
      </c>
    </row>
    <row r="18249" spans="2:8" ht="15" customHeight="1" x14ac:dyDescent="0.4">
      <c r="B18249" s="3" t="s">
        <v>7</v>
      </c>
      <c r="C18249" s="3" t="s">
        <v>2956</v>
      </c>
      <c r="D18249" s="4">
        <f>DATE(2003,10,28)</f>
        <v>37922</v>
      </c>
      <c r="E18249" s="5">
        <f t="shared" si="299"/>
        <v>2003</v>
      </c>
      <c r="F18249" s="3" t="s">
        <v>2957</v>
      </c>
      <c r="G18249" s="6">
        <v>427</v>
      </c>
      <c r="H18249" s="5">
        <v>1718</v>
      </c>
    </row>
    <row r="18250" spans="2:8" ht="15" customHeight="1" x14ac:dyDescent="0.4">
      <c r="B18250" s="3" t="s">
        <v>7</v>
      </c>
      <c r="C18250" s="3" t="s">
        <v>2956</v>
      </c>
      <c r="D18250" s="4">
        <f>DATE(2003,11,10)</f>
        <v>37935</v>
      </c>
      <c r="E18250" s="5">
        <f t="shared" si="299"/>
        <v>2003</v>
      </c>
      <c r="F18250" s="3" t="s">
        <v>2957</v>
      </c>
      <c r="G18250" s="6">
        <v>200</v>
      </c>
      <c r="H18250" s="5">
        <v>1744</v>
      </c>
    </row>
    <row r="18251" spans="2:8" ht="15" customHeight="1" x14ac:dyDescent="0.4">
      <c r="B18251" s="3" t="s">
        <v>7</v>
      </c>
      <c r="C18251" s="3" t="s">
        <v>2956</v>
      </c>
      <c r="D18251" s="4">
        <f>DATE(2003,12,2)</f>
        <v>37957</v>
      </c>
      <c r="E18251" s="5">
        <f t="shared" si="299"/>
        <v>2003</v>
      </c>
      <c r="F18251" s="3" t="s">
        <v>2957</v>
      </c>
      <c r="G18251" s="6">
        <v>840</v>
      </c>
      <c r="H18251" s="5">
        <v>1844</v>
      </c>
    </row>
    <row r="18252" spans="2:8" ht="15" customHeight="1" x14ac:dyDescent="0.4">
      <c r="B18252" s="3" t="s">
        <v>7</v>
      </c>
      <c r="C18252" s="3" t="s">
        <v>2956</v>
      </c>
      <c r="D18252" s="4">
        <f>DATE(2004,1,9)</f>
        <v>37995</v>
      </c>
      <c r="E18252" s="5">
        <f t="shared" si="299"/>
        <v>2004</v>
      </c>
      <c r="F18252" s="3" t="s">
        <v>2957</v>
      </c>
      <c r="G18252" s="6">
        <v>250</v>
      </c>
      <c r="H18252" s="5">
        <v>1944</v>
      </c>
    </row>
    <row r="18253" spans="2:8" ht="15" customHeight="1" x14ac:dyDescent="0.4">
      <c r="B18253" s="3" t="s">
        <v>7</v>
      </c>
      <c r="C18253" s="3" t="s">
        <v>2956</v>
      </c>
      <c r="D18253" s="4">
        <f>DATE(2004,2,19)</f>
        <v>38036</v>
      </c>
      <c r="E18253" s="5">
        <f t="shared" si="299"/>
        <v>2004</v>
      </c>
      <c r="F18253" s="3" t="s">
        <v>2957</v>
      </c>
      <c r="G18253" s="6">
        <v>8693.43</v>
      </c>
      <c r="H18253" s="5">
        <v>2209</v>
      </c>
    </row>
    <row r="18254" spans="2:8" ht="15" customHeight="1" x14ac:dyDescent="0.4">
      <c r="B18254" s="3" t="s">
        <v>7</v>
      </c>
      <c r="C18254" s="3" t="s">
        <v>2956</v>
      </c>
      <c r="D18254" s="4">
        <f>DATE(2004,4,1)</f>
        <v>38078</v>
      </c>
      <c r="E18254" s="5">
        <f t="shared" si="299"/>
        <v>2004</v>
      </c>
      <c r="F18254" s="3" t="s">
        <v>2957</v>
      </c>
      <c r="G18254" s="6">
        <v>30.24</v>
      </c>
      <c r="H18254" s="5">
        <v>2552</v>
      </c>
    </row>
    <row r="18255" spans="2:8" ht="15" customHeight="1" x14ac:dyDescent="0.4">
      <c r="B18255" s="3" t="s">
        <v>7</v>
      </c>
      <c r="C18255" s="3" t="s">
        <v>2956</v>
      </c>
      <c r="D18255" s="4">
        <f>DATE(2004,4,5)</f>
        <v>38082</v>
      </c>
      <c r="E18255" s="5">
        <f t="shared" si="299"/>
        <v>2004</v>
      </c>
      <c r="F18255" s="3" t="s">
        <v>2957</v>
      </c>
      <c r="G18255" s="6">
        <v>1080</v>
      </c>
      <c r="H18255" s="5">
        <v>2551</v>
      </c>
    </row>
    <row r="18256" spans="2:8" ht="15" customHeight="1" x14ac:dyDescent="0.4">
      <c r="B18256" s="3" t="s">
        <v>7</v>
      </c>
      <c r="C18256" s="3" t="s">
        <v>2956</v>
      </c>
      <c r="D18256" s="4">
        <f>DATE(2004,5,24)</f>
        <v>38131</v>
      </c>
      <c r="E18256" s="5">
        <f t="shared" si="299"/>
        <v>2004</v>
      </c>
      <c r="F18256" s="3" t="s">
        <v>2957</v>
      </c>
      <c r="G18256" s="6">
        <v>5795.62</v>
      </c>
      <c r="H18256" s="5">
        <v>2910</v>
      </c>
    </row>
    <row r="18257" spans="2:8" ht="15" customHeight="1" x14ac:dyDescent="0.4">
      <c r="B18257" s="3" t="s">
        <v>7</v>
      </c>
      <c r="C18257" s="3" t="s">
        <v>2956</v>
      </c>
      <c r="D18257" s="4">
        <f>DATE(2004,6,21)</f>
        <v>38159</v>
      </c>
      <c r="E18257" s="5">
        <f t="shared" si="299"/>
        <v>2004</v>
      </c>
      <c r="F18257" s="3" t="s">
        <v>2957</v>
      </c>
      <c r="G18257" s="6">
        <v>420</v>
      </c>
      <c r="H18257" s="5">
        <v>3033</v>
      </c>
    </row>
    <row r="18258" spans="2:8" ht="15" customHeight="1" x14ac:dyDescent="0.4">
      <c r="B18258" s="3" t="s">
        <v>7</v>
      </c>
      <c r="C18258" s="3" t="s">
        <v>2956</v>
      </c>
      <c r="D18258" s="4">
        <f>DATE(2004,7,28)</f>
        <v>38196</v>
      </c>
      <c r="E18258" s="5">
        <f t="shared" si="299"/>
        <v>2004</v>
      </c>
      <c r="F18258" s="3" t="s">
        <v>2957</v>
      </c>
      <c r="G18258" s="6">
        <v>420</v>
      </c>
      <c r="H18258" s="5">
        <v>3204</v>
      </c>
    </row>
    <row r="18259" spans="2:8" ht="15" customHeight="1" x14ac:dyDescent="0.4">
      <c r="B18259" s="3" t="s">
        <v>7</v>
      </c>
      <c r="C18259" s="3" t="s">
        <v>2956</v>
      </c>
      <c r="D18259" s="4">
        <f>DATE(2004,9,27)</f>
        <v>38257</v>
      </c>
      <c r="E18259" s="5">
        <f t="shared" si="299"/>
        <v>2004</v>
      </c>
      <c r="F18259" s="3" t="s">
        <v>2957</v>
      </c>
      <c r="G18259" s="6">
        <v>5760</v>
      </c>
      <c r="H18259" s="5">
        <v>3287</v>
      </c>
    </row>
    <row r="18260" spans="2:8" ht="15" customHeight="1" x14ac:dyDescent="0.4">
      <c r="B18260" s="3" t="s">
        <v>7</v>
      </c>
      <c r="C18260" s="3" t="s">
        <v>2956</v>
      </c>
      <c r="D18260" s="4">
        <f>DATE(2004,9,29)</f>
        <v>38259</v>
      </c>
      <c r="E18260" s="5">
        <f t="shared" si="299"/>
        <v>2004</v>
      </c>
      <c r="F18260" s="3" t="s">
        <v>2957</v>
      </c>
      <c r="G18260" s="6">
        <v>300</v>
      </c>
      <c r="H18260" s="5">
        <v>3428</v>
      </c>
    </row>
    <row r="18261" spans="2:8" ht="15" customHeight="1" x14ac:dyDescent="0.4">
      <c r="B18261" s="3" t="s">
        <v>7</v>
      </c>
      <c r="C18261" s="3" t="s">
        <v>2956</v>
      </c>
      <c r="D18261" s="4">
        <f>DATE(2004,10,21)</f>
        <v>38281</v>
      </c>
      <c r="E18261" s="5">
        <f t="shared" si="299"/>
        <v>2004</v>
      </c>
      <c r="F18261" s="3" t="s">
        <v>2957</v>
      </c>
      <c r="G18261" s="6">
        <v>840</v>
      </c>
      <c r="H18261" s="5">
        <v>3606</v>
      </c>
    </row>
    <row r="18262" spans="2:8" ht="15" customHeight="1" x14ac:dyDescent="0.4">
      <c r="B18262" s="3" t="s">
        <v>7</v>
      </c>
      <c r="C18262" s="3" t="s">
        <v>2956</v>
      </c>
      <c r="D18262" s="4">
        <f>DATE(2004,10,28)</f>
        <v>38288</v>
      </c>
      <c r="E18262" s="5">
        <f t="shared" si="299"/>
        <v>2004</v>
      </c>
      <c r="F18262" s="3" t="s">
        <v>2957</v>
      </c>
      <c r="G18262" s="6">
        <v>840</v>
      </c>
      <c r="H18262" s="5">
        <v>3634</v>
      </c>
    </row>
    <row r="18263" spans="2:8" ht="15" customHeight="1" x14ac:dyDescent="0.4">
      <c r="B18263" s="3" t="s">
        <v>7</v>
      </c>
      <c r="C18263" s="3" t="s">
        <v>2956</v>
      </c>
      <c r="D18263" s="4">
        <f>DATE(2005,4,14)</f>
        <v>38456</v>
      </c>
      <c r="E18263" s="5">
        <f t="shared" si="299"/>
        <v>2005</v>
      </c>
      <c r="F18263" s="3" t="s">
        <v>2957</v>
      </c>
      <c r="G18263" s="6">
        <v>6080</v>
      </c>
      <c r="H18263" s="5">
        <v>4557</v>
      </c>
    </row>
    <row r="18264" spans="2:8" ht="15" customHeight="1" x14ac:dyDescent="0.4">
      <c r="B18264" s="3" t="s">
        <v>7</v>
      </c>
      <c r="C18264" s="3" t="s">
        <v>2956</v>
      </c>
      <c r="D18264" s="4">
        <f>DATE(2005,4,27)</f>
        <v>38469</v>
      </c>
      <c r="E18264" s="5">
        <f t="shared" si="299"/>
        <v>2005</v>
      </c>
      <c r="F18264" s="3" t="s">
        <v>2957</v>
      </c>
      <c r="G18264" s="6">
        <v>950</v>
      </c>
      <c r="H18264" s="5">
        <v>4637</v>
      </c>
    </row>
    <row r="18265" spans="2:8" ht="15" customHeight="1" x14ac:dyDescent="0.4">
      <c r="B18265" s="3" t="s">
        <v>7</v>
      </c>
      <c r="C18265" s="3" t="s">
        <v>2956</v>
      </c>
      <c r="D18265" s="4">
        <f>DATE(2005,5,4)</f>
        <v>38476</v>
      </c>
      <c r="E18265" s="5">
        <f t="shared" si="299"/>
        <v>2005</v>
      </c>
      <c r="F18265" s="3" t="s">
        <v>2957</v>
      </c>
      <c r="G18265" s="6">
        <v>31.74</v>
      </c>
      <c r="H18265" s="5">
        <v>4693</v>
      </c>
    </row>
    <row r="18266" spans="2:8" ht="15" customHeight="1" x14ac:dyDescent="0.4">
      <c r="B18266" s="3" t="s">
        <v>7</v>
      </c>
      <c r="C18266" s="3" t="s">
        <v>2956</v>
      </c>
      <c r="D18266" s="4">
        <f>DATE(2005,5,4)</f>
        <v>38476</v>
      </c>
      <c r="E18266" s="5">
        <f t="shared" si="299"/>
        <v>2005</v>
      </c>
      <c r="F18266" s="3" t="s">
        <v>2957</v>
      </c>
      <c r="G18266" s="6">
        <v>1140</v>
      </c>
      <c r="H18266" s="5">
        <v>4692</v>
      </c>
    </row>
    <row r="18267" spans="2:8" ht="15" customHeight="1" x14ac:dyDescent="0.4">
      <c r="B18267" s="3" t="s">
        <v>7</v>
      </c>
      <c r="C18267" s="3" t="s">
        <v>2956</v>
      </c>
      <c r="D18267" s="4">
        <f>DATE(2005,6,3)</f>
        <v>38506</v>
      </c>
      <c r="E18267" s="5">
        <f t="shared" si="299"/>
        <v>2005</v>
      </c>
      <c r="F18267" s="3" t="s">
        <v>2957</v>
      </c>
      <c r="G18267" s="6">
        <v>6080</v>
      </c>
      <c r="H18267" s="5">
        <v>4847</v>
      </c>
    </row>
    <row r="18268" spans="2:8" ht="15" customHeight="1" x14ac:dyDescent="0.4">
      <c r="B18268" s="3" t="s">
        <v>7</v>
      </c>
      <c r="C18268" s="3" t="s">
        <v>2956</v>
      </c>
      <c r="D18268" s="4">
        <f>DATE(2005,6,13)</f>
        <v>38516</v>
      </c>
      <c r="E18268" s="5">
        <f t="shared" si="299"/>
        <v>2005</v>
      </c>
      <c r="F18268" s="3" t="s">
        <v>2957</v>
      </c>
      <c r="G18268" s="6">
        <v>6080</v>
      </c>
      <c r="H18268" s="5">
        <v>4873</v>
      </c>
    </row>
    <row r="18269" spans="2:8" ht="15" customHeight="1" x14ac:dyDescent="0.4">
      <c r="B18269" s="3" t="s">
        <v>7</v>
      </c>
      <c r="C18269" s="3" t="s">
        <v>2956</v>
      </c>
      <c r="D18269" s="4">
        <f>DATE(2005,8,19)</f>
        <v>38583</v>
      </c>
      <c r="E18269" s="5">
        <f t="shared" si="299"/>
        <v>2005</v>
      </c>
      <c r="F18269" s="3" t="s">
        <v>2957</v>
      </c>
      <c r="G18269" s="6">
        <v>882</v>
      </c>
      <c r="H18269" s="5">
        <v>5143</v>
      </c>
    </row>
    <row r="18270" spans="2:8" ht="15" customHeight="1" x14ac:dyDescent="0.4">
      <c r="B18270" s="3" t="s">
        <v>7</v>
      </c>
      <c r="C18270" s="3" t="s">
        <v>2956</v>
      </c>
      <c r="D18270" s="4">
        <f>DATE(2005,8,23)</f>
        <v>38587</v>
      </c>
      <c r="E18270" s="5">
        <f t="shared" si="299"/>
        <v>2005</v>
      </c>
      <c r="F18270" s="3" t="s">
        <v>2957</v>
      </c>
      <c r="G18270" s="6">
        <v>9120</v>
      </c>
      <c r="H18270" s="5">
        <v>5158</v>
      </c>
    </row>
    <row r="18271" spans="2:8" ht="15" customHeight="1" x14ac:dyDescent="0.4">
      <c r="B18271" s="3" t="s">
        <v>7</v>
      </c>
      <c r="C18271" s="3" t="s">
        <v>2956</v>
      </c>
      <c r="D18271" s="4">
        <f>DATE(2005,9,2)</f>
        <v>38597</v>
      </c>
      <c r="E18271" s="5">
        <f t="shared" si="299"/>
        <v>2005</v>
      </c>
      <c r="F18271" s="3" t="s">
        <v>2957</v>
      </c>
      <c r="G18271" s="6">
        <v>441</v>
      </c>
      <c r="H18271" s="5">
        <v>5213</v>
      </c>
    </row>
    <row r="18272" spans="2:8" ht="15" customHeight="1" x14ac:dyDescent="0.4">
      <c r="B18272" s="3" t="s">
        <v>7</v>
      </c>
      <c r="C18272" s="3" t="s">
        <v>2956</v>
      </c>
      <c r="D18272" s="4">
        <f>DATE(2006,1,17)</f>
        <v>38734</v>
      </c>
      <c r="E18272" s="5">
        <f t="shared" si="299"/>
        <v>2006</v>
      </c>
      <c r="F18272" s="3" t="s">
        <v>2957</v>
      </c>
      <c r="G18272" s="6">
        <v>441</v>
      </c>
      <c r="H18272" s="5">
        <v>5857</v>
      </c>
    </row>
    <row r="18273" spans="2:8" ht="15" customHeight="1" x14ac:dyDescent="0.4">
      <c r="B18273" s="3" t="s">
        <v>7</v>
      </c>
      <c r="C18273" s="3" t="s">
        <v>2956</v>
      </c>
      <c r="D18273" s="4">
        <f>DATE(2006,1,19)</f>
        <v>38736</v>
      </c>
      <c r="E18273" s="5">
        <f t="shared" si="299"/>
        <v>2006</v>
      </c>
      <c r="F18273" s="3" t="s">
        <v>2957</v>
      </c>
      <c r="G18273" s="6">
        <v>6080</v>
      </c>
      <c r="H18273" s="5">
        <v>5877</v>
      </c>
    </row>
    <row r="18274" spans="2:8" ht="15" customHeight="1" x14ac:dyDescent="0.4">
      <c r="B18274" s="3" t="s">
        <v>7</v>
      </c>
      <c r="C18274" s="3" t="s">
        <v>2956</v>
      </c>
      <c r="D18274" s="4">
        <f>DATE(2006,3,28)</f>
        <v>38804</v>
      </c>
      <c r="E18274" s="5">
        <f t="shared" si="299"/>
        <v>2006</v>
      </c>
      <c r="F18274" s="3" t="s">
        <v>2957</v>
      </c>
      <c r="G18274" s="6">
        <v>9120</v>
      </c>
      <c r="H18274" s="5">
        <v>6405</v>
      </c>
    </row>
    <row r="18275" spans="2:8" ht="15" customHeight="1" x14ac:dyDescent="0.4">
      <c r="B18275" s="3" t="s">
        <v>7</v>
      </c>
      <c r="C18275" s="3" t="s">
        <v>2956</v>
      </c>
      <c r="D18275" s="4">
        <f>DATE(2006,4,14)</f>
        <v>38821</v>
      </c>
      <c r="E18275" s="5">
        <f t="shared" si="299"/>
        <v>2006</v>
      </c>
      <c r="F18275" s="3" t="s">
        <v>2957</v>
      </c>
      <c r="G18275" s="6">
        <v>882</v>
      </c>
      <c r="H18275" s="5">
        <v>6531</v>
      </c>
    </row>
    <row r="18276" spans="2:8" ht="15" customHeight="1" x14ac:dyDescent="0.4">
      <c r="B18276" s="3" t="s">
        <v>7</v>
      </c>
      <c r="C18276" s="3" t="s">
        <v>2956</v>
      </c>
      <c r="D18276" s="4">
        <f>DATE(2006,7,5)</f>
        <v>38903</v>
      </c>
      <c r="E18276" s="5">
        <f t="shared" si="299"/>
        <v>2006</v>
      </c>
      <c r="F18276" s="3" t="s">
        <v>2957</v>
      </c>
      <c r="G18276" s="6">
        <v>882</v>
      </c>
      <c r="H18276" s="5">
        <v>6914</v>
      </c>
    </row>
    <row r="18277" spans="2:8" ht="15" customHeight="1" x14ac:dyDescent="0.4">
      <c r="B18277" s="3" t="s">
        <v>7</v>
      </c>
      <c r="C18277" s="3" t="s">
        <v>2956</v>
      </c>
      <c r="D18277" s="4">
        <f>DATE(2006,11,1)</f>
        <v>39022</v>
      </c>
      <c r="E18277" s="5">
        <f t="shared" si="299"/>
        <v>2006</v>
      </c>
      <c r="F18277" s="3" t="s">
        <v>2957</v>
      </c>
      <c r="G18277" s="6">
        <v>441</v>
      </c>
      <c r="H18277" s="5">
        <v>7461</v>
      </c>
    </row>
    <row r="18278" spans="2:8" ht="15" customHeight="1" x14ac:dyDescent="0.4">
      <c r="B18278" s="3" t="s">
        <v>7</v>
      </c>
      <c r="C18278" s="3" t="s">
        <v>2956</v>
      </c>
      <c r="D18278" s="4">
        <f>DATE(2006,11,6)</f>
        <v>39027</v>
      </c>
      <c r="E18278" s="5">
        <f t="shared" si="299"/>
        <v>2006</v>
      </c>
      <c r="F18278" s="3" t="s">
        <v>2957</v>
      </c>
      <c r="G18278" s="6">
        <v>882</v>
      </c>
      <c r="H18278" s="5">
        <v>7483</v>
      </c>
    </row>
    <row r="18279" spans="2:8" ht="15" customHeight="1" x14ac:dyDescent="0.4">
      <c r="B18279" s="3" t="s">
        <v>7</v>
      </c>
      <c r="C18279" s="3" t="s">
        <v>2956</v>
      </c>
      <c r="D18279" s="4">
        <f>DATE(2006,11,8)</f>
        <v>39029</v>
      </c>
      <c r="E18279" s="5">
        <f t="shared" si="299"/>
        <v>2006</v>
      </c>
      <c r="F18279" s="3" t="s">
        <v>2957</v>
      </c>
      <c r="G18279" s="6">
        <v>882</v>
      </c>
      <c r="H18279" s="5">
        <v>7493</v>
      </c>
    </row>
    <row r="18280" spans="2:8" ht="15" customHeight="1" x14ac:dyDescent="0.4">
      <c r="B18280" s="3" t="s">
        <v>7</v>
      </c>
      <c r="C18280" s="3" t="s">
        <v>2956</v>
      </c>
      <c r="D18280" s="4">
        <f>DATE(2006,11,14)</f>
        <v>39035</v>
      </c>
      <c r="E18280" s="5">
        <f t="shared" si="299"/>
        <v>2006</v>
      </c>
      <c r="F18280" s="3" t="s">
        <v>2957</v>
      </c>
      <c r="G18280" s="6">
        <v>4410</v>
      </c>
      <c r="H18280" s="5">
        <v>7530</v>
      </c>
    </row>
    <row r="18281" spans="2:8" ht="15" customHeight="1" x14ac:dyDescent="0.4">
      <c r="B18281" s="3" t="s">
        <v>7</v>
      </c>
      <c r="C18281" s="3" t="s">
        <v>2956</v>
      </c>
      <c r="D18281" s="4">
        <f>DATE(2006,11,16)</f>
        <v>39037</v>
      </c>
      <c r="E18281" s="5">
        <f t="shared" si="299"/>
        <v>2006</v>
      </c>
      <c r="F18281" s="3" t="s">
        <v>2957</v>
      </c>
      <c r="G18281" s="6">
        <v>1316</v>
      </c>
      <c r="H18281" s="5">
        <v>7498</v>
      </c>
    </row>
    <row r="18282" spans="2:8" ht="15" customHeight="1" x14ac:dyDescent="0.4">
      <c r="B18282" s="3" t="s">
        <v>7</v>
      </c>
      <c r="C18282" s="3" t="s">
        <v>2956</v>
      </c>
      <c r="D18282" s="4">
        <f>DATE(2006,12,1)</f>
        <v>39052</v>
      </c>
      <c r="E18282" s="5">
        <f t="shared" si="299"/>
        <v>2006</v>
      </c>
      <c r="F18282" s="3" t="s">
        <v>2957</v>
      </c>
      <c r="G18282" s="6">
        <v>5733</v>
      </c>
      <c r="H18282" s="5">
        <v>7599</v>
      </c>
    </row>
    <row r="18283" spans="2:8" ht="15" customHeight="1" x14ac:dyDescent="0.4">
      <c r="B18283" s="3" t="s">
        <v>7</v>
      </c>
      <c r="C18283" s="3" t="s">
        <v>2956</v>
      </c>
      <c r="D18283" s="4">
        <f>DATE(2006,12,5)</f>
        <v>39056</v>
      </c>
      <c r="E18283" s="5">
        <f t="shared" si="299"/>
        <v>2006</v>
      </c>
      <c r="F18283" s="3" t="s">
        <v>2957</v>
      </c>
      <c r="G18283" s="6">
        <v>1323</v>
      </c>
      <c r="H18283" s="5">
        <v>7609</v>
      </c>
    </row>
    <row r="18284" spans="2:8" ht="15" customHeight="1" x14ac:dyDescent="0.4">
      <c r="B18284" s="3" t="s">
        <v>7</v>
      </c>
      <c r="C18284" s="3" t="s">
        <v>2956</v>
      </c>
      <c r="D18284" s="4">
        <f>DATE(2006,12,5)</f>
        <v>39056</v>
      </c>
      <c r="E18284" s="5">
        <f t="shared" si="299"/>
        <v>2006</v>
      </c>
      <c r="F18284" s="3" t="s">
        <v>2957</v>
      </c>
      <c r="G18284" s="6">
        <v>2205</v>
      </c>
      <c r="H18284" s="5">
        <v>7610</v>
      </c>
    </row>
    <row r="18285" spans="2:8" ht="15" customHeight="1" x14ac:dyDescent="0.4">
      <c r="B18285" s="3" t="s">
        <v>7</v>
      </c>
      <c r="C18285" s="3" t="s">
        <v>2956</v>
      </c>
      <c r="D18285" s="4">
        <f>DATE(2006,12,6)</f>
        <v>39057</v>
      </c>
      <c r="E18285" s="5">
        <f t="shared" si="299"/>
        <v>2006</v>
      </c>
      <c r="F18285" s="3" t="s">
        <v>2957</v>
      </c>
      <c r="G18285" s="6">
        <v>1316</v>
      </c>
      <c r="H18285" s="5">
        <v>7618</v>
      </c>
    </row>
    <row r="18286" spans="2:8" ht="15" customHeight="1" x14ac:dyDescent="0.4">
      <c r="B18286" s="3" t="s">
        <v>7</v>
      </c>
      <c r="C18286" s="3" t="s">
        <v>2956</v>
      </c>
      <c r="D18286" s="4">
        <f>DATE(2006,12,28)</f>
        <v>39079</v>
      </c>
      <c r="E18286" s="5">
        <f t="shared" si="299"/>
        <v>2006</v>
      </c>
      <c r="F18286" s="3" t="s">
        <v>2957</v>
      </c>
      <c r="G18286" s="6">
        <v>1302.8399999999999</v>
      </c>
      <c r="H18286" s="5">
        <v>7695</v>
      </c>
    </row>
    <row r="18287" spans="2:8" ht="15" customHeight="1" x14ac:dyDescent="0.4">
      <c r="B18287" s="3" t="s">
        <v>7</v>
      </c>
      <c r="C18287" s="3" t="s">
        <v>2956</v>
      </c>
      <c r="D18287" s="4">
        <f>DATE(2007,5,9)</f>
        <v>39211</v>
      </c>
      <c r="E18287" s="5">
        <f t="shared" si="299"/>
        <v>2007</v>
      </c>
      <c r="F18287" s="3" t="s">
        <v>2957</v>
      </c>
      <c r="G18287" s="6">
        <v>1323</v>
      </c>
      <c r="H18287" s="5">
        <v>8524</v>
      </c>
    </row>
    <row r="18288" spans="2:8" ht="15" customHeight="1" x14ac:dyDescent="0.4">
      <c r="B18288" s="3" t="s">
        <v>7</v>
      </c>
      <c r="C18288" s="3" t="s">
        <v>2956</v>
      </c>
      <c r="D18288" s="4">
        <f>DATE(2008,6,10)</f>
        <v>39609</v>
      </c>
      <c r="E18288" s="5">
        <f t="shared" si="299"/>
        <v>2008</v>
      </c>
      <c r="F18288" s="3" t="s">
        <v>2957</v>
      </c>
      <c r="G18288" s="6">
        <v>3040</v>
      </c>
      <c r="H18288" s="5">
        <v>10813</v>
      </c>
    </row>
    <row r="18289" spans="2:8" ht="15" customHeight="1" x14ac:dyDescent="0.4">
      <c r="B18289" s="3" t="s">
        <v>7</v>
      </c>
      <c r="C18289" s="3" t="s">
        <v>2956</v>
      </c>
      <c r="D18289" s="4">
        <f>DATE(2009,5,29)</f>
        <v>39962</v>
      </c>
      <c r="E18289" s="5">
        <f t="shared" si="299"/>
        <v>2009</v>
      </c>
      <c r="F18289" s="3" t="s">
        <v>2957</v>
      </c>
      <c r="G18289" s="6">
        <v>1140</v>
      </c>
      <c r="H18289" s="5">
        <v>12610</v>
      </c>
    </row>
    <row r="18290" spans="2:8" ht="15" customHeight="1" x14ac:dyDescent="0.4">
      <c r="B18290" s="3" t="s">
        <v>7</v>
      </c>
      <c r="C18290" s="3" t="s">
        <v>2956</v>
      </c>
      <c r="D18290" s="4">
        <f>DATE(2013,5,15)</f>
        <v>41409</v>
      </c>
      <c r="E18290" s="5">
        <f t="shared" si="299"/>
        <v>2013</v>
      </c>
      <c r="F18290" s="3" t="s">
        <v>2957</v>
      </c>
      <c r="G18290" s="6">
        <v>1140</v>
      </c>
      <c r="H18290" s="5">
        <v>18578</v>
      </c>
    </row>
    <row r="18291" spans="2:8" ht="15" customHeight="1" x14ac:dyDescent="0.4">
      <c r="B18291" s="3" t="s">
        <v>7</v>
      </c>
      <c r="C18291" s="3" t="s">
        <v>2956</v>
      </c>
      <c r="D18291" s="4">
        <f>DATE(2014,6,25)</f>
        <v>41815</v>
      </c>
      <c r="E18291" s="5">
        <f t="shared" si="299"/>
        <v>2014</v>
      </c>
      <c r="F18291" s="3" t="s">
        <v>2957</v>
      </c>
      <c r="G18291" s="6">
        <v>1140</v>
      </c>
      <c r="H18291" s="5">
        <v>20105</v>
      </c>
    </row>
    <row r="18292" spans="2:8" ht="15" customHeight="1" x14ac:dyDescent="0.4">
      <c r="B18292" t="s">
        <v>7</v>
      </c>
      <c r="C18292" t="s">
        <v>2958</v>
      </c>
      <c r="D18292" s="7">
        <f>DATE(2015,7,28)</f>
        <v>42213</v>
      </c>
      <c r="E18292" s="8">
        <f t="shared" si="299"/>
        <v>2015</v>
      </c>
      <c r="F18292" t="s">
        <v>2959</v>
      </c>
      <c r="G18292" s="9">
        <v>6989.8</v>
      </c>
      <c r="H18292" s="8">
        <v>21004</v>
      </c>
    </row>
    <row r="18293" spans="2:8" ht="15" customHeight="1" x14ac:dyDescent="0.4">
      <c r="B18293" t="s">
        <v>7</v>
      </c>
      <c r="C18293" t="s">
        <v>2958</v>
      </c>
      <c r="D18293" s="7">
        <f>DATE(2017,10,2)</f>
        <v>43010</v>
      </c>
      <c r="E18293" s="8">
        <f t="shared" si="299"/>
        <v>2017</v>
      </c>
      <c r="F18293" t="s">
        <v>2959</v>
      </c>
      <c r="G18293" s="9">
        <v>14985</v>
      </c>
      <c r="H18293" s="8">
        <v>25211</v>
      </c>
    </row>
    <row r="18294" spans="2:8" ht="15" customHeight="1" x14ac:dyDescent="0.4">
      <c r="B18294" t="s">
        <v>7</v>
      </c>
      <c r="C18294" t="s">
        <v>2958</v>
      </c>
      <c r="D18294" s="7">
        <f>DATE(2017,1,25)</f>
        <v>42760</v>
      </c>
      <c r="E18294" s="8">
        <f t="shared" si="299"/>
        <v>2017</v>
      </c>
      <c r="F18294" t="s">
        <v>2959</v>
      </c>
      <c r="G18294" s="9">
        <v>5205.2700000000004</v>
      </c>
      <c r="H18294" s="8">
        <v>23790</v>
      </c>
    </row>
    <row r="18295" spans="2:8" ht="15" customHeight="1" x14ac:dyDescent="0.4">
      <c r="B18295" t="s">
        <v>7</v>
      </c>
      <c r="C18295" t="s">
        <v>2958</v>
      </c>
      <c r="D18295" s="7">
        <f>DATE(2013,1,7)</f>
        <v>41281</v>
      </c>
      <c r="E18295" s="8">
        <f t="shared" si="299"/>
        <v>2013</v>
      </c>
      <c r="F18295" t="s">
        <v>2959</v>
      </c>
      <c r="G18295" s="9">
        <v>4077</v>
      </c>
      <c r="H18295" s="8">
        <v>12052</v>
      </c>
    </row>
    <row r="18296" spans="2:8" ht="15" customHeight="1" x14ac:dyDescent="0.4">
      <c r="B18296" t="s">
        <v>7</v>
      </c>
      <c r="C18296" t="s">
        <v>2958</v>
      </c>
      <c r="D18296" s="7">
        <f>DATE(2013,7,19)</f>
        <v>41474</v>
      </c>
      <c r="E18296" s="8">
        <f t="shared" si="299"/>
        <v>2013</v>
      </c>
      <c r="F18296" t="s">
        <v>2959</v>
      </c>
      <c r="G18296" s="9">
        <v>3861.39</v>
      </c>
      <c r="H18296" s="8">
        <v>12554</v>
      </c>
    </row>
    <row r="18297" spans="2:8" ht="15" customHeight="1" x14ac:dyDescent="0.4">
      <c r="B18297" t="s">
        <v>7</v>
      </c>
      <c r="C18297" t="s">
        <v>2958</v>
      </c>
      <c r="D18297" s="7">
        <f>DATE(2013,8,1)</f>
        <v>41487</v>
      </c>
      <c r="E18297" s="8">
        <f t="shared" si="299"/>
        <v>2013</v>
      </c>
      <c r="F18297" t="s">
        <v>2959</v>
      </c>
      <c r="G18297" s="9">
        <v>2112.41</v>
      </c>
      <c r="H18297" s="8">
        <v>12561</v>
      </c>
    </row>
    <row r="18298" spans="2:8" ht="15" customHeight="1" x14ac:dyDescent="0.4">
      <c r="B18298" t="s">
        <v>7</v>
      </c>
      <c r="C18298" t="s">
        <v>2958</v>
      </c>
      <c r="D18298" s="7">
        <f>DATE(2014,1,30)</f>
        <v>41669</v>
      </c>
      <c r="E18298" s="8">
        <f t="shared" si="299"/>
        <v>2014</v>
      </c>
      <c r="F18298" t="s">
        <v>2959</v>
      </c>
      <c r="G18298" s="9">
        <v>7449.37</v>
      </c>
      <c r="H18298" s="8">
        <v>12900</v>
      </c>
    </row>
    <row r="18299" spans="2:8" ht="15" customHeight="1" x14ac:dyDescent="0.4">
      <c r="B18299" s="3" t="s">
        <v>7</v>
      </c>
      <c r="C18299" s="3" t="s">
        <v>2958</v>
      </c>
      <c r="D18299" s="4">
        <f>DATE(2013,12,12)</f>
        <v>41620</v>
      </c>
      <c r="E18299" s="5">
        <f t="shared" si="299"/>
        <v>2013</v>
      </c>
      <c r="F18299" s="3" t="s">
        <v>2959</v>
      </c>
      <c r="G18299" s="6">
        <v>59400</v>
      </c>
      <c r="H18299" s="5">
        <v>18808</v>
      </c>
    </row>
    <row r="18300" spans="2:8" ht="15" customHeight="1" x14ac:dyDescent="0.4">
      <c r="B18300" t="s">
        <v>7</v>
      </c>
      <c r="C18300" t="s">
        <v>2960</v>
      </c>
      <c r="D18300" s="7">
        <f>DATE(2016,4,14)</f>
        <v>42474</v>
      </c>
      <c r="E18300" s="8">
        <f t="shared" si="299"/>
        <v>2016</v>
      </c>
      <c r="F18300" t="s">
        <v>2961</v>
      </c>
      <c r="G18300" s="9">
        <v>8215.56</v>
      </c>
      <c r="H18300" s="8">
        <v>22279</v>
      </c>
    </row>
    <row r="18301" spans="2:8" ht="15" customHeight="1" x14ac:dyDescent="0.4">
      <c r="B18301" t="s">
        <v>7</v>
      </c>
      <c r="C18301" t="s">
        <v>2962</v>
      </c>
      <c r="D18301" s="7">
        <f>DATE(2017,1,13)</f>
        <v>42748</v>
      </c>
      <c r="E18301" s="8">
        <f t="shared" si="299"/>
        <v>2017</v>
      </c>
      <c r="F18301" t="s">
        <v>2963</v>
      </c>
      <c r="G18301" s="9">
        <v>126.96</v>
      </c>
      <c r="H18301" s="8">
        <v>24080</v>
      </c>
    </row>
    <row r="18302" spans="2:8" ht="15" customHeight="1" x14ac:dyDescent="0.4">
      <c r="B18302" t="s">
        <v>7</v>
      </c>
      <c r="C18302" t="s">
        <v>2962</v>
      </c>
      <c r="D18302" s="7">
        <f>DATE(2017,8,10)</f>
        <v>42957</v>
      </c>
      <c r="E18302" s="8">
        <f t="shared" si="299"/>
        <v>2017</v>
      </c>
      <c r="F18302" t="s">
        <v>2963</v>
      </c>
      <c r="G18302" s="9">
        <v>264.5</v>
      </c>
      <c r="H18302" s="8">
        <v>25114</v>
      </c>
    </row>
    <row r="18303" spans="2:8" ht="15" customHeight="1" x14ac:dyDescent="0.4">
      <c r="B18303" t="s">
        <v>7</v>
      </c>
      <c r="C18303" t="s">
        <v>2962</v>
      </c>
      <c r="D18303" s="7">
        <f>DATE(2018,6,21)</f>
        <v>43272</v>
      </c>
      <c r="E18303" s="8">
        <f t="shared" si="299"/>
        <v>2018</v>
      </c>
      <c r="F18303" t="s">
        <v>2963</v>
      </c>
      <c r="G18303" s="9">
        <v>267</v>
      </c>
      <c r="H18303" s="8">
        <v>27202</v>
      </c>
    </row>
    <row r="18304" spans="2:8" ht="15" customHeight="1" x14ac:dyDescent="0.4">
      <c r="B18304" t="s">
        <v>7</v>
      </c>
      <c r="C18304" t="s">
        <v>2962</v>
      </c>
      <c r="D18304" s="7">
        <f>DATE(2003,4,12)</f>
        <v>37723</v>
      </c>
      <c r="E18304" s="8">
        <f t="shared" si="299"/>
        <v>2003</v>
      </c>
      <c r="F18304" t="s">
        <v>2963</v>
      </c>
      <c r="G18304" s="9">
        <v>19990.2</v>
      </c>
      <c r="H18304" s="8">
        <v>188</v>
      </c>
    </row>
    <row r="18305" spans="2:8" ht="15" customHeight="1" x14ac:dyDescent="0.4">
      <c r="B18305" t="s">
        <v>7</v>
      </c>
      <c r="C18305" t="s">
        <v>2962</v>
      </c>
      <c r="D18305" s="7">
        <f>DATE(2003,10,15)</f>
        <v>37909</v>
      </c>
      <c r="E18305" s="8">
        <f t="shared" si="299"/>
        <v>2003</v>
      </c>
      <c r="F18305" t="s">
        <v>2963</v>
      </c>
      <c r="G18305" s="9">
        <v>4220.83</v>
      </c>
      <c r="H18305" s="8">
        <v>941</v>
      </c>
    </row>
    <row r="18306" spans="2:8" ht="15" customHeight="1" x14ac:dyDescent="0.4">
      <c r="B18306" t="s">
        <v>7</v>
      </c>
      <c r="C18306" t="s">
        <v>2962</v>
      </c>
      <c r="D18306" s="7">
        <f>DATE(2004,5,6)</f>
        <v>38113</v>
      </c>
      <c r="E18306" s="8">
        <f t="shared" si="299"/>
        <v>2004</v>
      </c>
      <c r="F18306" t="s">
        <v>2963</v>
      </c>
      <c r="G18306" s="9">
        <v>37371.199999999997</v>
      </c>
      <c r="H18306" s="8">
        <v>1682</v>
      </c>
    </row>
    <row r="18307" spans="2:8" ht="15" customHeight="1" x14ac:dyDescent="0.4">
      <c r="B18307" t="s">
        <v>7</v>
      </c>
      <c r="C18307" t="s">
        <v>2962</v>
      </c>
      <c r="D18307" s="7">
        <f>DATE(2005,4,23)</f>
        <v>38465</v>
      </c>
      <c r="E18307" s="8">
        <f t="shared" ref="E18307:E18370" si="300">YEAR(D18307)</f>
        <v>2005</v>
      </c>
      <c r="F18307" t="s">
        <v>2963</v>
      </c>
      <c r="G18307" s="9">
        <v>25533.200000000001</v>
      </c>
      <c r="H18307" s="8">
        <v>3069</v>
      </c>
    </row>
    <row r="18308" spans="2:8" ht="15" customHeight="1" x14ac:dyDescent="0.4">
      <c r="B18308" t="s">
        <v>7</v>
      </c>
      <c r="C18308" t="s">
        <v>2962</v>
      </c>
      <c r="D18308" s="7">
        <f>DATE(2005,5,13)</f>
        <v>38485</v>
      </c>
      <c r="E18308" s="8">
        <f t="shared" si="300"/>
        <v>2005</v>
      </c>
      <c r="F18308" t="s">
        <v>2963</v>
      </c>
      <c r="G18308" s="9">
        <v>23933.200000000001</v>
      </c>
      <c r="H18308" s="8">
        <v>3165</v>
      </c>
    </row>
    <row r="18309" spans="2:8" ht="15" customHeight="1" x14ac:dyDescent="0.4">
      <c r="B18309" t="s">
        <v>7</v>
      </c>
      <c r="C18309" t="s">
        <v>2962</v>
      </c>
      <c r="D18309" s="7">
        <f>DATE(2006,11,17)</f>
        <v>39038</v>
      </c>
      <c r="E18309" s="8">
        <f t="shared" si="300"/>
        <v>2006</v>
      </c>
      <c r="F18309" t="s">
        <v>2963</v>
      </c>
      <c r="G18309" s="9">
        <v>3527</v>
      </c>
      <c r="H18309" s="8">
        <v>5190</v>
      </c>
    </row>
    <row r="18310" spans="2:8" ht="15" customHeight="1" x14ac:dyDescent="0.4">
      <c r="B18310" t="s">
        <v>7</v>
      </c>
      <c r="C18310" t="s">
        <v>2962</v>
      </c>
      <c r="D18310" s="7">
        <f>DATE(2010,7,19)</f>
        <v>40378</v>
      </c>
      <c r="E18310" s="8">
        <f t="shared" si="300"/>
        <v>2010</v>
      </c>
      <c r="F18310" t="s">
        <v>2963</v>
      </c>
      <c r="G18310" s="9">
        <v>60297.37</v>
      </c>
      <c r="H18310" s="8">
        <v>9942</v>
      </c>
    </row>
    <row r="18311" spans="2:8" ht="15" customHeight="1" x14ac:dyDescent="0.4">
      <c r="B18311" t="s">
        <v>7</v>
      </c>
      <c r="C18311" t="s">
        <v>2962</v>
      </c>
      <c r="D18311" s="7">
        <f>DATE(2012,5,14)</f>
        <v>41043</v>
      </c>
      <c r="E18311" s="8">
        <f t="shared" si="300"/>
        <v>2012</v>
      </c>
      <c r="F18311" t="s">
        <v>2963</v>
      </c>
      <c r="G18311" s="9">
        <v>10600</v>
      </c>
      <c r="H18311" s="8">
        <v>11576</v>
      </c>
    </row>
    <row r="18312" spans="2:8" ht="15" customHeight="1" x14ac:dyDescent="0.4">
      <c r="B18312" s="3" t="s">
        <v>7</v>
      </c>
      <c r="C18312" s="3" t="s">
        <v>2962</v>
      </c>
      <c r="D18312" s="4">
        <f>DATE(2004,4,27)</f>
        <v>38104</v>
      </c>
      <c r="E18312" s="5">
        <f t="shared" si="300"/>
        <v>2004</v>
      </c>
      <c r="F18312" s="3" t="s">
        <v>2963</v>
      </c>
      <c r="G18312" s="6">
        <v>17331.59</v>
      </c>
      <c r="H18312" s="5">
        <v>2717</v>
      </c>
    </row>
    <row r="18313" spans="2:8" ht="15" customHeight="1" x14ac:dyDescent="0.4">
      <c r="B18313" s="3" t="s">
        <v>7</v>
      </c>
      <c r="C18313" s="3" t="s">
        <v>2962</v>
      </c>
      <c r="D18313" s="4">
        <f>DATE(2005,4,26)</f>
        <v>38468</v>
      </c>
      <c r="E18313" s="5">
        <f t="shared" si="300"/>
        <v>2005</v>
      </c>
      <c r="F18313" s="3" t="s">
        <v>2963</v>
      </c>
      <c r="G18313" s="6">
        <v>18087.78</v>
      </c>
      <c r="H18313" s="5">
        <v>4555</v>
      </c>
    </row>
    <row r="18314" spans="2:8" ht="15" customHeight="1" x14ac:dyDescent="0.4">
      <c r="B18314" t="s">
        <v>7</v>
      </c>
      <c r="C18314" t="s">
        <v>2964</v>
      </c>
      <c r="D18314" s="7">
        <f>DATE(2017,3,7)</f>
        <v>42801</v>
      </c>
      <c r="E18314" s="8">
        <f t="shared" si="300"/>
        <v>2017</v>
      </c>
      <c r="F18314" t="s">
        <v>2965</v>
      </c>
      <c r="G18314" s="9">
        <v>273.48</v>
      </c>
      <c r="H18314" s="8">
        <v>24454</v>
      </c>
    </row>
    <row r="18315" spans="2:8" ht="15" customHeight="1" x14ac:dyDescent="0.4">
      <c r="B18315" t="s">
        <v>7</v>
      </c>
      <c r="C18315" t="s">
        <v>2964</v>
      </c>
      <c r="D18315" s="7">
        <f>DATE(2017,3,14)</f>
        <v>42808</v>
      </c>
      <c r="E18315" s="8">
        <f t="shared" si="300"/>
        <v>2017</v>
      </c>
      <c r="F18315" t="s">
        <v>2965</v>
      </c>
      <c r="G18315" s="9">
        <v>234.81</v>
      </c>
      <c r="H18315" s="8">
        <v>24509</v>
      </c>
    </row>
    <row r="18316" spans="2:8" ht="15" customHeight="1" x14ac:dyDescent="0.4">
      <c r="B18316" t="s">
        <v>7</v>
      </c>
      <c r="C18316" t="s">
        <v>2964</v>
      </c>
      <c r="D18316" s="7">
        <f>DATE(2003,9,24)</f>
        <v>37888</v>
      </c>
      <c r="E18316" s="8">
        <f t="shared" si="300"/>
        <v>2003</v>
      </c>
      <c r="F18316" t="s">
        <v>2965</v>
      </c>
      <c r="G18316" s="9">
        <v>12600</v>
      </c>
      <c r="H18316" s="8">
        <v>751</v>
      </c>
    </row>
    <row r="18317" spans="2:8" ht="15" customHeight="1" x14ac:dyDescent="0.4">
      <c r="B18317" t="s">
        <v>7</v>
      </c>
      <c r="C18317" t="s">
        <v>2964</v>
      </c>
      <c r="D18317" s="7">
        <f>DATE(2004,10,15)</f>
        <v>38275</v>
      </c>
      <c r="E18317" s="8">
        <f t="shared" si="300"/>
        <v>2004</v>
      </c>
      <c r="F18317" t="s">
        <v>2965</v>
      </c>
      <c r="G18317" s="9">
        <v>12600</v>
      </c>
      <c r="H18317" s="8">
        <v>2053</v>
      </c>
    </row>
    <row r="18318" spans="2:8" ht="15" customHeight="1" x14ac:dyDescent="0.4">
      <c r="B18318" t="s">
        <v>7</v>
      </c>
      <c r="C18318" t="s">
        <v>2964</v>
      </c>
      <c r="D18318" s="7">
        <f>DATE(2005,9,20)</f>
        <v>38615</v>
      </c>
      <c r="E18318" s="8">
        <f t="shared" si="300"/>
        <v>2005</v>
      </c>
      <c r="F18318" t="s">
        <v>2965</v>
      </c>
      <c r="G18318" s="9">
        <v>12600</v>
      </c>
      <c r="H18318" s="8">
        <v>3354</v>
      </c>
    </row>
    <row r="18319" spans="2:8" ht="15" customHeight="1" x14ac:dyDescent="0.4">
      <c r="B18319" t="s">
        <v>7</v>
      </c>
      <c r="C18319" t="s">
        <v>2964</v>
      </c>
      <c r="D18319" s="7">
        <f>DATE(2006,9,21)</f>
        <v>38981</v>
      </c>
      <c r="E18319" s="8">
        <f t="shared" si="300"/>
        <v>2006</v>
      </c>
      <c r="F18319" t="s">
        <v>2965</v>
      </c>
      <c r="G18319" s="9">
        <v>12600</v>
      </c>
      <c r="H18319" s="8">
        <v>4785</v>
      </c>
    </row>
    <row r="18320" spans="2:8" ht="15" customHeight="1" x14ac:dyDescent="0.4">
      <c r="B18320" t="s">
        <v>7</v>
      </c>
      <c r="C18320" t="s">
        <v>2964</v>
      </c>
      <c r="D18320" s="7">
        <f>DATE(2007,9,20)</f>
        <v>39345</v>
      </c>
      <c r="E18320" s="8">
        <f t="shared" si="300"/>
        <v>2007</v>
      </c>
      <c r="F18320" t="s">
        <v>2965</v>
      </c>
      <c r="G18320" s="9">
        <v>12600</v>
      </c>
      <c r="H18320" s="8">
        <v>6222</v>
      </c>
    </row>
    <row r="18321" spans="2:8" ht="15" customHeight="1" x14ac:dyDescent="0.4">
      <c r="B18321" t="s">
        <v>7</v>
      </c>
      <c r="C18321" t="s">
        <v>2964</v>
      </c>
      <c r="D18321" s="7">
        <f>DATE(2008,9,25)</f>
        <v>39716</v>
      </c>
      <c r="E18321" s="8">
        <f t="shared" si="300"/>
        <v>2008</v>
      </c>
      <c r="F18321" t="s">
        <v>2965</v>
      </c>
      <c r="G18321" s="9">
        <v>10200</v>
      </c>
      <c r="H18321" s="8">
        <v>6884</v>
      </c>
    </row>
    <row r="18322" spans="2:8" ht="15" customHeight="1" x14ac:dyDescent="0.4">
      <c r="B18322" t="s">
        <v>7</v>
      </c>
      <c r="C18322" t="s">
        <v>2964</v>
      </c>
      <c r="D18322" s="7">
        <f>DATE(2009,6,1)</f>
        <v>39965</v>
      </c>
      <c r="E18322" s="8">
        <f t="shared" si="300"/>
        <v>2009</v>
      </c>
      <c r="F18322" t="s">
        <v>2965</v>
      </c>
      <c r="G18322" s="9">
        <v>11100</v>
      </c>
      <c r="H18322" s="8">
        <v>8636</v>
      </c>
    </row>
    <row r="18323" spans="2:8" ht="15" customHeight="1" x14ac:dyDescent="0.4">
      <c r="B18323" t="s">
        <v>7</v>
      </c>
      <c r="C18323" t="s">
        <v>2964</v>
      </c>
      <c r="D18323" s="7">
        <f>DATE(2009,9,28)</f>
        <v>40084</v>
      </c>
      <c r="E18323" s="8">
        <f t="shared" si="300"/>
        <v>2009</v>
      </c>
      <c r="F18323" t="s">
        <v>2965</v>
      </c>
      <c r="G18323" s="9">
        <v>11900</v>
      </c>
      <c r="H18323" s="8">
        <v>8637</v>
      </c>
    </row>
    <row r="18324" spans="2:8" ht="15" customHeight="1" x14ac:dyDescent="0.4">
      <c r="B18324" t="s">
        <v>7</v>
      </c>
      <c r="C18324" t="s">
        <v>2964</v>
      </c>
      <c r="D18324" s="7">
        <f>DATE(2010,9,27)</f>
        <v>40448</v>
      </c>
      <c r="E18324" s="8">
        <f t="shared" si="300"/>
        <v>2010</v>
      </c>
      <c r="F18324" t="s">
        <v>2965</v>
      </c>
      <c r="G18324" s="9">
        <v>8425</v>
      </c>
      <c r="H18324" s="8">
        <v>10038</v>
      </c>
    </row>
    <row r="18325" spans="2:8" ht="15" customHeight="1" x14ac:dyDescent="0.4">
      <c r="B18325" t="s">
        <v>7</v>
      </c>
      <c r="C18325" t="s">
        <v>2964</v>
      </c>
      <c r="D18325" s="7">
        <f>DATE(2010,10,1)</f>
        <v>40452</v>
      </c>
      <c r="E18325" s="8">
        <f t="shared" si="300"/>
        <v>2010</v>
      </c>
      <c r="F18325" t="s">
        <v>2965</v>
      </c>
      <c r="G18325" s="9">
        <v>8425</v>
      </c>
      <c r="H18325" s="8">
        <v>10182</v>
      </c>
    </row>
    <row r="18326" spans="2:8" ht="15" customHeight="1" x14ac:dyDescent="0.4">
      <c r="B18326" t="s">
        <v>16</v>
      </c>
      <c r="C18326" t="s">
        <v>2964</v>
      </c>
      <c r="D18326" s="7">
        <f>DATE(2010,9,27)</f>
        <v>40448</v>
      </c>
      <c r="E18326" s="8">
        <f t="shared" si="300"/>
        <v>2010</v>
      </c>
      <c r="F18326" t="s">
        <v>2965</v>
      </c>
      <c r="G18326" s="9">
        <v>8425</v>
      </c>
      <c r="H18326" s="8">
        <v>10181</v>
      </c>
    </row>
    <row r="18327" spans="2:8" ht="15" customHeight="1" x14ac:dyDescent="0.4">
      <c r="B18327" s="3" t="s">
        <v>7</v>
      </c>
      <c r="C18327" s="3" t="s">
        <v>2964</v>
      </c>
      <c r="D18327" s="4">
        <f>DATE(2010,9,27)</f>
        <v>40448</v>
      </c>
      <c r="E18327" s="5">
        <f t="shared" si="300"/>
        <v>2010</v>
      </c>
      <c r="F18327" s="3" t="s">
        <v>2965</v>
      </c>
      <c r="G18327" s="6">
        <v>4560</v>
      </c>
      <c r="H18327" s="5">
        <v>14316</v>
      </c>
    </row>
    <row r="18328" spans="2:8" ht="15" customHeight="1" x14ac:dyDescent="0.4">
      <c r="B18328" t="s">
        <v>7</v>
      </c>
      <c r="C18328" t="s">
        <v>2966</v>
      </c>
      <c r="D18328" s="7">
        <f>DATE(2012,9,25)</f>
        <v>41177</v>
      </c>
      <c r="E18328" s="8">
        <f t="shared" si="300"/>
        <v>2012</v>
      </c>
      <c r="F18328" t="s">
        <v>2967</v>
      </c>
      <c r="G18328" s="9">
        <v>16432</v>
      </c>
      <c r="H18328" s="8">
        <v>11761</v>
      </c>
    </row>
    <row r="18329" spans="2:8" ht="15" customHeight="1" x14ac:dyDescent="0.4">
      <c r="B18329" t="s">
        <v>7</v>
      </c>
      <c r="C18329" t="s">
        <v>2966</v>
      </c>
      <c r="D18329" s="7">
        <f>DATE(2010,9,23)</f>
        <v>40444</v>
      </c>
      <c r="E18329" s="8">
        <f t="shared" si="300"/>
        <v>2010</v>
      </c>
      <c r="F18329" t="s">
        <v>2967</v>
      </c>
      <c r="G18329" s="9">
        <v>11829.1</v>
      </c>
      <c r="H18329" s="8">
        <v>10129</v>
      </c>
    </row>
    <row r="18330" spans="2:8" ht="15" customHeight="1" x14ac:dyDescent="0.4">
      <c r="B18330" t="s">
        <v>7</v>
      </c>
      <c r="C18330" t="s">
        <v>2968</v>
      </c>
      <c r="D18330" s="7">
        <f>DATE(2017,9,11)</f>
        <v>42989</v>
      </c>
      <c r="E18330" s="8">
        <f t="shared" si="300"/>
        <v>2017</v>
      </c>
      <c r="F18330" t="s">
        <v>2969</v>
      </c>
      <c r="G18330" s="9">
        <v>89.51</v>
      </c>
      <c r="H18330" s="8">
        <v>25426</v>
      </c>
    </row>
    <row r="18331" spans="2:8" ht="15" customHeight="1" x14ac:dyDescent="0.4">
      <c r="B18331" t="s">
        <v>7</v>
      </c>
      <c r="C18331" t="s">
        <v>2968</v>
      </c>
      <c r="D18331" s="7">
        <f>DATE(2018,5,11)</f>
        <v>43231</v>
      </c>
      <c r="E18331" s="8">
        <f t="shared" si="300"/>
        <v>2018</v>
      </c>
      <c r="F18331" t="s">
        <v>2969</v>
      </c>
      <c r="G18331" s="9">
        <v>5340.36</v>
      </c>
      <c r="H18331" s="8">
        <v>26907</v>
      </c>
    </row>
    <row r="18332" spans="2:8" ht="15" customHeight="1" x14ac:dyDescent="0.4">
      <c r="B18332" t="s">
        <v>7</v>
      </c>
      <c r="C18332" t="s">
        <v>2968</v>
      </c>
      <c r="D18332" s="7">
        <f>DATE(2012,3,5)</f>
        <v>40973</v>
      </c>
      <c r="E18332" s="8">
        <f t="shared" si="300"/>
        <v>2012</v>
      </c>
      <c r="F18332" t="s">
        <v>2969</v>
      </c>
      <c r="G18332" s="9">
        <v>23168.43</v>
      </c>
      <c r="H18332" s="8">
        <v>11382</v>
      </c>
    </row>
    <row r="18333" spans="2:8" ht="15" customHeight="1" x14ac:dyDescent="0.4">
      <c r="B18333" t="s">
        <v>7</v>
      </c>
      <c r="C18333" t="s">
        <v>2968</v>
      </c>
      <c r="D18333" s="7">
        <f>DATE(2014,11,3)</f>
        <v>41946</v>
      </c>
      <c r="E18333" s="8">
        <f t="shared" si="300"/>
        <v>2014</v>
      </c>
      <c r="F18333" t="s">
        <v>2969</v>
      </c>
      <c r="G18333" s="9">
        <v>39958</v>
      </c>
      <c r="H18333" s="8">
        <v>13447</v>
      </c>
    </row>
    <row r="18334" spans="2:8" ht="15" customHeight="1" x14ac:dyDescent="0.4">
      <c r="B18334" t="s">
        <v>7</v>
      </c>
      <c r="C18334" t="s">
        <v>2968</v>
      </c>
      <c r="D18334" s="7">
        <f>DATE(2012,1,5)</f>
        <v>40913</v>
      </c>
      <c r="E18334" s="8">
        <f t="shared" si="300"/>
        <v>2012</v>
      </c>
      <c r="F18334" t="s">
        <v>2969</v>
      </c>
      <c r="G18334" s="9">
        <v>3108.98</v>
      </c>
      <c r="H18334" s="8">
        <v>11202</v>
      </c>
    </row>
    <row r="18335" spans="2:8" ht="15" customHeight="1" x14ac:dyDescent="0.4">
      <c r="B18335" t="s">
        <v>7</v>
      </c>
      <c r="C18335" t="s">
        <v>2968</v>
      </c>
      <c r="D18335" s="7">
        <f>DATE(2012,3,5)</f>
        <v>40973</v>
      </c>
      <c r="E18335" s="8">
        <f t="shared" si="300"/>
        <v>2012</v>
      </c>
      <c r="F18335" t="s">
        <v>2969</v>
      </c>
      <c r="G18335" s="9">
        <v>47147.94</v>
      </c>
      <c r="H18335" s="8">
        <v>11381</v>
      </c>
    </row>
    <row r="18336" spans="2:8" ht="15" customHeight="1" x14ac:dyDescent="0.4">
      <c r="B18336" t="s">
        <v>7</v>
      </c>
      <c r="C18336" t="s">
        <v>2970</v>
      </c>
      <c r="D18336" s="7">
        <f>DATE(2003,2,17)</f>
        <v>37669</v>
      </c>
      <c r="E18336" s="8">
        <f t="shared" si="300"/>
        <v>2003</v>
      </c>
      <c r="F18336" t="s">
        <v>2971</v>
      </c>
      <c r="G18336" s="9">
        <v>15492.75</v>
      </c>
      <c r="H18336" s="8">
        <v>224</v>
      </c>
    </row>
    <row r="18337" spans="2:8" ht="15" customHeight="1" x14ac:dyDescent="0.4">
      <c r="B18337" t="s">
        <v>7</v>
      </c>
      <c r="C18337" t="s">
        <v>2970</v>
      </c>
      <c r="D18337" s="7">
        <f>DATE(2003,3,4)</f>
        <v>37684</v>
      </c>
      <c r="E18337" s="8">
        <f t="shared" si="300"/>
        <v>2003</v>
      </c>
      <c r="F18337" t="s">
        <v>2971</v>
      </c>
      <c r="G18337" s="9">
        <v>15695.15</v>
      </c>
      <c r="H18337" s="8">
        <v>304</v>
      </c>
    </row>
    <row r="18338" spans="2:8" ht="15" customHeight="1" x14ac:dyDescent="0.4">
      <c r="B18338" t="s">
        <v>7</v>
      </c>
      <c r="C18338" t="s">
        <v>2970</v>
      </c>
      <c r="D18338" s="7">
        <f>DATE(2003,8,18)</f>
        <v>37851</v>
      </c>
      <c r="E18338" s="8">
        <f t="shared" si="300"/>
        <v>2003</v>
      </c>
      <c r="F18338" t="s">
        <v>2971</v>
      </c>
      <c r="G18338" s="9">
        <v>14537.46</v>
      </c>
      <c r="H18338" s="8">
        <v>815</v>
      </c>
    </row>
    <row r="18339" spans="2:8" ht="15" customHeight="1" x14ac:dyDescent="0.4">
      <c r="B18339" t="s">
        <v>7</v>
      </c>
      <c r="C18339" t="s">
        <v>2970</v>
      </c>
      <c r="D18339" s="7">
        <f>DATE(2003,8,25)</f>
        <v>37858</v>
      </c>
      <c r="E18339" s="8">
        <f t="shared" si="300"/>
        <v>2003</v>
      </c>
      <c r="F18339" t="s">
        <v>2971</v>
      </c>
      <c r="G18339" s="9">
        <v>15271</v>
      </c>
      <c r="H18339" s="8">
        <v>833</v>
      </c>
    </row>
    <row r="18340" spans="2:8" ht="15" customHeight="1" x14ac:dyDescent="0.4">
      <c r="B18340" t="s">
        <v>7</v>
      </c>
      <c r="C18340" t="s">
        <v>2970</v>
      </c>
      <c r="D18340" s="7">
        <f>DATE(2003,11,4)</f>
        <v>37929</v>
      </c>
      <c r="E18340" s="8">
        <f t="shared" si="300"/>
        <v>2003</v>
      </c>
      <c r="F18340" t="s">
        <v>2971</v>
      </c>
      <c r="G18340" s="9">
        <v>15290</v>
      </c>
      <c r="H18340" s="8">
        <v>987</v>
      </c>
    </row>
    <row r="18341" spans="2:8" ht="15" customHeight="1" x14ac:dyDescent="0.4">
      <c r="B18341" t="s">
        <v>7</v>
      </c>
      <c r="C18341" t="s">
        <v>2970</v>
      </c>
      <c r="D18341" s="7">
        <f>DATE(2003,11,11)</f>
        <v>37936</v>
      </c>
      <c r="E18341" s="8">
        <f t="shared" si="300"/>
        <v>2003</v>
      </c>
      <c r="F18341" t="s">
        <v>2971</v>
      </c>
      <c r="G18341" s="9">
        <v>15366</v>
      </c>
      <c r="H18341" s="8">
        <v>1006</v>
      </c>
    </row>
    <row r="18342" spans="2:8" ht="15" customHeight="1" x14ac:dyDescent="0.4">
      <c r="B18342" t="s">
        <v>7</v>
      </c>
      <c r="C18342" t="s">
        <v>2970</v>
      </c>
      <c r="D18342" s="7">
        <f>DATE(2003,12,22)</f>
        <v>37977</v>
      </c>
      <c r="E18342" s="8">
        <f t="shared" si="300"/>
        <v>2003</v>
      </c>
      <c r="F18342" t="s">
        <v>2971</v>
      </c>
      <c r="G18342" s="9">
        <v>15826</v>
      </c>
      <c r="H18342" s="8">
        <v>1093</v>
      </c>
    </row>
    <row r="18343" spans="2:8" ht="15" customHeight="1" x14ac:dyDescent="0.4">
      <c r="B18343" t="s">
        <v>7</v>
      </c>
      <c r="C18343" t="s">
        <v>2970</v>
      </c>
      <c r="D18343" s="7">
        <f>DATE(2004,10,31)</f>
        <v>38291</v>
      </c>
      <c r="E18343" s="8">
        <f t="shared" si="300"/>
        <v>2004</v>
      </c>
      <c r="F18343" t="s">
        <v>2971</v>
      </c>
      <c r="G18343" s="9">
        <v>20122</v>
      </c>
      <c r="H18343" s="8">
        <v>2327</v>
      </c>
    </row>
    <row r="18344" spans="2:8" ht="15" customHeight="1" x14ac:dyDescent="0.4">
      <c r="B18344" t="s">
        <v>7</v>
      </c>
      <c r="C18344" t="s">
        <v>2970</v>
      </c>
      <c r="D18344" s="7">
        <f>DATE(2005,5,9)</f>
        <v>38481</v>
      </c>
      <c r="E18344" s="8">
        <f t="shared" si="300"/>
        <v>2005</v>
      </c>
      <c r="F18344" t="s">
        <v>2971</v>
      </c>
      <c r="G18344" s="9">
        <v>14184</v>
      </c>
      <c r="H18344" s="8">
        <v>3099</v>
      </c>
    </row>
    <row r="18345" spans="2:8" ht="15" customHeight="1" x14ac:dyDescent="0.4">
      <c r="B18345" t="s">
        <v>7</v>
      </c>
      <c r="C18345" t="s">
        <v>2970</v>
      </c>
      <c r="D18345" s="7">
        <f>DATE(2005,5,30)</f>
        <v>38502</v>
      </c>
      <c r="E18345" s="8">
        <f t="shared" si="300"/>
        <v>2005</v>
      </c>
      <c r="F18345" t="s">
        <v>2971</v>
      </c>
      <c r="G18345" s="9">
        <v>16913</v>
      </c>
      <c r="H18345" s="8">
        <v>2856</v>
      </c>
    </row>
    <row r="18346" spans="2:8" ht="15" customHeight="1" x14ac:dyDescent="0.4">
      <c r="B18346" t="s">
        <v>7</v>
      </c>
      <c r="C18346" t="s">
        <v>2970</v>
      </c>
      <c r="D18346" s="7">
        <f>DATE(2006,9,4)</f>
        <v>38964</v>
      </c>
      <c r="E18346" s="8">
        <f t="shared" si="300"/>
        <v>2006</v>
      </c>
      <c r="F18346" t="s">
        <v>2971</v>
      </c>
      <c r="G18346" s="9">
        <v>16083.05</v>
      </c>
      <c r="H18346" s="8">
        <v>4971</v>
      </c>
    </row>
    <row r="18347" spans="2:8" ht="15" customHeight="1" x14ac:dyDescent="0.4">
      <c r="B18347" t="s">
        <v>7</v>
      </c>
      <c r="C18347" t="s">
        <v>2970</v>
      </c>
      <c r="D18347" s="7">
        <f>DATE(2006,10,9)</f>
        <v>38999</v>
      </c>
      <c r="E18347" s="8">
        <f t="shared" si="300"/>
        <v>2006</v>
      </c>
      <c r="F18347" t="s">
        <v>2971</v>
      </c>
      <c r="G18347" s="9">
        <v>13784</v>
      </c>
      <c r="H18347" s="8">
        <v>5057</v>
      </c>
    </row>
    <row r="18348" spans="2:8" ht="15" customHeight="1" x14ac:dyDescent="0.4">
      <c r="B18348" t="s">
        <v>7</v>
      </c>
      <c r="C18348" t="s">
        <v>2970</v>
      </c>
      <c r="D18348" s="7">
        <f>DATE(2006,11,12)</f>
        <v>39033</v>
      </c>
      <c r="E18348" s="8">
        <f t="shared" si="300"/>
        <v>2006</v>
      </c>
      <c r="F18348" t="s">
        <v>2971</v>
      </c>
      <c r="G18348" s="9">
        <v>16844</v>
      </c>
      <c r="H18348" s="8">
        <v>5153</v>
      </c>
    </row>
    <row r="18349" spans="2:8" ht="15" customHeight="1" x14ac:dyDescent="0.4">
      <c r="B18349" t="s">
        <v>7</v>
      </c>
      <c r="C18349" t="s">
        <v>2970</v>
      </c>
      <c r="D18349" s="7">
        <f>DATE(2007,1,16)</f>
        <v>39098</v>
      </c>
      <c r="E18349" s="8">
        <f t="shared" si="300"/>
        <v>2007</v>
      </c>
      <c r="F18349" t="s">
        <v>2971</v>
      </c>
      <c r="G18349" s="9">
        <v>16954</v>
      </c>
      <c r="H18349" s="8">
        <v>5327</v>
      </c>
    </row>
    <row r="18350" spans="2:8" ht="15" customHeight="1" x14ac:dyDescent="0.4">
      <c r="B18350" s="3" t="s">
        <v>7</v>
      </c>
      <c r="C18350" s="3" t="s">
        <v>2970</v>
      </c>
      <c r="D18350" s="4">
        <f>DATE(2003,2,21)</f>
        <v>37673</v>
      </c>
      <c r="E18350" s="5">
        <f t="shared" si="300"/>
        <v>2003</v>
      </c>
      <c r="F18350" s="3" t="s">
        <v>2971</v>
      </c>
      <c r="G18350" s="6">
        <v>1879.57</v>
      </c>
      <c r="H18350" s="5">
        <v>344</v>
      </c>
    </row>
    <row r="18351" spans="2:8" ht="15" customHeight="1" x14ac:dyDescent="0.4">
      <c r="B18351" s="3" t="s">
        <v>7</v>
      </c>
      <c r="C18351" s="3" t="s">
        <v>2970</v>
      </c>
      <c r="D18351" s="4">
        <f>DATE(2003,2,21)</f>
        <v>37673</v>
      </c>
      <c r="E18351" s="5">
        <f t="shared" si="300"/>
        <v>2003</v>
      </c>
      <c r="F18351" s="3" t="s">
        <v>2971</v>
      </c>
      <c r="G18351" s="6">
        <v>19176.310000000001</v>
      </c>
      <c r="H18351" s="5">
        <v>316</v>
      </c>
    </row>
    <row r="18352" spans="2:8" ht="15" customHeight="1" x14ac:dyDescent="0.4">
      <c r="B18352" s="3" t="s">
        <v>7</v>
      </c>
      <c r="C18352" s="3" t="s">
        <v>2970</v>
      </c>
      <c r="D18352" s="4">
        <f>DATE(2003,2,21)</f>
        <v>37673</v>
      </c>
      <c r="E18352" s="5">
        <f t="shared" si="300"/>
        <v>2003</v>
      </c>
      <c r="F18352" s="3" t="s">
        <v>2971</v>
      </c>
      <c r="G18352" s="6">
        <v>1031.76</v>
      </c>
      <c r="H18352" s="5">
        <v>522</v>
      </c>
    </row>
    <row r="18353" spans="2:8" ht="15" customHeight="1" x14ac:dyDescent="0.4">
      <c r="B18353" s="3" t="s">
        <v>7</v>
      </c>
      <c r="C18353" s="3" t="s">
        <v>2970</v>
      </c>
      <c r="D18353" s="4">
        <f>DATE(2003,11,26)</f>
        <v>37951</v>
      </c>
      <c r="E18353" s="5">
        <f t="shared" si="300"/>
        <v>2003</v>
      </c>
      <c r="F18353" s="3" t="s">
        <v>2971</v>
      </c>
      <c r="G18353" s="6">
        <v>4987.13</v>
      </c>
      <c r="H18353" s="5">
        <v>1814</v>
      </c>
    </row>
    <row r="18354" spans="2:8" ht="15" customHeight="1" x14ac:dyDescent="0.4">
      <c r="B18354" s="3" t="s">
        <v>7</v>
      </c>
      <c r="C18354" s="3" t="s">
        <v>2970</v>
      </c>
      <c r="D18354" s="4">
        <f>DATE(2004,2,26)</f>
        <v>38043</v>
      </c>
      <c r="E18354" s="5">
        <f t="shared" si="300"/>
        <v>2004</v>
      </c>
      <c r="F18354" s="3" t="s">
        <v>2971</v>
      </c>
      <c r="G18354" s="6">
        <v>7239.38</v>
      </c>
      <c r="H18354" s="5">
        <v>2262</v>
      </c>
    </row>
    <row r="18355" spans="2:8" ht="15" customHeight="1" x14ac:dyDescent="0.4">
      <c r="B18355" s="3" t="s">
        <v>7</v>
      </c>
      <c r="C18355" s="3" t="s">
        <v>2970</v>
      </c>
      <c r="D18355" s="4">
        <f>DATE(2004,3,26)</f>
        <v>38072</v>
      </c>
      <c r="E18355" s="5">
        <f t="shared" si="300"/>
        <v>2004</v>
      </c>
      <c r="F18355" s="3" t="s">
        <v>2971</v>
      </c>
      <c r="G18355" s="6">
        <v>1146.95</v>
      </c>
      <c r="H18355" s="5">
        <v>2486</v>
      </c>
    </row>
    <row r="18356" spans="2:8" ht="15" customHeight="1" x14ac:dyDescent="0.4">
      <c r="B18356" s="3" t="s">
        <v>7</v>
      </c>
      <c r="C18356" s="3" t="s">
        <v>2970</v>
      </c>
      <c r="D18356" s="4">
        <f>DATE(2004,3,29)</f>
        <v>38075</v>
      </c>
      <c r="E18356" s="5">
        <f t="shared" si="300"/>
        <v>2004</v>
      </c>
      <c r="F18356" s="3" t="s">
        <v>2971</v>
      </c>
      <c r="G18356" s="6">
        <v>444.45</v>
      </c>
      <c r="H18356" s="5">
        <v>2506</v>
      </c>
    </row>
    <row r="18357" spans="2:8" ht="15" customHeight="1" x14ac:dyDescent="0.4">
      <c r="B18357" s="3" t="s">
        <v>7</v>
      </c>
      <c r="C18357" s="3" t="s">
        <v>2970</v>
      </c>
      <c r="D18357" s="4">
        <f>DATE(2007,5,1)</f>
        <v>39203</v>
      </c>
      <c r="E18357" s="5">
        <f t="shared" si="300"/>
        <v>2007</v>
      </c>
      <c r="F18357" s="3" t="s">
        <v>2971</v>
      </c>
      <c r="G18357" s="6">
        <v>12269.51</v>
      </c>
      <c r="H18357" s="5">
        <v>8475</v>
      </c>
    </row>
    <row r="18358" spans="2:8" ht="15" customHeight="1" x14ac:dyDescent="0.4">
      <c r="B18358" s="3" t="s">
        <v>7</v>
      </c>
      <c r="C18358" s="3" t="s">
        <v>2970</v>
      </c>
      <c r="D18358" s="4">
        <f>DATE(2007,5,22)</f>
        <v>39224</v>
      </c>
      <c r="E18358" s="5">
        <f t="shared" si="300"/>
        <v>2007</v>
      </c>
      <c r="F18358" s="3" t="s">
        <v>2971</v>
      </c>
      <c r="G18358" s="6">
        <v>12538.26</v>
      </c>
      <c r="H18358" s="5">
        <v>8618</v>
      </c>
    </row>
    <row r="18359" spans="2:8" ht="15" customHeight="1" x14ac:dyDescent="0.4">
      <c r="B18359" t="s">
        <v>7</v>
      </c>
      <c r="C18359" t="s">
        <v>2970</v>
      </c>
      <c r="D18359" s="7">
        <f>DATE(2016,3,4)</f>
        <v>42433</v>
      </c>
      <c r="E18359" s="8">
        <f t="shared" si="300"/>
        <v>2016</v>
      </c>
      <c r="F18359" t="s">
        <v>2972</v>
      </c>
      <c r="G18359" s="9">
        <v>10824.82</v>
      </c>
      <c r="H18359" s="8">
        <v>21977</v>
      </c>
    </row>
    <row r="18360" spans="2:8" ht="15" customHeight="1" x14ac:dyDescent="0.4">
      <c r="B18360" t="s">
        <v>7</v>
      </c>
      <c r="C18360" t="s">
        <v>2970</v>
      </c>
      <c r="D18360" s="7">
        <f>DATE(2018,4,18)</f>
        <v>43208</v>
      </c>
      <c r="E18360" s="8">
        <f t="shared" si="300"/>
        <v>2018</v>
      </c>
      <c r="F18360" t="s">
        <v>2972</v>
      </c>
      <c r="G18360" s="9">
        <v>23335.03</v>
      </c>
      <c r="H18360" s="8">
        <v>26826</v>
      </c>
    </row>
    <row r="18361" spans="2:8" ht="15" customHeight="1" x14ac:dyDescent="0.4">
      <c r="B18361" t="s">
        <v>16</v>
      </c>
      <c r="C18361" t="s">
        <v>2970</v>
      </c>
      <c r="D18361" s="7">
        <f>DATE(2018,5,1)</f>
        <v>43221</v>
      </c>
      <c r="E18361" s="8">
        <f t="shared" si="300"/>
        <v>2018</v>
      </c>
      <c r="F18361" t="s">
        <v>2972</v>
      </c>
      <c r="G18361" s="9">
        <v>6035</v>
      </c>
      <c r="H18361" s="8">
        <v>26986</v>
      </c>
    </row>
    <row r="18362" spans="2:8" ht="15" customHeight="1" x14ac:dyDescent="0.4">
      <c r="B18362" t="s">
        <v>7</v>
      </c>
      <c r="C18362" t="s">
        <v>2970</v>
      </c>
      <c r="D18362" s="7">
        <f>DATE(2010,8,2)</f>
        <v>40392</v>
      </c>
      <c r="E18362" s="8">
        <f t="shared" si="300"/>
        <v>2010</v>
      </c>
      <c r="F18362" t="s">
        <v>2972</v>
      </c>
      <c r="G18362" s="9">
        <v>17295.61</v>
      </c>
      <c r="H18362" s="8">
        <v>9956</v>
      </c>
    </row>
    <row r="18363" spans="2:8" ht="15" customHeight="1" x14ac:dyDescent="0.4">
      <c r="B18363" t="s">
        <v>7</v>
      </c>
      <c r="C18363" t="s">
        <v>2970</v>
      </c>
      <c r="D18363" s="7">
        <f>DATE(2008,2,24)</f>
        <v>39502</v>
      </c>
      <c r="E18363" s="8">
        <f t="shared" si="300"/>
        <v>2008</v>
      </c>
      <c r="F18363" t="s">
        <v>2972</v>
      </c>
      <c r="G18363" s="9">
        <v>27360</v>
      </c>
      <c r="H18363" s="8">
        <v>7000</v>
      </c>
    </row>
    <row r="18364" spans="2:8" ht="15" customHeight="1" x14ac:dyDescent="0.4">
      <c r="B18364" t="s">
        <v>7</v>
      </c>
      <c r="C18364" t="s">
        <v>2970</v>
      </c>
      <c r="D18364" s="7">
        <f>DATE(2008,3,8)</f>
        <v>39515</v>
      </c>
      <c r="E18364" s="8">
        <f t="shared" si="300"/>
        <v>2008</v>
      </c>
      <c r="F18364" t="s">
        <v>2972</v>
      </c>
      <c r="G18364" s="9">
        <v>32899</v>
      </c>
      <c r="H18364" s="8">
        <v>7110</v>
      </c>
    </row>
    <row r="18365" spans="2:8" ht="15" customHeight="1" x14ac:dyDescent="0.4">
      <c r="B18365" t="s">
        <v>7</v>
      </c>
      <c r="C18365" t="s">
        <v>2970</v>
      </c>
      <c r="D18365" s="7">
        <f>DATE(2008,5,17)</f>
        <v>39585</v>
      </c>
      <c r="E18365" s="8">
        <f t="shared" si="300"/>
        <v>2008</v>
      </c>
      <c r="F18365" t="s">
        <v>2972</v>
      </c>
      <c r="G18365" s="9">
        <v>16864</v>
      </c>
      <c r="H18365" s="8">
        <v>7395</v>
      </c>
    </row>
    <row r="18366" spans="2:8" ht="15" customHeight="1" x14ac:dyDescent="0.4">
      <c r="B18366" t="s">
        <v>7</v>
      </c>
      <c r="C18366" t="s">
        <v>2970</v>
      </c>
      <c r="D18366" s="7">
        <f>DATE(2008,5,26)</f>
        <v>39594</v>
      </c>
      <c r="E18366" s="8">
        <f t="shared" si="300"/>
        <v>2008</v>
      </c>
      <c r="F18366" t="s">
        <v>2972</v>
      </c>
      <c r="G18366" s="9">
        <v>8936.74</v>
      </c>
      <c r="H18366" s="8">
        <v>7435</v>
      </c>
    </row>
    <row r="18367" spans="2:8" ht="15" customHeight="1" x14ac:dyDescent="0.4">
      <c r="B18367" t="s">
        <v>7</v>
      </c>
      <c r="C18367" t="s">
        <v>2970</v>
      </c>
      <c r="D18367" s="7">
        <f>DATE(2008,10,6)</f>
        <v>39727</v>
      </c>
      <c r="E18367" s="8">
        <f t="shared" si="300"/>
        <v>2008</v>
      </c>
      <c r="F18367" t="s">
        <v>2972</v>
      </c>
      <c r="G18367" s="9">
        <v>14088</v>
      </c>
      <c r="H18367" s="8">
        <v>7855</v>
      </c>
    </row>
    <row r="18368" spans="2:8" ht="15" customHeight="1" x14ac:dyDescent="0.4">
      <c r="B18368" t="s">
        <v>7</v>
      </c>
      <c r="C18368" t="s">
        <v>2970</v>
      </c>
      <c r="D18368" s="7">
        <f>DATE(2008,10,11)</f>
        <v>39732</v>
      </c>
      <c r="E18368" s="8">
        <f t="shared" si="300"/>
        <v>2008</v>
      </c>
      <c r="F18368" t="s">
        <v>2972</v>
      </c>
      <c r="G18368" s="9">
        <v>7034.92</v>
      </c>
      <c r="H18368" s="8">
        <v>7872</v>
      </c>
    </row>
    <row r="18369" spans="2:8" ht="15" customHeight="1" x14ac:dyDescent="0.4">
      <c r="B18369" t="s">
        <v>7</v>
      </c>
      <c r="C18369" t="s">
        <v>2970</v>
      </c>
      <c r="D18369" s="7">
        <f>DATE(2008,11,10)</f>
        <v>39762</v>
      </c>
      <c r="E18369" s="8">
        <f t="shared" si="300"/>
        <v>2008</v>
      </c>
      <c r="F18369" t="s">
        <v>2972</v>
      </c>
      <c r="G18369" s="9">
        <v>14078</v>
      </c>
      <c r="H18369" s="8">
        <v>7950</v>
      </c>
    </row>
    <row r="18370" spans="2:8" ht="15" customHeight="1" x14ac:dyDescent="0.4">
      <c r="B18370" t="s">
        <v>7</v>
      </c>
      <c r="C18370" t="s">
        <v>2970</v>
      </c>
      <c r="D18370" s="7">
        <f>DATE(2008,12,12)</f>
        <v>39794</v>
      </c>
      <c r="E18370" s="8">
        <f t="shared" si="300"/>
        <v>2008</v>
      </c>
      <c r="F18370" t="s">
        <v>2972</v>
      </c>
      <c r="G18370" s="9">
        <v>4039.64</v>
      </c>
      <c r="H18370" s="8">
        <v>8040</v>
      </c>
    </row>
    <row r="18371" spans="2:8" ht="15" customHeight="1" x14ac:dyDescent="0.4">
      <c r="B18371" t="s">
        <v>7</v>
      </c>
      <c r="C18371" t="s">
        <v>2970</v>
      </c>
      <c r="D18371" s="7">
        <f>DATE(2009,1,5)</f>
        <v>39818</v>
      </c>
      <c r="E18371" s="8">
        <f t="shared" ref="E18371:E18434" si="301">YEAR(D18371)</f>
        <v>2009</v>
      </c>
      <c r="F18371" t="s">
        <v>2972</v>
      </c>
      <c r="G18371" s="9">
        <v>13943</v>
      </c>
      <c r="H18371" s="8">
        <v>8146</v>
      </c>
    </row>
    <row r="18372" spans="2:8" ht="15" customHeight="1" x14ac:dyDescent="0.4">
      <c r="B18372" t="s">
        <v>7</v>
      </c>
      <c r="C18372" t="s">
        <v>2970</v>
      </c>
      <c r="D18372" s="7">
        <f>DATE(2009,2,24)</f>
        <v>39868</v>
      </c>
      <c r="E18372" s="8">
        <f t="shared" si="301"/>
        <v>2009</v>
      </c>
      <c r="F18372" t="s">
        <v>2972</v>
      </c>
      <c r="G18372" s="9">
        <v>26895</v>
      </c>
      <c r="H18372" s="8">
        <v>8327</v>
      </c>
    </row>
    <row r="18373" spans="2:8" ht="15" customHeight="1" x14ac:dyDescent="0.4">
      <c r="B18373" t="s">
        <v>7</v>
      </c>
      <c r="C18373" t="s">
        <v>2970</v>
      </c>
      <c r="D18373" s="7">
        <f>DATE(2009,3,13)</f>
        <v>39885</v>
      </c>
      <c r="E18373" s="8">
        <f t="shared" si="301"/>
        <v>2009</v>
      </c>
      <c r="F18373" t="s">
        <v>2972</v>
      </c>
      <c r="G18373" s="9">
        <v>27215.89</v>
      </c>
      <c r="H18373" s="8">
        <v>8326</v>
      </c>
    </row>
    <row r="18374" spans="2:8" ht="15" customHeight="1" x14ac:dyDescent="0.4">
      <c r="B18374" t="s">
        <v>7</v>
      </c>
      <c r="C18374" t="s">
        <v>2970</v>
      </c>
      <c r="D18374" s="7">
        <f>DATE(2009,5,4)</f>
        <v>39937</v>
      </c>
      <c r="E18374" s="8">
        <f t="shared" si="301"/>
        <v>2009</v>
      </c>
      <c r="F18374" t="s">
        <v>2972</v>
      </c>
      <c r="G18374" s="9">
        <v>14238</v>
      </c>
      <c r="H18374" s="8">
        <v>8595</v>
      </c>
    </row>
    <row r="18375" spans="2:8" ht="15" customHeight="1" x14ac:dyDescent="0.4">
      <c r="B18375" t="s">
        <v>7</v>
      </c>
      <c r="C18375" t="s">
        <v>2970</v>
      </c>
      <c r="D18375" s="7">
        <f>DATE(2009,5,18)</f>
        <v>39951</v>
      </c>
      <c r="E18375" s="8">
        <f t="shared" si="301"/>
        <v>2009</v>
      </c>
      <c r="F18375" t="s">
        <v>2972</v>
      </c>
      <c r="G18375" s="9">
        <v>14188</v>
      </c>
      <c r="H18375" s="8">
        <v>8596</v>
      </c>
    </row>
    <row r="18376" spans="2:8" ht="15" customHeight="1" x14ac:dyDescent="0.4">
      <c r="B18376" s="3" t="s">
        <v>7</v>
      </c>
      <c r="C18376" s="3" t="s">
        <v>2970</v>
      </c>
      <c r="D18376" s="4">
        <f>DATE(2008,2,14)</f>
        <v>39492</v>
      </c>
      <c r="E18376" s="5">
        <f t="shared" si="301"/>
        <v>2008</v>
      </c>
      <c r="F18376" s="3" t="s">
        <v>2972</v>
      </c>
      <c r="G18376" s="6">
        <v>8166.97</v>
      </c>
      <c r="H18376" s="5">
        <v>9948</v>
      </c>
    </row>
    <row r="18377" spans="2:8" ht="15" customHeight="1" x14ac:dyDescent="0.4">
      <c r="B18377" s="3" t="s">
        <v>7</v>
      </c>
      <c r="C18377" s="3" t="s">
        <v>2970</v>
      </c>
      <c r="D18377" s="4">
        <f>DATE(2009,9,1)</f>
        <v>40057</v>
      </c>
      <c r="E18377" s="5">
        <f t="shared" si="301"/>
        <v>2009</v>
      </c>
      <c r="F18377" s="3" t="s">
        <v>2972</v>
      </c>
      <c r="G18377" s="6">
        <v>4995.76</v>
      </c>
      <c r="H18377" s="5">
        <v>12951</v>
      </c>
    </row>
    <row r="18378" spans="2:8" ht="15" customHeight="1" x14ac:dyDescent="0.4">
      <c r="B18378" s="3" t="s">
        <v>7</v>
      </c>
      <c r="C18378" s="3" t="s">
        <v>2970</v>
      </c>
      <c r="D18378" s="4">
        <f>DATE(2009,10,9)</f>
        <v>40095</v>
      </c>
      <c r="E18378" s="5">
        <f t="shared" si="301"/>
        <v>2009</v>
      </c>
      <c r="F18378" s="3" t="s">
        <v>2972</v>
      </c>
      <c r="G18378" s="6">
        <v>2750.19</v>
      </c>
      <c r="H18378" s="5">
        <v>13131</v>
      </c>
    </row>
    <row r="18379" spans="2:8" ht="15" customHeight="1" x14ac:dyDescent="0.4">
      <c r="B18379" s="3" t="s">
        <v>7</v>
      </c>
      <c r="C18379" s="3" t="s">
        <v>2970</v>
      </c>
      <c r="D18379" s="4">
        <f>DATE(2010,10,25)</f>
        <v>40476</v>
      </c>
      <c r="E18379" s="5">
        <f t="shared" si="301"/>
        <v>2010</v>
      </c>
      <c r="F18379" s="3" t="s">
        <v>2972</v>
      </c>
      <c r="G18379" s="6">
        <v>523.69000000000005</v>
      </c>
      <c r="H18379" s="5">
        <v>14666</v>
      </c>
    </row>
    <row r="18380" spans="2:8" ht="15" customHeight="1" x14ac:dyDescent="0.4">
      <c r="B18380" s="3" t="s">
        <v>7</v>
      </c>
      <c r="C18380" s="3" t="s">
        <v>2970</v>
      </c>
      <c r="D18380" s="4">
        <f>DATE(2010,10,26)</f>
        <v>40477</v>
      </c>
      <c r="E18380" s="5">
        <f t="shared" si="301"/>
        <v>2010</v>
      </c>
      <c r="F18380" s="3" t="s">
        <v>2972</v>
      </c>
      <c r="G18380" s="6">
        <v>15274.18</v>
      </c>
      <c r="H18380" s="5">
        <v>14600</v>
      </c>
    </row>
    <row r="18381" spans="2:8" ht="15" customHeight="1" x14ac:dyDescent="0.4">
      <c r="B18381" s="3" t="s">
        <v>7</v>
      </c>
      <c r="C18381" s="3" t="s">
        <v>2970</v>
      </c>
      <c r="D18381" s="4">
        <f>DATE(2011,3,23)</f>
        <v>40625</v>
      </c>
      <c r="E18381" s="5">
        <f t="shared" si="301"/>
        <v>2011</v>
      </c>
      <c r="F18381" s="3" t="s">
        <v>2972</v>
      </c>
      <c r="G18381" s="6">
        <v>4550.2700000000004</v>
      </c>
      <c r="H18381" s="5">
        <v>15297</v>
      </c>
    </row>
    <row r="18382" spans="2:8" ht="15" customHeight="1" x14ac:dyDescent="0.4">
      <c r="B18382" s="3" t="s">
        <v>7</v>
      </c>
      <c r="C18382" s="3" t="s">
        <v>2970</v>
      </c>
      <c r="D18382" s="4">
        <f>DATE(2011,3,31)</f>
        <v>40633</v>
      </c>
      <c r="E18382" s="5">
        <f t="shared" si="301"/>
        <v>2011</v>
      </c>
      <c r="F18382" s="3" t="s">
        <v>2972</v>
      </c>
      <c r="G18382" s="6">
        <v>6061.13</v>
      </c>
      <c r="H18382" s="5">
        <v>15310</v>
      </c>
    </row>
    <row r="18383" spans="2:8" ht="15" customHeight="1" x14ac:dyDescent="0.4">
      <c r="B18383" s="3" t="s">
        <v>7</v>
      </c>
      <c r="C18383" s="3" t="s">
        <v>2970</v>
      </c>
      <c r="D18383" s="4">
        <f>DATE(2012,1,12)</f>
        <v>40920</v>
      </c>
      <c r="E18383" s="5">
        <f t="shared" si="301"/>
        <v>2012</v>
      </c>
      <c r="F18383" s="3" t="s">
        <v>2972</v>
      </c>
      <c r="G18383" s="6">
        <v>16773.689999999999</v>
      </c>
      <c r="H18383" s="5">
        <v>16340</v>
      </c>
    </row>
    <row r="18384" spans="2:8" ht="15" customHeight="1" x14ac:dyDescent="0.4">
      <c r="B18384" s="3" t="s">
        <v>7</v>
      </c>
      <c r="C18384" s="3" t="s">
        <v>2970</v>
      </c>
      <c r="D18384" s="4">
        <f>DATE(2012,4,12)</f>
        <v>41011</v>
      </c>
      <c r="E18384" s="5">
        <f t="shared" si="301"/>
        <v>2012</v>
      </c>
      <c r="F18384" s="3" t="s">
        <v>2972</v>
      </c>
      <c r="G18384" s="6">
        <v>419.55</v>
      </c>
      <c r="H18384" s="5">
        <v>16934</v>
      </c>
    </row>
    <row r="18385" spans="2:8" ht="15" customHeight="1" x14ac:dyDescent="0.4">
      <c r="B18385" s="3" t="s">
        <v>7</v>
      </c>
      <c r="C18385" s="3" t="s">
        <v>2970</v>
      </c>
      <c r="D18385" s="4">
        <f>DATE(2013,6,18)</f>
        <v>41443</v>
      </c>
      <c r="E18385" s="5">
        <f t="shared" si="301"/>
        <v>2013</v>
      </c>
      <c r="F18385" s="3" t="s">
        <v>2972</v>
      </c>
      <c r="G18385" s="6">
        <v>7899.86</v>
      </c>
      <c r="H18385" s="5">
        <v>18596</v>
      </c>
    </row>
    <row r="18386" spans="2:8" ht="15" customHeight="1" x14ac:dyDescent="0.4">
      <c r="B18386" t="s">
        <v>7</v>
      </c>
      <c r="C18386" t="s">
        <v>2973</v>
      </c>
      <c r="D18386" s="7">
        <f>DATE(2015,7,8)</f>
        <v>42193</v>
      </c>
      <c r="E18386" s="8">
        <f t="shared" si="301"/>
        <v>2015</v>
      </c>
      <c r="F18386" t="s">
        <v>2974</v>
      </c>
      <c r="G18386" s="9">
        <v>351.94</v>
      </c>
      <c r="H18386" s="8">
        <v>20869</v>
      </c>
    </row>
    <row r="18387" spans="2:8" ht="15" customHeight="1" x14ac:dyDescent="0.4">
      <c r="B18387" t="s">
        <v>7</v>
      </c>
      <c r="C18387" t="s">
        <v>2973</v>
      </c>
      <c r="D18387" s="7">
        <f>DATE(2017,3,1)</f>
        <v>42795</v>
      </c>
      <c r="E18387" s="8">
        <f t="shared" si="301"/>
        <v>2017</v>
      </c>
      <c r="F18387" t="s">
        <v>2974</v>
      </c>
      <c r="G18387" s="9">
        <v>116.11</v>
      </c>
      <c r="H18387" s="8">
        <v>24334</v>
      </c>
    </row>
    <row r="18388" spans="2:8" ht="15" customHeight="1" x14ac:dyDescent="0.4">
      <c r="B18388" t="s">
        <v>7</v>
      </c>
      <c r="C18388" t="s">
        <v>2973</v>
      </c>
      <c r="D18388" s="7">
        <f>DATE(2017,3,1)</f>
        <v>42795</v>
      </c>
      <c r="E18388" s="8">
        <f t="shared" si="301"/>
        <v>2017</v>
      </c>
      <c r="F18388" t="s">
        <v>2974</v>
      </c>
      <c r="G18388" s="9">
        <v>587.44000000000005</v>
      </c>
      <c r="H18388" s="8">
        <v>24380</v>
      </c>
    </row>
    <row r="18389" spans="2:8" ht="15" customHeight="1" x14ac:dyDescent="0.4">
      <c r="B18389" t="s">
        <v>7</v>
      </c>
      <c r="C18389" t="s">
        <v>2973</v>
      </c>
      <c r="D18389" s="7">
        <f>DATE(2017,8,4)</f>
        <v>42951</v>
      </c>
      <c r="E18389" s="8">
        <f t="shared" si="301"/>
        <v>2017</v>
      </c>
      <c r="F18389" t="s">
        <v>2974</v>
      </c>
      <c r="G18389" s="9">
        <v>564.79999999999995</v>
      </c>
      <c r="H18389" s="8">
        <v>25350</v>
      </c>
    </row>
    <row r="18390" spans="2:8" ht="15" customHeight="1" x14ac:dyDescent="0.4">
      <c r="B18390" t="s">
        <v>7</v>
      </c>
      <c r="C18390" t="s">
        <v>2973</v>
      </c>
      <c r="D18390" s="7">
        <f>DATE(2017,9,27)</f>
        <v>43005</v>
      </c>
      <c r="E18390" s="8">
        <f t="shared" si="301"/>
        <v>2017</v>
      </c>
      <c r="F18390" t="s">
        <v>2974</v>
      </c>
      <c r="G18390" s="9">
        <v>230.8</v>
      </c>
      <c r="H18390" s="8">
        <v>25621</v>
      </c>
    </row>
    <row r="18391" spans="2:8" ht="15" customHeight="1" x14ac:dyDescent="0.4">
      <c r="B18391" t="s">
        <v>7</v>
      </c>
      <c r="C18391" t="s">
        <v>2973</v>
      </c>
      <c r="D18391" s="7">
        <f>DATE(2017,10,19)</f>
        <v>43027</v>
      </c>
      <c r="E18391" s="8">
        <f t="shared" si="301"/>
        <v>2017</v>
      </c>
      <c r="F18391" t="s">
        <v>2974</v>
      </c>
      <c r="G18391" s="9">
        <v>334</v>
      </c>
      <c r="H18391" s="8">
        <v>25749</v>
      </c>
    </row>
    <row r="18392" spans="2:8" ht="15" customHeight="1" x14ac:dyDescent="0.4">
      <c r="B18392" t="s">
        <v>7</v>
      </c>
      <c r="C18392" t="s">
        <v>2973</v>
      </c>
      <c r="D18392" s="7">
        <f>DATE(2017,11,22)</f>
        <v>43061</v>
      </c>
      <c r="E18392" s="8">
        <f t="shared" si="301"/>
        <v>2017</v>
      </c>
      <c r="F18392" t="s">
        <v>2974</v>
      </c>
      <c r="G18392" s="9">
        <v>334</v>
      </c>
      <c r="H18392" s="8">
        <v>25922</v>
      </c>
    </row>
    <row r="18393" spans="2:8" ht="15" customHeight="1" x14ac:dyDescent="0.4">
      <c r="B18393" t="s">
        <v>7</v>
      </c>
      <c r="C18393" t="s">
        <v>2973</v>
      </c>
      <c r="D18393" s="7">
        <f>DATE(2017,12,11)</f>
        <v>43080</v>
      </c>
      <c r="E18393" s="8">
        <f t="shared" si="301"/>
        <v>2017</v>
      </c>
      <c r="F18393" t="s">
        <v>2974</v>
      </c>
      <c r="G18393" s="9">
        <v>608</v>
      </c>
      <c r="H18393" s="8">
        <v>26015</v>
      </c>
    </row>
    <row r="18394" spans="2:8" ht="15" customHeight="1" x14ac:dyDescent="0.4">
      <c r="B18394" t="s">
        <v>7</v>
      </c>
      <c r="C18394" t="s">
        <v>2973</v>
      </c>
      <c r="D18394" s="7">
        <f>DATE(2017,12,29)</f>
        <v>43098</v>
      </c>
      <c r="E18394" s="8">
        <f t="shared" si="301"/>
        <v>2017</v>
      </c>
      <c r="F18394" t="s">
        <v>2974</v>
      </c>
      <c r="G18394" s="9">
        <v>305.2</v>
      </c>
      <c r="H18394" s="8">
        <v>26120</v>
      </c>
    </row>
    <row r="18395" spans="2:8" ht="15" customHeight="1" x14ac:dyDescent="0.4">
      <c r="B18395" t="s">
        <v>7</v>
      </c>
      <c r="C18395" t="s">
        <v>2973</v>
      </c>
      <c r="D18395" s="7">
        <f>DATE(2018,1,15)</f>
        <v>43115</v>
      </c>
      <c r="E18395" s="8">
        <f t="shared" si="301"/>
        <v>2018</v>
      </c>
      <c r="F18395" t="s">
        <v>2974</v>
      </c>
      <c r="G18395" s="9">
        <v>612.79999999999995</v>
      </c>
      <c r="H18395" s="8">
        <v>26228</v>
      </c>
    </row>
    <row r="18396" spans="2:8" ht="15" customHeight="1" x14ac:dyDescent="0.4">
      <c r="B18396" t="s">
        <v>7</v>
      </c>
      <c r="C18396" t="s">
        <v>2973</v>
      </c>
      <c r="D18396" s="7">
        <f>DATE(2018,2,6)</f>
        <v>43137</v>
      </c>
      <c r="E18396" s="8">
        <f t="shared" si="301"/>
        <v>2018</v>
      </c>
      <c r="F18396" t="s">
        <v>2974</v>
      </c>
      <c r="G18396" s="9">
        <v>334</v>
      </c>
      <c r="H18396" s="8">
        <v>26375</v>
      </c>
    </row>
    <row r="18397" spans="2:8" ht="15" customHeight="1" x14ac:dyDescent="0.4">
      <c r="B18397" t="s">
        <v>7</v>
      </c>
      <c r="C18397" t="s">
        <v>2973</v>
      </c>
      <c r="D18397" s="7">
        <f>DATE(2018,4,11)</f>
        <v>43201</v>
      </c>
      <c r="E18397" s="8">
        <f t="shared" si="301"/>
        <v>2018</v>
      </c>
      <c r="F18397" t="s">
        <v>2974</v>
      </c>
      <c r="G18397" s="9">
        <v>139.6</v>
      </c>
      <c r="H18397" s="8">
        <v>26851</v>
      </c>
    </row>
    <row r="18398" spans="2:8" ht="15" customHeight="1" x14ac:dyDescent="0.4">
      <c r="B18398" t="s">
        <v>7</v>
      </c>
      <c r="C18398" t="s">
        <v>2973</v>
      </c>
      <c r="D18398" s="7">
        <f>DATE(2018,7,3)</f>
        <v>43284</v>
      </c>
      <c r="E18398" s="8">
        <f t="shared" si="301"/>
        <v>2018</v>
      </c>
      <c r="F18398" t="s">
        <v>2974</v>
      </c>
      <c r="G18398" s="9">
        <v>139.6</v>
      </c>
      <c r="H18398" s="8">
        <v>27314</v>
      </c>
    </row>
    <row r="18399" spans="2:8" ht="15" customHeight="1" x14ac:dyDescent="0.4">
      <c r="B18399" t="s">
        <v>7</v>
      </c>
      <c r="C18399" t="s">
        <v>2973</v>
      </c>
      <c r="D18399" s="7">
        <f>DATE(2018,10,30)</f>
        <v>43403</v>
      </c>
      <c r="E18399" s="8">
        <f t="shared" si="301"/>
        <v>2018</v>
      </c>
      <c r="F18399" t="s">
        <v>2974</v>
      </c>
      <c r="G18399" s="9">
        <v>139.6</v>
      </c>
      <c r="H18399" s="8">
        <v>27892</v>
      </c>
    </row>
    <row r="18400" spans="2:8" ht="15" customHeight="1" x14ac:dyDescent="0.4">
      <c r="B18400" t="s">
        <v>7</v>
      </c>
      <c r="C18400" t="s">
        <v>2973</v>
      </c>
      <c r="D18400" s="7">
        <f>DATE(2019,2,28)</f>
        <v>43524</v>
      </c>
      <c r="E18400" s="8">
        <f t="shared" si="301"/>
        <v>2019</v>
      </c>
      <c r="F18400" t="s">
        <v>2974</v>
      </c>
      <c r="G18400" s="9">
        <v>139.6</v>
      </c>
      <c r="H18400" s="8">
        <v>28484</v>
      </c>
    </row>
    <row r="18401" spans="2:8" ht="15" customHeight="1" x14ac:dyDescent="0.4">
      <c r="B18401" t="s">
        <v>7</v>
      </c>
      <c r="C18401" t="s">
        <v>2973</v>
      </c>
      <c r="D18401" s="7">
        <f>DATE(2017,9,20)</f>
        <v>42998</v>
      </c>
      <c r="E18401" s="8">
        <f t="shared" si="301"/>
        <v>2017</v>
      </c>
      <c r="F18401" t="s">
        <v>2974</v>
      </c>
      <c r="G18401" s="9">
        <v>2283</v>
      </c>
      <c r="H18401" s="8">
        <v>25608</v>
      </c>
    </row>
    <row r="18402" spans="2:8" ht="15" customHeight="1" x14ac:dyDescent="0.4">
      <c r="B18402" s="3" t="s">
        <v>7</v>
      </c>
      <c r="C18402" s="3" t="s">
        <v>2973</v>
      </c>
      <c r="D18402" s="4">
        <f>DATE(2014,11,20)</f>
        <v>41963</v>
      </c>
      <c r="E18402" s="5">
        <f t="shared" si="301"/>
        <v>2014</v>
      </c>
      <c r="F18402" s="3" t="s">
        <v>2974</v>
      </c>
      <c r="G18402" s="6">
        <v>400.46</v>
      </c>
      <c r="H18402" s="5">
        <v>6488</v>
      </c>
    </row>
    <row r="18403" spans="2:8" ht="15" customHeight="1" x14ac:dyDescent="0.4">
      <c r="B18403" s="3" t="s">
        <v>7</v>
      </c>
      <c r="C18403" s="3" t="s">
        <v>2975</v>
      </c>
      <c r="D18403" s="4">
        <f>DATE(2004,3,4)</f>
        <v>38050</v>
      </c>
      <c r="E18403" s="5">
        <f t="shared" si="301"/>
        <v>2004</v>
      </c>
      <c r="F18403" s="3" t="s">
        <v>2976</v>
      </c>
      <c r="G18403" s="6">
        <v>32.369999999999997</v>
      </c>
      <c r="H18403" s="5">
        <v>561</v>
      </c>
    </row>
    <row r="18404" spans="2:8" ht="15" customHeight="1" x14ac:dyDescent="0.4">
      <c r="B18404" s="3" t="s">
        <v>7</v>
      </c>
      <c r="C18404" s="3" t="s">
        <v>2975</v>
      </c>
      <c r="D18404" s="4">
        <f>DATE(2005,11,27)</f>
        <v>38683</v>
      </c>
      <c r="E18404" s="5">
        <f t="shared" si="301"/>
        <v>2005</v>
      </c>
      <c r="F18404" s="3" t="s">
        <v>2976</v>
      </c>
      <c r="G18404" s="6">
        <v>13481.3</v>
      </c>
      <c r="H18404" s="5">
        <v>1313</v>
      </c>
    </row>
    <row r="18405" spans="2:8" ht="15" customHeight="1" x14ac:dyDescent="0.4">
      <c r="B18405" s="3" t="s">
        <v>7</v>
      </c>
      <c r="C18405" s="3" t="s">
        <v>2975</v>
      </c>
      <c r="D18405" s="4">
        <f>DATE(2006,2,9)</f>
        <v>38757</v>
      </c>
      <c r="E18405" s="5">
        <f t="shared" si="301"/>
        <v>2006</v>
      </c>
      <c r="F18405" s="3" t="s">
        <v>2976</v>
      </c>
      <c r="G18405" s="6">
        <v>30348.5</v>
      </c>
      <c r="H18405" s="5">
        <v>1425</v>
      </c>
    </row>
    <row r="18406" spans="2:8" ht="15" customHeight="1" x14ac:dyDescent="0.4">
      <c r="B18406" s="3" t="s">
        <v>7</v>
      </c>
      <c r="C18406" s="3" t="s">
        <v>2977</v>
      </c>
      <c r="D18406" s="4">
        <f>DATE(2011,6,9)</f>
        <v>40703</v>
      </c>
      <c r="E18406" s="5">
        <f t="shared" si="301"/>
        <v>2011</v>
      </c>
      <c r="F18406" s="3" t="s">
        <v>2978</v>
      </c>
      <c r="G18406" s="6">
        <v>227797.51</v>
      </c>
      <c r="H18406" s="5">
        <v>4323</v>
      </c>
    </row>
    <row r="18407" spans="2:8" ht="15" customHeight="1" x14ac:dyDescent="0.4">
      <c r="B18407" s="3" t="s">
        <v>7</v>
      </c>
      <c r="C18407" s="3" t="s">
        <v>2979</v>
      </c>
      <c r="D18407" s="4">
        <f>DATE(2003,1,23)</f>
        <v>37644</v>
      </c>
      <c r="E18407" s="5">
        <f t="shared" si="301"/>
        <v>2003</v>
      </c>
      <c r="F18407" s="3" t="s">
        <v>2978</v>
      </c>
      <c r="G18407" s="6">
        <v>750</v>
      </c>
      <c r="H18407" s="5">
        <v>123</v>
      </c>
    </row>
    <row r="18408" spans="2:8" ht="15" customHeight="1" x14ac:dyDescent="0.4">
      <c r="B18408" t="s">
        <v>7</v>
      </c>
      <c r="C18408" t="s">
        <v>2980</v>
      </c>
      <c r="D18408" s="7">
        <f>DATE(2004,3,18)</f>
        <v>38064</v>
      </c>
      <c r="E18408" s="8">
        <f t="shared" si="301"/>
        <v>2004</v>
      </c>
      <c r="F18408" t="s">
        <v>2981</v>
      </c>
      <c r="G18408" s="9">
        <v>1888.72</v>
      </c>
      <c r="H18408" s="8">
        <v>1546</v>
      </c>
    </row>
    <row r="18409" spans="2:8" ht="15" customHeight="1" x14ac:dyDescent="0.4">
      <c r="B18409" t="s">
        <v>7</v>
      </c>
      <c r="C18409" t="s">
        <v>2982</v>
      </c>
      <c r="D18409" s="7">
        <f>DATE(2015,4,23)</f>
        <v>42117</v>
      </c>
      <c r="E18409" s="8">
        <f t="shared" si="301"/>
        <v>2015</v>
      </c>
      <c r="F18409" t="s">
        <v>2983</v>
      </c>
      <c r="G18409" s="9">
        <v>33794.35</v>
      </c>
      <c r="H18409" s="8">
        <v>329</v>
      </c>
    </row>
    <row r="18410" spans="2:8" ht="15" customHeight="1" x14ac:dyDescent="0.4">
      <c r="B18410" t="s">
        <v>7</v>
      </c>
      <c r="C18410" t="s">
        <v>2982</v>
      </c>
      <c r="D18410" s="7">
        <f>DATE(2015,4,30)</f>
        <v>42124</v>
      </c>
      <c r="E18410" s="8">
        <f t="shared" si="301"/>
        <v>2015</v>
      </c>
      <c r="F18410" t="s">
        <v>2983</v>
      </c>
      <c r="G18410" s="9">
        <v>16430</v>
      </c>
      <c r="H18410" s="8">
        <v>20466</v>
      </c>
    </row>
    <row r="18411" spans="2:8" ht="15" customHeight="1" x14ac:dyDescent="0.4">
      <c r="B18411" t="s">
        <v>7</v>
      </c>
      <c r="C18411" t="s">
        <v>2982</v>
      </c>
      <c r="D18411" s="7">
        <f>DATE(2015,7,22)</f>
        <v>42207</v>
      </c>
      <c r="E18411" s="8">
        <f t="shared" si="301"/>
        <v>2015</v>
      </c>
      <c r="F18411" t="s">
        <v>2983</v>
      </c>
      <c r="G18411" s="9">
        <v>20727</v>
      </c>
      <c r="H18411" s="8">
        <v>20967</v>
      </c>
    </row>
    <row r="18412" spans="2:8" ht="15" customHeight="1" x14ac:dyDescent="0.4">
      <c r="B18412" t="s">
        <v>7</v>
      </c>
      <c r="C18412" t="s">
        <v>2982</v>
      </c>
      <c r="D18412" s="7">
        <f>DATE(2015,9,28)</f>
        <v>42275</v>
      </c>
      <c r="E18412" s="8">
        <f t="shared" si="301"/>
        <v>2015</v>
      </c>
      <c r="F18412" t="s">
        <v>2983</v>
      </c>
      <c r="G18412" s="9">
        <v>17735</v>
      </c>
      <c r="H18412" s="8">
        <v>21193</v>
      </c>
    </row>
    <row r="18413" spans="2:8" ht="15" customHeight="1" x14ac:dyDescent="0.4">
      <c r="B18413" t="s">
        <v>7</v>
      </c>
      <c r="C18413" t="s">
        <v>2982</v>
      </c>
      <c r="D18413" s="7">
        <f>DATE(2015,10,13)</f>
        <v>42290</v>
      </c>
      <c r="E18413" s="8">
        <f t="shared" si="301"/>
        <v>2015</v>
      </c>
      <c r="F18413" t="s">
        <v>2983</v>
      </c>
      <c r="G18413" s="9">
        <v>16430</v>
      </c>
      <c r="H18413" s="8">
        <v>21198</v>
      </c>
    </row>
    <row r="18414" spans="2:8" ht="15" customHeight="1" x14ac:dyDescent="0.4">
      <c r="B18414" t="s">
        <v>7</v>
      </c>
      <c r="C18414" t="s">
        <v>2982</v>
      </c>
      <c r="D18414" s="7">
        <f>DATE(2016,4,1)</f>
        <v>42461</v>
      </c>
      <c r="E18414" s="8">
        <f t="shared" si="301"/>
        <v>2016</v>
      </c>
      <c r="F18414" t="s">
        <v>2983</v>
      </c>
      <c r="G18414" s="9">
        <v>18565</v>
      </c>
      <c r="H18414" s="8">
        <v>21811</v>
      </c>
    </row>
    <row r="18415" spans="2:8" ht="15" customHeight="1" x14ac:dyDescent="0.4">
      <c r="B18415" t="s">
        <v>7</v>
      </c>
      <c r="C18415" t="s">
        <v>2982</v>
      </c>
      <c r="D18415" s="7">
        <f>DATE(2016,4,26)</f>
        <v>42486</v>
      </c>
      <c r="E18415" s="8">
        <f t="shared" si="301"/>
        <v>2016</v>
      </c>
      <c r="F18415" t="s">
        <v>2983</v>
      </c>
      <c r="G18415" s="9">
        <v>19950</v>
      </c>
      <c r="H18415" s="8">
        <v>22700</v>
      </c>
    </row>
    <row r="18416" spans="2:8" ht="15" customHeight="1" x14ac:dyDescent="0.4">
      <c r="B18416" t="s">
        <v>7</v>
      </c>
      <c r="C18416" t="s">
        <v>2982</v>
      </c>
      <c r="D18416" s="7">
        <f>DATE(2016,4,26)</f>
        <v>42486</v>
      </c>
      <c r="E18416" s="8">
        <f t="shared" si="301"/>
        <v>2016</v>
      </c>
      <c r="F18416" t="s">
        <v>2983</v>
      </c>
      <c r="G18416" s="9">
        <v>19550</v>
      </c>
      <c r="H18416" s="8">
        <v>22748</v>
      </c>
    </row>
    <row r="18417" spans="2:8" ht="15" customHeight="1" x14ac:dyDescent="0.4">
      <c r="B18417" t="s">
        <v>7</v>
      </c>
      <c r="C18417" t="s">
        <v>2982</v>
      </c>
      <c r="D18417" s="7">
        <f>DATE(2016,5,16)</f>
        <v>42506</v>
      </c>
      <c r="E18417" s="8">
        <f t="shared" si="301"/>
        <v>2016</v>
      </c>
      <c r="F18417" t="s">
        <v>2983</v>
      </c>
      <c r="G18417" s="9">
        <v>16430</v>
      </c>
      <c r="H18417" s="8">
        <v>22640</v>
      </c>
    </row>
    <row r="18418" spans="2:8" ht="15" customHeight="1" x14ac:dyDescent="0.4">
      <c r="B18418" t="s">
        <v>7</v>
      </c>
      <c r="C18418" t="s">
        <v>2982</v>
      </c>
      <c r="D18418" s="7">
        <f>DATE(2016,5,24)</f>
        <v>42514</v>
      </c>
      <c r="E18418" s="8">
        <f t="shared" si="301"/>
        <v>2016</v>
      </c>
      <c r="F18418" t="s">
        <v>2983</v>
      </c>
      <c r="G18418" s="9">
        <v>17735</v>
      </c>
      <c r="H18418" s="8">
        <v>22820</v>
      </c>
    </row>
    <row r="18419" spans="2:8" ht="15" customHeight="1" x14ac:dyDescent="0.4">
      <c r="B18419" t="s">
        <v>7</v>
      </c>
      <c r="C18419" t="s">
        <v>2982</v>
      </c>
      <c r="D18419" s="7">
        <f>DATE(2016,8,12)</f>
        <v>42594</v>
      </c>
      <c r="E18419" s="8">
        <f t="shared" si="301"/>
        <v>2016</v>
      </c>
      <c r="F18419" t="s">
        <v>2983</v>
      </c>
      <c r="G18419" s="9">
        <v>23348.66</v>
      </c>
      <c r="H18419" s="8">
        <v>23248</v>
      </c>
    </row>
    <row r="18420" spans="2:8" ht="15" customHeight="1" x14ac:dyDescent="0.4">
      <c r="B18420" t="s">
        <v>7</v>
      </c>
      <c r="C18420" t="s">
        <v>2982</v>
      </c>
      <c r="D18420" s="7">
        <f>DATE(2017,3,24)</f>
        <v>42818</v>
      </c>
      <c r="E18420" s="8">
        <f t="shared" si="301"/>
        <v>2017</v>
      </c>
      <c r="F18420" t="s">
        <v>2983</v>
      </c>
      <c r="G18420" s="9">
        <v>16430</v>
      </c>
      <c r="H18420" s="8">
        <v>24283</v>
      </c>
    </row>
    <row r="18421" spans="2:8" ht="15" customHeight="1" x14ac:dyDescent="0.4">
      <c r="B18421" t="s">
        <v>7</v>
      </c>
      <c r="C18421" t="s">
        <v>2982</v>
      </c>
      <c r="D18421" s="7">
        <f>DATE(2017,5,3)</f>
        <v>42858</v>
      </c>
      <c r="E18421" s="8">
        <f t="shared" si="301"/>
        <v>2017</v>
      </c>
      <c r="F18421" t="s">
        <v>2983</v>
      </c>
      <c r="G18421" s="9">
        <v>31060</v>
      </c>
      <c r="H18421" s="8">
        <v>24284</v>
      </c>
    </row>
    <row r="18422" spans="2:8" ht="15" customHeight="1" x14ac:dyDescent="0.4">
      <c r="B18422" t="s">
        <v>7</v>
      </c>
      <c r="C18422" t="s">
        <v>2982</v>
      </c>
      <c r="D18422" s="7">
        <f>DATE(2017,8,2)</f>
        <v>42949</v>
      </c>
      <c r="E18422" s="8">
        <f t="shared" si="301"/>
        <v>2017</v>
      </c>
      <c r="F18422" t="s">
        <v>2983</v>
      </c>
      <c r="G18422" s="9">
        <v>17735</v>
      </c>
      <c r="H18422" s="8">
        <v>25325</v>
      </c>
    </row>
    <row r="18423" spans="2:8" ht="15" customHeight="1" x14ac:dyDescent="0.4">
      <c r="B18423" t="s">
        <v>16</v>
      </c>
      <c r="C18423" t="s">
        <v>2982</v>
      </c>
      <c r="D18423" s="7">
        <f>DATE(2016,4,26)</f>
        <v>42486</v>
      </c>
      <c r="E18423" s="8">
        <f t="shared" si="301"/>
        <v>2016</v>
      </c>
      <c r="F18423" t="s">
        <v>2983</v>
      </c>
      <c r="G18423" s="9">
        <v>19950</v>
      </c>
      <c r="H18423" s="8">
        <v>22747</v>
      </c>
    </row>
    <row r="18424" spans="2:8" ht="15" customHeight="1" x14ac:dyDescent="0.4">
      <c r="B18424" t="s">
        <v>7</v>
      </c>
      <c r="C18424" t="s">
        <v>2982</v>
      </c>
      <c r="D18424" s="7">
        <f>DATE(2004,10,15)</f>
        <v>38275</v>
      </c>
      <c r="E18424" s="8">
        <f t="shared" si="301"/>
        <v>2004</v>
      </c>
      <c r="F18424" t="s">
        <v>2983</v>
      </c>
      <c r="G18424" s="9">
        <v>6304.58</v>
      </c>
      <c r="H18424" s="8">
        <v>2280</v>
      </c>
    </row>
    <row r="18425" spans="2:8" ht="15" customHeight="1" x14ac:dyDescent="0.4">
      <c r="B18425" t="s">
        <v>7</v>
      </c>
      <c r="C18425" t="s">
        <v>2982</v>
      </c>
      <c r="D18425" s="7">
        <f>DATE(2004,11,8)</f>
        <v>38299</v>
      </c>
      <c r="E18425" s="8">
        <f t="shared" si="301"/>
        <v>2004</v>
      </c>
      <c r="F18425" t="s">
        <v>2983</v>
      </c>
      <c r="G18425" s="9">
        <v>2739.05</v>
      </c>
      <c r="H18425" s="8">
        <v>2358</v>
      </c>
    </row>
    <row r="18426" spans="2:8" ht="15" customHeight="1" x14ac:dyDescent="0.4">
      <c r="B18426" t="s">
        <v>7</v>
      </c>
      <c r="C18426" t="s">
        <v>2982</v>
      </c>
      <c r="D18426" s="7">
        <f>DATE(2005,4,16)</f>
        <v>38458</v>
      </c>
      <c r="E18426" s="8">
        <f t="shared" si="301"/>
        <v>2005</v>
      </c>
      <c r="F18426" t="s">
        <v>2983</v>
      </c>
      <c r="G18426" s="9">
        <v>2986.55</v>
      </c>
      <c r="H18426" s="8">
        <v>3076</v>
      </c>
    </row>
    <row r="18427" spans="2:8" ht="15" customHeight="1" x14ac:dyDescent="0.4">
      <c r="B18427" t="s">
        <v>7</v>
      </c>
      <c r="C18427" t="s">
        <v>2982</v>
      </c>
      <c r="D18427" s="7">
        <f>DATE(2005,5,14)</f>
        <v>38486</v>
      </c>
      <c r="E18427" s="8">
        <f t="shared" si="301"/>
        <v>2005</v>
      </c>
      <c r="F18427" t="s">
        <v>2983</v>
      </c>
      <c r="G18427" s="9">
        <v>6367.66</v>
      </c>
      <c r="H18427" s="8">
        <v>3203</v>
      </c>
    </row>
    <row r="18428" spans="2:8" ht="15" customHeight="1" x14ac:dyDescent="0.4">
      <c r="B18428" t="s">
        <v>7</v>
      </c>
      <c r="C18428" t="s">
        <v>2982</v>
      </c>
      <c r="D18428" s="7">
        <f>DATE(2006,3,5)</f>
        <v>38781</v>
      </c>
      <c r="E18428" s="8">
        <f t="shared" si="301"/>
        <v>2006</v>
      </c>
      <c r="F18428" t="s">
        <v>2983</v>
      </c>
      <c r="G18428" s="9">
        <v>14891.44</v>
      </c>
      <c r="H18428" s="8">
        <v>4102</v>
      </c>
    </row>
    <row r="18429" spans="2:8" ht="15" customHeight="1" x14ac:dyDescent="0.4">
      <c r="B18429" t="s">
        <v>7</v>
      </c>
      <c r="C18429" t="s">
        <v>2982</v>
      </c>
      <c r="D18429" s="7">
        <f>DATE(2006,3,24)</f>
        <v>38800</v>
      </c>
      <c r="E18429" s="8">
        <f t="shared" si="301"/>
        <v>2006</v>
      </c>
      <c r="F18429" t="s">
        <v>2983</v>
      </c>
      <c r="G18429" s="9">
        <v>14123.84</v>
      </c>
      <c r="H18429" s="8">
        <v>4327</v>
      </c>
    </row>
    <row r="18430" spans="2:8" ht="15" customHeight="1" x14ac:dyDescent="0.4">
      <c r="B18430" t="s">
        <v>7</v>
      </c>
      <c r="C18430" t="s">
        <v>2982</v>
      </c>
      <c r="D18430" s="7">
        <f>DATE(2006,5,9)</f>
        <v>38846</v>
      </c>
      <c r="E18430" s="8">
        <f t="shared" si="301"/>
        <v>2006</v>
      </c>
      <c r="F18430" t="s">
        <v>2983</v>
      </c>
      <c r="G18430" s="9">
        <v>3311.54</v>
      </c>
      <c r="H18430" s="8">
        <v>4605</v>
      </c>
    </row>
    <row r="18431" spans="2:8" ht="15" customHeight="1" x14ac:dyDescent="0.4">
      <c r="B18431" t="s">
        <v>7</v>
      </c>
      <c r="C18431" t="s">
        <v>2982</v>
      </c>
      <c r="D18431" s="7">
        <f>DATE(2006,10,18)</f>
        <v>39008</v>
      </c>
      <c r="E18431" s="8">
        <f t="shared" si="301"/>
        <v>2006</v>
      </c>
      <c r="F18431" t="s">
        <v>2983</v>
      </c>
      <c r="G18431" s="9">
        <v>4591.59</v>
      </c>
      <c r="H18431" s="8">
        <v>5080</v>
      </c>
    </row>
    <row r="18432" spans="2:8" ht="15" customHeight="1" x14ac:dyDescent="0.4">
      <c r="B18432" t="s">
        <v>7</v>
      </c>
      <c r="C18432" t="s">
        <v>2982</v>
      </c>
      <c r="D18432" s="7">
        <f>DATE(2007,1,17)</f>
        <v>39099</v>
      </c>
      <c r="E18432" s="8">
        <f t="shared" si="301"/>
        <v>2007</v>
      </c>
      <c r="F18432" t="s">
        <v>2983</v>
      </c>
      <c r="G18432" s="9">
        <v>14891.44</v>
      </c>
      <c r="H18432" s="8">
        <v>5367</v>
      </c>
    </row>
    <row r="18433" spans="2:8" ht="15" customHeight="1" x14ac:dyDescent="0.4">
      <c r="B18433" t="s">
        <v>7</v>
      </c>
      <c r="C18433" t="s">
        <v>2982</v>
      </c>
      <c r="D18433" s="7">
        <f>DATE(2007,3,15)</f>
        <v>39156</v>
      </c>
      <c r="E18433" s="8">
        <f t="shared" si="301"/>
        <v>2007</v>
      </c>
      <c r="F18433" t="s">
        <v>2983</v>
      </c>
      <c r="G18433" s="9">
        <v>14388.2</v>
      </c>
      <c r="H18433" s="8">
        <v>5508</v>
      </c>
    </row>
    <row r="18434" spans="2:8" ht="15" customHeight="1" x14ac:dyDescent="0.4">
      <c r="B18434" t="s">
        <v>7</v>
      </c>
      <c r="C18434" t="s">
        <v>2982</v>
      </c>
      <c r="D18434" s="7">
        <f>DATE(2008,1,2)</f>
        <v>39449</v>
      </c>
      <c r="E18434" s="8">
        <f t="shared" si="301"/>
        <v>2008</v>
      </c>
      <c r="F18434" t="s">
        <v>2983</v>
      </c>
      <c r="G18434" s="9">
        <v>3541.47</v>
      </c>
      <c r="H18434" s="8">
        <v>6729</v>
      </c>
    </row>
    <row r="18435" spans="2:8" ht="15" customHeight="1" x14ac:dyDescent="0.4">
      <c r="B18435" t="s">
        <v>7</v>
      </c>
      <c r="C18435" t="s">
        <v>2982</v>
      </c>
      <c r="D18435" s="7">
        <f>DATE(2008,6,3)</f>
        <v>39602</v>
      </c>
      <c r="E18435" s="8">
        <f t="shared" ref="E18435:E18498" si="302">YEAR(D18435)</f>
        <v>2008</v>
      </c>
      <c r="F18435" t="s">
        <v>2983</v>
      </c>
      <c r="G18435" s="9">
        <v>3719.02</v>
      </c>
      <c r="H18435" s="8">
        <v>7486</v>
      </c>
    </row>
    <row r="18436" spans="2:8" ht="15" customHeight="1" x14ac:dyDescent="0.4">
      <c r="B18436" t="s">
        <v>7</v>
      </c>
      <c r="C18436" t="s">
        <v>2982</v>
      </c>
      <c r="D18436" s="7">
        <f>DATE(2008,6,6)</f>
        <v>39605</v>
      </c>
      <c r="E18436" s="8">
        <f t="shared" si="302"/>
        <v>2008</v>
      </c>
      <c r="F18436" t="s">
        <v>2983</v>
      </c>
      <c r="G18436" s="9">
        <v>2979.58</v>
      </c>
      <c r="H18436" s="8">
        <v>7511</v>
      </c>
    </row>
    <row r="18437" spans="2:8" ht="15" customHeight="1" x14ac:dyDescent="0.4">
      <c r="B18437" t="s">
        <v>7</v>
      </c>
      <c r="C18437" t="s">
        <v>2982</v>
      </c>
      <c r="D18437" s="7">
        <f>DATE(2008,9,26)</f>
        <v>39717</v>
      </c>
      <c r="E18437" s="8">
        <f t="shared" si="302"/>
        <v>2008</v>
      </c>
      <c r="F18437" t="s">
        <v>2983</v>
      </c>
      <c r="G18437" s="9">
        <v>14388.2</v>
      </c>
      <c r="H18437" s="8">
        <v>7792</v>
      </c>
    </row>
    <row r="18438" spans="2:8" ht="15" customHeight="1" x14ac:dyDescent="0.4">
      <c r="B18438" t="s">
        <v>7</v>
      </c>
      <c r="C18438" t="s">
        <v>2982</v>
      </c>
      <c r="D18438" s="7">
        <f>DATE(2008,10,8)</f>
        <v>39729</v>
      </c>
      <c r="E18438" s="8">
        <f t="shared" si="302"/>
        <v>2008</v>
      </c>
      <c r="F18438" t="s">
        <v>2983</v>
      </c>
      <c r="G18438" s="9">
        <v>5260</v>
      </c>
      <c r="H18438" s="8">
        <v>7909</v>
      </c>
    </row>
    <row r="18439" spans="2:8" ht="15" customHeight="1" x14ac:dyDescent="0.4">
      <c r="B18439" t="s">
        <v>7</v>
      </c>
      <c r="C18439" t="s">
        <v>2982</v>
      </c>
      <c r="D18439" s="7">
        <f>DATE(2008,10,31)</f>
        <v>39752</v>
      </c>
      <c r="E18439" s="8">
        <f t="shared" si="302"/>
        <v>2008</v>
      </c>
      <c r="F18439" t="s">
        <v>2983</v>
      </c>
      <c r="G18439" s="9">
        <v>1993.65</v>
      </c>
      <c r="H18439" s="8">
        <v>7999</v>
      </c>
    </row>
    <row r="18440" spans="2:8" ht="15" customHeight="1" x14ac:dyDescent="0.4">
      <c r="B18440" t="s">
        <v>7</v>
      </c>
      <c r="C18440" t="s">
        <v>2982</v>
      </c>
      <c r="D18440" s="7">
        <f>DATE(2008,11,29)</f>
        <v>39781</v>
      </c>
      <c r="E18440" s="8">
        <f t="shared" si="302"/>
        <v>2008</v>
      </c>
      <c r="F18440" t="s">
        <v>2983</v>
      </c>
      <c r="G18440" s="9">
        <v>3655.81</v>
      </c>
      <c r="H18440" s="8">
        <v>8069</v>
      </c>
    </row>
    <row r="18441" spans="2:8" ht="15" customHeight="1" x14ac:dyDescent="0.4">
      <c r="B18441" t="s">
        <v>7</v>
      </c>
      <c r="C18441" t="s">
        <v>2982</v>
      </c>
      <c r="D18441" s="7">
        <f>DATE(2009,3,18)</f>
        <v>39890</v>
      </c>
      <c r="E18441" s="8">
        <f t="shared" si="302"/>
        <v>2009</v>
      </c>
      <c r="F18441" t="s">
        <v>2983</v>
      </c>
      <c r="G18441" s="9">
        <v>15386.34</v>
      </c>
      <c r="H18441" s="8">
        <v>8389</v>
      </c>
    </row>
    <row r="18442" spans="2:8" ht="15" customHeight="1" x14ac:dyDescent="0.4">
      <c r="B18442" t="s">
        <v>7</v>
      </c>
      <c r="C18442" t="s">
        <v>2982</v>
      </c>
      <c r="D18442" s="7">
        <f>DATE(2009,4,8)</f>
        <v>39911</v>
      </c>
      <c r="E18442" s="8">
        <f t="shared" si="302"/>
        <v>2009</v>
      </c>
      <c r="F18442" t="s">
        <v>2983</v>
      </c>
      <c r="G18442" s="9">
        <v>14891.44</v>
      </c>
      <c r="H18442" s="8">
        <v>8548</v>
      </c>
    </row>
    <row r="18443" spans="2:8" ht="15" customHeight="1" x14ac:dyDescent="0.4">
      <c r="B18443" t="s">
        <v>7</v>
      </c>
      <c r="C18443" t="s">
        <v>2982</v>
      </c>
      <c r="D18443" s="7">
        <f>DATE(2010,3,22)</f>
        <v>40259</v>
      </c>
      <c r="E18443" s="8">
        <f t="shared" si="302"/>
        <v>2010</v>
      </c>
      <c r="F18443" t="s">
        <v>2983</v>
      </c>
      <c r="G18443" s="9">
        <v>14123.84</v>
      </c>
      <c r="H18443" s="8">
        <v>9552</v>
      </c>
    </row>
    <row r="18444" spans="2:8" ht="15" customHeight="1" x14ac:dyDescent="0.4">
      <c r="B18444" t="s">
        <v>7</v>
      </c>
      <c r="C18444" t="s">
        <v>2982</v>
      </c>
      <c r="D18444" s="7">
        <f>DATE(2010,3,29)</f>
        <v>40266</v>
      </c>
      <c r="E18444" s="8">
        <f t="shared" si="302"/>
        <v>2010</v>
      </c>
      <c r="F18444" t="s">
        <v>2983</v>
      </c>
      <c r="G18444" s="9">
        <v>14891.44</v>
      </c>
      <c r="H18444" s="8">
        <v>9551</v>
      </c>
    </row>
    <row r="18445" spans="2:8" ht="15" customHeight="1" x14ac:dyDescent="0.4">
      <c r="B18445" t="s">
        <v>7</v>
      </c>
      <c r="C18445" t="s">
        <v>2982</v>
      </c>
      <c r="D18445" s="7">
        <f>DATE(2010,4,20)</f>
        <v>40288</v>
      </c>
      <c r="E18445" s="8">
        <f t="shared" si="302"/>
        <v>2010</v>
      </c>
      <c r="F18445" t="s">
        <v>2983</v>
      </c>
      <c r="G18445" s="9">
        <v>14388.2</v>
      </c>
      <c r="H18445" s="8">
        <v>9553</v>
      </c>
    </row>
    <row r="18446" spans="2:8" ht="15" customHeight="1" x14ac:dyDescent="0.4">
      <c r="B18446" t="s">
        <v>7</v>
      </c>
      <c r="C18446" t="s">
        <v>2982</v>
      </c>
      <c r="D18446" s="7">
        <f>DATE(2010,11,9)</f>
        <v>40491</v>
      </c>
      <c r="E18446" s="8">
        <f t="shared" si="302"/>
        <v>2010</v>
      </c>
      <c r="F18446" t="s">
        <v>2983</v>
      </c>
      <c r="G18446" s="9">
        <v>14123.84</v>
      </c>
      <c r="H18446" s="8">
        <v>10213</v>
      </c>
    </row>
    <row r="18447" spans="2:8" ht="15" customHeight="1" x14ac:dyDescent="0.4">
      <c r="B18447" t="s">
        <v>7</v>
      </c>
      <c r="C18447" t="s">
        <v>2982</v>
      </c>
      <c r="D18447" s="7">
        <f>DATE(2011,3,18)</f>
        <v>40620</v>
      </c>
      <c r="E18447" s="8">
        <f t="shared" si="302"/>
        <v>2011</v>
      </c>
      <c r="F18447" t="s">
        <v>2983</v>
      </c>
      <c r="G18447" s="9">
        <v>16491.439999999999</v>
      </c>
      <c r="H18447" s="8">
        <v>10516</v>
      </c>
    </row>
    <row r="18448" spans="2:8" ht="15" customHeight="1" x14ac:dyDescent="0.4">
      <c r="B18448" t="s">
        <v>7</v>
      </c>
      <c r="C18448" t="s">
        <v>2982</v>
      </c>
      <c r="D18448" s="7">
        <f>DATE(2011,3,18)</f>
        <v>40620</v>
      </c>
      <c r="E18448" s="8">
        <f t="shared" si="302"/>
        <v>2011</v>
      </c>
      <c r="F18448" t="s">
        <v>2983</v>
      </c>
      <c r="G18448" s="9">
        <v>2325</v>
      </c>
      <c r="H18448" s="8">
        <v>10568</v>
      </c>
    </row>
    <row r="18449" spans="2:8" ht="15" customHeight="1" x14ac:dyDescent="0.4">
      <c r="B18449" t="s">
        <v>7</v>
      </c>
      <c r="C18449" t="s">
        <v>2982</v>
      </c>
      <c r="D18449" s="7">
        <f>DATE(2011,3,30)</f>
        <v>40632</v>
      </c>
      <c r="E18449" s="8">
        <f t="shared" si="302"/>
        <v>2011</v>
      </c>
      <c r="F18449" t="s">
        <v>2983</v>
      </c>
      <c r="G18449" s="9">
        <v>14123.84</v>
      </c>
      <c r="H18449" s="8">
        <v>10517</v>
      </c>
    </row>
    <row r="18450" spans="2:8" ht="15" customHeight="1" x14ac:dyDescent="0.4">
      <c r="B18450" t="s">
        <v>7</v>
      </c>
      <c r="C18450" t="s">
        <v>2982</v>
      </c>
      <c r="D18450" s="7">
        <f>DATE(2011,4,25)</f>
        <v>40658</v>
      </c>
      <c r="E18450" s="8">
        <f t="shared" si="302"/>
        <v>2011</v>
      </c>
      <c r="F18450" t="s">
        <v>2983</v>
      </c>
      <c r="G18450" s="9">
        <v>14123.84</v>
      </c>
      <c r="H18450" s="8">
        <v>10684</v>
      </c>
    </row>
    <row r="18451" spans="2:8" ht="15" customHeight="1" x14ac:dyDescent="0.4">
      <c r="B18451" t="s">
        <v>7</v>
      </c>
      <c r="C18451" t="s">
        <v>2982</v>
      </c>
      <c r="D18451" s="7">
        <f>DATE(2011,7,19)</f>
        <v>40743</v>
      </c>
      <c r="E18451" s="8">
        <f t="shared" si="302"/>
        <v>2011</v>
      </c>
      <c r="F18451" t="s">
        <v>2983</v>
      </c>
      <c r="G18451" s="9">
        <v>17849.580000000002</v>
      </c>
      <c r="H18451" s="8">
        <v>10852</v>
      </c>
    </row>
    <row r="18452" spans="2:8" ht="15" customHeight="1" x14ac:dyDescent="0.4">
      <c r="B18452" t="s">
        <v>7</v>
      </c>
      <c r="C18452" t="s">
        <v>2982</v>
      </c>
      <c r="D18452" s="7">
        <f>DATE(2012,4,10)</f>
        <v>41009</v>
      </c>
      <c r="E18452" s="8">
        <f t="shared" si="302"/>
        <v>2012</v>
      </c>
      <c r="F18452" t="s">
        <v>2983</v>
      </c>
      <c r="G18452" s="9">
        <v>17369.48</v>
      </c>
      <c r="H18452" s="8">
        <v>11486</v>
      </c>
    </row>
    <row r="18453" spans="2:8" ht="15" customHeight="1" x14ac:dyDescent="0.4">
      <c r="B18453" t="s">
        <v>7</v>
      </c>
      <c r="C18453" t="s">
        <v>2982</v>
      </c>
      <c r="D18453" s="7">
        <f>DATE(2012,4,24)</f>
        <v>41023</v>
      </c>
      <c r="E18453" s="8">
        <f t="shared" si="302"/>
        <v>2012</v>
      </c>
      <c r="F18453" t="s">
        <v>2983</v>
      </c>
      <c r="G18453" s="9">
        <v>20996.68</v>
      </c>
      <c r="H18453" s="8">
        <v>11545</v>
      </c>
    </row>
    <row r="18454" spans="2:8" ht="15" customHeight="1" x14ac:dyDescent="0.4">
      <c r="B18454" t="s">
        <v>7</v>
      </c>
      <c r="C18454" t="s">
        <v>2982</v>
      </c>
      <c r="D18454" s="7">
        <f>DATE(2012,5,14)</f>
        <v>41043</v>
      </c>
      <c r="E18454" s="8">
        <f t="shared" si="302"/>
        <v>2012</v>
      </c>
      <c r="F18454" t="s">
        <v>2983</v>
      </c>
      <c r="G18454" s="9">
        <v>15516.86</v>
      </c>
      <c r="H18454" s="8">
        <v>11484</v>
      </c>
    </row>
    <row r="18455" spans="2:8" ht="15" customHeight="1" x14ac:dyDescent="0.4">
      <c r="B18455" t="s">
        <v>7</v>
      </c>
      <c r="C18455" t="s">
        <v>2982</v>
      </c>
      <c r="D18455" s="7">
        <f>DATE(2012,10,9)</f>
        <v>41191</v>
      </c>
      <c r="E18455" s="8">
        <f t="shared" si="302"/>
        <v>2012</v>
      </c>
      <c r="F18455" t="s">
        <v>2983</v>
      </c>
      <c r="G18455" s="9">
        <v>6042.67</v>
      </c>
      <c r="H18455" s="8">
        <v>11878</v>
      </c>
    </row>
    <row r="18456" spans="2:8" ht="15" customHeight="1" x14ac:dyDescent="0.4">
      <c r="B18456" t="s">
        <v>7</v>
      </c>
      <c r="C18456" t="s">
        <v>2982</v>
      </c>
      <c r="D18456" s="7">
        <f>DATE(2013,4,19)</f>
        <v>41383</v>
      </c>
      <c r="E18456" s="8">
        <f t="shared" si="302"/>
        <v>2013</v>
      </c>
      <c r="F18456" t="s">
        <v>2983</v>
      </c>
      <c r="G18456" s="9">
        <v>15516.86</v>
      </c>
      <c r="H18456" s="8">
        <v>12136</v>
      </c>
    </row>
    <row r="18457" spans="2:8" ht="15" customHeight="1" x14ac:dyDescent="0.4">
      <c r="B18457" t="s">
        <v>7</v>
      </c>
      <c r="C18457" t="s">
        <v>2982</v>
      </c>
      <c r="D18457" s="7">
        <f>DATE(2013,5,9)</f>
        <v>41403</v>
      </c>
      <c r="E18457" s="8">
        <f t="shared" si="302"/>
        <v>2013</v>
      </c>
      <c r="F18457" t="s">
        <v>2983</v>
      </c>
      <c r="G18457" s="9">
        <v>15516.86</v>
      </c>
      <c r="H18457" s="8">
        <v>12138</v>
      </c>
    </row>
    <row r="18458" spans="2:8" ht="15" customHeight="1" x14ac:dyDescent="0.4">
      <c r="B18458" t="s">
        <v>7</v>
      </c>
      <c r="C18458" t="s">
        <v>2982</v>
      </c>
      <c r="D18458" s="7">
        <f>DATE(2013,8,6)</f>
        <v>41492</v>
      </c>
      <c r="E18458" s="8">
        <f t="shared" si="302"/>
        <v>2013</v>
      </c>
      <c r="F18458" t="s">
        <v>2983</v>
      </c>
      <c r="G18458" s="9">
        <v>16463.36</v>
      </c>
      <c r="H18458" s="8">
        <v>12605</v>
      </c>
    </row>
    <row r="18459" spans="2:8" ht="15" customHeight="1" x14ac:dyDescent="0.4">
      <c r="B18459" t="s">
        <v>7</v>
      </c>
      <c r="C18459" t="s">
        <v>2982</v>
      </c>
      <c r="D18459" s="7">
        <f>DATE(2014,4,4)</f>
        <v>41733</v>
      </c>
      <c r="E18459" s="8">
        <f t="shared" si="302"/>
        <v>2014</v>
      </c>
      <c r="F18459" t="s">
        <v>2983</v>
      </c>
      <c r="G18459" s="9">
        <v>16430</v>
      </c>
      <c r="H18459" s="8">
        <v>12896</v>
      </c>
    </row>
    <row r="18460" spans="2:8" ht="15" customHeight="1" x14ac:dyDescent="0.4">
      <c r="B18460" t="s">
        <v>7</v>
      </c>
      <c r="C18460" t="s">
        <v>2982</v>
      </c>
      <c r="D18460" s="7">
        <f>DATE(2014,5,2)</f>
        <v>41761</v>
      </c>
      <c r="E18460" s="8">
        <f t="shared" si="302"/>
        <v>2014</v>
      </c>
      <c r="F18460" t="s">
        <v>2983</v>
      </c>
      <c r="G18460" s="9">
        <v>17735</v>
      </c>
      <c r="H18460" s="8">
        <v>12897</v>
      </c>
    </row>
    <row r="18461" spans="2:8" ht="15" customHeight="1" x14ac:dyDescent="0.4">
      <c r="B18461" t="s">
        <v>7</v>
      </c>
      <c r="C18461" t="s">
        <v>2982</v>
      </c>
      <c r="D18461" s="7">
        <f>DATE(2014,6,24)</f>
        <v>41814</v>
      </c>
      <c r="E18461" s="8">
        <f t="shared" si="302"/>
        <v>2014</v>
      </c>
      <c r="F18461" t="s">
        <v>2983</v>
      </c>
      <c r="G18461" s="9">
        <v>17735</v>
      </c>
      <c r="H18461" s="8">
        <v>13281</v>
      </c>
    </row>
    <row r="18462" spans="2:8" ht="15" customHeight="1" x14ac:dyDescent="0.4">
      <c r="B18462" t="s">
        <v>7</v>
      </c>
      <c r="C18462" t="s">
        <v>2982</v>
      </c>
      <c r="D18462" s="7">
        <f>DATE(2014,10,15)</f>
        <v>41927</v>
      </c>
      <c r="E18462" s="8">
        <f t="shared" si="302"/>
        <v>2014</v>
      </c>
      <c r="F18462" t="s">
        <v>2983</v>
      </c>
      <c r="G18462" s="9">
        <v>18810</v>
      </c>
      <c r="H18462" s="8">
        <v>13448</v>
      </c>
    </row>
    <row r="18463" spans="2:8" ht="15" customHeight="1" x14ac:dyDescent="0.4">
      <c r="B18463" t="s">
        <v>7</v>
      </c>
      <c r="C18463" t="s">
        <v>2982</v>
      </c>
      <c r="D18463" s="7">
        <f>DATE(2010,6,1)</f>
        <v>40330</v>
      </c>
      <c r="E18463" s="8">
        <f t="shared" si="302"/>
        <v>2010</v>
      </c>
      <c r="F18463" t="s">
        <v>2983</v>
      </c>
      <c r="G18463" s="9">
        <v>3492.02</v>
      </c>
      <c r="H18463" s="8">
        <v>9873</v>
      </c>
    </row>
    <row r="18464" spans="2:8" ht="15" customHeight="1" x14ac:dyDescent="0.4">
      <c r="B18464" t="s">
        <v>7</v>
      </c>
      <c r="C18464" t="s">
        <v>2982</v>
      </c>
      <c r="D18464" s="7">
        <f>DATE(2010,9,22)</f>
        <v>40443</v>
      </c>
      <c r="E18464" s="8">
        <f t="shared" si="302"/>
        <v>2010</v>
      </c>
      <c r="F18464" t="s">
        <v>2983</v>
      </c>
      <c r="G18464" s="9">
        <v>4014.52</v>
      </c>
      <c r="H18464" s="8">
        <v>10160</v>
      </c>
    </row>
    <row r="18465" spans="2:8" ht="15" customHeight="1" x14ac:dyDescent="0.4">
      <c r="B18465" t="s">
        <v>7</v>
      </c>
      <c r="C18465" t="s">
        <v>2982</v>
      </c>
      <c r="D18465" s="7">
        <f>DATE(2011,5,27)</f>
        <v>40690</v>
      </c>
      <c r="E18465" s="8">
        <f t="shared" si="302"/>
        <v>2011</v>
      </c>
      <c r="F18465" t="s">
        <v>2983</v>
      </c>
      <c r="G18465" s="9">
        <v>3442.5</v>
      </c>
      <c r="H18465" s="8">
        <v>10778</v>
      </c>
    </row>
    <row r="18466" spans="2:8" ht="15" customHeight="1" x14ac:dyDescent="0.4">
      <c r="B18466" t="s">
        <v>7</v>
      </c>
      <c r="C18466" t="s">
        <v>2982</v>
      </c>
      <c r="D18466" s="7">
        <f>DATE(2011,8,4)</f>
        <v>40759</v>
      </c>
      <c r="E18466" s="8">
        <f t="shared" si="302"/>
        <v>2011</v>
      </c>
      <c r="F18466" t="s">
        <v>2983</v>
      </c>
      <c r="G18466" s="9">
        <v>3848.69</v>
      </c>
      <c r="H18466" s="8">
        <v>10925</v>
      </c>
    </row>
    <row r="18467" spans="2:8" ht="15" customHeight="1" x14ac:dyDescent="0.4">
      <c r="B18467" t="s">
        <v>7</v>
      </c>
      <c r="C18467" t="s">
        <v>2982</v>
      </c>
      <c r="D18467" s="7">
        <f>DATE(2014,3,12)</f>
        <v>41710</v>
      </c>
      <c r="E18467" s="8">
        <f t="shared" si="302"/>
        <v>2014</v>
      </c>
      <c r="F18467" t="s">
        <v>2983</v>
      </c>
      <c r="G18467" s="9">
        <v>4458.2700000000004</v>
      </c>
      <c r="H18467" s="8">
        <v>12945</v>
      </c>
    </row>
    <row r="18468" spans="2:8" ht="15" customHeight="1" x14ac:dyDescent="0.4">
      <c r="B18468" t="s">
        <v>16</v>
      </c>
      <c r="C18468" t="s">
        <v>2982</v>
      </c>
      <c r="D18468" s="7">
        <f>DATE(2010,5,18)</f>
        <v>40316</v>
      </c>
      <c r="E18468" s="8">
        <f t="shared" si="302"/>
        <v>2010</v>
      </c>
      <c r="F18468" t="s">
        <v>2983</v>
      </c>
      <c r="G18468" s="9">
        <v>3492.02</v>
      </c>
      <c r="H18468" s="8">
        <v>10158</v>
      </c>
    </row>
    <row r="18469" spans="2:8" ht="15" customHeight="1" x14ac:dyDescent="0.4">
      <c r="B18469" t="s">
        <v>16</v>
      </c>
      <c r="C18469" t="s">
        <v>2982</v>
      </c>
      <c r="D18469" s="7">
        <f>DATE(2014,10,24)</f>
        <v>41936</v>
      </c>
      <c r="E18469" s="8">
        <f t="shared" si="302"/>
        <v>2014</v>
      </c>
      <c r="F18469" t="s">
        <v>2983</v>
      </c>
      <c r="G18469" s="9">
        <v>88</v>
      </c>
      <c r="H18469" s="8">
        <v>13557</v>
      </c>
    </row>
    <row r="18470" spans="2:8" ht="15" customHeight="1" x14ac:dyDescent="0.4">
      <c r="B18470" t="s">
        <v>16</v>
      </c>
      <c r="C18470" t="s">
        <v>2982</v>
      </c>
      <c r="D18470" s="7">
        <f>DATE(2004,10,15)</f>
        <v>38275</v>
      </c>
      <c r="E18470" s="8">
        <f t="shared" si="302"/>
        <v>2004</v>
      </c>
      <c r="F18470" t="s">
        <v>2983</v>
      </c>
      <c r="G18470" s="9">
        <v>0.7</v>
      </c>
      <c r="H18470" s="8">
        <v>2404</v>
      </c>
    </row>
    <row r="18471" spans="2:8" ht="15" customHeight="1" x14ac:dyDescent="0.4">
      <c r="B18471" t="s">
        <v>16</v>
      </c>
      <c r="C18471" t="s">
        <v>2982</v>
      </c>
      <c r="D18471" s="7">
        <f>DATE(2004,11,8)</f>
        <v>38299</v>
      </c>
      <c r="E18471" s="8">
        <f t="shared" si="302"/>
        <v>2004</v>
      </c>
      <c r="F18471" t="s">
        <v>2983</v>
      </c>
      <c r="G18471" s="9">
        <v>78.75</v>
      </c>
      <c r="H18471" s="8">
        <v>2545</v>
      </c>
    </row>
    <row r="18472" spans="2:8" ht="15" customHeight="1" x14ac:dyDescent="0.4">
      <c r="B18472" t="s">
        <v>16</v>
      </c>
      <c r="C18472" t="s">
        <v>2982</v>
      </c>
      <c r="D18472" s="7">
        <f>DATE(2005,5,14)</f>
        <v>38486</v>
      </c>
      <c r="E18472" s="8">
        <f t="shared" si="302"/>
        <v>2005</v>
      </c>
      <c r="F18472" t="s">
        <v>2983</v>
      </c>
      <c r="G18472" s="9">
        <v>30.99</v>
      </c>
      <c r="H18472" s="8">
        <v>3790</v>
      </c>
    </row>
    <row r="18473" spans="2:8" ht="15" customHeight="1" x14ac:dyDescent="0.4">
      <c r="B18473" t="s">
        <v>16</v>
      </c>
      <c r="C18473" t="s">
        <v>2982</v>
      </c>
      <c r="D18473" s="7">
        <f>DATE(2006,5,9)</f>
        <v>38846</v>
      </c>
      <c r="E18473" s="8">
        <f t="shared" si="302"/>
        <v>2006</v>
      </c>
      <c r="F18473" t="s">
        <v>2983</v>
      </c>
      <c r="G18473" s="9">
        <v>205.43</v>
      </c>
      <c r="H18473" s="8">
        <v>5044</v>
      </c>
    </row>
    <row r="18474" spans="2:8" ht="15" customHeight="1" x14ac:dyDescent="0.4">
      <c r="B18474" t="s">
        <v>16</v>
      </c>
      <c r="C18474" t="s">
        <v>2982</v>
      </c>
      <c r="D18474" s="7">
        <f>DATE(2006,12,1)</f>
        <v>39052</v>
      </c>
      <c r="E18474" s="8">
        <f t="shared" si="302"/>
        <v>2006</v>
      </c>
      <c r="F18474" t="s">
        <v>2983</v>
      </c>
      <c r="G18474" s="9">
        <v>467.08</v>
      </c>
      <c r="H18474" s="8">
        <v>5289</v>
      </c>
    </row>
    <row r="18475" spans="2:8" ht="15" customHeight="1" x14ac:dyDescent="0.4">
      <c r="B18475" t="s">
        <v>16</v>
      </c>
      <c r="C18475" t="s">
        <v>2982</v>
      </c>
      <c r="D18475" s="7">
        <f>DATE(2009,2,3)</f>
        <v>39847</v>
      </c>
      <c r="E18475" s="8">
        <f t="shared" si="302"/>
        <v>2009</v>
      </c>
      <c r="F18475" t="s">
        <v>2983</v>
      </c>
      <c r="G18475" s="9">
        <v>39.79</v>
      </c>
      <c r="H18475" s="8">
        <v>8320</v>
      </c>
    </row>
    <row r="18476" spans="2:8" ht="15" customHeight="1" x14ac:dyDescent="0.4">
      <c r="B18476" t="s">
        <v>16</v>
      </c>
      <c r="C18476" t="s">
        <v>2982</v>
      </c>
      <c r="D18476" s="7">
        <f>DATE(2009,4,15)</f>
        <v>39918</v>
      </c>
      <c r="E18476" s="8">
        <f t="shared" si="302"/>
        <v>2009</v>
      </c>
      <c r="F18476" t="s">
        <v>2983</v>
      </c>
      <c r="G18476" s="9">
        <v>262.5</v>
      </c>
      <c r="H18476" s="8">
        <v>8618</v>
      </c>
    </row>
    <row r="18477" spans="2:8" ht="15" customHeight="1" x14ac:dyDescent="0.4">
      <c r="B18477" s="3" t="s">
        <v>7</v>
      </c>
      <c r="C18477" s="3" t="s">
        <v>2984</v>
      </c>
      <c r="D18477" s="4">
        <f>DATE(2008,3,27)</f>
        <v>39534</v>
      </c>
      <c r="E18477" s="5">
        <f t="shared" si="302"/>
        <v>2008</v>
      </c>
      <c r="F18477" s="3" t="s">
        <v>2985</v>
      </c>
      <c r="G18477" s="6">
        <v>14509.47</v>
      </c>
      <c r="H18477" s="5">
        <v>10325</v>
      </c>
    </row>
    <row r="18478" spans="2:8" ht="15" customHeight="1" x14ac:dyDescent="0.4">
      <c r="B18478" s="3" t="s">
        <v>7</v>
      </c>
      <c r="C18478" s="3" t="s">
        <v>2984</v>
      </c>
      <c r="D18478" s="4">
        <f>DATE(2008,6,5)</f>
        <v>39604</v>
      </c>
      <c r="E18478" s="5">
        <f t="shared" si="302"/>
        <v>2008</v>
      </c>
      <c r="F18478" s="3" t="s">
        <v>2985</v>
      </c>
      <c r="G18478" s="6">
        <v>3056</v>
      </c>
      <c r="H18478" s="5">
        <v>10793</v>
      </c>
    </row>
    <row r="18479" spans="2:8" ht="15" customHeight="1" x14ac:dyDescent="0.4">
      <c r="B18479" s="3" t="s">
        <v>7</v>
      </c>
      <c r="C18479" s="3" t="s">
        <v>2984</v>
      </c>
      <c r="D18479" s="4">
        <f>DATE(2009,8,20)</f>
        <v>40045</v>
      </c>
      <c r="E18479" s="5">
        <f t="shared" si="302"/>
        <v>2009</v>
      </c>
      <c r="F18479" s="3" t="s">
        <v>2985</v>
      </c>
      <c r="G18479" s="6">
        <v>1520</v>
      </c>
      <c r="H18479" s="5">
        <v>12927</v>
      </c>
    </row>
    <row r="18480" spans="2:8" ht="15" customHeight="1" x14ac:dyDescent="0.4">
      <c r="B18480" s="3" t="s">
        <v>7</v>
      </c>
      <c r="C18480" s="3" t="s">
        <v>2984</v>
      </c>
      <c r="D18480" s="4">
        <f>DATE(2010,5,13)</f>
        <v>40311</v>
      </c>
      <c r="E18480" s="5">
        <f t="shared" si="302"/>
        <v>2010</v>
      </c>
      <c r="F18480" s="3" t="s">
        <v>2985</v>
      </c>
      <c r="G18480" s="6">
        <v>760</v>
      </c>
      <c r="H18480" s="5">
        <v>14051</v>
      </c>
    </row>
    <row r="18481" spans="2:8" ht="15" customHeight="1" x14ac:dyDescent="0.4">
      <c r="B18481" s="3" t="s">
        <v>7</v>
      </c>
      <c r="C18481" s="3" t="s">
        <v>2984</v>
      </c>
      <c r="D18481" s="4">
        <f>DATE(2010,10,4)</f>
        <v>40455</v>
      </c>
      <c r="E18481" s="5">
        <f t="shared" si="302"/>
        <v>2010</v>
      </c>
      <c r="F18481" s="3" t="s">
        <v>2985</v>
      </c>
      <c r="G18481" s="6">
        <v>1520</v>
      </c>
      <c r="H18481" s="5">
        <v>14573</v>
      </c>
    </row>
    <row r="18482" spans="2:8" ht="15" customHeight="1" x14ac:dyDescent="0.4">
      <c r="B18482" s="3" t="s">
        <v>7</v>
      </c>
      <c r="C18482" s="3" t="s">
        <v>2984</v>
      </c>
      <c r="D18482" s="4">
        <f>DATE(2011,2,7)</f>
        <v>40581</v>
      </c>
      <c r="E18482" s="5">
        <f t="shared" si="302"/>
        <v>2011</v>
      </c>
      <c r="F18482" s="3" t="s">
        <v>2985</v>
      </c>
      <c r="G18482" s="6">
        <v>1520</v>
      </c>
      <c r="H18482" s="5">
        <v>15023</v>
      </c>
    </row>
    <row r="18483" spans="2:8" ht="15" customHeight="1" x14ac:dyDescent="0.4">
      <c r="B18483" s="3" t="s">
        <v>7</v>
      </c>
      <c r="C18483" s="3" t="s">
        <v>2984</v>
      </c>
      <c r="D18483" s="4">
        <f>DATE(2011,5,25)</f>
        <v>40688</v>
      </c>
      <c r="E18483" s="5">
        <f t="shared" si="302"/>
        <v>2011</v>
      </c>
      <c r="F18483" s="3" t="s">
        <v>2985</v>
      </c>
      <c r="G18483" s="6">
        <v>8360</v>
      </c>
      <c r="H18483" s="5">
        <v>15564</v>
      </c>
    </row>
    <row r="18484" spans="2:8" ht="15" customHeight="1" x14ac:dyDescent="0.4">
      <c r="B18484" s="3" t="s">
        <v>7</v>
      </c>
      <c r="C18484" s="3" t="s">
        <v>2984</v>
      </c>
      <c r="D18484" s="4">
        <f>DATE(2013,1,21)</f>
        <v>41295</v>
      </c>
      <c r="E18484" s="5">
        <f t="shared" si="302"/>
        <v>2013</v>
      </c>
      <c r="F18484" s="3" t="s">
        <v>2985</v>
      </c>
      <c r="G18484" s="6">
        <v>1535</v>
      </c>
      <c r="H18484" s="5">
        <v>18011</v>
      </c>
    </row>
    <row r="18485" spans="2:8" ht="15" customHeight="1" x14ac:dyDescent="0.4">
      <c r="B18485" s="3" t="s">
        <v>7</v>
      </c>
      <c r="C18485" s="3" t="s">
        <v>2984</v>
      </c>
      <c r="D18485" s="4">
        <f>DATE(2003,4,28)</f>
        <v>37739</v>
      </c>
      <c r="E18485" s="5">
        <f t="shared" si="302"/>
        <v>2003</v>
      </c>
      <c r="F18485" s="3" t="s">
        <v>2986</v>
      </c>
      <c r="G18485" s="6">
        <v>2985</v>
      </c>
      <c r="H18485" s="5">
        <v>837</v>
      </c>
    </row>
    <row r="18486" spans="2:8" ht="15" customHeight="1" x14ac:dyDescent="0.4">
      <c r="B18486" s="3" t="s">
        <v>7</v>
      </c>
      <c r="C18486" s="3" t="s">
        <v>2984</v>
      </c>
      <c r="D18486" s="4">
        <f>DATE(2004,8,13)</f>
        <v>38212</v>
      </c>
      <c r="E18486" s="5">
        <f t="shared" si="302"/>
        <v>2004</v>
      </c>
      <c r="F18486" s="3" t="s">
        <v>2986</v>
      </c>
      <c r="G18486" s="6">
        <v>2986</v>
      </c>
      <c r="H18486" s="5">
        <v>3213</v>
      </c>
    </row>
    <row r="18487" spans="2:8" ht="15" customHeight="1" x14ac:dyDescent="0.4">
      <c r="B18487" s="3" t="s">
        <v>7</v>
      </c>
      <c r="C18487" s="3" t="s">
        <v>2984</v>
      </c>
      <c r="D18487" s="4">
        <f>DATE(2005,3,18)</f>
        <v>38429</v>
      </c>
      <c r="E18487" s="5">
        <f t="shared" si="302"/>
        <v>2005</v>
      </c>
      <c r="F18487" s="3" t="s">
        <v>2986</v>
      </c>
      <c r="G18487" s="6">
        <v>2269.3200000000002</v>
      </c>
      <c r="H18487" s="5">
        <v>4133</v>
      </c>
    </row>
    <row r="18488" spans="2:8" ht="15" customHeight="1" x14ac:dyDescent="0.4">
      <c r="B18488" s="3" t="s">
        <v>7</v>
      </c>
      <c r="C18488" s="3" t="s">
        <v>2984</v>
      </c>
      <c r="D18488" s="4">
        <f>DATE(2005,8,31)</f>
        <v>38595</v>
      </c>
      <c r="E18488" s="5">
        <f t="shared" si="302"/>
        <v>2005</v>
      </c>
      <c r="F18488" s="3" t="s">
        <v>2986</v>
      </c>
      <c r="G18488" s="6">
        <v>3151</v>
      </c>
      <c r="H18488" s="5">
        <v>5132</v>
      </c>
    </row>
    <row r="18489" spans="2:8" ht="15" customHeight="1" x14ac:dyDescent="0.4">
      <c r="B18489" s="3" t="s">
        <v>7</v>
      </c>
      <c r="C18489" s="3" t="s">
        <v>2984</v>
      </c>
      <c r="D18489" s="4">
        <f>DATE(2005,9,22)</f>
        <v>38617</v>
      </c>
      <c r="E18489" s="5">
        <f t="shared" si="302"/>
        <v>2005</v>
      </c>
      <c r="F18489" s="3" t="s">
        <v>2986</v>
      </c>
      <c r="G18489" s="6">
        <v>66.959999999999994</v>
      </c>
      <c r="H18489" s="5">
        <v>5309</v>
      </c>
    </row>
    <row r="18490" spans="2:8" ht="15" customHeight="1" x14ac:dyDescent="0.4">
      <c r="B18490" s="3" t="s">
        <v>7</v>
      </c>
      <c r="C18490" s="3" t="s">
        <v>2984</v>
      </c>
      <c r="D18490" s="4">
        <f>DATE(2007,2,9)</f>
        <v>39122</v>
      </c>
      <c r="E18490" s="5">
        <f t="shared" si="302"/>
        <v>2007</v>
      </c>
      <c r="F18490" s="3" t="s">
        <v>2986</v>
      </c>
      <c r="G18490" s="6">
        <v>3824</v>
      </c>
      <c r="H18490" s="5">
        <v>7863</v>
      </c>
    </row>
    <row r="18491" spans="2:8" ht="15" customHeight="1" x14ac:dyDescent="0.4">
      <c r="B18491" t="s">
        <v>7</v>
      </c>
      <c r="C18491" t="s">
        <v>2987</v>
      </c>
      <c r="D18491" s="7">
        <f>DATE(2015,4,29)</f>
        <v>42123</v>
      </c>
      <c r="E18491" s="8">
        <f t="shared" si="302"/>
        <v>2015</v>
      </c>
      <c r="F18491" t="s">
        <v>2988</v>
      </c>
      <c r="G18491" s="9">
        <v>28405.39</v>
      </c>
      <c r="H18491" s="8">
        <v>20288</v>
      </c>
    </row>
    <row r="18492" spans="2:8" ht="15" customHeight="1" x14ac:dyDescent="0.4">
      <c r="B18492" t="s">
        <v>7</v>
      </c>
      <c r="C18492" t="s">
        <v>2987</v>
      </c>
      <c r="D18492" s="7">
        <f>DATE(2018,10,17)</f>
        <v>43390</v>
      </c>
      <c r="E18492" s="8">
        <f t="shared" si="302"/>
        <v>2018</v>
      </c>
      <c r="F18492" t="s">
        <v>2988</v>
      </c>
      <c r="G18492" s="9">
        <v>14081.02</v>
      </c>
      <c r="H18492" s="8">
        <v>27682</v>
      </c>
    </row>
    <row r="18493" spans="2:8" ht="15" customHeight="1" x14ac:dyDescent="0.4">
      <c r="B18493" t="s">
        <v>7</v>
      </c>
      <c r="C18493" t="s">
        <v>2987</v>
      </c>
      <c r="D18493" s="7">
        <f>DATE(2019,5,16)</f>
        <v>43601</v>
      </c>
      <c r="E18493" s="8">
        <f t="shared" si="302"/>
        <v>2019</v>
      </c>
      <c r="F18493" t="s">
        <v>2988</v>
      </c>
      <c r="G18493" s="9">
        <v>25406.36</v>
      </c>
      <c r="H18493" s="8">
        <v>28649</v>
      </c>
    </row>
    <row r="18494" spans="2:8" ht="15" customHeight="1" x14ac:dyDescent="0.4">
      <c r="B18494" t="s">
        <v>7</v>
      </c>
      <c r="C18494" t="s">
        <v>2987</v>
      </c>
      <c r="D18494" s="7">
        <f>DATE(2004,10,25)</f>
        <v>38285</v>
      </c>
      <c r="E18494" s="8">
        <f t="shared" si="302"/>
        <v>2004</v>
      </c>
      <c r="F18494" t="s">
        <v>2988</v>
      </c>
      <c r="G18494" s="9">
        <v>11490.1</v>
      </c>
      <c r="H18494" s="8">
        <v>2295</v>
      </c>
    </row>
    <row r="18495" spans="2:8" ht="15" customHeight="1" x14ac:dyDescent="0.4">
      <c r="B18495" t="s">
        <v>7</v>
      </c>
      <c r="C18495" t="s">
        <v>2987</v>
      </c>
      <c r="D18495" s="7">
        <f>DATE(2005,2,16)</f>
        <v>38399</v>
      </c>
      <c r="E18495" s="8">
        <f t="shared" si="302"/>
        <v>2005</v>
      </c>
      <c r="F18495" t="s">
        <v>2988</v>
      </c>
      <c r="G18495" s="9">
        <v>11677.7</v>
      </c>
      <c r="H18495" s="8">
        <v>2606</v>
      </c>
    </row>
    <row r="18496" spans="2:8" ht="15" customHeight="1" x14ac:dyDescent="0.4">
      <c r="B18496" t="s">
        <v>7</v>
      </c>
      <c r="C18496" t="s">
        <v>2987</v>
      </c>
      <c r="D18496" s="7">
        <f>DATE(2006,11,8)</f>
        <v>39029</v>
      </c>
      <c r="E18496" s="8">
        <f t="shared" si="302"/>
        <v>2006</v>
      </c>
      <c r="F18496" t="s">
        <v>2988</v>
      </c>
      <c r="G18496" s="9">
        <v>11688.39</v>
      </c>
      <c r="H18496" s="8">
        <v>5072</v>
      </c>
    </row>
    <row r="18497" spans="2:8" ht="15" customHeight="1" x14ac:dyDescent="0.4">
      <c r="B18497" t="s">
        <v>7</v>
      </c>
      <c r="C18497" t="s">
        <v>2987</v>
      </c>
      <c r="D18497" s="7">
        <f>DATE(2007,1,31)</f>
        <v>39113</v>
      </c>
      <c r="E18497" s="8">
        <f t="shared" si="302"/>
        <v>2007</v>
      </c>
      <c r="F18497" t="s">
        <v>2988</v>
      </c>
      <c r="G18497" s="9">
        <v>11940.68</v>
      </c>
      <c r="H18497" s="8">
        <v>5379</v>
      </c>
    </row>
    <row r="18498" spans="2:8" ht="15" customHeight="1" x14ac:dyDescent="0.4">
      <c r="B18498" t="s">
        <v>7</v>
      </c>
      <c r="C18498" t="s">
        <v>2987</v>
      </c>
      <c r="D18498" s="7">
        <f>DATE(2008,11,12)</f>
        <v>39764</v>
      </c>
      <c r="E18498" s="8">
        <f t="shared" si="302"/>
        <v>2008</v>
      </c>
      <c r="F18498" t="s">
        <v>2988</v>
      </c>
      <c r="G18498" s="9">
        <v>13047.67</v>
      </c>
      <c r="H18498" s="8">
        <v>7919</v>
      </c>
    </row>
    <row r="18499" spans="2:8" ht="15" customHeight="1" x14ac:dyDescent="0.4">
      <c r="B18499" t="s">
        <v>7</v>
      </c>
      <c r="C18499" t="s">
        <v>2987</v>
      </c>
      <c r="D18499" s="7">
        <f>DATE(2009,2,3)</f>
        <v>39847</v>
      </c>
      <c r="E18499" s="8">
        <f t="shared" ref="E18499:E18562" si="303">YEAR(D18499)</f>
        <v>2009</v>
      </c>
      <c r="F18499" t="s">
        <v>2988</v>
      </c>
      <c r="G18499" s="9">
        <v>14223.8</v>
      </c>
      <c r="H18499" s="8">
        <v>7920</v>
      </c>
    </row>
    <row r="18500" spans="2:8" ht="15" customHeight="1" x14ac:dyDescent="0.4">
      <c r="B18500" t="s">
        <v>7</v>
      </c>
      <c r="C18500" t="s">
        <v>2987</v>
      </c>
      <c r="D18500" s="7">
        <f>DATE(2009,2,19)</f>
        <v>39863</v>
      </c>
      <c r="E18500" s="8">
        <f t="shared" si="303"/>
        <v>2009</v>
      </c>
      <c r="F18500" t="s">
        <v>2988</v>
      </c>
      <c r="G18500" s="9">
        <v>3081.79</v>
      </c>
      <c r="H18500" s="8">
        <v>8068</v>
      </c>
    </row>
    <row r="18501" spans="2:8" ht="15" customHeight="1" x14ac:dyDescent="0.4">
      <c r="B18501" t="s">
        <v>7</v>
      </c>
      <c r="C18501" t="s">
        <v>2987</v>
      </c>
      <c r="D18501" s="7">
        <f>DATE(2009,3,6)</f>
        <v>39878</v>
      </c>
      <c r="E18501" s="8">
        <f t="shared" si="303"/>
        <v>2009</v>
      </c>
      <c r="F18501" t="s">
        <v>2988</v>
      </c>
      <c r="G18501" s="9">
        <v>29334.82</v>
      </c>
      <c r="H18501" s="8">
        <v>8348</v>
      </c>
    </row>
    <row r="18502" spans="2:8" ht="15" customHeight="1" x14ac:dyDescent="0.4">
      <c r="B18502" t="s">
        <v>7</v>
      </c>
      <c r="C18502" t="s">
        <v>2987</v>
      </c>
      <c r="D18502" s="7">
        <f>DATE(2011,4,21)</f>
        <v>40654</v>
      </c>
      <c r="E18502" s="8">
        <f t="shared" si="303"/>
        <v>2011</v>
      </c>
      <c r="F18502" t="s">
        <v>2988</v>
      </c>
      <c r="G18502" s="9">
        <v>14277.15</v>
      </c>
      <c r="H18502" s="8">
        <v>10675</v>
      </c>
    </row>
    <row r="18503" spans="2:8" ht="15" customHeight="1" x14ac:dyDescent="0.4">
      <c r="B18503" t="s">
        <v>7</v>
      </c>
      <c r="C18503" t="s">
        <v>2987</v>
      </c>
      <c r="D18503" s="7">
        <f>DATE(2011,11,10)</f>
        <v>40857</v>
      </c>
      <c r="E18503" s="8">
        <f t="shared" si="303"/>
        <v>2011</v>
      </c>
      <c r="F18503" t="s">
        <v>2988</v>
      </c>
      <c r="G18503" s="9">
        <v>17701.28</v>
      </c>
      <c r="H18503" s="8">
        <v>11084</v>
      </c>
    </row>
    <row r="18504" spans="2:8" ht="15" customHeight="1" x14ac:dyDescent="0.4">
      <c r="B18504" t="s">
        <v>7</v>
      </c>
      <c r="C18504" t="s">
        <v>2987</v>
      </c>
      <c r="D18504" s="7">
        <f>DATE(2013,3,14)</f>
        <v>41347</v>
      </c>
      <c r="E18504" s="8">
        <f t="shared" si="303"/>
        <v>2013</v>
      </c>
      <c r="F18504" t="s">
        <v>2988</v>
      </c>
      <c r="G18504" s="9">
        <v>17767.77</v>
      </c>
      <c r="H18504" s="8">
        <v>12101</v>
      </c>
    </row>
    <row r="18505" spans="2:8" ht="15" customHeight="1" x14ac:dyDescent="0.4">
      <c r="B18505" s="3" t="s">
        <v>7</v>
      </c>
      <c r="C18505" s="3" t="s">
        <v>2989</v>
      </c>
      <c r="D18505" s="4">
        <f>DATE(2004,2,11)</f>
        <v>38028</v>
      </c>
      <c r="E18505" s="5">
        <f t="shared" si="303"/>
        <v>2004</v>
      </c>
      <c r="F18505" s="3" t="s">
        <v>2990</v>
      </c>
      <c r="G18505" s="6">
        <v>549.78</v>
      </c>
      <c r="H18505" s="5">
        <v>549</v>
      </c>
    </row>
    <row r="18506" spans="2:8" ht="15" customHeight="1" x14ac:dyDescent="0.4">
      <c r="B18506" s="3" t="s">
        <v>7</v>
      </c>
      <c r="C18506" s="3" t="s">
        <v>2989</v>
      </c>
      <c r="D18506" s="4">
        <f>DATE(2003,4,16)</f>
        <v>37727</v>
      </c>
      <c r="E18506" s="5">
        <f t="shared" si="303"/>
        <v>2003</v>
      </c>
      <c r="F18506" s="3" t="s">
        <v>2990</v>
      </c>
      <c r="G18506" s="6">
        <v>63</v>
      </c>
      <c r="H18506" s="5">
        <v>762</v>
      </c>
    </row>
    <row r="18507" spans="2:8" ht="15" customHeight="1" x14ac:dyDescent="0.4">
      <c r="B18507" s="3" t="s">
        <v>7</v>
      </c>
      <c r="C18507" s="3" t="s">
        <v>2989</v>
      </c>
      <c r="D18507" s="4">
        <f>DATE(2003,6,9)</f>
        <v>37781</v>
      </c>
      <c r="E18507" s="5">
        <f t="shared" si="303"/>
        <v>2003</v>
      </c>
      <c r="F18507" s="3" t="s">
        <v>2990</v>
      </c>
      <c r="G18507" s="6">
        <v>48</v>
      </c>
      <c r="H18507" s="5">
        <v>1078</v>
      </c>
    </row>
    <row r="18508" spans="2:8" ht="15" customHeight="1" x14ac:dyDescent="0.4">
      <c r="B18508" s="3" t="s">
        <v>7</v>
      </c>
      <c r="C18508" s="3" t="s">
        <v>2989</v>
      </c>
      <c r="D18508" s="4">
        <f>DATE(2003,8,8)</f>
        <v>37841</v>
      </c>
      <c r="E18508" s="5">
        <f t="shared" si="303"/>
        <v>2003</v>
      </c>
      <c r="F18508" s="3" t="s">
        <v>2990</v>
      </c>
      <c r="G18508" s="6">
        <v>49</v>
      </c>
      <c r="H18508" s="5">
        <v>1323</v>
      </c>
    </row>
    <row r="18509" spans="2:8" ht="15" customHeight="1" x14ac:dyDescent="0.4">
      <c r="B18509" s="3" t="s">
        <v>7</v>
      </c>
      <c r="C18509" s="3" t="s">
        <v>2989</v>
      </c>
      <c r="D18509" s="4">
        <f>DATE(2003,8,20)</f>
        <v>37853</v>
      </c>
      <c r="E18509" s="5">
        <f t="shared" si="303"/>
        <v>2003</v>
      </c>
      <c r="F18509" s="3" t="s">
        <v>2990</v>
      </c>
      <c r="G18509" s="6">
        <v>49</v>
      </c>
      <c r="H18509" s="5">
        <v>1385</v>
      </c>
    </row>
    <row r="18510" spans="2:8" ht="15" customHeight="1" x14ac:dyDescent="0.4">
      <c r="B18510" s="3" t="s">
        <v>7</v>
      </c>
      <c r="C18510" s="3" t="s">
        <v>2989</v>
      </c>
      <c r="D18510" s="4">
        <f>DATE(2003,8,20)</f>
        <v>37853</v>
      </c>
      <c r="E18510" s="5">
        <f t="shared" si="303"/>
        <v>2003</v>
      </c>
      <c r="F18510" s="3" t="s">
        <v>2990</v>
      </c>
      <c r="G18510" s="6">
        <v>603.25</v>
      </c>
      <c r="H18510" s="5">
        <v>1349</v>
      </c>
    </row>
    <row r="18511" spans="2:8" ht="15" customHeight="1" x14ac:dyDescent="0.4">
      <c r="B18511" s="3" t="s">
        <v>7</v>
      </c>
      <c r="C18511" s="3" t="s">
        <v>2989</v>
      </c>
      <c r="D18511" s="4">
        <f>DATE(2003,9,3)</f>
        <v>37867</v>
      </c>
      <c r="E18511" s="5">
        <f t="shared" si="303"/>
        <v>2003</v>
      </c>
      <c r="F18511" s="3" t="s">
        <v>2990</v>
      </c>
      <c r="G18511" s="6">
        <v>49</v>
      </c>
      <c r="H18511" s="5">
        <v>1439</v>
      </c>
    </row>
    <row r="18512" spans="2:8" ht="15" customHeight="1" x14ac:dyDescent="0.4">
      <c r="B18512" s="3" t="s">
        <v>7</v>
      </c>
      <c r="C18512" s="3" t="s">
        <v>2989</v>
      </c>
      <c r="D18512" s="4">
        <f>DATE(2003,10,9)</f>
        <v>37903</v>
      </c>
      <c r="E18512" s="5">
        <f t="shared" si="303"/>
        <v>2003</v>
      </c>
      <c r="F18512" s="3" t="s">
        <v>2990</v>
      </c>
      <c r="G18512" s="6">
        <v>49</v>
      </c>
      <c r="H18512" s="5">
        <v>1606</v>
      </c>
    </row>
    <row r="18513" spans="2:8" ht="15" customHeight="1" x14ac:dyDescent="0.4">
      <c r="B18513" s="3" t="s">
        <v>7</v>
      </c>
      <c r="C18513" s="3" t="s">
        <v>2989</v>
      </c>
      <c r="D18513" s="4">
        <f>DATE(2003,10,10)</f>
        <v>37904</v>
      </c>
      <c r="E18513" s="5">
        <f t="shared" si="303"/>
        <v>2003</v>
      </c>
      <c r="F18513" s="3" t="s">
        <v>2990</v>
      </c>
      <c r="G18513" s="6">
        <v>44.25</v>
      </c>
      <c r="H18513" s="5">
        <v>1634</v>
      </c>
    </row>
    <row r="18514" spans="2:8" ht="15" customHeight="1" x14ac:dyDescent="0.4">
      <c r="B18514" s="3" t="s">
        <v>7</v>
      </c>
      <c r="C18514" s="3" t="s">
        <v>2989</v>
      </c>
      <c r="D18514" s="4">
        <f>DATE(2003,11,11)</f>
        <v>37936</v>
      </c>
      <c r="E18514" s="5">
        <f t="shared" si="303"/>
        <v>2003</v>
      </c>
      <c r="F18514" s="3" t="s">
        <v>2990</v>
      </c>
      <c r="G18514" s="6">
        <v>268.5</v>
      </c>
      <c r="H18514" s="5">
        <v>1771</v>
      </c>
    </row>
    <row r="18515" spans="2:8" ht="15" customHeight="1" x14ac:dyDescent="0.4">
      <c r="B18515" s="3" t="s">
        <v>7</v>
      </c>
      <c r="C18515" s="3" t="s">
        <v>2989</v>
      </c>
      <c r="D18515" s="4">
        <f>DATE(2003,11,17)</f>
        <v>37942</v>
      </c>
      <c r="E18515" s="5">
        <f t="shared" si="303"/>
        <v>2003</v>
      </c>
      <c r="F18515" s="3" t="s">
        <v>2990</v>
      </c>
      <c r="G18515" s="6">
        <v>389.25</v>
      </c>
      <c r="H18515" s="5">
        <v>1784</v>
      </c>
    </row>
    <row r="18516" spans="2:8" ht="15" customHeight="1" x14ac:dyDescent="0.4">
      <c r="B18516" s="3" t="s">
        <v>7</v>
      </c>
      <c r="C18516" s="3" t="s">
        <v>2989</v>
      </c>
      <c r="D18516" s="4">
        <f>DATE(2003,11,19)</f>
        <v>37944</v>
      </c>
      <c r="E18516" s="5">
        <f t="shared" si="303"/>
        <v>2003</v>
      </c>
      <c r="F18516" s="3" t="s">
        <v>2990</v>
      </c>
      <c r="G18516" s="6">
        <v>474.25</v>
      </c>
      <c r="H18516" s="5">
        <v>1791</v>
      </c>
    </row>
    <row r="18517" spans="2:8" ht="15" customHeight="1" x14ac:dyDescent="0.4">
      <c r="B18517" s="3" t="s">
        <v>7</v>
      </c>
      <c r="C18517" s="3" t="s">
        <v>2989</v>
      </c>
      <c r="D18517" s="4">
        <f>DATE(2003,12,2)</f>
        <v>37957</v>
      </c>
      <c r="E18517" s="5">
        <f t="shared" si="303"/>
        <v>2003</v>
      </c>
      <c r="F18517" s="3" t="s">
        <v>2990</v>
      </c>
      <c r="G18517" s="6">
        <v>241.5</v>
      </c>
      <c r="H18517" s="5">
        <v>1843</v>
      </c>
    </row>
    <row r="18518" spans="2:8" ht="15" customHeight="1" x14ac:dyDescent="0.4">
      <c r="B18518" s="3" t="s">
        <v>7</v>
      </c>
      <c r="C18518" s="3" t="s">
        <v>2989</v>
      </c>
      <c r="D18518" s="4">
        <f>DATE(2003,12,31)</f>
        <v>37986</v>
      </c>
      <c r="E18518" s="5">
        <f t="shared" si="303"/>
        <v>2003</v>
      </c>
      <c r="F18518" s="3" t="s">
        <v>2990</v>
      </c>
      <c r="G18518" s="6">
        <v>49</v>
      </c>
      <c r="H18518" s="5">
        <v>1921</v>
      </c>
    </row>
    <row r="18519" spans="2:8" ht="15" customHeight="1" x14ac:dyDescent="0.4">
      <c r="B18519" s="3" t="s">
        <v>7</v>
      </c>
      <c r="C18519" s="3" t="s">
        <v>2989</v>
      </c>
      <c r="D18519" s="4">
        <f>DATE(2004,1,15)</f>
        <v>38001</v>
      </c>
      <c r="E18519" s="5">
        <f t="shared" si="303"/>
        <v>2004</v>
      </c>
      <c r="F18519" s="3" t="s">
        <v>2990</v>
      </c>
      <c r="G18519" s="6">
        <v>314</v>
      </c>
      <c r="H18519" s="5">
        <v>1991</v>
      </c>
    </row>
    <row r="18520" spans="2:8" ht="15" customHeight="1" x14ac:dyDescent="0.4">
      <c r="B18520" s="3" t="s">
        <v>7</v>
      </c>
      <c r="C18520" s="3" t="s">
        <v>2989</v>
      </c>
      <c r="D18520" s="4">
        <f>DATE(2004,1,23)</f>
        <v>38009</v>
      </c>
      <c r="E18520" s="5">
        <f t="shared" si="303"/>
        <v>2004</v>
      </c>
      <c r="F18520" s="3" t="s">
        <v>2990</v>
      </c>
      <c r="G18520" s="6">
        <v>341.5</v>
      </c>
      <c r="H18520" s="5">
        <v>2039</v>
      </c>
    </row>
    <row r="18521" spans="2:8" ht="15" customHeight="1" x14ac:dyDescent="0.4">
      <c r="B18521" s="3" t="s">
        <v>7</v>
      </c>
      <c r="C18521" s="3" t="s">
        <v>2989</v>
      </c>
      <c r="D18521" s="4">
        <f>DATE(2004,3,15)</f>
        <v>38061</v>
      </c>
      <c r="E18521" s="5">
        <f t="shared" si="303"/>
        <v>2004</v>
      </c>
      <c r="F18521" s="3" t="s">
        <v>2990</v>
      </c>
      <c r="G18521" s="6">
        <v>451.5</v>
      </c>
      <c r="H18521" s="5">
        <v>2314</v>
      </c>
    </row>
    <row r="18522" spans="2:8" ht="15" customHeight="1" x14ac:dyDescent="0.4">
      <c r="B18522" s="3" t="s">
        <v>7</v>
      </c>
      <c r="C18522" s="3" t="s">
        <v>2989</v>
      </c>
      <c r="D18522" s="4">
        <f>DATE(2004,3,16)</f>
        <v>38062</v>
      </c>
      <c r="E18522" s="5">
        <f t="shared" si="303"/>
        <v>2004</v>
      </c>
      <c r="F18522" s="3" t="s">
        <v>2990</v>
      </c>
      <c r="G18522" s="6">
        <v>103.75</v>
      </c>
      <c r="H18522" s="5">
        <v>2407</v>
      </c>
    </row>
    <row r="18523" spans="2:8" ht="15" customHeight="1" x14ac:dyDescent="0.4">
      <c r="B18523" s="3" t="s">
        <v>7</v>
      </c>
      <c r="C18523" s="3" t="s">
        <v>2989</v>
      </c>
      <c r="D18523" s="4">
        <f>DATE(2004,3,19)</f>
        <v>38065</v>
      </c>
      <c r="E18523" s="5">
        <f t="shared" si="303"/>
        <v>2004</v>
      </c>
      <c r="F18523" s="3" t="s">
        <v>2990</v>
      </c>
      <c r="G18523" s="6">
        <v>156</v>
      </c>
      <c r="H18523" s="5">
        <v>2415</v>
      </c>
    </row>
    <row r="18524" spans="2:8" ht="15" customHeight="1" x14ac:dyDescent="0.4">
      <c r="B18524" s="3" t="s">
        <v>7</v>
      </c>
      <c r="C18524" s="3" t="s">
        <v>2989</v>
      </c>
      <c r="D18524" s="4">
        <f>DATE(2004,4,15)</f>
        <v>38092</v>
      </c>
      <c r="E18524" s="5">
        <f t="shared" si="303"/>
        <v>2004</v>
      </c>
      <c r="F18524" s="3" t="s">
        <v>2990</v>
      </c>
      <c r="G18524" s="6">
        <v>100.75</v>
      </c>
      <c r="H18524" s="5">
        <v>2664</v>
      </c>
    </row>
    <row r="18525" spans="2:8" ht="15" customHeight="1" x14ac:dyDescent="0.4">
      <c r="B18525" s="3" t="s">
        <v>7</v>
      </c>
      <c r="C18525" s="3" t="s">
        <v>2989</v>
      </c>
      <c r="D18525" s="4">
        <f>DATE(2004,5,10)</f>
        <v>38117</v>
      </c>
      <c r="E18525" s="5">
        <f t="shared" si="303"/>
        <v>2004</v>
      </c>
      <c r="F18525" s="3" t="s">
        <v>2990</v>
      </c>
      <c r="G18525" s="6">
        <v>91</v>
      </c>
      <c r="H18525" s="5">
        <v>2860</v>
      </c>
    </row>
    <row r="18526" spans="2:8" ht="15" customHeight="1" x14ac:dyDescent="0.4">
      <c r="B18526" s="3" t="s">
        <v>7</v>
      </c>
      <c r="C18526" s="3" t="s">
        <v>2989</v>
      </c>
      <c r="D18526" s="4">
        <f>DATE(2004,5,17)</f>
        <v>38124</v>
      </c>
      <c r="E18526" s="5">
        <f t="shared" si="303"/>
        <v>2004</v>
      </c>
      <c r="F18526" s="3" t="s">
        <v>2990</v>
      </c>
      <c r="G18526" s="6">
        <v>200.75</v>
      </c>
      <c r="H18526" s="5">
        <v>2884</v>
      </c>
    </row>
    <row r="18527" spans="2:8" ht="15" customHeight="1" x14ac:dyDescent="0.4">
      <c r="B18527" s="3" t="s">
        <v>7</v>
      </c>
      <c r="C18527" s="3" t="s">
        <v>2989</v>
      </c>
      <c r="D18527" s="4">
        <f>DATE(2004,6,11)</f>
        <v>38149</v>
      </c>
      <c r="E18527" s="5">
        <f t="shared" si="303"/>
        <v>2004</v>
      </c>
      <c r="F18527" s="3" t="s">
        <v>2990</v>
      </c>
      <c r="G18527" s="6">
        <v>130.75</v>
      </c>
      <c r="H18527" s="5">
        <v>2989</v>
      </c>
    </row>
    <row r="18528" spans="2:8" ht="15" customHeight="1" x14ac:dyDescent="0.4">
      <c r="B18528" s="3" t="s">
        <v>7</v>
      </c>
      <c r="C18528" s="3" t="s">
        <v>2989</v>
      </c>
      <c r="D18528" s="4">
        <f>DATE(2004,6,21)</f>
        <v>38159</v>
      </c>
      <c r="E18528" s="5">
        <f t="shared" si="303"/>
        <v>2004</v>
      </c>
      <c r="F18528" s="3" t="s">
        <v>2990</v>
      </c>
      <c r="G18528" s="6">
        <v>373.5</v>
      </c>
      <c r="H18528" s="5">
        <v>3040</v>
      </c>
    </row>
    <row r="18529" spans="2:8" ht="15" customHeight="1" x14ac:dyDescent="0.4">
      <c r="B18529" s="3" t="s">
        <v>7</v>
      </c>
      <c r="C18529" s="3" t="s">
        <v>2989</v>
      </c>
      <c r="D18529" s="4">
        <f>DATE(2004,7,29)</f>
        <v>38197</v>
      </c>
      <c r="E18529" s="5">
        <f t="shared" si="303"/>
        <v>2004</v>
      </c>
      <c r="F18529" s="3" t="s">
        <v>2990</v>
      </c>
      <c r="G18529" s="6">
        <v>194.5</v>
      </c>
      <c r="H18529" s="5">
        <v>3193</v>
      </c>
    </row>
    <row r="18530" spans="2:8" ht="15" customHeight="1" x14ac:dyDescent="0.4">
      <c r="B18530" s="3" t="s">
        <v>7</v>
      </c>
      <c r="C18530" s="3" t="s">
        <v>2989</v>
      </c>
      <c r="D18530" s="4">
        <f>DATE(2004,8,12)</f>
        <v>38211</v>
      </c>
      <c r="E18530" s="5">
        <f t="shared" si="303"/>
        <v>2004</v>
      </c>
      <c r="F18530" s="3" t="s">
        <v>2990</v>
      </c>
      <c r="G18530" s="6">
        <v>405.65</v>
      </c>
      <c r="H18530" s="5">
        <v>3272</v>
      </c>
    </row>
    <row r="18531" spans="2:8" ht="15" customHeight="1" x14ac:dyDescent="0.4">
      <c r="B18531" s="3" t="s">
        <v>7</v>
      </c>
      <c r="C18531" s="3" t="s">
        <v>2989</v>
      </c>
      <c r="D18531" s="4">
        <f>DATE(2004,9,13)</f>
        <v>38243</v>
      </c>
      <c r="E18531" s="5">
        <f t="shared" si="303"/>
        <v>2004</v>
      </c>
      <c r="F18531" s="3" t="s">
        <v>2990</v>
      </c>
      <c r="G18531" s="6">
        <v>95</v>
      </c>
      <c r="H18531" s="5">
        <v>3380</v>
      </c>
    </row>
    <row r="18532" spans="2:8" ht="15" customHeight="1" x14ac:dyDescent="0.4">
      <c r="B18532" s="3" t="s">
        <v>7</v>
      </c>
      <c r="C18532" s="3" t="s">
        <v>2989</v>
      </c>
      <c r="D18532" s="4">
        <f>DATE(2004,10,6)</f>
        <v>38266</v>
      </c>
      <c r="E18532" s="5">
        <f t="shared" si="303"/>
        <v>2004</v>
      </c>
      <c r="F18532" s="3" t="s">
        <v>2990</v>
      </c>
      <c r="G18532" s="6">
        <v>1044.5</v>
      </c>
      <c r="H18532" s="5">
        <v>3520</v>
      </c>
    </row>
    <row r="18533" spans="2:8" ht="15" customHeight="1" x14ac:dyDescent="0.4">
      <c r="B18533" s="3" t="s">
        <v>7</v>
      </c>
      <c r="C18533" s="3" t="s">
        <v>2989</v>
      </c>
      <c r="D18533" s="4">
        <f>DATE(2004,10,27)</f>
        <v>38287</v>
      </c>
      <c r="E18533" s="5">
        <f t="shared" si="303"/>
        <v>2004</v>
      </c>
      <c r="F18533" s="3" t="s">
        <v>2990</v>
      </c>
      <c r="G18533" s="6">
        <v>1544</v>
      </c>
      <c r="H18533" s="5">
        <v>3616</v>
      </c>
    </row>
    <row r="18534" spans="2:8" ht="15" customHeight="1" x14ac:dyDescent="0.4">
      <c r="B18534" s="3" t="s">
        <v>7</v>
      </c>
      <c r="C18534" s="3" t="s">
        <v>2989</v>
      </c>
      <c r="D18534" s="4">
        <f>DATE(2004,11,2)</f>
        <v>38293</v>
      </c>
      <c r="E18534" s="5">
        <f t="shared" si="303"/>
        <v>2004</v>
      </c>
      <c r="F18534" s="3" t="s">
        <v>2990</v>
      </c>
      <c r="G18534" s="6">
        <v>432.5</v>
      </c>
      <c r="H18534" s="5">
        <v>3644</v>
      </c>
    </row>
    <row r="18535" spans="2:8" ht="15" customHeight="1" x14ac:dyDescent="0.4">
      <c r="B18535" s="3" t="s">
        <v>7</v>
      </c>
      <c r="C18535" s="3" t="s">
        <v>2989</v>
      </c>
      <c r="D18535" s="4">
        <f>DATE(2005,3,25)</f>
        <v>38436</v>
      </c>
      <c r="E18535" s="5">
        <f t="shared" si="303"/>
        <v>2005</v>
      </c>
      <c r="F18535" s="3" t="s">
        <v>2990</v>
      </c>
      <c r="G18535" s="6">
        <v>479.75</v>
      </c>
      <c r="H18535" s="5">
        <v>4409</v>
      </c>
    </row>
    <row r="18536" spans="2:8" ht="15" customHeight="1" x14ac:dyDescent="0.4">
      <c r="B18536" s="3" t="s">
        <v>7</v>
      </c>
      <c r="C18536" s="3" t="s">
        <v>2989</v>
      </c>
      <c r="D18536" s="4">
        <f>DATE(2005,7,28)</f>
        <v>38561</v>
      </c>
      <c r="E18536" s="5">
        <f t="shared" si="303"/>
        <v>2005</v>
      </c>
      <c r="F18536" s="3" t="s">
        <v>2990</v>
      </c>
      <c r="G18536" s="6">
        <v>178.5</v>
      </c>
      <c r="H18536" s="5">
        <v>5037</v>
      </c>
    </row>
    <row r="18537" spans="2:8" ht="15" customHeight="1" x14ac:dyDescent="0.4">
      <c r="B18537" s="3" t="s">
        <v>7</v>
      </c>
      <c r="C18537" s="3" t="s">
        <v>2989</v>
      </c>
      <c r="D18537" s="4">
        <f>DATE(2006,1,19)</f>
        <v>38736</v>
      </c>
      <c r="E18537" s="5">
        <f t="shared" si="303"/>
        <v>2006</v>
      </c>
      <c r="F18537" s="3" t="s">
        <v>2990</v>
      </c>
      <c r="G18537" s="6">
        <v>215.25</v>
      </c>
      <c r="H18537" s="5">
        <v>5856</v>
      </c>
    </row>
    <row r="18538" spans="2:8" ht="15" customHeight="1" x14ac:dyDescent="0.4">
      <c r="B18538" s="3" t="s">
        <v>7</v>
      </c>
      <c r="C18538" s="3" t="s">
        <v>2989</v>
      </c>
      <c r="D18538" s="4">
        <f>DATE(2006,5,23)</f>
        <v>38860</v>
      </c>
      <c r="E18538" s="5">
        <f t="shared" si="303"/>
        <v>2006</v>
      </c>
      <c r="F18538" s="3" t="s">
        <v>2990</v>
      </c>
      <c r="G18538" s="6">
        <v>319.60000000000002</v>
      </c>
      <c r="H18538" s="5">
        <v>6754</v>
      </c>
    </row>
    <row r="18539" spans="2:8" ht="15" customHeight="1" x14ac:dyDescent="0.4">
      <c r="B18539" s="3" t="s">
        <v>7</v>
      </c>
      <c r="C18539" s="3" t="s">
        <v>2989</v>
      </c>
      <c r="D18539" s="4">
        <f>DATE(2006,6,7)</f>
        <v>38875</v>
      </c>
      <c r="E18539" s="5">
        <f t="shared" si="303"/>
        <v>2006</v>
      </c>
      <c r="F18539" s="3" t="s">
        <v>2990</v>
      </c>
      <c r="G18539" s="6">
        <v>257.14999999999998</v>
      </c>
      <c r="H18539" s="5">
        <v>6826</v>
      </c>
    </row>
    <row r="18540" spans="2:8" ht="15" customHeight="1" x14ac:dyDescent="0.4">
      <c r="B18540" s="3" t="s">
        <v>7</v>
      </c>
      <c r="C18540" s="3" t="s">
        <v>2989</v>
      </c>
      <c r="D18540" s="4">
        <f>DATE(2006,6,26)</f>
        <v>38894</v>
      </c>
      <c r="E18540" s="5">
        <f t="shared" si="303"/>
        <v>2006</v>
      </c>
      <c r="F18540" s="3" t="s">
        <v>2990</v>
      </c>
      <c r="G18540" s="6">
        <v>37.6</v>
      </c>
      <c r="H18540" s="5">
        <v>6848</v>
      </c>
    </row>
    <row r="18541" spans="2:8" ht="15" customHeight="1" x14ac:dyDescent="0.4">
      <c r="B18541" s="3" t="s">
        <v>7</v>
      </c>
      <c r="C18541" s="3" t="s">
        <v>2989</v>
      </c>
      <c r="D18541" s="4">
        <f>DATE(2006,8,14)</f>
        <v>38943</v>
      </c>
      <c r="E18541" s="5">
        <f t="shared" si="303"/>
        <v>2006</v>
      </c>
      <c r="F18541" s="3" t="s">
        <v>2990</v>
      </c>
      <c r="G18541" s="6">
        <v>108</v>
      </c>
      <c r="H18541" s="5">
        <v>7085</v>
      </c>
    </row>
    <row r="18542" spans="2:8" ht="15" customHeight="1" x14ac:dyDescent="0.4">
      <c r="B18542" t="s">
        <v>7</v>
      </c>
      <c r="C18542" t="s">
        <v>2991</v>
      </c>
      <c r="D18542" s="7">
        <f>DATE(2013,5,31)</f>
        <v>41425</v>
      </c>
      <c r="E18542" s="8">
        <f t="shared" si="303"/>
        <v>2013</v>
      </c>
      <c r="F18542" t="s">
        <v>2992</v>
      </c>
      <c r="G18542" s="9">
        <v>8821.8700000000008</v>
      </c>
      <c r="H18542" s="8">
        <v>12466</v>
      </c>
    </row>
    <row r="18543" spans="2:8" ht="15" customHeight="1" x14ac:dyDescent="0.4">
      <c r="B18543" t="s">
        <v>7</v>
      </c>
      <c r="C18543" t="s">
        <v>2993</v>
      </c>
      <c r="D18543" s="7">
        <f>DATE(2017,4,12)</f>
        <v>42837</v>
      </c>
      <c r="E18543" s="8">
        <f t="shared" si="303"/>
        <v>2017</v>
      </c>
      <c r="F18543" t="s">
        <v>2994</v>
      </c>
      <c r="G18543" s="9">
        <v>8914.75</v>
      </c>
      <c r="H18543" s="8">
        <v>24615</v>
      </c>
    </row>
    <row r="18544" spans="2:8" ht="15" customHeight="1" x14ac:dyDescent="0.4">
      <c r="B18544" t="s">
        <v>7</v>
      </c>
      <c r="C18544" t="s">
        <v>2993</v>
      </c>
      <c r="D18544" s="7">
        <f>DATE(2018,5,18)</f>
        <v>43238</v>
      </c>
      <c r="E18544" s="8">
        <f t="shared" si="303"/>
        <v>2018</v>
      </c>
      <c r="F18544" t="s">
        <v>2994</v>
      </c>
      <c r="G18544" s="9">
        <v>7237.5</v>
      </c>
      <c r="H18544" s="8">
        <v>26781</v>
      </c>
    </row>
    <row r="18545" spans="2:8" ht="15" customHeight="1" x14ac:dyDescent="0.4">
      <c r="B18545" t="s">
        <v>7</v>
      </c>
      <c r="C18545" t="s">
        <v>2993</v>
      </c>
      <c r="D18545" s="7">
        <f>DATE(2017,4,6)</f>
        <v>42831</v>
      </c>
      <c r="E18545" s="8">
        <f t="shared" si="303"/>
        <v>2017</v>
      </c>
      <c r="F18545" t="s">
        <v>2994</v>
      </c>
      <c r="G18545" s="9">
        <v>846</v>
      </c>
      <c r="H18545" s="8">
        <v>24659</v>
      </c>
    </row>
    <row r="18546" spans="2:8" ht="15" customHeight="1" x14ac:dyDescent="0.4">
      <c r="B18546" t="s">
        <v>7</v>
      </c>
      <c r="C18546" t="s">
        <v>2993</v>
      </c>
      <c r="D18546" s="7">
        <f>DATE(2018,10,10)</f>
        <v>43383</v>
      </c>
      <c r="E18546" s="8">
        <f t="shared" si="303"/>
        <v>2018</v>
      </c>
      <c r="F18546" t="s">
        <v>2994</v>
      </c>
      <c r="G18546" s="9">
        <v>4541.8999999999996</v>
      </c>
      <c r="H18546" s="8">
        <v>27657</v>
      </c>
    </row>
    <row r="18547" spans="2:8" ht="15" customHeight="1" x14ac:dyDescent="0.4">
      <c r="B18547" t="s">
        <v>7</v>
      </c>
      <c r="C18547" t="s">
        <v>2993</v>
      </c>
      <c r="D18547" s="7">
        <f>DATE(2019,2,26)</f>
        <v>43522</v>
      </c>
      <c r="E18547" s="8">
        <f t="shared" si="303"/>
        <v>2019</v>
      </c>
      <c r="F18547" t="s">
        <v>2994</v>
      </c>
      <c r="G18547" s="9">
        <v>3600</v>
      </c>
      <c r="H18547" s="8">
        <v>28506</v>
      </c>
    </row>
    <row r="18548" spans="2:8" ht="15" customHeight="1" x14ac:dyDescent="0.4">
      <c r="B18548" t="s">
        <v>7</v>
      </c>
      <c r="C18548" t="s">
        <v>2993</v>
      </c>
      <c r="D18548" s="7">
        <f>DATE(2007,4,18)</f>
        <v>39190</v>
      </c>
      <c r="E18548" s="8">
        <f t="shared" si="303"/>
        <v>2007</v>
      </c>
      <c r="F18548" t="s">
        <v>2994</v>
      </c>
      <c r="G18548" s="9">
        <v>7149.64</v>
      </c>
      <c r="H18548" s="8">
        <v>5865</v>
      </c>
    </row>
    <row r="18549" spans="2:8" ht="15" customHeight="1" x14ac:dyDescent="0.4">
      <c r="B18549" t="s">
        <v>7</v>
      </c>
      <c r="C18549" t="s">
        <v>2993</v>
      </c>
      <c r="D18549" s="7">
        <f>DATE(2008,8,28)</f>
        <v>39688</v>
      </c>
      <c r="E18549" s="8">
        <f t="shared" si="303"/>
        <v>2008</v>
      </c>
      <c r="F18549" t="s">
        <v>2994</v>
      </c>
      <c r="G18549" s="9">
        <v>24673</v>
      </c>
      <c r="H18549" s="8">
        <v>7524</v>
      </c>
    </row>
    <row r="18550" spans="2:8" ht="15" customHeight="1" x14ac:dyDescent="0.4">
      <c r="B18550" t="s">
        <v>7</v>
      </c>
      <c r="C18550" t="s">
        <v>2993</v>
      </c>
      <c r="D18550" s="7">
        <f>DATE(2011,10,14)</f>
        <v>40830</v>
      </c>
      <c r="E18550" s="8">
        <f t="shared" si="303"/>
        <v>2011</v>
      </c>
      <c r="F18550" t="s">
        <v>2994</v>
      </c>
      <c r="G18550" s="9">
        <v>39612.68</v>
      </c>
      <c r="H18550" s="8">
        <v>10866</v>
      </c>
    </row>
    <row r="18551" spans="2:8" ht="15" customHeight="1" x14ac:dyDescent="0.4">
      <c r="B18551" t="s">
        <v>7</v>
      </c>
      <c r="C18551" t="s">
        <v>2993</v>
      </c>
      <c r="D18551" s="7">
        <f>DATE(2014,10,10)</f>
        <v>41922</v>
      </c>
      <c r="E18551" s="8">
        <f t="shared" si="303"/>
        <v>2014</v>
      </c>
      <c r="F18551" t="s">
        <v>2994</v>
      </c>
      <c r="G18551" s="9">
        <v>131985.29999999999</v>
      </c>
      <c r="H18551" s="8">
        <v>13367</v>
      </c>
    </row>
    <row r="18552" spans="2:8" ht="15" customHeight="1" x14ac:dyDescent="0.4">
      <c r="B18552" t="s">
        <v>7</v>
      </c>
      <c r="C18552" t="s">
        <v>2993</v>
      </c>
      <c r="D18552" s="7">
        <f>DATE(2011,11,22)</f>
        <v>40869</v>
      </c>
      <c r="E18552" s="8">
        <f t="shared" si="303"/>
        <v>2011</v>
      </c>
      <c r="F18552" t="s">
        <v>2994</v>
      </c>
      <c r="G18552" s="9">
        <v>4344.99</v>
      </c>
      <c r="H18552" s="8">
        <v>11148</v>
      </c>
    </row>
    <row r="18553" spans="2:8" ht="15" customHeight="1" x14ac:dyDescent="0.4">
      <c r="B18553" t="s">
        <v>7</v>
      </c>
      <c r="C18553" t="s">
        <v>2991</v>
      </c>
      <c r="D18553" s="7">
        <f>DATE(2016,5,10)</f>
        <v>42500</v>
      </c>
      <c r="E18553" s="8">
        <f t="shared" si="303"/>
        <v>2016</v>
      </c>
      <c r="F18553" t="s">
        <v>2995</v>
      </c>
      <c r="G18553" s="9">
        <v>41600.35</v>
      </c>
      <c r="H18553" s="8">
        <v>21855</v>
      </c>
    </row>
    <row r="18554" spans="2:8" ht="15" customHeight="1" x14ac:dyDescent="0.4">
      <c r="B18554" t="s">
        <v>7</v>
      </c>
      <c r="C18554" t="s">
        <v>2991</v>
      </c>
      <c r="D18554" s="7">
        <f>DATE(2016,2,17)</f>
        <v>42417</v>
      </c>
      <c r="E18554" s="8">
        <f t="shared" si="303"/>
        <v>2016</v>
      </c>
      <c r="F18554" t="s">
        <v>2995</v>
      </c>
      <c r="G18554" s="9">
        <v>10343.43</v>
      </c>
      <c r="H18554" s="8">
        <v>21926</v>
      </c>
    </row>
    <row r="18555" spans="2:8" ht="15" customHeight="1" x14ac:dyDescent="0.4">
      <c r="B18555" t="s">
        <v>16</v>
      </c>
      <c r="C18555" t="s">
        <v>2991</v>
      </c>
      <c r="D18555" s="7">
        <f>DATE(2016,12,22)</f>
        <v>42726</v>
      </c>
      <c r="E18555" s="8">
        <f t="shared" si="303"/>
        <v>2016</v>
      </c>
      <c r="F18555" t="s">
        <v>2995</v>
      </c>
      <c r="G18555" s="9">
        <v>875.35</v>
      </c>
      <c r="H18555" s="8">
        <v>24046</v>
      </c>
    </row>
    <row r="18556" spans="2:8" ht="15" customHeight="1" x14ac:dyDescent="0.4">
      <c r="B18556" t="s">
        <v>7</v>
      </c>
      <c r="C18556" t="s">
        <v>2991</v>
      </c>
      <c r="D18556" s="7">
        <f>DATE(2012,10,4)</f>
        <v>41186</v>
      </c>
      <c r="E18556" s="8">
        <f t="shared" si="303"/>
        <v>2012</v>
      </c>
      <c r="F18556" t="s">
        <v>2995</v>
      </c>
      <c r="G18556" s="9">
        <v>10734.28</v>
      </c>
      <c r="H18556" s="8">
        <v>11875</v>
      </c>
    </row>
    <row r="18557" spans="2:8" ht="15" customHeight="1" x14ac:dyDescent="0.4">
      <c r="B18557" t="s">
        <v>7</v>
      </c>
      <c r="C18557" t="s">
        <v>2991</v>
      </c>
      <c r="D18557" s="7">
        <f>DATE(2014,4,24)</f>
        <v>41753</v>
      </c>
      <c r="E18557" s="8">
        <f t="shared" si="303"/>
        <v>2014</v>
      </c>
      <c r="F18557" t="s">
        <v>2995</v>
      </c>
      <c r="G18557" s="9">
        <v>11540.75</v>
      </c>
      <c r="H18557" s="8">
        <v>13114</v>
      </c>
    </row>
    <row r="18558" spans="2:8" ht="15" customHeight="1" x14ac:dyDescent="0.4">
      <c r="B18558" t="s">
        <v>7</v>
      </c>
      <c r="C18558" t="s">
        <v>2996</v>
      </c>
      <c r="D18558" s="7">
        <f>DATE(2011,8,4)</f>
        <v>40759</v>
      </c>
      <c r="E18558" s="8">
        <f t="shared" si="303"/>
        <v>2011</v>
      </c>
      <c r="F18558" t="s">
        <v>2997</v>
      </c>
      <c r="G18558" s="9">
        <v>1725</v>
      </c>
      <c r="H18558" s="8">
        <v>10877</v>
      </c>
    </row>
    <row r="18559" spans="2:8" ht="15" customHeight="1" x14ac:dyDescent="0.4">
      <c r="B18559" t="s">
        <v>7</v>
      </c>
      <c r="C18559" t="s">
        <v>2996</v>
      </c>
      <c r="D18559" s="7">
        <f>DATE(2013,5,8)</f>
        <v>41402</v>
      </c>
      <c r="E18559" s="8">
        <f t="shared" si="303"/>
        <v>2013</v>
      </c>
      <c r="F18559" t="s">
        <v>2997</v>
      </c>
      <c r="G18559" s="9">
        <v>1500</v>
      </c>
      <c r="H18559" s="8">
        <v>12437</v>
      </c>
    </row>
    <row r="18560" spans="2:8" ht="15" customHeight="1" x14ac:dyDescent="0.4">
      <c r="B18560" t="s">
        <v>7</v>
      </c>
      <c r="C18560" t="s">
        <v>2996</v>
      </c>
      <c r="D18560" s="7">
        <f>DATE(2003,10,8)</f>
        <v>37902</v>
      </c>
      <c r="E18560" s="8">
        <f t="shared" si="303"/>
        <v>2003</v>
      </c>
      <c r="F18560" t="s">
        <v>2997</v>
      </c>
      <c r="G18560" s="9">
        <v>2328.75</v>
      </c>
      <c r="H18560" s="8">
        <v>915</v>
      </c>
    </row>
    <row r="18561" spans="2:8" ht="15" customHeight="1" x14ac:dyDescent="0.4">
      <c r="B18561" t="s">
        <v>16</v>
      </c>
      <c r="C18561" t="s">
        <v>2996</v>
      </c>
      <c r="D18561" s="7">
        <f>DATE(2003,11,1)</f>
        <v>37926</v>
      </c>
      <c r="E18561" s="8">
        <f t="shared" si="303"/>
        <v>2003</v>
      </c>
      <c r="F18561" t="s">
        <v>2997</v>
      </c>
      <c r="G18561" s="9">
        <v>328.75</v>
      </c>
      <c r="H18561" s="8">
        <v>1033</v>
      </c>
    </row>
    <row r="18562" spans="2:8" ht="15" customHeight="1" x14ac:dyDescent="0.4">
      <c r="B18562" s="3" t="s">
        <v>7</v>
      </c>
      <c r="C18562" s="3" t="s">
        <v>2996</v>
      </c>
      <c r="D18562" s="4">
        <f>DATE(2012,3,23)</f>
        <v>40991</v>
      </c>
      <c r="E18562" s="5">
        <f t="shared" si="303"/>
        <v>2012</v>
      </c>
      <c r="F18562" s="3" t="s">
        <v>2997</v>
      </c>
      <c r="G18562" s="6">
        <v>1373.34</v>
      </c>
      <c r="H18562" s="5">
        <v>16820</v>
      </c>
    </row>
    <row r="18563" spans="2:8" ht="15" customHeight="1" x14ac:dyDescent="0.4">
      <c r="B18563" s="3" t="s">
        <v>7</v>
      </c>
      <c r="C18563" s="3" t="s">
        <v>2996</v>
      </c>
      <c r="D18563" s="4">
        <f>DATE(2003,10,3)</f>
        <v>37897</v>
      </c>
      <c r="E18563" s="5">
        <f t="shared" ref="E18563:E18626" si="304">YEAR(D18563)</f>
        <v>2003</v>
      </c>
      <c r="F18563" s="3" t="s">
        <v>2998</v>
      </c>
      <c r="G18563" s="6">
        <v>2887.2</v>
      </c>
      <c r="H18563" s="5">
        <v>1593</v>
      </c>
    </row>
    <row r="18564" spans="2:8" ht="15" customHeight="1" x14ac:dyDescent="0.4">
      <c r="B18564" t="s">
        <v>7</v>
      </c>
      <c r="C18564" t="s">
        <v>2999</v>
      </c>
      <c r="D18564" s="7">
        <f>DATE(2019,5,1)</f>
        <v>43586</v>
      </c>
      <c r="E18564" s="8">
        <f t="shared" si="304"/>
        <v>2019</v>
      </c>
      <c r="F18564" t="s">
        <v>3000</v>
      </c>
      <c r="G18564" s="9">
        <v>17496.75</v>
      </c>
      <c r="H18564" s="8">
        <v>28603</v>
      </c>
    </row>
    <row r="18565" spans="2:8" ht="15" customHeight="1" x14ac:dyDescent="0.4">
      <c r="B18565" t="s">
        <v>7</v>
      </c>
      <c r="C18565" t="s">
        <v>3001</v>
      </c>
      <c r="D18565" s="7">
        <f>DATE(2009,3,11)</f>
        <v>39883</v>
      </c>
      <c r="E18565" s="8">
        <f t="shared" si="304"/>
        <v>2009</v>
      </c>
      <c r="F18565" t="s">
        <v>3002</v>
      </c>
      <c r="G18565" s="9">
        <v>26885</v>
      </c>
      <c r="H18565" s="8">
        <v>8436</v>
      </c>
    </row>
    <row r="18566" spans="2:8" ht="15" customHeight="1" x14ac:dyDescent="0.4">
      <c r="B18566" t="s">
        <v>7</v>
      </c>
      <c r="C18566" t="s">
        <v>3001</v>
      </c>
      <c r="D18566" s="7">
        <f>DATE(2009,3,11)</f>
        <v>39883</v>
      </c>
      <c r="E18566" s="8">
        <f t="shared" si="304"/>
        <v>2009</v>
      </c>
      <c r="F18566" t="s">
        <v>3002</v>
      </c>
      <c r="G18566" s="9">
        <v>8697.36</v>
      </c>
      <c r="H18566" s="8">
        <v>8451</v>
      </c>
    </row>
    <row r="18567" spans="2:8" ht="15" customHeight="1" x14ac:dyDescent="0.4">
      <c r="B18567" s="3" t="s">
        <v>7</v>
      </c>
      <c r="C18567" s="3" t="s">
        <v>3001</v>
      </c>
      <c r="D18567" s="4">
        <f>DATE(2003,2,21)</f>
        <v>37673</v>
      </c>
      <c r="E18567" s="5">
        <f t="shared" si="304"/>
        <v>2003</v>
      </c>
      <c r="F18567" s="3" t="s">
        <v>3002</v>
      </c>
      <c r="G18567" s="6">
        <v>559</v>
      </c>
      <c r="H18567" s="5">
        <v>339</v>
      </c>
    </row>
    <row r="18568" spans="2:8" ht="15" customHeight="1" x14ac:dyDescent="0.4">
      <c r="B18568" s="3" t="s">
        <v>7</v>
      </c>
      <c r="C18568" s="3" t="s">
        <v>3001</v>
      </c>
      <c r="D18568" s="4">
        <f>DATE(2004,9,1)</f>
        <v>38231</v>
      </c>
      <c r="E18568" s="5">
        <f t="shared" si="304"/>
        <v>2004</v>
      </c>
      <c r="F18568" s="3" t="s">
        <v>3002</v>
      </c>
      <c r="G18568" s="6">
        <v>556</v>
      </c>
      <c r="H18568" s="5">
        <v>3306</v>
      </c>
    </row>
    <row r="18569" spans="2:8" ht="15" customHeight="1" x14ac:dyDescent="0.4">
      <c r="B18569" s="3" t="s">
        <v>7</v>
      </c>
      <c r="C18569" s="3" t="s">
        <v>3001</v>
      </c>
      <c r="D18569" s="4">
        <f>DATE(2004,9,15)</f>
        <v>38245</v>
      </c>
      <c r="E18569" s="5">
        <f t="shared" si="304"/>
        <v>2004</v>
      </c>
      <c r="F18569" s="3" t="s">
        <v>3002</v>
      </c>
      <c r="G18569" s="6">
        <v>444</v>
      </c>
      <c r="H18569" s="5">
        <v>3391</v>
      </c>
    </row>
    <row r="18570" spans="2:8" ht="15" customHeight="1" x14ac:dyDescent="0.4">
      <c r="B18570" s="3" t="s">
        <v>7</v>
      </c>
      <c r="C18570" s="3" t="s">
        <v>3001</v>
      </c>
      <c r="D18570" s="4">
        <f>DATE(2004,9,21)</f>
        <v>38251</v>
      </c>
      <c r="E18570" s="5">
        <f t="shared" si="304"/>
        <v>2004</v>
      </c>
      <c r="F18570" s="3" t="s">
        <v>3002</v>
      </c>
      <c r="G18570" s="6">
        <v>395.25</v>
      </c>
      <c r="H18570" s="5">
        <v>3431</v>
      </c>
    </row>
    <row r="18571" spans="2:8" ht="15" customHeight="1" x14ac:dyDescent="0.4">
      <c r="B18571" s="3" t="s">
        <v>7</v>
      </c>
      <c r="C18571" s="3" t="s">
        <v>3001</v>
      </c>
      <c r="D18571" s="4">
        <f>DATE(2011,3,7)</f>
        <v>40609</v>
      </c>
      <c r="E18571" s="5">
        <f t="shared" si="304"/>
        <v>2011</v>
      </c>
      <c r="F18571" s="3" t="s">
        <v>3002</v>
      </c>
      <c r="G18571" s="6">
        <v>609</v>
      </c>
      <c r="H18571" s="5">
        <v>15186</v>
      </c>
    </row>
    <row r="18572" spans="2:8" ht="15" customHeight="1" x14ac:dyDescent="0.4">
      <c r="B18572" s="3" t="s">
        <v>7</v>
      </c>
      <c r="C18572" s="3" t="s">
        <v>3003</v>
      </c>
      <c r="D18572" s="4">
        <f>DATE(2007,3,27)</f>
        <v>39168</v>
      </c>
      <c r="E18572" s="5">
        <f t="shared" si="304"/>
        <v>2007</v>
      </c>
      <c r="F18572" s="3" t="s">
        <v>3004</v>
      </c>
      <c r="G18572" s="6">
        <v>8159.5</v>
      </c>
      <c r="H18572" s="5">
        <v>7321</v>
      </c>
    </row>
    <row r="18573" spans="2:8" ht="15" customHeight="1" x14ac:dyDescent="0.4">
      <c r="B18573" t="s">
        <v>7</v>
      </c>
      <c r="C18573" t="s">
        <v>3005</v>
      </c>
      <c r="D18573" s="7">
        <f>DATE(2004,4,18)</f>
        <v>38095</v>
      </c>
      <c r="E18573" s="8">
        <f t="shared" si="304"/>
        <v>2004</v>
      </c>
      <c r="F18573" t="s">
        <v>3006</v>
      </c>
      <c r="G18573" s="9">
        <v>7630</v>
      </c>
      <c r="H18573" s="8">
        <v>1513</v>
      </c>
    </row>
    <row r="18574" spans="2:8" ht="15" customHeight="1" x14ac:dyDescent="0.4">
      <c r="B18574" t="s">
        <v>7</v>
      </c>
      <c r="C18574" t="s">
        <v>3007</v>
      </c>
      <c r="D18574" s="7">
        <f>DATE(2016,9,20)</f>
        <v>42633</v>
      </c>
      <c r="E18574" s="8">
        <f t="shared" si="304"/>
        <v>2016</v>
      </c>
      <c r="F18574" t="s">
        <v>3008</v>
      </c>
      <c r="G18574" s="9">
        <v>4041.89</v>
      </c>
      <c r="H18574" s="8">
        <v>23429</v>
      </c>
    </row>
    <row r="18575" spans="2:8" ht="15" customHeight="1" x14ac:dyDescent="0.4">
      <c r="B18575" t="s">
        <v>7</v>
      </c>
      <c r="C18575" t="s">
        <v>3007</v>
      </c>
      <c r="D18575" s="7">
        <f>DATE(2013,4,18)</f>
        <v>41382</v>
      </c>
      <c r="E18575" s="8">
        <f t="shared" si="304"/>
        <v>2013</v>
      </c>
      <c r="F18575" t="s">
        <v>3008</v>
      </c>
      <c r="G18575" s="9">
        <v>4972.32</v>
      </c>
      <c r="H18575" s="8">
        <v>12390</v>
      </c>
    </row>
    <row r="18576" spans="2:8" ht="15" customHeight="1" x14ac:dyDescent="0.4">
      <c r="B18576" s="3" t="s">
        <v>7</v>
      </c>
      <c r="C18576" s="3" t="s">
        <v>3009</v>
      </c>
      <c r="D18576" s="4">
        <f>DATE(2008,12,1)</f>
        <v>39783</v>
      </c>
      <c r="E18576" s="5">
        <f t="shared" si="304"/>
        <v>2008</v>
      </c>
      <c r="F18576" s="3" t="s">
        <v>3010</v>
      </c>
      <c r="G18576" s="6">
        <v>1225.5899999999999</v>
      </c>
      <c r="H18576" s="5">
        <v>11596</v>
      </c>
    </row>
    <row r="18577" spans="2:8" ht="15" customHeight="1" x14ac:dyDescent="0.4">
      <c r="B18577" s="3" t="s">
        <v>7</v>
      </c>
      <c r="C18577" s="3" t="s">
        <v>3011</v>
      </c>
      <c r="D18577" s="4">
        <f>DATE(2007,11,13)</f>
        <v>39399</v>
      </c>
      <c r="E18577" s="5">
        <f t="shared" si="304"/>
        <v>2007</v>
      </c>
      <c r="F18577" s="3" t="s">
        <v>3012</v>
      </c>
      <c r="G18577" s="6">
        <v>43.12</v>
      </c>
      <c r="H18577" s="5">
        <v>9476</v>
      </c>
    </row>
    <row r="18578" spans="2:8" ht="15" customHeight="1" x14ac:dyDescent="0.4">
      <c r="B18578" t="s">
        <v>7</v>
      </c>
      <c r="C18578" t="s">
        <v>3013</v>
      </c>
      <c r="D18578" s="7">
        <f>DATE(2004,4,5)</f>
        <v>38082</v>
      </c>
      <c r="E18578" s="8">
        <f t="shared" si="304"/>
        <v>2004</v>
      </c>
      <c r="F18578" t="s">
        <v>3014</v>
      </c>
      <c r="G18578" s="9">
        <v>17467</v>
      </c>
      <c r="H18578" s="8">
        <v>1618</v>
      </c>
    </row>
    <row r="18579" spans="2:8" ht="15" customHeight="1" x14ac:dyDescent="0.4">
      <c r="B18579" t="s">
        <v>7</v>
      </c>
      <c r="C18579" t="s">
        <v>3013</v>
      </c>
      <c r="D18579" s="7">
        <f>DATE(2004,5,6)</f>
        <v>38113</v>
      </c>
      <c r="E18579" s="8">
        <f t="shared" si="304"/>
        <v>2004</v>
      </c>
      <c r="F18579" t="s">
        <v>3014</v>
      </c>
      <c r="G18579" s="9">
        <v>17467</v>
      </c>
      <c r="H18579" s="8">
        <v>1685</v>
      </c>
    </row>
    <row r="18580" spans="2:8" ht="15" customHeight="1" x14ac:dyDescent="0.4">
      <c r="B18580" t="s">
        <v>7</v>
      </c>
      <c r="C18580" t="s">
        <v>3013</v>
      </c>
      <c r="D18580" s="7">
        <f>DATE(2005,10,10)</f>
        <v>38635</v>
      </c>
      <c r="E18580" s="8">
        <f t="shared" si="304"/>
        <v>2005</v>
      </c>
      <c r="F18580" t="s">
        <v>3014</v>
      </c>
      <c r="G18580" s="9">
        <v>25093.42</v>
      </c>
      <c r="H18580" s="8">
        <v>3655</v>
      </c>
    </row>
    <row r="18581" spans="2:8" ht="15" customHeight="1" x14ac:dyDescent="0.4">
      <c r="B18581" t="s">
        <v>7</v>
      </c>
      <c r="C18581" t="s">
        <v>3013</v>
      </c>
      <c r="D18581" s="7">
        <f>DATE(2005,10,11)</f>
        <v>38636</v>
      </c>
      <c r="E18581" s="8">
        <f t="shared" si="304"/>
        <v>2005</v>
      </c>
      <c r="F18581" t="s">
        <v>3014</v>
      </c>
      <c r="G18581" s="9">
        <v>17467</v>
      </c>
      <c r="H18581" s="8">
        <v>3573</v>
      </c>
    </row>
    <row r="18582" spans="2:8" ht="15" customHeight="1" x14ac:dyDescent="0.4">
      <c r="B18582" s="3" t="s">
        <v>7</v>
      </c>
      <c r="C18582" s="3" t="s">
        <v>3013</v>
      </c>
      <c r="D18582" s="4">
        <f>DATE(2005,10,7)</f>
        <v>38632</v>
      </c>
      <c r="E18582" s="5">
        <f t="shared" si="304"/>
        <v>2005</v>
      </c>
      <c r="F18582" s="3" t="s">
        <v>3014</v>
      </c>
      <c r="G18582" s="6">
        <v>3029.75</v>
      </c>
      <c r="H18582" s="5">
        <v>5398</v>
      </c>
    </row>
    <row r="18583" spans="2:8" ht="15" customHeight="1" x14ac:dyDescent="0.4">
      <c r="B18583" t="s">
        <v>7</v>
      </c>
      <c r="C18583" t="s">
        <v>3015</v>
      </c>
      <c r="D18583" s="7">
        <f>DATE(2009,9,8)</f>
        <v>40064</v>
      </c>
      <c r="E18583" s="8">
        <f t="shared" si="304"/>
        <v>2009</v>
      </c>
      <c r="F18583" t="s">
        <v>3016</v>
      </c>
      <c r="G18583" s="9">
        <v>4871.95</v>
      </c>
      <c r="H18583" s="8">
        <v>9011</v>
      </c>
    </row>
    <row r="18584" spans="2:8" ht="15" customHeight="1" x14ac:dyDescent="0.4">
      <c r="B18584" t="s">
        <v>7</v>
      </c>
      <c r="C18584" t="s">
        <v>3013</v>
      </c>
      <c r="D18584" s="7">
        <f>DATE(2007,11,10)</f>
        <v>39396</v>
      </c>
      <c r="E18584" s="8">
        <f t="shared" si="304"/>
        <v>2007</v>
      </c>
      <c r="F18584" t="s">
        <v>3017</v>
      </c>
      <c r="G18584" s="9">
        <v>31939</v>
      </c>
      <c r="H18584" s="8">
        <v>6435</v>
      </c>
    </row>
    <row r="18585" spans="2:8" ht="15" customHeight="1" x14ac:dyDescent="0.4">
      <c r="B18585" t="s">
        <v>7</v>
      </c>
      <c r="C18585" t="s">
        <v>3013</v>
      </c>
      <c r="D18585" s="7">
        <f>DATE(2008,6,1)</f>
        <v>39600</v>
      </c>
      <c r="E18585" s="8">
        <f t="shared" si="304"/>
        <v>2008</v>
      </c>
      <c r="F18585" t="s">
        <v>3017</v>
      </c>
      <c r="G18585" s="9">
        <v>28335.07</v>
      </c>
      <c r="H18585" s="8">
        <v>7603</v>
      </c>
    </row>
    <row r="18586" spans="2:8" ht="15" customHeight="1" x14ac:dyDescent="0.4">
      <c r="B18586" t="s">
        <v>7</v>
      </c>
      <c r="C18586" t="s">
        <v>3013</v>
      </c>
      <c r="D18586" s="7">
        <f>DATE(2009,3,10)</f>
        <v>39882</v>
      </c>
      <c r="E18586" s="8">
        <f t="shared" si="304"/>
        <v>2009</v>
      </c>
      <c r="F18586" t="s">
        <v>3017</v>
      </c>
      <c r="G18586" s="9">
        <v>35960</v>
      </c>
      <c r="H18586" s="8">
        <v>8359</v>
      </c>
    </row>
    <row r="18587" spans="2:8" ht="15" customHeight="1" x14ac:dyDescent="0.4">
      <c r="B18587" t="s">
        <v>7</v>
      </c>
      <c r="C18587" t="s">
        <v>3013</v>
      </c>
      <c r="D18587" s="7">
        <f>DATE(2010,4,6)</f>
        <v>40274</v>
      </c>
      <c r="E18587" s="8">
        <f t="shared" si="304"/>
        <v>2010</v>
      </c>
      <c r="F18587" t="s">
        <v>3017</v>
      </c>
      <c r="G18587" s="9">
        <v>20704.71</v>
      </c>
      <c r="H18587" s="8">
        <v>9506</v>
      </c>
    </row>
    <row r="18588" spans="2:8" ht="15" customHeight="1" x14ac:dyDescent="0.4">
      <c r="B18588" t="s">
        <v>7</v>
      </c>
      <c r="C18588" t="s">
        <v>3013</v>
      </c>
      <c r="D18588" s="7">
        <f>DATE(2011,3,21)</f>
        <v>40623</v>
      </c>
      <c r="E18588" s="8">
        <f t="shared" si="304"/>
        <v>2011</v>
      </c>
      <c r="F18588" t="s">
        <v>3017</v>
      </c>
      <c r="G18588" s="9">
        <v>22569.77</v>
      </c>
      <c r="H18588" s="8">
        <v>10552</v>
      </c>
    </row>
    <row r="18589" spans="2:8" ht="15" customHeight="1" x14ac:dyDescent="0.4">
      <c r="B18589" t="s">
        <v>7</v>
      </c>
      <c r="C18589" t="s">
        <v>3013</v>
      </c>
      <c r="D18589" s="7">
        <f>DATE(2011,3,21)</f>
        <v>40623</v>
      </c>
      <c r="E18589" s="8">
        <f t="shared" si="304"/>
        <v>2011</v>
      </c>
      <c r="F18589" t="s">
        <v>3017</v>
      </c>
      <c r="G18589" s="9">
        <v>22569.77</v>
      </c>
      <c r="H18589" s="8">
        <v>10539</v>
      </c>
    </row>
    <row r="18590" spans="2:8" ht="15" customHeight="1" x14ac:dyDescent="0.4">
      <c r="B18590" t="s">
        <v>16</v>
      </c>
      <c r="C18590" t="s">
        <v>3013</v>
      </c>
      <c r="D18590" s="7">
        <f>DATE(2008,6,1)</f>
        <v>39600</v>
      </c>
      <c r="E18590" s="8">
        <f t="shared" si="304"/>
        <v>2008</v>
      </c>
      <c r="F18590" t="s">
        <v>3017</v>
      </c>
      <c r="G18590" s="9">
        <v>31939</v>
      </c>
      <c r="H18590" s="8">
        <v>7602</v>
      </c>
    </row>
    <row r="18591" spans="2:8" ht="15" customHeight="1" x14ac:dyDescent="0.4">
      <c r="B18591" t="s">
        <v>7</v>
      </c>
      <c r="C18591" t="s">
        <v>2585</v>
      </c>
      <c r="D18591" s="7">
        <f>DATE(2017,5,10)</f>
        <v>42865</v>
      </c>
      <c r="E18591" s="8">
        <f t="shared" si="304"/>
        <v>2017</v>
      </c>
      <c r="F18591" t="s">
        <v>3018</v>
      </c>
      <c r="G18591" s="9">
        <v>5200</v>
      </c>
      <c r="H18591" s="8">
        <v>24894</v>
      </c>
    </row>
    <row r="18592" spans="2:8" ht="15" customHeight="1" x14ac:dyDescent="0.4">
      <c r="B18592" t="s">
        <v>7</v>
      </c>
      <c r="C18592" t="s">
        <v>3019</v>
      </c>
      <c r="D18592" s="7">
        <f>DATE(2015,1,28)</f>
        <v>42032</v>
      </c>
      <c r="E18592" s="8">
        <f t="shared" si="304"/>
        <v>2015</v>
      </c>
      <c r="F18592" t="s">
        <v>3020</v>
      </c>
      <c r="G18592" s="9">
        <v>2696.44</v>
      </c>
      <c r="H18592" s="8">
        <v>257</v>
      </c>
    </row>
    <row r="18593" spans="2:8" ht="15" customHeight="1" x14ac:dyDescent="0.4">
      <c r="B18593" t="s">
        <v>7</v>
      </c>
      <c r="C18593" t="s">
        <v>3019</v>
      </c>
      <c r="D18593" s="7">
        <f>DATE(2015,4,1)</f>
        <v>42095</v>
      </c>
      <c r="E18593" s="8">
        <f t="shared" si="304"/>
        <v>2015</v>
      </c>
      <c r="F18593" t="s">
        <v>3020</v>
      </c>
      <c r="G18593" s="9">
        <v>47</v>
      </c>
      <c r="H18593" s="8">
        <v>20256</v>
      </c>
    </row>
    <row r="18594" spans="2:8" ht="15" customHeight="1" x14ac:dyDescent="0.4">
      <c r="B18594" t="s">
        <v>7</v>
      </c>
      <c r="C18594" t="s">
        <v>3019</v>
      </c>
      <c r="D18594" s="7">
        <f>DATE(2015,5,21)</f>
        <v>42145</v>
      </c>
      <c r="E18594" s="8">
        <f t="shared" si="304"/>
        <v>2015</v>
      </c>
      <c r="F18594" t="s">
        <v>3020</v>
      </c>
      <c r="G18594" s="9">
        <v>328.8</v>
      </c>
      <c r="H18594" s="8">
        <v>20625</v>
      </c>
    </row>
    <row r="18595" spans="2:8" ht="15" customHeight="1" x14ac:dyDescent="0.4">
      <c r="B18595" t="s">
        <v>7</v>
      </c>
      <c r="C18595" t="s">
        <v>3019</v>
      </c>
      <c r="D18595" s="7">
        <f>DATE(2016,3,9)</f>
        <v>42438</v>
      </c>
      <c r="E18595" s="8">
        <f t="shared" si="304"/>
        <v>2016</v>
      </c>
      <c r="F18595" t="s">
        <v>3020</v>
      </c>
      <c r="G18595" s="9">
        <v>425</v>
      </c>
      <c r="H18595" s="8">
        <v>22352</v>
      </c>
    </row>
    <row r="18596" spans="2:8" ht="15" customHeight="1" x14ac:dyDescent="0.4">
      <c r="B18596" t="s">
        <v>7</v>
      </c>
      <c r="C18596" t="s">
        <v>3019</v>
      </c>
      <c r="D18596" s="7">
        <f>DATE(2016,10,12)</f>
        <v>42655</v>
      </c>
      <c r="E18596" s="8">
        <f t="shared" si="304"/>
        <v>2016</v>
      </c>
      <c r="F18596" t="s">
        <v>3020</v>
      </c>
      <c r="G18596" s="9">
        <v>920</v>
      </c>
      <c r="H18596" s="8">
        <v>23593</v>
      </c>
    </row>
    <row r="18597" spans="2:8" ht="15" customHeight="1" x14ac:dyDescent="0.4">
      <c r="B18597" t="s">
        <v>7</v>
      </c>
      <c r="C18597" t="s">
        <v>3019</v>
      </c>
      <c r="D18597" s="7">
        <f>DATE(2017,10,19)</f>
        <v>43027</v>
      </c>
      <c r="E18597" s="8">
        <f t="shared" si="304"/>
        <v>2017</v>
      </c>
      <c r="F18597" t="s">
        <v>3020</v>
      </c>
      <c r="G18597" s="9">
        <v>900</v>
      </c>
      <c r="H18597" s="8">
        <v>25750</v>
      </c>
    </row>
    <row r="18598" spans="2:8" ht="15" customHeight="1" x14ac:dyDescent="0.4">
      <c r="B18598" t="s">
        <v>7</v>
      </c>
      <c r="C18598" t="s">
        <v>3019</v>
      </c>
      <c r="D18598" s="7">
        <f>DATE(2017,10,26)</f>
        <v>43034</v>
      </c>
      <c r="E18598" s="8">
        <f t="shared" si="304"/>
        <v>2017</v>
      </c>
      <c r="F18598" t="s">
        <v>3020</v>
      </c>
      <c r="G18598" s="9">
        <v>313.8</v>
      </c>
      <c r="H18598" s="8">
        <v>25790</v>
      </c>
    </row>
    <row r="18599" spans="2:8" ht="15" customHeight="1" x14ac:dyDescent="0.4">
      <c r="B18599" t="s">
        <v>7</v>
      </c>
      <c r="C18599" t="s">
        <v>3019</v>
      </c>
      <c r="D18599" s="7">
        <f>DATE(2018,8,2)</f>
        <v>43314</v>
      </c>
      <c r="E18599" s="8">
        <f t="shared" si="304"/>
        <v>2018</v>
      </c>
      <c r="F18599" t="s">
        <v>3020</v>
      </c>
      <c r="G18599" s="9">
        <v>147.30000000000001</v>
      </c>
      <c r="H18599" s="8">
        <v>27434</v>
      </c>
    </row>
    <row r="18600" spans="2:8" ht="15" customHeight="1" x14ac:dyDescent="0.4">
      <c r="B18600" s="3" t="s">
        <v>7</v>
      </c>
      <c r="C18600" s="3" t="s">
        <v>3019</v>
      </c>
      <c r="D18600" s="4">
        <f>DATE(2007,10,5)</f>
        <v>39360</v>
      </c>
      <c r="E18600" s="5">
        <f t="shared" si="304"/>
        <v>2007</v>
      </c>
      <c r="F18600" s="3" t="s">
        <v>3020</v>
      </c>
      <c r="G18600" s="6">
        <v>441</v>
      </c>
      <c r="H18600" s="5">
        <v>9278</v>
      </c>
    </row>
    <row r="18601" spans="2:8" ht="15" customHeight="1" x14ac:dyDescent="0.4">
      <c r="B18601" s="3" t="s">
        <v>7</v>
      </c>
      <c r="C18601" s="3" t="s">
        <v>3019</v>
      </c>
      <c r="D18601" s="4">
        <f>DATE(2008,2,8)</f>
        <v>39486</v>
      </c>
      <c r="E18601" s="5">
        <f t="shared" si="304"/>
        <v>2008</v>
      </c>
      <c r="F18601" s="3" t="s">
        <v>3020</v>
      </c>
      <c r="G18601" s="6">
        <v>185.4</v>
      </c>
      <c r="H18601" s="5">
        <v>9905</v>
      </c>
    </row>
    <row r="18602" spans="2:8" ht="15" customHeight="1" x14ac:dyDescent="0.4">
      <c r="B18602" s="3" t="s">
        <v>7</v>
      </c>
      <c r="C18602" s="3" t="s">
        <v>3019</v>
      </c>
      <c r="D18602" s="4">
        <f>DATE(2008,12,11)</f>
        <v>39793</v>
      </c>
      <c r="E18602" s="5">
        <f t="shared" si="304"/>
        <v>2008</v>
      </c>
      <c r="F18602" s="3" t="s">
        <v>3020</v>
      </c>
      <c r="G18602" s="6">
        <v>176.4</v>
      </c>
      <c r="H18602" s="5">
        <v>11680</v>
      </c>
    </row>
    <row r="18603" spans="2:8" ht="15" customHeight="1" x14ac:dyDescent="0.4">
      <c r="B18603" s="3" t="s">
        <v>7</v>
      </c>
      <c r="C18603" s="3" t="s">
        <v>3019</v>
      </c>
      <c r="D18603" s="4">
        <f>DATE(2009,3,25)</f>
        <v>39897</v>
      </c>
      <c r="E18603" s="5">
        <f t="shared" si="304"/>
        <v>2009</v>
      </c>
      <c r="F18603" s="3" t="s">
        <v>3020</v>
      </c>
      <c r="G18603" s="6">
        <v>627.6</v>
      </c>
      <c r="H18603" s="5">
        <v>12249</v>
      </c>
    </row>
    <row r="18604" spans="2:8" ht="15" customHeight="1" x14ac:dyDescent="0.4">
      <c r="B18604" s="3" t="s">
        <v>7</v>
      </c>
      <c r="C18604" s="3" t="s">
        <v>3019</v>
      </c>
      <c r="D18604" s="4">
        <f>DATE(2009,8,11)</f>
        <v>40036</v>
      </c>
      <c r="E18604" s="5">
        <f t="shared" si="304"/>
        <v>2009</v>
      </c>
      <c r="F18604" s="3" t="s">
        <v>3020</v>
      </c>
      <c r="G18604" s="6">
        <v>300</v>
      </c>
      <c r="H18604" s="5">
        <v>12870</v>
      </c>
    </row>
    <row r="18605" spans="2:8" ht="15" customHeight="1" x14ac:dyDescent="0.4">
      <c r="B18605" s="3" t="s">
        <v>7</v>
      </c>
      <c r="C18605" s="3" t="s">
        <v>3019</v>
      </c>
      <c r="D18605" s="4">
        <f>DATE(2009,9,29)</f>
        <v>40085</v>
      </c>
      <c r="E18605" s="5">
        <f t="shared" si="304"/>
        <v>2009</v>
      </c>
      <c r="F18605" s="3" t="s">
        <v>3020</v>
      </c>
      <c r="G18605" s="6">
        <v>310</v>
      </c>
      <c r="H18605" s="5">
        <v>13039</v>
      </c>
    </row>
    <row r="18606" spans="2:8" ht="15" customHeight="1" x14ac:dyDescent="0.4">
      <c r="B18606" s="3" t="s">
        <v>7</v>
      </c>
      <c r="C18606" s="3" t="s">
        <v>3019</v>
      </c>
      <c r="D18606" s="4">
        <f>DATE(2009,10,21)</f>
        <v>40107</v>
      </c>
      <c r="E18606" s="5">
        <f t="shared" si="304"/>
        <v>2009</v>
      </c>
      <c r="F18606" s="3" t="s">
        <v>3020</v>
      </c>
      <c r="G18606" s="6">
        <v>186.4</v>
      </c>
      <c r="H18606" s="5">
        <v>13145</v>
      </c>
    </row>
    <row r="18607" spans="2:8" ht="15" customHeight="1" x14ac:dyDescent="0.4">
      <c r="B18607" s="3" t="s">
        <v>7</v>
      </c>
      <c r="C18607" s="3" t="s">
        <v>3019</v>
      </c>
      <c r="D18607" s="4">
        <f>DATE(2010,4,8)</f>
        <v>40276</v>
      </c>
      <c r="E18607" s="5">
        <f t="shared" si="304"/>
        <v>2010</v>
      </c>
      <c r="F18607" s="3" t="s">
        <v>3020</v>
      </c>
      <c r="G18607" s="6">
        <v>311</v>
      </c>
      <c r="H18607" s="5">
        <v>13841</v>
      </c>
    </row>
    <row r="18608" spans="2:8" ht="15" customHeight="1" x14ac:dyDescent="0.4">
      <c r="B18608" s="3" t="s">
        <v>7</v>
      </c>
      <c r="C18608" s="3" t="s">
        <v>3019</v>
      </c>
      <c r="D18608" s="4">
        <f>DATE(2010,4,15)</f>
        <v>40283</v>
      </c>
      <c r="E18608" s="5">
        <f t="shared" si="304"/>
        <v>2010</v>
      </c>
      <c r="F18608" s="3" t="s">
        <v>3020</v>
      </c>
      <c r="G18608" s="6">
        <v>366.88</v>
      </c>
      <c r="H18608" s="5">
        <v>13905</v>
      </c>
    </row>
    <row r="18609" spans="2:8" ht="15" customHeight="1" x14ac:dyDescent="0.4">
      <c r="B18609" s="3" t="s">
        <v>7</v>
      </c>
      <c r="C18609" s="3" t="s">
        <v>3019</v>
      </c>
      <c r="D18609" s="4">
        <f>DATE(2010,4,23)</f>
        <v>40291</v>
      </c>
      <c r="E18609" s="5">
        <f t="shared" si="304"/>
        <v>2010</v>
      </c>
      <c r="F18609" s="3" t="s">
        <v>3020</v>
      </c>
      <c r="G18609" s="6">
        <v>420</v>
      </c>
      <c r="H18609" s="5">
        <v>13897</v>
      </c>
    </row>
    <row r="18610" spans="2:8" ht="15" customHeight="1" x14ac:dyDescent="0.4">
      <c r="B18610" s="3" t="s">
        <v>7</v>
      </c>
      <c r="C18610" s="3" t="s">
        <v>3019</v>
      </c>
      <c r="D18610" s="4">
        <f>DATE(2010,4,30)</f>
        <v>40298</v>
      </c>
      <c r="E18610" s="5">
        <f t="shared" si="304"/>
        <v>2010</v>
      </c>
      <c r="F18610" s="3" t="s">
        <v>3020</v>
      </c>
      <c r="G18610" s="6">
        <v>915</v>
      </c>
      <c r="H18610" s="5">
        <v>13916</v>
      </c>
    </row>
    <row r="18611" spans="2:8" ht="15" customHeight="1" x14ac:dyDescent="0.4">
      <c r="B18611" s="3" t="s">
        <v>7</v>
      </c>
      <c r="C18611" s="3" t="s">
        <v>3019</v>
      </c>
      <c r="D18611" s="4">
        <f>DATE(2010,5,21)</f>
        <v>40319</v>
      </c>
      <c r="E18611" s="5">
        <f t="shared" si="304"/>
        <v>2010</v>
      </c>
      <c r="F18611" s="3" t="s">
        <v>3020</v>
      </c>
      <c r="G18611" s="6">
        <v>734</v>
      </c>
      <c r="H18611" s="5">
        <v>14056</v>
      </c>
    </row>
    <row r="18612" spans="2:8" ht="15" customHeight="1" x14ac:dyDescent="0.4">
      <c r="B18612" s="3" t="s">
        <v>7</v>
      </c>
      <c r="C18612" s="3" t="s">
        <v>3019</v>
      </c>
      <c r="D18612" s="4">
        <f>DATE(2011,3,10)</f>
        <v>40612</v>
      </c>
      <c r="E18612" s="5">
        <f t="shared" si="304"/>
        <v>2011</v>
      </c>
      <c r="F18612" s="3" t="s">
        <v>3020</v>
      </c>
      <c r="G18612" s="6">
        <v>421</v>
      </c>
      <c r="H18612" s="5">
        <v>15212</v>
      </c>
    </row>
    <row r="18613" spans="2:8" ht="15" customHeight="1" x14ac:dyDescent="0.4">
      <c r="B18613" s="3" t="s">
        <v>7</v>
      </c>
      <c r="C18613" s="3" t="s">
        <v>3019</v>
      </c>
      <c r="D18613" s="4">
        <f>DATE(2011,3,15)</f>
        <v>40617</v>
      </c>
      <c r="E18613" s="5">
        <f t="shared" si="304"/>
        <v>2011</v>
      </c>
      <c r="F18613" s="3" t="s">
        <v>3020</v>
      </c>
      <c r="G18613" s="6">
        <v>1470.1</v>
      </c>
      <c r="H18613" s="5">
        <v>15229</v>
      </c>
    </row>
    <row r="18614" spans="2:8" ht="15" customHeight="1" x14ac:dyDescent="0.4">
      <c r="B18614" s="3" t="s">
        <v>7</v>
      </c>
      <c r="C18614" s="3" t="s">
        <v>3019</v>
      </c>
      <c r="D18614" s="4">
        <f>DATE(2013,7,18)</f>
        <v>41473</v>
      </c>
      <c r="E18614" s="5">
        <f t="shared" si="304"/>
        <v>2013</v>
      </c>
      <c r="F18614" s="3" t="s">
        <v>3020</v>
      </c>
      <c r="G18614" s="6">
        <v>900</v>
      </c>
      <c r="H18614" s="5">
        <v>18741</v>
      </c>
    </row>
    <row r="18615" spans="2:8" ht="15" customHeight="1" x14ac:dyDescent="0.4">
      <c r="B18615" s="3" t="s">
        <v>7</v>
      </c>
      <c r="C18615" s="3" t="s">
        <v>3019</v>
      </c>
      <c r="D18615" s="4">
        <f>DATE(2013,8,23)</f>
        <v>41509</v>
      </c>
      <c r="E18615" s="5">
        <f t="shared" si="304"/>
        <v>2013</v>
      </c>
      <c r="F18615" s="3" t="s">
        <v>3020</v>
      </c>
      <c r="G18615" s="6">
        <v>484</v>
      </c>
      <c r="H18615" s="5">
        <v>18909</v>
      </c>
    </row>
    <row r="18616" spans="2:8" ht="15" customHeight="1" x14ac:dyDescent="0.4">
      <c r="B18616" s="3" t="s">
        <v>7</v>
      </c>
      <c r="C18616" s="3" t="s">
        <v>3019</v>
      </c>
      <c r="D18616" s="4">
        <f>DATE(2013,12,18)</f>
        <v>41626</v>
      </c>
      <c r="E18616" s="5">
        <f t="shared" si="304"/>
        <v>2013</v>
      </c>
      <c r="F18616" s="3" t="s">
        <v>3020</v>
      </c>
      <c r="G18616" s="6">
        <v>113</v>
      </c>
      <c r="H18616" s="5">
        <v>19321</v>
      </c>
    </row>
    <row r="18617" spans="2:8" ht="15" customHeight="1" x14ac:dyDescent="0.4">
      <c r="B18617" s="3" t="s">
        <v>7</v>
      </c>
      <c r="C18617" s="3" t="s">
        <v>3019</v>
      </c>
      <c r="D18617" s="4">
        <f>DATE(2014,2,20)</f>
        <v>41690</v>
      </c>
      <c r="E18617" s="5">
        <f t="shared" si="304"/>
        <v>2014</v>
      </c>
      <c r="F18617" s="3" t="s">
        <v>3020</v>
      </c>
      <c r="G18617" s="6">
        <v>916.45</v>
      </c>
      <c r="H18617" s="5">
        <v>19544</v>
      </c>
    </row>
    <row r="18618" spans="2:8" ht="15" customHeight="1" x14ac:dyDescent="0.4">
      <c r="B18618" s="3" t="s">
        <v>7</v>
      </c>
      <c r="C18618" s="3" t="s">
        <v>3019</v>
      </c>
      <c r="D18618" s="4">
        <f>DATE(2014,3,18)</f>
        <v>41716</v>
      </c>
      <c r="E18618" s="5">
        <f t="shared" si="304"/>
        <v>2014</v>
      </c>
      <c r="F18618" s="3" t="s">
        <v>3020</v>
      </c>
      <c r="G18618" s="6">
        <v>1252</v>
      </c>
      <c r="H18618" s="5">
        <v>19666</v>
      </c>
    </row>
    <row r="18619" spans="2:8" ht="15" customHeight="1" x14ac:dyDescent="0.4">
      <c r="B18619" s="3" t="s">
        <v>7</v>
      </c>
      <c r="C18619" s="3" t="s">
        <v>3019</v>
      </c>
      <c r="D18619" s="4">
        <f>DATE(2014,4,11)</f>
        <v>41740</v>
      </c>
      <c r="E18619" s="5">
        <f t="shared" si="304"/>
        <v>2014</v>
      </c>
      <c r="F18619" s="3" t="s">
        <v>3020</v>
      </c>
      <c r="G18619" s="6">
        <v>189.4</v>
      </c>
      <c r="H18619" s="5">
        <v>19809</v>
      </c>
    </row>
    <row r="18620" spans="2:8" ht="15" customHeight="1" x14ac:dyDescent="0.4">
      <c r="B18620" s="3" t="s">
        <v>7</v>
      </c>
      <c r="C18620" s="3" t="s">
        <v>3019</v>
      </c>
      <c r="D18620" s="4">
        <f>DATE(2014,5,15)</f>
        <v>41774</v>
      </c>
      <c r="E18620" s="5">
        <f t="shared" si="304"/>
        <v>2014</v>
      </c>
      <c r="F18620" s="3" t="s">
        <v>3020</v>
      </c>
      <c r="G18620" s="6">
        <v>2696.5</v>
      </c>
      <c r="H18620" s="5">
        <v>19791</v>
      </c>
    </row>
    <row r="18621" spans="2:8" ht="15" customHeight="1" x14ac:dyDescent="0.4">
      <c r="B18621" s="3" t="s">
        <v>7</v>
      </c>
      <c r="C18621" s="3" t="s">
        <v>3019</v>
      </c>
      <c r="D18621" s="4">
        <f>DATE(2014,10,10)</f>
        <v>41922</v>
      </c>
      <c r="E18621" s="5">
        <f t="shared" si="304"/>
        <v>2014</v>
      </c>
      <c r="F18621" s="3" t="s">
        <v>3020</v>
      </c>
      <c r="G18621" s="6">
        <v>189.4</v>
      </c>
      <c r="H18621" s="5">
        <v>20495</v>
      </c>
    </row>
    <row r="18622" spans="2:8" ht="15" customHeight="1" x14ac:dyDescent="0.4">
      <c r="B18622" s="3" t="s">
        <v>7</v>
      </c>
      <c r="C18622" s="3" t="s">
        <v>3019</v>
      </c>
      <c r="D18622" s="4">
        <f>DATE(2014,10,24)</f>
        <v>41936</v>
      </c>
      <c r="E18622" s="5">
        <f t="shared" si="304"/>
        <v>2014</v>
      </c>
      <c r="F18622" s="3" t="s">
        <v>3020</v>
      </c>
      <c r="G18622" s="6">
        <v>314</v>
      </c>
      <c r="H18622" s="5">
        <v>20530</v>
      </c>
    </row>
    <row r="18623" spans="2:8" ht="15" customHeight="1" x14ac:dyDescent="0.4">
      <c r="B18623" t="s">
        <v>7</v>
      </c>
      <c r="C18623" t="s">
        <v>3019</v>
      </c>
      <c r="D18623" s="7">
        <f>DATE(2003,3,5)</f>
        <v>37685</v>
      </c>
      <c r="E18623" s="8">
        <f t="shared" si="304"/>
        <v>2003</v>
      </c>
      <c r="F18623" t="s">
        <v>3021</v>
      </c>
      <c r="G18623" s="9">
        <v>15197.6</v>
      </c>
      <c r="H18623" s="8">
        <v>90</v>
      </c>
    </row>
    <row r="18624" spans="2:8" ht="15" customHeight="1" x14ac:dyDescent="0.4">
      <c r="B18624" t="s">
        <v>7</v>
      </c>
      <c r="C18624" t="s">
        <v>3019</v>
      </c>
      <c r="D18624" s="7">
        <f>DATE(2003,5,7)</f>
        <v>37748</v>
      </c>
      <c r="E18624" s="8">
        <f t="shared" si="304"/>
        <v>2003</v>
      </c>
      <c r="F18624" t="s">
        <v>3021</v>
      </c>
      <c r="G18624" s="9">
        <v>11150.1</v>
      </c>
      <c r="H18624" s="8">
        <v>91</v>
      </c>
    </row>
    <row r="18625" spans="2:8" ht="15" customHeight="1" x14ac:dyDescent="0.4">
      <c r="B18625" t="s">
        <v>7</v>
      </c>
      <c r="C18625" t="s">
        <v>3019</v>
      </c>
      <c r="D18625" s="7">
        <f>DATE(2004,3,4)</f>
        <v>38050</v>
      </c>
      <c r="E18625" s="8">
        <f t="shared" si="304"/>
        <v>2004</v>
      </c>
      <c r="F18625" t="s">
        <v>3021</v>
      </c>
      <c r="G18625" s="9">
        <v>15197.6</v>
      </c>
      <c r="H18625" s="8">
        <v>1176</v>
      </c>
    </row>
    <row r="18626" spans="2:8" ht="15" customHeight="1" x14ac:dyDescent="0.4">
      <c r="B18626" t="s">
        <v>7</v>
      </c>
      <c r="C18626" t="s">
        <v>3019</v>
      </c>
      <c r="D18626" s="7">
        <f>DATE(2005,3,10)</f>
        <v>38421</v>
      </c>
      <c r="E18626" s="8">
        <f t="shared" si="304"/>
        <v>2005</v>
      </c>
      <c r="F18626" t="s">
        <v>3021</v>
      </c>
      <c r="G18626" s="9">
        <v>15197.6</v>
      </c>
      <c r="H18626" s="8">
        <v>2566</v>
      </c>
    </row>
    <row r="18627" spans="2:8" ht="15" customHeight="1" x14ac:dyDescent="0.4">
      <c r="B18627" t="s">
        <v>7</v>
      </c>
      <c r="C18627" t="s">
        <v>3019</v>
      </c>
      <c r="D18627" s="7">
        <f>DATE(2005,5,3)</f>
        <v>38475</v>
      </c>
      <c r="E18627" s="8">
        <f t="shared" ref="E18627:E18690" si="305">YEAR(D18627)</f>
        <v>2005</v>
      </c>
      <c r="F18627" t="s">
        <v>3021</v>
      </c>
      <c r="G18627" s="9">
        <v>11576.65</v>
      </c>
      <c r="H18627" s="8">
        <v>2928</v>
      </c>
    </row>
    <row r="18628" spans="2:8" ht="15" customHeight="1" x14ac:dyDescent="0.4">
      <c r="B18628" t="s">
        <v>7</v>
      </c>
      <c r="C18628" t="s">
        <v>3019</v>
      </c>
      <c r="D18628" s="7">
        <f>DATE(2006,2,28)</f>
        <v>38776</v>
      </c>
      <c r="E18628" s="8">
        <f t="shared" si="305"/>
        <v>2006</v>
      </c>
      <c r="F18628" t="s">
        <v>3021</v>
      </c>
      <c r="G18628" s="9">
        <v>16400</v>
      </c>
      <c r="H18628" s="8">
        <v>3832</v>
      </c>
    </row>
    <row r="18629" spans="2:8" ht="15" customHeight="1" x14ac:dyDescent="0.4">
      <c r="B18629" t="s">
        <v>7</v>
      </c>
      <c r="C18629" t="s">
        <v>3019</v>
      </c>
      <c r="D18629" s="7">
        <f>DATE(2006,5,5)</f>
        <v>38842</v>
      </c>
      <c r="E18629" s="8">
        <f t="shared" si="305"/>
        <v>2006</v>
      </c>
      <c r="F18629" t="s">
        <v>3021</v>
      </c>
      <c r="G18629" s="9">
        <v>12076.85</v>
      </c>
      <c r="H18629" s="8">
        <v>3833</v>
      </c>
    </row>
    <row r="18630" spans="2:8" ht="15" customHeight="1" x14ac:dyDescent="0.4">
      <c r="B18630" s="3" t="s">
        <v>7</v>
      </c>
      <c r="C18630" s="3" t="s">
        <v>3019</v>
      </c>
      <c r="D18630" s="4">
        <f>DATE(2003,5,28)</f>
        <v>37769</v>
      </c>
      <c r="E18630" s="5">
        <f t="shared" si="305"/>
        <v>2003</v>
      </c>
      <c r="F18630" s="3" t="s">
        <v>3021</v>
      </c>
      <c r="G18630" s="6">
        <v>174</v>
      </c>
      <c r="H18630" s="5">
        <v>1003</v>
      </c>
    </row>
    <row r="18631" spans="2:8" ht="15" customHeight="1" x14ac:dyDescent="0.4">
      <c r="B18631" s="3" t="s">
        <v>7</v>
      </c>
      <c r="C18631" s="3" t="s">
        <v>3019</v>
      </c>
      <c r="D18631" s="4">
        <f>DATE(2004,3,2)</f>
        <v>38048</v>
      </c>
      <c r="E18631" s="5">
        <f t="shared" si="305"/>
        <v>2004</v>
      </c>
      <c r="F18631" s="3" t="s">
        <v>3021</v>
      </c>
      <c r="G18631" s="6">
        <v>1632</v>
      </c>
      <c r="H18631" s="5">
        <v>2261</v>
      </c>
    </row>
    <row r="18632" spans="2:8" ht="15" customHeight="1" x14ac:dyDescent="0.4">
      <c r="B18632" s="3" t="s">
        <v>7</v>
      </c>
      <c r="C18632" s="3" t="s">
        <v>3019</v>
      </c>
      <c r="D18632" s="4">
        <f>DATE(2004,6,11)</f>
        <v>38149</v>
      </c>
      <c r="E18632" s="5">
        <f t="shared" si="305"/>
        <v>2004</v>
      </c>
      <c r="F18632" s="3" t="s">
        <v>3021</v>
      </c>
      <c r="G18632" s="6">
        <v>175</v>
      </c>
      <c r="H18632" s="5">
        <v>2988</v>
      </c>
    </row>
    <row r="18633" spans="2:8" ht="15" customHeight="1" x14ac:dyDescent="0.4">
      <c r="B18633" s="3" t="s">
        <v>7</v>
      </c>
      <c r="C18633" s="3" t="s">
        <v>3019</v>
      </c>
      <c r="D18633" s="4">
        <f>DATE(2005,3,11)</f>
        <v>38422</v>
      </c>
      <c r="E18633" s="5">
        <f t="shared" si="305"/>
        <v>2005</v>
      </c>
      <c r="F18633" s="3" t="s">
        <v>3021</v>
      </c>
      <c r="G18633" s="6">
        <v>331.8</v>
      </c>
      <c r="H18633" s="5">
        <v>4316</v>
      </c>
    </row>
    <row r="18634" spans="2:8" ht="15" customHeight="1" x14ac:dyDescent="0.4">
      <c r="B18634" s="3" t="s">
        <v>7</v>
      </c>
      <c r="C18634" s="3" t="s">
        <v>3019</v>
      </c>
      <c r="D18634" s="4">
        <f>DATE(2005,4,15)</f>
        <v>38457</v>
      </c>
      <c r="E18634" s="5">
        <f t="shared" si="305"/>
        <v>2005</v>
      </c>
      <c r="F18634" s="3" t="s">
        <v>3021</v>
      </c>
      <c r="G18634" s="6">
        <v>499.2</v>
      </c>
      <c r="H18634" s="5">
        <v>4564</v>
      </c>
    </row>
    <row r="18635" spans="2:8" ht="15" customHeight="1" x14ac:dyDescent="0.4">
      <c r="B18635" s="3" t="s">
        <v>7</v>
      </c>
      <c r="C18635" s="3" t="s">
        <v>3019</v>
      </c>
      <c r="D18635" s="4">
        <f>DATE(2005,5,18)</f>
        <v>38490</v>
      </c>
      <c r="E18635" s="5">
        <f t="shared" si="305"/>
        <v>2005</v>
      </c>
      <c r="F18635" s="3" t="s">
        <v>3021</v>
      </c>
      <c r="G18635" s="6">
        <v>184.4</v>
      </c>
      <c r="H18635" s="5">
        <v>4771</v>
      </c>
    </row>
    <row r="18636" spans="2:8" ht="15" customHeight="1" x14ac:dyDescent="0.4">
      <c r="B18636" s="3" t="s">
        <v>7</v>
      </c>
      <c r="C18636" s="3" t="s">
        <v>3019</v>
      </c>
      <c r="D18636" s="4">
        <f>DATE(2005,12,30)</f>
        <v>38716</v>
      </c>
      <c r="E18636" s="5">
        <f t="shared" si="305"/>
        <v>2005</v>
      </c>
      <c r="F18636" s="3" t="s">
        <v>3021</v>
      </c>
      <c r="G18636" s="6">
        <v>352.8</v>
      </c>
      <c r="H18636" s="5">
        <v>5771</v>
      </c>
    </row>
    <row r="18637" spans="2:8" ht="15" customHeight="1" x14ac:dyDescent="0.4">
      <c r="B18637" s="3" t="s">
        <v>7</v>
      </c>
      <c r="C18637" s="3" t="s">
        <v>3022</v>
      </c>
      <c r="D18637" s="4">
        <f>DATE(2006,8,23)</f>
        <v>38952</v>
      </c>
      <c r="E18637" s="5">
        <f t="shared" si="305"/>
        <v>2006</v>
      </c>
      <c r="F18637" s="3" t="s">
        <v>3021</v>
      </c>
      <c r="G18637" s="6">
        <v>264.60000000000002</v>
      </c>
      <c r="H18637" s="5">
        <v>7134</v>
      </c>
    </row>
    <row r="18638" spans="2:8" ht="15" customHeight="1" x14ac:dyDescent="0.4">
      <c r="B18638" s="3" t="s">
        <v>7</v>
      </c>
      <c r="C18638" s="3" t="s">
        <v>3019</v>
      </c>
      <c r="D18638" s="4">
        <f>DATE(2006,9,14)</f>
        <v>38974</v>
      </c>
      <c r="E18638" s="5">
        <f t="shared" si="305"/>
        <v>2006</v>
      </c>
      <c r="F18638" s="3" t="s">
        <v>3021</v>
      </c>
      <c r="G18638" s="6">
        <v>441</v>
      </c>
      <c r="H18638" s="5">
        <v>7248</v>
      </c>
    </row>
    <row r="18639" spans="2:8" ht="15" customHeight="1" x14ac:dyDescent="0.4">
      <c r="B18639" s="3" t="s">
        <v>7</v>
      </c>
      <c r="C18639" s="3" t="s">
        <v>3022</v>
      </c>
      <c r="D18639" s="4">
        <f>DATE(2006,9,19)</f>
        <v>38979</v>
      </c>
      <c r="E18639" s="5">
        <f t="shared" si="305"/>
        <v>2006</v>
      </c>
      <c r="F18639" s="3" t="s">
        <v>3021</v>
      </c>
      <c r="G18639" s="6">
        <v>441</v>
      </c>
      <c r="H18639" s="5">
        <v>7270</v>
      </c>
    </row>
    <row r="18640" spans="2:8" ht="15" customHeight="1" x14ac:dyDescent="0.4">
      <c r="B18640" s="3" t="s">
        <v>7</v>
      </c>
      <c r="C18640" s="3" t="s">
        <v>3022</v>
      </c>
      <c r="D18640" s="4">
        <f>DATE(2006,11,7)</f>
        <v>39028</v>
      </c>
      <c r="E18640" s="5">
        <f t="shared" si="305"/>
        <v>2006</v>
      </c>
      <c r="F18640" s="3" t="s">
        <v>3021</v>
      </c>
      <c r="G18640" s="6">
        <v>441</v>
      </c>
      <c r="H18640" s="5">
        <v>7478</v>
      </c>
    </row>
    <row r="18641" spans="2:8" ht="15" customHeight="1" x14ac:dyDescent="0.4">
      <c r="B18641" s="3" t="s">
        <v>7</v>
      </c>
      <c r="C18641" s="3" t="s">
        <v>3022</v>
      </c>
      <c r="D18641" s="4">
        <f>DATE(2007,3,23)</f>
        <v>39164</v>
      </c>
      <c r="E18641" s="5">
        <f t="shared" si="305"/>
        <v>2007</v>
      </c>
      <c r="F18641" s="3" t="s">
        <v>3021</v>
      </c>
      <c r="G18641" s="6">
        <v>313.8</v>
      </c>
      <c r="H18641" s="5">
        <v>8200</v>
      </c>
    </row>
    <row r="18642" spans="2:8" ht="15" customHeight="1" x14ac:dyDescent="0.4">
      <c r="B18642" s="3" t="s">
        <v>7</v>
      </c>
      <c r="C18642" s="3" t="s">
        <v>3022</v>
      </c>
      <c r="D18642" s="4">
        <f>DATE(2007,4,25)</f>
        <v>39197</v>
      </c>
      <c r="E18642" s="5">
        <f t="shared" si="305"/>
        <v>2007</v>
      </c>
      <c r="F18642" s="3" t="s">
        <v>3021</v>
      </c>
      <c r="G18642" s="6">
        <v>605</v>
      </c>
      <c r="H18642" s="5">
        <v>8415</v>
      </c>
    </row>
    <row r="18643" spans="2:8" ht="15" customHeight="1" x14ac:dyDescent="0.4">
      <c r="B18643" s="3" t="s">
        <v>7</v>
      </c>
      <c r="C18643" s="3" t="s">
        <v>3019</v>
      </c>
      <c r="D18643" s="4">
        <f>DATE(2007,5,1)</f>
        <v>39203</v>
      </c>
      <c r="E18643" s="5">
        <f t="shared" si="305"/>
        <v>2007</v>
      </c>
      <c r="F18643" s="3" t="s">
        <v>3021</v>
      </c>
      <c r="G18643" s="6">
        <v>176.4</v>
      </c>
      <c r="H18643" s="5">
        <v>8478</v>
      </c>
    </row>
    <row r="18644" spans="2:8" ht="15" customHeight="1" x14ac:dyDescent="0.4">
      <c r="B18644" s="3" t="s">
        <v>7</v>
      </c>
      <c r="C18644" s="3" t="s">
        <v>3022</v>
      </c>
      <c r="D18644" s="4">
        <f>DATE(2007,9,10)</f>
        <v>39335</v>
      </c>
      <c r="E18644" s="5">
        <f t="shared" si="305"/>
        <v>2007</v>
      </c>
      <c r="F18644" s="3" t="s">
        <v>3023</v>
      </c>
      <c r="G18644" s="6">
        <v>760</v>
      </c>
      <c r="H18644" s="5">
        <v>9144</v>
      </c>
    </row>
    <row r="18645" spans="2:8" ht="15" customHeight="1" x14ac:dyDescent="0.4">
      <c r="B18645" s="3" t="s">
        <v>7</v>
      </c>
      <c r="C18645" s="3" t="s">
        <v>3022</v>
      </c>
      <c r="D18645" s="4">
        <f>DATE(2007,9,13)</f>
        <v>39338</v>
      </c>
      <c r="E18645" s="5">
        <f t="shared" si="305"/>
        <v>2007</v>
      </c>
      <c r="F18645" s="3" t="s">
        <v>3023</v>
      </c>
      <c r="G18645" s="6">
        <v>760</v>
      </c>
      <c r="H18645" s="5">
        <v>9161</v>
      </c>
    </row>
    <row r="18646" spans="2:8" ht="15" customHeight="1" x14ac:dyDescent="0.4">
      <c r="B18646" s="3" t="s">
        <v>7</v>
      </c>
      <c r="C18646" s="3" t="s">
        <v>3022</v>
      </c>
      <c r="D18646" s="4">
        <f>DATE(2008,1,4)</f>
        <v>39451</v>
      </c>
      <c r="E18646" s="5">
        <f t="shared" si="305"/>
        <v>2008</v>
      </c>
      <c r="F18646" s="3" t="s">
        <v>3023</v>
      </c>
      <c r="G18646" s="6">
        <v>176.4</v>
      </c>
      <c r="H18646" s="5">
        <v>9649</v>
      </c>
    </row>
    <row r="18647" spans="2:8" ht="15" customHeight="1" x14ac:dyDescent="0.4">
      <c r="B18647" s="3" t="s">
        <v>7</v>
      </c>
      <c r="C18647" s="3" t="s">
        <v>3022</v>
      </c>
      <c r="D18647" s="4">
        <f>DATE(2008,11,4)</f>
        <v>39756</v>
      </c>
      <c r="E18647" s="5">
        <f t="shared" si="305"/>
        <v>2008</v>
      </c>
      <c r="F18647" s="3" t="s">
        <v>3023</v>
      </c>
      <c r="G18647" s="6">
        <v>616.45000000000005</v>
      </c>
      <c r="H18647" s="5">
        <v>11539</v>
      </c>
    </row>
    <row r="18648" spans="2:8" ht="15" customHeight="1" x14ac:dyDescent="0.4">
      <c r="B18648" s="3" t="s">
        <v>7</v>
      </c>
      <c r="C18648" s="3" t="s">
        <v>3022</v>
      </c>
      <c r="D18648" s="4">
        <f>DATE(2009,1,9)</f>
        <v>39822</v>
      </c>
      <c r="E18648" s="5">
        <f t="shared" si="305"/>
        <v>2009</v>
      </c>
      <c r="F18648" s="3" t="s">
        <v>3023</v>
      </c>
      <c r="G18648" s="6">
        <v>176.4</v>
      </c>
      <c r="H18648" s="5">
        <v>11754</v>
      </c>
    </row>
    <row r="18649" spans="2:8" ht="15" customHeight="1" x14ac:dyDescent="0.4">
      <c r="B18649" s="3" t="s">
        <v>7</v>
      </c>
      <c r="C18649" s="3" t="s">
        <v>3022</v>
      </c>
      <c r="D18649" s="4">
        <f>DATE(2009,1,20)</f>
        <v>39833</v>
      </c>
      <c r="E18649" s="5">
        <f t="shared" si="305"/>
        <v>2009</v>
      </c>
      <c r="F18649" s="3" t="s">
        <v>3023</v>
      </c>
      <c r="G18649" s="6">
        <v>176.4</v>
      </c>
      <c r="H18649" s="5">
        <v>11844</v>
      </c>
    </row>
    <row r="18650" spans="2:8" ht="15" customHeight="1" x14ac:dyDescent="0.4">
      <c r="B18650" s="3" t="s">
        <v>7</v>
      </c>
      <c r="C18650" s="3" t="s">
        <v>3022</v>
      </c>
      <c r="D18650" s="4">
        <f>DATE(2009,2,24)</f>
        <v>39868</v>
      </c>
      <c r="E18650" s="5">
        <f t="shared" si="305"/>
        <v>2009</v>
      </c>
      <c r="F18650" s="3" t="s">
        <v>3023</v>
      </c>
      <c r="G18650" s="6">
        <v>313.8</v>
      </c>
      <c r="H18650" s="5">
        <v>12056</v>
      </c>
    </row>
    <row r="18651" spans="2:8" ht="15" customHeight="1" x14ac:dyDescent="0.4">
      <c r="B18651" s="3" t="s">
        <v>7</v>
      </c>
      <c r="C18651" s="3" t="s">
        <v>3022</v>
      </c>
      <c r="D18651" s="4">
        <f>DATE(2009,3,25)</f>
        <v>39897</v>
      </c>
      <c r="E18651" s="5">
        <f t="shared" si="305"/>
        <v>2009</v>
      </c>
      <c r="F18651" s="3" t="s">
        <v>3023</v>
      </c>
      <c r="G18651" s="6">
        <v>930.11</v>
      </c>
      <c r="H18651" s="5">
        <v>12211</v>
      </c>
    </row>
    <row r="18652" spans="2:8" ht="15" customHeight="1" x14ac:dyDescent="0.4">
      <c r="B18652" s="3" t="s">
        <v>7</v>
      </c>
      <c r="C18652" s="3" t="s">
        <v>3022</v>
      </c>
      <c r="D18652" s="4">
        <f>DATE(2009,8,3)</f>
        <v>40028</v>
      </c>
      <c r="E18652" s="5">
        <f t="shared" si="305"/>
        <v>2009</v>
      </c>
      <c r="F18652" s="3" t="s">
        <v>3023</v>
      </c>
      <c r="G18652" s="6">
        <v>1247</v>
      </c>
      <c r="H18652" s="5">
        <v>12842</v>
      </c>
    </row>
    <row r="18653" spans="2:8" ht="15" customHeight="1" x14ac:dyDescent="0.4">
      <c r="B18653" s="3" t="s">
        <v>7</v>
      </c>
      <c r="C18653" s="3" t="s">
        <v>3022</v>
      </c>
      <c r="D18653" s="4">
        <f>DATE(2010,9,20)</f>
        <v>40441</v>
      </c>
      <c r="E18653" s="5">
        <f t="shared" si="305"/>
        <v>2010</v>
      </c>
      <c r="F18653" s="3" t="s">
        <v>3023</v>
      </c>
      <c r="G18653" s="6">
        <v>2156</v>
      </c>
      <c r="H18653" s="5">
        <v>14489</v>
      </c>
    </row>
    <row r="18654" spans="2:8" ht="15" customHeight="1" x14ac:dyDescent="0.4">
      <c r="B18654" s="3" t="s">
        <v>7</v>
      </c>
      <c r="C18654" s="3" t="s">
        <v>3022</v>
      </c>
      <c r="D18654" s="4">
        <f>DATE(2011,2,11)</f>
        <v>40585</v>
      </c>
      <c r="E18654" s="5">
        <f t="shared" si="305"/>
        <v>2011</v>
      </c>
      <c r="F18654" s="3" t="s">
        <v>3023</v>
      </c>
      <c r="G18654" s="6">
        <v>613</v>
      </c>
      <c r="H18654" s="5">
        <v>15004</v>
      </c>
    </row>
    <row r="18655" spans="2:8" ht="15" customHeight="1" x14ac:dyDescent="0.4">
      <c r="B18655" s="3" t="s">
        <v>7</v>
      </c>
      <c r="C18655" s="3" t="s">
        <v>3022</v>
      </c>
      <c r="D18655" s="4">
        <f>DATE(2011,9,26)</f>
        <v>40812</v>
      </c>
      <c r="E18655" s="5">
        <f t="shared" si="305"/>
        <v>2011</v>
      </c>
      <c r="F18655" s="3" t="s">
        <v>3023</v>
      </c>
      <c r="G18655" s="6">
        <v>1274.9100000000001</v>
      </c>
      <c r="H18655" s="5">
        <v>16031</v>
      </c>
    </row>
    <row r="18656" spans="2:8" ht="15" customHeight="1" x14ac:dyDescent="0.4">
      <c r="B18656" s="3" t="s">
        <v>7</v>
      </c>
      <c r="C18656" s="3" t="s">
        <v>3022</v>
      </c>
      <c r="D18656" s="4">
        <f>DATE(2011,9,30)</f>
        <v>40816</v>
      </c>
      <c r="E18656" s="5">
        <f t="shared" si="305"/>
        <v>2011</v>
      </c>
      <c r="F18656" s="3" t="s">
        <v>3023</v>
      </c>
      <c r="G18656" s="6">
        <v>325</v>
      </c>
      <c r="H18656" s="5">
        <v>16036</v>
      </c>
    </row>
    <row r="18657" spans="2:8" ht="15" customHeight="1" x14ac:dyDescent="0.4">
      <c r="B18657" s="3" t="s">
        <v>7</v>
      </c>
      <c r="C18657" s="3" t="s">
        <v>3022</v>
      </c>
      <c r="D18657" s="4">
        <f>DATE(2012,1,11)</f>
        <v>40919</v>
      </c>
      <c r="E18657" s="5">
        <f t="shared" si="305"/>
        <v>2012</v>
      </c>
      <c r="F18657" s="3" t="s">
        <v>3023</v>
      </c>
      <c r="G18657" s="6">
        <v>300</v>
      </c>
      <c r="H18657" s="5">
        <v>16367</v>
      </c>
    </row>
    <row r="18658" spans="2:8" ht="15" customHeight="1" x14ac:dyDescent="0.4">
      <c r="B18658" s="3" t="s">
        <v>7</v>
      </c>
      <c r="C18658" s="3" t="s">
        <v>3022</v>
      </c>
      <c r="D18658" s="4">
        <f>DATE(2012,3,8)</f>
        <v>40976</v>
      </c>
      <c r="E18658" s="5">
        <f t="shared" si="305"/>
        <v>2012</v>
      </c>
      <c r="F18658" s="3" t="s">
        <v>3023</v>
      </c>
      <c r="G18658" s="6">
        <v>422</v>
      </c>
      <c r="H18658" s="5">
        <v>16713</v>
      </c>
    </row>
    <row r="18659" spans="2:8" ht="15" customHeight="1" x14ac:dyDescent="0.4">
      <c r="B18659" s="3" t="s">
        <v>7</v>
      </c>
      <c r="C18659" s="3" t="s">
        <v>3022</v>
      </c>
      <c r="D18659" s="4">
        <f>DATE(2012,10,2)</f>
        <v>41184</v>
      </c>
      <c r="E18659" s="5">
        <f t="shared" si="305"/>
        <v>2012</v>
      </c>
      <c r="F18659" s="3" t="s">
        <v>3023</v>
      </c>
      <c r="G18659" s="6">
        <v>313</v>
      </c>
      <c r="H18659" s="5">
        <v>17641</v>
      </c>
    </row>
    <row r="18660" spans="2:8" ht="15" customHeight="1" x14ac:dyDescent="0.4">
      <c r="B18660" s="3" t="s">
        <v>7</v>
      </c>
      <c r="C18660" s="3" t="s">
        <v>3022</v>
      </c>
      <c r="D18660" s="4">
        <f>DATE(2014,4,24)</f>
        <v>41753</v>
      </c>
      <c r="E18660" s="5">
        <f t="shared" si="305"/>
        <v>2014</v>
      </c>
      <c r="F18660" s="3" t="s">
        <v>3023</v>
      </c>
      <c r="G18660" s="6">
        <v>600</v>
      </c>
      <c r="H18660" s="5">
        <v>19899</v>
      </c>
    </row>
    <row r="18661" spans="2:8" ht="15" customHeight="1" x14ac:dyDescent="0.4">
      <c r="B18661" s="3" t="s">
        <v>16</v>
      </c>
      <c r="C18661" s="3" t="s">
        <v>3022</v>
      </c>
      <c r="D18661" s="4">
        <f>DATE(2010,9,24)</f>
        <v>40445</v>
      </c>
      <c r="E18661" s="5">
        <f t="shared" si="305"/>
        <v>2010</v>
      </c>
      <c r="F18661" s="3" t="s">
        <v>3023</v>
      </c>
      <c r="G18661" s="6">
        <v>1235</v>
      </c>
      <c r="H18661" s="5">
        <v>14539</v>
      </c>
    </row>
    <row r="18662" spans="2:8" ht="15" customHeight="1" x14ac:dyDescent="0.4">
      <c r="B18662" s="3" t="s">
        <v>16</v>
      </c>
      <c r="C18662" s="3" t="s">
        <v>3022</v>
      </c>
      <c r="D18662" s="4">
        <f>DATE(2012,2,14)</f>
        <v>40953</v>
      </c>
      <c r="E18662" s="5">
        <f t="shared" si="305"/>
        <v>2012</v>
      </c>
      <c r="F18662" s="3" t="s">
        <v>3023</v>
      </c>
      <c r="G18662" s="6">
        <v>1235</v>
      </c>
      <c r="H18662" s="5">
        <v>16570</v>
      </c>
    </row>
    <row r="18663" spans="2:8" ht="15" customHeight="1" x14ac:dyDescent="0.4">
      <c r="B18663" t="s">
        <v>7</v>
      </c>
      <c r="C18663" t="s">
        <v>3024</v>
      </c>
      <c r="D18663" s="7">
        <f>DATE(2003,1,29)</f>
        <v>37650</v>
      </c>
      <c r="E18663" s="8">
        <f t="shared" si="305"/>
        <v>2003</v>
      </c>
      <c r="F18663" t="s">
        <v>3025</v>
      </c>
      <c r="G18663" s="9">
        <v>6221.42</v>
      </c>
      <c r="H18663" s="8">
        <v>86</v>
      </c>
    </row>
    <row r="18664" spans="2:8" ht="15" customHeight="1" x14ac:dyDescent="0.4">
      <c r="B18664" t="s">
        <v>7</v>
      </c>
      <c r="C18664" t="s">
        <v>3024</v>
      </c>
      <c r="D18664" s="7">
        <f>DATE(2003,5,10)</f>
        <v>37751</v>
      </c>
      <c r="E18664" s="8">
        <f t="shared" si="305"/>
        <v>2003</v>
      </c>
      <c r="F18664" t="s">
        <v>3025</v>
      </c>
      <c r="G18664" s="9">
        <v>9665</v>
      </c>
      <c r="H18664" s="8">
        <v>532</v>
      </c>
    </row>
    <row r="18665" spans="2:8" ht="15" customHeight="1" x14ac:dyDescent="0.4">
      <c r="B18665" t="s">
        <v>7</v>
      </c>
      <c r="C18665" t="s">
        <v>3024</v>
      </c>
      <c r="D18665" s="7">
        <f>DATE(2003,8,3)</f>
        <v>37836</v>
      </c>
      <c r="E18665" s="8">
        <f t="shared" si="305"/>
        <v>2003</v>
      </c>
      <c r="F18665" t="s">
        <v>3025</v>
      </c>
      <c r="G18665" s="9">
        <v>16780</v>
      </c>
      <c r="H18665" s="8">
        <v>775</v>
      </c>
    </row>
    <row r="18666" spans="2:8" ht="15" customHeight="1" x14ac:dyDescent="0.4">
      <c r="B18666" t="s">
        <v>7</v>
      </c>
      <c r="C18666" t="s">
        <v>3024</v>
      </c>
      <c r="D18666" s="7">
        <f>DATE(2004,3,18)</f>
        <v>38064</v>
      </c>
      <c r="E18666" s="8">
        <f t="shared" si="305"/>
        <v>2004</v>
      </c>
      <c r="F18666" t="s">
        <v>3025</v>
      </c>
      <c r="G18666" s="9">
        <v>4288.45</v>
      </c>
      <c r="H18666" s="8">
        <v>1524</v>
      </c>
    </row>
    <row r="18667" spans="2:8" ht="15" customHeight="1" x14ac:dyDescent="0.4">
      <c r="B18667" t="s">
        <v>7</v>
      </c>
      <c r="C18667" t="s">
        <v>3024</v>
      </c>
      <c r="D18667" s="7">
        <f>DATE(2004,6,12)</f>
        <v>38150</v>
      </c>
      <c r="E18667" s="8">
        <f t="shared" si="305"/>
        <v>2004</v>
      </c>
      <c r="F18667" t="s">
        <v>3025</v>
      </c>
      <c r="G18667" s="9">
        <v>13750</v>
      </c>
      <c r="H18667" s="8">
        <v>1716</v>
      </c>
    </row>
    <row r="18668" spans="2:8" ht="15" customHeight="1" x14ac:dyDescent="0.4">
      <c r="B18668" t="s">
        <v>7</v>
      </c>
      <c r="C18668" t="s">
        <v>3024</v>
      </c>
      <c r="D18668" s="7">
        <f>DATE(2004,8,4)</f>
        <v>38203</v>
      </c>
      <c r="E18668" s="8">
        <f t="shared" si="305"/>
        <v>2004</v>
      </c>
      <c r="F18668" t="s">
        <v>3025</v>
      </c>
      <c r="G18668" s="9">
        <v>4407.75</v>
      </c>
      <c r="H18668" s="8">
        <v>2028</v>
      </c>
    </row>
    <row r="18669" spans="2:8" ht="15" customHeight="1" x14ac:dyDescent="0.4">
      <c r="B18669" t="s">
        <v>7</v>
      </c>
      <c r="C18669" t="s">
        <v>3024</v>
      </c>
      <c r="D18669" s="7">
        <f>DATE(2005,6,18)</f>
        <v>38521</v>
      </c>
      <c r="E18669" s="8">
        <f t="shared" si="305"/>
        <v>2005</v>
      </c>
      <c r="F18669" t="s">
        <v>3025</v>
      </c>
      <c r="G18669" s="9">
        <v>18813.34</v>
      </c>
      <c r="H18669" s="8">
        <v>3296</v>
      </c>
    </row>
    <row r="18670" spans="2:8" ht="15" customHeight="1" x14ac:dyDescent="0.4">
      <c r="B18670" t="s">
        <v>7</v>
      </c>
      <c r="C18670" t="s">
        <v>3024</v>
      </c>
      <c r="D18670" s="7">
        <f>DATE(2006,3,30)</f>
        <v>38806</v>
      </c>
      <c r="E18670" s="8">
        <f t="shared" si="305"/>
        <v>2006</v>
      </c>
      <c r="F18670" t="s">
        <v>3025</v>
      </c>
      <c r="G18670" s="9">
        <v>9725</v>
      </c>
      <c r="H18670" s="8">
        <v>4397</v>
      </c>
    </row>
    <row r="18671" spans="2:8" ht="15" customHeight="1" x14ac:dyDescent="0.4">
      <c r="B18671" t="s">
        <v>7</v>
      </c>
      <c r="C18671" t="s">
        <v>3024</v>
      </c>
      <c r="D18671" s="7">
        <f>DATE(2006,5,25)</f>
        <v>38862</v>
      </c>
      <c r="E18671" s="8">
        <f t="shared" si="305"/>
        <v>2006</v>
      </c>
      <c r="F18671" t="s">
        <v>3025</v>
      </c>
      <c r="G18671" s="9">
        <v>18734</v>
      </c>
      <c r="H18671" s="8">
        <v>4200</v>
      </c>
    </row>
    <row r="18672" spans="2:8" ht="15" customHeight="1" x14ac:dyDescent="0.4">
      <c r="B18672" t="s">
        <v>7</v>
      </c>
      <c r="C18672" t="s">
        <v>3024</v>
      </c>
      <c r="D18672" s="7">
        <f>DATE(2006,6,9)</f>
        <v>38877</v>
      </c>
      <c r="E18672" s="8">
        <f t="shared" si="305"/>
        <v>2006</v>
      </c>
      <c r="F18672" t="s">
        <v>3025</v>
      </c>
      <c r="G18672" s="9">
        <v>9840</v>
      </c>
      <c r="H18672" s="8">
        <v>4548</v>
      </c>
    </row>
    <row r="18673" spans="2:8" ht="15" customHeight="1" x14ac:dyDescent="0.4">
      <c r="B18673" t="s">
        <v>7</v>
      </c>
      <c r="C18673" t="s">
        <v>3024</v>
      </c>
      <c r="D18673" s="7">
        <f>DATE(2006,7,7)</f>
        <v>38905</v>
      </c>
      <c r="E18673" s="8">
        <f t="shared" si="305"/>
        <v>2006</v>
      </c>
      <c r="F18673" t="s">
        <v>3025</v>
      </c>
      <c r="G18673" s="9">
        <v>3104.51</v>
      </c>
      <c r="H18673" s="8">
        <v>4766</v>
      </c>
    </row>
    <row r="18674" spans="2:8" ht="15" customHeight="1" x14ac:dyDescent="0.4">
      <c r="B18674" t="s">
        <v>7</v>
      </c>
      <c r="C18674" t="s">
        <v>3024</v>
      </c>
      <c r="D18674" s="7">
        <f>DATE(2007,3,16)</f>
        <v>39157</v>
      </c>
      <c r="E18674" s="8">
        <f t="shared" si="305"/>
        <v>2007</v>
      </c>
      <c r="F18674" t="s">
        <v>3025</v>
      </c>
      <c r="G18674" s="9">
        <v>9200</v>
      </c>
      <c r="H18674" s="8">
        <v>5603</v>
      </c>
    </row>
    <row r="18675" spans="2:8" ht="15" customHeight="1" x14ac:dyDescent="0.4">
      <c r="B18675" t="s">
        <v>7</v>
      </c>
      <c r="C18675" t="s">
        <v>3024</v>
      </c>
      <c r="D18675" s="7">
        <f>DATE(2007,5,9)</f>
        <v>39211</v>
      </c>
      <c r="E18675" s="8">
        <f t="shared" si="305"/>
        <v>2007</v>
      </c>
      <c r="F18675" t="s">
        <v>3025</v>
      </c>
      <c r="G18675" s="9">
        <v>12310.24</v>
      </c>
      <c r="H18675" s="8">
        <v>5855</v>
      </c>
    </row>
    <row r="18676" spans="2:8" ht="15" customHeight="1" x14ac:dyDescent="0.4">
      <c r="B18676" t="s">
        <v>7</v>
      </c>
      <c r="C18676" t="s">
        <v>3024</v>
      </c>
      <c r="D18676" s="7">
        <f>DATE(2007,5,9)</f>
        <v>39211</v>
      </c>
      <c r="E18676" s="8">
        <f t="shared" si="305"/>
        <v>2007</v>
      </c>
      <c r="F18676" t="s">
        <v>3025</v>
      </c>
      <c r="G18676" s="9">
        <v>28000</v>
      </c>
      <c r="H18676" s="8">
        <v>5931</v>
      </c>
    </row>
    <row r="18677" spans="2:8" ht="15" customHeight="1" x14ac:dyDescent="0.4">
      <c r="B18677" t="s">
        <v>7</v>
      </c>
      <c r="C18677" t="s">
        <v>3024</v>
      </c>
      <c r="D18677" s="7">
        <f>DATE(2007,10,9)</f>
        <v>39364</v>
      </c>
      <c r="E18677" s="8">
        <f t="shared" si="305"/>
        <v>2007</v>
      </c>
      <c r="F18677" t="s">
        <v>3025</v>
      </c>
      <c r="G18677" s="9">
        <v>12730</v>
      </c>
      <c r="H18677" s="8">
        <v>6366</v>
      </c>
    </row>
    <row r="18678" spans="2:8" ht="15" customHeight="1" x14ac:dyDescent="0.4">
      <c r="B18678" t="s">
        <v>7</v>
      </c>
      <c r="C18678" t="s">
        <v>3024</v>
      </c>
      <c r="D18678" s="7">
        <f>DATE(2007,10,8)</f>
        <v>39363</v>
      </c>
      <c r="E18678" s="8">
        <f t="shared" si="305"/>
        <v>2007</v>
      </c>
      <c r="F18678" t="s">
        <v>3025</v>
      </c>
      <c r="G18678" s="9">
        <v>2951.2</v>
      </c>
      <c r="H18678" s="8">
        <v>6381</v>
      </c>
    </row>
    <row r="18679" spans="2:8" ht="15" customHeight="1" x14ac:dyDescent="0.4">
      <c r="B18679" t="s">
        <v>7</v>
      </c>
      <c r="C18679" t="s">
        <v>3024</v>
      </c>
      <c r="D18679" s="7">
        <f>DATE(2008,5,31)</f>
        <v>39599</v>
      </c>
      <c r="E18679" s="8">
        <f t="shared" si="305"/>
        <v>2008</v>
      </c>
      <c r="F18679" t="s">
        <v>3025</v>
      </c>
      <c r="G18679" s="9">
        <v>14864.18</v>
      </c>
      <c r="H18679" s="8">
        <v>7419</v>
      </c>
    </row>
    <row r="18680" spans="2:8" ht="15" customHeight="1" x14ac:dyDescent="0.4">
      <c r="B18680" t="s">
        <v>7</v>
      </c>
      <c r="C18680" t="s">
        <v>3024</v>
      </c>
      <c r="D18680" s="7">
        <f>DATE(2008,6,21)</f>
        <v>39620</v>
      </c>
      <c r="E18680" s="8">
        <f t="shared" si="305"/>
        <v>2008</v>
      </c>
      <c r="F18680" t="s">
        <v>3025</v>
      </c>
      <c r="G18680" s="9">
        <v>19102.5</v>
      </c>
      <c r="H18680" s="8">
        <v>7532</v>
      </c>
    </row>
    <row r="18681" spans="2:8" ht="15" customHeight="1" x14ac:dyDescent="0.4">
      <c r="B18681" t="s">
        <v>7</v>
      </c>
      <c r="C18681" t="s">
        <v>3024</v>
      </c>
      <c r="D18681" s="7">
        <f>DATE(2009,8,28)</f>
        <v>40053</v>
      </c>
      <c r="E18681" s="8">
        <f t="shared" si="305"/>
        <v>2009</v>
      </c>
      <c r="F18681" t="s">
        <v>3025</v>
      </c>
      <c r="G18681" s="9">
        <v>12980</v>
      </c>
      <c r="H18681" s="8">
        <v>9010</v>
      </c>
    </row>
    <row r="18682" spans="2:8" ht="15" customHeight="1" x14ac:dyDescent="0.4">
      <c r="B18682" t="s">
        <v>7</v>
      </c>
      <c r="C18682" t="s">
        <v>3024</v>
      </c>
      <c r="D18682" s="7">
        <f>DATE(2009,9,22)</f>
        <v>40078</v>
      </c>
      <c r="E18682" s="8">
        <f t="shared" si="305"/>
        <v>2009</v>
      </c>
      <c r="F18682" t="s">
        <v>3025</v>
      </c>
      <c r="G18682" s="9">
        <v>12980</v>
      </c>
      <c r="H18682" s="8">
        <v>9081</v>
      </c>
    </row>
    <row r="18683" spans="2:8" ht="15" customHeight="1" x14ac:dyDescent="0.4">
      <c r="B18683" t="s">
        <v>7</v>
      </c>
      <c r="C18683" t="s">
        <v>3024</v>
      </c>
      <c r="D18683" s="7">
        <f>DATE(2009,9,28)</f>
        <v>40084</v>
      </c>
      <c r="E18683" s="8">
        <f t="shared" si="305"/>
        <v>2009</v>
      </c>
      <c r="F18683" t="s">
        <v>3025</v>
      </c>
      <c r="G18683" s="9">
        <v>14820</v>
      </c>
      <c r="H18683" s="8">
        <v>9090</v>
      </c>
    </row>
    <row r="18684" spans="2:8" ht="15" customHeight="1" x14ac:dyDescent="0.4">
      <c r="B18684" t="s">
        <v>7</v>
      </c>
      <c r="C18684" t="s">
        <v>3024</v>
      </c>
      <c r="D18684" s="7">
        <f>DATE(2009,11,10)</f>
        <v>40127</v>
      </c>
      <c r="E18684" s="8">
        <f t="shared" si="305"/>
        <v>2009</v>
      </c>
      <c r="F18684" t="s">
        <v>3025</v>
      </c>
      <c r="G18684" s="9">
        <v>14820</v>
      </c>
      <c r="H18684" s="8">
        <v>9194</v>
      </c>
    </row>
    <row r="18685" spans="2:8" ht="15" customHeight="1" x14ac:dyDescent="0.4">
      <c r="B18685" t="s">
        <v>7</v>
      </c>
      <c r="C18685" t="s">
        <v>3024</v>
      </c>
      <c r="D18685" s="7">
        <f>DATE(2010,7,28)</f>
        <v>40387</v>
      </c>
      <c r="E18685" s="8">
        <f t="shared" si="305"/>
        <v>2010</v>
      </c>
      <c r="F18685" t="s">
        <v>3025</v>
      </c>
      <c r="G18685" s="9">
        <v>16446</v>
      </c>
      <c r="H18685" s="8">
        <v>9997</v>
      </c>
    </row>
    <row r="18686" spans="2:8" ht="15" customHeight="1" x14ac:dyDescent="0.4">
      <c r="B18686" t="s">
        <v>7</v>
      </c>
      <c r="C18686" t="s">
        <v>3024</v>
      </c>
      <c r="D18686" s="7">
        <f>DATE(2010,7,28)</f>
        <v>40387</v>
      </c>
      <c r="E18686" s="8">
        <f t="shared" si="305"/>
        <v>2010</v>
      </c>
      <c r="F18686" t="s">
        <v>3025</v>
      </c>
      <c r="G18686" s="9">
        <v>14200</v>
      </c>
      <c r="H18686" s="8">
        <v>9993</v>
      </c>
    </row>
    <row r="18687" spans="2:8" ht="15" customHeight="1" x14ac:dyDescent="0.4">
      <c r="B18687" t="s">
        <v>7</v>
      </c>
      <c r="C18687" t="s">
        <v>3024</v>
      </c>
      <c r="D18687" s="7">
        <f>DATE(2010,8,10)</f>
        <v>40400</v>
      </c>
      <c r="E18687" s="8">
        <f t="shared" si="305"/>
        <v>2010</v>
      </c>
      <c r="F18687" t="s">
        <v>3025</v>
      </c>
      <c r="G18687" s="9">
        <v>32900</v>
      </c>
      <c r="H18687" s="8">
        <v>10031</v>
      </c>
    </row>
    <row r="18688" spans="2:8" ht="15" customHeight="1" x14ac:dyDescent="0.4">
      <c r="B18688" t="s">
        <v>7</v>
      </c>
      <c r="C18688" t="s">
        <v>3024</v>
      </c>
      <c r="D18688" s="7">
        <f>DATE(2010,10,12)</f>
        <v>40463</v>
      </c>
      <c r="E18688" s="8">
        <f t="shared" si="305"/>
        <v>2010</v>
      </c>
      <c r="F18688" t="s">
        <v>3025</v>
      </c>
      <c r="G18688" s="9">
        <v>15420</v>
      </c>
      <c r="H18688" s="8">
        <v>10162</v>
      </c>
    </row>
    <row r="18689" spans="2:8" ht="15" customHeight="1" x14ac:dyDescent="0.4">
      <c r="B18689" t="s">
        <v>7</v>
      </c>
      <c r="C18689" t="s">
        <v>3024</v>
      </c>
      <c r="D18689" s="7">
        <f>DATE(2010,11,23)</f>
        <v>40505</v>
      </c>
      <c r="E18689" s="8">
        <f t="shared" si="305"/>
        <v>2010</v>
      </c>
      <c r="F18689" t="s">
        <v>3025</v>
      </c>
      <c r="G18689" s="9">
        <v>15420</v>
      </c>
      <c r="H18689" s="8">
        <v>10245</v>
      </c>
    </row>
    <row r="18690" spans="2:8" ht="15" customHeight="1" x14ac:dyDescent="0.4">
      <c r="B18690" t="s">
        <v>7</v>
      </c>
      <c r="C18690" t="s">
        <v>3024</v>
      </c>
      <c r="D18690" s="7">
        <f>DATE(2010,9,23)</f>
        <v>40444</v>
      </c>
      <c r="E18690" s="8">
        <f t="shared" si="305"/>
        <v>2010</v>
      </c>
      <c r="F18690" t="s">
        <v>3025</v>
      </c>
      <c r="G18690" s="9">
        <v>6623.28</v>
      </c>
      <c r="H18690" s="8">
        <v>10126</v>
      </c>
    </row>
    <row r="18691" spans="2:8" ht="15" customHeight="1" x14ac:dyDescent="0.4">
      <c r="B18691" s="3" t="s">
        <v>7</v>
      </c>
      <c r="C18691" s="3" t="s">
        <v>3024</v>
      </c>
      <c r="D18691" s="4">
        <f>DATE(2006,3,30)</f>
        <v>38806</v>
      </c>
      <c r="E18691" s="5">
        <f t="shared" ref="E18691:E18754" si="306">YEAR(D18691)</f>
        <v>2006</v>
      </c>
      <c r="F18691" s="3" t="s">
        <v>3025</v>
      </c>
      <c r="G18691" s="6">
        <v>3416.2</v>
      </c>
      <c r="H18691" s="5">
        <v>6385</v>
      </c>
    </row>
    <row r="18692" spans="2:8" ht="15" customHeight="1" x14ac:dyDescent="0.4">
      <c r="B18692" s="3" t="s">
        <v>7</v>
      </c>
      <c r="C18692" s="3" t="s">
        <v>3024</v>
      </c>
      <c r="D18692" s="4">
        <f>DATE(2006,5,18)</f>
        <v>38855</v>
      </c>
      <c r="E18692" s="5">
        <f t="shared" si="306"/>
        <v>2006</v>
      </c>
      <c r="F18692" s="3" t="s">
        <v>3025</v>
      </c>
      <c r="G18692" s="6">
        <v>3416.2</v>
      </c>
      <c r="H18692" s="5">
        <v>6621</v>
      </c>
    </row>
    <row r="18693" spans="2:8" ht="15" customHeight="1" x14ac:dyDescent="0.4">
      <c r="B18693" s="3" t="s">
        <v>7</v>
      </c>
      <c r="C18693" s="3" t="s">
        <v>3024</v>
      </c>
      <c r="D18693" s="4">
        <f>DATE(2006,5,12)</f>
        <v>38849</v>
      </c>
      <c r="E18693" s="5">
        <f t="shared" si="306"/>
        <v>2006</v>
      </c>
      <c r="F18693" s="3" t="s">
        <v>3025</v>
      </c>
      <c r="G18693" s="6">
        <v>7582.6</v>
      </c>
      <c r="H18693" s="5">
        <v>6113</v>
      </c>
    </row>
    <row r="18694" spans="2:8" ht="15" customHeight="1" x14ac:dyDescent="0.4">
      <c r="B18694" s="3" t="s">
        <v>7</v>
      </c>
      <c r="C18694" s="3" t="s">
        <v>3024</v>
      </c>
      <c r="D18694" s="4">
        <f>DATE(2010,8,23)</f>
        <v>40413</v>
      </c>
      <c r="E18694" s="5">
        <f t="shared" si="306"/>
        <v>2010</v>
      </c>
      <c r="F18694" s="3" t="s">
        <v>3025</v>
      </c>
      <c r="G18694" s="6">
        <v>16400.8</v>
      </c>
      <c r="H18694" s="5">
        <v>14358</v>
      </c>
    </row>
    <row r="18695" spans="2:8" ht="15" customHeight="1" x14ac:dyDescent="0.4">
      <c r="B18695" t="s">
        <v>7</v>
      </c>
      <c r="C18695" t="s">
        <v>3026</v>
      </c>
      <c r="D18695" s="7">
        <f>DATE(2016,4,8)</f>
        <v>42468</v>
      </c>
      <c r="E18695" s="8">
        <f t="shared" si="306"/>
        <v>2016</v>
      </c>
      <c r="F18695" t="s">
        <v>3027</v>
      </c>
      <c r="G18695" s="9">
        <v>21115</v>
      </c>
      <c r="H18695" s="8">
        <v>22587</v>
      </c>
    </row>
    <row r="18696" spans="2:8" ht="15" customHeight="1" x14ac:dyDescent="0.4">
      <c r="B18696" t="s">
        <v>7</v>
      </c>
      <c r="C18696" t="s">
        <v>3026</v>
      </c>
      <c r="D18696" s="7">
        <f>DATE(2016,9,16)</f>
        <v>42629</v>
      </c>
      <c r="E18696" s="8">
        <f t="shared" si="306"/>
        <v>2016</v>
      </c>
      <c r="F18696" t="s">
        <v>3027</v>
      </c>
      <c r="G18696" s="9">
        <v>12580</v>
      </c>
      <c r="H18696" s="8">
        <v>23259</v>
      </c>
    </row>
    <row r="18697" spans="2:8" ht="15" customHeight="1" x14ac:dyDescent="0.4">
      <c r="B18697" t="s">
        <v>7</v>
      </c>
      <c r="C18697" t="s">
        <v>3026</v>
      </c>
      <c r="D18697" s="7">
        <f>DATE(2016,9,16)</f>
        <v>42629</v>
      </c>
      <c r="E18697" s="8">
        <f t="shared" si="306"/>
        <v>2016</v>
      </c>
      <c r="F18697" t="s">
        <v>3027</v>
      </c>
      <c r="G18697" s="9">
        <v>5179</v>
      </c>
      <c r="H18697" s="8">
        <v>23264</v>
      </c>
    </row>
    <row r="18698" spans="2:8" ht="15" customHeight="1" x14ac:dyDescent="0.4">
      <c r="B18698" t="s">
        <v>7</v>
      </c>
      <c r="C18698" t="s">
        <v>3026</v>
      </c>
      <c r="D18698" s="7">
        <f>DATE(2017,2,1)</f>
        <v>42767</v>
      </c>
      <c r="E18698" s="8">
        <f t="shared" si="306"/>
        <v>2017</v>
      </c>
      <c r="F18698" t="s">
        <v>3027</v>
      </c>
      <c r="G18698" s="9">
        <v>18150</v>
      </c>
      <c r="H18698" s="8">
        <v>23867</v>
      </c>
    </row>
    <row r="18699" spans="2:8" ht="15" customHeight="1" x14ac:dyDescent="0.4">
      <c r="B18699" t="s">
        <v>7</v>
      </c>
      <c r="C18699" t="s">
        <v>3026</v>
      </c>
      <c r="D18699" s="7">
        <f>DATE(2017,5,25)</f>
        <v>42880</v>
      </c>
      <c r="E18699" s="8">
        <f t="shared" si="306"/>
        <v>2017</v>
      </c>
      <c r="F18699" t="s">
        <v>3027</v>
      </c>
      <c r="G18699" s="9">
        <v>11702.49</v>
      </c>
      <c r="H18699" s="8">
        <v>24809</v>
      </c>
    </row>
    <row r="18700" spans="2:8" ht="15" customHeight="1" x14ac:dyDescent="0.4">
      <c r="B18700" t="s">
        <v>7</v>
      </c>
      <c r="C18700" t="s">
        <v>3026</v>
      </c>
      <c r="D18700" s="7">
        <f>DATE(2018,1,15)</f>
        <v>43115</v>
      </c>
      <c r="E18700" s="8">
        <f t="shared" si="306"/>
        <v>2018</v>
      </c>
      <c r="F18700" t="s">
        <v>3027</v>
      </c>
      <c r="G18700" s="9">
        <v>14439.83</v>
      </c>
      <c r="H18700" s="8">
        <v>26089</v>
      </c>
    </row>
    <row r="18701" spans="2:8" ht="15" customHeight="1" x14ac:dyDescent="0.4">
      <c r="B18701" t="s">
        <v>7</v>
      </c>
      <c r="C18701" t="s">
        <v>3026</v>
      </c>
      <c r="D18701" s="7">
        <f>DATE(2018,5,25)</f>
        <v>43245</v>
      </c>
      <c r="E18701" s="8">
        <f t="shared" si="306"/>
        <v>2018</v>
      </c>
      <c r="F18701" t="s">
        <v>3027</v>
      </c>
      <c r="G18701" s="9">
        <v>8350</v>
      </c>
      <c r="H18701" s="8">
        <v>27050</v>
      </c>
    </row>
    <row r="18702" spans="2:8" ht="15" customHeight="1" x14ac:dyDescent="0.4">
      <c r="B18702" t="s">
        <v>7</v>
      </c>
      <c r="C18702" t="s">
        <v>3026</v>
      </c>
      <c r="D18702" s="7">
        <f>DATE(2018,6,1)</f>
        <v>43252</v>
      </c>
      <c r="E18702" s="8">
        <f t="shared" si="306"/>
        <v>2018</v>
      </c>
      <c r="F18702" t="s">
        <v>3027</v>
      </c>
      <c r="G18702" s="9">
        <v>10954</v>
      </c>
      <c r="H18702" s="8">
        <v>27052</v>
      </c>
    </row>
    <row r="18703" spans="2:8" ht="15" customHeight="1" x14ac:dyDescent="0.4">
      <c r="B18703" t="s">
        <v>7</v>
      </c>
      <c r="C18703" t="s">
        <v>3026</v>
      </c>
      <c r="D18703" s="7">
        <f>DATE(2017,2,1)</f>
        <v>42767</v>
      </c>
      <c r="E18703" s="8">
        <f t="shared" si="306"/>
        <v>2017</v>
      </c>
      <c r="F18703" t="s">
        <v>3027</v>
      </c>
      <c r="G18703" s="9">
        <v>9099.42</v>
      </c>
      <c r="H18703" s="8">
        <v>24110</v>
      </c>
    </row>
    <row r="18704" spans="2:8" ht="15" customHeight="1" x14ac:dyDescent="0.4">
      <c r="B18704" t="s">
        <v>7</v>
      </c>
      <c r="C18704" t="s">
        <v>3026</v>
      </c>
      <c r="D18704" s="7">
        <f>DATE(2015,9,24)</f>
        <v>42271</v>
      </c>
      <c r="E18704" s="8">
        <f t="shared" si="306"/>
        <v>2015</v>
      </c>
      <c r="F18704" t="s">
        <v>3027</v>
      </c>
      <c r="G18704" s="9">
        <v>5925.75</v>
      </c>
      <c r="H18704" s="8">
        <v>21101</v>
      </c>
    </row>
    <row r="18705" spans="2:8" ht="15" customHeight="1" x14ac:dyDescent="0.4">
      <c r="B18705" t="s">
        <v>7</v>
      </c>
      <c r="C18705" t="s">
        <v>3026</v>
      </c>
      <c r="D18705" s="7">
        <f>DATE(2016,12,13)</f>
        <v>42717</v>
      </c>
      <c r="E18705" s="8">
        <f t="shared" si="306"/>
        <v>2016</v>
      </c>
      <c r="F18705" t="s">
        <v>3027</v>
      </c>
      <c r="G18705" s="9">
        <v>8474.5499999999993</v>
      </c>
      <c r="H18705" s="8">
        <v>23895</v>
      </c>
    </row>
    <row r="18706" spans="2:8" ht="15" customHeight="1" x14ac:dyDescent="0.4">
      <c r="B18706" t="s">
        <v>7</v>
      </c>
      <c r="C18706" t="s">
        <v>3026</v>
      </c>
      <c r="D18706" s="7">
        <f>DATE(2007,7,18)</f>
        <v>39281</v>
      </c>
      <c r="E18706" s="8">
        <f t="shared" si="306"/>
        <v>2007</v>
      </c>
      <c r="F18706" t="s">
        <v>3027</v>
      </c>
      <c r="G18706" s="9">
        <v>4413.3900000000003</v>
      </c>
      <c r="H18706" s="8">
        <v>6145</v>
      </c>
    </row>
    <row r="18707" spans="2:8" ht="15" customHeight="1" x14ac:dyDescent="0.4">
      <c r="B18707" t="s">
        <v>7</v>
      </c>
      <c r="C18707" t="s">
        <v>3026</v>
      </c>
      <c r="D18707" s="7">
        <f>DATE(2008,2,8)</f>
        <v>39486</v>
      </c>
      <c r="E18707" s="8">
        <f t="shared" si="306"/>
        <v>2008</v>
      </c>
      <c r="F18707" t="s">
        <v>3027</v>
      </c>
      <c r="G18707" s="9">
        <v>4303.6000000000004</v>
      </c>
      <c r="H18707" s="8">
        <v>6869</v>
      </c>
    </row>
    <row r="18708" spans="2:8" ht="15" customHeight="1" x14ac:dyDescent="0.4">
      <c r="B18708" t="s">
        <v>7</v>
      </c>
      <c r="C18708" t="s">
        <v>3026</v>
      </c>
      <c r="D18708" s="7">
        <f>DATE(2011,12,9)</f>
        <v>40886</v>
      </c>
      <c r="E18708" s="8">
        <f t="shared" si="306"/>
        <v>2011</v>
      </c>
      <c r="F18708" t="s">
        <v>3027</v>
      </c>
      <c r="G18708" s="9">
        <v>12253.92</v>
      </c>
      <c r="H18708" s="8">
        <v>11178</v>
      </c>
    </row>
    <row r="18709" spans="2:8" ht="15" customHeight="1" x14ac:dyDescent="0.4">
      <c r="B18709" t="s">
        <v>7</v>
      </c>
      <c r="C18709" t="s">
        <v>3026</v>
      </c>
      <c r="D18709" s="7">
        <f>DATE(2013,1,30)</f>
        <v>41304</v>
      </c>
      <c r="E18709" s="8">
        <f t="shared" si="306"/>
        <v>2013</v>
      </c>
      <c r="F18709" t="s">
        <v>3027</v>
      </c>
      <c r="G18709" s="9">
        <v>17745.759999999998</v>
      </c>
      <c r="H18709" s="8">
        <v>12063</v>
      </c>
    </row>
    <row r="18710" spans="2:8" ht="15" customHeight="1" x14ac:dyDescent="0.4">
      <c r="B18710" t="s">
        <v>7</v>
      </c>
      <c r="C18710" t="s">
        <v>3026</v>
      </c>
      <c r="D18710" s="7">
        <f>DATE(2013,11,11)</f>
        <v>41589</v>
      </c>
      <c r="E18710" s="8">
        <f t="shared" si="306"/>
        <v>2013</v>
      </c>
      <c r="F18710" t="s">
        <v>3027</v>
      </c>
      <c r="G18710" s="9">
        <v>17136</v>
      </c>
      <c r="H18710" s="8">
        <v>12770</v>
      </c>
    </row>
    <row r="18711" spans="2:8" ht="15" customHeight="1" x14ac:dyDescent="0.4">
      <c r="B18711" t="s">
        <v>7</v>
      </c>
      <c r="C18711" t="s">
        <v>3026</v>
      </c>
      <c r="D18711" s="7">
        <f>DATE(2014,1,22)</f>
        <v>41661</v>
      </c>
      <c r="E18711" s="8">
        <f t="shared" si="306"/>
        <v>2014</v>
      </c>
      <c r="F18711" t="s">
        <v>3027</v>
      </c>
      <c r="G18711" s="9">
        <v>5653.69</v>
      </c>
      <c r="H18711" s="8">
        <v>12844</v>
      </c>
    </row>
    <row r="18712" spans="2:8" ht="15" customHeight="1" x14ac:dyDescent="0.4">
      <c r="B18712" t="s">
        <v>7</v>
      </c>
      <c r="C18712" t="s">
        <v>3026</v>
      </c>
      <c r="D18712" s="7">
        <f>DATE(2014,6,26)</f>
        <v>41816</v>
      </c>
      <c r="E18712" s="8">
        <f t="shared" si="306"/>
        <v>2014</v>
      </c>
      <c r="F18712" t="s">
        <v>3027</v>
      </c>
      <c r="G18712" s="9">
        <v>5786.49</v>
      </c>
      <c r="H18712" s="8">
        <v>13264</v>
      </c>
    </row>
    <row r="18713" spans="2:8" ht="15" customHeight="1" x14ac:dyDescent="0.4">
      <c r="B18713" t="s">
        <v>7</v>
      </c>
      <c r="C18713" t="s">
        <v>3026</v>
      </c>
      <c r="D18713" s="7">
        <f>DATE(2014,10,23)</f>
        <v>41935</v>
      </c>
      <c r="E18713" s="8">
        <f t="shared" si="306"/>
        <v>2014</v>
      </c>
      <c r="F18713" t="s">
        <v>3027</v>
      </c>
      <c r="G18713" s="9">
        <v>5994.12</v>
      </c>
      <c r="H18713" s="8">
        <v>13531</v>
      </c>
    </row>
    <row r="18714" spans="2:8" ht="15" customHeight="1" x14ac:dyDescent="0.4">
      <c r="B18714" t="s">
        <v>7</v>
      </c>
      <c r="C18714" t="s">
        <v>3028</v>
      </c>
      <c r="D18714" s="7">
        <f>DATE(2015,5,6)</f>
        <v>42130</v>
      </c>
      <c r="E18714" s="8">
        <f t="shared" si="306"/>
        <v>2015</v>
      </c>
      <c r="F18714" t="s">
        <v>3029</v>
      </c>
      <c r="G18714" s="9">
        <v>38075.53</v>
      </c>
      <c r="H18714" s="8">
        <v>401</v>
      </c>
    </row>
    <row r="18715" spans="2:8" ht="15" customHeight="1" x14ac:dyDescent="0.4">
      <c r="B18715" t="s">
        <v>7</v>
      </c>
      <c r="C18715" t="s">
        <v>3028</v>
      </c>
      <c r="D18715" s="7">
        <f>DATE(2015,5,6)</f>
        <v>42130</v>
      </c>
      <c r="E18715" s="8">
        <f t="shared" si="306"/>
        <v>2015</v>
      </c>
      <c r="F18715" t="s">
        <v>3029</v>
      </c>
      <c r="G18715" s="9">
        <v>35964.239999999998</v>
      </c>
      <c r="H18715" s="8">
        <v>20421</v>
      </c>
    </row>
    <row r="18716" spans="2:8" ht="15" customHeight="1" x14ac:dyDescent="0.4">
      <c r="B18716" t="s">
        <v>7</v>
      </c>
      <c r="C18716" t="s">
        <v>3028</v>
      </c>
      <c r="D18716" s="7">
        <f>DATE(2015,5,27)</f>
        <v>42151</v>
      </c>
      <c r="E18716" s="8">
        <f t="shared" si="306"/>
        <v>2015</v>
      </c>
      <c r="F18716" t="s">
        <v>3029</v>
      </c>
      <c r="G18716" s="9">
        <v>58151.29</v>
      </c>
      <c r="H18716" s="8">
        <v>20532</v>
      </c>
    </row>
    <row r="18717" spans="2:8" ht="15" customHeight="1" x14ac:dyDescent="0.4">
      <c r="B18717" t="s">
        <v>7</v>
      </c>
      <c r="C18717" t="s">
        <v>3028</v>
      </c>
      <c r="D18717" s="7">
        <f>DATE(2015,7,2)</f>
        <v>42187</v>
      </c>
      <c r="E18717" s="8">
        <f t="shared" si="306"/>
        <v>2015</v>
      </c>
      <c r="F18717" t="s">
        <v>3029</v>
      </c>
      <c r="G18717" s="9">
        <v>44520.69</v>
      </c>
      <c r="H18717" s="8">
        <v>20811</v>
      </c>
    </row>
    <row r="18718" spans="2:8" ht="15" customHeight="1" x14ac:dyDescent="0.4">
      <c r="B18718" t="s">
        <v>7</v>
      </c>
      <c r="C18718" t="s">
        <v>3028</v>
      </c>
      <c r="D18718" s="7">
        <f>DATE(2016,4,22)</f>
        <v>42482</v>
      </c>
      <c r="E18718" s="8">
        <f t="shared" si="306"/>
        <v>2016</v>
      </c>
      <c r="F18718" t="s">
        <v>3029</v>
      </c>
      <c r="G18718" s="9">
        <v>35315.78</v>
      </c>
      <c r="H18718" s="8">
        <v>22291</v>
      </c>
    </row>
    <row r="18719" spans="2:8" ht="15" customHeight="1" x14ac:dyDescent="0.4">
      <c r="B18719" t="s">
        <v>7</v>
      </c>
      <c r="C18719" t="s">
        <v>3028</v>
      </c>
      <c r="D18719" s="7">
        <f>DATE(2018,4,12)</f>
        <v>43202</v>
      </c>
      <c r="E18719" s="8">
        <f t="shared" si="306"/>
        <v>2018</v>
      </c>
      <c r="F18719" t="s">
        <v>3029</v>
      </c>
      <c r="G18719" s="9">
        <v>52660.03</v>
      </c>
      <c r="H18719" s="8">
        <v>26263</v>
      </c>
    </row>
    <row r="18720" spans="2:8" ht="15" customHeight="1" x14ac:dyDescent="0.4">
      <c r="B18720" t="s">
        <v>7</v>
      </c>
      <c r="C18720" t="s">
        <v>3028</v>
      </c>
      <c r="D18720" s="7">
        <f>DATE(2018,4,17)</f>
        <v>43207</v>
      </c>
      <c r="E18720" s="8">
        <f t="shared" si="306"/>
        <v>2018</v>
      </c>
      <c r="F18720" t="s">
        <v>3029</v>
      </c>
      <c r="G18720" s="9">
        <v>46019.27</v>
      </c>
      <c r="H18720" s="8">
        <v>26257</v>
      </c>
    </row>
    <row r="18721" spans="2:8" ht="15" customHeight="1" x14ac:dyDescent="0.4">
      <c r="B18721" t="s">
        <v>7</v>
      </c>
      <c r="C18721" t="s">
        <v>3028</v>
      </c>
      <c r="D18721" s="7">
        <f>DATE(2018,5,29)</f>
        <v>43249</v>
      </c>
      <c r="E18721" s="8">
        <f t="shared" si="306"/>
        <v>2018</v>
      </c>
      <c r="F18721" t="s">
        <v>3029</v>
      </c>
      <c r="G18721" s="9">
        <v>50231.39</v>
      </c>
      <c r="H18721" s="8">
        <v>26262</v>
      </c>
    </row>
    <row r="18722" spans="2:8" ht="15" customHeight="1" x14ac:dyDescent="0.4">
      <c r="B18722" t="s">
        <v>7</v>
      </c>
      <c r="C18722" t="s">
        <v>3028</v>
      </c>
      <c r="D18722" s="7">
        <f>DATE(2019,3,26)</f>
        <v>43550</v>
      </c>
      <c r="E18722" s="8">
        <f t="shared" si="306"/>
        <v>2019</v>
      </c>
      <c r="F18722" t="s">
        <v>3029</v>
      </c>
      <c r="G18722" s="9">
        <v>45057.1</v>
      </c>
      <c r="H18722" s="8">
        <v>28398</v>
      </c>
    </row>
    <row r="18723" spans="2:8" ht="15" customHeight="1" x14ac:dyDescent="0.4">
      <c r="B18723" t="s">
        <v>7</v>
      </c>
      <c r="C18723" t="s">
        <v>3028</v>
      </c>
      <c r="D18723" s="7">
        <f>DATE(2015,2,20)</f>
        <v>42055</v>
      </c>
      <c r="E18723" s="8">
        <f t="shared" si="306"/>
        <v>2015</v>
      </c>
      <c r="F18723" t="s">
        <v>3029</v>
      </c>
      <c r="G18723" s="9">
        <v>38</v>
      </c>
      <c r="H18723" s="8">
        <v>20003</v>
      </c>
    </row>
    <row r="18724" spans="2:8" ht="15" customHeight="1" x14ac:dyDescent="0.4">
      <c r="B18724" t="s">
        <v>7</v>
      </c>
      <c r="C18724" t="s">
        <v>3028</v>
      </c>
      <c r="D18724" s="7">
        <f>DATE(2015,3,19)</f>
        <v>42082</v>
      </c>
      <c r="E18724" s="8">
        <f t="shared" si="306"/>
        <v>2015</v>
      </c>
      <c r="F18724" t="s">
        <v>3029</v>
      </c>
      <c r="G18724" s="9">
        <v>78.349999999999994</v>
      </c>
      <c r="H18724" s="8">
        <v>20174</v>
      </c>
    </row>
    <row r="18725" spans="2:8" ht="15" customHeight="1" x14ac:dyDescent="0.4">
      <c r="B18725" t="s">
        <v>7</v>
      </c>
      <c r="C18725" t="s">
        <v>3028</v>
      </c>
      <c r="D18725" s="7">
        <f>DATE(2015,3,26)</f>
        <v>42089</v>
      </c>
      <c r="E18725" s="8">
        <f t="shared" si="306"/>
        <v>2015</v>
      </c>
      <c r="F18725" t="s">
        <v>3029</v>
      </c>
      <c r="G18725" s="9">
        <v>2068.16</v>
      </c>
      <c r="H18725" s="8">
        <v>20214</v>
      </c>
    </row>
    <row r="18726" spans="2:8" ht="15" customHeight="1" x14ac:dyDescent="0.4">
      <c r="B18726" t="s">
        <v>7</v>
      </c>
      <c r="C18726" t="s">
        <v>3028</v>
      </c>
      <c r="D18726" s="7">
        <f>DATE(2017,3,6)</f>
        <v>42800</v>
      </c>
      <c r="E18726" s="8">
        <f t="shared" si="306"/>
        <v>2017</v>
      </c>
      <c r="F18726" t="s">
        <v>3029</v>
      </c>
      <c r="G18726" s="9">
        <v>495.8</v>
      </c>
      <c r="H18726" s="8">
        <v>24421</v>
      </c>
    </row>
    <row r="18727" spans="2:8" ht="15" customHeight="1" x14ac:dyDescent="0.4">
      <c r="B18727" t="s">
        <v>7</v>
      </c>
      <c r="C18727" t="s">
        <v>3028</v>
      </c>
      <c r="D18727" s="7">
        <f>DATE(2017,8,2)</f>
        <v>42949</v>
      </c>
      <c r="E18727" s="8">
        <f t="shared" si="306"/>
        <v>2017</v>
      </c>
      <c r="F18727" t="s">
        <v>3029</v>
      </c>
      <c r="G18727" s="9">
        <v>184.25</v>
      </c>
      <c r="H18727" s="8">
        <v>25330</v>
      </c>
    </row>
    <row r="18728" spans="2:8" ht="15" customHeight="1" x14ac:dyDescent="0.4">
      <c r="B18728" t="s">
        <v>7</v>
      </c>
      <c r="C18728" t="s">
        <v>3028</v>
      </c>
      <c r="D18728" s="7">
        <f>DATE(2018,2,16)</f>
        <v>43147</v>
      </c>
      <c r="E18728" s="8">
        <f t="shared" si="306"/>
        <v>2018</v>
      </c>
      <c r="F18728" t="s">
        <v>3029</v>
      </c>
      <c r="G18728" s="9">
        <v>184.25</v>
      </c>
      <c r="H18728" s="8">
        <v>26477</v>
      </c>
    </row>
    <row r="18729" spans="2:8" ht="15" customHeight="1" x14ac:dyDescent="0.4">
      <c r="B18729" t="s">
        <v>7</v>
      </c>
      <c r="C18729" t="s">
        <v>3028</v>
      </c>
      <c r="D18729" s="7">
        <f>DATE(2018,4,11)</f>
        <v>43201</v>
      </c>
      <c r="E18729" s="8">
        <f t="shared" si="306"/>
        <v>2018</v>
      </c>
      <c r="F18729" t="s">
        <v>3029</v>
      </c>
      <c r="G18729" s="9">
        <v>31.44</v>
      </c>
      <c r="H18729" s="8">
        <v>26839</v>
      </c>
    </row>
    <row r="18730" spans="2:8" ht="15" customHeight="1" x14ac:dyDescent="0.4">
      <c r="B18730" t="s">
        <v>7</v>
      </c>
      <c r="C18730" t="s">
        <v>3028</v>
      </c>
      <c r="D18730" s="7">
        <f>DATE(2019,3,26)</f>
        <v>43550</v>
      </c>
      <c r="E18730" s="8">
        <f t="shared" si="306"/>
        <v>2019</v>
      </c>
      <c r="F18730" t="s">
        <v>3029</v>
      </c>
      <c r="G18730" s="9">
        <v>182.25</v>
      </c>
      <c r="H18730" s="8">
        <v>28676</v>
      </c>
    </row>
    <row r="18731" spans="2:8" ht="15" customHeight="1" x14ac:dyDescent="0.4">
      <c r="B18731" t="s">
        <v>7</v>
      </c>
      <c r="C18731" t="s">
        <v>3028</v>
      </c>
      <c r="D18731" s="7">
        <f>DATE(2017,8,3)</f>
        <v>42950</v>
      </c>
      <c r="E18731" s="8">
        <f t="shared" si="306"/>
        <v>2017</v>
      </c>
      <c r="F18731" t="s">
        <v>3029</v>
      </c>
      <c r="G18731" s="9">
        <v>4600.6499999999996</v>
      </c>
      <c r="H18731" s="8">
        <v>25203</v>
      </c>
    </row>
    <row r="18732" spans="2:8" ht="15" customHeight="1" x14ac:dyDescent="0.4">
      <c r="B18732" t="s">
        <v>7</v>
      </c>
      <c r="C18732" t="s">
        <v>3028</v>
      </c>
      <c r="D18732" s="7">
        <f>DATE(2017,8,21)</f>
        <v>42968</v>
      </c>
      <c r="E18732" s="8">
        <f t="shared" si="306"/>
        <v>2017</v>
      </c>
      <c r="F18732" t="s">
        <v>3029</v>
      </c>
      <c r="G18732" s="9">
        <v>42199.57</v>
      </c>
      <c r="H18732" s="8">
        <v>25359</v>
      </c>
    </row>
    <row r="18733" spans="2:8" ht="15" customHeight="1" x14ac:dyDescent="0.4">
      <c r="B18733" t="s">
        <v>7</v>
      </c>
      <c r="C18733" t="s">
        <v>3028</v>
      </c>
      <c r="D18733" s="7">
        <f>DATE(2011,5,10)</f>
        <v>40673</v>
      </c>
      <c r="E18733" s="8">
        <f t="shared" si="306"/>
        <v>2011</v>
      </c>
      <c r="F18733" t="s">
        <v>3029</v>
      </c>
      <c r="G18733" s="9">
        <v>53105.79</v>
      </c>
      <c r="H18733" s="8">
        <v>10734</v>
      </c>
    </row>
    <row r="18734" spans="2:8" ht="15" customHeight="1" x14ac:dyDescent="0.4">
      <c r="B18734" t="s">
        <v>7</v>
      </c>
      <c r="C18734" t="s">
        <v>3028</v>
      </c>
      <c r="D18734" s="7">
        <f>DATE(2011,5,31)</f>
        <v>40694</v>
      </c>
      <c r="E18734" s="8">
        <f t="shared" si="306"/>
        <v>2011</v>
      </c>
      <c r="F18734" t="s">
        <v>3029</v>
      </c>
      <c r="G18734" s="9">
        <v>51899.4</v>
      </c>
      <c r="H18734" s="8">
        <v>10769</v>
      </c>
    </row>
    <row r="18735" spans="2:8" ht="15" customHeight="1" x14ac:dyDescent="0.4">
      <c r="B18735" t="s">
        <v>7</v>
      </c>
      <c r="C18735" t="s">
        <v>3028</v>
      </c>
      <c r="D18735" s="7">
        <f>DATE(2011,8,8)</f>
        <v>40763</v>
      </c>
      <c r="E18735" s="8">
        <f t="shared" si="306"/>
        <v>2011</v>
      </c>
      <c r="F18735" t="s">
        <v>3029</v>
      </c>
      <c r="G18735" s="9">
        <v>83285.08</v>
      </c>
      <c r="H18735" s="8">
        <v>10919</v>
      </c>
    </row>
    <row r="18736" spans="2:8" ht="15" customHeight="1" x14ac:dyDescent="0.4">
      <c r="B18736" t="s">
        <v>7</v>
      </c>
      <c r="C18736" t="s">
        <v>3028</v>
      </c>
      <c r="D18736" s="7">
        <f>DATE(2011,9,21)</f>
        <v>40807</v>
      </c>
      <c r="E18736" s="8">
        <f t="shared" si="306"/>
        <v>2011</v>
      </c>
      <c r="F18736" t="s">
        <v>3029</v>
      </c>
      <c r="G18736" s="9">
        <v>52816.639999999999</v>
      </c>
      <c r="H18736" s="8">
        <v>11000</v>
      </c>
    </row>
    <row r="18737" spans="2:8" ht="15" customHeight="1" x14ac:dyDescent="0.4">
      <c r="B18737" t="s">
        <v>7</v>
      </c>
      <c r="C18737" t="s">
        <v>3028</v>
      </c>
      <c r="D18737" s="7">
        <f>DATE(2012,4,16)</f>
        <v>41015</v>
      </c>
      <c r="E18737" s="8">
        <f t="shared" si="306"/>
        <v>2012</v>
      </c>
      <c r="F18737" t="s">
        <v>3029</v>
      </c>
      <c r="G18737" s="9">
        <v>35095.03</v>
      </c>
      <c r="H18737" s="8">
        <v>11426</v>
      </c>
    </row>
    <row r="18738" spans="2:8" ht="15" customHeight="1" x14ac:dyDescent="0.4">
      <c r="B18738" t="s">
        <v>7</v>
      </c>
      <c r="C18738" t="s">
        <v>3028</v>
      </c>
      <c r="D18738" s="7">
        <f>DATE(2012,4,16)</f>
        <v>41015</v>
      </c>
      <c r="E18738" s="8">
        <f t="shared" si="306"/>
        <v>2012</v>
      </c>
      <c r="F18738" t="s">
        <v>3029</v>
      </c>
      <c r="G18738" s="9">
        <v>53547.6</v>
      </c>
      <c r="H18738" s="8">
        <v>11518</v>
      </c>
    </row>
    <row r="18739" spans="2:8" ht="15" customHeight="1" x14ac:dyDescent="0.4">
      <c r="B18739" t="s">
        <v>7</v>
      </c>
      <c r="C18739" t="s">
        <v>3028</v>
      </c>
      <c r="D18739" s="7">
        <f>DATE(2013,1,31)</f>
        <v>41305</v>
      </c>
      <c r="E18739" s="8">
        <f t="shared" si="306"/>
        <v>2013</v>
      </c>
      <c r="F18739" t="s">
        <v>3029</v>
      </c>
      <c r="G18739" s="9">
        <v>39358.26</v>
      </c>
      <c r="H18739" s="8">
        <v>12104</v>
      </c>
    </row>
    <row r="18740" spans="2:8" ht="15" customHeight="1" x14ac:dyDescent="0.4">
      <c r="B18740" t="s">
        <v>7</v>
      </c>
      <c r="C18740" t="s">
        <v>3028</v>
      </c>
      <c r="D18740" s="7">
        <f>DATE(2013,4,2)</f>
        <v>41366</v>
      </c>
      <c r="E18740" s="8">
        <f t="shared" si="306"/>
        <v>2013</v>
      </c>
      <c r="F18740" t="s">
        <v>3029</v>
      </c>
      <c r="G18740" s="9">
        <v>43314.76</v>
      </c>
      <c r="H18740" s="8">
        <v>12260</v>
      </c>
    </row>
    <row r="18741" spans="2:8" ht="15" customHeight="1" x14ac:dyDescent="0.4">
      <c r="B18741" t="s">
        <v>7</v>
      </c>
      <c r="C18741" t="s">
        <v>3028</v>
      </c>
      <c r="D18741" s="7">
        <f>DATE(2013,5,3)</f>
        <v>41397</v>
      </c>
      <c r="E18741" s="8">
        <f t="shared" si="306"/>
        <v>2013</v>
      </c>
      <c r="F18741" t="s">
        <v>3029</v>
      </c>
      <c r="G18741" s="9">
        <v>43734.6</v>
      </c>
      <c r="H18741" s="8">
        <v>12261</v>
      </c>
    </row>
    <row r="18742" spans="2:8" ht="15" customHeight="1" x14ac:dyDescent="0.4">
      <c r="B18742" t="s">
        <v>7</v>
      </c>
      <c r="C18742" t="s">
        <v>3028</v>
      </c>
      <c r="D18742" s="7">
        <f>DATE(2013,10,11)</f>
        <v>41558</v>
      </c>
      <c r="E18742" s="8">
        <f t="shared" si="306"/>
        <v>2013</v>
      </c>
      <c r="F18742" t="s">
        <v>3029</v>
      </c>
      <c r="G18742" s="9">
        <v>39560</v>
      </c>
      <c r="H18742" s="8">
        <v>12577</v>
      </c>
    </row>
    <row r="18743" spans="2:8" ht="15" customHeight="1" x14ac:dyDescent="0.4">
      <c r="B18743" t="s">
        <v>7</v>
      </c>
      <c r="C18743" t="s">
        <v>3028</v>
      </c>
      <c r="D18743" s="7">
        <f>DATE(2014,4,23)</f>
        <v>41752</v>
      </c>
      <c r="E18743" s="8">
        <f t="shared" si="306"/>
        <v>2014</v>
      </c>
      <c r="F18743" t="s">
        <v>3029</v>
      </c>
      <c r="G18743" s="9">
        <v>38420</v>
      </c>
      <c r="H18743" s="8">
        <v>13063</v>
      </c>
    </row>
    <row r="18744" spans="2:8" ht="15" customHeight="1" x14ac:dyDescent="0.4">
      <c r="B18744" t="s">
        <v>7</v>
      </c>
      <c r="C18744" t="s">
        <v>3028</v>
      </c>
      <c r="D18744" s="7">
        <f>DATE(2014,6,10)</f>
        <v>41800</v>
      </c>
      <c r="E18744" s="8">
        <f t="shared" si="306"/>
        <v>2014</v>
      </c>
      <c r="F18744" t="s">
        <v>3029</v>
      </c>
      <c r="G18744" s="9">
        <v>81751.240000000005</v>
      </c>
      <c r="H18744" s="8">
        <v>13241</v>
      </c>
    </row>
    <row r="18745" spans="2:8" ht="15" customHeight="1" x14ac:dyDescent="0.4">
      <c r="B18745" t="s">
        <v>7</v>
      </c>
      <c r="C18745" t="s">
        <v>3028</v>
      </c>
      <c r="D18745" s="7">
        <f>DATE(2014,7,24)</f>
        <v>41844</v>
      </c>
      <c r="E18745" s="8">
        <f t="shared" si="306"/>
        <v>2014</v>
      </c>
      <c r="F18745" t="s">
        <v>3029</v>
      </c>
      <c r="G18745" s="9">
        <v>48759</v>
      </c>
      <c r="H18745" s="8">
        <v>13341</v>
      </c>
    </row>
    <row r="18746" spans="2:8" ht="15" customHeight="1" x14ac:dyDescent="0.4">
      <c r="B18746" s="3" t="s">
        <v>7</v>
      </c>
      <c r="C18746" s="3" t="s">
        <v>3028</v>
      </c>
      <c r="D18746" s="4">
        <f>DATE(2008,3,13)</f>
        <v>39520</v>
      </c>
      <c r="E18746" s="5">
        <f t="shared" si="306"/>
        <v>2008</v>
      </c>
      <c r="F18746" s="3" t="s">
        <v>3029</v>
      </c>
      <c r="G18746" s="6">
        <v>1448.36</v>
      </c>
      <c r="H18746" s="5">
        <v>10124</v>
      </c>
    </row>
    <row r="18747" spans="2:8" ht="15" customHeight="1" x14ac:dyDescent="0.4">
      <c r="B18747" s="3" t="s">
        <v>7</v>
      </c>
      <c r="C18747" s="3" t="s">
        <v>3028</v>
      </c>
      <c r="D18747" s="4">
        <f>DATE(2009,12,10)</f>
        <v>40157</v>
      </c>
      <c r="E18747" s="5">
        <f t="shared" si="306"/>
        <v>2009</v>
      </c>
      <c r="F18747" s="3" t="s">
        <v>3029</v>
      </c>
      <c r="G18747" s="6">
        <v>2780.18</v>
      </c>
      <c r="H18747" s="5">
        <v>13329</v>
      </c>
    </row>
    <row r="18748" spans="2:8" ht="15" customHeight="1" x14ac:dyDescent="0.4">
      <c r="B18748" s="3" t="s">
        <v>7</v>
      </c>
      <c r="C18748" s="3" t="s">
        <v>3028</v>
      </c>
      <c r="D18748" s="4">
        <f>DATE(2010,1,14)</f>
        <v>40192</v>
      </c>
      <c r="E18748" s="5">
        <f t="shared" si="306"/>
        <v>2010</v>
      </c>
      <c r="F18748" s="3" t="s">
        <v>3029</v>
      </c>
      <c r="G18748" s="6">
        <v>10992.48</v>
      </c>
      <c r="H18748" s="5">
        <v>13391</v>
      </c>
    </row>
    <row r="18749" spans="2:8" ht="15" customHeight="1" x14ac:dyDescent="0.4">
      <c r="B18749" s="3" t="s">
        <v>7</v>
      </c>
      <c r="C18749" s="3" t="s">
        <v>3028</v>
      </c>
      <c r="D18749" s="4">
        <f>DATE(2010,4,21)</f>
        <v>40289</v>
      </c>
      <c r="E18749" s="5">
        <f t="shared" si="306"/>
        <v>2010</v>
      </c>
      <c r="F18749" s="3" t="s">
        <v>3029</v>
      </c>
      <c r="G18749" s="6">
        <v>50.1</v>
      </c>
      <c r="H18749" s="5">
        <v>13933</v>
      </c>
    </row>
    <row r="18750" spans="2:8" ht="15" customHeight="1" x14ac:dyDescent="0.4">
      <c r="B18750" s="3" t="s">
        <v>7</v>
      </c>
      <c r="C18750" s="3" t="s">
        <v>3028</v>
      </c>
      <c r="D18750" s="4">
        <f>DATE(2010,7,7)</f>
        <v>40366</v>
      </c>
      <c r="E18750" s="5">
        <f t="shared" si="306"/>
        <v>2010</v>
      </c>
      <c r="F18750" s="3" t="s">
        <v>3029</v>
      </c>
      <c r="G18750" s="6">
        <v>51.1</v>
      </c>
      <c r="H18750" s="5">
        <v>14253</v>
      </c>
    </row>
    <row r="18751" spans="2:8" ht="15" customHeight="1" x14ac:dyDescent="0.4">
      <c r="B18751" s="3" t="s">
        <v>7</v>
      </c>
      <c r="C18751" s="3" t="s">
        <v>3028</v>
      </c>
      <c r="D18751" s="4">
        <f>DATE(2010,8,9)</f>
        <v>40399</v>
      </c>
      <c r="E18751" s="5">
        <f t="shared" si="306"/>
        <v>2010</v>
      </c>
      <c r="F18751" s="3" t="s">
        <v>3029</v>
      </c>
      <c r="G18751" s="6">
        <v>687</v>
      </c>
      <c r="H18751" s="5">
        <v>14317</v>
      </c>
    </row>
    <row r="18752" spans="2:8" ht="15" customHeight="1" x14ac:dyDescent="0.4">
      <c r="B18752" s="3" t="s">
        <v>7</v>
      </c>
      <c r="C18752" s="3" t="s">
        <v>3028</v>
      </c>
      <c r="D18752" s="4">
        <f>DATE(2011,4,4)</f>
        <v>40637</v>
      </c>
      <c r="E18752" s="5">
        <f t="shared" si="306"/>
        <v>2011</v>
      </c>
      <c r="F18752" s="3" t="s">
        <v>3029</v>
      </c>
      <c r="G18752" s="6">
        <v>689</v>
      </c>
      <c r="H18752" s="5">
        <v>15371</v>
      </c>
    </row>
    <row r="18753" spans="2:8" ht="15" customHeight="1" x14ac:dyDescent="0.4">
      <c r="B18753" s="3" t="s">
        <v>7</v>
      </c>
      <c r="C18753" s="3" t="s">
        <v>3028</v>
      </c>
      <c r="D18753" s="4">
        <f>DATE(2011,7,11)</f>
        <v>40735</v>
      </c>
      <c r="E18753" s="5">
        <f t="shared" si="306"/>
        <v>2011</v>
      </c>
      <c r="F18753" s="3" t="s">
        <v>3029</v>
      </c>
      <c r="G18753" s="6">
        <v>34.659999999999997</v>
      </c>
      <c r="H18753" s="5">
        <v>15763</v>
      </c>
    </row>
    <row r="18754" spans="2:8" ht="15" customHeight="1" x14ac:dyDescent="0.4">
      <c r="B18754" s="3" t="s">
        <v>7</v>
      </c>
      <c r="C18754" s="3" t="s">
        <v>3028</v>
      </c>
      <c r="D18754" s="4">
        <f>DATE(2011,11,7)</f>
        <v>40854</v>
      </c>
      <c r="E18754" s="5">
        <f t="shared" si="306"/>
        <v>2011</v>
      </c>
      <c r="F18754" s="3" t="s">
        <v>3029</v>
      </c>
      <c r="G18754" s="6">
        <v>380</v>
      </c>
      <c r="H18754" s="5">
        <v>16168</v>
      </c>
    </row>
    <row r="18755" spans="2:8" ht="15" customHeight="1" x14ac:dyDescent="0.4">
      <c r="B18755" s="3" t="s">
        <v>7</v>
      </c>
      <c r="C18755" s="3" t="s">
        <v>3028</v>
      </c>
      <c r="D18755" s="4">
        <f>DATE(2011,11,16)</f>
        <v>40863</v>
      </c>
      <c r="E18755" s="5">
        <f t="shared" ref="E18755:E18818" si="307">YEAR(D18755)</f>
        <v>2011</v>
      </c>
      <c r="F18755" s="3" t="s">
        <v>3029</v>
      </c>
      <c r="G18755" s="6">
        <v>72.650000000000006</v>
      </c>
      <c r="H18755" s="5">
        <v>16220</v>
      </c>
    </row>
    <row r="18756" spans="2:8" ht="15" customHeight="1" x14ac:dyDescent="0.4">
      <c r="B18756" s="3" t="s">
        <v>7</v>
      </c>
      <c r="C18756" s="3" t="s">
        <v>3028</v>
      </c>
      <c r="D18756" s="4">
        <f>DATE(2012,2,9)</f>
        <v>40948</v>
      </c>
      <c r="E18756" s="5">
        <f t="shared" si="307"/>
        <v>2012</v>
      </c>
      <c r="F18756" s="3" t="s">
        <v>3029</v>
      </c>
      <c r="G18756" s="6">
        <v>146.80000000000001</v>
      </c>
      <c r="H18756" s="5">
        <v>16484</v>
      </c>
    </row>
    <row r="18757" spans="2:8" ht="15" customHeight="1" x14ac:dyDescent="0.4">
      <c r="B18757" s="3" t="s">
        <v>7</v>
      </c>
      <c r="C18757" s="3" t="s">
        <v>3028</v>
      </c>
      <c r="D18757" s="4">
        <f>DATE(2012,5,8)</f>
        <v>41037</v>
      </c>
      <c r="E18757" s="5">
        <f t="shared" si="307"/>
        <v>2012</v>
      </c>
      <c r="F18757" s="3" t="s">
        <v>3029</v>
      </c>
      <c r="G18757" s="6">
        <v>78.900000000000006</v>
      </c>
      <c r="H18757" s="5">
        <v>17092</v>
      </c>
    </row>
    <row r="18758" spans="2:8" ht="15" customHeight="1" x14ac:dyDescent="0.4">
      <c r="B18758" s="3" t="s">
        <v>7</v>
      </c>
      <c r="C18758" s="3" t="s">
        <v>3028</v>
      </c>
      <c r="D18758" s="4">
        <f>DATE(2012,6,21)</f>
        <v>41081</v>
      </c>
      <c r="E18758" s="5">
        <f t="shared" si="307"/>
        <v>2012</v>
      </c>
      <c r="F18758" s="3" t="s">
        <v>3029</v>
      </c>
      <c r="G18758" s="6">
        <v>20.78</v>
      </c>
      <c r="H18758" s="5">
        <v>17281</v>
      </c>
    </row>
    <row r="18759" spans="2:8" ht="15" customHeight="1" x14ac:dyDescent="0.4">
      <c r="B18759" s="3" t="s">
        <v>7</v>
      </c>
      <c r="C18759" s="3" t="s">
        <v>3028</v>
      </c>
      <c r="D18759" s="4">
        <f>DATE(2013,1,16)</f>
        <v>41290</v>
      </c>
      <c r="E18759" s="5">
        <f t="shared" si="307"/>
        <v>2013</v>
      </c>
      <c r="F18759" s="3" t="s">
        <v>3029</v>
      </c>
      <c r="G18759" s="6">
        <v>349.5</v>
      </c>
      <c r="H18759" s="5">
        <v>17954</v>
      </c>
    </row>
    <row r="18760" spans="2:8" ht="15" customHeight="1" x14ac:dyDescent="0.4">
      <c r="B18760" t="s">
        <v>7</v>
      </c>
      <c r="C18760" t="s">
        <v>3028</v>
      </c>
      <c r="D18760" s="7">
        <f>DATE(2012,5,1)</f>
        <v>41030</v>
      </c>
      <c r="E18760" s="8">
        <f t="shared" si="307"/>
        <v>2012</v>
      </c>
      <c r="F18760" t="s">
        <v>3030</v>
      </c>
      <c r="G18760" s="9">
        <v>57270.92</v>
      </c>
      <c r="H18760" s="8">
        <v>11555</v>
      </c>
    </row>
    <row r="18761" spans="2:8" ht="15" customHeight="1" x14ac:dyDescent="0.4">
      <c r="B18761" t="s">
        <v>7</v>
      </c>
      <c r="C18761" t="s">
        <v>3031</v>
      </c>
      <c r="D18761" s="7">
        <f>DATE(2015,7,29)</f>
        <v>42214</v>
      </c>
      <c r="E18761" s="8">
        <f t="shared" si="307"/>
        <v>2015</v>
      </c>
      <c r="F18761" t="s">
        <v>3032</v>
      </c>
      <c r="G18761" s="9">
        <v>2850</v>
      </c>
      <c r="H18761" s="8">
        <v>21013</v>
      </c>
    </row>
    <row r="18762" spans="2:8" ht="15" customHeight="1" x14ac:dyDescent="0.4">
      <c r="B18762" t="s">
        <v>7</v>
      </c>
      <c r="C18762" t="s">
        <v>3031</v>
      </c>
      <c r="D18762" s="7">
        <f>DATE(2015,8,3)</f>
        <v>42219</v>
      </c>
      <c r="E18762" s="8">
        <f t="shared" si="307"/>
        <v>2015</v>
      </c>
      <c r="F18762" t="s">
        <v>3032</v>
      </c>
      <c r="G18762" s="9">
        <v>2850</v>
      </c>
      <c r="H18762" s="8">
        <v>21038</v>
      </c>
    </row>
    <row r="18763" spans="2:8" ht="15" customHeight="1" x14ac:dyDescent="0.4">
      <c r="B18763" t="s">
        <v>16</v>
      </c>
      <c r="C18763" t="s">
        <v>3031</v>
      </c>
      <c r="D18763" s="7">
        <f>DATE(2015,8,26)</f>
        <v>42242</v>
      </c>
      <c r="E18763" s="8">
        <f t="shared" si="307"/>
        <v>2015</v>
      </c>
      <c r="F18763" t="s">
        <v>3032</v>
      </c>
      <c r="G18763" s="9">
        <v>2850</v>
      </c>
      <c r="H18763" s="8">
        <v>21085</v>
      </c>
    </row>
    <row r="18764" spans="2:8" ht="15" customHeight="1" x14ac:dyDescent="0.4">
      <c r="B18764" t="s">
        <v>7</v>
      </c>
      <c r="C18764" t="s">
        <v>3031</v>
      </c>
      <c r="D18764" s="7">
        <f>DATE(2012,7,20)</f>
        <v>41110</v>
      </c>
      <c r="E18764" s="8">
        <f t="shared" si="307"/>
        <v>2012</v>
      </c>
      <c r="F18764" t="s">
        <v>3032</v>
      </c>
      <c r="G18764" s="9">
        <v>11727.1</v>
      </c>
      <c r="H18764" s="8">
        <v>11723</v>
      </c>
    </row>
    <row r="18765" spans="2:8" ht="15" customHeight="1" x14ac:dyDescent="0.4">
      <c r="B18765" s="3" t="s">
        <v>7</v>
      </c>
      <c r="C18765" s="3" t="s">
        <v>3031</v>
      </c>
      <c r="D18765" s="4">
        <f>DATE(2005,1,26)</f>
        <v>38378</v>
      </c>
      <c r="E18765" s="5">
        <f t="shared" si="307"/>
        <v>2005</v>
      </c>
      <c r="F18765" s="3" t="s">
        <v>3032</v>
      </c>
      <c r="G18765" s="6">
        <v>387</v>
      </c>
      <c r="H18765" s="5">
        <v>4026</v>
      </c>
    </row>
    <row r="18766" spans="2:8" ht="15" customHeight="1" x14ac:dyDescent="0.4">
      <c r="B18766" s="3" t="s">
        <v>7</v>
      </c>
      <c r="C18766" s="3" t="s">
        <v>3031</v>
      </c>
      <c r="D18766" s="4">
        <f>DATE(2005,2,3)</f>
        <v>38386</v>
      </c>
      <c r="E18766" s="5">
        <f t="shared" si="307"/>
        <v>2005</v>
      </c>
      <c r="F18766" s="3" t="s">
        <v>3032</v>
      </c>
      <c r="G18766" s="6">
        <v>386</v>
      </c>
      <c r="H18766" s="5">
        <v>4066</v>
      </c>
    </row>
    <row r="18767" spans="2:8" ht="15" customHeight="1" x14ac:dyDescent="0.4">
      <c r="B18767" s="3" t="s">
        <v>7</v>
      </c>
      <c r="C18767" s="3" t="s">
        <v>3031</v>
      </c>
      <c r="D18767" s="4">
        <f>DATE(2005,5,20)</f>
        <v>38492</v>
      </c>
      <c r="E18767" s="5">
        <f t="shared" si="307"/>
        <v>2005</v>
      </c>
      <c r="F18767" s="3" t="s">
        <v>3032</v>
      </c>
      <c r="G18767" s="6">
        <v>449</v>
      </c>
      <c r="H18767" s="5">
        <v>4779</v>
      </c>
    </row>
    <row r="18768" spans="2:8" ht="15" customHeight="1" x14ac:dyDescent="0.4">
      <c r="B18768" s="3" t="s">
        <v>7</v>
      </c>
      <c r="C18768" s="3" t="s">
        <v>3031</v>
      </c>
      <c r="D18768" s="4">
        <f>DATE(2008,4,3)</f>
        <v>39541</v>
      </c>
      <c r="E18768" s="5">
        <f t="shared" si="307"/>
        <v>2008</v>
      </c>
      <c r="F18768" s="3" t="s">
        <v>3032</v>
      </c>
      <c r="G18768" s="6">
        <v>122</v>
      </c>
      <c r="H18768" s="5">
        <v>10370</v>
      </c>
    </row>
    <row r="18769" spans="2:8" ht="15" customHeight="1" x14ac:dyDescent="0.4">
      <c r="B18769" s="3" t="s">
        <v>7</v>
      </c>
      <c r="C18769" s="3" t="s">
        <v>3031</v>
      </c>
      <c r="D18769" s="4">
        <f>DATE(2010,4,9)</f>
        <v>40277</v>
      </c>
      <c r="E18769" s="5">
        <f t="shared" si="307"/>
        <v>2010</v>
      </c>
      <c r="F18769" s="3" t="s">
        <v>3032</v>
      </c>
      <c r="G18769" s="6">
        <v>123</v>
      </c>
      <c r="H18769" s="5">
        <v>13886</v>
      </c>
    </row>
    <row r="18770" spans="2:8" ht="15" customHeight="1" x14ac:dyDescent="0.4">
      <c r="B18770" s="3" t="s">
        <v>7</v>
      </c>
      <c r="C18770" s="3" t="s">
        <v>3031</v>
      </c>
      <c r="D18770" s="4">
        <f>DATE(2010,5,13)</f>
        <v>40311</v>
      </c>
      <c r="E18770" s="5">
        <f t="shared" si="307"/>
        <v>2010</v>
      </c>
      <c r="F18770" s="3" t="s">
        <v>3032</v>
      </c>
      <c r="G18770" s="6">
        <v>1238.8599999999999</v>
      </c>
      <c r="H18770" s="5">
        <v>14011</v>
      </c>
    </row>
    <row r="18771" spans="2:8" ht="15" customHeight="1" x14ac:dyDescent="0.4">
      <c r="B18771" s="3" t="s">
        <v>7</v>
      </c>
      <c r="C18771" s="3" t="s">
        <v>3031</v>
      </c>
      <c r="D18771" s="4">
        <f>DATE(2011,5,17)</f>
        <v>40680</v>
      </c>
      <c r="E18771" s="5">
        <f t="shared" si="307"/>
        <v>2011</v>
      </c>
      <c r="F18771" s="3" t="s">
        <v>3032</v>
      </c>
      <c r="G18771" s="6">
        <v>454</v>
      </c>
      <c r="H18771" s="5">
        <v>15586</v>
      </c>
    </row>
    <row r="18772" spans="2:8" ht="15" customHeight="1" x14ac:dyDescent="0.4">
      <c r="B18772" s="3" t="s">
        <v>7</v>
      </c>
      <c r="C18772" s="3" t="s">
        <v>3031</v>
      </c>
      <c r="D18772" s="4">
        <f>DATE(2013,2,8)</f>
        <v>41313</v>
      </c>
      <c r="E18772" s="5">
        <f t="shared" si="307"/>
        <v>2013</v>
      </c>
      <c r="F18772" s="3" t="s">
        <v>3032</v>
      </c>
      <c r="G18772" s="6">
        <v>456</v>
      </c>
      <c r="H18772" s="5">
        <v>18125</v>
      </c>
    </row>
    <row r="18773" spans="2:8" ht="15" customHeight="1" x14ac:dyDescent="0.4">
      <c r="B18773" s="3" t="s">
        <v>7</v>
      </c>
      <c r="C18773" s="3" t="s">
        <v>3031</v>
      </c>
      <c r="D18773" s="4">
        <f>DATE(2014,10,9)</f>
        <v>41921</v>
      </c>
      <c r="E18773" s="5">
        <f t="shared" si="307"/>
        <v>2014</v>
      </c>
      <c r="F18773" s="3" t="s">
        <v>3032</v>
      </c>
      <c r="G18773" s="6">
        <v>966</v>
      </c>
      <c r="H18773" s="5">
        <v>20468</v>
      </c>
    </row>
    <row r="18774" spans="2:8" ht="15" customHeight="1" x14ac:dyDescent="0.4">
      <c r="B18774" s="3" t="s">
        <v>7</v>
      </c>
      <c r="C18774" s="3" t="s">
        <v>3033</v>
      </c>
      <c r="D18774" s="4">
        <f>DATE(2007,2,2)</f>
        <v>39115</v>
      </c>
      <c r="E18774" s="5">
        <f t="shared" si="307"/>
        <v>2007</v>
      </c>
      <c r="F18774" s="3" t="s">
        <v>3034</v>
      </c>
      <c r="G18774" s="6">
        <v>180.3</v>
      </c>
      <c r="H18774" s="5">
        <v>7886</v>
      </c>
    </row>
    <row r="18775" spans="2:8" ht="15" customHeight="1" x14ac:dyDescent="0.4">
      <c r="B18775" s="3" t="s">
        <v>7</v>
      </c>
      <c r="C18775" s="3" t="s">
        <v>3035</v>
      </c>
      <c r="D18775" s="4">
        <f>DATE(2014,1,9)</f>
        <v>41648</v>
      </c>
      <c r="E18775" s="5">
        <f t="shared" si="307"/>
        <v>2014</v>
      </c>
      <c r="F18775" s="3" t="s">
        <v>3036</v>
      </c>
      <c r="G18775" s="6">
        <v>9840.27</v>
      </c>
      <c r="H18775" s="5">
        <v>5943</v>
      </c>
    </row>
    <row r="18776" spans="2:8" ht="15" customHeight="1" x14ac:dyDescent="0.4">
      <c r="B18776" s="3" t="s">
        <v>7</v>
      </c>
      <c r="C18776" s="3" t="s">
        <v>3035</v>
      </c>
      <c r="D18776" s="4">
        <f>DATE(2014,3,10)</f>
        <v>41708</v>
      </c>
      <c r="E18776" s="5">
        <f t="shared" si="307"/>
        <v>2014</v>
      </c>
      <c r="F18776" s="3" t="s">
        <v>3036</v>
      </c>
      <c r="G18776" s="6">
        <v>5225.47</v>
      </c>
      <c r="H18776" s="5">
        <v>6064</v>
      </c>
    </row>
    <row r="18777" spans="2:8" ht="15" customHeight="1" x14ac:dyDescent="0.4">
      <c r="B18777" s="3" t="s">
        <v>16</v>
      </c>
      <c r="C18777" s="3" t="s">
        <v>3035</v>
      </c>
      <c r="D18777" s="4">
        <f>DATE(2014,3,10)</f>
        <v>41708</v>
      </c>
      <c r="E18777" s="5">
        <f t="shared" si="307"/>
        <v>2014</v>
      </c>
      <c r="F18777" s="3" t="s">
        <v>3036</v>
      </c>
      <c r="G18777" s="6">
        <v>9840.27</v>
      </c>
      <c r="H18777" s="5">
        <v>6067</v>
      </c>
    </row>
    <row r="18778" spans="2:8" ht="15" customHeight="1" x14ac:dyDescent="0.4">
      <c r="B18778" s="3" t="s">
        <v>16</v>
      </c>
      <c r="C18778" s="3" t="s">
        <v>3035</v>
      </c>
      <c r="D18778" s="4">
        <f>DATE(2014,8,4)</f>
        <v>41855</v>
      </c>
      <c r="E18778" s="5">
        <f t="shared" si="307"/>
        <v>2014</v>
      </c>
      <c r="F18778" s="3" t="s">
        <v>3036</v>
      </c>
      <c r="G18778" s="6">
        <v>5225.47</v>
      </c>
      <c r="H18778" s="5">
        <v>6310</v>
      </c>
    </row>
    <row r="18779" spans="2:8" ht="15" customHeight="1" x14ac:dyDescent="0.4">
      <c r="B18779" t="s">
        <v>7</v>
      </c>
      <c r="C18779" t="s">
        <v>1073</v>
      </c>
      <c r="D18779" s="7">
        <f>DATE(2015,7,2)</f>
        <v>42187</v>
      </c>
      <c r="E18779" s="8">
        <f t="shared" si="307"/>
        <v>2015</v>
      </c>
      <c r="F18779" t="s">
        <v>3037</v>
      </c>
      <c r="G18779" s="9">
        <v>2824.34</v>
      </c>
      <c r="H18779" s="8">
        <v>20809</v>
      </c>
    </row>
    <row r="18780" spans="2:8" ht="15" customHeight="1" x14ac:dyDescent="0.4">
      <c r="B18780" t="s">
        <v>7</v>
      </c>
      <c r="C18780" t="s">
        <v>1073</v>
      </c>
      <c r="D18780" s="7">
        <f>DATE(2016,6,21)</f>
        <v>42542</v>
      </c>
      <c r="E18780" s="8">
        <f t="shared" si="307"/>
        <v>2016</v>
      </c>
      <c r="F18780" t="s">
        <v>3037</v>
      </c>
      <c r="G18780" s="9">
        <v>4345.1099999999997</v>
      </c>
      <c r="H18780" s="8">
        <v>22965</v>
      </c>
    </row>
    <row r="18781" spans="2:8" ht="15" customHeight="1" x14ac:dyDescent="0.4">
      <c r="B18781" t="s">
        <v>7</v>
      </c>
      <c r="C18781" t="s">
        <v>1073</v>
      </c>
      <c r="D18781" s="7">
        <f>DATE(2017,10,5)</f>
        <v>43013</v>
      </c>
      <c r="E18781" s="8">
        <f t="shared" si="307"/>
        <v>2017</v>
      </c>
      <c r="F18781" t="s">
        <v>3037</v>
      </c>
      <c r="G18781" s="9">
        <v>5524.85</v>
      </c>
      <c r="H18781" s="8">
        <v>25671</v>
      </c>
    </row>
    <row r="18782" spans="2:8" ht="15" customHeight="1" x14ac:dyDescent="0.4">
      <c r="B18782" s="3" t="s">
        <v>7</v>
      </c>
      <c r="C18782" s="3" t="s">
        <v>3038</v>
      </c>
      <c r="D18782" s="4">
        <f>DATE(2007,7,24)</f>
        <v>39287</v>
      </c>
      <c r="E18782" s="5">
        <f t="shared" si="307"/>
        <v>2007</v>
      </c>
      <c r="F18782" s="3" t="s">
        <v>3039</v>
      </c>
      <c r="G18782" s="6">
        <v>2240.65</v>
      </c>
      <c r="H18782" s="5">
        <v>2342</v>
      </c>
    </row>
    <row r="18783" spans="2:8" ht="15" customHeight="1" x14ac:dyDescent="0.4">
      <c r="B18783" s="3" t="s">
        <v>7</v>
      </c>
      <c r="C18783" s="3" t="s">
        <v>3038</v>
      </c>
      <c r="D18783" s="4">
        <f>DATE(2007,11,13)</f>
        <v>39399</v>
      </c>
      <c r="E18783" s="5">
        <f t="shared" si="307"/>
        <v>2007</v>
      </c>
      <c r="F18783" s="3" t="s">
        <v>3039</v>
      </c>
      <c r="G18783" s="6">
        <v>136.36000000000001</v>
      </c>
      <c r="H18783" s="5">
        <v>2492</v>
      </c>
    </row>
    <row r="18784" spans="2:8" ht="15" customHeight="1" x14ac:dyDescent="0.4">
      <c r="B18784" s="3" t="s">
        <v>7</v>
      </c>
      <c r="C18784" s="3" t="s">
        <v>3038</v>
      </c>
      <c r="D18784" s="4">
        <f>DATE(2006,3,1)</f>
        <v>38777</v>
      </c>
      <c r="E18784" s="5">
        <f t="shared" si="307"/>
        <v>2006</v>
      </c>
      <c r="F18784" s="3" t="s">
        <v>3040</v>
      </c>
      <c r="G18784" s="6">
        <v>267.58</v>
      </c>
      <c r="H18784" s="5">
        <v>1477</v>
      </c>
    </row>
    <row r="18785" spans="2:8" ht="15" customHeight="1" x14ac:dyDescent="0.4">
      <c r="B18785" s="3" t="s">
        <v>7</v>
      </c>
      <c r="C18785" s="3" t="s">
        <v>3038</v>
      </c>
      <c r="D18785" s="4">
        <f>DATE(2006,1,20)</f>
        <v>38737</v>
      </c>
      <c r="E18785" s="5">
        <f t="shared" si="307"/>
        <v>2006</v>
      </c>
      <c r="F18785" s="3" t="s">
        <v>3040</v>
      </c>
      <c r="G18785" s="6">
        <v>195.95</v>
      </c>
      <c r="H18785" s="5">
        <v>1413</v>
      </c>
    </row>
    <row r="18786" spans="2:8" ht="15" customHeight="1" x14ac:dyDescent="0.4">
      <c r="B18786" s="3" t="s">
        <v>7</v>
      </c>
      <c r="C18786" s="3" t="s">
        <v>3038</v>
      </c>
      <c r="D18786" s="4">
        <f>DATE(2006,5,5)</f>
        <v>38842</v>
      </c>
      <c r="E18786" s="5">
        <f t="shared" si="307"/>
        <v>2006</v>
      </c>
      <c r="F18786" s="3" t="s">
        <v>3040</v>
      </c>
      <c r="G18786" s="6">
        <v>1828.28</v>
      </c>
      <c r="H18786" s="5">
        <v>1562</v>
      </c>
    </row>
    <row r="18787" spans="2:8" ht="15" customHeight="1" x14ac:dyDescent="0.4">
      <c r="B18787" s="3" t="s">
        <v>7</v>
      </c>
      <c r="C18787" s="3" t="s">
        <v>3038</v>
      </c>
      <c r="D18787" s="4">
        <f>DATE(2006,10,27)</f>
        <v>39017</v>
      </c>
      <c r="E18787" s="5">
        <f t="shared" si="307"/>
        <v>2006</v>
      </c>
      <c r="F18787" s="3" t="s">
        <v>3040</v>
      </c>
      <c r="G18787" s="6">
        <v>694.45</v>
      </c>
      <c r="H18787" s="5">
        <v>1865</v>
      </c>
    </row>
    <row r="18788" spans="2:8" ht="15" customHeight="1" x14ac:dyDescent="0.4">
      <c r="B18788" s="3" t="s">
        <v>7</v>
      </c>
      <c r="C18788" s="3" t="s">
        <v>3038</v>
      </c>
      <c r="D18788" s="4">
        <f>DATE(2006,11,22)</f>
        <v>39043</v>
      </c>
      <c r="E18788" s="5">
        <f t="shared" si="307"/>
        <v>2006</v>
      </c>
      <c r="F18788" s="3" t="s">
        <v>3040</v>
      </c>
      <c r="G18788" s="6">
        <v>213.41</v>
      </c>
      <c r="H18788" s="5">
        <v>1930</v>
      </c>
    </row>
    <row r="18789" spans="2:8" ht="15" customHeight="1" x14ac:dyDescent="0.4">
      <c r="B18789" s="3" t="s">
        <v>7</v>
      </c>
      <c r="C18789" s="3" t="s">
        <v>3038</v>
      </c>
      <c r="D18789" s="4">
        <f>DATE(2007,2,2)</f>
        <v>39115</v>
      </c>
      <c r="E18789" s="5">
        <f t="shared" si="307"/>
        <v>2007</v>
      </c>
      <c r="F18789" s="3" t="s">
        <v>3040</v>
      </c>
      <c r="G18789" s="6">
        <v>1531.96</v>
      </c>
      <c r="H18789" s="5">
        <v>2026</v>
      </c>
    </row>
    <row r="18790" spans="2:8" ht="15" customHeight="1" x14ac:dyDescent="0.4">
      <c r="B18790" s="3" t="s">
        <v>16</v>
      </c>
      <c r="C18790" s="3" t="s">
        <v>3038</v>
      </c>
      <c r="D18790" s="4">
        <f>DATE(2007,2,16)</f>
        <v>39129</v>
      </c>
      <c r="E18790" s="5">
        <f t="shared" si="307"/>
        <v>2007</v>
      </c>
      <c r="F18790" s="3" t="s">
        <v>3040</v>
      </c>
      <c r="G18790" s="6">
        <v>1425.35</v>
      </c>
      <c r="H18790" s="5">
        <v>2071</v>
      </c>
    </row>
    <row r="18791" spans="2:8" ht="15" customHeight="1" x14ac:dyDescent="0.4">
      <c r="B18791" s="3" t="s">
        <v>7</v>
      </c>
      <c r="C18791" s="3" t="s">
        <v>3041</v>
      </c>
      <c r="D18791" s="4">
        <f>DATE(2003,1,10)</f>
        <v>37631</v>
      </c>
      <c r="E18791" s="5">
        <f t="shared" si="307"/>
        <v>2003</v>
      </c>
      <c r="F18791" s="3" t="s">
        <v>3042</v>
      </c>
      <c r="G18791" s="6">
        <v>5976</v>
      </c>
      <c r="H18791" s="5">
        <v>4</v>
      </c>
    </row>
    <row r="18792" spans="2:8" ht="15" customHeight="1" x14ac:dyDescent="0.4">
      <c r="B18792" s="3" t="s">
        <v>7</v>
      </c>
      <c r="C18792" s="3" t="s">
        <v>3041</v>
      </c>
      <c r="D18792" s="4">
        <f>DATE(2003,2,6)</f>
        <v>37658</v>
      </c>
      <c r="E18792" s="5">
        <f t="shared" si="307"/>
        <v>2003</v>
      </c>
      <c r="F18792" s="3" t="s">
        <v>3042</v>
      </c>
      <c r="G18792" s="6">
        <v>489.3</v>
      </c>
      <c r="H18792" s="5">
        <v>214</v>
      </c>
    </row>
    <row r="18793" spans="2:8" ht="15" customHeight="1" x14ac:dyDescent="0.4">
      <c r="B18793" s="3" t="s">
        <v>7</v>
      </c>
      <c r="C18793" s="3" t="s">
        <v>3041</v>
      </c>
      <c r="D18793" s="4">
        <f>DATE(2003,2,13)</f>
        <v>37665</v>
      </c>
      <c r="E18793" s="5">
        <f t="shared" si="307"/>
        <v>2003</v>
      </c>
      <c r="F18793" s="3" t="s">
        <v>3042</v>
      </c>
      <c r="G18793" s="6">
        <v>3411.3</v>
      </c>
      <c r="H18793" s="5">
        <v>4</v>
      </c>
    </row>
    <row r="18794" spans="2:8" ht="15" customHeight="1" x14ac:dyDescent="0.4">
      <c r="B18794" s="3" t="s">
        <v>7</v>
      </c>
      <c r="C18794" s="3" t="s">
        <v>3041</v>
      </c>
      <c r="D18794" s="4">
        <f>DATE(2003,2,13)</f>
        <v>37665</v>
      </c>
      <c r="E18794" s="5">
        <f t="shared" si="307"/>
        <v>2003</v>
      </c>
      <c r="F18794" s="3" t="s">
        <v>3042</v>
      </c>
      <c r="G18794" s="6">
        <v>1992</v>
      </c>
      <c r="H18794" s="5">
        <v>117</v>
      </c>
    </row>
    <row r="18795" spans="2:8" ht="15" customHeight="1" x14ac:dyDescent="0.4">
      <c r="B18795" s="3" t="s">
        <v>7</v>
      </c>
      <c r="C18795" s="3" t="s">
        <v>3041</v>
      </c>
      <c r="D18795" s="4">
        <f>DATE(2003,1,27)</f>
        <v>37648</v>
      </c>
      <c r="E18795" s="5">
        <f t="shared" si="307"/>
        <v>2003</v>
      </c>
      <c r="F18795" s="3" t="s">
        <v>3042</v>
      </c>
      <c r="G18795" s="6">
        <v>9387</v>
      </c>
      <c r="H18795" s="5">
        <v>437</v>
      </c>
    </row>
    <row r="18796" spans="2:8" ht="15" customHeight="1" x14ac:dyDescent="0.4">
      <c r="B18796" s="3" t="s">
        <v>7</v>
      </c>
      <c r="C18796" s="3" t="s">
        <v>3041</v>
      </c>
      <c r="D18796" s="4">
        <f>DATE(2003,3,13)</f>
        <v>37693</v>
      </c>
      <c r="E18796" s="5">
        <f t="shared" si="307"/>
        <v>2003</v>
      </c>
      <c r="F18796" s="3" t="s">
        <v>3042</v>
      </c>
      <c r="G18796" s="6">
        <v>64</v>
      </c>
      <c r="H18796" s="5">
        <v>513</v>
      </c>
    </row>
    <row r="18797" spans="2:8" ht="15" customHeight="1" x14ac:dyDescent="0.4">
      <c r="B18797" s="3" t="s">
        <v>7</v>
      </c>
      <c r="C18797" s="3" t="s">
        <v>3041</v>
      </c>
      <c r="D18797" s="4">
        <f>DATE(2003,3,20)</f>
        <v>37700</v>
      </c>
      <c r="E18797" s="5">
        <f t="shared" si="307"/>
        <v>2003</v>
      </c>
      <c r="F18797" s="3" t="s">
        <v>3042</v>
      </c>
      <c r="G18797" s="6">
        <v>7095</v>
      </c>
      <c r="H18797" s="5">
        <v>276</v>
      </c>
    </row>
    <row r="18798" spans="2:8" ht="15" customHeight="1" x14ac:dyDescent="0.4">
      <c r="B18798" s="3" t="s">
        <v>7</v>
      </c>
      <c r="C18798" s="3" t="s">
        <v>3041</v>
      </c>
      <c r="D18798" s="4">
        <f>DATE(2003,4,4)</f>
        <v>37715</v>
      </c>
      <c r="E18798" s="5">
        <f t="shared" si="307"/>
        <v>2003</v>
      </c>
      <c r="F18798" s="3" t="s">
        <v>3042</v>
      </c>
      <c r="G18798" s="6">
        <v>7560</v>
      </c>
      <c r="H18798" s="5">
        <v>680</v>
      </c>
    </row>
    <row r="18799" spans="2:8" ht="15" customHeight="1" x14ac:dyDescent="0.4">
      <c r="B18799" s="3" t="s">
        <v>7</v>
      </c>
      <c r="C18799" s="3" t="s">
        <v>3041</v>
      </c>
      <c r="D18799" s="4">
        <f>DATE(2003,4,30)</f>
        <v>37741</v>
      </c>
      <c r="E18799" s="5">
        <f t="shared" si="307"/>
        <v>2003</v>
      </c>
      <c r="F18799" s="3" t="s">
        <v>3042</v>
      </c>
      <c r="G18799" s="6">
        <v>1100</v>
      </c>
      <c r="H18799" s="5">
        <v>883</v>
      </c>
    </row>
    <row r="18800" spans="2:8" ht="15" customHeight="1" x14ac:dyDescent="0.4">
      <c r="B18800" s="3" t="s">
        <v>7</v>
      </c>
      <c r="C18800" s="3" t="s">
        <v>3041</v>
      </c>
      <c r="D18800" s="4">
        <f>DATE(2003,7,25)</f>
        <v>37827</v>
      </c>
      <c r="E18800" s="5">
        <f t="shared" si="307"/>
        <v>2003</v>
      </c>
      <c r="F18800" s="3" t="s">
        <v>3042</v>
      </c>
      <c r="G18800" s="6">
        <v>4200</v>
      </c>
      <c r="H18800" s="5">
        <v>1218</v>
      </c>
    </row>
    <row r="18801" spans="2:8" ht="15" customHeight="1" x14ac:dyDescent="0.4">
      <c r="B18801" s="3" t="s">
        <v>7</v>
      </c>
      <c r="C18801" s="3" t="s">
        <v>3041</v>
      </c>
      <c r="D18801" s="4">
        <f>DATE(2003,9,11)</f>
        <v>37875</v>
      </c>
      <c r="E18801" s="5">
        <f t="shared" si="307"/>
        <v>2003</v>
      </c>
      <c r="F18801" s="3" t="s">
        <v>3042</v>
      </c>
      <c r="G18801" s="6">
        <v>8400</v>
      </c>
      <c r="H18801" s="5">
        <v>1465</v>
      </c>
    </row>
    <row r="18802" spans="2:8" ht="15" customHeight="1" x14ac:dyDescent="0.4">
      <c r="B18802" s="3" t="s">
        <v>7</v>
      </c>
      <c r="C18802" s="3" t="s">
        <v>3041</v>
      </c>
      <c r="D18802" s="4">
        <f>DATE(2004,3,9)</f>
        <v>38055</v>
      </c>
      <c r="E18802" s="5">
        <f t="shared" si="307"/>
        <v>2004</v>
      </c>
      <c r="F18802" s="3" t="s">
        <v>3042</v>
      </c>
      <c r="G18802" s="6">
        <v>1992</v>
      </c>
      <c r="H18802" s="5">
        <v>2290</v>
      </c>
    </row>
    <row r="18803" spans="2:8" ht="15" customHeight="1" x14ac:dyDescent="0.4">
      <c r="B18803" s="3" t="s">
        <v>7</v>
      </c>
      <c r="C18803" s="3" t="s">
        <v>3041</v>
      </c>
      <c r="D18803" s="4">
        <f>DATE(2004,5,7)</f>
        <v>38114</v>
      </c>
      <c r="E18803" s="5">
        <f t="shared" si="307"/>
        <v>2004</v>
      </c>
      <c r="F18803" s="3" t="s">
        <v>3042</v>
      </c>
      <c r="G18803" s="6">
        <v>1515</v>
      </c>
      <c r="H18803" s="5">
        <v>2812</v>
      </c>
    </row>
    <row r="18804" spans="2:8" ht="15" customHeight="1" x14ac:dyDescent="0.4">
      <c r="B18804" s="3" t="s">
        <v>7</v>
      </c>
      <c r="C18804" s="3" t="s">
        <v>3041</v>
      </c>
      <c r="D18804" s="4">
        <f>DATE(2004,10,7)</f>
        <v>38267</v>
      </c>
      <c r="E18804" s="5">
        <f t="shared" si="307"/>
        <v>2004</v>
      </c>
      <c r="F18804" s="3" t="s">
        <v>3042</v>
      </c>
      <c r="G18804" s="6">
        <v>315</v>
      </c>
      <c r="H18804" s="5">
        <v>3527</v>
      </c>
    </row>
    <row r="18805" spans="2:8" ht="15" customHeight="1" x14ac:dyDescent="0.4">
      <c r="B18805" s="3" t="s">
        <v>7</v>
      </c>
      <c r="C18805" s="3" t="s">
        <v>3041</v>
      </c>
      <c r="D18805" s="4">
        <f>DATE(2005,2,15)</f>
        <v>38398</v>
      </c>
      <c r="E18805" s="5">
        <f t="shared" si="307"/>
        <v>2005</v>
      </c>
      <c r="F18805" s="3" t="s">
        <v>3042</v>
      </c>
      <c r="G18805" s="6">
        <v>1992</v>
      </c>
      <c r="H18805" s="5">
        <v>4107</v>
      </c>
    </row>
    <row r="18806" spans="2:8" ht="15" customHeight="1" x14ac:dyDescent="0.4">
      <c r="B18806" s="3" t="s">
        <v>7</v>
      </c>
      <c r="C18806" s="3" t="s">
        <v>3041</v>
      </c>
      <c r="D18806" s="4">
        <f>DATE(2005,4,14)</f>
        <v>38456</v>
      </c>
      <c r="E18806" s="5">
        <f t="shared" si="307"/>
        <v>2005</v>
      </c>
      <c r="F18806" s="3" t="s">
        <v>3042</v>
      </c>
      <c r="G18806" s="6">
        <v>7050</v>
      </c>
      <c r="H18806" s="5">
        <v>4523</v>
      </c>
    </row>
    <row r="18807" spans="2:8" ht="15" customHeight="1" x14ac:dyDescent="0.4">
      <c r="B18807" s="3" t="s">
        <v>7</v>
      </c>
      <c r="C18807" s="3" t="s">
        <v>3041</v>
      </c>
      <c r="D18807" s="4">
        <f>DATE(2005,6,1)</f>
        <v>38504</v>
      </c>
      <c r="E18807" s="5">
        <f t="shared" si="307"/>
        <v>2005</v>
      </c>
      <c r="F18807" s="3" t="s">
        <v>3042</v>
      </c>
      <c r="G18807" s="6">
        <v>3675</v>
      </c>
      <c r="H18807" s="5">
        <v>4789</v>
      </c>
    </row>
    <row r="18808" spans="2:8" ht="15" customHeight="1" x14ac:dyDescent="0.4">
      <c r="B18808" s="3" t="s">
        <v>7</v>
      </c>
      <c r="C18808" s="3" t="s">
        <v>3041</v>
      </c>
      <c r="D18808" s="4">
        <f>DATE(2005,7,15)</f>
        <v>38548</v>
      </c>
      <c r="E18808" s="5">
        <f t="shared" si="307"/>
        <v>2005</v>
      </c>
      <c r="F18808" s="3" t="s">
        <v>3042</v>
      </c>
      <c r="G18808" s="6">
        <v>2092</v>
      </c>
      <c r="H18808" s="5">
        <v>4945</v>
      </c>
    </row>
    <row r="18809" spans="2:8" ht="15" customHeight="1" x14ac:dyDescent="0.4">
      <c r="B18809" s="3" t="s">
        <v>7</v>
      </c>
      <c r="C18809" s="3" t="s">
        <v>3041</v>
      </c>
      <c r="D18809" s="4">
        <f>DATE(2005,9,27)</f>
        <v>38622</v>
      </c>
      <c r="E18809" s="5">
        <f t="shared" si="307"/>
        <v>2005</v>
      </c>
      <c r="F18809" s="3" t="s">
        <v>3042</v>
      </c>
      <c r="G18809" s="6">
        <v>1764</v>
      </c>
      <c r="H18809" s="5">
        <v>5329</v>
      </c>
    </row>
    <row r="18810" spans="2:8" ht="15" customHeight="1" x14ac:dyDescent="0.4">
      <c r="B18810" s="3" t="s">
        <v>7</v>
      </c>
      <c r="C18810" s="3" t="s">
        <v>3041</v>
      </c>
      <c r="D18810" s="4">
        <f>DATE(2005,10,20)</f>
        <v>38645</v>
      </c>
      <c r="E18810" s="5">
        <f t="shared" si="307"/>
        <v>2005</v>
      </c>
      <c r="F18810" s="3" t="s">
        <v>3042</v>
      </c>
      <c r="G18810" s="6">
        <v>2092</v>
      </c>
      <c r="H18810" s="5">
        <v>5456</v>
      </c>
    </row>
    <row r="18811" spans="2:8" ht="15" customHeight="1" x14ac:dyDescent="0.4">
      <c r="B18811" s="3" t="s">
        <v>7</v>
      </c>
      <c r="C18811" s="3" t="s">
        <v>3041</v>
      </c>
      <c r="D18811" s="4">
        <f>DATE(2005,11,18)</f>
        <v>38674</v>
      </c>
      <c r="E18811" s="5">
        <f t="shared" si="307"/>
        <v>2005</v>
      </c>
      <c r="F18811" s="3" t="s">
        <v>3042</v>
      </c>
      <c r="G18811" s="6">
        <v>2092</v>
      </c>
      <c r="H18811" s="5">
        <v>5582</v>
      </c>
    </row>
    <row r="18812" spans="2:8" ht="15" customHeight="1" x14ac:dyDescent="0.4">
      <c r="B18812" s="3" t="s">
        <v>7</v>
      </c>
      <c r="C18812" s="3" t="s">
        <v>3041</v>
      </c>
      <c r="D18812" s="4">
        <f>DATE(2006,3,22)</f>
        <v>38798</v>
      </c>
      <c r="E18812" s="5">
        <f t="shared" si="307"/>
        <v>2006</v>
      </c>
      <c r="F18812" s="3" t="s">
        <v>3042</v>
      </c>
      <c r="G18812" s="6">
        <v>2092</v>
      </c>
      <c r="H18812" s="5">
        <v>6331</v>
      </c>
    </row>
    <row r="18813" spans="2:8" ht="15" customHeight="1" x14ac:dyDescent="0.4">
      <c r="B18813" s="3" t="s">
        <v>7</v>
      </c>
      <c r="C18813" s="3" t="s">
        <v>3041</v>
      </c>
      <c r="D18813" s="4">
        <f>DATE(2006,4,7)</f>
        <v>38814</v>
      </c>
      <c r="E18813" s="5">
        <f t="shared" si="307"/>
        <v>2006</v>
      </c>
      <c r="F18813" s="3" t="s">
        <v>3042</v>
      </c>
      <c r="G18813" s="6">
        <v>2092</v>
      </c>
      <c r="H18813" s="5">
        <v>6457</v>
      </c>
    </row>
    <row r="18814" spans="2:8" ht="15" customHeight="1" x14ac:dyDescent="0.4">
      <c r="B18814" s="3" t="s">
        <v>7</v>
      </c>
      <c r="C18814" s="3" t="s">
        <v>3041</v>
      </c>
      <c r="D18814" s="4">
        <f>DATE(2006,5,18)</f>
        <v>38855</v>
      </c>
      <c r="E18814" s="5">
        <f t="shared" si="307"/>
        <v>2006</v>
      </c>
      <c r="F18814" s="3" t="s">
        <v>3042</v>
      </c>
      <c r="G18814" s="6">
        <v>307.60000000000002</v>
      </c>
      <c r="H18814" s="5">
        <v>6727</v>
      </c>
    </row>
    <row r="18815" spans="2:8" ht="15" customHeight="1" x14ac:dyDescent="0.4">
      <c r="B18815" s="3" t="s">
        <v>7</v>
      </c>
      <c r="C18815" s="3" t="s">
        <v>3041</v>
      </c>
      <c r="D18815" s="4">
        <f>DATE(2006,5,19)</f>
        <v>38856</v>
      </c>
      <c r="E18815" s="5">
        <f t="shared" si="307"/>
        <v>2006</v>
      </c>
      <c r="F18815" s="3" t="s">
        <v>3042</v>
      </c>
      <c r="G18815" s="6">
        <v>3675</v>
      </c>
      <c r="H18815" s="5">
        <v>6736</v>
      </c>
    </row>
    <row r="18816" spans="2:8" ht="15" customHeight="1" x14ac:dyDescent="0.4">
      <c r="B18816" s="3" t="s">
        <v>7</v>
      </c>
      <c r="C18816" s="3" t="s">
        <v>3041</v>
      </c>
      <c r="D18816" s="4">
        <f>DATE(2006,9,8)</f>
        <v>38968</v>
      </c>
      <c r="E18816" s="5">
        <f t="shared" si="307"/>
        <v>2006</v>
      </c>
      <c r="F18816" s="3" t="s">
        <v>3042</v>
      </c>
      <c r="G18816" s="6">
        <v>2092</v>
      </c>
      <c r="H18816" s="5">
        <v>7194</v>
      </c>
    </row>
    <row r="18817" spans="2:8" ht="15" customHeight="1" x14ac:dyDescent="0.4">
      <c r="B18817" s="3" t="s">
        <v>7</v>
      </c>
      <c r="C18817" s="3" t="s">
        <v>3041</v>
      </c>
      <c r="D18817" s="4">
        <f>DATE(2006,12,29)</f>
        <v>39080</v>
      </c>
      <c r="E18817" s="5">
        <f t="shared" si="307"/>
        <v>2006</v>
      </c>
      <c r="F18817" s="3" t="s">
        <v>3042</v>
      </c>
      <c r="G18817" s="6">
        <v>2092</v>
      </c>
      <c r="H18817" s="5">
        <v>7692</v>
      </c>
    </row>
    <row r="18818" spans="2:8" ht="15" customHeight="1" x14ac:dyDescent="0.4">
      <c r="B18818" s="3" t="s">
        <v>7</v>
      </c>
      <c r="C18818" s="3" t="s">
        <v>3041</v>
      </c>
      <c r="D18818" s="4">
        <f>DATE(2007,3,9)</f>
        <v>39150</v>
      </c>
      <c r="E18818" s="5">
        <f t="shared" si="307"/>
        <v>2007</v>
      </c>
      <c r="F18818" s="3" t="s">
        <v>3042</v>
      </c>
      <c r="G18818" s="6">
        <v>2092</v>
      </c>
      <c r="H18818" s="5">
        <v>8088</v>
      </c>
    </row>
    <row r="18819" spans="2:8" ht="15" customHeight="1" x14ac:dyDescent="0.4">
      <c r="B18819" s="3" t="s">
        <v>7</v>
      </c>
      <c r="C18819" s="3" t="s">
        <v>3041</v>
      </c>
      <c r="D18819" s="4">
        <f>DATE(2007,4,3)</f>
        <v>39175</v>
      </c>
      <c r="E18819" s="5">
        <f t="shared" ref="E18819:E18882" si="308">YEAR(D18819)</f>
        <v>2007</v>
      </c>
      <c r="F18819" s="3" t="s">
        <v>3042</v>
      </c>
      <c r="G18819" s="6">
        <v>725</v>
      </c>
      <c r="H18819" s="5">
        <v>8065</v>
      </c>
    </row>
    <row r="18820" spans="2:8" ht="15" customHeight="1" x14ac:dyDescent="0.4">
      <c r="B18820" s="3" t="s">
        <v>7</v>
      </c>
      <c r="C18820" s="3" t="s">
        <v>3041</v>
      </c>
      <c r="D18820" s="4">
        <f>DATE(2007,5,3)</f>
        <v>39205</v>
      </c>
      <c r="E18820" s="5">
        <f t="shared" si="308"/>
        <v>2007</v>
      </c>
      <c r="F18820" s="3" t="s">
        <v>3042</v>
      </c>
      <c r="G18820" s="6">
        <v>2092</v>
      </c>
      <c r="H18820" s="5">
        <v>8424</v>
      </c>
    </row>
    <row r="18821" spans="2:8" ht="15" customHeight="1" x14ac:dyDescent="0.4">
      <c r="B18821" s="3" t="s">
        <v>7</v>
      </c>
      <c r="C18821" s="3" t="s">
        <v>3041</v>
      </c>
      <c r="D18821" s="4">
        <f>DATE(2007,5,31)</f>
        <v>39233</v>
      </c>
      <c r="E18821" s="5">
        <f t="shared" si="308"/>
        <v>2007</v>
      </c>
      <c r="F18821" s="3" t="s">
        <v>3042</v>
      </c>
      <c r="G18821" s="6">
        <v>2092</v>
      </c>
      <c r="H18821" s="5">
        <v>8641</v>
      </c>
    </row>
    <row r="18822" spans="2:8" ht="15" customHeight="1" x14ac:dyDescent="0.4">
      <c r="B18822" s="3" t="s">
        <v>7</v>
      </c>
      <c r="C18822" s="3" t="s">
        <v>3041</v>
      </c>
      <c r="D18822" s="4">
        <f>DATE(2007,9,5)</f>
        <v>39330</v>
      </c>
      <c r="E18822" s="5">
        <f t="shared" si="308"/>
        <v>2007</v>
      </c>
      <c r="F18822" s="3" t="s">
        <v>3042</v>
      </c>
      <c r="G18822" s="6">
        <v>2092</v>
      </c>
      <c r="H18822" s="5">
        <v>9112</v>
      </c>
    </row>
    <row r="18823" spans="2:8" ht="15" customHeight="1" x14ac:dyDescent="0.4">
      <c r="B18823" s="3" t="s">
        <v>7</v>
      </c>
      <c r="C18823" s="3" t="s">
        <v>3041</v>
      </c>
      <c r="D18823" s="4">
        <f>DATE(2007,11,16)</f>
        <v>39402</v>
      </c>
      <c r="E18823" s="5">
        <f t="shared" si="308"/>
        <v>2007</v>
      </c>
      <c r="F18823" s="3" t="s">
        <v>3042</v>
      </c>
      <c r="G18823" s="6">
        <v>2092</v>
      </c>
      <c r="H18823" s="5">
        <v>9479</v>
      </c>
    </row>
    <row r="18824" spans="2:8" ht="15" customHeight="1" x14ac:dyDescent="0.4">
      <c r="B18824" s="3" t="s">
        <v>7</v>
      </c>
      <c r="C18824" s="3" t="s">
        <v>3041</v>
      </c>
      <c r="D18824" s="4">
        <f>DATE(2008,1,17)</f>
        <v>39464</v>
      </c>
      <c r="E18824" s="5">
        <f t="shared" si="308"/>
        <v>2008</v>
      </c>
      <c r="F18824" s="3" t="s">
        <v>3042</v>
      </c>
      <c r="G18824" s="6">
        <v>2092</v>
      </c>
      <c r="H18824" s="5">
        <v>9716</v>
      </c>
    </row>
    <row r="18825" spans="2:8" ht="15" customHeight="1" x14ac:dyDescent="0.4">
      <c r="B18825" s="3" t="s">
        <v>7</v>
      </c>
      <c r="C18825" s="3" t="s">
        <v>3041</v>
      </c>
      <c r="D18825" s="4">
        <f>DATE(2008,4,7)</f>
        <v>39545</v>
      </c>
      <c r="E18825" s="5">
        <f t="shared" si="308"/>
        <v>2008</v>
      </c>
      <c r="F18825" s="3" t="s">
        <v>3042</v>
      </c>
      <c r="G18825" s="6">
        <v>392.25</v>
      </c>
      <c r="H18825" s="5">
        <v>10371</v>
      </c>
    </row>
    <row r="18826" spans="2:8" ht="15" customHeight="1" x14ac:dyDescent="0.4">
      <c r="B18826" s="3" t="s">
        <v>7</v>
      </c>
      <c r="C18826" s="3" t="s">
        <v>3041</v>
      </c>
      <c r="D18826" s="4">
        <f>DATE(2008,4,16)</f>
        <v>39554</v>
      </c>
      <c r="E18826" s="5">
        <f t="shared" si="308"/>
        <v>2008</v>
      </c>
      <c r="F18826" s="3" t="s">
        <v>3042</v>
      </c>
      <c r="G18826" s="6">
        <v>7457.98</v>
      </c>
      <c r="H18826" s="5">
        <v>10207</v>
      </c>
    </row>
    <row r="18827" spans="2:8" ht="15" customHeight="1" x14ac:dyDescent="0.4">
      <c r="B18827" s="3" t="s">
        <v>7</v>
      </c>
      <c r="C18827" s="3" t="s">
        <v>3041</v>
      </c>
      <c r="D18827" s="4">
        <f>DATE(2008,6,6)</f>
        <v>39605</v>
      </c>
      <c r="E18827" s="5">
        <f t="shared" si="308"/>
        <v>2008</v>
      </c>
      <c r="F18827" s="3" t="s">
        <v>3042</v>
      </c>
      <c r="G18827" s="6">
        <v>2092</v>
      </c>
      <c r="H18827" s="5">
        <v>10802</v>
      </c>
    </row>
    <row r="18828" spans="2:8" ht="15" customHeight="1" x14ac:dyDescent="0.4">
      <c r="B18828" s="3" t="s">
        <v>7</v>
      </c>
      <c r="C18828" s="3" t="s">
        <v>3041</v>
      </c>
      <c r="D18828" s="4">
        <f>DATE(2008,10,22)</f>
        <v>39743</v>
      </c>
      <c r="E18828" s="5">
        <f t="shared" si="308"/>
        <v>2008</v>
      </c>
      <c r="F18828" s="3" t="s">
        <v>3042</v>
      </c>
      <c r="G18828" s="6">
        <v>2092</v>
      </c>
      <c r="H18828" s="5">
        <v>11445</v>
      </c>
    </row>
    <row r="18829" spans="2:8" ht="15" customHeight="1" x14ac:dyDescent="0.4">
      <c r="B18829" s="3" t="s">
        <v>7</v>
      </c>
      <c r="C18829" s="3" t="s">
        <v>3041</v>
      </c>
      <c r="D18829" s="4">
        <f>DATE(2008,12,4)</f>
        <v>39786</v>
      </c>
      <c r="E18829" s="5">
        <f t="shared" si="308"/>
        <v>2008</v>
      </c>
      <c r="F18829" s="3" t="s">
        <v>3042</v>
      </c>
      <c r="G18829" s="6">
        <v>1118</v>
      </c>
      <c r="H18829" s="5">
        <v>11638</v>
      </c>
    </row>
    <row r="18830" spans="2:8" ht="15" customHeight="1" x14ac:dyDescent="0.4">
      <c r="B18830" s="3" t="s">
        <v>7</v>
      </c>
      <c r="C18830" s="3" t="s">
        <v>3041</v>
      </c>
      <c r="D18830" s="4">
        <f>DATE(2009,1,9)</f>
        <v>39822</v>
      </c>
      <c r="E18830" s="5">
        <f t="shared" si="308"/>
        <v>2009</v>
      </c>
      <c r="F18830" s="3" t="s">
        <v>3042</v>
      </c>
      <c r="G18830" s="6">
        <v>3913</v>
      </c>
      <c r="H18830" s="5">
        <v>11711</v>
      </c>
    </row>
    <row r="18831" spans="2:8" ht="15" customHeight="1" x14ac:dyDescent="0.4">
      <c r="B18831" s="3" t="s">
        <v>7</v>
      </c>
      <c r="C18831" s="3" t="s">
        <v>3041</v>
      </c>
      <c r="D18831" s="4">
        <f>DATE(2009,1,15)</f>
        <v>39828</v>
      </c>
      <c r="E18831" s="5">
        <f t="shared" si="308"/>
        <v>2009</v>
      </c>
      <c r="F18831" s="3" t="s">
        <v>3042</v>
      </c>
      <c r="G18831" s="6">
        <v>2092</v>
      </c>
      <c r="H18831" s="5">
        <v>11810</v>
      </c>
    </row>
    <row r="18832" spans="2:8" ht="15" customHeight="1" x14ac:dyDescent="0.4">
      <c r="B18832" s="3" t="s">
        <v>7</v>
      </c>
      <c r="C18832" s="3" t="s">
        <v>3041</v>
      </c>
      <c r="D18832" s="4">
        <f>DATE(2009,3,27)</f>
        <v>39899</v>
      </c>
      <c r="E18832" s="5">
        <f t="shared" si="308"/>
        <v>2009</v>
      </c>
      <c r="F18832" s="3" t="s">
        <v>3042</v>
      </c>
      <c r="G18832" s="6">
        <v>2092</v>
      </c>
      <c r="H18832" s="5">
        <v>12288</v>
      </c>
    </row>
    <row r="18833" spans="2:8" ht="15" customHeight="1" x14ac:dyDescent="0.4">
      <c r="B18833" s="3" t="s">
        <v>7</v>
      </c>
      <c r="C18833" s="3" t="s">
        <v>3041</v>
      </c>
      <c r="D18833" s="4">
        <f>DATE(2009,5,27)</f>
        <v>39960</v>
      </c>
      <c r="E18833" s="5">
        <f t="shared" si="308"/>
        <v>2009</v>
      </c>
      <c r="F18833" s="3" t="s">
        <v>3042</v>
      </c>
      <c r="G18833" s="6">
        <v>68</v>
      </c>
      <c r="H18833" s="5">
        <v>12594</v>
      </c>
    </row>
    <row r="18834" spans="2:8" ht="15" customHeight="1" x14ac:dyDescent="0.4">
      <c r="B18834" s="3" t="s">
        <v>7</v>
      </c>
      <c r="C18834" s="3" t="s">
        <v>3041</v>
      </c>
      <c r="D18834" s="4">
        <f>DATE(2009,6,5)</f>
        <v>39969</v>
      </c>
      <c r="E18834" s="5">
        <f t="shared" si="308"/>
        <v>2009</v>
      </c>
      <c r="F18834" s="3" t="s">
        <v>3042</v>
      </c>
      <c r="G18834" s="6">
        <v>31.5</v>
      </c>
      <c r="H18834" s="5">
        <v>12657</v>
      </c>
    </row>
    <row r="18835" spans="2:8" ht="15" customHeight="1" x14ac:dyDescent="0.4">
      <c r="B18835" s="3" t="s">
        <v>7</v>
      </c>
      <c r="C18835" s="3" t="s">
        <v>3041</v>
      </c>
      <c r="D18835" s="4">
        <f>DATE(2009,6,23)</f>
        <v>39987</v>
      </c>
      <c r="E18835" s="5">
        <f t="shared" si="308"/>
        <v>2009</v>
      </c>
      <c r="F18835" s="3" t="s">
        <v>3042</v>
      </c>
      <c r="G18835" s="6">
        <v>2454.9</v>
      </c>
      <c r="H18835" s="5">
        <v>12701</v>
      </c>
    </row>
    <row r="18836" spans="2:8" ht="15" customHeight="1" x14ac:dyDescent="0.4">
      <c r="B18836" s="3" t="s">
        <v>7</v>
      </c>
      <c r="C18836" s="3" t="s">
        <v>3041</v>
      </c>
      <c r="D18836" s="4">
        <f>DATE(2009,7,16)</f>
        <v>40010</v>
      </c>
      <c r="E18836" s="5">
        <f t="shared" si="308"/>
        <v>2009</v>
      </c>
      <c r="F18836" s="3" t="s">
        <v>3042</v>
      </c>
      <c r="G18836" s="6">
        <v>99.5</v>
      </c>
      <c r="H18836" s="5">
        <v>12807</v>
      </c>
    </row>
    <row r="18837" spans="2:8" ht="15" customHeight="1" x14ac:dyDescent="0.4">
      <c r="B18837" s="3" t="s">
        <v>7</v>
      </c>
      <c r="C18837" s="3" t="s">
        <v>3041</v>
      </c>
      <c r="D18837" s="4">
        <f>DATE(2009,11,12)</f>
        <v>40129</v>
      </c>
      <c r="E18837" s="5">
        <f t="shared" si="308"/>
        <v>2009</v>
      </c>
      <c r="F18837" s="3" t="s">
        <v>3042</v>
      </c>
      <c r="G18837" s="6">
        <v>2092</v>
      </c>
      <c r="H18837" s="5">
        <v>13236</v>
      </c>
    </row>
    <row r="18838" spans="2:8" ht="15" customHeight="1" x14ac:dyDescent="0.4">
      <c r="B18838" s="3" t="s">
        <v>7</v>
      </c>
      <c r="C18838" s="3" t="s">
        <v>3041</v>
      </c>
      <c r="D18838" s="4">
        <f>DATE(2010,4,20)</f>
        <v>40288</v>
      </c>
      <c r="E18838" s="5">
        <f t="shared" si="308"/>
        <v>2010</v>
      </c>
      <c r="F18838" s="3" t="s">
        <v>3042</v>
      </c>
      <c r="G18838" s="6">
        <v>6276</v>
      </c>
      <c r="H18838" s="5">
        <v>13915</v>
      </c>
    </row>
    <row r="18839" spans="2:8" ht="15" customHeight="1" x14ac:dyDescent="0.4">
      <c r="B18839" s="3" t="s">
        <v>7</v>
      </c>
      <c r="C18839" s="3" t="s">
        <v>3041</v>
      </c>
      <c r="D18839" s="4">
        <f>DATE(2010,6,11)</f>
        <v>40340</v>
      </c>
      <c r="E18839" s="5">
        <f t="shared" si="308"/>
        <v>2010</v>
      </c>
      <c r="F18839" s="3" t="s">
        <v>3042</v>
      </c>
      <c r="G18839" s="6">
        <v>2092</v>
      </c>
      <c r="H18839" s="5">
        <v>14129</v>
      </c>
    </row>
    <row r="18840" spans="2:8" ht="15" customHeight="1" x14ac:dyDescent="0.4">
      <c r="B18840" s="3" t="s">
        <v>7</v>
      </c>
      <c r="C18840" s="3" t="s">
        <v>3041</v>
      </c>
      <c r="D18840" s="4">
        <f>DATE(2010,8,6)</f>
        <v>40396</v>
      </c>
      <c r="E18840" s="5">
        <f t="shared" si="308"/>
        <v>2010</v>
      </c>
      <c r="F18840" s="3" t="s">
        <v>3042</v>
      </c>
      <c r="G18840" s="6">
        <v>6799</v>
      </c>
      <c r="H18840" s="5">
        <v>14349</v>
      </c>
    </row>
    <row r="18841" spans="2:8" ht="15" customHeight="1" x14ac:dyDescent="0.4">
      <c r="B18841" s="3" t="s">
        <v>7</v>
      </c>
      <c r="C18841" s="3" t="s">
        <v>3041</v>
      </c>
      <c r="D18841" s="4">
        <f>DATE(2010,9,16)</f>
        <v>40437</v>
      </c>
      <c r="E18841" s="5">
        <f t="shared" si="308"/>
        <v>2010</v>
      </c>
      <c r="F18841" s="3" t="s">
        <v>3042</v>
      </c>
      <c r="G18841" s="6">
        <v>4542</v>
      </c>
      <c r="H18841" s="5">
        <v>14511</v>
      </c>
    </row>
    <row r="18842" spans="2:8" ht="15" customHeight="1" x14ac:dyDescent="0.4">
      <c r="B18842" s="3" t="s">
        <v>7</v>
      </c>
      <c r="C18842" s="3" t="s">
        <v>3041</v>
      </c>
      <c r="D18842" s="4">
        <f>DATE(2010,9,27)</f>
        <v>40448</v>
      </c>
      <c r="E18842" s="5">
        <f t="shared" si="308"/>
        <v>2010</v>
      </c>
      <c r="F18842" s="3" t="s">
        <v>3042</v>
      </c>
      <c r="G18842" s="6">
        <v>2092</v>
      </c>
      <c r="H18842" s="5">
        <v>14532</v>
      </c>
    </row>
    <row r="18843" spans="2:8" ht="15" customHeight="1" x14ac:dyDescent="0.4">
      <c r="B18843" s="3" t="s">
        <v>7</v>
      </c>
      <c r="C18843" s="3" t="s">
        <v>3041</v>
      </c>
      <c r="D18843" s="4">
        <f>DATE(2010,10,27)</f>
        <v>40478</v>
      </c>
      <c r="E18843" s="5">
        <f t="shared" si="308"/>
        <v>2010</v>
      </c>
      <c r="F18843" s="3" t="s">
        <v>3042</v>
      </c>
      <c r="G18843" s="6">
        <v>4184</v>
      </c>
      <c r="H18843" s="5">
        <v>14659</v>
      </c>
    </row>
    <row r="18844" spans="2:8" ht="15" customHeight="1" x14ac:dyDescent="0.4">
      <c r="B18844" s="3" t="s">
        <v>16</v>
      </c>
      <c r="C18844" s="3" t="s">
        <v>3041</v>
      </c>
      <c r="D18844" s="4">
        <f>DATE(2003,1,24)</f>
        <v>37645</v>
      </c>
      <c r="E18844" s="5">
        <f t="shared" si="308"/>
        <v>2003</v>
      </c>
      <c r="F18844" s="3" t="s">
        <v>3042</v>
      </c>
      <c r="G18844" s="6">
        <v>9387</v>
      </c>
      <c r="H18844" s="5">
        <v>156</v>
      </c>
    </row>
    <row r="18845" spans="2:8" ht="15" customHeight="1" x14ac:dyDescent="0.4">
      <c r="B18845" s="3" t="s">
        <v>16</v>
      </c>
      <c r="C18845" s="3" t="s">
        <v>3041</v>
      </c>
      <c r="D18845" s="4">
        <f>DATE(2003,1,27)</f>
        <v>37648</v>
      </c>
      <c r="E18845" s="5">
        <f t="shared" si="308"/>
        <v>2003</v>
      </c>
      <c r="F18845" s="3" t="s">
        <v>3042</v>
      </c>
      <c r="G18845" s="6">
        <v>4023</v>
      </c>
      <c r="H18845" s="5">
        <v>375</v>
      </c>
    </row>
    <row r="18846" spans="2:8" ht="15" customHeight="1" x14ac:dyDescent="0.4">
      <c r="B18846" s="3" t="s">
        <v>16</v>
      </c>
      <c r="C18846" s="3" t="s">
        <v>3041</v>
      </c>
      <c r="D18846" s="4">
        <f>DATE(2003,1,27)</f>
        <v>37648</v>
      </c>
      <c r="E18846" s="5">
        <f t="shared" si="308"/>
        <v>2003</v>
      </c>
      <c r="F18846" s="3" t="s">
        <v>3042</v>
      </c>
      <c r="G18846" s="6">
        <v>5364</v>
      </c>
      <c r="H18846" s="5">
        <v>376</v>
      </c>
    </row>
    <row r="18847" spans="2:8" ht="15" customHeight="1" x14ac:dyDescent="0.4">
      <c r="B18847" s="3" t="s">
        <v>7</v>
      </c>
      <c r="C18847" s="3" t="s">
        <v>3043</v>
      </c>
      <c r="D18847" s="4">
        <f>DATE(2013,2,28)</f>
        <v>41333</v>
      </c>
      <c r="E18847" s="5">
        <f t="shared" si="308"/>
        <v>2013</v>
      </c>
      <c r="F18847" s="3" t="s">
        <v>3044</v>
      </c>
      <c r="G18847" s="6">
        <v>2203</v>
      </c>
      <c r="H18847" s="5">
        <v>18033</v>
      </c>
    </row>
    <row r="18848" spans="2:8" ht="15" customHeight="1" x14ac:dyDescent="0.4">
      <c r="B18848" s="3" t="s">
        <v>7</v>
      </c>
      <c r="C18848" s="3" t="s">
        <v>3043</v>
      </c>
      <c r="D18848" s="4">
        <f>DATE(2013,5,13)</f>
        <v>41407</v>
      </c>
      <c r="E18848" s="5">
        <f t="shared" si="308"/>
        <v>2013</v>
      </c>
      <c r="F18848" s="3" t="s">
        <v>3044</v>
      </c>
      <c r="G18848" s="6">
        <v>4002</v>
      </c>
      <c r="H18848" s="5">
        <v>18372</v>
      </c>
    </row>
    <row r="18849" spans="2:8" ht="15" customHeight="1" x14ac:dyDescent="0.4">
      <c r="B18849" s="3" t="s">
        <v>16</v>
      </c>
      <c r="C18849" s="3" t="s">
        <v>3043</v>
      </c>
      <c r="D18849" s="4">
        <f>DATE(2013,5,1)</f>
        <v>41395</v>
      </c>
      <c r="E18849" s="5">
        <f t="shared" si="308"/>
        <v>2013</v>
      </c>
      <c r="F18849" s="3" t="s">
        <v>3044</v>
      </c>
      <c r="G18849" s="6">
        <v>2185</v>
      </c>
      <c r="H18849" s="5">
        <v>18545</v>
      </c>
    </row>
    <row r="18850" spans="2:8" ht="15" customHeight="1" x14ac:dyDescent="0.4">
      <c r="B18850" t="s">
        <v>7</v>
      </c>
      <c r="C18850" t="s">
        <v>3045</v>
      </c>
      <c r="D18850" s="7">
        <f>DATE(2013,1,7)</f>
        <v>41281</v>
      </c>
      <c r="E18850" s="8">
        <f t="shared" si="308"/>
        <v>2013</v>
      </c>
      <c r="F18850" t="s">
        <v>3046</v>
      </c>
      <c r="G18850" s="9">
        <v>12808</v>
      </c>
      <c r="H18850" s="8">
        <v>12046</v>
      </c>
    </row>
    <row r="18851" spans="2:8" ht="15" customHeight="1" x14ac:dyDescent="0.4">
      <c r="B18851" s="3" t="s">
        <v>7</v>
      </c>
      <c r="C18851" s="3" t="s">
        <v>3047</v>
      </c>
      <c r="D18851" s="4">
        <f>DATE(2012,8,29)</f>
        <v>41150</v>
      </c>
      <c r="E18851" s="5">
        <f t="shared" si="308"/>
        <v>2012</v>
      </c>
      <c r="F18851" s="3" t="s">
        <v>3048</v>
      </c>
      <c r="G18851" s="6">
        <v>55521.72</v>
      </c>
      <c r="H18851" s="5">
        <v>5172</v>
      </c>
    </row>
    <row r="18852" spans="2:8" ht="15" customHeight="1" x14ac:dyDescent="0.4">
      <c r="B18852" t="s">
        <v>7</v>
      </c>
      <c r="C18852" t="s">
        <v>3049</v>
      </c>
      <c r="D18852" s="7">
        <f>DATE(2018,4,27)</f>
        <v>43217</v>
      </c>
      <c r="E18852" s="8">
        <f t="shared" si="308"/>
        <v>2018</v>
      </c>
      <c r="F18852" t="s">
        <v>3050</v>
      </c>
      <c r="G18852" s="9">
        <v>8505</v>
      </c>
      <c r="H18852" s="8">
        <v>26917</v>
      </c>
    </row>
    <row r="18853" spans="2:8" ht="15" customHeight="1" x14ac:dyDescent="0.4">
      <c r="B18853" t="s">
        <v>7</v>
      </c>
      <c r="C18853" t="s">
        <v>3051</v>
      </c>
      <c r="D18853" s="7">
        <f>DATE(2009,5,26)</f>
        <v>39959</v>
      </c>
      <c r="E18853" s="8">
        <f t="shared" si="308"/>
        <v>2009</v>
      </c>
      <c r="F18853" t="s">
        <v>3052</v>
      </c>
      <c r="G18853" s="9">
        <v>1969</v>
      </c>
      <c r="H18853" s="8">
        <v>8725</v>
      </c>
    </row>
    <row r="18854" spans="2:8" ht="15" customHeight="1" x14ac:dyDescent="0.4">
      <c r="B18854" t="s">
        <v>7</v>
      </c>
      <c r="C18854" t="s">
        <v>3051</v>
      </c>
      <c r="D18854" s="7">
        <f>DATE(2009,7,20)</f>
        <v>40014</v>
      </c>
      <c r="E18854" s="8">
        <f t="shared" si="308"/>
        <v>2009</v>
      </c>
      <c r="F18854" t="s">
        <v>3053</v>
      </c>
      <c r="G18854" s="9">
        <v>2650</v>
      </c>
      <c r="H18854" s="8">
        <v>8783</v>
      </c>
    </row>
    <row r="18855" spans="2:8" ht="15" customHeight="1" x14ac:dyDescent="0.4">
      <c r="B18855" t="s">
        <v>7</v>
      </c>
      <c r="C18855" t="s">
        <v>3051</v>
      </c>
      <c r="D18855" s="7">
        <f>DATE(2009,8,7)</f>
        <v>40032</v>
      </c>
      <c r="E18855" s="8">
        <f t="shared" si="308"/>
        <v>2009</v>
      </c>
      <c r="F18855" t="s">
        <v>3053</v>
      </c>
      <c r="G18855" s="9">
        <v>2650</v>
      </c>
      <c r="H18855" s="8">
        <v>8950</v>
      </c>
    </row>
    <row r="18856" spans="2:8" ht="15" customHeight="1" x14ac:dyDescent="0.4">
      <c r="B18856" t="s">
        <v>7</v>
      </c>
      <c r="C18856" t="s">
        <v>3051</v>
      </c>
      <c r="D18856" s="7">
        <f>DATE(2009,10,9)</f>
        <v>40095</v>
      </c>
      <c r="E18856" s="8">
        <f t="shared" si="308"/>
        <v>2009</v>
      </c>
      <c r="F18856" t="s">
        <v>3053</v>
      </c>
      <c r="G18856" s="9">
        <v>3981.18</v>
      </c>
      <c r="H18856" s="8">
        <v>9132</v>
      </c>
    </row>
    <row r="18857" spans="2:8" ht="15" customHeight="1" x14ac:dyDescent="0.4">
      <c r="B18857" t="s">
        <v>7</v>
      </c>
      <c r="C18857" t="s">
        <v>3051</v>
      </c>
      <c r="D18857" s="7">
        <f>DATE(2010,2,4)</f>
        <v>40213</v>
      </c>
      <c r="E18857" s="8">
        <f t="shared" si="308"/>
        <v>2010</v>
      </c>
      <c r="F18857" t="s">
        <v>3053</v>
      </c>
      <c r="G18857" s="9">
        <v>2511.41</v>
      </c>
      <c r="H18857" s="8">
        <v>9430</v>
      </c>
    </row>
    <row r="18858" spans="2:8" ht="15" customHeight="1" x14ac:dyDescent="0.4">
      <c r="B18858" s="3" t="s">
        <v>7</v>
      </c>
      <c r="C18858" s="3" t="s">
        <v>3051</v>
      </c>
      <c r="D18858" s="4">
        <f>DATE(2011,2,23)</f>
        <v>40597</v>
      </c>
      <c r="E18858" s="5">
        <f t="shared" si="308"/>
        <v>2011</v>
      </c>
      <c r="F18858" s="3" t="s">
        <v>3053</v>
      </c>
      <c r="G18858" s="6">
        <v>2500</v>
      </c>
      <c r="H18858" s="5">
        <v>4319</v>
      </c>
    </row>
    <row r="18859" spans="2:8" ht="15" customHeight="1" x14ac:dyDescent="0.4">
      <c r="B18859" s="3" t="s">
        <v>7</v>
      </c>
      <c r="C18859" s="3" t="s">
        <v>3051</v>
      </c>
      <c r="D18859" s="4">
        <f>DATE(2011,8,1)</f>
        <v>40756</v>
      </c>
      <c r="E18859" s="5">
        <f t="shared" si="308"/>
        <v>2011</v>
      </c>
      <c r="F18859" s="3" t="s">
        <v>3053</v>
      </c>
      <c r="G18859" s="6">
        <v>1000</v>
      </c>
      <c r="H18859" s="5">
        <v>4561</v>
      </c>
    </row>
    <row r="18860" spans="2:8" ht="15" customHeight="1" x14ac:dyDescent="0.4">
      <c r="B18860" s="3" t="s">
        <v>7</v>
      </c>
      <c r="C18860" s="3" t="s">
        <v>3051</v>
      </c>
      <c r="D18860" s="4">
        <f>DATE(2012,3,30)</f>
        <v>40998</v>
      </c>
      <c r="E18860" s="5">
        <f t="shared" si="308"/>
        <v>2012</v>
      </c>
      <c r="F18860" s="3" t="s">
        <v>3053</v>
      </c>
      <c r="G18860" s="6">
        <v>2900</v>
      </c>
      <c r="H18860" s="5">
        <v>4945</v>
      </c>
    </row>
    <row r="18861" spans="2:8" ht="15" customHeight="1" x14ac:dyDescent="0.4">
      <c r="B18861" s="3" t="s">
        <v>7</v>
      </c>
      <c r="C18861" s="3" t="s">
        <v>3051</v>
      </c>
      <c r="D18861" s="4">
        <f>DATE(2012,6,5)</f>
        <v>41065</v>
      </c>
      <c r="E18861" s="5">
        <f t="shared" si="308"/>
        <v>2012</v>
      </c>
      <c r="F18861" s="3" t="s">
        <v>3053</v>
      </c>
      <c r="G18861" s="6">
        <v>1000</v>
      </c>
      <c r="H18861" s="5">
        <v>5111</v>
      </c>
    </row>
    <row r="18862" spans="2:8" ht="15" customHeight="1" x14ac:dyDescent="0.4">
      <c r="B18862" s="3" t="s">
        <v>7</v>
      </c>
      <c r="C18862" s="3" t="s">
        <v>3051</v>
      </c>
      <c r="D18862" s="4">
        <f>DATE(2013,5,15)</f>
        <v>41409</v>
      </c>
      <c r="E18862" s="5">
        <f t="shared" si="308"/>
        <v>2013</v>
      </c>
      <c r="F18862" s="3" t="s">
        <v>3053</v>
      </c>
      <c r="G18862" s="6">
        <v>24536</v>
      </c>
      <c r="H18862" s="5">
        <v>5567</v>
      </c>
    </row>
    <row r="18863" spans="2:8" ht="15" customHeight="1" x14ac:dyDescent="0.4">
      <c r="B18863" s="3" t="s">
        <v>7</v>
      </c>
      <c r="C18863" s="3" t="s">
        <v>3051</v>
      </c>
      <c r="D18863" s="4">
        <f>DATE(2010,4,5)</f>
        <v>40273</v>
      </c>
      <c r="E18863" s="5">
        <f t="shared" si="308"/>
        <v>2010</v>
      </c>
      <c r="F18863" s="3" t="s">
        <v>3053</v>
      </c>
      <c r="G18863" s="6">
        <v>4998</v>
      </c>
      <c r="H18863" s="5">
        <v>3881</v>
      </c>
    </row>
    <row r="18864" spans="2:8" ht="15" customHeight="1" x14ac:dyDescent="0.4">
      <c r="B18864" s="3" t="s">
        <v>7</v>
      </c>
      <c r="C18864" s="3" t="s">
        <v>3051</v>
      </c>
      <c r="D18864" s="4">
        <f>DATE(2010,4,27)</f>
        <v>40295</v>
      </c>
      <c r="E18864" s="5">
        <f t="shared" si="308"/>
        <v>2010</v>
      </c>
      <c r="F18864" s="3" t="s">
        <v>3053</v>
      </c>
      <c r="G18864" s="6">
        <v>2486</v>
      </c>
      <c r="H18864" s="5">
        <v>3913</v>
      </c>
    </row>
    <row r="18865" spans="2:8" ht="15" customHeight="1" x14ac:dyDescent="0.4">
      <c r="B18865" s="3" t="s">
        <v>7</v>
      </c>
      <c r="C18865" s="3" t="s">
        <v>3051</v>
      </c>
      <c r="D18865" s="4">
        <f>DATE(2010,1,21)</f>
        <v>40199</v>
      </c>
      <c r="E18865" s="5">
        <f t="shared" si="308"/>
        <v>2010</v>
      </c>
      <c r="F18865" s="3" t="s">
        <v>3053</v>
      </c>
      <c r="G18865" s="6">
        <v>352</v>
      </c>
      <c r="H18865" s="5">
        <v>13417</v>
      </c>
    </row>
    <row r="18866" spans="2:8" ht="15" customHeight="1" x14ac:dyDescent="0.4">
      <c r="B18866" s="3" t="s">
        <v>7</v>
      </c>
      <c r="C18866" s="3" t="s">
        <v>3051</v>
      </c>
      <c r="D18866" s="4">
        <f>DATE(2010,2,5)</f>
        <v>40214</v>
      </c>
      <c r="E18866" s="5">
        <f t="shared" si="308"/>
        <v>2010</v>
      </c>
      <c r="F18866" s="3" t="s">
        <v>3053</v>
      </c>
      <c r="G18866" s="6">
        <v>2670</v>
      </c>
      <c r="H18866" s="5">
        <v>13549</v>
      </c>
    </row>
    <row r="18867" spans="2:8" ht="15" customHeight="1" x14ac:dyDescent="0.4">
      <c r="B18867" s="3" t="s">
        <v>7</v>
      </c>
      <c r="C18867" s="3" t="s">
        <v>3051</v>
      </c>
      <c r="D18867" s="4">
        <f>DATE(2010,4,8)</f>
        <v>40276</v>
      </c>
      <c r="E18867" s="5">
        <f t="shared" si="308"/>
        <v>2010</v>
      </c>
      <c r="F18867" s="3" t="s">
        <v>3053</v>
      </c>
      <c r="G18867" s="6">
        <v>342</v>
      </c>
      <c r="H18867" s="5">
        <v>13861</v>
      </c>
    </row>
    <row r="18868" spans="2:8" ht="15" customHeight="1" x14ac:dyDescent="0.4">
      <c r="B18868" s="3" t="s">
        <v>7</v>
      </c>
      <c r="C18868" s="3" t="s">
        <v>3054</v>
      </c>
      <c r="D18868" s="4">
        <f>DATE(2004,7,1)</f>
        <v>38169</v>
      </c>
      <c r="E18868" s="5">
        <f t="shared" si="308"/>
        <v>2004</v>
      </c>
      <c r="F18868" s="3" t="s">
        <v>3055</v>
      </c>
      <c r="G18868" s="6">
        <v>2749</v>
      </c>
      <c r="H18868" s="5">
        <v>2038</v>
      </c>
    </row>
    <row r="18869" spans="2:8" ht="15" customHeight="1" x14ac:dyDescent="0.4">
      <c r="B18869" s="3" t="s">
        <v>7</v>
      </c>
      <c r="C18869" s="3" t="s">
        <v>3056</v>
      </c>
      <c r="D18869" s="4">
        <f>DATE(2003,2,20)</f>
        <v>37672</v>
      </c>
      <c r="E18869" s="5">
        <f t="shared" si="308"/>
        <v>2003</v>
      </c>
      <c r="F18869" s="3" t="s">
        <v>3057</v>
      </c>
      <c r="G18869" s="6">
        <v>145.5</v>
      </c>
      <c r="H18869" s="5">
        <v>37</v>
      </c>
    </row>
    <row r="18870" spans="2:8" ht="15" customHeight="1" x14ac:dyDescent="0.4">
      <c r="B18870" t="s">
        <v>7</v>
      </c>
      <c r="C18870" t="s">
        <v>3058</v>
      </c>
      <c r="D18870" s="7">
        <f>DATE(2017,5,22)</f>
        <v>42877</v>
      </c>
      <c r="E18870" s="8">
        <f t="shared" si="308"/>
        <v>2017</v>
      </c>
      <c r="F18870" t="s">
        <v>3059</v>
      </c>
      <c r="G18870" s="9">
        <v>28900</v>
      </c>
      <c r="H18870" s="8">
        <v>24939</v>
      </c>
    </row>
    <row r="18871" spans="2:8" ht="15" customHeight="1" x14ac:dyDescent="0.4">
      <c r="B18871" t="s">
        <v>7</v>
      </c>
      <c r="C18871" t="s">
        <v>3058</v>
      </c>
      <c r="D18871" s="7">
        <f>DATE(2012,4,30)</f>
        <v>41029</v>
      </c>
      <c r="E18871" s="8">
        <f t="shared" si="308"/>
        <v>2012</v>
      </c>
      <c r="F18871" t="s">
        <v>3059</v>
      </c>
      <c r="G18871" s="9">
        <v>87479.05</v>
      </c>
      <c r="H18871" s="8">
        <v>11434</v>
      </c>
    </row>
    <row r="18872" spans="2:8" ht="15" customHeight="1" x14ac:dyDescent="0.4">
      <c r="B18872" t="s">
        <v>7</v>
      </c>
      <c r="C18872" t="s">
        <v>3058</v>
      </c>
      <c r="D18872" s="7">
        <f>DATE(2014,9,30)</f>
        <v>41912</v>
      </c>
      <c r="E18872" s="8">
        <f t="shared" si="308"/>
        <v>2014</v>
      </c>
      <c r="F18872" t="s">
        <v>3059</v>
      </c>
      <c r="G18872" s="9">
        <v>11465.69</v>
      </c>
      <c r="H18872" s="8">
        <v>13467</v>
      </c>
    </row>
    <row r="18873" spans="2:8" ht="15" customHeight="1" x14ac:dyDescent="0.4">
      <c r="B18873" t="s">
        <v>7</v>
      </c>
      <c r="C18873" t="s">
        <v>3058</v>
      </c>
      <c r="D18873" s="7">
        <f>DATE(2003,9,19)</f>
        <v>37883</v>
      </c>
      <c r="E18873" s="8">
        <f t="shared" si="308"/>
        <v>2003</v>
      </c>
      <c r="F18873" t="s">
        <v>3059</v>
      </c>
      <c r="G18873" s="9">
        <v>17822</v>
      </c>
      <c r="H18873" s="8">
        <v>861</v>
      </c>
    </row>
    <row r="18874" spans="2:8" ht="15" customHeight="1" x14ac:dyDescent="0.4">
      <c r="B18874" t="s">
        <v>7</v>
      </c>
      <c r="C18874" t="s">
        <v>3058</v>
      </c>
      <c r="D18874" s="7">
        <f>DATE(2003,9,28)</f>
        <v>37892</v>
      </c>
      <c r="E18874" s="8">
        <f t="shared" si="308"/>
        <v>2003</v>
      </c>
      <c r="F18874" t="s">
        <v>3059</v>
      </c>
      <c r="G18874" s="9">
        <v>5717.59</v>
      </c>
      <c r="H18874" s="8">
        <v>897</v>
      </c>
    </row>
    <row r="18875" spans="2:8" ht="15" customHeight="1" x14ac:dyDescent="0.4">
      <c r="B18875" t="s">
        <v>7</v>
      </c>
      <c r="C18875" t="s">
        <v>3058</v>
      </c>
      <c r="D18875" s="7">
        <f>DATE(2004,4,9)</f>
        <v>38086</v>
      </c>
      <c r="E18875" s="8">
        <f t="shared" si="308"/>
        <v>2004</v>
      </c>
      <c r="F18875" t="s">
        <v>3059</v>
      </c>
      <c r="G18875" s="9">
        <v>15995</v>
      </c>
      <c r="H18875" s="8">
        <v>1535</v>
      </c>
    </row>
    <row r="18876" spans="2:8" ht="15" customHeight="1" x14ac:dyDescent="0.4">
      <c r="B18876" t="s">
        <v>7</v>
      </c>
      <c r="C18876" t="s">
        <v>3058</v>
      </c>
      <c r="D18876" s="7">
        <f>DATE(2004,12,21)</f>
        <v>38342</v>
      </c>
      <c r="E18876" s="8">
        <f t="shared" si="308"/>
        <v>2004</v>
      </c>
      <c r="F18876" t="s">
        <v>3059</v>
      </c>
      <c r="G18876" s="9">
        <v>34870.639999999999</v>
      </c>
      <c r="H18876" s="8">
        <v>2471</v>
      </c>
    </row>
    <row r="18877" spans="2:8" ht="15" customHeight="1" x14ac:dyDescent="0.4">
      <c r="B18877" t="s">
        <v>7</v>
      </c>
      <c r="C18877" t="s">
        <v>3058</v>
      </c>
      <c r="D18877" s="7">
        <f>DATE(2005,3,18)</f>
        <v>38429</v>
      </c>
      <c r="E18877" s="8">
        <f t="shared" si="308"/>
        <v>2005</v>
      </c>
      <c r="F18877" t="s">
        <v>3059</v>
      </c>
      <c r="G18877" s="9">
        <v>23229.599999999999</v>
      </c>
      <c r="H18877" s="8">
        <v>2933</v>
      </c>
    </row>
    <row r="18878" spans="2:8" ht="15" customHeight="1" x14ac:dyDescent="0.4">
      <c r="B18878" t="s">
        <v>7</v>
      </c>
      <c r="C18878" t="s">
        <v>3058</v>
      </c>
      <c r="D18878" s="7">
        <f>DATE(2009,4,7)</f>
        <v>39910</v>
      </c>
      <c r="E18878" s="8">
        <f t="shared" si="308"/>
        <v>2009</v>
      </c>
      <c r="F18878" t="s">
        <v>3059</v>
      </c>
      <c r="G18878" s="9">
        <v>22495</v>
      </c>
      <c r="H18878" s="8">
        <v>8242</v>
      </c>
    </row>
    <row r="18879" spans="2:8" ht="15" customHeight="1" x14ac:dyDescent="0.4">
      <c r="B18879" t="s">
        <v>7</v>
      </c>
      <c r="C18879" t="s">
        <v>3058</v>
      </c>
      <c r="D18879" s="7">
        <f>DATE(2009,4,7)</f>
        <v>39910</v>
      </c>
      <c r="E18879" s="8">
        <f t="shared" si="308"/>
        <v>2009</v>
      </c>
      <c r="F18879" t="s">
        <v>3059</v>
      </c>
      <c r="G18879" s="9">
        <v>3940</v>
      </c>
      <c r="H18879" s="8">
        <v>8567</v>
      </c>
    </row>
    <row r="18880" spans="2:8" ht="15" customHeight="1" x14ac:dyDescent="0.4">
      <c r="B18880" t="s">
        <v>7</v>
      </c>
      <c r="C18880" t="s">
        <v>3058</v>
      </c>
      <c r="D18880" s="7">
        <f>DATE(2009,4,7)</f>
        <v>39910</v>
      </c>
      <c r="E18880" s="8">
        <f t="shared" si="308"/>
        <v>2009</v>
      </c>
      <c r="F18880" t="s">
        <v>3059</v>
      </c>
      <c r="G18880" s="9">
        <v>28253</v>
      </c>
      <c r="H18880" s="8">
        <v>8250</v>
      </c>
    </row>
    <row r="18881" spans="2:8" ht="15" customHeight="1" x14ac:dyDescent="0.4">
      <c r="B18881" t="s">
        <v>7</v>
      </c>
      <c r="C18881" t="s">
        <v>3058</v>
      </c>
      <c r="D18881" s="7">
        <f>DATE(2010,7,1)</f>
        <v>40360</v>
      </c>
      <c r="E18881" s="8">
        <f t="shared" si="308"/>
        <v>2010</v>
      </c>
      <c r="F18881" t="s">
        <v>3059</v>
      </c>
      <c r="G18881" s="9">
        <v>37234.5</v>
      </c>
      <c r="H18881" s="8">
        <v>9890</v>
      </c>
    </row>
    <row r="18882" spans="2:8" ht="15" customHeight="1" x14ac:dyDescent="0.4">
      <c r="B18882" t="s">
        <v>7</v>
      </c>
      <c r="C18882" t="s">
        <v>3058</v>
      </c>
      <c r="D18882" s="7">
        <f>DATE(2011,8,29)</f>
        <v>40784</v>
      </c>
      <c r="E18882" s="8">
        <f t="shared" si="308"/>
        <v>2011</v>
      </c>
      <c r="F18882" t="s">
        <v>3059</v>
      </c>
      <c r="G18882" s="9">
        <v>36502.370000000003</v>
      </c>
      <c r="H18882" s="8">
        <v>10943</v>
      </c>
    </row>
    <row r="18883" spans="2:8" ht="15" customHeight="1" x14ac:dyDescent="0.4">
      <c r="B18883" t="s">
        <v>7</v>
      </c>
      <c r="C18883" t="s">
        <v>3058</v>
      </c>
      <c r="D18883" s="7">
        <f>DATE(2011,11,15)</f>
        <v>40862</v>
      </c>
      <c r="E18883" s="8">
        <f t="shared" ref="E18883:E18946" si="309">YEAR(D18883)</f>
        <v>2011</v>
      </c>
      <c r="F18883" t="s">
        <v>3059</v>
      </c>
      <c r="G18883" s="9">
        <v>7422.08</v>
      </c>
      <c r="H18883" s="8">
        <v>11130</v>
      </c>
    </row>
    <row r="18884" spans="2:8" ht="15" customHeight="1" x14ac:dyDescent="0.4">
      <c r="B18884" t="s">
        <v>7</v>
      </c>
      <c r="C18884" t="s">
        <v>3058</v>
      </c>
      <c r="D18884" s="7">
        <f>DATE(2012,11,28)</f>
        <v>41241</v>
      </c>
      <c r="E18884" s="8">
        <f t="shared" si="309"/>
        <v>2012</v>
      </c>
      <c r="F18884" t="s">
        <v>3059</v>
      </c>
      <c r="G18884" s="9">
        <v>7628.3</v>
      </c>
      <c r="H18884" s="8">
        <v>11997</v>
      </c>
    </row>
    <row r="18885" spans="2:8" ht="15" customHeight="1" x14ac:dyDescent="0.4">
      <c r="B18885" t="s">
        <v>16</v>
      </c>
      <c r="C18885" t="s">
        <v>3058</v>
      </c>
      <c r="D18885" s="7">
        <f>DATE(2012,5,30)</f>
        <v>41059</v>
      </c>
      <c r="E18885" s="8">
        <f t="shared" si="309"/>
        <v>2012</v>
      </c>
      <c r="F18885" t="s">
        <v>3059</v>
      </c>
      <c r="G18885" s="9">
        <v>8187.21</v>
      </c>
      <c r="H18885" s="8">
        <v>11674</v>
      </c>
    </row>
    <row r="18886" spans="2:8" ht="15" customHeight="1" x14ac:dyDescent="0.4">
      <c r="B18886" s="3" t="s">
        <v>7</v>
      </c>
      <c r="C18886" s="3" t="s">
        <v>3058</v>
      </c>
      <c r="D18886" s="4">
        <f>DATE(2003,4,25)</f>
        <v>37736</v>
      </c>
      <c r="E18886" s="5">
        <f t="shared" si="309"/>
        <v>2003</v>
      </c>
      <c r="F18886" s="3" t="s">
        <v>3059</v>
      </c>
      <c r="G18886" s="6">
        <v>1453</v>
      </c>
      <c r="H18886" s="5">
        <v>851</v>
      </c>
    </row>
    <row r="18887" spans="2:8" ht="15" customHeight="1" x14ac:dyDescent="0.4">
      <c r="B18887" s="3" t="s">
        <v>7</v>
      </c>
      <c r="C18887" s="3" t="s">
        <v>3058</v>
      </c>
      <c r="D18887" s="4">
        <f>DATE(2003,5,9)</f>
        <v>37750</v>
      </c>
      <c r="E18887" s="5">
        <f t="shared" si="309"/>
        <v>2003</v>
      </c>
      <c r="F18887" s="3" t="s">
        <v>3059</v>
      </c>
      <c r="G18887" s="6">
        <v>1453</v>
      </c>
      <c r="H18887" s="5">
        <v>903</v>
      </c>
    </row>
    <row r="18888" spans="2:8" ht="15" customHeight="1" x14ac:dyDescent="0.4">
      <c r="B18888" s="3" t="s">
        <v>7</v>
      </c>
      <c r="C18888" s="3" t="s">
        <v>3058</v>
      </c>
      <c r="D18888" s="4">
        <f>DATE(2003,10,29)</f>
        <v>37923</v>
      </c>
      <c r="E18888" s="5">
        <f t="shared" si="309"/>
        <v>2003</v>
      </c>
      <c r="F18888" s="3" t="s">
        <v>3059</v>
      </c>
      <c r="G18888" s="6">
        <v>1440</v>
      </c>
      <c r="H18888" s="5">
        <v>1725</v>
      </c>
    </row>
    <row r="18889" spans="2:8" ht="15" customHeight="1" x14ac:dyDescent="0.4">
      <c r="B18889" s="3" t="s">
        <v>7</v>
      </c>
      <c r="C18889" s="3" t="s">
        <v>3058</v>
      </c>
      <c r="D18889" s="4">
        <f>DATE(2003,11,4)</f>
        <v>37929</v>
      </c>
      <c r="E18889" s="5">
        <f t="shared" si="309"/>
        <v>2003</v>
      </c>
      <c r="F18889" s="3" t="s">
        <v>3059</v>
      </c>
      <c r="G18889" s="6">
        <v>1440</v>
      </c>
      <c r="H18889" s="5">
        <v>1733</v>
      </c>
    </row>
    <row r="18890" spans="2:8" ht="15" customHeight="1" x14ac:dyDescent="0.4">
      <c r="B18890" s="3" t="s">
        <v>7</v>
      </c>
      <c r="C18890" s="3" t="s">
        <v>3058</v>
      </c>
      <c r="D18890" s="4">
        <f>DATE(2003,11,10)</f>
        <v>37935</v>
      </c>
      <c r="E18890" s="5">
        <f t="shared" si="309"/>
        <v>2003</v>
      </c>
      <c r="F18890" s="3" t="s">
        <v>3059</v>
      </c>
      <c r="G18890" s="6">
        <v>720</v>
      </c>
      <c r="H18890" s="5">
        <v>1764</v>
      </c>
    </row>
    <row r="18891" spans="2:8" ht="15" customHeight="1" x14ac:dyDescent="0.4">
      <c r="B18891" s="3" t="s">
        <v>7</v>
      </c>
      <c r="C18891" s="3" t="s">
        <v>3058</v>
      </c>
      <c r="D18891" s="4">
        <f>DATE(2008,3,28)</f>
        <v>39535</v>
      </c>
      <c r="E18891" s="5">
        <f t="shared" si="309"/>
        <v>2008</v>
      </c>
      <c r="F18891" s="3" t="s">
        <v>3059</v>
      </c>
      <c r="G18891" s="6">
        <v>1520</v>
      </c>
      <c r="H18891" s="5">
        <v>10346</v>
      </c>
    </row>
    <row r="18892" spans="2:8" ht="15" customHeight="1" x14ac:dyDescent="0.4">
      <c r="B18892" s="3" t="s">
        <v>7</v>
      </c>
      <c r="C18892" s="3" t="s">
        <v>3058</v>
      </c>
      <c r="D18892" s="4">
        <f>DATE(2008,4,15)</f>
        <v>39553</v>
      </c>
      <c r="E18892" s="5">
        <f t="shared" si="309"/>
        <v>2008</v>
      </c>
      <c r="F18892" s="3" t="s">
        <v>3059</v>
      </c>
      <c r="G18892" s="6">
        <v>760</v>
      </c>
      <c r="H18892" s="5">
        <v>10459</v>
      </c>
    </row>
    <row r="18893" spans="2:8" ht="15" customHeight="1" x14ac:dyDescent="0.4">
      <c r="B18893" s="3" t="s">
        <v>7</v>
      </c>
      <c r="C18893" s="3" t="s">
        <v>3058</v>
      </c>
      <c r="D18893" s="4">
        <f>DATE(2008,9,8)</f>
        <v>39699</v>
      </c>
      <c r="E18893" s="5">
        <f t="shared" si="309"/>
        <v>2008</v>
      </c>
      <c r="F18893" s="3" t="s">
        <v>3059</v>
      </c>
      <c r="G18893" s="6">
        <v>2670</v>
      </c>
      <c r="H18893" s="5">
        <v>11228</v>
      </c>
    </row>
    <row r="18894" spans="2:8" ht="15" customHeight="1" x14ac:dyDescent="0.4">
      <c r="B18894" s="3" t="s">
        <v>7</v>
      </c>
      <c r="C18894" s="3" t="s">
        <v>3058</v>
      </c>
      <c r="D18894" s="4">
        <f>DATE(2008,9,25)</f>
        <v>39716</v>
      </c>
      <c r="E18894" s="5">
        <f t="shared" si="309"/>
        <v>2008</v>
      </c>
      <c r="F18894" s="3" t="s">
        <v>3059</v>
      </c>
      <c r="G18894" s="6">
        <v>126.6</v>
      </c>
      <c r="H18894" s="5">
        <v>11319</v>
      </c>
    </row>
    <row r="18895" spans="2:8" ht="15" customHeight="1" x14ac:dyDescent="0.4">
      <c r="B18895" s="3" t="s">
        <v>7</v>
      </c>
      <c r="C18895" s="3" t="s">
        <v>3058</v>
      </c>
      <c r="D18895" s="4">
        <f>DATE(2008,11,13)</f>
        <v>39765</v>
      </c>
      <c r="E18895" s="5">
        <f t="shared" si="309"/>
        <v>2008</v>
      </c>
      <c r="F18895" s="3" t="s">
        <v>3059</v>
      </c>
      <c r="G18895" s="6">
        <v>135.47</v>
      </c>
      <c r="H18895" s="5">
        <v>11575</v>
      </c>
    </row>
    <row r="18896" spans="2:8" ht="15" customHeight="1" x14ac:dyDescent="0.4">
      <c r="B18896" s="3" t="s">
        <v>7</v>
      </c>
      <c r="C18896" s="3" t="s">
        <v>3058</v>
      </c>
      <c r="D18896" s="4">
        <f>DATE(2010,5,21)</f>
        <v>40319</v>
      </c>
      <c r="E18896" s="5">
        <f t="shared" si="309"/>
        <v>2010</v>
      </c>
      <c r="F18896" s="3" t="s">
        <v>3059</v>
      </c>
      <c r="G18896" s="6">
        <v>3800</v>
      </c>
      <c r="H18896" s="5">
        <v>14082</v>
      </c>
    </row>
    <row r="18897" spans="2:8" ht="15" customHeight="1" x14ac:dyDescent="0.4">
      <c r="B18897" s="3" t="s">
        <v>7</v>
      </c>
      <c r="C18897" s="3" t="s">
        <v>3058</v>
      </c>
      <c r="D18897" s="4">
        <f>DATE(2011,9,23)</f>
        <v>40809</v>
      </c>
      <c r="E18897" s="5">
        <f t="shared" si="309"/>
        <v>2011</v>
      </c>
      <c r="F18897" s="3" t="s">
        <v>3059</v>
      </c>
      <c r="G18897" s="6">
        <v>3040</v>
      </c>
      <c r="H18897" s="5">
        <v>16025</v>
      </c>
    </row>
    <row r="18898" spans="2:8" ht="15" customHeight="1" x14ac:dyDescent="0.4">
      <c r="B18898" s="3" t="s">
        <v>7</v>
      </c>
      <c r="C18898" s="3" t="s">
        <v>3058</v>
      </c>
      <c r="D18898" s="4">
        <f>DATE(2012,3,20)</f>
        <v>40988</v>
      </c>
      <c r="E18898" s="5">
        <f t="shared" si="309"/>
        <v>2012</v>
      </c>
      <c r="F18898" s="3" t="s">
        <v>3059</v>
      </c>
      <c r="G18898" s="6">
        <v>23326</v>
      </c>
      <c r="H18898" s="5">
        <v>16125</v>
      </c>
    </row>
    <row r="18899" spans="2:8" ht="15" customHeight="1" x14ac:dyDescent="0.4">
      <c r="B18899" s="3" t="s">
        <v>7</v>
      </c>
      <c r="C18899" s="3" t="s">
        <v>3058</v>
      </c>
      <c r="D18899" s="4">
        <f>DATE(2012,3,30)</f>
        <v>40998</v>
      </c>
      <c r="E18899" s="5">
        <f t="shared" si="309"/>
        <v>2012</v>
      </c>
      <c r="F18899" s="3" t="s">
        <v>3059</v>
      </c>
      <c r="G18899" s="6">
        <v>3040</v>
      </c>
      <c r="H18899" s="5">
        <v>16869</v>
      </c>
    </row>
    <row r="18900" spans="2:8" ht="15" customHeight="1" x14ac:dyDescent="0.4">
      <c r="B18900" s="3" t="s">
        <v>7</v>
      </c>
      <c r="C18900" s="3" t="s">
        <v>3058</v>
      </c>
      <c r="D18900" s="4">
        <f>DATE(2012,4,9)</f>
        <v>41008</v>
      </c>
      <c r="E18900" s="5">
        <f t="shared" si="309"/>
        <v>2012</v>
      </c>
      <c r="F18900" s="3" t="s">
        <v>3059</v>
      </c>
      <c r="G18900" s="6">
        <v>246.94</v>
      </c>
      <c r="H18900" s="5">
        <v>16931</v>
      </c>
    </row>
    <row r="18901" spans="2:8" ht="15" customHeight="1" x14ac:dyDescent="0.4">
      <c r="B18901" s="3" t="s">
        <v>7</v>
      </c>
      <c r="C18901" s="3" t="s">
        <v>3058</v>
      </c>
      <c r="D18901" s="4">
        <f>DATE(2012,4,20)</f>
        <v>41019</v>
      </c>
      <c r="E18901" s="5">
        <f t="shared" si="309"/>
        <v>2012</v>
      </c>
      <c r="F18901" s="3" t="s">
        <v>3059</v>
      </c>
      <c r="G18901" s="6">
        <v>129.46</v>
      </c>
      <c r="H18901" s="5">
        <v>16926</v>
      </c>
    </row>
    <row r="18902" spans="2:8" ht="15" customHeight="1" x14ac:dyDescent="0.4">
      <c r="B18902" s="3" t="s">
        <v>7</v>
      </c>
      <c r="C18902" s="3" t="s">
        <v>3058</v>
      </c>
      <c r="D18902" s="4">
        <f>DATE(2012,10,17)</f>
        <v>41199</v>
      </c>
      <c r="E18902" s="5">
        <f t="shared" si="309"/>
        <v>2012</v>
      </c>
      <c r="F18902" s="3" t="s">
        <v>3059</v>
      </c>
      <c r="G18902" s="6">
        <v>7.6</v>
      </c>
      <c r="H18902" s="5">
        <v>17731</v>
      </c>
    </row>
    <row r="18903" spans="2:8" ht="15" customHeight="1" x14ac:dyDescent="0.4">
      <c r="B18903" s="3" t="s">
        <v>7</v>
      </c>
      <c r="C18903" s="3" t="s">
        <v>3058</v>
      </c>
      <c r="D18903" s="4">
        <f>DATE(2012,10,29)</f>
        <v>41211</v>
      </c>
      <c r="E18903" s="5">
        <f t="shared" si="309"/>
        <v>2012</v>
      </c>
      <c r="F18903" s="3" t="s">
        <v>3059</v>
      </c>
      <c r="G18903" s="6">
        <v>1512.4</v>
      </c>
      <c r="H18903" s="5">
        <v>17772</v>
      </c>
    </row>
    <row r="18904" spans="2:8" ht="15" customHeight="1" x14ac:dyDescent="0.4">
      <c r="B18904" s="3" t="s">
        <v>7</v>
      </c>
      <c r="C18904" s="3" t="s">
        <v>3058</v>
      </c>
      <c r="D18904" s="4">
        <f>DATE(2013,3,22)</f>
        <v>41355</v>
      </c>
      <c r="E18904" s="5">
        <f t="shared" si="309"/>
        <v>2013</v>
      </c>
      <c r="F18904" s="3" t="s">
        <v>3059</v>
      </c>
      <c r="G18904" s="6">
        <v>3040</v>
      </c>
      <c r="H18904" s="5">
        <v>18348</v>
      </c>
    </row>
    <row r="18905" spans="2:8" ht="15" customHeight="1" x14ac:dyDescent="0.4">
      <c r="B18905" s="3" t="s">
        <v>7</v>
      </c>
      <c r="C18905" s="3" t="s">
        <v>3058</v>
      </c>
      <c r="D18905" s="4">
        <f>DATE(2013,3,27)</f>
        <v>41360</v>
      </c>
      <c r="E18905" s="5">
        <f t="shared" si="309"/>
        <v>2013</v>
      </c>
      <c r="F18905" s="3" t="s">
        <v>3059</v>
      </c>
      <c r="G18905" s="6">
        <v>760</v>
      </c>
      <c r="H18905" s="5">
        <v>18363</v>
      </c>
    </row>
    <row r="18906" spans="2:8" ht="15" customHeight="1" x14ac:dyDescent="0.4">
      <c r="B18906" s="3" t="s">
        <v>7</v>
      </c>
      <c r="C18906" s="3" t="s">
        <v>3058</v>
      </c>
      <c r="D18906" s="4">
        <f>DATE(2014,9,25)</f>
        <v>41907</v>
      </c>
      <c r="E18906" s="5">
        <f t="shared" si="309"/>
        <v>2014</v>
      </c>
      <c r="F18906" s="3" t="s">
        <v>3059</v>
      </c>
      <c r="G18906" s="6">
        <v>113.19</v>
      </c>
      <c r="H18906" s="5">
        <v>20386</v>
      </c>
    </row>
    <row r="18907" spans="2:8" ht="15" customHeight="1" x14ac:dyDescent="0.4">
      <c r="B18907" s="3" t="s">
        <v>16</v>
      </c>
      <c r="C18907" s="3" t="s">
        <v>3058</v>
      </c>
      <c r="D18907" s="4">
        <f>DATE(2008,10,23)</f>
        <v>39744</v>
      </c>
      <c r="E18907" s="5">
        <f t="shared" si="309"/>
        <v>2008</v>
      </c>
      <c r="F18907" s="3" t="s">
        <v>3059</v>
      </c>
      <c r="G18907" s="6">
        <v>126.6</v>
      </c>
      <c r="H18907" s="5">
        <v>11489</v>
      </c>
    </row>
    <row r="18908" spans="2:8" ht="15" customHeight="1" x14ac:dyDescent="0.4">
      <c r="B18908" s="3" t="s">
        <v>16</v>
      </c>
      <c r="C18908" s="3" t="s">
        <v>3058</v>
      </c>
      <c r="D18908" s="4">
        <f>DATE(2012,4,30)</f>
        <v>41029</v>
      </c>
      <c r="E18908" s="5">
        <f t="shared" si="309"/>
        <v>2012</v>
      </c>
      <c r="F18908" s="3" t="s">
        <v>3059</v>
      </c>
      <c r="G18908" s="6">
        <v>246.94</v>
      </c>
      <c r="H18908" s="5">
        <v>17042</v>
      </c>
    </row>
    <row r="18909" spans="2:8" ht="15" customHeight="1" x14ac:dyDescent="0.4">
      <c r="B18909" t="s">
        <v>7</v>
      </c>
      <c r="C18909" t="s">
        <v>3060</v>
      </c>
      <c r="D18909" s="7">
        <f>DATE(2015,3,2)</f>
        <v>42065</v>
      </c>
      <c r="E18909" s="8">
        <f t="shared" si="309"/>
        <v>2015</v>
      </c>
      <c r="F18909" t="s">
        <v>3061</v>
      </c>
      <c r="G18909" s="9">
        <v>59287.95</v>
      </c>
      <c r="H18909" s="8">
        <v>319</v>
      </c>
    </row>
    <row r="18910" spans="2:8" ht="15" customHeight="1" x14ac:dyDescent="0.4">
      <c r="B18910" t="s">
        <v>7</v>
      </c>
      <c r="C18910" t="s">
        <v>3060</v>
      </c>
      <c r="D18910" s="7">
        <f>DATE(2015,3,10)</f>
        <v>42073</v>
      </c>
      <c r="E18910" s="8">
        <f t="shared" si="309"/>
        <v>2015</v>
      </c>
      <c r="F18910" t="s">
        <v>3061</v>
      </c>
      <c r="G18910" s="9">
        <v>6331.5</v>
      </c>
      <c r="H18910" s="8">
        <v>78</v>
      </c>
    </row>
    <row r="18911" spans="2:8" ht="15" customHeight="1" x14ac:dyDescent="0.4">
      <c r="B18911" t="s">
        <v>7</v>
      </c>
      <c r="C18911" t="s">
        <v>3060</v>
      </c>
      <c r="D18911" s="7">
        <f>DATE(2015,3,10)</f>
        <v>42073</v>
      </c>
      <c r="E18911" s="8">
        <f t="shared" si="309"/>
        <v>2015</v>
      </c>
      <c r="F18911" t="s">
        <v>3061</v>
      </c>
      <c r="G18911" s="9">
        <v>32667.91</v>
      </c>
      <c r="H18911" s="8">
        <v>79</v>
      </c>
    </row>
    <row r="18912" spans="2:8" ht="15" customHeight="1" x14ac:dyDescent="0.4">
      <c r="B18912" t="s">
        <v>7</v>
      </c>
      <c r="C18912" t="s">
        <v>3060</v>
      </c>
      <c r="D18912" s="7">
        <f>DATE(2016,2,24)</f>
        <v>42424</v>
      </c>
      <c r="E18912" s="8">
        <f t="shared" si="309"/>
        <v>2016</v>
      </c>
      <c r="F18912" t="s">
        <v>3061</v>
      </c>
      <c r="G18912" s="9">
        <v>31823.69</v>
      </c>
      <c r="H18912" s="8">
        <v>21903</v>
      </c>
    </row>
    <row r="18913" spans="2:8" ht="15" customHeight="1" x14ac:dyDescent="0.4">
      <c r="B18913" t="s">
        <v>7</v>
      </c>
      <c r="C18913" t="s">
        <v>3060</v>
      </c>
      <c r="D18913" s="7">
        <f>DATE(2018,10,17)</f>
        <v>43390</v>
      </c>
      <c r="E18913" s="8">
        <f t="shared" si="309"/>
        <v>2018</v>
      </c>
      <c r="F18913" t="s">
        <v>3061</v>
      </c>
      <c r="G18913" s="9">
        <v>5795.18</v>
      </c>
      <c r="H18913" s="8">
        <v>27808</v>
      </c>
    </row>
    <row r="18914" spans="2:8" ht="15" customHeight="1" x14ac:dyDescent="0.4">
      <c r="B18914" t="s">
        <v>7</v>
      </c>
      <c r="C18914" t="s">
        <v>3060</v>
      </c>
      <c r="D18914" s="7">
        <f>DATE(2018,10,17)</f>
        <v>43390</v>
      </c>
      <c r="E18914" s="8">
        <f t="shared" si="309"/>
        <v>2018</v>
      </c>
      <c r="F18914" t="s">
        <v>3061</v>
      </c>
      <c r="G18914" s="9">
        <v>37885</v>
      </c>
      <c r="H18914" s="8">
        <v>27843</v>
      </c>
    </row>
    <row r="18915" spans="2:8" ht="15" customHeight="1" x14ac:dyDescent="0.4">
      <c r="B18915" t="s">
        <v>7</v>
      </c>
      <c r="C18915" t="s">
        <v>3060</v>
      </c>
      <c r="D18915" s="7">
        <f>DATE(2019,3,15)</f>
        <v>43539</v>
      </c>
      <c r="E18915" s="8">
        <f t="shared" si="309"/>
        <v>2019</v>
      </c>
      <c r="F18915" t="s">
        <v>3061</v>
      </c>
      <c r="G18915" s="9">
        <v>45170</v>
      </c>
      <c r="H18915" s="8">
        <v>28173</v>
      </c>
    </row>
    <row r="18916" spans="2:8" ht="15" customHeight="1" x14ac:dyDescent="0.4">
      <c r="B18916" t="s">
        <v>7</v>
      </c>
      <c r="C18916" t="s">
        <v>3060</v>
      </c>
      <c r="D18916" s="7">
        <f>DATE(2019,3,15)</f>
        <v>43539</v>
      </c>
      <c r="E18916" s="8">
        <f t="shared" si="309"/>
        <v>2019</v>
      </c>
      <c r="F18916" t="s">
        <v>3061</v>
      </c>
      <c r="G18916" s="9">
        <v>2630</v>
      </c>
      <c r="H18916" s="8">
        <v>28638</v>
      </c>
    </row>
    <row r="18917" spans="2:8" ht="15" customHeight="1" x14ac:dyDescent="0.4">
      <c r="B18917" t="s">
        <v>7</v>
      </c>
      <c r="C18917" t="s">
        <v>3060</v>
      </c>
      <c r="D18917" s="7">
        <f>DATE(2015,3,2)</f>
        <v>42065</v>
      </c>
      <c r="E18917" s="8">
        <f t="shared" si="309"/>
        <v>2015</v>
      </c>
      <c r="F18917" t="s">
        <v>3061</v>
      </c>
      <c r="G18917" s="9">
        <v>111201.31</v>
      </c>
      <c r="H18917" s="8">
        <v>320</v>
      </c>
    </row>
    <row r="18918" spans="2:8" ht="15" customHeight="1" x14ac:dyDescent="0.4">
      <c r="B18918" t="s">
        <v>7</v>
      </c>
      <c r="C18918" t="s">
        <v>3060</v>
      </c>
      <c r="D18918" s="7">
        <f>DATE(2015,2,10)</f>
        <v>42045</v>
      </c>
      <c r="E18918" s="8">
        <f t="shared" si="309"/>
        <v>2015</v>
      </c>
      <c r="F18918" t="s">
        <v>3061</v>
      </c>
      <c r="G18918" s="9">
        <v>27180</v>
      </c>
      <c r="H18918" s="8">
        <v>315</v>
      </c>
    </row>
    <row r="18919" spans="2:8" ht="15" customHeight="1" x14ac:dyDescent="0.4">
      <c r="B18919" t="s">
        <v>7</v>
      </c>
      <c r="C18919" t="s">
        <v>3060</v>
      </c>
      <c r="D18919" s="7">
        <f>DATE(2018,8,29)</f>
        <v>43341</v>
      </c>
      <c r="E18919" s="8">
        <f t="shared" si="309"/>
        <v>2018</v>
      </c>
      <c r="F18919" t="s">
        <v>3061</v>
      </c>
      <c r="G18919" s="9">
        <v>25920</v>
      </c>
      <c r="H18919" s="8">
        <v>27536</v>
      </c>
    </row>
    <row r="18920" spans="2:8" ht="15" customHeight="1" x14ac:dyDescent="0.4">
      <c r="B18920" t="s">
        <v>7</v>
      </c>
      <c r="C18920" t="s">
        <v>3060</v>
      </c>
      <c r="D18920" s="7">
        <f>DATE(2018,10,1)</f>
        <v>43374</v>
      </c>
      <c r="E18920" s="8">
        <f t="shared" si="309"/>
        <v>2018</v>
      </c>
      <c r="F18920" t="s">
        <v>3061</v>
      </c>
      <c r="G18920" s="9">
        <v>25920</v>
      </c>
      <c r="H18920" s="8">
        <v>27664</v>
      </c>
    </row>
    <row r="18921" spans="2:8" ht="15" customHeight="1" x14ac:dyDescent="0.4">
      <c r="B18921" t="s">
        <v>7</v>
      </c>
      <c r="C18921" t="s">
        <v>3060</v>
      </c>
      <c r="D18921" s="7">
        <f>DATE(2019,2,12)</f>
        <v>43508</v>
      </c>
      <c r="E18921" s="8">
        <f t="shared" si="309"/>
        <v>2019</v>
      </c>
      <c r="F18921" t="s">
        <v>3061</v>
      </c>
      <c r="G18921" s="9">
        <v>45329.05</v>
      </c>
      <c r="H18921" s="8">
        <v>28305</v>
      </c>
    </row>
    <row r="18922" spans="2:8" ht="15" customHeight="1" x14ac:dyDescent="0.4">
      <c r="B18922" t="s">
        <v>7</v>
      </c>
      <c r="C18922" t="s">
        <v>3060</v>
      </c>
      <c r="D18922" s="7">
        <f>DATE(2019,4,17)</f>
        <v>43572</v>
      </c>
      <c r="E18922" s="8">
        <f t="shared" si="309"/>
        <v>2019</v>
      </c>
      <c r="F18922" t="s">
        <v>3061</v>
      </c>
      <c r="G18922" s="9">
        <v>10173.709999999999</v>
      </c>
      <c r="H18922" s="8">
        <v>28814</v>
      </c>
    </row>
    <row r="18923" spans="2:8" ht="15" customHeight="1" x14ac:dyDescent="0.4">
      <c r="B18923" t="s">
        <v>7</v>
      </c>
      <c r="C18923" t="s">
        <v>3060</v>
      </c>
      <c r="D18923" s="7">
        <f>DATE(2003,2,26)</f>
        <v>37678</v>
      </c>
      <c r="E18923" s="8">
        <f t="shared" si="309"/>
        <v>2003</v>
      </c>
      <c r="F18923" t="s">
        <v>3061</v>
      </c>
      <c r="G18923" s="9">
        <v>3173</v>
      </c>
      <c r="H18923" s="8">
        <v>251</v>
      </c>
    </row>
    <row r="18924" spans="2:8" ht="15" customHeight="1" x14ac:dyDescent="0.4">
      <c r="B18924" t="s">
        <v>7</v>
      </c>
      <c r="C18924" t="s">
        <v>3060</v>
      </c>
      <c r="D18924" s="7">
        <f>DATE(2003,2,2)</f>
        <v>37654</v>
      </c>
      <c r="E18924" s="8">
        <f t="shared" si="309"/>
        <v>2003</v>
      </c>
      <c r="F18924" t="s">
        <v>3061</v>
      </c>
      <c r="G18924" s="9">
        <v>15013.89</v>
      </c>
      <c r="H18924" s="8">
        <v>72</v>
      </c>
    </row>
    <row r="18925" spans="2:8" ht="15" customHeight="1" x14ac:dyDescent="0.4">
      <c r="B18925" t="s">
        <v>7</v>
      </c>
      <c r="C18925" t="s">
        <v>3060</v>
      </c>
      <c r="D18925" s="7">
        <f>DATE(2003,3,16)</f>
        <v>37696</v>
      </c>
      <c r="E18925" s="8">
        <f t="shared" si="309"/>
        <v>2003</v>
      </c>
      <c r="F18925" t="s">
        <v>3061</v>
      </c>
      <c r="G18925" s="9">
        <v>6456.25</v>
      </c>
      <c r="H18925" s="8">
        <v>367</v>
      </c>
    </row>
    <row r="18926" spans="2:8" ht="15" customHeight="1" x14ac:dyDescent="0.4">
      <c r="B18926" t="s">
        <v>7</v>
      </c>
      <c r="C18926" t="s">
        <v>3060</v>
      </c>
      <c r="D18926" s="7">
        <f>DATE(2003,3,18)</f>
        <v>37698</v>
      </c>
      <c r="E18926" s="8">
        <f t="shared" si="309"/>
        <v>2003</v>
      </c>
      <c r="F18926" t="s">
        <v>3061</v>
      </c>
      <c r="G18926" s="9">
        <v>5855.7</v>
      </c>
      <c r="H18926" s="8">
        <v>358</v>
      </c>
    </row>
    <row r="18927" spans="2:8" ht="15" customHeight="1" x14ac:dyDescent="0.4">
      <c r="B18927" t="s">
        <v>7</v>
      </c>
      <c r="C18927" t="s">
        <v>3060</v>
      </c>
      <c r="D18927" s="7">
        <f>DATE(2003,3,3)</f>
        <v>37683</v>
      </c>
      <c r="E18927" s="8">
        <f t="shared" si="309"/>
        <v>2003</v>
      </c>
      <c r="F18927" t="s">
        <v>3061</v>
      </c>
      <c r="G18927" s="9">
        <v>8600.75</v>
      </c>
      <c r="H18927" s="8">
        <v>54</v>
      </c>
    </row>
    <row r="18928" spans="2:8" ht="15" customHeight="1" x14ac:dyDescent="0.4">
      <c r="B18928" t="s">
        <v>7</v>
      </c>
      <c r="C18928" t="s">
        <v>3060</v>
      </c>
      <c r="D18928" s="7">
        <f>DATE(2004,2,10)</f>
        <v>38027</v>
      </c>
      <c r="E18928" s="8">
        <f t="shared" si="309"/>
        <v>2004</v>
      </c>
      <c r="F18928" t="s">
        <v>3061</v>
      </c>
      <c r="G18928" s="9">
        <v>5162.3</v>
      </c>
      <c r="H18928" s="8">
        <v>1209</v>
      </c>
    </row>
    <row r="18929" spans="2:8" ht="15" customHeight="1" x14ac:dyDescent="0.4">
      <c r="B18929" t="s">
        <v>7</v>
      </c>
      <c r="C18929" t="s">
        <v>3060</v>
      </c>
      <c r="D18929" s="7">
        <f>DATE(2004,2,13)</f>
        <v>38030</v>
      </c>
      <c r="E18929" s="8">
        <f t="shared" si="309"/>
        <v>2004</v>
      </c>
      <c r="F18929" t="s">
        <v>3061</v>
      </c>
      <c r="G18929" s="9">
        <v>8023.35</v>
      </c>
      <c r="H18929" s="8">
        <v>957</v>
      </c>
    </row>
    <row r="18930" spans="2:8" ht="15" customHeight="1" x14ac:dyDescent="0.4">
      <c r="B18930" t="s">
        <v>7</v>
      </c>
      <c r="C18930" t="s">
        <v>3060</v>
      </c>
      <c r="D18930" s="7">
        <f>DATE(2005,2,5)</f>
        <v>38388</v>
      </c>
      <c r="E18930" s="8">
        <f t="shared" si="309"/>
        <v>2005</v>
      </c>
      <c r="F18930" t="s">
        <v>3061</v>
      </c>
      <c r="G18930" s="9">
        <v>6192.31</v>
      </c>
      <c r="H18930" s="8">
        <v>2287</v>
      </c>
    </row>
    <row r="18931" spans="2:8" ht="15" customHeight="1" x14ac:dyDescent="0.4">
      <c r="B18931" t="s">
        <v>7</v>
      </c>
      <c r="C18931" t="s">
        <v>3060</v>
      </c>
      <c r="D18931" s="7">
        <f>DATE(2005,2,24)</f>
        <v>38407</v>
      </c>
      <c r="E18931" s="8">
        <f t="shared" si="309"/>
        <v>2005</v>
      </c>
      <c r="F18931" t="s">
        <v>3061</v>
      </c>
      <c r="G18931" s="9">
        <v>7721</v>
      </c>
      <c r="H18931" s="8">
        <v>2217</v>
      </c>
    </row>
    <row r="18932" spans="2:8" ht="15" customHeight="1" x14ac:dyDescent="0.4">
      <c r="B18932" t="s">
        <v>7</v>
      </c>
      <c r="C18932" t="s">
        <v>3060</v>
      </c>
      <c r="D18932" s="7">
        <f>DATE(2008,2,10)</f>
        <v>39488</v>
      </c>
      <c r="E18932" s="8">
        <f t="shared" si="309"/>
        <v>2008</v>
      </c>
      <c r="F18932" t="s">
        <v>3061</v>
      </c>
      <c r="G18932" s="9">
        <v>11842</v>
      </c>
      <c r="H18932" s="8">
        <v>6932</v>
      </c>
    </row>
    <row r="18933" spans="2:8" ht="15" customHeight="1" x14ac:dyDescent="0.4">
      <c r="B18933" t="s">
        <v>7</v>
      </c>
      <c r="C18933" t="s">
        <v>3060</v>
      </c>
      <c r="D18933" s="7">
        <f>DATE(2008,4,20)</f>
        <v>39558</v>
      </c>
      <c r="E18933" s="8">
        <f t="shared" si="309"/>
        <v>2008</v>
      </c>
      <c r="F18933" t="s">
        <v>3061</v>
      </c>
      <c r="G18933" s="9">
        <v>21602.55</v>
      </c>
      <c r="H18933" s="8">
        <v>7325</v>
      </c>
    </row>
    <row r="18934" spans="2:8" ht="15" customHeight="1" x14ac:dyDescent="0.4">
      <c r="B18934" t="s">
        <v>7</v>
      </c>
      <c r="C18934" t="s">
        <v>3060</v>
      </c>
      <c r="D18934" s="7">
        <f>DATE(2009,2,4)</f>
        <v>39848</v>
      </c>
      <c r="E18934" s="8">
        <f t="shared" si="309"/>
        <v>2009</v>
      </c>
      <c r="F18934" t="s">
        <v>3061</v>
      </c>
      <c r="G18934" s="9">
        <v>1700</v>
      </c>
      <c r="H18934" s="8">
        <v>8204</v>
      </c>
    </row>
    <row r="18935" spans="2:8" ht="15" customHeight="1" x14ac:dyDescent="0.4">
      <c r="B18935" t="s">
        <v>7</v>
      </c>
      <c r="C18935" t="s">
        <v>3060</v>
      </c>
      <c r="D18935" s="7">
        <f>DATE(2009,2,6)</f>
        <v>39850</v>
      </c>
      <c r="E18935" s="8">
        <f t="shared" si="309"/>
        <v>2009</v>
      </c>
      <c r="F18935" t="s">
        <v>3061</v>
      </c>
      <c r="G18935" s="9">
        <v>7197.99</v>
      </c>
      <c r="H18935" s="8">
        <v>7922</v>
      </c>
    </row>
    <row r="18936" spans="2:8" ht="15" customHeight="1" x14ac:dyDescent="0.4">
      <c r="B18936" t="s">
        <v>7</v>
      </c>
      <c r="C18936" t="s">
        <v>3060</v>
      </c>
      <c r="D18936" s="7">
        <f>DATE(2009,2,11)</f>
        <v>39855</v>
      </c>
      <c r="E18936" s="8">
        <f t="shared" si="309"/>
        <v>2009</v>
      </c>
      <c r="F18936" t="s">
        <v>3061</v>
      </c>
      <c r="G18936" s="9">
        <v>22129.98</v>
      </c>
      <c r="H18936" s="8">
        <v>8048</v>
      </c>
    </row>
    <row r="18937" spans="2:8" ht="15" customHeight="1" x14ac:dyDescent="0.4">
      <c r="B18937" t="s">
        <v>7</v>
      </c>
      <c r="C18937" t="s">
        <v>3060</v>
      </c>
      <c r="D18937" s="7">
        <f>DATE(2010,2,15)</f>
        <v>40224</v>
      </c>
      <c r="E18937" s="8">
        <f t="shared" si="309"/>
        <v>2010</v>
      </c>
      <c r="F18937" t="s">
        <v>3061</v>
      </c>
      <c r="G18937" s="9">
        <v>13593</v>
      </c>
      <c r="H18937" s="8">
        <v>9363</v>
      </c>
    </row>
    <row r="18938" spans="2:8" ht="15" customHeight="1" x14ac:dyDescent="0.4">
      <c r="B18938" t="s">
        <v>7</v>
      </c>
      <c r="C18938" t="s">
        <v>3060</v>
      </c>
      <c r="D18938" s="7">
        <f>DATE(2010,2,18)</f>
        <v>40227</v>
      </c>
      <c r="E18938" s="8">
        <f t="shared" si="309"/>
        <v>2010</v>
      </c>
      <c r="F18938" t="s">
        <v>3061</v>
      </c>
      <c r="G18938" s="9">
        <v>15000</v>
      </c>
      <c r="H18938" s="8">
        <v>8949</v>
      </c>
    </row>
    <row r="18939" spans="2:8" ht="15" customHeight="1" x14ac:dyDescent="0.4">
      <c r="B18939" t="s">
        <v>7</v>
      </c>
      <c r="C18939" t="s">
        <v>3060</v>
      </c>
      <c r="D18939" s="7">
        <f>DATE(2011,2,18)</f>
        <v>40592</v>
      </c>
      <c r="E18939" s="8">
        <f t="shared" si="309"/>
        <v>2011</v>
      </c>
      <c r="F18939" t="s">
        <v>3061</v>
      </c>
      <c r="G18939" s="9">
        <v>11619.98</v>
      </c>
      <c r="H18939" s="8">
        <v>10390</v>
      </c>
    </row>
    <row r="18940" spans="2:8" ht="15" customHeight="1" x14ac:dyDescent="0.4">
      <c r="B18940" t="s">
        <v>7</v>
      </c>
      <c r="C18940" t="s">
        <v>3060</v>
      </c>
      <c r="D18940" s="7">
        <f>DATE(2012,2,20)</f>
        <v>40959</v>
      </c>
      <c r="E18940" s="8">
        <f t="shared" si="309"/>
        <v>2012</v>
      </c>
      <c r="F18940" t="s">
        <v>3061</v>
      </c>
      <c r="G18940" s="9">
        <v>9202.14</v>
      </c>
      <c r="H18940" s="8">
        <v>11270</v>
      </c>
    </row>
    <row r="18941" spans="2:8" ht="15" customHeight="1" x14ac:dyDescent="0.4">
      <c r="B18941" t="s">
        <v>7</v>
      </c>
      <c r="C18941" t="s">
        <v>3060</v>
      </c>
      <c r="D18941" s="7">
        <f>DATE(2012,2,21)</f>
        <v>40960</v>
      </c>
      <c r="E18941" s="8">
        <f t="shared" si="309"/>
        <v>2012</v>
      </c>
      <c r="F18941" t="s">
        <v>3061</v>
      </c>
      <c r="G18941" s="9">
        <v>44479.37</v>
      </c>
      <c r="H18941" s="8">
        <v>11228</v>
      </c>
    </row>
    <row r="18942" spans="2:8" ht="15" customHeight="1" x14ac:dyDescent="0.4">
      <c r="B18942" t="s">
        <v>7</v>
      </c>
      <c r="C18942" t="s">
        <v>3060</v>
      </c>
      <c r="D18942" s="7">
        <f>DATE(2013,2,21)</f>
        <v>41326</v>
      </c>
      <c r="E18942" s="8">
        <f t="shared" si="309"/>
        <v>2013</v>
      </c>
      <c r="F18942" t="s">
        <v>3061</v>
      </c>
      <c r="G18942" s="9">
        <v>12995.56</v>
      </c>
      <c r="H18942" s="8">
        <v>12116</v>
      </c>
    </row>
    <row r="18943" spans="2:8" ht="15" customHeight="1" x14ac:dyDescent="0.4">
      <c r="B18943" t="s">
        <v>7</v>
      </c>
      <c r="C18943" t="s">
        <v>3060</v>
      </c>
      <c r="D18943" s="7">
        <f>DATE(2013,2,28)</f>
        <v>41333</v>
      </c>
      <c r="E18943" s="8">
        <f t="shared" si="309"/>
        <v>2013</v>
      </c>
      <c r="F18943" t="s">
        <v>3061</v>
      </c>
      <c r="G18943" s="9">
        <v>29931.07</v>
      </c>
      <c r="H18943" s="8">
        <v>12191</v>
      </c>
    </row>
    <row r="18944" spans="2:8" ht="15" customHeight="1" x14ac:dyDescent="0.4">
      <c r="B18944" t="s">
        <v>7</v>
      </c>
      <c r="C18944" t="s">
        <v>3060</v>
      </c>
      <c r="D18944" s="7">
        <f>DATE(2014,2,13)</f>
        <v>41683</v>
      </c>
      <c r="E18944" s="8">
        <f t="shared" si="309"/>
        <v>2014</v>
      </c>
      <c r="F18944" t="s">
        <v>3061</v>
      </c>
      <c r="G18944" s="9">
        <v>8368.7999999999993</v>
      </c>
      <c r="H18944" s="8">
        <v>12879</v>
      </c>
    </row>
    <row r="18945" spans="2:8" ht="15" customHeight="1" x14ac:dyDescent="0.4">
      <c r="B18945" t="s">
        <v>7</v>
      </c>
      <c r="C18945" t="s">
        <v>3060</v>
      </c>
      <c r="D18945" s="7">
        <f>DATE(2014,2,13)</f>
        <v>41683</v>
      </c>
      <c r="E18945" s="8">
        <f t="shared" si="309"/>
        <v>2014</v>
      </c>
      <c r="F18945" t="s">
        <v>3061</v>
      </c>
      <c r="G18945" s="9">
        <v>29935.17</v>
      </c>
      <c r="H18945" s="8">
        <v>12867</v>
      </c>
    </row>
    <row r="18946" spans="2:8" ht="15" customHeight="1" x14ac:dyDescent="0.4">
      <c r="B18946" t="s">
        <v>7</v>
      </c>
      <c r="C18946" t="s">
        <v>3060</v>
      </c>
      <c r="D18946" s="7">
        <f>DATE(2012,10,4)</f>
        <v>41186</v>
      </c>
      <c r="E18946" s="8">
        <f t="shared" si="309"/>
        <v>2012</v>
      </c>
      <c r="F18946" t="s">
        <v>3061</v>
      </c>
      <c r="G18946" s="9">
        <v>13980.26</v>
      </c>
      <c r="H18946" s="8">
        <v>11874</v>
      </c>
    </row>
    <row r="18947" spans="2:8" ht="15" customHeight="1" x14ac:dyDescent="0.4">
      <c r="B18947" t="s">
        <v>7</v>
      </c>
      <c r="C18947" t="s">
        <v>3060</v>
      </c>
      <c r="D18947" s="7">
        <f>DATE(2013,8,16)</f>
        <v>41502</v>
      </c>
      <c r="E18947" s="8">
        <f t="shared" ref="E18947:E19010" si="310">YEAR(D18947)</f>
        <v>2013</v>
      </c>
      <c r="F18947" t="s">
        <v>3061</v>
      </c>
      <c r="G18947" s="9">
        <v>12243.47</v>
      </c>
      <c r="H18947" s="8">
        <v>12600</v>
      </c>
    </row>
    <row r="18948" spans="2:8" ht="15" customHeight="1" x14ac:dyDescent="0.4">
      <c r="B18948" t="s">
        <v>7</v>
      </c>
      <c r="C18948" t="s">
        <v>3060</v>
      </c>
      <c r="D18948" s="7">
        <f>DATE(2015,1,6)</f>
        <v>42010</v>
      </c>
      <c r="E18948" s="8">
        <f t="shared" si="310"/>
        <v>2015</v>
      </c>
      <c r="F18948" t="s">
        <v>3061</v>
      </c>
      <c r="G18948" s="9">
        <v>7869.23</v>
      </c>
      <c r="H18948" s="8">
        <v>13666</v>
      </c>
    </row>
    <row r="18949" spans="2:8" ht="15" customHeight="1" x14ac:dyDescent="0.4">
      <c r="B18949" s="3" t="s">
        <v>7</v>
      </c>
      <c r="C18949" s="3" t="s">
        <v>3060</v>
      </c>
      <c r="D18949" s="4">
        <f>DATE(2004,12,1)</f>
        <v>38322</v>
      </c>
      <c r="E18949" s="5">
        <f t="shared" si="310"/>
        <v>2004</v>
      </c>
      <c r="F18949" s="3" t="s">
        <v>3061</v>
      </c>
      <c r="G18949" s="6">
        <v>24150</v>
      </c>
      <c r="H18949" s="5">
        <v>3735</v>
      </c>
    </row>
    <row r="18950" spans="2:8" ht="15" customHeight="1" x14ac:dyDescent="0.4">
      <c r="B18950" s="3" t="s">
        <v>7</v>
      </c>
      <c r="C18950" s="3" t="s">
        <v>3060</v>
      </c>
      <c r="D18950" s="4">
        <f>DATE(2005,1,12)</f>
        <v>38364</v>
      </c>
      <c r="E18950" s="5">
        <f t="shared" si="310"/>
        <v>2005</v>
      </c>
      <c r="F18950" s="3" t="s">
        <v>3061</v>
      </c>
      <c r="G18950" s="6">
        <v>2580</v>
      </c>
      <c r="H18950" s="5">
        <v>3953</v>
      </c>
    </row>
    <row r="18951" spans="2:8" ht="15" customHeight="1" x14ac:dyDescent="0.4">
      <c r="B18951" s="3" t="s">
        <v>7</v>
      </c>
      <c r="C18951" s="3" t="s">
        <v>3060</v>
      </c>
      <c r="D18951" s="4">
        <f>DATE(2005,2,8)</f>
        <v>38391</v>
      </c>
      <c r="E18951" s="5">
        <f t="shared" si="310"/>
        <v>2005</v>
      </c>
      <c r="F18951" s="3" t="s">
        <v>3061</v>
      </c>
      <c r="G18951" s="6">
        <v>165.5</v>
      </c>
      <c r="H18951" s="5">
        <v>4069</v>
      </c>
    </row>
    <row r="18952" spans="2:8" ht="15" customHeight="1" x14ac:dyDescent="0.4">
      <c r="B18952" s="3" t="s">
        <v>7</v>
      </c>
      <c r="C18952" s="3" t="s">
        <v>3060</v>
      </c>
      <c r="D18952" s="4">
        <f>DATE(2005,2,28)</f>
        <v>38411</v>
      </c>
      <c r="E18952" s="5">
        <f t="shared" si="310"/>
        <v>2005</v>
      </c>
      <c r="F18952" s="3" t="s">
        <v>3061</v>
      </c>
      <c r="G18952" s="6">
        <v>25200</v>
      </c>
      <c r="H18952" s="5">
        <v>4175</v>
      </c>
    </row>
    <row r="18953" spans="2:8" ht="15" customHeight="1" x14ac:dyDescent="0.4">
      <c r="B18953" s="3" t="s">
        <v>7</v>
      </c>
      <c r="C18953" s="3" t="s">
        <v>3060</v>
      </c>
      <c r="D18953" s="4">
        <f>DATE(2008,9,11)</f>
        <v>39702</v>
      </c>
      <c r="E18953" s="5">
        <f t="shared" si="310"/>
        <v>2008</v>
      </c>
      <c r="F18953" s="3" t="s">
        <v>3061</v>
      </c>
      <c r="G18953" s="6">
        <v>35254.239999999998</v>
      </c>
      <c r="H18953" s="5">
        <v>11229</v>
      </c>
    </row>
    <row r="18954" spans="2:8" ht="15" customHeight="1" x14ac:dyDescent="0.4">
      <c r="B18954" s="3" t="s">
        <v>7</v>
      </c>
      <c r="C18954" s="3" t="s">
        <v>3060</v>
      </c>
      <c r="D18954" s="4">
        <f>DATE(2009,1,29)</f>
        <v>39842</v>
      </c>
      <c r="E18954" s="5">
        <f t="shared" si="310"/>
        <v>2009</v>
      </c>
      <c r="F18954" s="3" t="s">
        <v>3061</v>
      </c>
      <c r="G18954" s="6">
        <v>788.92</v>
      </c>
      <c r="H18954" s="5">
        <v>11881</v>
      </c>
    </row>
    <row r="18955" spans="2:8" ht="15" customHeight="1" x14ac:dyDescent="0.4">
      <c r="B18955" s="3" t="s">
        <v>7</v>
      </c>
      <c r="C18955" s="3" t="s">
        <v>3060</v>
      </c>
      <c r="D18955" s="4">
        <f>DATE(2009,7,17)</f>
        <v>40011</v>
      </c>
      <c r="E18955" s="5">
        <f t="shared" si="310"/>
        <v>2009</v>
      </c>
      <c r="F18955" s="3" t="s">
        <v>3061</v>
      </c>
      <c r="G18955" s="6">
        <v>32400</v>
      </c>
      <c r="H18955" s="5">
        <v>12767</v>
      </c>
    </row>
    <row r="18956" spans="2:8" ht="15" customHeight="1" x14ac:dyDescent="0.4">
      <c r="B18956" s="3" t="s">
        <v>7</v>
      </c>
      <c r="C18956" s="3" t="s">
        <v>3060</v>
      </c>
      <c r="D18956" s="4">
        <f>DATE(2010,11,23)</f>
        <v>40505</v>
      </c>
      <c r="E18956" s="5">
        <f t="shared" si="310"/>
        <v>2010</v>
      </c>
      <c r="F18956" s="3" t="s">
        <v>3061</v>
      </c>
      <c r="G18956" s="6">
        <v>627</v>
      </c>
      <c r="H18956" s="5">
        <v>14626</v>
      </c>
    </row>
    <row r="18957" spans="2:8" ht="15" customHeight="1" x14ac:dyDescent="0.4">
      <c r="B18957" s="3" t="s">
        <v>7</v>
      </c>
      <c r="C18957" s="3" t="s">
        <v>3060</v>
      </c>
      <c r="D18957" s="4">
        <f>DATE(2011,2,8)</f>
        <v>40582</v>
      </c>
      <c r="E18957" s="5">
        <f t="shared" si="310"/>
        <v>2011</v>
      </c>
      <c r="F18957" s="3" t="s">
        <v>3061</v>
      </c>
      <c r="G18957" s="6">
        <v>33834.68</v>
      </c>
      <c r="H18957" s="5">
        <v>15032</v>
      </c>
    </row>
    <row r="18958" spans="2:8" ht="15" customHeight="1" x14ac:dyDescent="0.4">
      <c r="B18958" s="3" t="s">
        <v>7</v>
      </c>
      <c r="C18958" s="3" t="s">
        <v>3060</v>
      </c>
      <c r="D18958" s="4">
        <f>DATE(2011,2,21)</f>
        <v>40595</v>
      </c>
      <c r="E18958" s="5">
        <f t="shared" si="310"/>
        <v>2011</v>
      </c>
      <c r="F18958" s="3" t="s">
        <v>3061</v>
      </c>
      <c r="G18958" s="6">
        <v>168.5</v>
      </c>
      <c r="H18958" s="5">
        <v>15105</v>
      </c>
    </row>
    <row r="18959" spans="2:8" ht="15" customHeight="1" x14ac:dyDescent="0.4">
      <c r="B18959" s="3" t="s">
        <v>7</v>
      </c>
      <c r="C18959" s="3" t="s">
        <v>3060</v>
      </c>
      <c r="D18959" s="4">
        <f>DATE(2012,2,6)</f>
        <v>40945</v>
      </c>
      <c r="E18959" s="5">
        <f t="shared" si="310"/>
        <v>2012</v>
      </c>
      <c r="F18959" s="3" t="s">
        <v>3061</v>
      </c>
      <c r="G18959" s="6">
        <v>255.62</v>
      </c>
      <c r="H18959" s="5">
        <v>16495</v>
      </c>
    </row>
    <row r="18960" spans="2:8" ht="15" customHeight="1" x14ac:dyDescent="0.4">
      <c r="B18960" s="3" t="s">
        <v>7</v>
      </c>
      <c r="C18960" s="3" t="s">
        <v>3060</v>
      </c>
      <c r="D18960" s="4">
        <f>DATE(2013,1,30)</f>
        <v>41304</v>
      </c>
      <c r="E18960" s="5">
        <f t="shared" si="310"/>
        <v>2013</v>
      </c>
      <c r="F18960" s="3" t="s">
        <v>3061</v>
      </c>
      <c r="G18960" s="6">
        <v>420</v>
      </c>
      <c r="H18960" s="5">
        <v>18055</v>
      </c>
    </row>
    <row r="18961" spans="2:8" ht="15" customHeight="1" x14ac:dyDescent="0.4">
      <c r="B18961" s="3" t="s">
        <v>7</v>
      </c>
      <c r="C18961" s="3" t="s">
        <v>3060</v>
      </c>
      <c r="D18961" s="4">
        <f>DATE(2013,2,6)</f>
        <v>41311</v>
      </c>
      <c r="E18961" s="5">
        <f t="shared" si="310"/>
        <v>2013</v>
      </c>
      <c r="F18961" s="3" t="s">
        <v>3061</v>
      </c>
      <c r="G18961" s="6">
        <v>26990.03</v>
      </c>
      <c r="H18961" s="5">
        <v>18111</v>
      </c>
    </row>
    <row r="18962" spans="2:8" ht="15" customHeight="1" x14ac:dyDescent="0.4">
      <c r="B18962" s="3" t="s">
        <v>7</v>
      </c>
      <c r="C18962" s="3" t="s">
        <v>3060</v>
      </c>
      <c r="D18962" s="4">
        <f>DATE(2013,2,19)</f>
        <v>41324</v>
      </c>
      <c r="E18962" s="5">
        <f t="shared" si="310"/>
        <v>2013</v>
      </c>
      <c r="F18962" s="3" t="s">
        <v>3061</v>
      </c>
      <c r="G18962" s="6">
        <v>760</v>
      </c>
      <c r="H18962" s="5">
        <v>18157</v>
      </c>
    </row>
    <row r="18963" spans="2:8" ht="15" customHeight="1" x14ac:dyDescent="0.4">
      <c r="B18963" s="3" t="s">
        <v>7</v>
      </c>
      <c r="C18963" s="3" t="s">
        <v>3060</v>
      </c>
      <c r="D18963" s="4">
        <f>DATE(2013,6,24)</f>
        <v>41449</v>
      </c>
      <c r="E18963" s="5">
        <f t="shared" si="310"/>
        <v>2013</v>
      </c>
      <c r="F18963" s="3" t="s">
        <v>3061</v>
      </c>
      <c r="G18963" s="6">
        <v>25920</v>
      </c>
      <c r="H18963" s="5">
        <v>18702</v>
      </c>
    </row>
    <row r="18964" spans="2:8" ht="15" customHeight="1" x14ac:dyDescent="0.4">
      <c r="B18964" s="3" t="s">
        <v>7</v>
      </c>
      <c r="C18964" s="3" t="s">
        <v>3060</v>
      </c>
      <c r="D18964" s="4">
        <f>DATE(2014,11,21)</f>
        <v>41964</v>
      </c>
      <c r="E18964" s="5">
        <f t="shared" si="310"/>
        <v>2014</v>
      </c>
      <c r="F18964" s="3" t="s">
        <v>3061</v>
      </c>
      <c r="G18964" s="6">
        <v>25920</v>
      </c>
      <c r="H18964" s="5">
        <v>20643</v>
      </c>
    </row>
    <row r="18965" spans="2:8" ht="15" customHeight="1" x14ac:dyDescent="0.4">
      <c r="B18965" t="s">
        <v>7</v>
      </c>
      <c r="C18965" t="s">
        <v>3062</v>
      </c>
      <c r="D18965" s="7">
        <f>DATE(2014,12,10)</f>
        <v>41983</v>
      </c>
      <c r="E18965" s="8">
        <f t="shared" si="310"/>
        <v>2014</v>
      </c>
      <c r="F18965" t="s">
        <v>3063</v>
      </c>
      <c r="G18965" s="9">
        <v>29250</v>
      </c>
      <c r="H18965" s="8">
        <v>13384</v>
      </c>
    </row>
    <row r="18966" spans="2:8" ht="15" customHeight="1" x14ac:dyDescent="0.4">
      <c r="B18966" t="s">
        <v>7</v>
      </c>
      <c r="C18966" t="s">
        <v>3062</v>
      </c>
      <c r="D18966" s="7">
        <f>DATE(2014,12,10)</f>
        <v>41983</v>
      </c>
      <c r="E18966" s="8">
        <f t="shared" si="310"/>
        <v>2014</v>
      </c>
      <c r="F18966" t="s">
        <v>3063</v>
      </c>
      <c r="G18966" s="9">
        <v>35000</v>
      </c>
      <c r="H18966" s="8">
        <v>13383</v>
      </c>
    </row>
    <row r="18967" spans="2:8" ht="15" customHeight="1" x14ac:dyDescent="0.4">
      <c r="B18967" t="s">
        <v>7</v>
      </c>
      <c r="C18967" t="s">
        <v>3064</v>
      </c>
      <c r="D18967" s="7">
        <f>DATE(2015,9,10)</f>
        <v>42257</v>
      </c>
      <c r="E18967" s="8">
        <f t="shared" si="310"/>
        <v>2015</v>
      </c>
      <c r="F18967" t="s">
        <v>3065</v>
      </c>
      <c r="G18967" s="9">
        <v>2670.4</v>
      </c>
      <c r="H18967" s="8">
        <v>20980</v>
      </c>
    </row>
    <row r="18968" spans="2:8" ht="15" customHeight="1" x14ac:dyDescent="0.4">
      <c r="B18968" t="s">
        <v>7</v>
      </c>
      <c r="C18968" t="s">
        <v>3064</v>
      </c>
      <c r="D18968" s="7">
        <f>DATE(2016,12,13)</f>
        <v>42717</v>
      </c>
      <c r="E18968" s="8">
        <f t="shared" si="310"/>
        <v>2016</v>
      </c>
      <c r="F18968" t="s">
        <v>3065</v>
      </c>
      <c r="G18968" s="9">
        <v>1890</v>
      </c>
      <c r="H18968" s="8">
        <v>23777</v>
      </c>
    </row>
    <row r="18969" spans="2:8" ht="15" customHeight="1" x14ac:dyDescent="0.4">
      <c r="B18969" t="s">
        <v>7</v>
      </c>
      <c r="C18969" t="s">
        <v>3064</v>
      </c>
      <c r="D18969" s="7">
        <f>DATE(2018,12,20)</f>
        <v>43454</v>
      </c>
      <c r="E18969" s="8">
        <f t="shared" si="310"/>
        <v>2018</v>
      </c>
      <c r="F18969" t="s">
        <v>3065</v>
      </c>
      <c r="G18969" s="9">
        <v>2060</v>
      </c>
      <c r="H18969" s="8">
        <v>28000</v>
      </c>
    </row>
    <row r="18970" spans="2:8" ht="15" customHeight="1" x14ac:dyDescent="0.4">
      <c r="B18970" t="s">
        <v>7</v>
      </c>
      <c r="C18970" t="s">
        <v>3064</v>
      </c>
      <c r="D18970" s="7">
        <f>DATE(2013,1,4)</f>
        <v>41278</v>
      </c>
      <c r="E18970" s="8">
        <f t="shared" si="310"/>
        <v>2013</v>
      </c>
      <c r="F18970" t="s">
        <v>3065</v>
      </c>
      <c r="G18970" s="9">
        <v>1764.32</v>
      </c>
      <c r="H18970" s="8">
        <v>12007</v>
      </c>
    </row>
    <row r="18971" spans="2:8" ht="15" customHeight="1" x14ac:dyDescent="0.4">
      <c r="B18971" t="s">
        <v>7</v>
      </c>
      <c r="C18971" t="s">
        <v>3064</v>
      </c>
      <c r="D18971" s="7">
        <f>DATE(2013,12,10)</f>
        <v>41618</v>
      </c>
      <c r="E18971" s="8">
        <f t="shared" si="310"/>
        <v>2013</v>
      </c>
      <c r="F18971" t="s">
        <v>3065</v>
      </c>
      <c r="G18971" s="9">
        <v>1807.8</v>
      </c>
      <c r="H18971" s="8">
        <v>12777</v>
      </c>
    </row>
    <row r="18972" spans="2:8" ht="15" customHeight="1" x14ac:dyDescent="0.4">
      <c r="B18972" t="s">
        <v>7</v>
      </c>
      <c r="C18972" t="s">
        <v>3064</v>
      </c>
      <c r="D18972" s="7">
        <f>DATE(2014,12,19)</f>
        <v>41992</v>
      </c>
      <c r="E18972" s="8">
        <f t="shared" si="310"/>
        <v>2014</v>
      </c>
      <c r="F18972" t="s">
        <v>3065</v>
      </c>
      <c r="G18972" s="9">
        <v>1807.8</v>
      </c>
      <c r="H18972" s="8">
        <v>13617</v>
      </c>
    </row>
    <row r="18973" spans="2:8" ht="15" customHeight="1" x14ac:dyDescent="0.4">
      <c r="B18973" t="s">
        <v>7</v>
      </c>
      <c r="C18973" t="s">
        <v>3066</v>
      </c>
      <c r="D18973" s="7">
        <f>DATE(2015,8,12)</f>
        <v>42228</v>
      </c>
      <c r="E18973" s="8">
        <f t="shared" si="310"/>
        <v>2015</v>
      </c>
      <c r="F18973" t="s">
        <v>3067</v>
      </c>
      <c r="G18973" s="9">
        <v>1432.35</v>
      </c>
      <c r="H18973" s="8">
        <v>21052</v>
      </c>
    </row>
    <row r="18974" spans="2:8" ht="15" customHeight="1" x14ac:dyDescent="0.4">
      <c r="B18974" t="s">
        <v>7</v>
      </c>
      <c r="C18974" t="s">
        <v>3066</v>
      </c>
      <c r="D18974" s="7">
        <f>DATE(2016,2,24)</f>
        <v>42424</v>
      </c>
      <c r="E18974" s="8">
        <f t="shared" si="310"/>
        <v>2016</v>
      </c>
      <c r="F18974" t="s">
        <v>3067</v>
      </c>
      <c r="G18974" s="9">
        <v>116.6</v>
      </c>
      <c r="H18974" s="8">
        <v>22234</v>
      </c>
    </row>
    <row r="18975" spans="2:8" ht="15" customHeight="1" x14ac:dyDescent="0.4">
      <c r="B18975" t="s">
        <v>7</v>
      </c>
      <c r="C18975" t="s">
        <v>3066</v>
      </c>
      <c r="D18975" s="7">
        <f>DATE(2016,3,23)</f>
        <v>42452</v>
      </c>
      <c r="E18975" s="8">
        <f t="shared" si="310"/>
        <v>2016</v>
      </c>
      <c r="F18975" t="s">
        <v>3067</v>
      </c>
      <c r="G18975" s="9">
        <v>143.75</v>
      </c>
      <c r="H18975" s="8">
        <v>22483</v>
      </c>
    </row>
    <row r="18976" spans="2:8" ht="15" customHeight="1" x14ac:dyDescent="0.4">
      <c r="B18976" t="s">
        <v>7</v>
      </c>
      <c r="C18976" t="s">
        <v>3066</v>
      </c>
      <c r="D18976" s="7">
        <f>DATE(2003,4,24)</f>
        <v>37735</v>
      </c>
      <c r="E18976" s="8">
        <f t="shared" si="310"/>
        <v>2003</v>
      </c>
      <c r="F18976" t="s">
        <v>3067</v>
      </c>
      <c r="G18976" s="9">
        <v>3798.5</v>
      </c>
      <c r="H18976" s="8">
        <v>515</v>
      </c>
    </row>
    <row r="18977" spans="2:8" ht="15" customHeight="1" x14ac:dyDescent="0.4">
      <c r="B18977" t="s">
        <v>7</v>
      </c>
      <c r="C18977" t="s">
        <v>3066</v>
      </c>
      <c r="D18977" s="7">
        <f>DATE(2003,4,24)</f>
        <v>37735</v>
      </c>
      <c r="E18977" s="8">
        <f t="shared" si="310"/>
        <v>2003</v>
      </c>
      <c r="F18977" t="s">
        <v>3067</v>
      </c>
      <c r="G18977" s="9">
        <v>3158.5</v>
      </c>
      <c r="H18977" s="8">
        <v>549</v>
      </c>
    </row>
    <row r="18978" spans="2:8" ht="15" customHeight="1" x14ac:dyDescent="0.4">
      <c r="B18978" t="s">
        <v>7</v>
      </c>
      <c r="C18978" t="s">
        <v>3066</v>
      </c>
      <c r="D18978" s="7">
        <f>DATE(2003,11,8)</f>
        <v>37933</v>
      </c>
      <c r="E18978" s="8">
        <f t="shared" si="310"/>
        <v>2003</v>
      </c>
      <c r="F18978" t="s">
        <v>3067</v>
      </c>
      <c r="G18978" s="9">
        <v>3402.31</v>
      </c>
      <c r="H18978" s="8">
        <v>1004</v>
      </c>
    </row>
    <row r="18979" spans="2:8" ht="15" customHeight="1" x14ac:dyDescent="0.4">
      <c r="B18979" t="s">
        <v>7</v>
      </c>
      <c r="C18979" t="s">
        <v>3066</v>
      </c>
      <c r="D18979" s="7">
        <f>DATE(2004,4,16)</f>
        <v>38093</v>
      </c>
      <c r="E18979" s="8">
        <f t="shared" si="310"/>
        <v>2004</v>
      </c>
      <c r="F18979" t="s">
        <v>3067</v>
      </c>
      <c r="G18979" s="9">
        <v>79876.039999999994</v>
      </c>
      <c r="H18979" s="8">
        <v>1552</v>
      </c>
    </row>
    <row r="18980" spans="2:8" ht="15" customHeight="1" x14ac:dyDescent="0.4">
      <c r="B18980" t="s">
        <v>7</v>
      </c>
      <c r="C18980" t="s">
        <v>3066</v>
      </c>
      <c r="D18980" s="7">
        <f>DATE(2004,8,10)</f>
        <v>38209</v>
      </c>
      <c r="E18980" s="8">
        <f t="shared" si="310"/>
        <v>2004</v>
      </c>
      <c r="F18980" t="s">
        <v>3067</v>
      </c>
      <c r="G18980" s="9">
        <v>2344.29</v>
      </c>
      <c r="H18980" s="8">
        <v>2040</v>
      </c>
    </row>
    <row r="18981" spans="2:8" ht="15" customHeight="1" x14ac:dyDescent="0.4">
      <c r="B18981" t="s">
        <v>7</v>
      </c>
      <c r="C18981" t="s">
        <v>3066</v>
      </c>
      <c r="D18981" s="7">
        <f>DATE(2005,5,4)</f>
        <v>38476</v>
      </c>
      <c r="E18981" s="8">
        <f t="shared" si="310"/>
        <v>2005</v>
      </c>
      <c r="F18981" t="s">
        <v>3067</v>
      </c>
      <c r="G18981" s="9">
        <v>4549.07</v>
      </c>
      <c r="H18981" s="8">
        <v>3158</v>
      </c>
    </row>
    <row r="18982" spans="2:8" ht="15" customHeight="1" x14ac:dyDescent="0.4">
      <c r="B18982" t="s">
        <v>7</v>
      </c>
      <c r="C18982" t="s">
        <v>3066</v>
      </c>
      <c r="D18982" s="7">
        <f>DATE(2006,1,13)</f>
        <v>38730</v>
      </c>
      <c r="E18982" s="8">
        <f t="shared" si="310"/>
        <v>2006</v>
      </c>
      <c r="F18982" t="s">
        <v>3067</v>
      </c>
      <c r="G18982" s="9">
        <v>6366.57</v>
      </c>
      <c r="H18982" s="8">
        <v>3939</v>
      </c>
    </row>
    <row r="18983" spans="2:8" ht="15" customHeight="1" x14ac:dyDescent="0.4">
      <c r="B18983" t="s">
        <v>7</v>
      </c>
      <c r="C18983" t="s">
        <v>3066</v>
      </c>
      <c r="D18983" s="7">
        <f>DATE(2006,4,8)</f>
        <v>38815</v>
      </c>
      <c r="E18983" s="8">
        <f t="shared" si="310"/>
        <v>2006</v>
      </c>
      <c r="F18983" t="s">
        <v>3067</v>
      </c>
      <c r="G18983" s="9">
        <v>101174.35</v>
      </c>
      <c r="H18983" s="8">
        <v>4360</v>
      </c>
    </row>
    <row r="18984" spans="2:8" ht="15" customHeight="1" x14ac:dyDescent="0.4">
      <c r="B18984" t="s">
        <v>7</v>
      </c>
      <c r="C18984" t="s">
        <v>3066</v>
      </c>
      <c r="D18984" s="7">
        <f>DATE(2007,4,1)</f>
        <v>39173</v>
      </c>
      <c r="E18984" s="8">
        <f t="shared" si="310"/>
        <v>2007</v>
      </c>
      <c r="F18984" t="s">
        <v>3067</v>
      </c>
      <c r="G18984" s="9">
        <v>36520.400000000001</v>
      </c>
      <c r="H18984" s="8">
        <v>5785</v>
      </c>
    </row>
    <row r="18985" spans="2:8" ht="15" customHeight="1" x14ac:dyDescent="0.4">
      <c r="B18985" t="s">
        <v>7</v>
      </c>
      <c r="C18985" t="s">
        <v>3066</v>
      </c>
      <c r="D18985" s="7">
        <f>DATE(2013,4,9)</f>
        <v>41373</v>
      </c>
      <c r="E18985" s="8">
        <f t="shared" si="310"/>
        <v>2013</v>
      </c>
      <c r="F18985" t="s">
        <v>3067</v>
      </c>
      <c r="G18985" s="9">
        <v>31775.98</v>
      </c>
      <c r="H18985" s="8">
        <v>12353</v>
      </c>
    </row>
    <row r="18986" spans="2:8" ht="15" customHeight="1" x14ac:dyDescent="0.4">
      <c r="B18986" t="s">
        <v>16</v>
      </c>
      <c r="C18986" t="s">
        <v>3066</v>
      </c>
      <c r="D18986" s="7">
        <f>DATE(2003,4,24)</f>
        <v>37735</v>
      </c>
      <c r="E18986" s="8">
        <f t="shared" si="310"/>
        <v>2003</v>
      </c>
      <c r="F18986" t="s">
        <v>3067</v>
      </c>
      <c r="G18986" s="9">
        <v>3798.5</v>
      </c>
      <c r="H18986" s="8">
        <v>547</v>
      </c>
    </row>
    <row r="18987" spans="2:8" ht="15" customHeight="1" x14ac:dyDescent="0.4">
      <c r="B18987" t="s">
        <v>7</v>
      </c>
      <c r="C18987" t="s">
        <v>3068</v>
      </c>
      <c r="D18987" s="7">
        <f>DATE(2015,7,16)</f>
        <v>42201</v>
      </c>
      <c r="E18987" s="8">
        <f t="shared" si="310"/>
        <v>2015</v>
      </c>
      <c r="F18987" t="s">
        <v>3069</v>
      </c>
      <c r="G18987" s="9">
        <v>5345.78</v>
      </c>
      <c r="H18987" s="8">
        <v>20856</v>
      </c>
    </row>
    <row r="18988" spans="2:8" ht="15" customHeight="1" x14ac:dyDescent="0.4">
      <c r="B18988" t="s">
        <v>7</v>
      </c>
      <c r="C18988" t="s">
        <v>3070</v>
      </c>
      <c r="D18988" s="7">
        <f>DATE(2015,5,28)</f>
        <v>42152</v>
      </c>
      <c r="E18988" s="8">
        <f t="shared" si="310"/>
        <v>2015</v>
      </c>
      <c r="F18988" t="s">
        <v>3071</v>
      </c>
      <c r="G18988" s="9">
        <v>7600</v>
      </c>
      <c r="H18988" s="8">
        <v>20633</v>
      </c>
    </row>
    <row r="18989" spans="2:8" ht="15" customHeight="1" x14ac:dyDescent="0.4">
      <c r="B18989" t="s">
        <v>7</v>
      </c>
      <c r="C18989" t="s">
        <v>3070</v>
      </c>
      <c r="D18989" s="7">
        <f>DATE(2017,5,31)</f>
        <v>42886</v>
      </c>
      <c r="E18989" s="8">
        <f t="shared" si="310"/>
        <v>2017</v>
      </c>
      <c r="F18989" t="s">
        <v>3071</v>
      </c>
      <c r="G18989" s="9">
        <v>7600</v>
      </c>
      <c r="H18989" s="8">
        <v>24949</v>
      </c>
    </row>
    <row r="18990" spans="2:8" ht="15" customHeight="1" x14ac:dyDescent="0.4">
      <c r="B18990" t="s">
        <v>7</v>
      </c>
      <c r="C18990" t="s">
        <v>3070</v>
      </c>
      <c r="D18990" s="7">
        <f>DATE(2018,10,23)</f>
        <v>43396</v>
      </c>
      <c r="E18990" s="8">
        <f t="shared" si="310"/>
        <v>2018</v>
      </c>
      <c r="F18990" t="s">
        <v>3071</v>
      </c>
      <c r="G18990" s="9">
        <v>7600</v>
      </c>
      <c r="H18990" s="8">
        <v>27842</v>
      </c>
    </row>
    <row r="18991" spans="2:8" ht="15" customHeight="1" x14ac:dyDescent="0.4">
      <c r="B18991" t="s">
        <v>7</v>
      </c>
      <c r="C18991" t="s">
        <v>3070</v>
      </c>
      <c r="D18991" s="7">
        <f>DATE(2012,6,13)</f>
        <v>41073</v>
      </c>
      <c r="E18991" s="8">
        <f t="shared" si="310"/>
        <v>2012</v>
      </c>
      <c r="F18991" t="s">
        <v>3071</v>
      </c>
      <c r="G18991" s="9">
        <v>750</v>
      </c>
      <c r="H18991" s="8">
        <v>11628</v>
      </c>
    </row>
    <row r="18992" spans="2:8" ht="15" customHeight="1" x14ac:dyDescent="0.4">
      <c r="B18992" t="s">
        <v>7</v>
      </c>
      <c r="C18992" t="s">
        <v>3070</v>
      </c>
      <c r="D18992" s="7">
        <f>DATE(2003,4,24)</f>
        <v>37735</v>
      </c>
      <c r="E18992" s="8">
        <f t="shared" si="310"/>
        <v>2003</v>
      </c>
      <c r="F18992" t="s">
        <v>3071</v>
      </c>
      <c r="G18992" s="9">
        <v>5556.31</v>
      </c>
      <c r="H18992" s="8">
        <v>503</v>
      </c>
    </row>
    <row r="18993" spans="2:8" ht="15" customHeight="1" x14ac:dyDescent="0.4">
      <c r="B18993" t="s">
        <v>7</v>
      </c>
      <c r="C18993" t="s">
        <v>3070</v>
      </c>
      <c r="D18993" s="7">
        <f>DATE(2004,5,15)</f>
        <v>38122</v>
      </c>
      <c r="E18993" s="8">
        <f t="shared" si="310"/>
        <v>2004</v>
      </c>
      <c r="F18993" t="s">
        <v>3071</v>
      </c>
      <c r="G18993" s="9">
        <v>27411</v>
      </c>
      <c r="H18993" s="8">
        <v>1297</v>
      </c>
    </row>
    <row r="18994" spans="2:8" ht="15" customHeight="1" x14ac:dyDescent="0.4">
      <c r="B18994" t="s">
        <v>7</v>
      </c>
      <c r="C18994" t="s">
        <v>3070</v>
      </c>
      <c r="D18994" s="7">
        <f>DATE(2007,5,9)</f>
        <v>39211</v>
      </c>
      <c r="E18994" s="8">
        <f t="shared" si="310"/>
        <v>2007</v>
      </c>
      <c r="F18994" t="s">
        <v>3071</v>
      </c>
      <c r="G18994" s="9">
        <v>3245.26</v>
      </c>
      <c r="H18994" s="8">
        <v>5958</v>
      </c>
    </row>
    <row r="18995" spans="2:8" ht="15" customHeight="1" x14ac:dyDescent="0.4">
      <c r="B18995" t="s">
        <v>7</v>
      </c>
      <c r="C18995" t="s">
        <v>3070</v>
      </c>
      <c r="D18995" s="7">
        <f>DATE(2014,10,8)</f>
        <v>41920</v>
      </c>
      <c r="E18995" s="8">
        <f t="shared" si="310"/>
        <v>2014</v>
      </c>
      <c r="F18995" t="s">
        <v>3071</v>
      </c>
      <c r="G18995" s="9">
        <v>10252.61</v>
      </c>
      <c r="H18995" s="8">
        <v>13513</v>
      </c>
    </row>
    <row r="18996" spans="2:8" ht="15" customHeight="1" x14ac:dyDescent="0.4">
      <c r="B18996" s="3" t="s">
        <v>7</v>
      </c>
      <c r="C18996" s="3" t="s">
        <v>3070</v>
      </c>
      <c r="D18996" s="4">
        <f>DATE(2003,6,9)</f>
        <v>37781</v>
      </c>
      <c r="E18996" s="5">
        <f t="shared" si="310"/>
        <v>2003</v>
      </c>
      <c r="F18996" s="3" t="s">
        <v>3071</v>
      </c>
      <c r="G18996" s="6">
        <v>3611</v>
      </c>
      <c r="H18996" s="5">
        <v>1059</v>
      </c>
    </row>
    <row r="18997" spans="2:8" ht="15" customHeight="1" x14ac:dyDescent="0.4">
      <c r="B18997" s="3" t="s">
        <v>7</v>
      </c>
      <c r="C18997" s="3" t="s">
        <v>3070</v>
      </c>
      <c r="D18997" s="4">
        <f>DATE(2004,4,14)</f>
        <v>38091</v>
      </c>
      <c r="E18997" s="5">
        <f t="shared" si="310"/>
        <v>2004</v>
      </c>
      <c r="F18997" s="3" t="s">
        <v>3071</v>
      </c>
      <c r="G18997" s="6">
        <v>27399</v>
      </c>
      <c r="H18997" s="5">
        <v>2496</v>
      </c>
    </row>
    <row r="18998" spans="2:8" ht="15" customHeight="1" x14ac:dyDescent="0.4">
      <c r="B18998" s="3" t="s">
        <v>7</v>
      </c>
      <c r="C18998" s="3" t="s">
        <v>3070</v>
      </c>
      <c r="D18998" s="4">
        <f>DATE(2005,5,26)</f>
        <v>38498</v>
      </c>
      <c r="E18998" s="5">
        <f t="shared" si="310"/>
        <v>2005</v>
      </c>
      <c r="F18998" s="3" t="s">
        <v>3071</v>
      </c>
      <c r="G18998" s="6">
        <v>3800</v>
      </c>
      <c r="H18998" s="5">
        <v>4801</v>
      </c>
    </row>
    <row r="18999" spans="2:8" ht="15" customHeight="1" x14ac:dyDescent="0.4">
      <c r="B18999" s="3" t="s">
        <v>7</v>
      </c>
      <c r="C18999" s="3" t="s">
        <v>3070</v>
      </c>
      <c r="D18999" s="4">
        <f>DATE(2005,6,7)</f>
        <v>38510</v>
      </c>
      <c r="E18999" s="5">
        <f t="shared" si="310"/>
        <v>2005</v>
      </c>
      <c r="F18999" s="3" t="s">
        <v>3071</v>
      </c>
      <c r="G18999" s="6">
        <v>3812</v>
      </c>
      <c r="H18999" s="5">
        <v>4850</v>
      </c>
    </row>
    <row r="19000" spans="2:8" ht="15" customHeight="1" x14ac:dyDescent="0.4">
      <c r="B19000" s="3" t="s">
        <v>7</v>
      </c>
      <c r="C19000" s="3" t="s">
        <v>3070</v>
      </c>
      <c r="D19000" s="4">
        <f>DATE(2006,6,2)</f>
        <v>38870</v>
      </c>
      <c r="E19000" s="5">
        <f t="shared" si="310"/>
        <v>2006</v>
      </c>
      <c r="F19000" s="3" t="s">
        <v>3071</v>
      </c>
      <c r="G19000" s="6">
        <v>3813</v>
      </c>
      <c r="H19000" s="5">
        <v>6810</v>
      </c>
    </row>
    <row r="19001" spans="2:8" ht="15" customHeight="1" x14ac:dyDescent="0.4">
      <c r="B19001" s="3" t="s">
        <v>7</v>
      </c>
      <c r="C19001" s="3" t="s">
        <v>3070</v>
      </c>
      <c r="D19001" s="4">
        <f>DATE(2007,4,3)</f>
        <v>39175</v>
      </c>
      <c r="E19001" s="5">
        <f t="shared" si="310"/>
        <v>2007</v>
      </c>
      <c r="F19001" s="3" t="s">
        <v>3071</v>
      </c>
      <c r="G19001" s="6">
        <v>1919</v>
      </c>
      <c r="H19001" s="5">
        <v>8296</v>
      </c>
    </row>
    <row r="19002" spans="2:8" ht="15" customHeight="1" x14ac:dyDescent="0.4">
      <c r="B19002" s="3" t="s">
        <v>7</v>
      </c>
      <c r="C19002" s="3" t="s">
        <v>3070</v>
      </c>
      <c r="D19002" s="4">
        <f>DATE(2007,5,1)</f>
        <v>39203</v>
      </c>
      <c r="E19002" s="5">
        <f t="shared" si="310"/>
        <v>2007</v>
      </c>
      <c r="F19002" s="3" t="s">
        <v>3071</v>
      </c>
      <c r="G19002" s="6">
        <v>1900</v>
      </c>
      <c r="H19002" s="5">
        <v>8492</v>
      </c>
    </row>
    <row r="19003" spans="2:8" ht="15" customHeight="1" x14ac:dyDescent="0.4">
      <c r="B19003" s="3" t="s">
        <v>7</v>
      </c>
      <c r="C19003" s="3" t="s">
        <v>3070</v>
      </c>
      <c r="D19003" s="4">
        <f>DATE(2007,5,16)</f>
        <v>39218</v>
      </c>
      <c r="E19003" s="5">
        <f t="shared" si="310"/>
        <v>2007</v>
      </c>
      <c r="F19003" s="3" t="s">
        <v>3071</v>
      </c>
      <c r="G19003" s="6">
        <v>645.33000000000004</v>
      </c>
      <c r="H19003" s="5">
        <v>8533</v>
      </c>
    </row>
    <row r="19004" spans="2:8" ht="15" customHeight="1" x14ac:dyDescent="0.4">
      <c r="B19004" s="3" t="s">
        <v>7</v>
      </c>
      <c r="C19004" s="3" t="s">
        <v>3070</v>
      </c>
      <c r="D19004" s="4">
        <f>DATE(2007,5,29)</f>
        <v>39231</v>
      </c>
      <c r="E19004" s="5">
        <f t="shared" si="310"/>
        <v>2007</v>
      </c>
      <c r="F19004" s="3" t="s">
        <v>3071</v>
      </c>
      <c r="G19004" s="6">
        <v>1910</v>
      </c>
      <c r="H19004" s="5">
        <v>8667</v>
      </c>
    </row>
    <row r="19005" spans="2:8" ht="15" customHeight="1" x14ac:dyDescent="0.4">
      <c r="B19005" s="3" t="s">
        <v>7</v>
      </c>
      <c r="C19005" s="3" t="s">
        <v>3070</v>
      </c>
      <c r="D19005" s="4">
        <f>DATE(2007,6,28)</f>
        <v>39261</v>
      </c>
      <c r="E19005" s="5">
        <f t="shared" si="310"/>
        <v>2007</v>
      </c>
      <c r="F19005" s="3" t="s">
        <v>3071</v>
      </c>
      <c r="G19005" s="6">
        <v>1106.06</v>
      </c>
      <c r="H19005" s="5">
        <v>8683</v>
      </c>
    </row>
    <row r="19006" spans="2:8" ht="15" customHeight="1" x14ac:dyDescent="0.4">
      <c r="B19006" s="3" t="s">
        <v>7</v>
      </c>
      <c r="C19006" s="3" t="s">
        <v>3070</v>
      </c>
      <c r="D19006" s="4">
        <f>DATE(2008,5,12)</f>
        <v>39580</v>
      </c>
      <c r="E19006" s="5">
        <f t="shared" si="310"/>
        <v>2008</v>
      </c>
      <c r="F19006" s="3" t="s">
        <v>3071</v>
      </c>
      <c r="G19006" s="6">
        <v>1911</v>
      </c>
      <c r="H19006" s="5">
        <v>10646</v>
      </c>
    </row>
    <row r="19007" spans="2:8" ht="15" customHeight="1" x14ac:dyDescent="0.4">
      <c r="B19007" s="3" t="s">
        <v>7</v>
      </c>
      <c r="C19007" s="3" t="s">
        <v>3070</v>
      </c>
      <c r="D19007" s="4">
        <f>DATE(2008,5,30)</f>
        <v>39598</v>
      </c>
      <c r="E19007" s="5">
        <f t="shared" si="310"/>
        <v>2008</v>
      </c>
      <c r="F19007" s="3" t="s">
        <v>3071</v>
      </c>
      <c r="G19007" s="6">
        <v>1985.57</v>
      </c>
      <c r="H19007" s="5">
        <v>10786</v>
      </c>
    </row>
    <row r="19008" spans="2:8" ht="15" customHeight="1" x14ac:dyDescent="0.4">
      <c r="B19008" s="3" t="s">
        <v>7</v>
      </c>
      <c r="C19008" s="3" t="s">
        <v>3070</v>
      </c>
      <c r="D19008" s="4">
        <f>DATE(2009,1,23)</f>
        <v>39836</v>
      </c>
      <c r="E19008" s="5">
        <f t="shared" si="310"/>
        <v>2009</v>
      </c>
      <c r="F19008" s="3" t="s">
        <v>3071</v>
      </c>
      <c r="G19008" s="6">
        <v>39550</v>
      </c>
      <c r="H19008" s="5">
        <v>11866</v>
      </c>
    </row>
    <row r="19009" spans="2:8" ht="15" customHeight="1" x14ac:dyDescent="0.4">
      <c r="B19009" s="3" t="s">
        <v>7</v>
      </c>
      <c r="C19009" s="3" t="s">
        <v>3070</v>
      </c>
      <c r="D19009" s="4">
        <f>DATE(2009,4,9)</f>
        <v>39912</v>
      </c>
      <c r="E19009" s="5">
        <f t="shared" si="310"/>
        <v>2009</v>
      </c>
      <c r="F19009" s="3" t="s">
        <v>3071</v>
      </c>
      <c r="G19009" s="6">
        <v>550.51</v>
      </c>
      <c r="H19009" s="5">
        <v>12339</v>
      </c>
    </row>
    <row r="19010" spans="2:8" ht="15" customHeight="1" x14ac:dyDescent="0.4">
      <c r="B19010" s="3" t="s">
        <v>7</v>
      </c>
      <c r="C19010" s="3" t="s">
        <v>3070</v>
      </c>
      <c r="D19010" s="4">
        <f>DATE(2009,5,1)</f>
        <v>39934</v>
      </c>
      <c r="E19010" s="5">
        <f t="shared" si="310"/>
        <v>2009</v>
      </c>
      <c r="F19010" s="3" t="s">
        <v>3071</v>
      </c>
      <c r="G19010" s="6">
        <v>3846.45</v>
      </c>
      <c r="H19010" s="5">
        <v>12479</v>
      </c>
    </row>
    <row r="19011" spans="2:8" ht="15" customHeight="1" x14ac:dyDescent="0.4">
      <c r="B19011" s="3" t="s">
        <v>7</v>
      </c>
      <c r="C19011" s="3" t="s">
        <v>3070</v>
      </c>
      <c r="D19011" s="4">
        <f>DATE(2009,5,11)</f>
        <v>39944</v>
      </c>
      <c r="E19011" s="5">
        <f t="shared" ref="E19011:E19074" si="311">YEAR(D19011)</f>
        <v>2009</v>
      </c>
      <c r="F19011" s="3" t="s">
        <v>3071</v>
      </c>
      <c r="G19011" s="6">
        <v>1911</v>
      </c>
      <c r="H19011" s="5">
        <v>12516</v>
      </c>
    </row>
    <row r="19012" spans="2:8" ht="15" customHeight="1" x14ac:dyDescent="0.4">
      <c r="B19012" s="3" t="s">
        <v>7</v>
      </c>
      <c r="C19012" s="3" t="s">
        <v>3070</v>
      </c>
      <c r="D19012" s="4">
        <f>DATE(2010,2,17)</f>
        <v>40226</v>
      </c>
      <c r="E19012" s="5">
        <f t="shared" si="311"/>
        <v>2010</v>
      </c>
      <c r="F19012" s="3" t="s">
        <v>3071</v>
      </c>
      <c r="G19012" s="6">
        <v>40587.24</v>
      </c>
      <c r="H19012" s="5">
        <v>13606</v>
      </c>
    </row>
    <row r="19013" spans="2:8" ht="15" customHeight="1" x14ac:dyDescent="0.4">
      <c r="B19013" s="3" t="s">
        <v>7</v>
      </c>
      <c r="C19013" s="3" t="s">
        <v>3070</v>
      </c>
      <c r="D19013" s="4">
        <f>DATE(2010,3,3)</f>
        <v>40240</v>
      </c>
      <c r="E19013" s="5">
        <f t="shared" si="311"/>
        <v>2010</v>
      </c>
      <c r="F19013" s="3" t="s">
        <v>3071</v>
      </c>
      <c r="G19013" s="6">
        <v>11437.9</v>
      </c>
      <c r="H19013" s="5">
        <v>13676</v>
      </c>
    </row>
    <row r="19014" spans="2:8" ht="15" customHeight="1" x14ac:dyDescent="0.4">
      <c r="B19014" s="3" t="s">
        <v>7</v>
      </c>
      <c r="C19014" s="3" t="s">
        <v>3070</v>
      </c>
      <c r="D19014" s="4">
        <f>DATE(2010,4,23)</f>
        <v>40291</v>
      </c>
      <c r="E19014" s="5">
        <f t="shared" si="311"/>
        <v>2010</v>
      </c>
      <c r="F19014" s="3" t="s">
        <v>3071</v>
      </c>
      <c r="G19014" s="6">
        <v>2439</v>
      </c>
      <c r="H19014" s="5">
        <v>13961</v>
      </c>
    </row>
    <row r="19015" spans="2:8" ht="15" customHeight="1" x14ac:dyDescent="0.4">
      <c r="B19015" s="3" t="s">
        <v>7</v>
      </c>
      <c r="C19015" s="3" t="s">
        <v>3070</v>
      </c>
      <c r="D19015" s="4">
        <f>DATE(2010,4,30)</f>
        <v>40298</v>
      </c>
      <c r="E19015" s="5">
        <f t="shared" si="311"/>
        <v>2010</v>
      </c>
      <c r="F19015" s="3" t="s">
        <v>3071</v>
      </c>
      <c r="G19015" s="6">
        <v>9625</v>
      </c>
      <c r="H19015" s="5">
        <v>13962</v>
      </c>
    </row>
    <row r="19016" spans="2:8" ht="15" customHeight="1" x14ac:dyDescent="0.4">
      <c r="B19016" s="3" t="s">
        <v>7</v>
      </c>
      <c r="C19016" s="3" t="s">
        <v>3070</v>
      </c>
      <c r="D19016" s="4">
        <f>DATE(2010,6,11)</f>
        <v>40340</v>
      </c>
      <c r="E19016" s="5">
        <f t="shared" si="311"/>
        <v>2010</v>
      </c>
      <c r="F19016" s="3" t="s">
        <v>3071</v>
      </c>
      <c r="G19016" s="6">
        <v>21600</v>
      </c>
      <c r="H19016" s="5">
        <v>14152</v>
      </c>
    </row>
    <row r="19017" spans="2:8" ht="15" customHeight="1" x14ac:dyDescent="0.4">
      <c r="B19017" s="3" t="s">
        <v>7</v>
      </c>
      <c r="C19017" s="3" t="s">
        <v>3070</v>
      </c>
      <c r="D19017" s="4">
        <f>DATE(2010,9,29)</f>
        <v>40450</v>
      </c>
      <c r="E19017" s="5">
        <f t="shared" si="311"/>
        <v>2010</v>
      </c>
      <c r="F19017" s="3" t="s">
        <v>3071</v>
      </c>
      <c r="G19017" s="6">
        <v>15336.51</v>
      </c>
      <c r="H19017" s="5">
        <v>14538</v>
      </c>
    </row>
    <row r="19018" spans="2:8" ht="15" customHeight="1" x14ac:dyDescent="0.4">
      <c r="B19018" s="3" t="s">
        <v>7</v>
      </c>
      <c r="C19018" s="3" t="s">
        <v>3070</v>
      </c>
      <c r="D19018" s="4">
        <f>DATE(2010,10,25)</f>
        <v>40476</v>
      </c>
      <c r="E19018" s="5">
        <f t="shared" si="311"/>
        <v>2010</v>
      </c>
      <c r="F19018" s="3" t="s">
        <v>3071</v>
      </c>
      <c r="G19018" s="6">
        <v>2821.27</v>
      </c>
      <c r="H19018" s="5">
        <v>14550</v>
      </c>
    </row>
    <row r="19019" spans="2:8" ht="15" customHeight="1" x14ac:dyDescent="0.4">
      <c r="B19019" s="3" t="s">
        <v>7</v>
      </c>
      <c r="C19019" s="3" t="s">
        <v>3070</v>
      </c>
      <c r="D19019" s="4">
        <f>DATE(2011,5,24)</f>
        <v>40687</v>
      </c>
      <c r="E19019" s="5">
        <f t="shared" si="311"/>
        <v>2011</v>
      </c>
      <c r="F19019" s="3" t="s">
        <v>3071</v>
      </c>
      <c r="G19019" s="6">
        <v>7626.07</v>
      </c>
      <c r="H19019" s="5">
        <v>15589</v>
      </c>
    </row>
    <row r="19020" spans="2:8" ht="15" customHeight="1" x14ac:dyDescent="0.4">
      <c r="B19020" s="3" t="s">
        <v>7</v>
      </c>
      <c r="C19020" s="3" t="s">
        <v>3070</v>
      </c>
      <c r="D19020" s="4">
        <f>DATE(2013,5,9)</f>
        <v>41403</v>
      </c>
      <c r="E19020" s="5">
        <f t="shared" si="311"/>
        <v>2013</v>
      </c>
      <c r="F19020" s="3" t="s">
        <v>3071</v>
      </c>
      <c r="G19020" s="6">
        <v>7600</v>
      </c>
      <c r="H19020" s="5">
        <v>18561</v>
      </c>
    </row>
    <row r="19021" spans="2:8" ht="15" customHeight="1" x14ac:dyDescent="0.4">
      <c r="B19021" s="3" t="s">
        <v>7</v>
      </c>
      <c r="C19021" s="3" t="s">
        <v>3070</v>
      </c>
      <c r="D19021" s="4">
        <f>DATE(2013,5,23)</f>
        <v>41417</v>
      </c>
      <c r="E19021" s="5">
        <f t="shared" si="311"/>
        <v>2013</v>
      </c>
      <c r="F19021" s="3" t="s">
        <v>3071</v>
      </c>
      <c r="G19021" s="6">
        <v>11400</v>
      </c>
      <c r="H19021" s="5">
        <v>18583</v>
      </c>
    </row>
    <row r="19022" spans="2:8" ht="15" customHeight="1" x14ac:dyDescent="0.4">
      <c r="B19022" s="3" t="s">
        <v>7</v>
      </c>
      <c r="C19022" s="3" t="s">
        <v>3070</v>
      </c>
      <c r="D19022" s="4">
        <f>DATE(2014,4,24)</f>
        <v>41753</v>
      </c>
      <c r="E19022" s="5">
        <f t="shared" si="311"/>
        <v>2014</v>
      </c>
      <c r="F19022" s="3" t="s">
        <v>3071</v>
      </c>
      <c r="G19022" s="6">
        <v>11400</v>
      </c>
      <c r="H19022" s="5">
        <v>19868</v>
      </c>
    </row>
    <row r="19023" spans="2:8" ht="15" customHeight="1" x14ac:dyDescent="0.4">
      <c r="B19023" t="s">
        <v>7</v>
      </c>
      <c r="C19023" t="s">
        <v>3072</v>
      </c>
      <c r="D19023" s="7">
        <f>DATE(2015,7,6)</f>
        <v>42191</v>
      </c>
      <c r="E19023" s="8">
        <f t="shared" si="311"/>
        <v>2015</v>
      </c>
      <c r="F19023" t="s">
        <v>3073</v>
      </c>
      <c r="G19023" s="9">
        <v>1269</v>
      </c>
      <c r="H19023" s="8">
        <v>20871</v>
      </c>
    </row>
    <row r="19024" spans="2:8" ht="15" customHeight="1" x14ac:dyDescent="0.4">
      <c r="B19024" s="3" t="s">
        <v>7</v>
      </c>
      <c r="C19024" s="3" t="s">
        <v>3072</v>
      </c>
      <c r="D19024" s="4">
        <f>DATE(2013,7,18)</f>
        <v>41473</v>
      </c>
      <c r="E19024" s="5">
        <f t="shared" si="311"/>
        <v>2013</v>
      </c>
      <c r="F19024" s="3" t="s">
        <v>3073</v>
      </c>
      <c r="G19024" s="6">
        <v>1904</v>
      </c>
      <c r="H19024" s="5">
        <v>18752</v>
      </c>
    </row>
    <row r="19025" spans="2:8" ht="15" customHeight="1" x14ac:dyDescent="0.4">
      <c r="B19025" t="s">
        <v>7</v>
      </c>
      <c r="C19025" t="s">
        <v>3074</v>
      </c>
      <c r="D19025" s="7">
        <f>DATE(2017,6,2)</f>
        <v>42888</v>
      </c>
      <c r="E19025" s="8">
        <f t="shared" si="311"/>
        <v>2017</v>
      </c>
      <c r="F19025" t="s">
        <v>3075</v>
      </c>
      <c r="G19025" s="9">
        <v>42403</v>
      </c>
      <c r="H19025" s="8">
        <v>25060</v>
      </c>
    </row>
    <row r="19026" spans="2:8" ht="15" customHeight="1" x14ac:dyDescent="0.4">
      <c r="B19026" t="s">
        <v>7</v>
      </c>
      <c r="C19026" t="s">
        <v>3074</v>
      </c>
      <c r="D19026" s="7">
        <f>DATE(2018,9,4)</f>
        <v>43347</v>
      </c>
      <c r="E19026" s="8">
        <f t="shared" si="311"/>
        <v>2018</v>
      </c>
      <c r="F19026" t="s">
        <v>3075</v>
      </c>
      <c r="G19026" s="9">
        <v>42696</v>
      </c>
      <c r="H19026" s="8">
        <v>27417</v>
      </c>
    </row>
    <row r="19027" spans="2:8" ht="15" customHeight="1" x14ac:dyDescent="0.4">
      <c r="B19027" t="s">
        <v>7</v>
      </c>
      <c r="C19027" t="s">
        <v>3074</v>
      </c>
      <c r="D19027" s="7">
        <f>DATE(2019,4,11)</f>
        <v>43566</v>
      </c>
      <c r="E19027" s="8">
        <f t="shared" si="311"/>
        <v>2019</v>
      </c>
      <c r="F19027" t="s">
        <v>3075</v>
      </c>
      <c r="G19027" s="9">
        <v>7300</v>
      </c>
      <c r="H19027" s="8">
        <v>28480</v>
      </c>
    </row>
    <row r="19028" spans="2:8" ht="15" customHeight="1" x14ac:dyDescent="0.4">
      <c r="B19028" t="s">
        <v>7</v>
      </c>
      <c r="C19028" t="s">
        <v>3074</v>
      </c>
      <c r="D19028" s="7">
        <f>DATE(2018,3,30)</f>
        <v>43189</v>
      </c>
      <c r="E19028" s="8">
        <f t="shared" si="311"/>
        <v>2018</v>
      </c>
      <c r="F19028" t="s">
        <v>3075</v>
      </c>
      <c r="G19028" s="9">
        <v>58122.91</v>
      </c>
      <c r="H19028" s="8">
        <v>26475</v>
      </c>
    </row>
    <row r="19029" spans="2:8" ht="15" customHeight="1" x14ac:dyDescent="0.4">
      <c r="B19029" t="s">
        <v>7</v>
      </c>
      <c r="C19029" t="s">
        <v>3074</v>
      </c>
      <c r="D19029" s="7">
        <f>DATE(2015,6,8)</f>
        <v>42163</v>
      </c>
      <c r="E19029" s="8">
        <f t="shared" si="311"/>
        <v>2015</v>
      </c>
      <c r="F19029" t="s">
        <v>3076</v>
      </c>
      <c r="G19029" s="9">
        <v>38095.410000000003</v>
      </c>
      <c r="H19029" s="8">
        <v>20396</v>
      </c>
    </row>
    <row r="19030" spans="2:8" ht="15" customHeight="1" x14ac:dyDescent="0.4">
      <c r="B19030" t="s">
        <v>7</v>
      </c>
      <c r="C19030" t="s">
        <v>3074</v>
      </c>
      <c r="D19030" s="7">
        <f>DATE(2016,6,17)</f>
        <v>42538</v>
      </c>
      <c r="E19030" s="8">
        <f t="shared" si="311"/>
        <v>2016</v>
      </c>
      <c r="F19030" t="s">
        <v>3076</v>
      </c>
      <c r="G19030" s="9">
        <v>32403</v>
      </c>
      <c r="H19030" s="8">
        <v>22772</v>
      </c>
    </row>
    <row r="19031" spans="2:8" ht="15" customHeight="1" x14ac:dyDescent="0.4">
      <c r="B19031" t="s">
        <v>7</v>
      </c>
      <c r="C19031" t="s">
        <v>3074</v>
      </c>
      <c r="D19031" s="7">
        <f>DATE(2017,7,28)</f>
        <v>42944</v>
      </c>
      <c r="E19031" s="8">
        <f t="shared" si="311"/>
        <v>2017</v>
      </c>
      <c r="F19031" t="s">
        <v>3076</v>
      </c>
      <c r="G19031" s="9">
        <v>31903.7</v>
      </c>
      <c r="H19031" s="8">
        <v>24602</v>
      </c>
    </row>
    <row r="19032" spans="2:8" ht="15" customHeight="1" x14ac:dyDescent="0.4">
      <c r="B19032" t="s">
        <v>7</v>
      </c>
      <c r="C19032" t="s">
        <v>3074</v>
      </c>
      <c r="D19032" s="7">
        <f>DATE(2017,4,17)</f>
        <v>42842</v>
      </c>
      <c r="E19032" s="8">
        <f t="shared" si="311"/>
        <v>2017</v>
      </c>
      <c r="F19032" t="s">
        <v>3076</v>
      </c>
      <c r="G19032" s="9">
        <v>162187.54</v>
      </c>
      <c r="H19032" s="8">
        <v>24335</v>
      </c>
    </row>
    <row r="19033" spans="2:8" ht="15" customHeight="1" x14ac:dyDescent="0.4">
      <c r="B19033" t="s">
        <v>7</v>
      </c>
      <c r="C19033" t="s">
        <v>3074</v>
      </c>
      <c r="D19033" s="7">
        <f>DATE(2010,12,16)</f>
        <v>40528</v>
      </c>
      <c r="E19033" s="8">
        <f t="shared" si="311"/>
        <v>2010</v>
      </c>
      <c r="F19033" t="s">
        <v>3077</v>
      </c>
      <c r="G19033" s="9">
        <v>25466.41</v>
      </c>
      <c r="H19033" s="8">
        <v>10248</v>
      </c>
    </row>
    <row r="19034" spans="2:8" ht="15" customHeight="1" x14ac:dyDescent="0.4">
      <c r="B19034" t="s">
        <v>7</v>
      </c>
      <c r="C19034" t="s">
        <v>3074</v>
      </c>
      <c r="D19034" s="7">
        <f>DATE(2012,10,25)</f>
        <v>41207</v>
      </c>
      <c r="E19034" s="8">
        <f t="shared" si="311"/>
        <v>2012</v>
      </c>
      <c r="F19034" t="s">
        <v>3077</v>
      </c>
      <c r="G19034" s="9">
        <v>11947.76</v>
      </c>
      <c r="H19034" s="8">
        <v>11930</v>
      </c>
    </row>
    <row r="19035" spans="2:8" ht="15" customHeight="1" x14ac:dyDescent="0.4">
      <c r="B19035" t="s">
        <v>7</v>
      </c>
      <c r="C19035" t="s">
        <v>3074</v>
      </c>
      <c r="D19035" s="7">
        <f>DATE(2014,6,13)</f>
        <v>41803</v>
      </c>
      <c r="E19035" s="8">
        <f t="shared" si="311"/>
        <v>2014</v>
      </c>
      <c r="F19035" t="s">
        <v>3077</v>
      </c>
      <c r="G19035" s="9">
        <v>16972.05</v>
      </c>
      <c r="H19035" s="8">
        <v>13234</v>
      </c>
    </row>
    <row r="19036" spans="2:8" ht="15" customHeight="1" x14ac:dyDescent="0.4">
      <c r="B19036" t="s">
        <v>7</v>
      </c>
      <c r="C19036" t="s">
        <v>3078</v>
      </c>
      <c r="D19036" s="7">
        <f>DATE(2003,5,16)</f>
        <v>37757</v>
      </c>
      <c r="E19036" s="8">
        <f t="shared" si="311"/>
        <v>2003</v>
      </c>
      <c r="F19036" t="s">
        <v>3079</v>
      </c>
      <c r="G19036" s="9">
        <v>19326.8</v>
      </c>
      <c r="H19036" s="8">
        <v>599</v>
      </c>
    </row>
    <row r="19037" spans="2:8" ht="15" customHeight="1" x14ac:dyDescent="0.4">
      <c r="B19037" t="s">
        <v>7</v>
      </c>
      <c r="C19037" t="s">
        <v>3078</v>
      </c>
      <c r="D19037" s="7">
        <f>DATE(2003,5,18)</f>
        <v>37759</v>
      </c>
      <c r="E19037" s="8">
        <f t="shared" si="311"/>
        <v>2003</v>
      </c>
      <c r="F19037" t="s">
        <v>3079</v>
      </c>
      <c r="G19037" s="9">
        <v>13847.75</v>
      </c>
      <c r="H19037" s="8">
        <v>666</v>
      </c>
    </row>
    <row r="19038" spans="2:8" ht="15" customHeight="1" x14ac:dyDescent="0.4">
      <c r="B19038" t="s">
        <v>7</v>
      </c>
      <c r="C19038" t="s">
        <v>3078</v>
      </c>
      <c r="D19038" s="7">
        <f>DATE(2004,4,29)</f>
        <v>38106</v>
      </c>
      <c r="E19038" s="8">
        <f t="shared" si="311"/>
        <v>2004</v>
      </c>
      <c r="F19038" t="s">
        <v>3079</v>
      </c>
      <c r="G19038" s="9">
        <v>13846</v>
      </c>
      <c r="H19038" s="8">
        <v>1609</v>
      </c>
    </row>
    <row r="19039" spans="2:8" ht="15" customHeight="1" x14ac:dyDescent="0.4">
      <c r="B19039" t="s">
        <v>7</v>
      </c>
      <c r="C19039" t="s">
        <v>3078</v>
      </c>
      <c r="D19039" s="7">
        <f>DATE(2004,11,19)</f>
        <v>38310</v>
      </c>
      <c r="E19039" s="8">
        <f t="shared" si="311"/>
        <v>2004</v>
      </c>
      <c r="F19039" t="s">
        <v>3079</v>
      </c>
      <c r="G19039" s="9">
        <v>19326</v>
      </c>
      <c r="H19039" s="8">
        <v>2194</v>
      </c>
    </row>
    <row r="19040" spans="2:8" ht="15" customHeight="1" x14ac:dyDescent="0.4">
      <c r="B19040" t="s">
        <v>7</v>
      </c>
      <c r="C19040" t="s">
        <v>3078</v>
      </c>
      <c r="D19040" s="7">
        <f>DATE(2006,3,18)</f>
        <v>38794</v>
      </c>
      <c r="E19040" s="8">
        <f t="shared" si="311"/>
        <v>2006</v>
      </c>
      <c r="F19040" t="s">
        <v>3079</v>
      </c>
      <c r="G19040" s="9">
        <v>18502.810000000001</v>
      </c>
      <c r="H19040" s="8">
        <v>4086</v>
      </c>
    </row>
    <row r="19041" spans="2:8" ht="15" customHeight="1" x14ac:dyDescent="0.4">
      <c r="B19041" t="s">
        <v>7</v>
      </c>
      <c r="C19041" t="s">
        <v>3078</v>
      </c>
      <c r="D19041" s="7">
        <f>DATE(2006,4,16)</f>
        <v>38823</v>
      </c>
      <c r="E19041" s="8">
        <f t="shared" si="311"/>
        <v>2006</v>
      </c>
      <c r="F19041" t="s">
        <v>3079</v>
      </c>
      <c r="G19041" s="9">
        <v>24399.13</v>
      </c>
      <c r="H19041" s="8">
        <v>4338</v>
      </c>
    </row>
    <row r="19042" spans="2:8" ht="15" customHeight="1" x14ac:dyDescent="0.4">
      <c r="B19042" t="s">
        <v>7</v>
      </c>
      <c r="C19042" t="s">
        <v>3078</v>
      </c>
      <c r="D19042" s="7">
        <f>DATE(2003,3,21)</f>
        <v>37701</v>
      </c>
      <c r="E19042" s="8">
        <f t="shared" si="311"/>
        <v>2003</v>
      </c>
      <c r="F19042" t="s">
        <v>3080</v>
      </c>
      <c r="G19042" s="9">
        <v>17932.68</v>
      </c>
      <c r="H19042" s="8">
        <v>165</v>
      </c>
    </row>
    <row r="19043" spans="2:8" ht="15" customHeight="1" x14ac:dyDescent="0.4">
      <c r="B19043" t="s">
        <v>7</v>
      </c>
      <c r="C19043" t="s">
        <v>3078</v>
      </c>
      <c r="D19043" s="7">
        <f>DATE(2004,3,7)</f>
        <v>38053</v>
      </c>
      <c r="E19043" s="8">
        <f t="shared" si="311"/>
        <v>2004</v>
      </c>
      <c r="F19043" t="s">
        <v>3080</v>
      </c>
      <c r="G19043" s="9">
        <v>17933</v>
      </c>
      <c r="H19043" s="8">
        <v>1272</v>
      </c>
    </row>
    <row r="19044" spans="2:8" ht="15" customHeight="1" x14ac:dyDescent="0.4">
      <c r="B19044" t="s">
        <v>7</v>
      </c>
      <c r="C19044" t="s">
        <v>3078</v>
      </c>
      <c r="D19044" s="7">
        <f>DATE(2005,4,8)</f>
        <v>38450</v>
      </c>
      <c r="E19044" s="8">
        <f t="shared" si="311"/>
        <v>2005</v>
      </c>
      <c r="F19044" t="s">
        <v>3080</v>
      </c>
      <c r="G19044" s="9">
        <v>19315</v>
      </c>
      <c r="H19044" s="8">
        <v>3020</v>
      </c>
    </row>
    <row r="19045" spans="2:8" ht="15" customHeight="1" x14ac:dyDescent="0.4">
      <c r="B19045" t="s">
        <v>7</v>
      </c>
      <c r="C19045" t="s">
        <v>3078</v>
      </c>
      <c r="D19045" s="7">
        <f>DATE(2007,3,10)</f>
        <v>39151</v>
      </c>
      <c r="E19045" s="8">
        <f t="shared" si="311"/>
        <v>2007</v>
      </c>
      <c r="F19045" t="s">
        <v>3080</v>
      </c>
      <c r="G19045" s="9">
        <v>19678</v>
      </c>
      <c r="H19045" s="8">
        <v>5182</v>
      </c>
    </row>
    <row r="19046" spans="2:8" ht="15" customHeight="1" x14ac:dyDescent="0.4">
      <c r="B19046" t="s">
        <v>7</v>
      </c>
      <c r="C19046" t="s">
        <v>3078</v>
      </c>
      <c r="D19046" s="7">
        <f>DATE(2008,2,16)</f>
        <v>39494</v>
      </c>
      <c r="E19046" s="8">
        <f t="shared" si="311"/>
        <v>2008</v>
      </c>
      <c r="F19046" t="s">
        <v>3080</v>
      </c>
      <c r="G19046" s="9">
        <v>26939</v>
      </c>
      <c r="H19046" s="8">
        <v>6765</v>
      </c>
    </row>
    <row r="19047" spans="2:8" ht="15" customHeight="1" x14ac:dyDescent="0.4">
      <c r="B19047" t="s">
        <v>7</v>
      </c>
      <c r="C19047" t="s">
        <v>3078</v>
      </c>
      <c r="D19047" s="7">
        <f>DATE(2010,4,23)</f>
        <v>40291</v>
      </c>
      <c r="E19047" s="8">
        <f t="shared" si="311"/>
        <v>2010</v>
      </c>
      <c r="F19047" t="s">
        <v>3080</v>
      </c>
      <c r="G19047" s="9">
        <v>29739.3</v>
      </c>
      <c r="H19047" s="8">
        <v>9450</v>
      </c>
    </row>
    <row r="19048" spans="2:8" ht="15" customHeight="1" x14ac:dyDescent="0.4">
      <c r="B19048" t="s">
        <v>7</v>
      </c>
      <c r="C19048" t="s">
        <v>3078</v>
      </c>
      <c r="D19048" s="7">
        <f>DATE(2015,3,18)</f>
        <v>42081</v>
      </c>
      <c r="E19048" s="8">
        <f t="shared" si="311"/>
        <v>2015</v>
      </c>
      <c r="F19048" t="s">
        <v>3081</v>
      </c>
      <c r="G19048" s="9">
        <v>42546.02</v>
      </c>
      <c r="H19048" s="8">
        <v>103</v>
      </c>
    </row>
    <row r="19049" spans="2:8" ht="15" customHeight="1" x14ac:dyDescent="0.4">
      <c r="B19049" t="s">
        <v>7</v>
      </c>
      <c r="C19049" t="s">
        <v>3078</v>
      </c>
      <c r="D19049" s="7">
        <f>DATE(2015,7,23)</f>
        <v>42208</v>
      </c>
      <c r="E19049" s="8">
        <f t="shared" si="311"/>
        <v>2015</v>
      </c>
      <c r="F19049" t="s">
        <v>3081</v>
      </c>
      <c r="G19049" s="9">
        <v>34879.339999999997</v>
      </c>
      <c r="H19049" s="8">
        <v>20901</v>
      </c>
    </row>
    <row r="19050" spans="2:8" ht="15" customHeight="1" x14ac:dyDescent="0.4">
      <c r="B19050" t="s">
        <v>7</v>
      </c>
      <c r="C19050" t="s">
        <v>3078</v>
      </c>
      <c r="D19050" s="7">
        <f>DATE(2015,10,29)</f>
        <v>42306</v>
      </c>
      <c r="E19050" s="8">
        <f t="shared" si="311"/>
        <v>2015</v>
      </c>
      <c r="F19050" t="s">
        <v>3081</v>
      </c>
      <c r="G19050" s="9">
        <v>36170.379999999997</v>
      </c>
      <c r="H19050" s="8">
        <v>21010</v>
      </c>
    </row>
    <row r="19051" spans="2:8" ht="15" customHeight="1" x14ac:dyDescent="0.4">
      <c r="B19051" t="s">
        <v>7</v>
      </c>
      <c r="C19051" t="s">
        <v>3078</v>
      </c>
      <c r="D19051" s="7">
        <f>DATE(2016,5,19)</f>
        <v>42509</v>
      </c>
      <c r="E19051" s="8">
        <f t="shared" si="311"/>
        <v>2016</v>
      </c>
      <c r="F19051" t="s">
        <v>3081</v>
      </c>
      <c r="G19051" s="9">
        <v>40954.22</v>
      </c>
      <c r="H19051" s="8">
        <v>22165</v>
      </c>
    </row>
    <row r="19052" spans="2:8" ht="15" customHeight="1" x14ac:dyDescent="0.4">
      <c r="B19052" t="s">
        <v>7</v>
      </c>
      <c r="C19052" t="s">
        <v>3078</v>
      </c>
      <c r="D19052" s="7">
        <f>DATE(2016,9,13)</f>
        <v>42626</v>
      </c>
      <c r="E19052" s="8">
        <f t="shared" si="311"/>
        <v>2016</v>
      </c>
      <c r="F19052" t="s">
        <v>3081</v>
      </c>
      <c r="G19052" s="9">
        <v>31199.29</v>
      </c>
      <c r="H19052" s="8">
        <v>23084</v>
      </c>
    </row>
    <row r="19053" spans="2:8" ht="15" customHeight="1" x14ac:dyDescent="0.4">
      <c r="B19053" t="s">
        <v>7</v>
      </c>
      <c r="C19053" t="s">
        <v>3078</v>
      </c>
      <c r="D19053" s="7">
        <f>DATE(2017,3,14)</f>
        <v>42808</v>
      </c>
      <c r="E19053" s="8">
        <f t="shared" si="311"/>
        <v>2017</v>
      </c>
      <c r="F19053" t="s">
        <v>3081</v>
      </c>
      <c r="G19053" s="9">
        <v>31484.68</v>
      </c>
      <c r="H19053" s="8">
        <v>24194</v>
      </c>
    </row>
    <row r="19054" spans="2:8" ht="15" customHeight="1" x14ac:dyDescent="0.4">
      <c r="B19054" t="s">
        <v>7</v>
      </c>
      <c r="C19054" t="s">
        <v>3078</v>
      </c>
      <c r="D19054" s="7">
        <f>DATE(2017,3,27)</f>
        <v>42821</v>
      </c>
      <c r="E19054" s="8">
        <f t="shared" si="311"/>
        <v>2017</v>
      </c>
      <c r="F19054" t="s">
        <v>3081</v>
      </c>
      <c r="G19054" s="9">
        <v>36163.89</v>
      </c>
      <c r="H19054" s="8">
        <v>24239</v>
      </c>
    </row>
    <row r="19055" spans="2:8" ht="15" customHeight="1" x14ac:dyDescent="0.4">
      <c r="B19055" t="s">
        <v>7</v>
      </c>
      <c r="C19055" t="s">
        <v>3078</v>
      </c>
      <c r="D19055" s="7">
        <f>DATE(2017,4,10)</f>
        <v>42835</v>
      </c>
      <c r="E19055" s="8">
        <f t="shared" si="311"/>
        <v>2017</v>
      </c>
      <c r="F19055" t="s">
        <v>3081</v>
      </c>
      <c r="G19055" s="9">
        <v>30959.68</v>
      </c>
      <c r="H19055" s="8">
        <v>24300</v>
      </c>
    </row>
    <row r="19056" spans="2:8" ht="15" customHeight="1" x14ac:dyDescent="0.4">
      <c r="B19056" t="s">
        <v>7</v>
      </c>
      <c r="C19056" t="s">
        <v>3078</v>
      </c>
      <c r="D19056" s="7">
        <f>DATE(2018,2,27)</f>
        <v>43158</v>
      </c>
      <c r="E19056" s="8">
        <f t="shared" si="311"/>
        <v>2018</v>
      </c>
      <c r="F19056" t="s">
        <v>3081</v>
      </c>
      <c r="G19056" s="9">
        <v>17966.759999999998</v>
      </c>
      <c r="H19056" s="8">
        <v>26363</v>
      </c>
    </row>
    <row r="19057" spans="2:8" ht="15" customHeight="1" x14ac:dyDescent="0.4">
      <c r="B19057" t="s">
        <v>7</v>
      </c>
      <c r="C19057" t="s">
        <v>3078</v>
      </c>
      <c r="D19057" s="7">
        <f>DATE(2018,3,27)</f>
        <v>43186</v>
      </c>
      <c r="E19057" s="8">
        <f t="shared" si="311"/>
        <v>2018</v>
      </c>
      <c r="F19057" t="s">
        <v>3081</v>
      </c>
      <c r="G19057" s="9">
        <v>35938.89</v>
      </c>
      <c r="H19057" s="8">
        <v>26073</v>
      </c>
    </row>
    <row r="19058" spans="2:8" ht="15" customHeight="1" x14ac:dyDescent="0.4">
      <c r="B19058" t="s">
        <v>7</v>
      </c>
      <c r="C19058" t="s">
        <v>3078</v>
      </c>
      <c r="D19058" s="7">
        <f>DATE(2018,4,17)</f>
        <v>43207</v>
      </c>
      <c r="E19058" s="8">
        <f t="shared" si="311"/>
        <v>2018</v>
      </c>
      <c r="F19058" t="s">
        <v>3081</v>
      </c>
      <c r="G19058" s="9">
        <v>26183.26</v>
      </c>
      <c r="H19058" s="8">
        <v>26802</v>
      </c>
    </row>
    <row r="19059" spans="2:8" ht="15" customHeight="1" x14ac:dyDescent="0.4">
      <c r="B19059" t="s">
        <v>7</v>
      </c>
      <c r="C19059" t="s">
        <v>3078</v>
      </c>
      <c r="D19059" s="7">
        <f>DATE(2019,3,26)</f>
        <v>43550</v>
      </c>
      <c r="E19059" s="8">
        <f t="shared" si="311"/>
        <v>2019</v>
      </c>
      <c r="F19059" t="s">
        <v>3081</v>
      </c>
      <c r="G19059" s="9">
        <v>61667.21</v>
      </c>
      <c r="H19059" s="8">
        <v>27615</v>
      </c>
    </row>
    <row r="19060" spans="2:8" ht="15" customHeight="1" x14ac:dyDescent="0.4">
      <c r="B19060" t="s">
        <v>7</v>
      </c>
      <c r="C19060" t="s">
        <v>3078</v>
      </c>
      <c r="D19060" s="7">
        <f>DATE(2019,4,5)</f>
        <v>43560</v>
      </c>
      <c r="E19060" s="8">
        <f t="shared" si="311"/>
        <v>2019</v>
      </c>
      <c r="F19060" t="s">
        <v>3081</v>
      </c>
      <c r="G19060" s="9">
        <v>28746.400000000001</v>
      </c>
      <c r="H19060" s="8">
        <v>28029</v>
      </c>
    </row>
    <row r="19061" spans="2:8" ht="15" customHeight="1" x14ac:dyDescent="0.4">
      <c r="B19061" t="s">
        <v>7</v>
      </c>
      <c r="C19061" t="s">
        <v>3078</v>
      </c>
      <c r="D19061" s="7">
        <f>DATE(2019,4,9)</f>
        <v>43564</v>
      </c>
      <c r="E19061" s="8">
        <f t="shared" si="311"/>
        <v>2019</v>
      </c>
      <c r="F19061" t="s">
        <v>3081</v>
      </c>
      <c r="G19061" s="9">
        <v>25246.400000000001</v>
      </c>
      <c r="H19061" s="8">
        <v>28807</v>
      </c>
    </row>
    <row r="19062" spans="2:8" ht="15" customHeight="1" x14ac:dyDescent="0.4">
      <c r="B19062" t="s">
        <v>7</v>
      </c>
      <c r="C19062" t="s">
        <v>3078</v>
      </c>
      <c r="D19062" s="7">
        <f>DATE(2016,9,13)</f>
        <v>42626</v>
      </c>
      <c r="E19062" s="8">
        <f t="shared" si="311"/>
        <v>2016</v>
      </c>
      <c r="F19062" t="s">
        <v>3081</v>
      </c>
      <c r="G19062" s="9">
        <v>16375</v>
      </c>
      <c r="H19062" s="8">
        <v>23361</v>
      </c>
    </row>
    <row r="19063" spans="2:8" ht="15" customHeight="1" x14ac:dyDescent="0.4">
      <c r="B19063" t="s">
        <v>7</v>
      </c>
      <c r="C19063" t="s">
        <v>3078</v>
      </c>
      <c r="D19063" s="7">
        <f>DATE(2017,3,14)</f>
        <v>42808</v>
      </c>
      <c r="E19063" s="8">
        <f t="shared" si="311"/>
        <v>2017</v>
      </c>
      <c r="F19063" t="s">
        <v>3081</v>
      </c>
      <c r="G19063" s="9">
        <v>14272.66</v>
      </c>
      <c r="H19063" s="8">
        <v>24196</v>
      </c>
    </row>
    <row r="19064" spans="2:8" ht="15" customHeight="1" x14ac:dyDescent="0.4">
      <c r="B19064" t="s">
        <v>7</v>
      </c>
      <c r="C19064" t="s">
        <v>3078</v>
      </c>
      <c r="D19064" s="7">
        <f>DATE(2018,3,27)</f>
        <v>43186</v>
      </c>
      <c r="E19064" s="8">
        <f t="shared" si="311"/>
        <v>2018</v>
      </c>
      <c r="F19064" t="s">
        <v>3081</v>
      </c>
      <c r="G19064" s="9">
        <v>28675.35</v>
      </c>
      <c r="H19064" s="8">
        <v>26094</v>
      </c>
    </row>
    <row r="19065" spans="2:8" ht="15" customHeight="1" x14ac:dyDescent="0.4">
      <c r="B19065" t="s">
        <v>7</v>
      </c>
      <c r="C19065" t="s">
        <v>3078</v>
      </c>
      <c r="D19065" s="7">
        <f>DATE(2016,2,10)</f>
        <v>42410</v>
      </c>
      <c r="E19065" s="8">
        <f t="shared" si="311"/>
        <v>2016</v>
      </c>
      <c r="F19065" t="s">
        <v>3081</v>
      </c>
      <c r="G19065" s="9">
        <v>2464</v>
      </c>
      <c r="H19065" s="8">
        <v>22117</v>
      </c>
    </row>
    <row r="19066" spans="2:8" ht="15" customHeight="1" x14ac:dyDescent="0.4">
      <c r="B19066" t="s">
        <v>7</v>
      </c>
      <c r="C19066" t="s">
        <v>3078</v>
      </c>
      <c r="D19066" s="7">
        <f>DATE(2016,9,29)</f>
        <v>42642</v>
      </c>
      <c r="E19066" s="8">
        <f t="shared" si="311"/>
        <v>2016</v>
      </c>
      <c r="F19066" t="s">
        <v>3081</v>
      </c>
      <c r="G19066" s="9">
        <v>2158</v>
      </c>
      <c r="H19066" s="8">
        <v>23385</v>
      </c>
    </row>
    <row r="19067" spans="2:8" ht="15" customHeight="1" x14ac:dyDescent="0.4">
      <c r="B19067" t="s">
        <v>7</v>
      </c>
      <c r="C19067" t="s">
        <v>3078</v>
      </c>
      <c r="D19067" s="7">
        <f>DATE(2017,1,16)</f>
        <v>42751</v>
      </c>
      <c r="E19067" s="8">
        <f t="shared" si="311"/>
        <v>2017</v>
      </c>
      <c r="F19067" t="s">
        <v>3081</v>
      </c>
      <c r="G19067" s="9">
        <v>2214</v>
      </c>
      <c r="H19067" s="8">
        <v>24066</v>
      </c>
    </row>
    <row r="19068" spans="2:8" ht="15" customHeight="1" x14ac:dyDescent="0.4">
      <c r="B19068" t="s">
        <v>7</v>
      </c>
      <c r="C19068" t="s">
        <v>3078</v>
      </c>
      <c r="D19068" s="7">
        <f>DATE(2017,9,6)</f>
        <v>42984</v>
      </c>
      <c r="E19068" s="8">
        <f t="shared" si="311"/>
        <v>2017</v>
      </c>
      <c r="F19068" t="s">
        <v>3081</v>
      </c>
      <c r="G19068" s="9">
        <v>6348.6</v>
      </c>
      <c r="H19068" s="8">
        <v>25517</v>
      </c>
    </row>
    <row r="19069" spans="2:8" ht="15" customHeight="1" x14ac:dyDescent="0.4">
      <c r="B19069" t="s">
        <v>7</v>
      </c>
      <c r="C19069" t="s">
        <v>3078</v>
      </c>
      <c r="D19069" s="7">
        <f>DATE(2018,2,2)</f>
        <v>43133</v>
      </c>
      <c r="E19069" s="8">
        <f t="shared" si="311"/>
        <v>2018</v>
      </c>
      <c r="F19069" t="s">
        <v>3081</v>
      </c>
      <c r="G19069" s="9">
        <v>3615.8</v>
      </c>
      <c r="H19069" s="8">
        <v>26367</v>
      </c>
    </row>
    <row r="19070" spans="2:8" ht="15" customHeight="1" x14ac:dyDescent="0.4">
      <c r="B19070" t="s">
        <v>7</v>
      </c>
      <c r="C19070" t="s">
        <v>3078</v>
      </c>
      <c r="D19070" s="7">
        <f>DATE(2018,3,19)</f>
        <v>43178</v>
      </c>
      <c r="E19070" s="8">
        <f t="shared" si="311"/>
        <v>2018</v>
      </c>
      <c r="F19070" t="s">
        <v>3081</v>
      </c>
      <c r="G19070" s="9">
        <v>7776.59</v>
      </c>
      <c r="H19070" s="8">
        <v>26664</v>
      </c>
    </row>
    <row r="19071" spans="2:8" ht="15" customHeight="1" x14ac:dyDescent="0.4">
      <c r="B19071" t="s">
        <v>7</v>
      </c>
      <c r="C19071" t="s">
        <v>3078</v>
      </c>
      <c r="D19071" s="7">
        <f>DATE(2018,4,26)</f>
        <v>43216</v>
      </c>
      <c r="E19071" s="8">
        <f t="shared" si="311"/>
        <v>2018</v>
      </c>
      <c r="F19071" t="s">
        <v>3081</v>
      </c>
      <c r="G19071" s="9">
        <v>4590.28</v>
      </c>
      <c r="H19071" s="8">
        <v>26888</v>
      </c>
    </row>
    <row r="19072" spans="2:8" ht="15" customHeight="1" x14ac:dyDescent="0.4">
      <c r="B19072" t="s">
        <v>7</v>
      </c>
      <c r="C19072" t="s">
        <v>3078</v>
      </c>
      <c r="D19072" s="7">
        <f>DATE(2019,3,14)</f>
        <v>43538</v>
      </c>
      <c r="E19072" s="8">
        <f t="shared" si="311"/>
        <v>2019</v>
      </c>
      <c r="F19072" t="s">
        <v>3081</v>
      </c>
      <c r="G19072" s="9">
        <v>4414</v>
      </c>
      <c r="H19072" s="8">
        <v>28557</v>
      </c>
    </row>
    <row r="19073" spans="2:8" ht="15" customHeight="1" x14ac:dyDescent="0.4">
      <c r="B19073" t="s">
        <v>7</v>
      </c>
      <c r="C19073" t="s">
        <v>3078</v>
      </c>
      <c r="D19073" s="7">
        <f>DATE(2019,5,15)</f>
        <v>43600</v>
      </c>
      <c r="E19073" s="8">
        <f t="shared" si="311"/>
        <v>2019</v>
      </c>
      <c r="F19073" t="s">
        <v>3081</v>
      </c>
      <c r="G19073" s="9">
        <v>2766</v>
      </c>
      <c r="H19073" s="8">
        <v>28986</v>
      </c>
    </row>
    <row r="19074" spans="2:8" ht="15" customHeight="1" x14ac:dyDescent="0.4">
      <c r="B19074" t="s">
        <v>16</v>
      </c>
      <c r="C19074" t="s">
        <v>3078</v>
      </c>
      <c r="D19074" s="7">
        <f>DATE(2019,4,9)</f>
        <v>43564</v>
      </c>
      <c r="E19074" s="8">
        <f t="shared" si="311"/>
        <v>2019</v>
      </c>
      <c r="F19074" t="s">
        <v>3081</v>
      </c>
      <c r="G19074" s="9">
        <v>28746.400000000001</v>
      </c>
      <c r="H19074" s="8">
        <v>28805</v>
      </c>
    </row>
    <row r="19075" spans="2:8" ht="15" customHeight="1" x14ac:dyDescent="0.4">
      <c r="B19075" t="s">
        <v>16</v>
      </c>
      <c r="C19075" t="s">
        <v>3078</v>
      </c>
      <c r="D19075" s="7">
        <f>DATE(2018,4,12)</f>
        <v>43202</v>
      </c>
      <c r="E19075" s="8">
        <f t="shared" ref="E19075:E19138" si="312">YEAR(D19075)</f>
        <v>2018</v>
      </c>
      <c r="F19075" t="s">
        <v>3081</v>
      </c>
      <c r="G19075" s="9">
        <v>75.349999999999994</v>
      </c>
      <c r="H19075" s="8">
        <v>26867</v>
      </c>
    </row>
    <row r="19076" spans="2:8" ht="15" customHeight="1" x14ac:dyDescent="0.4">
      <c r="B19076" t="s">
        <v>7</v>
      </c>
      <c r="C19076" t="s">
        <v>3078</v>
      </c>
      <c r="D19076" s="7">
        <f>DATE(2007,8,30)</f>
        <v>39324</v>
      </c>
      <c r="E19076" s="8">
        <f t="shared" si="312"/>
        <v>2007</v>
      </c>
      <c r="F19076" t="s">
        <v>3081</v>
      </c>
      <c r="G19076" s="9">
        <v>31362</v>
      </c>
      <c r="H19076" s="8">
        <v>6317</v>
      </c>
    </row>
    <row r="19077" spans="2:8" ht="15" customHeight="1" x14ac:dyDescent="0.4">
      <c r="B19077" t="s">
        <v>7</v>
      </c>
      <c r="C19077" t="s">
        <v>3078</v>
      </c>
      <c r="D19077" s="7">
        <f>DATE(2007,9,3)</f>
        <v>39328</v>
      </c>
      <c r="E19077" s="8">
        <f t="shared" si="312"/>
        <v>2007</v>
      </c>
      <c r="F19077" t="s">
        <v>3081</v>
      </c>
      <c r="G19077" s="9">
        <v>27324</v>
      </c>
      <c r="H19077" s="8">
        <v>6318</v>
      </c>
    </row>
    <row r="19078" spans="2:8" ht="15" customHeight="1" x14ac:dyDescent="0.4">
      <c r="B19078" t="s">
        <v>7</v>
      </c>
      <c r="C19078" t="s">
        <v>3078</v>
      </c>
      <c r="D19078" s="7">
        <f>DATE(2008,4,11)</f>
        <v>39549</v>
      </c>
      <c r="E19078" s="8">
        <f t="shared" si="312"/>
        <v>2008</v>
      </c>
      <c r="F19078" t="s">
        <v>3081</v>
      </c>
      <c r="G19078" s="9">
        <v>23660</v>
      </c>
      <c r="H19078" s="8">
        <v>7215</v>
      </c>
    </row>
    <row r="19079" spans="2:8" ht="15" customHeight="1" x14ac:dyDescent="0.4">
      <c r="B19079" t="s">
        <v>7</v>
      </c>
      <c r="C19079" t="s">
        <v>3078</v>
      </c>
      <c r="D19079" s="7">
        <f>DATE(2008,7,3)</f>
        <v>39632</v>
      </c>
      <c r="E19079" s="8">
        <f t="shared" si="312"/>
        <v>2008</v>
      </c>
      <c r="F19079" t="s">
        <v>3081</v>
      </c>
      <c r="G19079" s="9">
        <v>16670.04</v>
      </c>
      <c r="H19079" s="8">
        <v>7588</v>
      </c>
    </row>
    <row r="19080" spans="2:8" ht="15" customHeight="1" x14ac:dyDescent="0.4">
      <c r="B19080" t="s">
        <v>7</v>
      </c>
      <c r="C19080" t="s">
        <v>3078</v>
      </c>
      <c r="D19080" s="7">
        <f>DATE(2009,2,23)</f>
        <v>39867</v>
      </c>
      <c r="E19080" s="8">
        <f t="shared" si="312"/>
        <v>2009</v>
      </c>
      <c r="F19080" t="s">
        <v>3081</v>
      </c>
      <c r="G19080" s="9">
        <v>26291</v>
      </c>
      <c r="H19080" s="8">
        <v>8145</v>
      </c>
    </row>
    <row r="19081" spans="2:8" ht="15" customHeight="1" x14ac:dyDescent="0.4">
      <c r="B19081" t="s">
        <v>7</v>
      </c>
      <c r="C19081" t="s">
        <v>3078</v>
      </c>
      <c r="D19081" s="7">
        <f>DATE(2010,2,2)</f>
        <v>40211</v>
      </c>
      <c r="E19081" s="8">
        <f t="shared" si="312"/>
        <v>2010</v>
      </c>
      <c r="F19081" t="s">
        <v>3081</v>
      </c>
      <c r="G19081" s="9">
        <v>30536.720000000001</v>
      </c>
      <c r="H19081" s="8">
        <v>9331</v>
      </c>
    </row>
    <row r="19082" spans="2:8" ht="15" customHeight="1" x14ac:dyDescent="0.4">
      <c r="B19082" t="s">
        <v>7</v>
      </c>
      <c r="C19082" t="s">
        <v>3078</v>
      </c>
      <c r="D19082" s="7">
        <f>DATE(2010,7,30)</f>
        <v>40389</v>
      </c>
      <c r="E19082" s="8">
        <f t="shared" si="312"/>
        <v>2010</v>
      </c>
      <c r="F19082" t="s">
        <v>3081</v>
      </c>
      <c r="G19082" s="9">
        <v>25824.959999999999</v>
      </c>
      <c r="H19082" s="8">
        <v>10002</v>
      </c>
    </row>
    <row r="19083" spans="2:8" ht="15" customHeight="1" x14ac:dyDescent="0.4">
      <c r="B19083" t="s">
        <v>7</v>
      </c>
      <c r="C19083" t="s">
        <v>3078</v>
      </c>
      <c r="D19083" s="7">
        <f>DATE(2010,9,9)</f>
        <v>40430</v>
      </c>
      <c r="E19083" s="8">
        <f t="shared" si="312"/>
        <v>2010</v>
      </c>
      <c r="F19083" t="s">
        <v>3081</v>
      </c>
      <c r="G19083" s="9">
        <v>53321.05</v>
      </c>
      <c r="H19083" s="8">
        <v>10089</v>
      </c>
    </row>
    <row r="19084" spans="2:8" ht="15" customHeight="1" x14ac:dyDescent="0.4">
      <c r="B19084" t="s">
        <v>7</v>
      </c>
      <c r="C19084" t="s">
        <v>3078</v>
      </c>
      <c r="D19084" s="7">
        <f>DATE(2011,3,22)</f>
        <v>40624</v>
      </c>
      <c r="E19084" s="8">
        <f t="shared" si="312"/>
        <v>2011</v>
      </c>
      <c r="F19084" t="s">
        <v>3081</v>
      </c>
      <c r="G19084" s="9">
        <v>34339.17</v>
      </c>
      <c r="H19084" s="8">
        <v>10510</v>
      </c>
    </row>
    <row r="19085" spans="2:8" ht="15" customHeight="1" x14ac:dyDescent="0.4">
      <c r="B19085" t="s">
        <v>7</v>
      </c>
      <c r="C19085" t="s">
        <v>3078</v>
      </c>
      <c r="D19085" s="7">
        <f>DATE(2011,5,12)</f>
        <v>40675</v>
      </c>
      <c r="E19085" s="8">
        <f t="shared" si="312"/>
        <v>2011</v>
      </c>
      <c r="F19085" t="s">
        <v>3081</v>
      </c>
      <c r="G19085" s="9">
        <v>37080.07</v>
      </c>
      <c r="H19085" s="8">
        <v>10745</v>
      </c>
    </row>
    <row r="19086" spans="2:8" ht="15" customHeight="1" x14ac:dyDescent="0.4">
      <c r="B19086" t="s">
        <v>7</v>
      </c>
      <c r="C19086" t="s">
        <v>3078</v>
      </c>
      <c r="D19086" s="7">
        <f>DATE(2011,7,27)</f>
        <v>40751</v>
      </c>
      <c r="E19086" s="8">
        <f t="shared" si="312"/>
        <v>2011</v>
      </c>
      <c r="F19086" t="s">
        <v>3081</v>
      </c>
      <c r="G19086" s="9">
        <v>30152.14</v>
      </c>
      <c r="H19086" s="8">
        <v>10879</v>
      </c>
    </row>
    <row r="19087" spans="2:8" ht="15" customHeight="1" x14ac:dyDescent="0.4">
      <c r="B19087" t="s">
        <v>7</v>
      </c>
      <c r="C19087" t="s">
        <v>3078</v>
      </c>
      <c r="D19087" s="7">
        <f>DATE(2012,3,5)</f>
        <v>40973</v>
      </c>
      <c r="E19087" s="8">
        <f t="shared" si="312"/>
        <v>2012</v>
      </c>
      <c r="F19087" t="s">
        <v>3081</v>
      </c>
      <c r="G19087" s="9">
        <v>55993.14</v>
      </c>
      <c r="H19087" s="8">
        <v>11150</v>
      </c>
    </row>
    <row r="19088" spans="2:8" ht="15" customHeight="1" x14ac:dyDescent="0.4">
      <c r="B19088" t="s">
        <v>7</v>
      </c>
      <c r="C19088" t="s">
        <v>3078</v>
      </c>
      <c r="D19088" s="7">
        <f>DATE(2012,5,2)</f>
        <v>41031</v>
      </c>
      <c r="E19088" s="8">
        <f t="shared" si="312"/>
        <v>2012</v>
      </c>
      <c r="F19088" t="s">
        <v>3081</v>
      </c>
      <c r="G19088" s="9">
        <v>45085.03</v>
      </c>
      <c r="H19088" s="8">
        <v>11488</v>
      </c>
    </row>
    <row r="19089" spans="2:8" ht="15" customHeight="1" x14ac:dyDescent="0.4">
      <c r="B19089" t="s">
        <v>7</v>
      </c>
      <c r="C19089" t="s">
        <v>3078</v>
      </c>
      <c r="D19089" s="7">
        <f>DATE(2012,8,30)</f>
        <v>41151</v>
      </c>
      <c r="E19089" s="8">
        <f t="shared" si="312"/>
        <v>2012</v>
      </c>
      <c r="F19089" t="s">
        <v>3081</v>
      </c>
      <c r="G19089" s="9">
        <v>47591.59</v>
      </c>
      <c r="H19089" s="8">
        <v>11815</v>
      </c>
    </row>
    <row r="19090" spans="2:8" ht="15" customHeight="1" x14ac:dyDescent="0.4">
      <c r="B19090" t="s">
        <v>7</v>
      </c>
      <c r="C19090" t="s">
        <v>3078</v>
      </c>
      <c r="D19090" s="7">
        <f>DATE(2012,8,27)</f>
        <v>41148</v>
      </c>
      <c r="E19090" s="8">
        <f t="shared" si="312"/>
        <v>2012</v>
      </c>
      <c r="F19090" t="s">
        <v>3081</v>
      </c>
      <c r="G19090" s="9">
        <v>41963.95</v>
      </c>
      <c r="H19090" s="8">
        <v>11793</v>
      </c>
    </row>
    <row r="19091" spans="2:8" ht="15" customHeight="1" x14ac:dyDescent="0.4">
      <c r="B19091" t="s">
        <v>7</v>
      </c>
      <c r="C19091" t="s">
        <v>3078</v>
      </c>
      <c r="D19091" s="7">
        <f>DATE(2012,10,16)</f>
        <v>41198</v>
      </c>
      <c r="E19091" s="8">
        <f t="shared" si="312"/>
        <v>2012</v>
      </c>
      <c r="F19091" t="s">
        <v>3081</v>
      </c>
      <c r="G19091" s="9">
        <v>25127.31</v>
      </c>
      <c r="H19091" s="8">
        <v>11864</v>
      </c>
    </row>
    <row r="19092" spans="2:8" ht="15" customHeight="1" x14ac:dyDescent="0.4">
      <c r="B19092" t="s">
        <v>7</v>
      </c>
      <c r="C19092" t="s">
        <v>3078</v>
      </c>
      <c r="D19092" s="7">
        <f>DATE(2012,11,14)</f>
        <v>41227</v>
      </c>
      <c r="E19092" s="8">
        <f t="shared" si="312"/>
        <v>2012</v>
      </c>
      <c r="F19092" t="s">
        <v>3081</v>
      </c>
      <c r="G19092" s="9">
        <v>32314.55</v>
      </c>
      <c r="H19092" s="8">
        <v>11877</v>
      </c>
    </row>
    <row r="19093" spans="2:8" ht="15" customHeight="1" x14ac:dyDescent="0.4">
      <c r="B19093" t="s">
        <v>7</v>
      </c>
      <c r="C19093" t="s">
        <v>3078</v>
      </c>
      <c r="D19093" s="7">
        <f>DATE(2013,2,13)</f>
        <v>41318</v>
      </c>
      <c r="E19093" s="8">
        <f t="shared" si="312"/>
        <v>2013</v>
      </c>
      <c r="F19093" t="s">
        <v>3081</v>
      </c>
      <c r="G19093" s="9">
        <v>36587.93</v>
      </c>
      <c r="H19093" s="8">
        <v>12012</v>
      </c>
    </row>
    <row r="19094" spans="2:8" ht="15" customHeight="1" x14ac:dyDescent="0.4">
      <c r="B19094" t="s">
        <v>7</v>
      </c>
      <c r="C19094" t="s">
        <v>3078</v>
      </c>
      <c r="D19094" s="7">
        <f>DATE(2013,7,12)</f>
        <v>41467</v>
      </c>
      <c r="E19094" s="8">
        <f t="shared" si="312"/>
        <v>2013</v>
      </c>
      <c r="F19094" t="s">
        <v>3081</v>
      </c>
      <c r="G19094" s="9">
        <v>65903.759999999995</v>
      </c>
      <c r="H19094" s="8">
        <v>12551</v>
      </c>
    </row>
    <row r="19095" spans="2:8" ht="15" customHeight="1" x14ac:dyDescent="0.4">
      <c r="B19095" t="s">
        <v>7</v>
      </c>
      <c r="C19095" t="s">
        <v>3078</v>
      </c>
      <c r="D19095" s="7">
        <f>DATE(2013,8,19)</f>
        <v>41505</v>
      </c>
      <c r="E19095" s="8">
        <f t="shared" si="312"/>
        <v>2013</v>
      </c>
      <c r="F19095" t="s">
        <v>3081</v>
      </c>
      <c r="G19095" s="9">
        <v>20521.650000000001</v>
      </c>
      <c r="H19095" s="8">
        <v>12612</v>
      </c>
    </row>
    <row r="19096" spans="2:8" ht="15" customHeight="1" x14ac:dyDescent="0.4">
      <c r="B19096" t="s">
        <v>7</v>
      </c>
      <c r="C19096" t="s">
        <v>3078</v>
      </c>
      <c r="D19096" s="7">
        <f>DATE(2014,2,18)</f>
        <v>41688</v>
      </c>
      <c r="E19096" s="8">
        <f t="shared" si="312"/>
        <v>2014</v>
      </c>
      <c r="F19096" t="s">
        <v>3081</v>
      </c>
      <c r="G19096" s="9">
        <v>31392.25</v>
      </c>
      <c r="H19096" s="8">
        <v>12817</v>
      </c>
    </row>
    <row r="19097" spans="2:8" ht="15" customHeight="1" x14ac:dyDescent="0.4">
      <c r="B19097" t="s">
        <v>7</v>
      </c>
      <c r="C19097" t="s">
        <v>3078</v>
      </c>
      <c r="D19097" s="7">
        <f>DATE(2014,4,23)</f>
        <v>41752</v>
      </c>
      <c r="E19097" s="8">
        <f t="shared" si="312"/>
        <v>2014</v>
      </c>
      <c r="F19097" t="s">
        <v>3081</v>
      </c>
      <c r="G19097" s="9">
        <v>32695.4</v>
      </c>
      <c r="H19097" s="8">
        <v>12818</v>
      </c>
    </row>
    <row r="19098" spans="2:8" ht="15" customHeight="1" x14ac:dyDescent="0.4">
      <c r="B19098" t="s">
        <v>16</v>
      </c>
      <c r="C19098" t="s">
        <v>3078</v>
      </c>
      <c r="D19098" s="7">
        <f>DATE(2010,2,2)</f>
        <v>40211</v>
      </c>
      <c r="E19098" s="8">
        <f t="shared" si="312"/>
        <v>2010</v>
      </c>
      <c r="F19098" t="s">
        <v>3081</v>
      </c>
      <c r="G19098" s="9">
        <v>690</v>
      </c>
      <c r="H19098" s="8">
        <v>9749</v>
      </c>
    </row>
    <row r="19099" spans="2:8" ht="15" customHeight="1" x14ac:dyDescent="0.4">
      <c r="B19099" t="s">
        <v>16</v>
      </c>
      <c r="C19099" t="s">
        <v>3078</v>
      </c>
      <c r="D19099" s="7">
        <f>DATE(2011,12,1)</f>
        <v>40878</v>
      </c>
      <c r="E19099" s="8">
        <f t="shared" si="312"/>
        <v>2011</v>
      </c>
      <c r="F19099" t="s">
        <v>3081</v>
      </c>
      <c r="G19099" s="9">
        <v>648.5</v>
      </c>
      <c r="H19099" s="8">
        <v>11238</v>
      </c>
    </row>
    <row r="19100" spans="2:8" ht="15" customHeight="1" x14ac:dyDescent="0.4">
      <c r="B19100" t="s">
        <v>16</v>
      </c>
      <c r="C19100" t="s">
        <v>3078</v>
      </c>
      <c r="D19100" s="7">
        <f>DATE(2012,8,1)</f>
        <v>41122</v>
      </c>
      <c r="E19100" s="8">
        <f t="shared" si="312"/>
        <v>2012</v>
      </c>
      <c r="F19100" t="s">
        <v>3081</v>
      </c>
      <c r="G19100" s="9">
        <v>45085.03</v>
      </c>
      <c r="H19100" s="8">
        <v>11839</v>
      </c>
    </row>
    <row r="19101" spans="2:8" ht="15" customHeight="1" x14ac:dyDescent="0.4">
      <c r="B19101" t="s">
        <v>7</v>
      </c>
      <c r="C19101" t="s">
        <v>3082</v>
      </c>
      <c r="D19101" s="7">
        <f>DATE(2015,1,30)</f>
        <v>42034</v>
      </c>
      <c r="E19101" s="8">
        <f t="shared" si="312"/>
        <v>2015</v>
      </c>
      <c r="F19101" t="s">
        <v>3083</v>
      </c>
      <c r="G19101" s="9">
        <v>17707</v>
      </c>
      <c r="H19101" s="8">
        <v>50</v>
      </c>
    </row>
    <row r="19102" spans="2:8" ht="15" customHeight="1" x14ac:dyDescent="0.4">
      <c r="B19102" t="s">
        <v>7</v>
      </c>
      <c r="C19102" t="s">
        <v>3082</v>
      </c>
      <c r="D19102" s="7">
        <f>DATE(2016,1,20)</f>
        <v>42389</v>
      </c>
      <c r="E19102" s="8">
        <f t="shared" si="312"/>
        <v>2016</v>
      </c>
      <c r="F19102" t="s">
        <v>3083</v>
      </c>
      <c r="G19102" s="9">
        <v>17500</v>
      </c>
      <c r="H19102" s="8">
        <v>21501</v>
      </c>
    </row>
    <row r="19103" spans="2:8" ht="15" customHeight="1" x14ac:dyDescent="0.4">
      <c r="B19103" t="s">
        <v>7</v>
      </c>
      <c r="C19103" t="s">
        <v>3082</v>
      </c>
      <c r="D19103" s="7">
        <f>DATE(2018,1,18)</f>
        <v>43118</v>
      </c>
      <c r="E19103" s="8">
        <f t="shared" si="312"/>
        <v>2018</v>
      </c>
      <c r="F19103" t="s">
        <v>3083</v>
      </c>
      <c r="G19103" s="9">
        <v>13150</v>
      </c>
      <c r="H19103" s="8">
        <v>26084</v>
      </c>
    </row>
    <row r="19104" spans="2:8" ht="15" customHeight="1" x14ac:dyDescent="0.4">
      <c r="B19104" t="s">
        <v>7</v>
      </c>
      <c r="C19104" t="s">
        <v>3082</v>
      </c>
      <c r="D19104" s="7">
        <f>DATE(2019,1,14)</f>
        <v>43479</v>
      </c>
      <c r="E19104" s="8">
        <f t="shared" si="312"/>
        <v>2019</v>
      </c>
      <c r="F19104" t="s">
        <v>3083</v>
      </c>
      <c r="G19104" s="9">
        <v>12989</v>
      </c>
      <c r="H19104" s="8">
        <v>27655</v>
      </c>
    </row>
    <row r="19105" spans="2:8" ht="15" customHeight="1" x14ac:dyDescent="0.4">
      <c r="B19105" t="s">
        <v>7</v>
      </c>
      <c r="C19105" t="s">
        <v>3082</v>
      </c>
      <c r="D19105" s="7">
        <f>DATE(2015,1,30)</f>
        <v>42034</v>
      </c>
      <c r="E19105" s="8">
        <f t="shared" si="312"/>
        <v>2015</v>
      </c>
      <c r="F19105" t="s">
        <v>3083</v>
      </c>
      <c r="G19105" s="9">
        <v>8950</v>
      </c>
      <c r="H19105" s="8">
        <v>107</v>
      </c>
    </row>
    <row r="19106" spans="2:8" ht="15" customHeight="1" x14ac:dyDescent="0.4">
      <c r="B19106" t="s">
        <v>7</v>
      </c>
      <c r="C19106" t="s">
        <v>3082</v>
      </c>
      <c r="D19106" s="7">
        <f>DATE(2011,1,21)</f>
        <v>40564</v>
      </c>
      <c r="E19106" s="8">
        <f t="shared" si="312"/>
        <v>2011</v>
      </c>
      <c r="F19106" t="s">
        <v>3083</v>
      </c>
      <c r="G19106" s="9">
        <v>7849</v>
      </c>
      <c r="H19106" s="8">
        <v>10195</v>
      </c>
    </row>
    <row r="19107" spans="2:8" ht="15" customHeight="1" x14ac:dyDescent="0.4">
      <c r="B19107" t="s">
        <v>7</v>
      </c>
      <c r="C19107" t="s">
        <v>3082</v>
      </c>
      <c r="D19107" s="7">
        <f>DATE(2013,1,18)</f>
        <v>41292</v>
      </c>
      <c r="E19107" s="8">
        <f t="shared" si="312"/>
        <v>2013</v>
      </c>
      <c r="F19107" t="s">
        <v>3083</v>
      </c>
      <c r="G19107" s="9">
        <v>7849.77</v>
      </c>
      <c r="H19107" s="8">
        <v>11982</v>
      </c>
    </row>
    <row r="19108" spans="2:8" ht="15" customHeight="1" x14ac:dyDescent="0.4">
      <c r="B19108" t="s">
        <v>7</v>
      </c>
      <c r="C19108" t="s">
        <v>3082</v>
      </c>
      <c r="D19108" s="7">
        <f>DATE(2009,1,15)</f>
        <v>39828</v>
      </c>
      <c r="E19108" s="8">
        <f t="shared" si="312"/>
        <v>2009</v>
      </c>
      <c r="F19108" t="s">
        <v>3083</v>
      </c>
      <c r="G19108" s="9">
        <v>3598</v>
      </c>
      <c r="H19108" s="8">
        <v>7916</v>
      </c>
    </row>
    <row r="19109" spans="2:8" ht="15" customHeight="1" x14ac:dyDescent="0.4">
      <c r="B19109" t="s">
        <v>7</v>
      </c>
      <c r="C19109" t="s">
        <v>3082</v>
      </c>
      <c r="D19109" s="7">
        <f>DATE(2009,2,10)</f>
        <v>39854</v>
      </c>
      <c r="E19109" s="8">
        <f t="shared" si="312"/>
        <v>2009</v>
      </c>
      <c r="F19109" t="s">
        <v>3083</v>
      </c>
      <c r="G19109" s="9">
        <v>13138.4</v>
      </c>
      <c r="H19109" s="8">
        <v>7915</v>
      </c>
    </row>
    <row r="19110" spans="2:8" ht="15" customHeight="1" x14ac:dyDescent="0.4">
      <c r="B19110" t="s">
        <v>7</v>
      </c>
      <c r="C19110" t="s">
        <v>3082</v>
      </c>
      <c r="D19110" s="7">
        <f>DATE(2010,1,26)</f>
        <v>40204</v>
      </c>
      <c r="E19110" s="8">
        <f t="shared" si="312"/>
        <v>2010</v>
      </c>
      <c r="F19110" t="s">
        <v>3083</v>
      </c>
      <c r="G19110" s="9">
        <v>7800</v>
      </c>
      <c r="H19110" s="8">
        <v>9131</v>
      </c>
    </row>
    <row r="19111" spans="2:8" ht="15" customHeight="1" x14ac:dyDescent="0.4">
      <c r="B19111" t="s">
        <v>7</v>
      </c>
      <c r="C19111" t="s">
        <v>3082</v>
      </c>
      <c r="D19111" s="7">
        <f>DATE(2010,2,5)</f>
        <v>40214</v>
      </c>
      <c r="E19111" s="8">
        <f t="shared" si="312"/>
        <v>2010</v>
      </c>
      <c r="F19111" t="s">
        <v>3083</v>
      </c>
      <c r="G19111" s="9">
        <v>14757.01</v>
      </c>
      <c r="H19111" s="8">
        <v>9111</v>
      </c>
    </row>
    <row r="19112" spans="2:8" ht="15" customHeight="1" x14ac:dyDescent="0.4">
      <c r="B19112" t="s">
        <v>7</v>
      </c>
      <c r="C19112" t="s">
        <v>3082</v>
      </c>
      <c r="D19112" s="7">
        <f>DATE(2011,1,31)</f>
        <v>40574</v>
      </c>
      <c r="E19112" s="8">
        <f t="shared" si="312"/>
        <v>2011</v>
      </c>
      <c r="F19112" t="s">
        <v>3083</v>
      </c>
      <c r="G19112" s="9">
        <v>15461.08</v>
      </c>
      <c r="H19112" s="8">
        <v>10194</v>
      </c>
    </row>
    <row r="19113" spans="2:8" ht="15" customHeight="1" x14ac:dyDescent="0.4">
      <c r="B19113" t="s">
        <v>7</v>
      </c>
      <c r="C19113" t="s">
        <v>3082</v>
      </c>
      <c r="D19113" s="7">
        <f>DATE(2012,2,3)</f>
        <v>40942</v>
      </c>
      <c r="E19113" s="8">
        <f t="shared" si="312"/>
        <v>2012</v>
      </c>
      <c r="F19113" t="s">
        <v>3083</v>
      </c>
      <c r="G19113" s="9">
        <v>15269.59</v>
      </c>
      <c r="H19113" s="8">
        <v>11209</v>
      </c>
    </row>
    <row r="19114" spans="2:8" ht="15" customHeight="1" x14ac:dyDescent="0.4">
      <c r="B19114" t="s">
        <v>7</v>
      </c>
      <c r="C19114" t="s">
        <v>3082</v>
      </c>
      <c r="D19114" s="7">
        <f>DATE(2013,1,18)</f>
        <v>41292</v>
      </c>
      <c r="E19114" s="8">
        <f t="shared" si="312"/>
        <v>2013</v>
      </c>
      <c r="F19114" t="s">
        <v>3083</v>
      </c>
      <c r="G19114" s="9">
        <v>14979.16</v>
      </c>
      <c r="H19114" s="8">
        <v>11981</v>
      </c>
    </row>
    <row r="19115" spans="2:8" ht="15" customHeight="1" x14ac:dyDescent="0.4">
      <c r="B19115" t="s">
        <v>7</v>
      </c>
      <c r="C19115" t="s">
        <v>3082</v>
      </c>
      <c r="D19115" s="7">
        <f>DATE(2013,10,10)</f>
        <v>41557</v>
      </c>
      <c r="E19115" s="8">
        <f t="shared" si="312"/>
        <v>2013</v>
      </c>
      <c r="F19115" t="s">
        <v>3083</v>
      </c>
      <c r="G19115" s="9">
        <v>12917.38</v>
      </c>
      <c r="H19115" s="8">
        <v>12636</v>
      </c>
    </row>
    <row r="19116" spans="2:8" ht="15" customHeight="1" x14ac:dyDescent="0.4">
      <c r="B19116" s="3" t="s">
        <v>7</v>
      </c>
      <c r="C19116" s="3" t="s">
        <v>3082</v>
      </c>
      <c r="D19116" s="4">
        <f>DATE(2013,1,29)</f>
        <v>41303</v>
      </c>
      <c r="E19116" s="5">
        <f t="shared" si="312"/>
        <v>2013</v>
      </c>
      <c r="F19116" s="3" t="s">
        <v>3083</v>
      </c>
      <c r="G19116" s="6">
        <v>570</v>
      </c>
      <c r="H19116" s="5">
        <v>18014</v>
      </c>
    </row>
    <row r="19117" spans="2:8" ht="15" customHeight="1" x14ac:dyDescent="0.4">
      <c r="B19117" s="3" t="s">
        <v>7</v>
      </c>
      <c r="C19117" s="3" t="s">
        <v>3082</v>
      </c>
      <c r="D19117" s="4">
        <f>DATE(2013,10,18)</f>
        <v>41565</v>
      </c>
      <c r="E19117" s="5">
        <f t="shared" si="312"/>
        <v>2013</v>
      </c>
      <c r="F19117" s="3" t="s">
        <v>3083</v>
      </c>
      <c r="G19117" s="6">
        <v>892.48</v>
      </c>
      <c r="H19117" s="5">
        <v>19107</v>
      </c>
    </row>
    <row r="19118" spans="2:8" ht="15" customHeight="1" x14ac:dyDescent="0.4">
      <c r="B19118" s="3" t="s">
        <v>16</v>
      </c>
      <c r="C19118" s="3" t="s">
        <v>3082</v>
      </c>
      <c r="D19118" s="4">
        <f>DATE(2013,11,5)</f>
        <v>41583</v>
      </c>
      <c r="E19118" s="5">
        <f t="shared" si="312"/>
        <v>2013</v>
      </c>
      <c r="F19118" s="3" t="s">
        <v>3083</v>
      </c>
      <c r="G19118" s="6">
        <v>760</v>
      </c>
      <c r="H19118" s="5">
        <v>19179</v>
      </c>
    </row>
    <row r="19119" spans="2:8" ht="15" customHeight="1" x14ac:dyDescent="0.4">
      <c r="B19119" s="3" t="s">
        <v>16</v>
      </c>
      <c r="C19119" s="3" t="s">
        <v>3082</v>
      </c>
      <c r="D19119" s="4">
        <f>DATE(2013,11,8)</f>
        <v>41586</v>
      </c>
      <c r="E19119" s="5">
        <f t="shared" si="312"/>
        <v>2013</v>
      </c>
      <c r="F19119" s="3" t="s">
        <v>3083</v>
      </c>
      <c r="G19119" s="6">
        <v>892.48</v>
      </c>
      <c r="H19119" s="5">
        <v>19210</v>
      </c>
    </row>
    <row r="19120" spans="2:8" ht="15" customHeight="1" x14ac:dyDescent="0.4">
      <c r="B19120" t="s">
        <v>7</v>
      </c>
      <c r="C19120" t="s">
        <v>3084</v>
      </c>
      <c r="D19120" s="7">
        <f>DATE(2019,5,15)</f>
        <v>43600</v>
      </c>
      <c r="E19120" s="8">
        <f t="shared" si="312"/>
        <v>2019</v>
      </c>
      <c r="F19120" t="s">
        <v>3085</v>
      </c>
      <c r="G19120" s="9">
        <v>245.71</v>
      </c>
      <c r="H19120" s="8">
        <v>28999</v>
      </c>
    </row>
    <row r="19121" spans="2:8" ht="15" customHeight="1" x14ac:dyDescent="0.4">
      <c r="B19121" t="s">
        <v>7</v>
      </c>
      <c r="C19121" t="s">
        <v>3084</v>
      </c>
      <c r="D19121" s="7">
        <f>DATE(2018,10,11)</f>
        <v>43384</v>
      </c>
      <c r="E19121" s="8">
        <f t="shared" si="312"/>
        <v>2018</v>
      </c>
      <c r="F19121" t="s">
        <v>3085</v>
      </c>
      <c r="G19121" s="9">
        <v>2018.25</v>
      </c>
      <c r="H19121" s="8">
        <v>27794</v>
      </c>
    </row>
    <row r="19122" spans="2:8" ht="15" customHeight="1" x14ac:dyDescent="0.4">
      <c r="B19122" t="s">
        <v>7</v>
      </c>
      <c r="C19122" t="s">
        <v>3084</v>
      </c>
      <c r="D19122" s="7">
        <f>DATE(2015,9,29)</f>
        <v>42276</v>
      </c>
      <c r="E19122" s="8">
        <f t="shared" si="312"/>
        <v>2015</v>
      </c>
      <c r="F19122" t="s">
        <v>3085</v>
      </c>
      <c r="G19122" s="9">
        <v>28008.400000000001</v>
      </c>
      <c r="H19122" s="8">
        <v>21265</v>
      </c>
    </row>
    <row r="19123" spans="2:8" ht="15" customHeight="1" x14ac:dyDescent="0.4">
      <c r="B19123" t="s">
        <v>7</v>
      </c>
      <c r="C19123" t="s">
        <v>3084</v>
      </c>
      <c r="D19123" s="7">
        <f>DATE(2015,12,7)</f>
        <v>42345</v>
      </c>
      <c r="E19123" s="8">
        <f t="shared" si="312"/>
        <v>2015</v>
      </c>
      <c r="F19123" t="s">
        <v>3085</v>
      </c>
      <c r="G19123" s="9">
        <v>848</v>
      </c>
      <c r="H19123" s="8">
        <v>21681</v>
      </c>
    </row>
    <row r="19124" spans="2:8" ht="15" customHeight="1" x14ac:dyDescent="0.4">
      <c r="B19124" t="s">
        <v>7</v>
      </c>
      <c r="C19124" t="s">
        <v>3084</v>
      </c>
      <c r="D19124" s="7">
        <f>DATE(2015,12,17)</f>
        <v>42355</v>
      </c>
      <c r="E19124" s="8">
        <f t="shared" si="312"/>
        <v>2015</v>
      </c>
      <c r="F19124" t="s">
        <v>3085</v>
      </c>
      <c r="G19124" s="9">
        <v>1008</v>
      </c>
      <c r="H19124" s="8">
        <v>21859</v>
      </c>
    </row>
    <row r="19125" spans="2:8" ht="15" customHeight="1" x14ac:dyDescent="0.4">
      <c r="B19125" t="s">
        <v>7</v>
      </c>
      <c r="C19125" t="s">
        <v>3084</v>
      </c>
      <c r="D19125" s="7">
        <f>DATE(2016,2,5)</f>
        <v>42405</v>
      </c>
      <c r="E19125" s="8">
        <f t="shared" si="312"/>
        <v>2016</v>
      </c>
      <c r="F19125" t="s">
        <v>3085</v>
      </c>
      <c r="G19125" s="9">
        <v>707.7</v>
      </c>
      <c r="H19125" s="8">
        <v>21956</v>
      </c>
    </row>
    <row r="19126" spans="2:8" ht="15" customHeight="1" x14ac:dyDescent="0.4">
      <c r="B19126" t="s">
        <v>7</v>
      </c>
      <c r="C19126" t="s">
        <v>3084</v>
      </c>
      <c r="D19126" s="7">
        <f>DATE(2016,2,15)</f>
        <v>42415</v>
      </c>
      <c r="E19126" s="8">
        <f t="shared" si="312"/>
        <v>2016</v>
      </c>
      <c r="F19126" t="s">
        <v>3085</v>
      </c>
      <c r="G19126" s="9">
        <v>8760</v>
      </c>
      <c r="H19126" s="8">
        <v>22133</v>
      </c>
    </row>
    <row r="19127" spans="2:8" ht="15" customHeight="1" x14ac:dyDescent="0.4">
      <c r="B19127" t="s">
        <v>7</v>
      </c>
      <c r="C19127" t="s">
        <v>3084</v>
      </c>
      <c r="D19127" s="7">
        <f>DATE(2016,6,30)</f>
        <v>42551</v>
      </c>
      <c r="E19127" s="8">
        <f t="shared" si="312"/>
        <v>2016</v>
      </c>
      <c r="F19127" t="s">
        <v>3085</v>
      </c>
      <c r="G19127" s="9">
        <v>39600</v>
      </c>
      <c r="H19127" s="8">
        <v>23085</v>
      </c>
    </row>
    <row r="19128" spans="2:8" ht="15" customHeight="1" x14ac:dyDescent="0.4">
      <c r="B19128" t="s">
        <v>7</v>
      </c>
      <c r="C19128" t="s">
        <v>3084</v>
      </c>
      <c r="D19128" s="7">
        <f>DATE(2016,8,2)</f>
        <v>42584</v>
      </c>
      <c r="E19128" s="8">
        <f t="shared" si="312"/>
        <v>2016</v>
      </c>
      <c r="F19128" t="s">
        <v>3085</v>
      </c>
      <c r="G19128" s="9">
        <v>1244.6099999999999</v>
      </c>
      <c r="H19128" s="8">
        <v>23142</v>
      </c>
    </row>
    <row r="19129" spans="2:8" ht="15" customHeight="1" x14ac:dyDescent="0.4">
      <c r="B19129" t="s">
        <v>7</v>
      </c>
      <c r="C19129" t="s">
        <v>3084</v>
      </c>
      <c r="D19129" s="7">
        <f>DATE(2016,8,17)</f>
        <v>42599</v>
      </c>
      <c r="E19129" s="8">
        <f t="shared" si="312"/>
        <v>2016</v>
      </c>
      <c r="F19129" t="s">
        <v>3085</v>
      </c>
      <c r="G19129" s="9">
        <v>3054</v>
      </c>
      <c r="H19129" s="8">
        <v>23287</v>
      </c>
    </row>
    <row r="19130" spans="2:8" ht="15" customHeight="1" x14ac:dyDescent="0.4">
      <c r="B19130" t="s">
        <v>7</v>
      </c>
      <c r="C19130" t="s">
        <v>3084</v>
      </c>
      <c r="D19130" s="7">
        <f>DATE(2016,10,13)</f>
        <v>42656</v>
      </c>
      <c r="E19130" s="8">
        <f t="shared" si="312"/>
        <v>2016</v>
      </c>
      <c r="F19130" t="s">
        <v>3085</v>
      </c>
      <c r="G19130" s="9">
        <v>333.6</v>
      </c>
      <c r="H19130" s="8">
        <v>23581</v>
      </c>
    </row>
    <row r="19131" spans="2:8" ht="15" customHeight="1" x14ac:dyDescent="0.4">
      <c r="B19131" t="s">
        <v>7</v>
      </c>
      <c r="C19131" t="s">
        <v>3084</v>
      </c>
      <c r="D19131" s="7">
        <f>DATE(2016,10,25)</f>
        <v>42668</v>
      </c>
      <c r="E19131" s="8">
        <f t="shared" si="312"/>
        <v>2016</v>
      </c>
      <c r="F19131" t="s">
        <v>3085</v>
      </c>
      <c r="G19131" s="9">
        <v>1355.8</v>
      </c>
      <c r="H19131" s="8">
        <v>23534</v>
      </c>
    </row>
    <row r="19132" spans="2:8" ht="15" customHeight="1" x14ac:dyDescent="0.4">
      <c r="B19132" t="s">
        <v>7</v>
      </c>
      <c r="C19132" t="s">
        <v>3084</v>
      </c>
      <c r="D19132" s="7">
        <f>DATE(2016,11,10)</f>
        <v>42684</v>
      </c>
      <c r="E19132" s="8">
        <f t="shared" si="312"/>
        <v>2016</v>
      </c>
      <c r="F19132" t="s">
        <v>3085</v>
      </c>
      <c r="G19132" s="9">
        <v>30800</v>
      </c>
      <c r="H19132" s="8">
        <v>23796</v>
      </c>
    </row>
    <row r="19133" spans="2:8" ht="15" customHeight="1" x14ac:dyDescent="0.4">
      <c r="B19133" t="s">
        <v>7</v>
      </c>
      <c r="C19133" t="s">
        <v>3084</v>
      </c>
      <c r="D19133" s="7">
        <f>DATE(2016,11,30)</f>
        <v>42704</v>
      </c>
      <c r="E19133" s="8">
        <f t="shared" si="312"/>
        <v>2016</v>
      </c>
      <c r="F19133" t="s">
        <v>3085</v>
      </c>
      <c r="G19133" s="9">
        <v>1880</v>
      </c>
      <c r="H19133" s="8">
        <v>23883</v>
      </c>
    </row>
    <row r="19134" spans="2:8" ht="15" customHeight="1" x14ac:dyDescent="0.4">
      <c r="B19134" t="s">
        <v>7</v>
      </c>
      <c r="C19134" t="s">
        <v>3084</v>
      </c>
      <c r="D19134" s="7">
        <f>DATE(2017,1,16)</f>
        <v>42751</v>
      </c>
      <c r="E19134" s="8">
        <f t="shared" si="312"/>
        <v>2017</v>
      </c>
      <c r="F19134" t="s">
        <v>3085</v>
      </c>
      <c r="G19134" s="9">
        <v>22000</v>
      </c>
      <c r="H19134" s="8">
        <v>24133</v>
      </c>
    </row>
    <row r="19135" spans="2:8" ht="15" customHeight="1" x14ac:dyDescent="0.4">
      <c r="B19135" t="s">
        <v>7</v>
      </c>
      <c r="C19135" t="s">
        <v>3084</v>
      </c>
      <c r="D19135" s="7">
        <f>DATE(2017,2,9)</f>
        <v>42775</v>
      </c>
      <c r="E19135" s="8">
        <f t="shared" si="312"/>
        <v>2017</v>
      </c>
      <c r="F19135" t="s">
        <v>3085</v>
      </c>
      <c r="G19135" s="9">
        <v>1900</v>
      </c>
      <c r="H19135" s="8">
        <v>24247</v>
      </c>
    </row>
    <row r="19136" spans="2:8" ht="15" customHeight="1" x14ac:dyDescent="0.4">
      <c r="B19136" t="s">
        <v>7</v>
      </c>
      <c r="C19136" t="s">
        <v>3084</v>
      </c>
      <c r="D19136" s="7">
        <f>DATE(2017,3,30)</f>
        <v>42824</v>
      </c>
      <c r="E19136" s="8">
        <f t="shared" si="312"/>
        <v>2017</v>
      </c>
      <c r="F19136" t="s">
        <v>3085</v>
      </c>
      <c r="G19136" s="9">
        <v>2862.5</v>
      </c>
      <c r="H19136" s="8">
        <v>24610</v>
      </c>
    </row>
    <row r="19137" spans="2:8" ht="15" customHeight="1" x14ac:dyDescent="0.4">
      <c r="B19137" t="s">
        <v>7</v>
      </c>
      <c r="C19137" t="s">
        <v>3084</v>
      </c>
      <c r="D19137" s="7">
        <f>DATE(2017,8,30)</f>
        <v>42977</v>
      </c>
      <c r="E19137" s="8">
        <f t="shared" si="312"/>
        <v>2017</v>
      </c>
      <c r="F19137" t="s">
        <v>3085</v>
      </c>
      <c r="G19137" s="9">
        <v>81000</v>
      </c>
      <c r="H19137" s="8">
        <v>25439</v>
      </c>
    </row>
    <row r="19138" spans="2:8" ht="15" customHeight="1" x14ac:dyDescent="0.4">
      <c r="B19138" t="s">
        <v>7</v>
      </c>
      <c r="C19138" t="s">
        <v>3084</v>
      </c>
      <c r="D19138" s="7">
        <f>DATE(2017,9,13)</f>
        <v>42991</v>
      </c>
      <c r="E19138" s="8">
        <f t="shared" si="312"/>
        <v>2017</v>
      </c>
      <c r="F19138" t="s">
        <v>3085</v>
      </c>
      <c r="G19138" s="9">
        <v>1308.03</v>
      </c>
      <c r="H19138" s="8">
        <v>25572</v>
      </c>
    </row>
    <row r="19139" spans="2:8" ht="15" customHeight="1" x14ac:dyDescent="0.4">
      <c r="B19139" t="s">
        <v>7</v>
      </c>
      <c r="C19139" t="s">
        <v>3084</v>
      </c>
      <c r="D19139" s="7">
        <f>DATE(2017,10,4)</f>
        <v>43012</v>
      </c>
      <c r="E19139" s="8">
        <f t="shared" ref="E19139:E19202" si="313">YEAR(D19139)</f>
        <v>2017</v>
      </c>
      <c r="F19139" t="s">
        <v>3085</v>
      </c>
      <c r="G19139" s="9">
        <v>807.5</v>
      </c>
      <c r="H19139" s="8">
        <v>25515</v>
      </c>
    </row>
    <row r="19140" spans="2:8" ht="15" customHeight="1" x14ac:dyDescent="0.4">
      <c r="B19140" t="s">
        <v>7</v>
      </c>
      <c r="C19140" t="s">
        <v>3084</v>
      </c>
      <c r="D19140" s="7">
        <f>DATE(2018,1,15)</f>
        <v>43115</v>
      </c>
      <c r="E19140" s="8">
        <f t="shared" si="313"/>
        <v>2018</v>
      </c>
      <c r="F19140" t="s">
        <v>3085</v>
      </c>
      <c r="G19140" s="9">
        <v>1800</v>
      </c>
      <c r="H19140" s="8">
        <v>26076</v>
      </c>
    </row>
    <row r="19141" spans="2:8" ht="15" customHeight="1" x14ac:dyDescent="0.4">
      <c r="B19141" t="s">
        <v>7</v>
      </c>
      <c r="C19141" t="s">
        <v>3084</v>
      </c>
      <c r="D19141" s="7">
        <f>DATE(2018,1,24)</f>
        <v>43124</v>
      </c>
      <c r="E19141" s="8">
        <f t="shared" si="313"/>
        <v>2018</v>
      </c>
      <c r="F19141" t="s">
        <v>3085</v>
      </c>
      <c r="G19141" s="9">
        <v>24925</v>
      </c>
      <c r="H19141" s="8">
        <v>26306</v>
      </c>
    </row>
    <row r="19142" spans="2:8" ht="15" customHeight="1" x14ac:dyDescent="0.4">
      <c r="B19142" t="s">
        <v>7</v>
      </c>
      <c r="C19142" t="s">
        <v>3084</v>
      </c>
      <c r="D19142" s="7">
        <f>DATE(2019,1,29)</f>
        <v>43494</v>
      </c>
      <c r="E19142" s="8">
        <f t="shared" si="313"/>
        <v>2019</v>
      </c>
      <c r="F19142" t="s">
        <v>3085</v>
      </c>
      <c r="G19142" s="9">
        <v>872.82</v>
      </c>
      <c r="H19142" s="8">
        <v>28133</v>
      </c>
    </row>
    <row r="19143" spans="2:8" ht="15" customHeight="1" x14ac:dyDescent="0.4">
      <c r="B19143" t="s">
        <v>7</v>
      </c>
      <c r="C19143" t="s">
        <v>3084</v>
      </c>
      <c r="D19143" s="7">
        <f>DATE(2019,4,4)</f>
        <v>43559</v>
      </c>
      <c r="E19143" s="8">
        <f t="shared" si="313"/>
        <v>2019</v>
      </c>
      <c r="F19143" t="s">
        <v>3085</v>
      </c>
      <c r="G19143" s="9">
        <v>32218.75</v>
      </c>
      <c r="H19143" s="8">
        <v>28671</v>
      </c>
    </row>
    <row r="19144" spans="2:8" ht="15" customHeight="1" x14ac:dyDescent="0.4">
      <c r="B19144" t="s">
        <v>7</v>
      </c>
      <c r="C19144" t="s">
        <v>3084</v>
      </c>
      <c r="D19144" s="7">
        <f>DATE(2019,4,8)</f>
        <v>43563</v>
      </c>
      <c r="E19144" s="8">
        <f t="shared" si="313"/>
        <v>2019</v>
      </c>
      <c r="F19144" t="s">
        <v>3085</v>
      </c>
      <c r="G19144" s="9">
        <v>2565</v>
      </c>
      <c r="H19144" s="8">
        <v>28727</v>
      </c>
    </row>
    <row r="19145" spans="2:8" ht="15" customHeight="1" x14ac:dyDescent="0.4">
      <c r="B19145" t="s">
        <v>7</v>
      </c>
      <c r="C19145" t="s">
        <v>3084</v>
      </c>
      <c r="D19145" s="7">
        <f>DATE(2019,4,16)</f>
        <v>43571</v>
      </c>
      <c r="E19145" s="8">
        <f t="shared" si="313"/>
        <v>2019</v>
      </c>
      <c r="F19145" t="s">
        <v>3085</v>
      </c>
      <c r="G19145" s="9">
        <v>2651.25</v>
      </c>
      <c r="H19145" s="8">
        <v>28768</v>
      </c>
    </row>
    <row r="19146" spans="2:8" ht="15" customHeight="1" x14ac:dyDescent="0.4">
      <c r="B19146" t="s">
        <v>7</v>
      </c>
      <c r="C19146" t="s">
        <v>3084</v>
      </c>
      <c r="D19146" s="7">
        <f>DATE(2019,4,16)</f>
        <v>43571</v>
      </c>
      <c r="E19146" s="8">
        <f t="shared" si="313"/>
        <v>2019</v>
      </c>
      <c r="F19146" t="s">
        <v>3085</v>
      </c>
      <c r="G19146" s="9">
        <v>2580</v>
      </c>
      <c r="H19146" s="8">
        <v>28769</v>
      </c>
    </row>
    <row r="19147" spans="2:8" ht="15" customHeight="1" x14ac:dyDescent="0.4">
      <c r="B19147" t="s">
        <v>7</v>
      </c>
      <c r="C19147" t="s">
        <v>3084</v>
      </c>
      <c r="D19147" s="7">
        <f>DATE(2019,5,7)</f>
        <v>43592</v>
      </c>
      <c r="E19147" s="8">
        <f t="shared" si="313"/>
        <v>2019</v>
      </c>
      <c r="F19147" t="s">
        <v>3085</v>
      </c>
      <c r="G19147" s="9">
        <v>28080</v>
      </c>
      <c r="H19147" s="8">
        <v>28894</v>
      </c>
    </row>
    <row r="19148" spans="2:8" ht="15" customHeight="1" x14ac:dyDescent="0.4">
      <c r="B19148" s="3" t="s">
        <v>7</v>
      </c>
      <c r="C19148" s="3" t="s">
        <v>3084</v>
      </c>
      <c r="D19148" s="4">
        <f>DATE(2008,3,31)</f>
        <v>39538</v>
      </c>
      <c r="E19148" s="5">
        <f t="shared" si="313"/>
        <v>2008</v>
      </c>
      <c r="F19148" s="3" t="s">
        <v>3085</v>
      </c>
      <c r="G19148" s="6">
        <v>19680</v>
      </c>
      <c r="H19148" s="5">
        <v>10272</v>
      </c>
    </row>
    <row r="19149" spans="2:8" ht="15" customHeight="1" x14ac:dyDescent="0.4">
      <c r="B19149" t="s">
        <v>7</v>
      </c>
      <c r="C19149" t="s">
        <v>3086</v>
      </c>
      <c r="D19149" s="7">
        <f>DATE(2008,3,3)</f>
        <v>39510</v>
      </c>
      <c r="E19149" s="8">
        <f t="shared" si="313"/>
        <v>2008</v>
      </c>
      <c r="F19149" t="s">
        <v>3087</v>
      </c>
      <c r="G19149" s="9">
        <v>9030</v>
      </c>
      <c r="H19149" s="8">
        <v>6801</v>
      </c>
    </row>
    <row r="19150" spans="2:8" ht="15" customHeight="1" x14ac:dyDescent="0.4">
      <c r="B19150" t="s">
        <v>7</v>
      </c>
      <c r="C19150" t="s">
        <v>3086</v>
      </c>
      <c r="D19150" s="7">
        <f>DATE(2008,3,30)</f>
        <v>39537</v>
      </c>
      <c r="E19150" s="8">
        <f t="shared" si="313"/>
        <v>2008</v>
      </c>
      <c r="F19150" t="s">
        <v>3087</v>
      </c>
      <c r="G19150" s="9">
        <v>7680</v>
      </c>
      <c r="H19150" s="8">
        <v>6799</v>
      </c>
    </row>
    <row r="19151" spans="2:8" ht="15" customHeight="1" x14ac:dyDescent="0.4">
      <c r="B19151" t="s">
        <v>7</v>
      </c>
      <c r="C19151" t="s">
        <v>3086</v>
      </c>
      <c r="D19151" s="7">
        <f>DATE(2008,4,26)</f>
        <v>39564</v>
      </c>
      <c r="E19151" s="8">
        <f t="shared" si="313"/>
        <v>2008</v>
      </c>
      <c r="F19151" t="s">
        <v>3087</v>
      </c>
      <c r="G19151" s="9">
        <v>7756</v>
      </c>
      <c r="H19151" s="8">
        <v>6800</v>
      </c>
    </row>
    <row r="19152" spans="2:8" ht="15" customHeight="1" x14ac:dyDescent="0.4">
      <c r="B19152" t="s">
        <v>7</v>
      </c>
      <c r="C19152" t="s">
        <v>3086</v>
      </c>
      <c r="D19152" s="7">
        <f>DATE(2008,7,8)</f>
        <v>39637</v>
      </c>
      <c r="E19152" s="8">
        <f t="shared" si="313"/>
        <v>2008</v>
      </c>
      <c r="F19152" t="s">
        <v>3087</v>
      </c>
      <c r="G19152" s="9">
        <v>1500</v>
      </c>
      <c r="H19152" s="8">
        <v>7590</v>
      </c>
    </row>
    <row r="19153" spans="2:8" ht="15" customHeight="1" x14ac:dyDescent="0.4">
      <c r="B19153" s="3" t="s">
        <v>7</v>
      </c>
      <c r="C19153" s="3" t="s">
        <v>3086</v>
      </c>
      <c r="D19153" s="4">
        <f>DATE(2008,4,2)</f>
        <v>39540</v>
      </c>
      <c r="E19153" s="5">
        <f t="shared" si="313"/>
        <v>2008</v>
      </c>
      <c r="F19153" s="3" t="s">
        <v>3087</v>
      </c>
      <c r="G19153" s="6">
        <v>1572</v>
      </c>
      <c r="H19153" s="5">
        <v>10348</v>
      </c>
    </row>
    <row r="19154" spans="2:8" ht="15" customHeight="1" x14ac:dyDescent="0.4">
      <c r="B19154" s="3" t="s">
        <v>7</v>
      </c>
      <c r="C19154" s="3" t="s">
        <v>3086</v>
      </c>
      <c r="D19154" s="4">
        <f>DATE(2008,5,30)</f>
        <v>39598</v>
      </c>
      <c r="E19154" s="5">
        <f t="shared" si="313"/>
        <v>2008</v>
      </c>
      <c r="F19154" s="3" t="s">
        <v>3087</v>
      </c>
      <c r="G19154" s="6">
        <v>1310</v>
      </c>
      <c r="H19154" s="5">
        <v>10726</v>
      </c>
    </row>
    <row r="19155" spans="2:8" ht="15" customHeight="1" x14ac:dyDescent="0.4">
      <c r="B19155" t="s">
        <v>7</v>
      </c>
      <c r="C19155" t="s">
        <v>3086</v>
      </c>
      <c r="D19155" s="7">
        <f>DATE(2003,4,21)</f>
        <v>37732</v>
      </c>
      <c r="E19155" s="8">
        <f t="shared" si="313"/>
        <v>2003</v>
      </c>
      <c r="F19155" t="s">
        <v>3088</v>
      </c>
      <c r="G19155" s="9">
        <v>4499.88</v>
      </c>
      <c r="H19155" s="8">
        <v>466</v>
      </c>
    </row>
    <row r="19156" spans="2:8" ht="15" customHeight="1" x14ac:dyDescent="0.4">
      <c r="B19156" t="s">
        <v>7</v>
      </c>
      <c r="C19156" t="s">
        <v>3086</v>
      </c>
      <c r="D19156" s="7">
        <f>DATE(2004,12,14)</f>
        <v>38335</v>
      </c>
      <c r="E19156" s="8">
        <f t="shared" si="313"/>
        <v>2004</v>
      </c>
      <c r="F19156" t="s">
        <v>3088</v>
      </c>
      <c r="G19156" s="9">
        <v>2211.16</v>
      </c>
      <c r="H19156" s="8">
        <v>2439</v>
      </c>
    </row>
    <row r="19157" spans="2:8" ht="15" customHeight="1" x14ac:dyDescent="0.4">
      <c r="B19157" t="s">
        <v>7</v>
      </c>
      <c r="C19157" t="s">
        <v>3086</v>
      </c>
      <c r="D19157" s="7">
        <f>DATE(2004,12,14)</f>
        <v>38335</v>
      </c>
      <c r="E19157" s="8">
        <f t="shared" si="313"/>
        <v>2004</v>
      </c>
      <c r="F19157" t="s">
        <v>3088</v>
      </c>
      <c r="G19157" s="9">
        <v>2211.16</v>
      </c>
      <c r="H19157" s="8">
        <v>2457</v>
      </c>
    </row>
    <row r="19158" spans="2:8" ht="15" customHeight="1" x14ac:dyDescent="0.4">
      <c r="B19158" t="s">
        <v>7</v>
      </c>
      <c r="C19158" t="s">
        <v>3086</v>
      </c>
      <c r="D19158" s="7">
        <f>DATE(2004,12,27)</f>
        <v>38348</v>
      </c>
      <c r="E19158" s="8">
        <f t="shared" si="313"/>
        <v>2004</v>
      </c>
      <c r="F19158" t="s">
        <v>3088</v>
      </c>
      <c r="G19158" s="9">
        <v>1453.77</v>
      </c>
      <c r="H19158" s="8">
        <v>2504</v>
      </c>
    </row>
    <row r="19159" spans="2:8" ht="15" customHeight="1" x14ac:dyDescent="0.4">
      <c r="B19159" t="s">
        <v>7</v>
      </c>
      <c r="C19159" t="s">
        <v>3086</v>
      </c>
      <c r="D19159" s="7">
        <f>DATE(2006,3,7)</f>
        <v>38783</v>
      </c>
      <c r="E19159" s="8">
        <f t="shared" si="313"/>
        <v>2006</v>
      </c>
      <c r="F19159" t="s">
        <v>3088</v>
      </c>
      <c r="G19159" s="9">
        <v>2216.13</v>
      </c>
      <c r="H19159" s="8">
        <v>4285</v>
      </c>
    </row>
    <row r="19160" spans="2:8" ht="15" customHeight="1" x14ac:dyDescent="0.4">
      <c r="B19160" t="s">
        <v>7</v>
      </c>
      <c r="C19160" t="s">
        <v>3086</v>
      </c>
      <c r="D19160" s="7">
        <f>DATE(2006,5,16)</f>
        <v>38853</v>
      </c>
      <c r="E19160" s="8">
        <f t="shared" si="313"/>
        <v>2006</v>
      </c>
      <c r="F19160" t="s">
        <v>3088</v>
      </c>
      <c r="G19160" s="9">
        <v>14552</v>
      </c>
      <c r="H19160" s="8">
        <v>4279</v>
      </c>
    </row>
    <row r="19161" spans="2:8" ht="15" customHeight="1" x14ac:dyDescent="0.4">
      <c r="B19161" t="s">
        <v>7</v>
      </c>
      <c r="C19161" t="s">
        <v>3086</v>
      </c>
      <c r="D19161" s="7">
        <f>DATE(2007,4,6)</f>
        <v>39178</v>
      </c>
      <c r="E19161" s="8">
        <f t="shared" si="313"/>
        <v>2007</v>
      </c>
      <c r="F19161" t="s">
        <v>3088</v>
      </c>
      <c r="G19161" s="9">
        <v>8461</v>
      </c>
      <c r="H19161" s="8">
        <v>5246</v>
      </c>
    </row>
    <row r="19162" spans="2:8" ht="15" customHeight="1" x14ac:dyDescent="0.4">
      <c r="B19162" t="s">
        <v>7</v>
      </c>
      <c r="C19162" t="s">
        <v>3086</v>
      </c>
      <c r="D19162" s="7">
        <f>DATE(2007,5,6)</f>
        <v>39208</v>
      </c>
      <c r="E19162" s="8">
        <f t="shared" si="313"/>
        <v>2007</v>
      </c>
      <c r="F19162" t="s">
        <v>3088</v>
      </c>
      <c r="G19162" s="9">
        <v>7955</v>
      </c>
      <c r="H19162" s="8">
        <v>5535</v>
      </c>
    </row>
    <row r="19163" spans="2:8" ht="15" customHeight="1" x14ac:dyDescent="0.4">
      <c r="B19163" t="s">
        <v>7</v>
      </c>
      <c r="C19163" t="s">
        <v>3086</v>
      </c>
      <c r="D19163" s="7">
        <f>DATE(2007,5,1)</f>
        <v>39203</v>
      </c>
      <c r="E19163" s="8">
        <f t="shared" si="313"/>
        <v>2007</v>
      </c>
      <c r="F19163" t="s">
        <v>3088</v>
      </c>
      <c r="G19163" s="9">
        <v>7239</v>
      </c>
      <c r="H19163" s="8">
        <v>5444</v>
      </c>
    </row>
    <row r="19164" spans="2:8" ht="15" customHeight="1" x14ac:dyDescent="0.4">
      <c r="B19164" t="s">
        <v>7</v>
      </c>
      <c r="C19164" t="s">
        <v>3086</v>
      </c>
      <c r="D19164" s="7">
        <f>DATE(2007,6,1)</f>
        <v>39234</v>
      </c>
      <c r="E19164" s="8">
        <f t="shared" si="313"/>
        <v>2007</v>
      </c>
      <c r="F19164" t="s">
        <v>3088</v>
      </c>
      <c r="G19164" s="9">
        <v>5554.04</v>
      </c>
      <c r="H19164" s="8">
        <v>6048</v>
      </c>
    </row>
    <row r="19165" spans="2:8" ht="15" customHeight="1" x14ac:dyDescent="0.4">
      <c r="B19165" s="3" t="s">
        <v>7</v>
      </c>
      <c r="C19165" s="3" t="s">
        <v>3086</v>
      </c>
      <c r="D19165" s="4">
        <f>DATE(2003,3,19)</f>
        <v>37699</v>
      </c>
      <c r="E19165" s="5">
        <f t="shared" si="313"/>
        <v>2003</v>
      </c>
      <c r="F19165" s="3" t="s">
        <v>3088</v>
      </c>
      <c r="G19165" s="6">
        <v>1431.44</v>
      </c>
      <c r="H19165" s="5">
        <v>530</v>
      </c>
    </row>
    <row r="19166" spans="2:8" ht="15" customHeight="1" x14ac:dyDescent="0.4">
      <c r="B19166" s="3" t="s">
        <v>7</v>
      </c>
      <c r="C19166" s="3" t="s">
        <v>3086</v>
      </c>
      <c r="D19166" s="4">
        <f>DATE(2003,3,27)</f>
        <v>37707</v>
      </c>
      <c r="E19166" s="5">
        <f t="shared" si="313"/>
        <v>2003</v>
      </c>
      <c r="F19166" s="3" t="s">
        <v>3088</v>
      </c>
      <c r="G19166" s="6">
        <v>220</v>
      </c>
      <c r="H19166" s="5">
        <v>606</v>
      </c>
    </row>
    <row r="19167" spans="2:8" ht="15" customHeight="1" x14ac:dyDescent="0.4">
      <c r="B19167" s="3" t="s">
        <v>7</v>
      </c>
      <c r="C19167" s="3" t="s">
        <v>3086</v>
      </c>
      <c r="D19167" s="4">
        <f>DATE(2004,1,20)</f>
        <v>38006</v>
      </c>
      <c r="E19167" s="5">
        <f t="shared" si="313"/>
        <v>2004</v>
      </c>
      <c r="F19167" s="3" t="s">
        <v>3088</v>
      </c>
      <c r="G19167" s="6">
        <v>123.12</v>
      </c>
      <c r="H19167" s="5">
        <v>2000</v>
      </c>
    </row>
    <row r="19168" spans="2:8" ht="15" customHeight="1" x14ac:dyDescent="0.4">
      <c r="B19168" s="3" t="s">
        <v>7</v>
      </c>
      <c r="C19168" s="3" t="s">
        <v>3086</v>
      </c>
      <c r="D19168" s="4">
        <f>DATE(2004,1,26)</f>
        <v>38012</v>
      </c>
      <c r="E19168" s="5">
        <f t="shared" si="313"/>
        <v>2004</v>
      </c>
      <c r="F19168" s="3" t="s">
        <v>3088</v>
      </c>
      <c r="G19168" s="6">
        <v>280</v>
      </c>
      <c r="H19168" s="5">
        <v>2040</v>
      </c>
    </row>
    <row r="19169" spans="2:8" ht="15" customHeight="1" x14ac:dyDescent="0.4">
      <c r="B19169" s="3" t="s">
        <v>7</v>
      </c>
      <c r="C19169" s="3" t="s">
        <v>3086</v>
      </c>
      <c r="D19169" s="4">
        <f>DATE(2004,2,19)</f>
        <v>38036</v>
      </c>
      <c r="E19169" s="5">
        <f t="shared" si="313"/>
        <v>2004</v>
      </c>
      <c r="F19169" s="3" t="s">
        <v>3088</v>
      </c>
      <c r="G19169" s="6">
        <v>184.68</v>
      </c>
      <c r="H19169" s="5">
        <v>2211</v>
      </c>
    </row>
    <row r="19170" spans="2:8" ht="15" customHeight="1" x14ac:dyDescent="0.4">
      <c r="B19170" s="3" t="s">
        <v>7</v>
      </c>
      <c r="C19170" s="3" t="s">
        <v>3086</v>
      </c>
      <c r="D19170" s="4">
        <f>DATE(2004,5,6)</f>
        <v>38113</v>
      </c>
      <c r="E19170" s="5">
        <f t="shared" si="313"/>
        <v>2004</v>
      </c>
      <c r="F19170" s="3" t="s">
        <v>3088</v>
      </c>
      <c r="G19170" s="6">
        <v>540</v>
      </c>
      <c r="H19170" s="5">
        <v>2806</v>
      </c>
    </row>
    <row r="19171" spans="2:8" ht="15" customHeight="1" x14ac:dyDescent="0.4">
      <c r="B19171" s="3" t="s">
        <v>7</v>
      </c>
      <c r="C19171" s="3" t="s">
        <v>3086</v>
      </c>
      <c r="D19171" s="4">
        <f>DATE(2004,5,21)</f>
        <v>38128</v>
      </c>
      <c r="E19171" s="5">
        <f t="shared" si="313"/>
        <v>2004</v>
      </c>
      <c r="F19171" s="3" t="s">
        <v>3088</v>
      </c>
      <c r="G19171" s="6">
        <v>184.68</v>
      </c>
      <c r="H19171" s="5">
        <v>2927</v>
      </c>
    </row>
    <row r="19172" spans="2:8" ht="15" customHeight="1" x14ac:dyDescent="0.4">
      <c r="B19172" s="3" t="s">
        <v>7</v>
      </c>
      <c r="C19172" s="3" t="s">
        <v>3086</v>
      </c>
      <c r="D19172" s="4">
        <f>DATE(2004,10,8)</f>
        <v>38268</v>
      </c>
      <c r="E19172" s="5">
        <f t="shared" si="313"/>
        <v>2004</v>
      </c>
      <c r="F19172" s="3" t="s">
        <v>3088</v>
      </c>
      <c r="G19172" s="6">
        <v>405</v>
      </c>
      <c r="H19172" s="5">
        <v>3542</v>
      </c>
    </row>
    <row r="19173" spans="2:8" ht="15" customHeight="1" x14ac:dyDescent="0.4">
      <c r="B19173" s="3" t="s">
        <v>7</v>
      </c>
      <c r="C19173" s="3" t="s">
        <v>3086</v>
      </c>
      <c r="D19173" s="4">
        <f>DATE(2004,11,12)</f>
        <v>38303</v>
      </c>
      <c r="E19173" s="5">
        <f t="shared" si="313"/>
        <v>2004</v>
      </c>
      <c r="F19173" s="3" t="s">
        <v>3088</v>
      </c>
      <c r="G19173" s="6">
        <v>425</v>
      </c>
      <c r="H19173" s="5">
        <v>3705</v>
      </c>
    </row>
    <row r="19174" spans="2:8" ht="15" customHeight="1" x14ac:dyDescent="0.4">
      <c r="B19174" s="3" t="s">
        <v>7</v>
      </c>
      <c r="C19174" s="3" t="s">
        <v>3086</v>
      </c>
      <c r="D19174" s="4">
        <f>DATE(2004,11,17)</f>
        <v>38308</v>
      </c>
      <c r="E19174" s="5">
        <f t="shared" si="313"/>
        <v>2004</v>
      </c>
      <c r="F19174" s="3" t="s">
        <v>3088</v>
      </c>
      <c r="G19174" s="6">
        <v>1700</v>
      </c>
      <c r="H19174" s="5">
        <v>3719</v>
      </c>
    </row>
    <row r="19175" spans="2:8" ht="15" customHeight="1" x14ac:dyDescent="0.4">
      <c r="B19175" s="3" t="s">
        <v>7</v>
      </c>
      <c r="C19175" s="3" t="s">
        <v>3086</v>
      </c>
      <c r="D19175" s="4">
        <f>DATE(2004,11,15)</f>
        <v>38306</v>
      </c>
      <c r="E19175" s="5">
        <f t="shared" si="313"/>
        <v>2004</v>
      </c>
      <c r="F19175" s="3" t="s">
        <v>3088</v>
      </c>
      <c r="G19175" s="6">
        <v>272.5</v>
      </c>
      <c r="H19175" s="5">
        <v>3708</v>
      </c>
    </row>
    <row r="19176" spans="2:8" ht="15" customHeight="1" x14ac:dyDescent="0.4">
      <c r="B19176" s="3" t="s">
        <v>7</v>
      </c>
      <c r="C19176" s="3" t="s">
        <v>3086</v>
      </c>
      <c r="D19176" s="4">
        <f>DATE(2004,11,29)</f>
        <v>38320</v>
      </c>
      <c r="E19176" s="5">
        <f t="shared" si="313"/>
        <v>2004</v>
      </c>
      <c r="F19176" s="3" t="s">
        <v>3088</v>
      </c>
      <c r="G19176" s="6">
        <v>184.68</v>
      </c>
      <c r="H19176" s="5">
        <v>3765</v>
      </c>
    </row>
    <row r="19177" spans="2:8" ht="15" customHeight="1" x14ac:dyDescent="0.4">
      <c r="B19177" s="3" t="s">
        <v>7</v>
      </c>
      <c r="C19177" s="3" t="s">
        <v>3086</v>
      </c>
      <c r="D19177" s="4">
        <f>DATE(2005,2,28)</f>
        <v>38411</v>
      </c>
      <c r="E19177" s="5">
        <f t="shared" si="313"/>
        <v>2005</v>
      </c>
      <c r="F19177" s="3" t="s">
        <v>3088</v>
      </c>
      <c r="G19177" s="6">
        <v>540</v>
      </c>
      <c r="H19177" s="5">
        <v>4177</v>
      </c>
    </row>
    <row r="19178" spans="2:8" ht="15" customHeight="1" x14ac:dyDescent="0.4">
      <c r="B19178" s="3" t="s">
        <v>7</v>
      </c>
      <c r="C19178" s="3" t="s">
        <v>3086</v>
      </c>
      <c r="D19178" s="4">
        <f>DATE(2005,5,12)</f>
        <v>38484</v>
      </c>
      <c r="E19178" s="5">
        <f t="shared" si="313"/>
        <v>2005</v>
      </c>
      <c r="F19178" s="3" t="s">
        <v>3088</v>
      </c>
      <c r="G19178" s="6">
        <v>540</v>
      </c>
      <c r="H19178" s="5">
        <v>4729</v>
      </c>
    </row>
    <row r="19179" spans="2:8" ht="15" customHeight="1" x14ac:dyDescent="0.4">
      <c r="B19179" s="3" t="s">
        <v>7</v>
      </c>
      <c r="C19179" s="3" t="s">
        <v>3086</v>
      </c>
      <c r="D19179" s="4">
        <f>DATE(2005,5,12)</f>
        <v>38484</v>
      </c>
      <c r="E19179" s="5">
        <f t="shared" si="313"/>
        <v>2005</v>
      </c>
      <c r="F19179" s="3" t="s">
        <v>3088</v>
      </c>
      <c r="G19179" s="6">
        <v>286</v>
      </c>
      <c r="H19179" s="5">
        <v>4726</v>
      </c>
    </row>
    <row r="19180" spans="2:8" ht="15" customHeight="1" x14ac:dyDescent="0.4">
      <c r="B19180" s="3" t="s">
        <v>7</v>
      </c>
      <c r="C19180" s="3" t="s">
        <v>3086</v>
      </c>
      <c r="D19180" s="4">
        <f>DATE(2005,5,25)</f>
        <v>38497</v>
      </c>
      <c r="E19180" s="5">
        <f t="shared" si="313"/>
        <v>2005</v>
      </c>
      <c r="F19180" s="3" t="s">
        <v>3088</v>
      </c>
      <c r="G19180" s="6">
        <v>194.04</v>
      </c>
      <c r="H19180" s="5">
        <v>4776</v>
      </c>
    </row>
    <row r="19181" spans="2:8" ht="15" customHeight="1" x14ac:dyDescent="0.4">
      <c r="B19181" s="3" t="s">
        <v>7</v>
      </c>
      <c r="C19181" s="3" t="s">
        <v>3086</v>
      </c>
      <c r="D19181" s="4">
        <f>DATE(2005,6,29)</f>
        <v>38532</v>
      </c>
      <c r="E19181" s="5">
        <f t="shared" si="313"/>
        <v>2005</v>
      </c>
      <c r="F19181" s="3" t="s">
        <v>3088</v>
      </c>
      <c r="G19181" s="6">
        <v>1078</v>
      </c>
      <c r="H19181" s="5">
        <v>4932</v>
      </c>
    </row>
    <row r="19182" spans="2:8" ht="15" customHeight="1" x14ac:dyDescent="0.4">
      <c r="B19182" s="3" t="s">
        <v>7</v>
      </c>
      <c r="C19182" s="3" t="s">
        <v>3086</v>
      </c>
      <c r="D19182" s="4">
        <f>DATE(2006,3,27)</f>
        <v>38803</v>
      </c>
      <c r="E19182" s="5">
        <f t="shared" si="313"/>
        <v>2006</v>
      </c>
      <c r="F19182" s="3" t="s">
        <v>3088</v>
      </c>
      <c r="G19182" s="6">
        <v>2156</v>
      </c>
      <c r="H19182" s="5">
        <v>6256</v>
      </c>
    </row>
    <row r="19183" spans="2:8" ht="15" customHeight="1" x14ac:dyDescent="0.4">
      <c r="B19183" s="3" t="s">
        <v>7</v>
      </c>
      <c r="C19183" s="3" t="s">
        <v>3086</v>
      </c>
      <c r="D19183" s="4">
        <f>DATE(2006,5,25)</f>
        <v>38862</v>
      </c>
      <c r="E19183" s="5">
        <f t="shared" si="313"/>
        <v>2006</v>
      </c>
      <c r="F19183" s="3" t="s">
        <v>3088</v>
      </c>
      <c r="G19183" s="6">
        <v>540</v>
      </c>
      <c r="H19183" s="5">
        <v>6751</v>
      </c>
    </row>
    <row r="19184" spans="2:8" ht="15" customHeight="1" x14ac:dyDescent="0.4">
      <c r="B19184" s="3" t="s">
        <v>7</v>
      </c>
      <c r="C19184" s="3" t="s">
        <v>3086</v>
      </c>
      <c r="D19184" s="4">
        <f>DATE(2007,5,17)</f>
        <v>39219</v>
      </c>
      <c r="E19184" s="5">
        <f t="shared" si="313"/>
        <v>2007</v>
      </c>
      <c r="F19184" s="3" t="s">
        <v>3088</v>
      </c>
      <c r="G19184" s="6">
        <v>880</v>
      </c>
      <c r="H19184" s="5">
        <v>8572</v>
      </c>
    </row>
    <row r="19185" spans="2:8" ht="15" customHeight="1" x14ac:dyDescent="0.4">
      <c r="B19185" s="3" t="s">
        <v>16</v>
      </c>
      <c r="C19185" s="3" t="s">
        <v>3086</v>
      </c>
      <c r="D19185" s="4">
        <f>DATE(2003,6,4)</f>
        <v>37776</v>
      </c>
      <c r="E19185" s="5">
        <f t="shared" si="313"/>
        <v>2003</v>
      </c>
      <c r="F19185" s="3" t="s">
        <v>3088</v>
      </c>
      <c r="G19185" s="6">
        <v>220</v>
      </c>
      <c r="H19185" s="5">
        <v>607</v>
      </c>
    </row>
    <row r="19186" spans="2:8" ht="15" customHeight="1" x14ac:dyDescent="0.4">
      <c r="B19186" t="s">
        <v>7</v>
      </c>
      <c r="C19186" t="s">
        <v>3086</v>
      </c>
      <c r="D19186" s="7">
        <f>DATE(2015,4,3)</f>
        <v>42097</v>
      </c>
      <c r="E19186" s="8">
        <f t="shared" si="313"/>
        <v>2015</v>
      </c>
      <c r="F19186" t="s">
        <v>3089</v>
      </c>
      <c r="G19186" s="9">
        <v>8988</v>
      </c>
      <c r="H19186" s="8">
        <v>20213</v>
      </c>
    </row>
    <row r="19187" spans="2:8" ht="15" customHeight="1" x14ac:dyDescent="0.4">
      <c r="B19187" t="s">
        <v>7</v>
      </c>
      <c r="C19187" t="s">
        <v>3086</v>
      </c>
      <c r="D19187" s="7">
        <f>DATE(2015,5,26)</f>
        <v>42150</v>
      </c>
      <c r="E19187" s="8">
        <f t="shared" si="313"/>
        <v>2015</v>
      </c>
      <c r="F19187" t="s">
        <v>3089</v>
      </c>
      <c r="G19187" s="9">
        <v>8048</v>
      </c>
      <c r="H19187" s="8">
        <v>20448</v>
      </c>
    </row>
    <row r="19188" spans="2:8" ht="15" customHeight="1" x14ac:dyDescent="0.4">
      <c r="B19188" t="s">
        <v>7</v>
      </c>
      <c r="C19188" t="s">
        <v>3086</v>
      </c>
      <c r="D19188" s="7">
        <f>DATE(2015,5,26)</f>
        <v>42150</v>
      </c>
      <c r="E19188" s="8">
        <f t="shared" si="313"/>
        <v>2015</v>
      </c>
      <c r="F19188" t="s">
        <v>3089</v>
      </c>
      <c r="G19188" s="9">
        <v>8694</v>
      </c>
      <c r="H19188" s="8">
        <v>20449</v>
      </c>
    </row>
    <row r="19189" spans="2:8" ht="15" customHeight="1" x14ac:dyDescent="0.4">
      <c r="B19189" t="s">
        <v>7</v>
      </c>
      <c r="C19189" t="s">
        <v>3086</v>
      </c>
      <c r="D19189" s="7">
        <f>DATE(2019,5,13)</f>
        <v>43598</v>
      </c>
      <c r="E19189" s="8">
        <f t="shared" si="313"/>
        <v>2019</v>
      </c>
      <c r="F19189" t="s">
        <v>3089</v>
      </c>
      <c r="G19189" s="9">
        <v>5678</v>
      </c>
      <c r="H19189" s="8">
        <v>28572</v>
      </c>
    </row>
    <row r="19190" spans="2:8" ht="15" customHeight="1" x14ac:dyDescent="0.4">
      <c r="B19190" t="s">
        <v>7</v>
      </c>
      <c r="C19190" t="s">
        <v>3086</v>
      </c>
      <c r="D19190" s="7">
        <f>DATE(2019,5,13)</f>
        <v>43598</v>
      </c>
      <c r="E19190" s="8">
        <f t="shared" si="313"/>
        <v>2019</v>
      </c>
      <c r="F19190" t="s">
        <v>3089</v>
      </c>
      <c r="G19190" s="9">
        <v>5900</v>
      </c>
      <c r="H19190" s="8">
        <v>28573</v>
      </c>
    </row>
    <row r="19191" spans="2:8" ht="15" customHeight="1" x14ac:dyDescent="0.4">
      <c r="B19191" t="s">
        <v>7</v>
      </c>
      <c r="C19191" t="s">
        <v>3086</v>
      </c>
      <c r="D19191" s="7">
        <f>DATE(2019,5,13)</f>
        <v>43598</v>
      </c>
      <c r="E19191" s="8">
        <f t="shared" si="313"/>
        <v>2019</v>
      </c>
      <c r="F19191" t="s">
        <v>3089</v>
      </c>
      <c r="G19191" s="9">
        <v>7296</v>
      </c>
      <c r="H19191" s="8">
        <v>28574</v>
      </c>
    </row>
    <row r="19192" spans="2:8" ht="15" customHeight="1" x14ac:dyDescent="0.4">
      <c r="B19192" t="s">
        <v>7</v>
      </c>
      <c r="C19192" t="s">
        <v>3086</v>
      </c>
      <c r="D19192" s="7">
        <f>DATE(2015,5,1)</f>
        <v>42125</v>
      </c>
      <c r="E19192" s="8">
        <f t="shared" si="313"/>
        <v>2015</v>
      </c>
      <c r="F19192" t="s">
        <v>3089</v>
      </c>
      <c r="G19192" s="9">
        <v>2550</v>
      </c>
      <c r="H19192" s="8">
        <v>20424</v>
      </c>
    </row>
    <row r="19193" spans="2:8" ht="15" customHeight="1" x14ac:dyDescent="0.4">
      <c r="B19193" t="s">
        <v>7</v>
      </c>
      <c r="C19193" t="s">
        <v>3086</v>
      </c>
      <c r="D19193" s="7">
        <f>DATE(2016,4,26)</f>
        <v>42486</v>
      </c>
      <c r="E19193" s="8">
        <f t="shared" si="313"/>
        <v>2016</v>
      </c>
      <c r="F19193" t="s">
        <v>3089</v>
      </c>
      <c r="G19193" s="9">
        <v>1468</v>
      </c>
      <c r="H19193" s="8">
        <v>22645</v>
      </c>
    </row>
    <row r="19194" spans="2:8" ht="15" customHeight="1" x14ac:dyDescent="0.4">
      <c r="B19194" t="s">
        <v>7</v>
      </c>
      <c r="C19194" t="s">
        <v>3086</v>
      </c>
      <c r="D19194" s="7">
        <f>DATE(2016,11,10)</f>
        <v>42684</v>
      </c>
      <c r="E19194" s="8">
        <f t="shared" si="313"/>
        <v>2016</v>
      </c>
      <c r="F19194" t="s">
        <v>3089</v>
      </c>
      <c r="G19194" s="9">
        <v>1101</v>
      </c>
      <c r="H19194" s="8">
        <v>23773</v>
      </c>
    </row>
    <row r="19195" spans="2:8" ht="15" customHeight="1" x14ac:dyDescent="0.4">
      <c r="B19195" t="s">
        <v>7</v>
      </c>
      <c r="C19195" t="s">
        <v>3086</v>
      </c>
      <c r="D19195" s="7">
        <f>DATE(2017,7,20)</f>
        <v>42936</v>
      </c>
      <c r="E19195" s="8">
        <f t="shared" si="313"/>
        <v>2017</v>
      </c>
      <c r="F19195" t="s">
        <v>3089</v>
      </c>
      <c r="G19195" s="9">
        <v>1305</v>
      </c>
      <c r="H19195" s="8">
        <v>25231</v>
      </c>
    </row>
    <row r="19196" spans="2:8" ht="15" customHeight="1" x14ac:dyDescent="0.4">
      <c r="B19196" t="s">
        <v>7</v>
      </c>
      <c r="C19196" t="s">
        <v>3086</v>
      </c>
      <c r="D19196" s="7">
        <f>DATE(2018,5,29)</f>
        <v>43249</v>
      </c>
      <c r="E19196" s="8">
        <f t="shared" si="313"/>
        <v>2018</v>
      </c>
      <c r="F19196" t="s">
        <v>3089</v>
      </c>
      <c r="G19196" s="9">
        <v>1338</v>
      </c>
      <c r="H19196" s="8">
        <v>27118</v>
      </c>
    </row>
    <row r="19197" spans="2:8" ht="15" customHeight="1" x14ac:dyDescent="0.4">
      <c r="B19197" t="s">
        <v>7</v>
      </c>
      <c r="C19197" t="s">
        <v>3086</v>
      </c>
      <c r="D19197" s="7">
        <f>DATE(2018,7,13)</f>
        <v>43294</v>
      </c>
      <c r="E19197" s="8">
        <f t="shared" si="313"/>
        <v>2018</v>
      </c>
      <c r="F19197" t="s">
        <v>3089</v>
      </c>
      <c r="G19197" s="9">
        <v>2230</v>
      </c>
      <c r="H19197" s="8">
        <v>27288</v>
      </c>
    </row>
    <row r="19198" spans="2:8" ht="15" customHeight="1" x14ac:dyDescent="0.4">
      <c r="B19198" t="s">
        <v>7</v>
      </c>
      <c r="C19198" t="s">
        <v>3086</v>
      </c>
      <c r="D19198" s="7">
        <f>DATE(2013,10,10)</f>
        <v>41557</v>
      </c>
      <c r="E19198" s="8">
        <f t="shared" si="313"/>
        <v>2013</v>
      </c>
      <c r="F19198" t="s">
        <v>3089</v>
      </c>
      <c r="G19198" s="9">
        <v>4050.02</v>
      </c>
      <c r="H19198" s="8">
        <v>12686</v>
      </c>
    </row>
    <row r="19199" spans="2:8" ht="15" customHeight="1" x14ac:dyDescent="0.4">
      <c r="B19199" t="s">
        <v>7</v>
      </c>
      <c r="C19199" t="s">
        <v>3086</v>
      </c>
      <c r="D19199" s="7">
        <f>DATE(2009,7,27)</f>
        <v>40021</v>
      </c>
      <c r="E19199" s="8">
        <f t="shared" si="313"/>
        <v>2009</v>
      </c>
      <c r="F19199" t="s">
        <v>3089</v>
      </c>
      <c r="G19199" s="9">
        <v>7035.04</v>
      </c>
      <c r="H19199" s="8">
        <v>8831</v>
      </c>
    </row>
    <row r="19200" spans="2:8" ht="15" customHeight="1" x14ac:dyDescent="0.4">
      <c r="B19200" t="s">
        <v>7</v>
      </c>
      <c r="C19200" t="s">
        <v>3086</v>
      </c>
      <c r="D19200" s="7">
        <f>DATE(2014,3,4)</f>
        <v>41702</v>
      </c>
      <c r="E19200" s="8">
        <f t="shared" si="313"/>
        <v>2014</v>
      </c>
      <c r="F19200" t="s">
        <v>3089</v>
      </c>
      <c r="G19200" s="9">
        <v>13615</v>
      </c>
      <c r="H19200" s="8">
        <v>12947</v>
      </c>
    </row>
    <row r="19201" spans="2:8" ht="15" customHeight="1" x14ac:dyDescent="0.4">
      <c r="B19201" t="s">
        <v>7</v>
      </c>
      <c r="C19201" t="s">
        <v>3086</v>
      </c>
      <c r="D19201" s="7">
        <f>DATE(2013,6,5)</f>
        <v>41430</v>
      </c>
      <c r="E19201" s="8">
        <f t="shared" si="313"/>
        <v>2013</v>
      </c>
      <c r="F19201" t="s">
        <v>3089</v>
      </c>
      <c r="G19201" s="9">
        <v>4504.05</v>
      </c>
      <c r="H19201" s="8">
        <v>12490</v>
      </c>
    </row>
    <row r="19202" spans="2:8" ht="15" customHeight="1" x14ac:dyDescent="0.4">
      <c r="B19202" s="3" t="s">
        <v>7</v>
      </c>
      <c r="C19202" s="3" t="s">
        <v>3086</v>
      </c>
      <c r="D19202" s="4">
        <f>DATE(2008,7,16)</f>
        <v>39645</v>
      </c>
      <c r="E19202" s="5">
        <f t="shared" si="313"/>
        <v>2008</v>
      </c>
      <c r="F19202" s="3" t="s">
        <v>3089</v>
      </c>
      <c r="G19202" s="6">
        <v>134</v>
      </c>
      <c r="H19202" s="5">
        <v>10952</v>
      </c>
    </row>
    <row r="19203" spans="2:8" ht="15" customHeight="1" x14ac:dyDescent="0.4">
      <c r="B19203" s="3" t="s">
        <v>7</v>
      </c>
      <c r="C19203" s="3" t="s">
        <v>3086</v>
      </c>
      <c r="D19203" s="4">
        <f>DATE(2008,7,8)</f>
        <v>39637</v>
      </c>
      <c r="E19203" s="5">
        <f t="shared" ref="E19203:E19266" si="314">YEAR(D19203)</f>
        <v>2008</v>
      </c>
      <c r="F19203" s="3" t="s">
        <v>3089</v>
      </c>
      <c r="G19203" s="6">
        <v>4560</v>
      </c>
      <c r="H19203" s="5">
        <v>10914</v>
      </c>
    </row>
    <row r="19204" spans="2:8" ht="15" customHeight="1" x14ac:dyDescent="0.4">
      <c r="B19204" s="3" t="s">
        <v>7</v>
      </c>
      <c r="C19204" s="3" t="s">
        <v>3086</v>
      </c>
      <c r="D19204" s="4">
        <f>DATE(2008,9,24)</f>
        <v>39715</v>
      </c>
      <c r="E19204" s="5">
        <f t="shared" si="314"/>
        <v>2008</v>
      </c>
      <c r="F19204" s="3" t="s">
        <v>3089</v>
      </c>
      <c r="G19204" s="6">
        <v>1572</v>
      </c>
      <c r="H19204" s="5">
        <v>11301</v>
      </c>
    </row>
    <row r="19205" spans="2:8" ht="15" customHeight="1" x14ac:dyDescent="0.4">
      <c r="B19205" s="3" t="s">
        <v>7</v>
      </c>
      <c r="C19205" s="3" t="s">
        <v>3086</v>
      </c>
      <c r="D19205" s="4">
        <f>DATE(2010,12,3)</f>
        <v>40515</v>
      </c>
      <c r="E19205" s="5">
        <f t="shared" si="314"/>
        <v>2010</v>
      </c>
      <c r="F19205" s="3" t="s">
        <v>3089</v>
      </c>
      <c r="G19205" s="6">
        <v>1249.92</v>
      </c>
      <c r="H19205" s="5">
        <v>14786</v>
      </c>
    </row>
    <row r="19206" spans="2:8" ht="15" customHeight="1" x14ac:dyDescent="0.4">
      <c r="B19206" s="3" t="s">
        <v>7</v>
      </c>
      <c r="C19206" s="3" t="s">
        <v>3086</v>
      </c>
      <c r="D19206" s="4">
        <f>DATE(2012,2,24)</f>
        <v>40963</v>
      </c>
      <c r="E19206" s="5">
        <f t="shared" si="314"/>
        <v>2012</v>
      </c>
      <c r="F19206" s="3" t="s">
        <v>3089</v>
      </c>
      <c r="G19206" s="6">
        <v>2058</v>
      </c>
      <c r="H19206" s="5">
        <v>16536</v>
      </c>
    </row>
    <row r="19207" spans="2:8" ht="15" customHeight="1" x14ac:dyDescent="0.4">
      <c r="B19207" s="3" t="s">
        <v>7</v>
      </c>
      <c r="C19207" s="3" t="s">
        <v>3086</v>
      </c>
      <c r="D19207" s="4">
        <f>DATE(2013,4,29)</f>
        <v>41393</v>
      </c>
      <c r="E19207" s="5">
        <f t="shared" si="314"/>
        <v>2013</v>
      </c>
      <c r="F19207" s="3" t="s">
        <v>3089</v>
      </c>
      <c r="G19207" s="6">
        <v>1372</v>
      </c>
      <c r="H19207" s="5">
        <v>18492</v>
      </c>
    </row>
    <row r="19208" spans="2:8" ht="15" customHeight="1" x14ac:dyDescent="0.4">
      <c r="B19208" s="3" t="s">
        <v>7</v>
      </c>
      <c r="C19208" s="3" t="s">
        <v>3086</v>
      </c>
      <c r="D19208" s="4">
        <f>DATE(2013,5,30)</f>
        <v>41424</v>
      </c>
      <c r="E19208" s="5">
        <f t="shared" si="314"/>
        <v>2013</v>
      </c>
      <c r="F19208" s="3" t="s">
        <v>3089</v>
      </c>
      <c r="G19208" s="6">
        <v>86.24</v>
      </c>
      <c r="H19208" s="5">
        <v>18634</v>
      </c>
    </row>
    <row r="19209" spans="2:8" ht="15" customHeight="1" x14ac:dyDescent="0.4">
      <c r="B19209" s="3" t="s">
        <v>7</v>
      </c>
      <c r="C19209" s="3" t="s">
        <v>3086</v>
      </c>
      <c r="D19209" s="4">
        <f>DATE(2014,2,12)</f>
        <v>41682</v>
      </c>
      <c r="E19209" s="5">
        <f t="shared" si="314"/>
        <v>2014</v>
      </c>
      <c r="F19209" s="3" t="s">
        <v>3089</v>
      </c>
      <c r="G19209" s="6">
        <v>1275</v>
      </c>
      <c r="H19209" s="5">
        <v>19502</v>
      </c>
    </row>
    <row r="19210" spans="2:8" ht="15" customHeight="1" x14ac:dyDescent="0.4">
      <c r="B19210" s="3" t="s">
        <v>7</v>
      </c>
      <c r="C19210" s="3" t="s">
        <v>3086</v>
      </c>
      <c r="D19210" s="4">
        <f>DATE(2014,2,26)</f>
        <v>41696</v>
      </c>
      <c r="E19210" s="5">
        <f t="shared" si="314"/>
        <v>2014</v>
      </c>
      <c r="F19210" s="3" t="s">
        <v>3089</v>
      </c>
      <c r="G19210" s="6">
        <v>1275</v>
      </c>
      <c r="H19210" s="5">
        <v>19549</v>
      </c>
    </row>
    <row r="19211" spans="2:8" ht="15" customHeight="1" x14ac:dyDescent="0.4">
      <c r="B19211" s="3" t="s">
        <v>7</v>
      </c>
      <c r="C19211" s="3" t="s">
        <v>3086</v>
      </c>
      <c r="D19211" s="4">
        <f>DATE(2014,3,21)</f>
        <v>41719</v>
      </c>
      <c r="E19211" s="5">
        <f t="shared" si="314"/>
        <v>2014</v>
      </c>
      <c r="F19211" s="3" t="s">
        <v>3089</v>
      </c>
      <c r="G19211" s="6">
        <v>194.04</v>
      </c>
      <c r="H19211" s="5">
        <v>19722</v>
      </c>
    </row>
    <row r="19212" spans="2:8" ht="15" customHeight="1" x14ac:dyDescent="0.4">
      <c r="B19212" s="3" t="s">
        <v>7</v>
      </c>
      <c r="C19212" s="3" t="s">
        <v>3086</v>
      </c>
      <c r="D19212" s="4">
        <f>DATE(2014,4,30)</f>
        <v>41759</v>
      </c>
      <c r="E19212" s="5">
        <f t="shared" si="314"/>
        <v>2014</v>
      </c>
      <c r="F19212" s="3" t="s">
        <v>3089</v>
      </c>
      <c r="G19212" s="6">
        <v>2156</v>
      </c>
      <c r="H19212" s="5">
        <v>19909</v>
      </c>
    </row>
    <row r="19213" spans="2:8" ht="15" customHeight="1" x14ac:dyDescent="0.4">
      <c r="B19213" s="3" t="s">
        <v>7</v>
      </c>
      <c r="C19213" s="3" t="s">
        <v>3086</v>
      </c>
      <c r="D19213" s="4">
        <f>DATE(2014,5,21)</f>
        <v>41780</v>
      </c>
      <c r="E19213" s="5">
        <f t="shared" si="314"/>
        <v>2014</v>
      </c>
      <c r="F19213" s="3" t="s">
        <v>3089</v>
      </c>
      <c r="G19213" s="6">
        <v>1962</v>
      </c>
      <c r="H19213" s="5">
        <v>19949</v>
      </c>
    </row>
    <row r="19214" spans="2:8" ht="15" customHeight="1" x14ac:dyDescent="0.4">
      <c r="B19214" t="s">
        <v>7</v>
      </c>
      <c r="C19214" t="s">
        <v>3090</v>
      </c>
      <c r="D19214" s="7">
        <f>DATE(2004,5,8)</f>
        <v>38115</v>
      </c>
      <c r="E19214" s="8">
        <f t="shared" si="314"/>
        <v>2004</v>
      </c>
      <c r="F19214" t="s">
        <v>3091</v>
      </c>
      <c r="G19214" s="9">
        <v>4829.68</v>
      </c>
      <c r="H19214" s="8">
        <v>1753</v>
      </c>
    </row>
    <row r="19215" spans="2:8" ht="15" customHeight="1" x14ac:dyDescent="0.4">
      <c r="B19215" t="s">
        <v>7</v>
      </c>
      <c r="C19215" t="s">
        <v>3090</v>
      </c>
      <c r="D19215" s="7">
        <f>DATE(2004,6,17)</f>
        <v>38155</v>
      </c>
      <c r="E19215" s="8">
        <f t="shared" si="314"/>
        <v>2004</v>
      </c>
      <c r="F19215" t="s">
        <v>3091</v>
      </c>
      <c r="G19215" s="9">
        <v>2682.43</v>
      </c>
      <c r="H19215" s="8">
        <v>1900</v>
      </c>
    </row>
    <row r="19216" spans="2:8" ht="15" customHeight="1" x14ac:dyDescent="0.4">
      <c r="B19216" t="s">
        <v>7</v>
      </c>
      <c r="C19216" t="s">
        <v>3090</v>
      </c>
      <c r="D19216" s="7">
        <f>DATE(2005,12,13)</f>
        <v>38699</v>
      </c>
      <c r="E19216" s="8">
        <f t="shared" si="314"/>
        <v>2005</v>
      </c>
      <c r="F19216" t="s">
        <v>3091</v>
      </c>
      <c r="G19216" s="9">
        <v>3045.74</v>
      </c>
      <c r="H19216" s="8">
        <v>3845</v>
      </c>
    </row>
    <row r="19217" spans="2:8" ht="15" customHeight="1" x14ac:dyDescent="0.4">
      <c r="B19217" t="s">
        <v>7</v>
      </c>
      <c r="C19217" t="s">
        <v>3090</v>
      </c>
      <c r="D19217" s="7">
        <f>DATE(2007,12,20)</f>
        <v>39436</v>
      </c>
      <c r="E19217" s="8">
        <f t="shared" si="314"/>
        <v>2007</v>
      </c>
      <c r="F19217" t="s">
        <v>3091</v>
      </c>
      <c r="G19217" s="9">
        <v>4170.7700000000004</v>
      </c>
      <c r="H19217" s="8">
        <v>6704</v>
      </c>
    </row>
    <row r="19218" spans="2:8" ht="15" customHeight="1" x14ac:dyDescent="0.4">
      <c r="B19218" s="3" t="s">
        <v>7</v>
      </c>
      <c r="C19218" s="3" t="s">
        <v>3090</v>
      </c>
      <c r="D19218" s="4">
        <f>DATE(2014,12,12)</f>
        <v>41985</v>
      </c>
      <c r="E19218" s="5">
        <f t="shared" si="314"/>
        <v>2014</v>
      </c>
      <c r="F19218" s="3" t="s">
        <v>3091</v>
      </c>
      <c r="G19218" s="6">
        <v>107.44</v>
      </c>
      <c r="H19218" s="5">
        <v>20732</v>
      </c>
    </row>
    <row r="19219" spans="2:8" ht="15" customHeight="1" x14ac:dyDescent="0.4">
      <c r="B19219" t="s">
        <v>7</v>
      </c>
      <c r="C19219" t="s">
        <v>3092</v>
      </c>
      <c r="D19219" s="7">
        <f>DATE(2003,6,11)</f>
        <v>37783</v>
      </c>
      <c r="E19219" s="8">
        <f t="shared" si="314"/>
        <v>2003</v>
      </c>
      <c r="F19219" t="s">
        <v>3093</v>
      </c>
      <c r="G19219" s="9">
        <v>7052.72</v>
      </c>
      <c r="H19219" s="8">
        <v>648</v>
      </c>
    </row>
    <row r="19220" spans="2:8" ht="15" customHeight="1" x14ac:dyDescent="0.4">
      <c r="B19220" s="3" t="s">
        <v>7</v>
      </c>
      <c r="C19220" s="3" t="s">
        <v>3094</v>
      </c>
      <c r="D19220" s="4">
        <f>DATE(2008,8,1)</f>
        <v>39661</v>
      </c>
      <c r="E19220" s="5">
        <f t="shared" si="314"/>
        <v>2008</v>
      </c>
      <c r="F19220" s="3" t="s">
        <v>3095</v>
      </c>
      <c r="G19220" s="6">
        <v>55605.599999999999</v>
      </c>
      <c r="H19220" s="5">
        <v>2922</v>
      </c>
    </row>
    <row r="19221" spans="2:8" ht="15" customHeight="1" x14ac:dyDescent="0.4">
      <c r="B19221" s="3" t="s">
        <v>7</v>
      </c>
      <c r="C19221" s="3" t="s">
        <v>3094</v>
      </c>
      <c r="D19221" s="4">
        <f>DATE(2009,7,16)</f>
        <v>40010</v>
      </c>
      <c r="E19221" s="5">
        <f t="shared" si="314"/>
        <v>2009</v>
      </c>
      <c r="F19221" s="3" t="s">
        <v>3095</v>
      </c>
      <c r="G19221" s="6">
        <v>38575.1</v>
      </c>
      <c r="H19221" s="5">
        <v>3501</v>
      </c>
    </row>
    <row r="19222" spans="2:8" ht="15" customHeight="1" x14ac:dyDescent="0.4">
      <c r="B19222" t="s">
        <v>7</v>
      </c>
      <c r="C19222" t="s">
        <v>3096</v>
      </c>
      <c r="D19222" s="7">
        <f>DATE(2016,9,8)</f>
        <v>42621</v>
      </c>
      <c r="E19222" s="8">
        <f t="shared" si="314"/>
        <v>2016</v>
      </c>
      <c r="F19222" t="s">
        <v>3097</v>
      </c>
      <c r="G19222" s="9">
        <v>3051.66</v>
      </c>
      <c r="H19222" s="8">
        <v>23376</v>
      </c>
    </row>
    <row r="19223" spans="2:8" ht="15" customHeight="1" x14ac:dyDescent="0.4">
      <c r="B19223" t="s">
        <v>7</v>
      </c>
      <c r="C19223" t="s">
        <v>3096</v>
      </c>
      <c r="D19223" s="7">
        <f>DATE(2018,8,28)</f>
        <v>43340</v>
      </c>
      <c r="E19223" s="8">
        <f t="shared" si="314"/>
        <v>2018</v>
      </c>
      <c r="F19223" t="s">
        <v>3097</v>
      </c>
      <c r="G19223" s="9">
        <v>3152.12</v>
      </c>
      <c r="H19223" s="8">
        <v>27472</v>
      </c>
    </row>
    <row r="19224" spans="2:8" ht="15" customHeight="1" x14ac:dyDescent="0.4">
      <c r="B19224" t="s">
        <v>7</v>
      </c>
      <c r="C19224" t="s">
        <v>3096</v>
      </c>
      <c r="D19224" s="7">
        <f>DATE(2006,3,3)</f>
        <v>38779</v>
      </c>
      <c r="E19224" s="8">
        <f t="shared" si="314"/>
        <v>2006</v>
      </c>
      <c r="F19224" t="s">
        <v>3097</v>
      </c>
      <c r="G19224" s="9">
        <v>7547.1</v>
      </c>
      <c r="H19224" s="8">
        <v>4108</v>
      </c>
    </row>
    <row r="19225" spans="2:8" ht="15" customHeight="1" x14ac:dyDescent="0.4">
      <c r="B19225" t="s">
        <v>7</v>
      </c>
      <c r="C19225" t="s">
        <v>3096</v>
      </c>
      <c r="D19225" s="7">
        <f>DATE(2006,3,3)</f>
        <v>38779</v>
      </c>
      <c r="E19225" s="8">
        <f t="shared" si="314"/>
        <v>2006</v>
      </c>
      <c r="F19225" t="s">
        <v>3097</v>
      </c>
      <c r="G19225" s="9">
        <v>4636.29</v>
      </c>
      <c r="H19225" s="8">
        <v>4460</v>
      </c>
    </row>
    <row r="19226" spans="2:8" ht="15" customHeight="1" x14ac:dyDescent="0.4">
      <c r="B19226" t="s">
        <v>7</v>
      </c>
      <c r="C19226" t="s">
        <v>3096</v>
      </c>
      <c r="D19226" s="7">
        <f>DATE(2006,3,3)</f>
        <v>38779</v>
      </c>
      <c r="E19226" s="8">
        <f t="shared" si="314"/>
        <v>2006</v>
      </c>
      <c r="F19226" t="s">
        <v>3097</v>
      </c>
      <c r="G19226" s="9">
        <v>5348.66</v>
      </c>
      <c r="H19226" s="8">
        <v>4459</v>
      </c>
    </row>
    <row r="19227" spans="2:8" ht="15" customHeight="1" x14ac:dyDescent="0.4">
      <c r="B19227" t="s">
        <v>7</v>
      </c>
      <c r="C19227" t="s">
        <v>3096</v>
      </c>
      <c r="D19227" s="7">
        <f>DATE(2013,9,6)</f>
        <v>41523</v>
      </c>
      <c r="E19227" s="8">
        <f t="shared" si="314"/>
        <v>2013</v>
      </c>
      <c r="F19227" t="s">
        <v>3097</v>
      </c>
      <c r="G19227" s="9">
        <v>3145.92</v>
      </c>
      <c r="H19227" s="8">
        <v>12646</v>
      </c>
    </row>
    <row r="19228" spans="2:8" ht="15" customHeight="1" x14ac:dyDescent="0.4">
      <c r="B19228" t="s">
        <v>16</v>
      </c>
      <c r="C19228" t="s">
        <v>3096</v>
      </c>
      <c r="D19228" s="7">
        <f>DATE(2006,3,3)</f>
        <v>38779</v>
      </c>
      <c r="E19228" s="8">
        <f t="shared" si="314"/>
        <v>2006</v>
      </c>
      <c r="F19228" t="s">
        <v>3097</v>
      </c>
      <c r="G19228" s="9">
        <v>7547.1</v>
      </c>
      <c r="H19228" s="8">
        <v>4458</v>
      </c>
    </row>
    <row r="19229" spans="2:8" ht="15" customHeight="1" x14ac:dyDescent="0.4">
      <c r="B19229" t="s">
        <v>7</v>
      </c>
      <c r="C19229" t="s">
        <v>3098</v>
      </c>
      <c r="D19229" s="7">
        <f>DATE(2016,4,11)</f>
        <v>42471</v>
      </c>
      <c r="E19229" s="8">
        <f t="shared" si="314"/>
        <v>2016</v>
      </c>
      <c r="F19229" t="s">
        <v>3099</v>
      </c>
      <c r="G19229" s="9">
        <v>21484.89</v>
      </c>
      <c r="H19229" s="8">
        <v>22218</v>
      </c>
    </row>
    <row r="19230" spans="2:8" ht="15" customHeight="1" x14ac:dyDescent="0.4">
      <c r="B19230" t="s">
        <v>7</v>
      </c>
      <c r="C19230" t="s">
        <v>3098</v>
      </c>
      <c r="D19230" s="7">
        <f>DATE(2017,5,2)</f>
        <v>42857</v>
      </c>
      <c r="E19230" s="8">
        <f t="shared" si="314"/>
        <v>2017</v>
      </c>
      <c r="F19230" t="s">
        <v>3099</v>
      </c>
      <c r="G19230" s="9">
        <v>21537.35</v>
      </c>
      <c r="H19230" s="8">
        <v>24148</v>
      </c>
    </row>
    <row r="19231" spans="2:8" ht="15" customHeight="1" x14ac:dyDescent="0.4">
      <c r="B19231" t="s">
        <v>7</v>
      </c>
      <c r="C19231" t="s">
        <v>3098</v>
      </c>
      <c r="D19231" s="7">
        <f>DATE(2018,7,26)</f>
        <v>43307</v>
      </c>
      <c r="E19231" s="8">
        <f t="shared" si="314"/>
        <v>2018</v>
      </c>
      <c r="F19231" t="s">
        <v>3099</v>
      </c>
      <c r="G19231" s="9">
        <v>24079.25</v>
      </c>
      <c r="H19231" s="8">
        <v>26251</v>
      </c>
    </row>
    <row r="19232" spans="2:8" ht="15" customHeight="1" x14ac:dyDescent="0.4">
      <c r="B19232" t="s">
        <v>7</v>
      </c>
      <c r="C19232" t="s">
        <v>3098</v>
      </c>
      <c r="D19232" s="7">
        <f>DATE(2019,1,14)</f>
        <v>43479</v>
      </c>
      <c r="E19232" s="8">
        <f t="shared" si="314"/>
        <v>2019</v>
      </c>
      <c r="F19232" t="s">
        <v>3099</v>
      </c>
      <c r="G19232" s="9">
        <v>20996.5</v>
      </c>
      <c r="H19232" s="8">
        <v>27802</v>
      </c>
    </row>
    <row r="19233" spans="2:8" ht="15" customHeight="1" x14ac:dyDescent="0.4">
      <c r="B19233" t="s">
        <v>7</v>
      </c>
      <c r="C19233" t="s">
        <v>3100</v>
      </c>
      <c r="D19233" s="7">
        <f>DATE(2016,10,13)</f>
        <v>42656</v>
      </c>
      <c r="E19233" s="8">
        <f t="shared" si="314"/>
        <v>2016</v>
      </c>
      <c r="F19233" t="s">
        <v>3101</v>
      </c>
      <c r="G19233" s="9">
        <v>14032</v>
      </c>
      <c r="H19233" s="8">
        <v>23320</v>
      </c>
    </row>
    <row r="19234" spans="2:8" ht="15" customHeight="1" x14ac:dyDescent="0.4">
      <c r="B19234" t="s">
        <v>7</v>
      </c>
      <c r="C19234" t="s">
        <v>3100</v>
      </c>
      <c r="D19234" s="7">
        <f>DATE(2017,5,17)</f>
        <v>42872</v>
      </c>
      <c r="E19234" s="8">
        <f t="shared" si="314"/>
        <v>2017</v>
      </c>
      <c r="F19234" t="s">
        <v>3101</v>
      </c>
      <c r="G19234" s="9">
        <v>11900</v>
      </c>
      <c r="H19234" s="8">
        <v>24425</v>
      </c>
    </row>
    <row r="19235" spans="2:8" ht="15" customHeight="1" x14ac:dyDescent="0.4">
      <c r="B19235" t="s">
        <v>7</v>
      </c>
      <c r="C19235" t="s">
        <v>3100</v>
      </c>
      <c r="D19235" s="7">
        <f>DATE(2018,4,16)</f>
        <v>43206</v>
      </c>
      <c r="E19235" s="8">
        <f t="shared" si="314"/>
        <v>2018</v>
      </c>
      <c r="F19235" t="s">
        <v>3101</v>
      </c>
      <c r="G19235" s="9">
        <v>11935.3</v>
      </c>
      <c r="H19235" s="8">
        <v>26395</v>
      </c>
    </row>
    <row r="19236" spans="2:8" ht="15" customHeight="1" x14ac:dyDescent="0.4">
      <c r="B19236" t="s">
        <v>7</v>
      </c>
      <c r="C19236" t="s">
        <v>3100</v>
      </c>
      <c r="D19236" s="7">
        <f>DATE(2019,4,22)</f>
        <v>43577</v>
      </c>
      <c r="E19236" s="8">
        <f t="shared" si="314"/>
        <v>2019</v>
      </c>
      <c r="F19236" t="s">
        <v>3101</v>
      </c>
      <c r="G19236" s="9">
        <v>11987.84</v>
      </c>
      <c r="H19236" s="8">
        <v>28350</v>
      </c>
    </row>
    <row r="19237" spans="2:8" ht="15" customHeight="1" x14ac:dyDescent="0.4">
      <c r="B19237" t="s">
        <v>7</v>
      </c>
      <c r="C19237" t="s">
        <v>3102</v>
      </c>
      <c r="D19237" s="7">
        <f>DATE(2004,8,20)</f>
        <v>38219</v>
      </c>
      <c r="E19237" s="8">
        <f t="shared" si="314"/>
        <v>2004</v>
      </c>
      <c r="F19237" t="s">
        <v>3103</v>
      </c>
      <c r="G19237" s="9">
        <v>6060.94</v>
      </c>
      <c r="H19237" s="8">
        <v>2081</v>
      </c>
    </row>
    <row r="19238" spans="2:8" ht="15" customHeight="1" x14ac:dyDescent="0.4">
      <c r="B19238" t="s">
        <v>7</v>
      </c>
      <c r="C19238" t="s">
        <v>1935</v>
      </c>
      <c r="D19238" s="7">
        <f>DATE(2016,1,26)</f>
        <v>42395</v>
      </c>
      <c r="E19238" s="8">
        <f t="shared" si="314"/>
        <v>2016</v>
      </c>
      <c r="F19238" t="s">
        <v>3104</v>
      </c>
      <c r="G19238" s="9">
        <v>4815</v>
      </c>
      <c r="H19238" s="8">
        <v>21950</v>
      </c>
    </row>
    <row r="19239" spans="2:8" ht="15" customHeight="1" x14ac:dyDescent="0.4">
      <c r="B19239" t="s">
        <v>7</v>
      </c>
      <c r="C19239" t="s">
        <v>3105</v>
      </c>
      <c r="D19239" s="7">
        <f>DATE(2017,10,5)</f>
        <v>43013</v>
      </c>
      <c r="E19239" s="8">
        <f t="shared" si="314"/>
        <v>2017</v>
      </c>
      <c r="F19239" t="s">
        <v>3106</v>
      </c>
      <c r="G19239" s="9">
        <v>189000</v>
      </c>
      <c r="H19239" s="8">
        <v>25090</v>
      </c>
    </row>
    <row r="19240" spans="2:8" ht="15" customHeight="1" x14ac:dyDescent="0.4">
      <c r="B19240" t="s">
        <v>7</v>
      </c>
      <c r="C19240" t="s">
        <v>3105</v>
      </c>
      <c r="D19240" s="7">
        <f>DATE(2017,12,21)</f>
        <v>43090</v>
      </c>
      <c r="E19240" s="8">
        <f t="shared" si="314"/>
        <v>2017</v>
      </c>
      <c r="F19240" t="s">
        <v>3106</v>
      </c>
      <c r="G19240" s="9">
        <v>37484.370000000003</v>
      </c>
      <c r="H19240" s="8">
        <v>25077</v>
      </c>
    </row>
    <row r="19241" spans="2:8" ht="15" customHeight="1" x14ac:dyDescent="0.4">
      <c r="B19241" t="s">
        <v>7</v>
      </c>
      <c r="C19241" t="s">
        <v>3105</v>
      </c>
      <c r="D19241" s="7">
        <f>DATE(2018,3,23)</f>
        <v>43182</v>
      </c>
      <c r="E19241" s="8">
        <f t="shared" si="314"/>
        <v>2018</v>
      </c>
      <c r="F19241" t="s">
        <v>3106</v>
      </c>
      <c r="G19241" s="9">
        <v>2456.5</v>
      </c>
      <c r="H19241" s="8">
        <v>26485</v>
      </c>
    </row>
    <row r="19242" spans="2:8" ht="15" customHeight="1" x14ac:dyDescent="0.4">
      <c r="B19242" t="s">
        <v>7</v>
      </c>
      <c r="C19242" t="s">
        <v>3105</v>
      </c>
      <c r="D19242" s="7">
        <f>DATE(2018,9,12)</f>
        <v>43355</v>
      </c>
      <c r="E19242" s="8">
        <f t="shared" si="314"/>
        <v>2018</v>
      </c>
      <c r="F19242" t="s">
        <v>3106</v>
      </c>
      <c r="G19242" s="9">
        <v>101069.17</v>
      </c>
      <c r="H19242" s="8">
        <v>26178</v>
      </c>
    </row>
    <row r="19243" spans="2:8" ht="15" customHeight="1" x14ac:dyDescent="0.4">
      <c r="B19243" t="s">
        <v>7</v>
      </c>
      <c r="C19243" t="s">
        <v>3105</v>
      </c>
      <c r="D19243" s="7">
        <f>DATE(2015,5,28)</f>
        <v>42152</v>
      </c>
      <c r="E19243" s="8">
        <f t="shared" si="314"/>
        <v>2015</v>
      </c>
      <c r="F19243" t="s">
        <v>3106</v>
      </c>
      <c r="G19243" s="9">
        <v>14100</v>
      </c>
      <c r="H19243" s="8">
        <v>20571</v>
      </c>
    </row>
    <row r="19244" spans="2:8" ht="15" customHeight="1" x14ac:dyDescent="0.4">
      <c r="B19244" t="s">
        <v>7</v>
      </c>
      <c r="C19244" t="s">
        <v>3105</v>
      </c>
      <c r="D19244" s="7">
        <f>DATE(2017,10,30)</f>
        <v>43038</v>
      </c>
      <c r="E19244" s="8">
        <f t="shared" si="314"/>
        <v>2017</v>
      </c>
      <c r="F19244" t="s">
        <v>3106</v>
      </c>
      <c r="G19244" s="9">
        <v>460100</v>
      </c>
      <c r="H19244" s="8">
        <v>25091</v>
      </c>
    </row>
    <row r="19245" spans="2:8" ht="15" customHeight="1" x14ac:dyDescent="0.4">
      <c r="B19245" t="s">
        <v>7</v>
      </c>
      <c r="C19245" t="s">
        <v>3105</v>
      </c>
      <c r="D19245" s="7">
        <f>DATE(2017,12,21)</f>
        <v>43090</v>
      </c>
      <c r="E19245" s="8">
        <f t="shared" si="314"/>
        <v>2017</v>
      </c>
      <c r="F19245" t="s">
        <v>3106</v>
      </c>
      <c r="G19245" s="9">
        <v>15660</v>
      </c>
      <c r="H19245" s="8">
        <v>25076</v>
      </c>
    </row>
    <row r="19246" spans="2:8" ht="15" customHeight="1" x14ac:dyDescent="0.4">
      <c r="B19246" t="s">
        <v>7</v>
      </c>
      <c r="C19246" t="s">
        <v>3105</v>
      </c>
      <c r="D19246" s="7">
        <f>DATE(2017,12,21)</f>
        <v>43090</v>
      </c>
      <c r="E19246" s="8">
        <f t="shared" si="314"/>
        <v>2017</v>
      </c>
      <c r="F19246" t="s">
        <v>3106</v>
      </c>
      <c r="G19246" s="9">
        <v>50212.84</v>
      </c>
      <c r="H19246" s="8">
        <v>25078</v>
      </c>
    </row>
    <row r="19247" spans="2:8" ht="15" customHeight="1" x14ac:dyDescent="0.4">
      <c r="B19247" t="s">
        <v>7</v>
      </c>
      <c r="C19247" t="s">
        <v>3105</v>
      </c>
      <c r="D19247" s="7">
        <f>DATE(2018,1,23)</f>
        <v>43123</v>
      </c>
      <c r="E19247" s="8">
        <f t="shared" si="314"/>
        <v>2018</v>
      </c>
      <c r="F19247" t="s">
        <v>3106</v>
      </c>
      <c r="G19247" s="9">
        <v>4950</v>
      </c>
      <c r="H19247" s="8">
        <v>26226</v>
      </c>
    </row>
    <row r="19248" spans="2:8" ht="15" customHeight="1" x14ac:dyDescent="0.4">
      <c r="B19248" t="s">
        <v>7</v>
      </c>
      <c r="C19248" t="s">
        <v>3105</v>
      </c>
      <c r="D19248" s="7">
        <f>DATE(2018,3,8)</f>
        <v>43167</v>
      </c>
      <c r="E19248" s="8">
        <f t="shared" si="314"/>
        <v>2018</v>
      </c>
      <c r="F19248" t="s">
        <v>3106</v>
      </c>
      <c r="G19248" s="9">
        <v>1235.6500000000001</v>
      </c>
      <c r="H19248" s="8">
        <v>26432</v>
      </c>
    </row>
    <row r="19249" spans="2:8" ht="15" customHeight="1" x14ac:dyDescent="0.4">
      <c r="B19249" t="s">
        <v>7</v>
      </c>
      <c r="C19249" t="s">
        <v>3105</v>
      </c>
      <c r="D19249" s="7">
        <f>DATE(2018,2,22)</f>
        <v>43153</v>
      </c>
      <c r="E19249" s="8">
        <f t="shared" si="314"/>
        <v>2018</v>
      </c>
      <c r="F19249" t="s">
        <v>3106</v>
      </c>
      <c r="G19249" s="9">
        <v>6500</v>
      </c>
      <c r="H19249" s="8">
        <v>26507</v>
      </c>
    </row>
    <row r="19250" spans="2:8" ht="15" customHeight="1" x14ac:dyDescent="0.4">
      <c r="B19250" t="s">
        <v>7</v>
      </c>
      <c r="C19250" t="s">
        <v>3105</v>
      </c>
      <c r="D19250" s="7">
        <f>DATE(2018,3,6)</f>
        <v>43165</v>
      </c>
      <c r="E19250" s="8">
        <f t="shared" si="314"/>
        <v>2018</v>
      </c>
      <c r="F19250" t="s">
        <v>3106</v>
      </c>
      <c r="G19250" s="9">
        <v>9000</v>
      </c>
      <c r="H19250" s="8">
        <v>26100</v>
      </c>
    </row>
    <row r="19251" spans="2:8" ht="15" customHeight="1" x14ac:dyDescent="0.4">
      <c r="B19251" t="s">
        <v>7</v>
      </c>
      <c r="C19251" t="s">
        <v>3105</v>
      </c>
      <c r="D19251" s="7">
        <f>DATE(2018,9,12)</f>
        <v>43355</v>
      </c>
      <c r="E19251" s="8">
        <f t="shared" si="314"/>
        <v>2018</v>
      </c>
      <c r="F19251" t="s">
        <v>3106</v>
      </c>
      <c r="G19251" s="9">
        <v>62000</v>
      </c>
      <c r="H19251" s="8">
        <v>26161</v>
      </c>
    </row>
    <row r="19252" spans="2:8" ht="15" customHeight="1" x14ac:dyDescent="0.4">
      <c r="B19252" t="s">
        <v>7</v>
      </c>
      <c r="C19252" t="s">
        <v>3105</v>
      </c>
      <c r="D19252" s="7">
        <f>DATE(2018,5,29)</f>
        <v>43249</v>
      </c>
      <c r="E19252" s="8">
        <f t="shared" si="314"/>
        <v>2018</v>
      </c>
      <c r="F19252" t="s">
        <v>3106</v>
      </c>
      <c r="G19252" s="9">
        <v>51349.04</v>
      </c>
      <c r="H19252" s="8">
        <v>26136</v>
      </c>
    </row>
    <row r="19253" spans="2:8" ht="15" customHeight="1" x14ac:dyDescent="0.4">
      <c r="B19253" t="s">
        <v>7</v>
      </c>
      <c r="C19253" t="s">
        <v>3105</v>
      </c>
      <c r="D19253" s="7">
        <f>DATE(2018,6,18)</f>
        <v>43269</v>
      </c>
      <c r="E19253" s="8">
        <f t="shared" si="314"/>
        <v>2018</v>
      </c>
      <c r="F19253" t="s">
        <v>3106</v>
      </c>
      <c r="G19253" s="9">
        <v>51000</v>
      </c>
      <c r="H19253" s="8">
        <v>27238</v>
      </c>
    </row>
    <row r="19254" spans="2:8" ht="15" customHeight="1" x14ac:dyDescent="0.4">
      <c r="B19254" t="s">
        <v>7</v>
      </c>
      <c r="C19254" t="s">
        <v>3105</v>
      </c>
      <c r="D19254" s="7">
        <f>DATE(2018,11,2)</f>
        <v>43406</v>
      </c>
      <c r="E19254" s="8">
        <f t="shared" si="314"/>
        <v>2018</v>
      </c>
      <c r="F19254" t="s">
        <v>3106</v>
      </c>
      <c r="G19254" s="9">
        <v>6500</v>
      </c>
      <c r="H19254" s="8">
        <v>26723</v>
      </c>
    </row>
    <row r="19255" spans="2:8" ht="15" customHeight="1" x14ac:dyDescent="0.4">
      <c r="B19255" t="s">
        <v>7</v>
      </c>
      <c r="C19255" t="s">
        <v>3105</v>
      </c>
      <c r="D19255" s="7">
        <f>DATE(2018,11,26)</f>
        <v>43430</v>
      </c>
      <c r="E19255" s="8">
        <f t="shared" si="314"/>
        <v>2018</v>
      </c>
      <c r="F19255" t="s">
        <v>3106</v>
      </c>
      <c r="G19255" s="9">
        <v>559204.43000000005</v>
      </c>
      <c r="H19255" s="8">
        <v>28028</v>
      </c>
    </row>
    <row r="19256" spans="2:8" ht="15" customHeight="1" x14ac:dyDescent="0.4">
      <c r="B19256" t="s">
        <v>7</v>
      </c>
      <c r="C19256" t="s">
        <v>3105</v>
      </c>
      <c r="D19256" s="7">
        <f>DATE(2018,12,7)</f>
        <v>43441</v>
      </c>
      <c r="E19256" s="8">
        <f t="shared" si="314"/>
        <v>2018</v>
      </c>
      <c r="F19256" t="s">
        <v>3106</v>
      </c>
      <c r="G19256" s="9">
        <v>88238.96</v>
      </c>
      <c r="H19256" s="8">
        <v>28085</v>
      </c>
    </row>
    <row r="19257" spans="2:8" ht="15" customHeight="1" x14ac:dyDescent="0.4">
      <c r="B19257" t="s">
        <v>7</v>
      </c>
      <c r="C19257" t="s">
        <v>3105</v>
      </c>
      <c r="D19257" s="7">
        <f>DATE(2018,12,11)</f>
        <v>43445</v>
      </c>
      <c r="E19257" s="8">
        <f t="shared" si="314"/>
        <v>2018</v>
      </c>
      <c r="F19257" t="s">
        <v>3106</v>
      </c>
      <c r="G19257" s="9">
        <v>38793.730000000003</v>
      </c>
      <c r="H19257" s="8">
        <v>28107</v>
      </c>
    </row>
    <row r="19258" spans="2:8" ht="15" customHeight="1" x14ac:dyDescent="0.4">
      <c r="B19258" t="s">
        <v>7</v>
      </c>
      <c r="C19258" t="s">
        <v>3105</v>
      </c>
      <c r="D19258" s="7">
        <f>DATE(2018,12,14)</f>
        <v>43448</v>
      </c>
      <c r="E19258" s="8">
        <f t="shared" si="314"/>
        <v>2018</v>
      </c>
      <c r="F19258" t="s">
        <v>3106</v>
      </c>
      <c r="G19258" s="9">
        <v>109914.49</v>
      </c>
      <c r="H19258" s="8">
        <v>28122</v>
      </c>
    </row>
    <row r="19259" spans="2:8" ht="15" customHeight="1" x14ac:dyDescent="0.4">
      <c r="B19259" t="s">
        <v>7</v>
      </c>
      <c r="C19259" t="s">
        <v>3105</v>
      </c>
      <c r="D19259" s="7">
        <f>DATE(2018,12,28)</f>
        <v>43462</v>
      </c>
      <c r="E19259" s="8">
        <f t="shared" si="314"/>
        <v>2018</v>
      </c>
      <c r="F19259" t="s">
        <v>3106</v>
      </c>
      <c r="G19259" s="9">
        <v>168297.93</v>
      </c>
      <c r="H19259" s="8">
        <v>27537</v>
      </c>
    </row>
    <row r="19260" spans="2:8" ht="15" customHeight="1" x14ac:dyDescent="0.4">
      <c r="B19260" t="s">
        <v>7</v>
      </c>
      <c r="C19260" t="s">
        <v>3105</v>
      </c>
      <c r="D19260" s="7">
        <f>DATE(2019,5,2)</f>
        <v>43587</v>
      </c>
      <c r="E19260" s="8">
        <f t="shared" si="314"/>
        <v>2019</v>
      </c>
      <c r="F19260" t="s">
        <v>3106</v>
      </c>
      <c r="G19260" s="9">
        <v>43586</v>
      </c>
      <c r="H19260" s="8">
        <v>28356</v>
      </c>
    </row>
    <row r="19261" spans="2:8" ht="15" customHeight="1" x14ac:dyDescent="0.4">
      <c r="B19261" t="s">
        <v>16</v>
      </c>
      <c r="C19261" t="s">
        <v>3105</v>
      </c>
      <c r="D19261" s="7">
        <f>DATE(2017,10,16)</f>
        <v>43024</v>
      </c>
      <c r="E19261" s="8">
        <f t="shared" si="314"/>
        <v>2017</v>
      </c>
      <c r="F19261" t="s">
        <v>3106</v>
      </c>
      <c r="G19261" s="9">
        <v>1500</v>
      </c>
      <c r="H19261" s="8">
        <v>25741</v>
      </c>
    </row>
    <row r="19262" spans="2:8" ht="15" customHeight="1" x14ac:dyDescent="0.4">
      <c r="B19262" t="s">
        <v>16</v>
      </c>
      <c r="C19262" t="s">
        <v>3105</v>
      </c>
      <c r="D19262" s="7">
        <f>DATE(2018,4,13)</f>
        <v>43203</v>
      </c>
      <c r="E19262" s="8">
        <f t="shared" si="314"/>
        <v>2018</v>
      </c>
      <c r="F19262" t="s">
        <v>3106</v>
      </c>
      <c r="G19262" s="9">
        <v>956.5</v>
      </c>
      <c r="H19262" s="8">
        <v>26877</v>
      </c>
    </row>
    <row r="19263" spans="2:8" ht="15" customHeight="1" x14ac:dyDescent="0.4">
      <c r="B19263" t="s">
        <v>16</v>
      </c>
      <c r="C19263" t="s">
        <v>3105</v>
      </c>
      <c r="D19263" s="7">
        <f>DATE(2018,6,18)</f>
        <v>43269</v>
      </c>
      <c r="E19263" s="8">
        <f t="shared" si="314"/>
        <v>2018</v>
      </c>
      <c r="F19263" t="s">
        <v>3106</v>
      </c>
      <c r="G19263" s="9">
        <v>51349.04</v>
      </c>
      <c r="H19263" s="8">
        <v>27237</v>
      </c>
    </row>
    <row r="19264" spans="2:8" ht="15" customHeight="1" x14ac:dyDescent="0.4">
      <c r="B19264" t="s">
        <v>7</v>
      </c>
      <c r="C19264" t="s">
        <v>3105</v>
      </c>
      <c r="D19264" s="7">
        <f>DATE(2010,4,15)</f>
        <v>40283</v>
      </c>
      <c r="E19264" s="8">
        <f t="shared" si="314"/>
        <v>2010</v>
      </c>
      <c r="F19264" t="s">
        <v>3106</v>
      </c>
      <c r="G19264" s="9">
        <v>5900</v>
      </c>
      <c r="H19264" s="8">
        <v>9725</v>
      </c>
    </row>
    <row r="19265" spans="2:8" ht="15" customHeight="1" x14ac:dyDescent="0.4">
      <c r="B19265" t="s">
        <v>7</v>
      </c>
      <c r="C19265" t="s">
        <v>3105</v>
      </c>
      <c r="D19265" s="7">
        <f>DATE(2011,4,13)</f>
        <v>40646</v>
      </c>
      <c r="E19265" s="8">
        <f t="shared" si="314"/>
        <v>2011</v>
      </c>
      <c r="F19265" t="s">
        <v>3106</v>
      </c>
      <c r="G19265" s="9">
        <v>7790.42</v>
      </c>
      <c r="H19265" s="8">
        <v>10652</v>
      </c>
    </row>
    <row r="19266" spans="2:8" ht="15" customHeight="1" x14ac:dyDescent="0.4">
      <c r="B19266" t="s">
        <v>7</v>
      </c>
      <c r="C19266" t="s">
        <v>3105</v>
      </c>
      <c r="D19266" s="7">
        <f>DATE(2011,6,21)</f>
        <v>40715</v>
      </c>
      <c r="E19266" s="8">
        <f t="shared" si="314"/>
        <v>2011</v>
      </c>
      <c r="F19266" t="s">
        <v>3106</v>
      </c>
      <c r="G19266" s="9">
        <v>14300</v>
      </c>
      <c r="H19266" s="8">
        <v>10787</v>
      </c>
    </row>
    <row r="19267" spans="2:8" ht="15" customHeight="1" x14ac:dyDescent="0.4">
      <c r="B19267" t="s">
        <v>7</v>
      </c>
      <c r="C19267" t="s">
        <v>3105</v>
      </c>
      <c r="D19267" s="7">
        <f>DATE(2011,6,30)</f>
        <v>40724</v>
      </c>
      <c r="E19267" s="8">
        <f t="shared" ref="E19267:E19330" si="315">YEAR(D19267)</f>
        <v>2011</v>
      </c>
      <c r="F19267" t="s">
        <v>3106</v>
      </c>
      <c r="G19267" s="9">
        <v>7920.42</v>
      </c>
      <c r="H19267" s="8">
        <v>10853</v>
      </c>
    </row>
    <row r="19268" spans="2:8" ht="15" customHeight="1" x14ac:dyDescent="0.4">
      <c r="B19268" t="s">
        <v>7</v>
      </c>
      <c r="C19268" t="s">
        <v>3105</v>
      </c>
      <c r="D19268" s="7">
        <f>DATE(2012,8,21)</f>
        <v>41142</v>
      </c>
      <c r="E19268" s="8">
        <f t="shared" si="315"/>
        <v>2012</v>
      </c>
      <c r="F19268" t="s">
        <v>3106</v>
      </c>
      <c r="G19268" s="9">
        <v>50830.93</v>
      </c>
      <c r="H19268" s="8">
        <v>11721</v>
      </c>
    </row>
    <row r="19269" spans="2:8" ht="15" customHeight="1" x14ac:dyDescent="0.4">
      <c r="B19269" t="s">
        <v>7</v>
      </c>
      <c r="C19269" t="s">
        <v>3105</v>
      </c>
      <c r="D19269" s="7">
        <f>DATE(2012,9,6)</f>
        <v>41158</v>
      </c>
      <c r="E19269" s="8">
        <f t="shared" si="315"/>
        <v>2012</v>
      </c>
      <c r="F19269" t="s">
        <v>3106</v>
      </c>
      <c r="G19269" s="9">
        <v>68065.2</v>
      </c>
      <c r="H19269" s="8">
        <v>11784</v>
      </c>
    </row>
    <row r="19270" spans="2:8" ht="15" customHeight="1" x14ac:dyDescent="0.4">
      <c r="B19270" t="s">
        <v>7</v>
      </c>
      <c r="C19270" t="s">
        <v>3105</v>
      </c>
      <c r="D19270" s="7">
        <f>DATE(2013,5,29)</f>
        <v>41423</v>
      </c>
      <c r="E19270" s="8">
        <f t="shared" si="315"/>
        <v>2013</v>
      </c>
      <c r="F19270" t="s">
        <v>3106</v>
      </c>
      <c r="G19270" s="9">
        <v>361200</v>
      </c>
      <c r="H19270" s="8">
        <v>12365</v>
      </c>
    </row>
    <row r="19271" spans="2:8" ht="15" customHeight="1" x14ac:dyDescent="0.4">
      <c r="B19271" t="s">
        <v>7</v>
      </c>
      <c r="C19271" t="s">
        <v>3105</v>
      </c>
      <c r="D19271" s="7">
        <f>DATE(2013,9,9)</f>
        <v>41526</v>
      </c>
      <c r="E19271" s="8">
        <f t="shared" si="315"/>
        <v>2013</v>
      </c>
      <c r="F19271" t="s">
        <v>3106</v>
      </c>
      <c r="G19271" s="9">
        <v>6730</v>
      </c>
      <c r="H19271" s="8">
        <v>12644</v>
      </c>
    </row>
    <row r="19272" spans="2:8" ht="15" customHeight="1" x14ac:dyDescent="0.4">
      <c r="B19272" t="s">
        <v>7</v>
      </c>
      <c r="C19272" t="s">
        <v>3105</v>
      </c>
      <c r="D19272" s="7">
        <f>DATE(2014,3,4)</f>
        <v>41702</v>
      </c>
      <c r="E19272" s="8">
        <f t="shared" si="315"/>
        <v>2014</v>
      </c>
      <c r="F19272" t="s">
        <v>3106</v>
      </c>
      <c r="G19272" s="9">
        <v>7317</v>
      </c>
      <c r="H19272" s="8">
        <v>12847</v>
      </c>
    </row>
    <row r="19273" spans="2:8" ht="15" customHeight="1" x14ac:dyDescent="0.4">
      <c r="B19273" t="s">
        <v>7</v>
      </c>
      <c r="C19273" t="s">
        <v>3105</v>
      </c>
      <c r="D19273" s="7">
        <f>DATE(2014,6,23)</f>
        <v>41813</v>
      </c>
      <c r="E19273" s="8">
        <f t="shared" si="315"/>
        <v>2014</v>
      </c>
      <c r="F19273" t="s">
        <v>3106</v>
      </c>
      <c r="G19273" s="9">
        <v>6000</v>
      </c>
      <c r="H19273" s="8">
        <v>13257</v>
      </c>
    </row>
    <row r="19274" spans="2:8" ht="15" customHeight="1" x14ac:dyDescent="0.4">
      <c r="B19274" t="s">
        <v>7</v>
      </c>
      <c r="C19274" t="s">
        <v>3105</v>
      </c>
      <c r="D19274" s="7">
        <f>DATE(2014,7,28)</f>
        <v>41848</v>
      </c>
      <c r="E19274" s="8">
        <f t="shared" si="315"/>
        <v>2014</v>
      </c>
      <c r="F19274" t="s">
        <v>3106</v>
      </c>
      <c r="G19274" s="9">
        <v>11119</v>
      </c>
      <c r="H19274" s="8">
        <v>13342</v>
      </c>
    </row>
    <row r="19275" spans="2:8" ht="15" customHeight="1" x14ac:dyDescent="0.4">
      <c r="B19275" t="s">
        <v>7</v>
      </c>
      <c r="C19275" t="s">
        <v>3105</v>
      </c>
      <c r="D19275" s="7">
        <f>DATE(2014,9,30)</f>
        <v>41912</v>
      </c>
      <c r="E19275" s="8">
        <f t="shared" si="315"/>
        <v>2014</v>
      </c>
      <c r="F19275" t="s">
        <v>3106</v>
      </c>
      <c r="G19275" s="9">
        <v>48995</v>
      </c>
      <c r="H19275" s="8">
        <v>13395</v>
      </c>
    </row>
    <row r="19276" spans="2:8" ht="15" customHeight="1" x14ac:dyDescent="0.4">
      <c r="B19276" t="s">
        <v>7</v>
      </c>
      <c r="C19276" t="s">
        <v>3105</v>
      </c>
      <c r="D19276" s="7">
        <f>DATE(2014,12,19)</f>
        <v>41992</v>
      </c>
      <c r="E19276" s="8">
        <f t="shared" si="315"/>
        <v>2014</v>
      </c>
      <c r="F19276" t="s">
        <v>3106</v>
      </c>
      <c r="G19276" s="9">
        <v>5651</v>
      </c>
      <c r="H19276" s="8">
        <v>13579</v>
      </c>
    </row>
    <row r="19277" spans="2:8" ht="15" customHeight="1" x14ac:dyDescent="0.4">
      <c r="B19277" t="s">
        <v>7</v>
      </c>
      <c r="C19277" t="s">
        <v>3105</v>
      </c>
      <c r="D19277" s="7">
        <f>DATE(2004,8,7)</f>
        <v>38206</v>
      </c>
      <c r="E19277" s="8">
        <f t="shared" si="315"/>
        <v>2004</v>
      </c>
      <c r="F19277" t="s">
        <v>3106</v>
      </c>
      <c r="G19277" s="9">
        <v>18400</v>
      </c>
      <c r="H19277" s="8">
        <v>1732</v>
      </c>
    </row>
    <row r="19278" spans="2:8" ht="15" customHeight="1" x14ac:dyDescent="0.4">
      <c r="B19278" t="s">
        <v>7</v>
      </c>
      <c r="C19278" t="s">
        <v>3105</v>
      </c>
      <c r="D19278" s="7">
        <f>DATE(2004,8,13)</f>
        <v>38212</v>
      </c>
      <c r="E19278" s="8">
        <f t="shared" si="315"/>
        <v>2004</v>
      </c>
      <c r="F19278" t="s">
        <v>3106</v>
      </c>
      <c r="G19278" s="9">
        <v>45500</v>
      </c>
      <c r="H19278" s="8">
        <v>1733</v>
      </c>
    </row>
    <row r="19279" spans="2:8" ht="15" customHeight="1" x14ac:dyDescent="0.4">
      <c r="B19279" t="s">
        <v>7</v>
      </c>
      <c r="C19279" t="s">
        <v>3105</v>
      </c>
      <c r="D19279" s="7">
        <f>DATE(2004,8,26)</f>
        <v>38225</v>
      </c>
      <c r="E19279" s="8">
        <f t="shared" si="315"/>
        <v>2004</v>
      </c>
      <c r="F19279" t="s">
        <v>3106</v>
      </c>
      <c r="G19279" s="9">
        <v>21819.38</v>
      </c>
      <c r="H19279" s="8">
        <v>2181</v>
      </c>
    </row>
    <row r="19280" spans="2:8" ht="15" customHeight="1" x14ac:dyDescent="0.4">
      <c r="B19280" t="s">
        <v>7</v>
      </c>
      <c r="C19280" t="s">
        <v>3105</v>
      </c>
      <c r="D19280" s="7">
        <f>DATE(2004,11,24)</f>
        <v>38315</v>
      </c>
      <c r="E19280" s="8">
        <f t="shared" si="315"/>
        <v>2004</v>
      </c>
      <c r="F19280" t="s">
        <v>3106</v>
      </c>
      <c r="G19280" s="9">
        <v>200000</v>
      </c>
      <c r="H19280" s="8">
        <v>2058</v>
      </c>
    </row>
    <row r="19281" spans="2:8" ht="15" customHeight="1" x14ac:dyDescent="0.4">
      <c r="B19281" t="s">
        <v>7</v>
      </c>
      <c r="C19281" t="s">
        <v>3105</v>
      </c>
      <c r="D19281" s="7">
        <f>DATE(2004,11,11)</f>
        <v>38302</v>
      </c>
      <c r="E19281" s="8">
        <f t="shared" si="315"/>
        <v>2004</v>
      </c>
      <c r="F19281" t="s">
        <v>3106</v>
      </c>
      <c r="G19281" s="9">
        <v>46400</v>
      </c>
      <c r="H19281" s="8">
        <v>2055</v>
      </c>
    </row>
    <row r="19282" spans="2:8" ht="15" customHeight="1" x14ac:dyDescent="0.4">
      <c r="B19282" t="s">
        <v>7</v>
      </c>
      <c r="C19282" t="s">
        <v>3105</v>
      </c>
      <c r="D19282" s="7">
        <f>DATE(2004,11,24)</f>
        <v>38315</v>
      </c>
      <c r="E19282" s="8">
        <f t="shared" si="315"/>
        <v>2004</v>
      </c>
      <c r="F19282" t="s">
        <v>3106</v>
      </c>
      <c r="G19282" s="9">
        <v>2610</v>
      </c>
      <c r="H19282" s="8">
        <v>2085</v>
      </c>
    </row>
    <row r="19283" spans="2:8" ht="15" customHeight="1" x14ac:dyDescent="0.4">
      <c r="B19283" t="s">
        <v>7</v>
      </c>
      <c r="C19283" t="s">
        <v>3105</v>
      </c>
      <c r="D19283" s="7">
        <f>DATE(2004,12,2)</f>
        <v>38323</v>
      </c>
      <c r="E19283" s="8">
        <f t="shared" si="315"/>
        <v>2004</v>
      </c>
      <c r="F19283" t="s">
        <v>3106</v>
      </c>
      <c r="G19283" s="9">
        <v>19054.97</v>
      </c>
      <c r="H19283" s="8">
        <v>2266</v>
      </c>
    </row>
    <row r="19284" spans="2:8" ht="15" customHeight="1" x14ac:dyDescent="0.4">
      <c r="B19284" t="s">
        <v>7</v>
      </c>
      <c r="C19284" t="s">
        <v>3105</v>
      </c>
      <c r="D19284" s="7">
        <f>DATE(2004,11,11)</f>
        <v>38302</v>
      </c>
      <c r="E19284" s="8">
        <f t="shared" si="315"/>
        <v>2004</v>
      </c>
      <c r="F19284" t="s">
        <v>3106</v>
      </c>
      <c r="G19284" s="9">
        <v>37148.21</v>
      </c>
      <c r="H19284" s="8">
        <v>2835</v>
      </c>
    </row>
    <row r="19285" spans="2:8" ht="15" customHeight="1" x14ac:dyDescent="0.4">
      <c r="B19285" t="s">
        <v>7</v>
      </c>
      <c r="C19285" t="s">
        <v>3105</v>
      </c>
      <c r="D19285" s="7">
        <f>DATE(2005,2,26)</f>
        <v>38409</v>
      </c>
      <c r="E19285" s="8">
        <f t="shared" si="315"/>
        <v>2005</v>
      </c>
      <c r="F19285" t="s">
        <v>3106</v>
      </c>
      <c r="G19285" s="9">
        <v>108590</v>
      </c>
      <c r="H19285" s="8">
        <v>2750</v>
      </c>
    </row>
    <row r="19286" spans="2:8" ht="15" customHeight="1" x14ac:dyDescent="0.4">
      <c r="B19286" t="s">
        <v>7</v>
      </c>
      <c r="C19286" t="s">
        <v>3105</v>
      </c>
      <c r="D19286" s="7">
        <f>DATE(2005,5,14)</f>
        <v>38486</v>
      </c>
      <c r="E19286" s="8">
        <f t="shared" si="315"/>
        <v>2005</v>
      </c>
      <c r="F19286" t="s">
        <v>3106</v>
      </c>
      <c r="G19286" s="9">
        <v>7000</v>
      </c>
      <c r="H19286" s="8">
        <v>3037</v>
      </c>
    </row>
    <row r="19287" spans="2:8" ht="15" customHeight="1" x14ac:dyDescent="0.4">
      <c r="B19287" t="s">
        <v>7</v>
      </c>
      <c r="C19287" t="s">
        <v>3105</v>
      </c>
      <c r="D19287" s="7">
        <f>DATE(2005,12,20)</f>
        <v>38706</v>
      </c>
      <c r="E19287" s="8">
        <f t="shared" si="315"/>
        <v>2005</v>
      </c>
      <c r="F19287" t="s">
        <v>3106</v>
      </c>
      <c r="G19287" s="9">
        <v>122524</v>
      </c>
      <c r="H19287" s="8">
        <v>3320</v>
      </c>
    </row>
    <row r="19288" spans="2:8" ht="15" customHeight="1" x14ac:dyDescent="0.4">
      <c r="B19288" t="s">
        <v>7</v>
      </c>
      <c r="C19288" t="s">
        <v>3105</v>
      </c>
      <c r="D19288" s="7">
        <f>DATE(2006,5,23)</f>
        <v>38860</v>
      </c>
      <c r="E19288" s="8">
        <f t="shared" si="315"/>
        <v>2006</v>
      </c>
      <c r="F19288" t="s">
        <v>3106</v>
      </c>
      <c r="G19288" s="9">
        <v>5000</v>
      </c>
      <c r="H19288" s="8">
        <v>4251</v>
      </c>
    </row>
    <row r="19289" spans="2:8" ht="15" customHeight="1" x14ac:dyDescent="0.4">
      <c r="B19289" t="s">
        <v>7</v>
      </c>
      <c r="C19289" t="s">
        <v>3105</v>
      </c>
      <c r="D19289" s="7">
        <f>DATE(2006,12,28)</f>
        <v>39079</v>
      </c>
      <c r="E19289" s="8">
        <f t="shared" si="315"/>
        <v>2006</v>
      </c>
      <c r="F19289" t="s">
        <v>3106</v>
      </c>
      <c r="G19289" s="9">
        <v>377654.5</v>
      </c>
      <c r="H19289" s="8">
        <v>5055</v>
      </c>
    </row>
    <row r="19290" spans="2:8" ht="15" customHeight="1" x14ac:dyDescent="0.4">
      <c r="B19290" t="s">
        <v>7</v>
      </c>
      <c r="C19290" t="s">
        <v>3105</v>
      </c>
      <c r="D19290" s="7">
        <f>DATE(2008,7,1)</f>
        <v>39630</v>
      </c>
      <c r="E19290" s="8">
        <f t="shared" si="315"/>
        <v>2008</v>
      </c>
      <c r="F19290" t="s">
        <v>3106</v>
      </c>
      <c r="G19290" s="9">
        <v>37102.449999999997</v>
      </c>
      <c r="H19290" s="8">
        <v>6777</v>
      </c>
    </row>
    <row r="19291" spans="2:8" ht="15" customHeight="1" x14ac:dyDescent="0.4">
      <c r="B19291" t="s">
        <v>7</v>
      </c>
      <c r="C19291" t="s">
        <v>3105</v>
      </c>
      <c r="D19291" s="7">
        <f>DATE(2008,7,13)</f>
        <v>39642</v>
      </c>
      <c r="E19291" s="8">
        <f t="shared" si="315"/>
        <v>2008</v>
      </c>
      <c r="F19291" t="s">
        <v>3106</v>
      </c>
      <c r="G19291" s="9">
        <v>123120</v>
      </c>
      <c r="H19291" s="8">
        <v>6778</v>
      </c>
    </row>
    <row r="19292" spans="2:8" ht="15" customHeight="1" x14ac:dyDescent="0.4">
      <c r="B19292" t="s">
        <v>7</v>
      </c>
      <c r="C19292" t="s">
        <v>3105</v>
      </c>
      <c r="D19292" s="7">
        <f>DATE(2008,8,6)</f>
        <v>39666</v>
      </c>
      <c r="E19292" s="8">
        <f t="shared" si="315"/>
        <v>2008</v>
      </c>
      <c r="F19292" t="s">
        <v>3106</v>
      </c>
      <c r="G19292" s="9">
        <v>51366.25</v>
      </c>
      <c r="H19292" s="8">
        <v>7649</v>
      </c>
    </row>
    <row r="19293" spans="2:8" ht="15" customHeight="1" x14ac:dyDescent="0.4">
      <c r="B19293" t="s">
        <v>7</v>
      </c>
      <c r="C19293" t="s">
        <v>3105</v>
      </c>
      <c r="D19293" s="7">
        <f>DATE(2008,8,27)</f>
        <v>39687</v>
      </c>
      <c r="E19293" s="8">
        <f t="shared" si="315"/>
        <v>2008</v>
      </c>
      <c r="F19293" t="s">
        <v>3106</v>
      </c>
      <c r="G19293" s="9">
        <v>166437</v>
      </c>
      <c r="H19293" s="8">
        <v>7650</v>
      </c>
    </row>
    <row r="19294" spans="2:8" ht="15" customHeight="1" x14ac:dyDescent="0.4">
      <c r="B19294" t="s">
        <v>7</v>
      </c>
      <c r="C19294" t="s">
        <v>3105</v>
      </c>
      <c r="D19294" s="7">
        <f>DATE(2008,10,1)</f>
        <v>39722</v>
      </c>
      <c r="E19294" s="8">
        <f t="shared" si="315"/>
        <v>2008</v>
      </c>
      <c r="F19294" t="s">
        <v>3106</v>
      </c>
      <c r="G19294" s="9">
        <v>6221.8</v>
      </c>
      <c r="H19294" s="8">
        <v>7976</v>
      </c>
    </row>
    <row r="19295" spans="2:8" ht="15" customHeight="1" x14ac:dyDescent="0.4">
      <c r="B19295" t="s">
        <v>7</v>
      </c>
      <c r="C19295" t="s">
        <v>3105</v>
      </c>
      <c r="D19295" s="7">
        <f>DATE(2008,10,9)</f>
        <v>39730</v>
      </c>
      <c r="E19295" s="8">
        <f t="shared" si="315"/>
        <v>2008</v>
      </c>
      <c r="F19295" t="s">
        <v>3106</v>
      </c>
      <c r="G19295" s="9">
        <v>9148.7999999999993</v>
      </c>
      <c r="H19295" s="8">
        <v>7912</v>
      </c>
    </row>
    <row r="19296" spans="2:8" ht="15" customHeight="1" x14ac:dyDescent="0.4">
      <c r="B19296" t="s">
        <v>7</v>
      </c>
      <c r="C19296" t="s">
        <v>3105</v>
      </c>
      <c r="D19296" s="7">
        <f>DATE(2008,11,19)</f>
        <v>39771</v>
      </c>
      <c r="E19296" s="8">
        <f t="shared" si="315"/>
        <v>2008</v>
      </c>
      <c r="F19296" t="s">
        <v>3106</v>
      </c>
      <c r="G19296" s="9">
        <v>18600</v>
      </c>
      <c r="H19296" s="8">
        <v>8036</v>
      </c>
    </row>
    <row r="19297" spans="2:8" ht="15" customHeight="1" x14ac:dyDescent="0.4">
      <c r="B19297" t="s">
        <v>7</v>
      </c>
      <c r="C19297" t="s">
        <v>3105</v>
      </c>
      <c r="D19297" s="7">
        <f>DATE(2009,8,4)</f>
        <v>40029</v>
      </c>
      <c r="E19297" s="8">
        <f t="shared" si="315"/>
        <v>2009</v>
      </c>
      <c r="F19297" t="s">
        <v>3106</v>
      </c>
      <c r="G19297" s="9">
        <v>392480</v>
      </c>
      <c r="H19297" s="8">
        <v>8823</v>
      </c>
    </row>
    <row r="19298" spans="2:8" ht="15" customHeight="1" x14ac:dyDescent="0.4">
      <c r="B19298" t="s">
        <v>7</v>
      </c>
      <c r="C19298" t="s">
        <v>3105</v>
      </c>
      <c r="D19298" s="7">
        <f>DATE(2009,8,4)</f>
        <v>40029</v>
      </c>
      <c r="E19298" s="8">
        <f t="shared" si="315"/>
        <v>2009</v>
      </c>
      <c r="F19298" t="s">
        <v>3106</v>
      </c>
      <c r="G19298" s="9">
        <v>119493</v>
      </c>
      <c r="H19298" s="8">
        <v>8822</v>
      </c>
    </row>
    <row r="19299" spans="2:8" ht="15" customHeight="1" x14ac:dyDescent="0.4">
      <c r="B19299" t="s">
        <v>7</v>
      </c>
      <c r="C19299" t="s">
        <v>3105</v>
      </c>
      <c r="D19299" s="7">
        <f>DATE(2009,8,10)</f>
        <v>40035</v>
      </c>
      <c r="E19299" s="8">
        <f t="shared" si="315"/>
        <v>2009</v>
      </c>
      <c r="F19299" t="s">
        <v>3106</v>
      </c>
      <c r="G19299" s="9">
        <v>5200</v>
      </c>
      <c r="H19299" s="8">
        <v>8757</v>
      </c>
    </row>
    <row r="19300" spans="2:8" ht="15" customHeight="1" x14ac:dyDescent="0.4">
      <c r="B19300" t="s">
        <v>7</v>
      </c>
      <c r="C19300" t="s">
        <v>3105</v>
      </c>
      <c r="D19300" s="7">
        <f>DATE(2009,10,2)</f>
        <v>40088</v>
      </c>
      <c r="E19300" s="8">
        <f t="shared" si="315"/>
        <v>2009</v>
      </c>
      <c r="F19300" t="s">
        <v>3106</v>
      </c>
      <c r="G19300" s="9">
        <v>8227</v>
      </c>
      <c r="H19300" s="8">
        <v>8913</v>
      </c>
    </row>
    <row r="19301" spans="2:8" ht="15" customHeight="1" x14ac:dyDescent="0.4">
      <c r="B19301" t="s">
        <v>7</v>
      </c>
      <c r="C19301" t="s">
        <v>3105</v>
      </c>
      <c r="D19301" s="7">
        <f>DATE(2009,10,2)</f>
        <v>40088</v>
      </c>
      <c r="E19301" s="8">
        <f t="shared" si="315"/>
        <v>2009</v>
      </c>
      <c r="F19301" t="s">
        <v>3106</v>
      </c>
      <c r="G19301" s="9">
        <v>30927.4</v>
      </c>
      <c r="H19301" s="8">
        <v>8914</v>
      </c>
    </row>
    <row r="19302" spans="2:8" ht="15" customHeight="1" x14ac:dyDescent="0.4">
      <c r="B19302" t="s">
        <v>7</v>
      </c>
      <c r="C19302" t="s">
        <v>3105</v>
      </c>
      <c r="D19302" s="7">
        <f>DATE(2009,10,7)</f>
        <v>40093</v>
      </c>
      <c r="E19302" s="8">
        <f t="shared" si="315"/>
        <v>2009</v>
      </c>
      <c r="F19302" t="s">
        <v>3106</v>
      </c>
      <c r="G19302" s="9">
        <v>105120</v>
      </c>
      <c r="H19302" s="8">
        <v>8824</v>
      </c>
    </row>
    <row r="19303" spans="2:8" ht="15" customHeight="1" x14ac:dyDescent="0.4">
      <c r="B19303" t="s">
        <v>7</v>
      </c>
      <c r="C19303" t="s">
        <v>3105</v>
      </c>
      <c r="D19303" s="7">
        <f>DATE(2009,10,7)</f>
        <v>40093</v>
      </c>
      <c r="E19303" s="8">
        <f t="shared" si="315"/>
        <v>2009</v>
      </c>
      <c r="F19303" t="s">
        <v>3106</v>
      </c>
      <c r="G19303" s="9">
        <v>320600</v>
      </c>
      <c r="H19303" s="8">
        <v>9017</v>
      </c>
    </row>
    <row r="19304" spans="2:8" ht="15" customHeight="1" x14ac:dyDescent="0.4">
      <c r="B19304" t="s">
        <v>7</v>
      </c>
      <c r="C19304" t="s">
        <v>3105</v>
      </c>
      <c r="D19304" s="7">
        <f>DATE(2011,6,21)</f>
        <v>40715</v>
      </c>
      <c r="E19304" s="8">
        <f t="shared" si="315"/>
        <v>2011</v>
      </c>
      <c r="F19304" t="s">
        <v>3106</v>
      </c>
      <c r="G19304" s="9">
        <v>14975</v>
      </c>
      <c r="H19304" s="8">
        <v>10785</v>
      </c>
    </row>
    <row r="19305" spans="2:8" ht="15" customHeight="1" x14ac:dyDescent="0.4">
      <c r="B19305" t="s">
        <v>7</v>
      </c>
      <c r="C19305" t="s">
        <v>3105</v>
      </c>
      <c r="D19305" s="7">
        <f>DATE(2011,10,13)</f>
        <v>40829</v>
      </c>
      <c r="E19305" s="8">
        <f t="shared" si="315"/>
        <v>2011</v>
      </c>
      <c r="F19305" t="s">
        <v>3106</v>
      </c>
      <c r="G19305" s="9">
        <v>99387.5</v>
      </c>
      <c r="H19305" s="8">
        <v>10854</v>
      </c>
    </row>
    <row r="19306" spans="2:8" ht="15" customHeight="1" x14ac:dyDescent="0.4">
      <c r="B19306" t="s">
        <v>7</v>
      </c>
      <c r="C19306" t="s">
        <v>3105</v>
      </c>
      <c r="D19306" s="7">
        <f>DATE(2013,4,26)</f>
        <v>41390</v>
      </c>
      <c r="E19306" s="8">
        <f t="shared" si="315"/>
        <v>2013</v>
      </c>
      <c r="F19306" t="s">
        <v>3106</v>
      </c>
      <c r="G19306" s="9">
        <v>122640</v>
      </c>
      <c r="H19306" s="8">
        <v>12364</v>
      </c>
    </row>
    <row r="19307" spans="2:8" ht="15" customHeight="1" x14ac:dyDescent="0.4">
      <c r="B19307" t="s">
        <v>7</v>
      </c>
      <c r="C19307" t="s">
        <v>3105</v>
      </c>
      <c r="D19307" s="7">
        <f>DATE(2014,2,21)</f>
        <v>41691</v>
      </c>
      <c r="E19307" s="8">
        <f t="shared" si="315"/>
        <v>2014</v>
      </c>
      <c r="F19307" t="s">
        <v>3106</v>
      </c>
      <c r="G19307" s="9">
        <v>6300</v>
      </c>
      <c r="H19307" s="8">
        <v>12848</v>
      </c>
    </row>
    <row r="19308" spans="2:8" ht="15" customHeight="1" x14ac:dyDescent="0.4">
      <c r="B19308" t="s">
        <v>7</v>
      </c>
      <c r="C19308" t="s">
        <v>3105</v>
      </c>
      <c r="D19308" s="7">
        <f>DATE(2014,12,19)</f>
        <v>41992</v>
      </c>
      <c r="E19308" s="8">
        <f t="shared" si="315"/>
        <v>2014</v>
      </c>
      <c r="F19308" t="s">
        <v>3106</v>
      </c>
      <c r="G19308" s="9">
        <v>8485</v>
      </c>
      <c r="H19308" s="8">
        <v>13578</v>
      </c>
    </row>
    <row r="19309" spans="2:8" ht="15" customHeight="1" x14ac:dyDescent="0.4">
      <c r="B19309" t="s">
        <v>16</v>
      </c>
      <c r="C19309" t="s">
        <v>3105</v>
      </c>
      <c r="D19309" s="7">
        <f>DATE(2004,11,24)</f>
        <v>38315</v>
      </c>
      <c r="E19309" s="8">
        <f t="shared" si="315"/>
        <v>2004</v>
      </c>
      <c r="F19309" t="s">
        <v>3106</v>
      </c>
      <c r="G19309" s="9">
        <v>2610</v>
      </c>
      <c r="H19309" s="8">
        <v>2507</v>
      </c>
    </row>
    <row r="19310" spans="2:8" ht="15" customHeight="1" x14ac:dyDescent="0.4">
      <c r="B19310" t="s">
        <v>16</v>
      </c>
      <c r="C19310" t="s">
        <v>3105</v>
      </c>
      <c r="D19310" s="7">
        <f>DATE(2009,4,30)</f>
        <v>39933</v>
      </c>
      <c r="E19310" s="8">
        <f t="shared" si="315"/>
        <v>2009</v>
      </c>
      <c r="F19310" t="s">
        <v>3106</v>
      </c>
      <c r="G19310" s="9">
        <v>2963.8</v>
      </c>
      <c r="H19310" s="8">
        <v>8693</v>
      </c>
    </row>
    <row r="19311" spans="2:8" ht="15" customHeight="1" x14ac:dyDescent="0.4">
      <c r="B19311" t="s">
        <v>7</v>
      </c>
      <c r="C19311" t="s">
        <v>3107</v>
      </c>
      <c r="D19311" s="7">
        <f>DATE(2016,5,10)</f>
        <v>42500</v>
      </c>
      <c r="E19311" s="8">
        <f t="shared" si="315"/>
        <v>2016</v>
      </c>
      <c r="F19311" t="s">
        <v>3108</v>
      </c>
      <c r="G19311" s="9">
        <v>26637.200000000001</v>
      </c>
      <c r="H19311" s="8">
        <v>22712</v>
      </c>
    </row>
    <row r="19312" spans="2:8" ht="15" customHeight="1" x14ac:dyDescent="0.4">
      <c r="B19312" t="s">
        <v>7</v>
      </c>
      <c r="C19312" t="s">
        <v>3107</v>
      </c>
      <c r="D19312" s="7">
        <f>DATE(2016,5,10)</f>
        <v>42500</v>
      </c>
      <c r="E19312" s="8">
        <f t="shared" si="315"/>
        <v>2016</v>
      </c>
      <c r="F19312" t="s">
        <v>3108</v>
      </c>
      <c r="G19312" s="9">
        <v>10253.94</v>
      </c>
      <c r="H19312" s="8">
        <v>22732</v>
      </c>
    </row>
    <row r="19313" spans="2:8" ht="15" customHeight="1" x14ac:dyDescent="0.4">
      <c r="B19313" t="s">
        <v>7</v>
      </c>
      <c r="C19313" t="s">
        <v>3107</v>
      </c>
      <c r="D19313" s="7">
        <f>DATE(2015,12,23)</f>
        <v>42361</v>
      </c>
      <c r="E19313" s="8">
        <f t="shared" si="315"/>
        <v>2015</v>
      </c>
      <c r="F19313" t="s">
        <v>3108</v>
      </c>
      <c r="G19313" s="9">
        <v>277679.78999999998</v>
      </c>
      <c r="H19313" s="8">
        <v>21889</v>
      </c>
    </row>
    <row r="19314" spans="2:8" ht="15" customHeight="1" x14ac:dyDescent="0.4">
      <c r="B19314" t="s">
        <v>7</v>
      </c>
      <c r="C19314" t="s">
        <v>3107</v>
      </c>
      <c r="D19314" s="7">
        <f>DATE(2015,12,23)</f>
        <v>42361</v>
      </c>
      <c r="E19314" s="8">
        <f t="shared" si="315"/>
        <v>2015</v>
      </c>
      <c r="F19314" t="s">
        <v>3108</v>
      </c>
      <c r="G19314" s="9">
        <v>807.5</v>
      </c>
      <c r="H19314" s="8">
        <v>21891</v>
      </c>
    </row>
    <row r="19315" spans="2:8" ht="15" customHeight="1" x14ac:dyDescent="0.4">
      <c r="B19315" t="s">
        <v>7</v>
      </c>
      <c r="C19315" t="s">
        <v>3107</v>
      </c>
      <c r="D19315" s="7">
        <f>DATE(2016,2,8)</f>
        <v>42408</v>
      </c>
      <c r="E19315" s="8">
        <f t="shared" si="315"/>
        <v>2016</v>
      </c>
      <c r="F19315" t="s">
        <v>3108</v>
      </c>
      <c r="G19315" s="9">
        <v>76.5</v>
      </c>
      <c r="H19315" s="8">
        <v>22167</v>
      </c>
    </row>
    <row r="19316" spans="2:8" ht="15" customHeight="1" x14ac:dyDescent="0.4">
      <c r="B19316" t="s">
        <v>7</v>
      </c>
      <c r="C19316" t="s">
        <v>3107</v>
      </c>
      <c r="D19316" s="7">
        <f>DATE(2016,2,22)</f>
        <v>42422</v>
      </c>
      <c r="E19316" s="8">
        <f t="shared" si="315"/>
        <v>2016</v>
      </c>
      <c r="F19316" t="s">
        <v>3108</v>
      </c>
      <c r="G19316" s="9">
        <v>35</v>
      </c>
      <c r="H19316" s="8">
        <v>22254</v>
      </c>
    </row>
    <row r="19317" spans="2:8" ht="15" customHeight="1" x14ac:dyDescent="0.4">
      <c r="B19317" t="s">
        <v>7</v>
      </c>
      <c r="C19317" t="s">
        <v>3107</v>
      </c>
      <c r="D19317" s="7">
        <f>DATE(2016,4,14)</f>
        <v>42474</v>
      </c>
      <c r="E19317" s="8">
        <f t="shared" si="315"/>
        <v>2016</v>
      </c>
      <c r="F19317" t="s">
        <v>3108</v>
      </c>
      <c r="G19317" s="9">
        <v>2376</v>
      </c>
      <c r="H19317" s="8">
        <v>22665</v>
      </c>
    </row>
    <row r="19318" spans="2:8" ht="15" customHeight="1" x14ac:dyDescent="0.4">
      <c r="B19318" t="s">
        <v>7</v>
      </c>
      <c r="C19318" t="s">
        <v>3107</v>
      </c>
      <c r="D19318" s="7">
        <f>DATE(2016,4,20)</f>
        <v>42480</v>
      </c>
      <c r="E19318" s="8">
        <f t="shared" si="315"/>
        <v>2016</v>
      </c>
      <c r="F19318" t="s">
        <v>3108</v>
      </c>
      <c r="G19318" s="9">
        <v>340.2</v>
      </c>
      <c r="H19318" s="8">
        <v>22687</v>
      </c>
    </row>
    <row r="19319" spans="2:8" ht="15" customHeight="1" x14ac:dyDescent="0.4">
      <c r="B19319" t="s">
        <v>7</v>
      </c>
      <c r="C19319" t="s">
        <v>3107</v>
      </c>
      <c r="D19319" s="7">
        <f>DATE(2016,5,2)</f>
        <v>42492</v>
      </c>
      <c r="E19319" s="8">
        <f t="shared" si="315"/>
        <v>2016</v>
      </c>
      <c r="F19319" t="s">
        <v>3108</v>
      </c>
      <c r="G19319" s="9">
        <v>2800</v>
      </c>
      <c r="H19319" s="8">
        <v>22784</v>
      </c>
    </row>
    <row r="19320" spans="2:8" ht="15" customHeight="1" x14ac:dyDescent="0.4">
      <c r="B19320" t="s">
        <v>7</v>
      </c>
      <c r="C19320" t="s">
        <v>3107</v>
      </c>
      <c r="D19320" s="7">
        <f>DATE(2016,5,10)</f>
        <v>42500</v>
      </c>
      <c r="E19320" s="8">
        <f t="shared" si="315"/>
        <v>2016</v>
      </c>
      <c r="F19320" t="s">
        <v>3108</v>
      </c>
      <c r="G19320" s="9">
        <v>2100</v>
      </c>
      <c r="H19320" s="8">
        <v>22831</v>
      </c>
    </row>
    <row r="19321" spans="2:8" ht="15" customHeight="1" x14ac:dyDescent="0.4">
      <c r="B19321" t="s">
        <v>7</v>
      </c>
      <c r="C19321" t="s">
        <v>3107</v>
      </c>
      <c r="D19321" s="7">
        <f>DATE(2016,6,2)</f>
        <v>42523</v>
      </c>
      <c r="E19321" s="8">
        <f t="shared" si="315"/>
        <v>2016</v>
      </c>
      <c r="F19321" t="s">
        <v>3108</v>
      </c>
      <c r="G19321" s="9">
        <v>176</v>
      </c>
      <c r="H19321" s="8">
        <v>22958</v>
      </c>
    </row>
    <row r="19322" spans="2:8" ht="15" customHeight="1" x14ac:dyDescent="0.4">
      <c r="B19322" t="s">
        <v>7</v>
      </c>
      <c r="C19322" t="s">
        <v>3107</v>
      </c>
      <c r="D19322" s="7">
        <f>DATE(2015,12,29)</f>
        <v>42367</v>
      </c>
      <c r="E19322" s="8">
        <f t="shared" si="315"/>
        <v>2015</v>
      </c>
      <c r="F19322" t="s">
        <v>3108</v>
      </c>
      <c r="G19322" s="9">
        <v>18312.099999999999</v>
      </c>
      <c r="H19322" s="8">
        <v>21913</v>
      </c>
    </row>
    <row r="19323" spans="2:8" ht="15" customHeight="1" x14ac:dyDescent="0.4">
      <c r="B19323" t="s">
        <v>16</v>
      </c>
      <c r="C19323" t="s">
        <v>3107</v>
      </c>
      <c r="D19323" s="7">
        <f>DATE(2015,12,23)</f>
        <v>42361</v>
      </c>
      <c r="E19323" s="8">
        <f t="shared" si="315"/>
        <v>2015</v>
      </c>
      <c r="F19323" t="s">
        <v>3108</v>
      </c>
      <c r="G19323" s="9">
        <v>364492.25</v>
      </c>
      <c r="H19323" s="8">
        <v>21888</v>
      </c>
    </row>
    <row r="19324" spans="2:8" ht="15" customHeight="1" x14ac:dyDescent="0.4">
      <c r="B19324" t="s">
        <v>16</v>
      </c>
      <c r="C19324" t="s">
        <v>3107</v>
      </c>
      <c r="D19324" s="7">
        <f>DATE(2016,1,5)</f>
        <v>42374</v>
      </c>
      <c r="E19324" s="8">
        <f t="shared" si="315"/>
        <v>2016</v>
      </c>
      <c r="F19324" t="s">
        <v>3108</v>
      </c>
      <c r="G19324" s="9">
        <v>17357.099999999999</v>
      </c>
      <c r="H19324" s="8">
        <v>21914</v>
      </c>
    </row>
    <row r="19325" spans="2:8" ht="15" customHeight="1" x14ac:dyDescent="0.4">
      <c r="B19325" t="s">
        <v>7</v>
      </c>
      <c r="C19325" t="s">
        <v>3107</v>
      </c>
      <c r="D19325" s="7">
        <f>DATE(2015,4,9)</f>
        <v>42103</v>
      </c>
      <c r="E19325" s="8">
        <f t="shared" si="315"/>
        <v>2015</v>
      </c>
      <c r="F19325" t="s">
        <v>3109</v>
      </c>
      <c r="G19325" s="9">
        <v>1315.8</v>
      </c>
      <c r="H19325" s="8">
        <v>20384</v>
      </c>
    </row>
    <row r="19326" spans="2:8" ht="15" customHeight="1" x14ac:dyDescent="0.4">
      <c r="B19326" t="s">
        <v>7</v>
      </c>
      <c r="C19326" t="s">
        <v>3107</v>
      </c>
      <c r="D19326" s="7">
        <f>DATE(2015,12,9)</f>
        <v>42347</v>
      </c>
      <c r="E19326" s="8">
        <f t="shared" si="315"/>
        <v>2015</v>
      </c>
      <c r="F19326" t="s">
        <v>3109</v>
      </c>
      <c r="G19326" s="9">
        <v>364492.25</v>
      </c>
      <c r="H19326" s="8">
        <v>20932</v>
      </c>
    </row>
    <row r="19327" spans="2:8" ht="15" customHeight="1" x14ac:dyDescent="0.4">
      <c r="B19327" t="s">
        <v>7</v>
      </c>
      <c r="C19327" t="s">
        <v>3107</v>
      </c>
      <c r="D19327" s="7">
        <f>DATE(2015,2,20)</f>
        <v>42055</v>
      </c>
      <c r="E19327" s="8">
        <f t="shared" si="315"/>
        <v>2015</v>
      </c>
      <c r="F19327" t="s">
        <v>3109</v>
      </c>
      <c r="G19327" s="9">
        <v>704</v>
      </c>
      <c r="H19327" s="8">
        <v>20022</v>
      </c>
    </row>
    <row r="19328" spans="2:8" ht="15" customHeight="1" x14ac:dyDescent="0.4">
      <c r="B19328" t="s">
        <v>7</v>
      </c>
      <c r="C19328" t="s">
        <v>3107</v>
      </c>
      <c r="D19328" s="7">
        <f>DATE(2015,3,26)</f>
        <v>42089</v>
      </c>
      <c r="E19328" s="8">
        <f t="shared" si="315"/>
        <v>2015</v>
      </c>
      <c r="F19328" t="s">
        <v>3109</v>
      </c>
      <c r="G19328" s="9">
        <v>5620</v>
      </c>
      <c r="H19328" s="8">
        <v>20272</v>
      </c>
    </row>
    <row r="19329" spans="2:8" ht="15" customHeight="1" x14ac:dyDescent="0.4">
      <c r="B19329" t="s">
        <v>7</v>
      </c>
      <c r="C19329" t="s">
        <v>3107</v>
      </c>
      <c r="D19329" s="7">
        <f>DATE(2015,3,27)</f>
        <v>42090</v>
      </c>
      <c r="E19329" s="8">
        <f t="shared" si="315"/>
        <v>2015</v>
      </c>
      <c r="F19329" t="s">
        <v>3109</v>
      </c>
      <c r="G19329" s="9">
        <v>3440</v>
      </c>
      <c r="H19329" s="8">
        <v>20284</v>
      </c>
    </row>
    <row r="19330" spans="2:8" ht="15" customHeight="1" x14ac:dyDescent="0.4">
      <c r="B19330" t="s">
        <v>7</v>
      </c>
      <c r="C19330" t="s">
        <v>3107</v>
      </c>
      <c r="D19330" s="7">
        <f>DATE(2015,4,17)</f>
        <v>42111</v>
      </c>
      <c r="E19330" s="8">
        <f t="shared" si="315"/>
        <v>2015</v>
      </c>
      <c r="F19330" t="s">
        <v>3109</v>
      </c>
      <c r="G19330" s="9">
        <v>64.77</v>
      </c>
      <c r="H19330" s="8">
        <v>20469</v>
      </c>
    </row>
    <row r="19331" spans="2:8" ht="15" customHeight="1" x14ac:dyDescent="0.4">
      <c r="B19331" t="s">
        <v>7</v>
      </c>
      <c r="C19331" t="s">
        <v>3107</v>
      </c>
      <c r="D19331" s="7">
        <f>DATE(2015,5,14)</f>
        <v>42138</v>
      </c>
      <c r="E19331" s="8">
        <f t="shared" ref="E19331:E19394" si="316">YEAR(D19331)</f>
        <v>2015</v>
      </c>
      <c r="F19331" t="s">
        <v>3109</v>
      </c>
      <c r="G19331" s="9">
        <v>5280</v>
      </c>
      <c r="H19331" s="8">
        <v>20616</v>
      </c>
    </row>
    <row r="19332" spans="2:8" ht="15" customHeight="1" x14ac:dyDescent="0.4">
      <c r="B19332" t="s">
        <v>7</v>
      </c>
      <c r="C19332" t="s">
        <v>3107</v>
      </c>
      <c r="D19332" s="7">
        <f>DATE(2015,10,9)</f>
        <v>42286</v>
      </c>
      <c r="E19332" s="8">
        <f t="shared" si="316"/>
        <v>2015</v>
      </c>
      <c r="F19332" t="s">
        <v>3109</v>
      </c>
      <c r="G19332" s="9">
        <v>111.5</v>
      </c>
      <c r="H19332" s="8">
        <v>20864</v>
      </c>
    </row>
    <row r="19333" spans="2:8" ht="15" customHeight="1" x14ac:dyDescent="0.4">
      <c r="B19333" t="s">
        <v>7</v>
      </c>
      <c r="C19333" t="s">
        <v>3107</v>
      </c>
      <c r="D19333" s="7">
        <f>DATE(2017,1,12)</f>
        <v>42747</v>
      </c>
      <c r="E19333" s="8">
        <f t="shared" si="316"/>
        <v>2017</v>
      </c>
      <c r="F19333" t="s">
        <v>3109</v>
      </c>
      <c r="G19333" s="9">
        <v>1960</v>
      </c>
      <c r="H19333" s="8">
        <v>24079</v>
      </c>
    </row>
    <row r="19334" spans="2:8" ht="15" customHeight="1" x14ac:dyDescent="0.4">
      <c r="B19334" t="s">
        <v>7</v>
      </c>
      <c r="C19334" t="s">
        <v>3107</v>
      </c>
      <c r="D19334" s="7">
        <f>DATE(2017,2,1)</f>
        <v>42767</v>
      </c>
      <c r="E19334" s="8">
        <f t="shared" si="316"/>
        <v>2017</v>
      </c>
      <c r="F19334" t="s">
        <v>3109</v>
      </c>
      <c r="G19334" s="9">
        <v>845.73</v>
      </c>
      <c r="H19334" s="8">
        <v>24245</v>
      </c>
    </row>
    <row r="19335" spans="2:8" ht="15" customHeight="1" x14ac:dyDescent="0.4">
      <c r="B19335" t="s">
        <v>7</v>
      </c>
      <c r="C19335" t="s">
        <v>3107</v>
      </c>
      <c r="D19335" s="7">
        <f>DATE(2017,2,14)</f>
        <v>42780</v>
      </c>
      <c r="E19335" s="8">
        <f t="shared" si="316"/>
        <v>2017</v>
      </c>
      <c r="F19335" t="s">
        <v>3109</v>
      </c>
      <c r="G19335" s="9">
        <v>5978.12</v>
      </c>
      <c r="H19335" s="8">
        <v>24305</v>
      </c>
    </row>
    <row r="19336" spans="2:8" ht="15" customHeight="1" x14ac:dyDescent="0.4">
      <c r="B19336" t="s">
        <v>7</v>
      </c>
      <c r="C19336" t="s">
        <v>3107</v>
      </c>
      <c r="D19336" s="7">
        <f>DATE(2017,2,17)</f>
        <v>42783</v>
      </c>
      <c r="E19336" s="8">
        <f t="shared" si="316"/>
        <v>2017</v>
      </c>
      <c r="F19336" t="s">
        <v>3109</v>
      </c>
      <c r="G19336" s="9">
        <v>963.56</v>
      </c>
      <c r="H19336" s="8">
        <v>24301</v>
      </c>
    </row>
    <row r="19337" spans="2:8" ht="15" customHeight="1" x14ac:dyDescent="0.4">
      <c r="B19337" t="s">
        <v>7</v>
      </c>
      <c r="C19337" t="s">
        <v>3107</v>
      </c>
      <c r="D19337" s="7">
        <f>DATE(2017,2,24)</f>
        <v>42790</v>
      </c>
      <c r="E19337" s="8">
        <f t="shared" si="316"/>
        <v>2017</v>
      </c>
      <c r="F19337" t="s">
        <v>3109</v>
      </c>
      <c r="G19337" s="9">
        <v>4305.3</v>
      </c>
      <c r="H19337" s="8">
        <v>24392</v>
      </c>
    </row>
    <row r="19338" spans="2:8" ht="15" customHeight="1" x14ac:dyDescent="0.4">
      <c r="B19338" t="s">
        <v>7</v>
      </c>
      <c r="C19338" t="s">
        <v>3107</v>
      </c>
      <c r="D19338" s="7">
        <f>DATE(2017,4,19)</f>
        <v>42844</v>
      </c>
      <c r="E19338" s="8">
        <f t="shared" si="316"/>
        <v>2017</v>
      </c>
      <c r="F19338" t="s">
        <v>3109</v>
      </c>
      <c r="G19338" s="9">
        <v>3654.9</v>
      </c>
      <c r="H19338" s="8">
        <v>24606</v>
      </c>
    </row>
    <row r="19339" spans="2:8" ht="15" customHeight="1" x14ac:dyDescent="0.4">
      <c r="B19339" t="s">
        <v>7</v>
      </c>
      <c r="C19339" t="s">
        <v>3107</v>
      </c>
      <c r="D19339" s="7">
        <f>DATE(2017,4,20)</f>
        <v>42845</v>
      </c>
      <c r="E19339" s="8">
        <f t="shared" si="316"/>
        <v>2017</v>
      </c>
      <c r="F19339" t="s">
        <v>3109</v>
      </c>
      <c r="G19339" s="9">
        <v>6650</v>
      </c>
      <c r="H19339" s="8">
        <v>24712</v>
      </c>
    </row>
    <row r="19340" spans="2:8" ht="15" customHeight="1" x14ac:dyDescent="0.4">
      <c r="B19340" t="s">
        <v>7</v>
      </c>
      <c r="C19340" t="s">
        <v>3107</v>
      </c>
      <c r="D19340" s="7">
        <f>DATE(2017,4,25)</f>
        <v>42850</v>
      </c>
      <c r="E19340" s="8">
        <f t="shared" si="316"/>
        <v>2017</v>
      </c>
      <c r="F19340" t="s">
        <v>3109</v>
      </c>
      <c r="G19340" s="9">
        <v>3205.14</v>
      </c>
      <c r="H19340" s="8">
        <v>24821</v>
      </c>
    </row>
    <row r="19341" spans="2:8" ht="15" customHeight="1" x14ac:dyDescent="0.4">
      <c r="B19341" t="s">
        <v>7</v>
      </c>
      <c r="C19341" t="s">
        <v>3107</v>
      </c>
      <c r="D19341" s="7">
        <f>DATE(2017,6,12)</f>
        <v>42898</v>
      </c>
      <c r="E19341" s="8">
        <f t="shared" si="316"/>
        <v>2017</v>
      </c>
      <c r="F19341" t="s">
        <v>3109</v>
      </c>
      <c r="G19341" s="9">
        <v>5397.15</v>
      </c>
      <c r="H19341" s="8">
        <v>25067</v>
      </c>
    </row>
    <row r="19342" spans="2:8" ht="15" customHeight="1" x14ac:dyDescent="0.4">
      <c r="B19342" t="s">
        <v>7</v>
      </c>
      <c r="C19342" t="s">
        <v>3107</v>
      </c>
      <c r="D19342" s="7">
        <f>DATE(2017,6,19)</f>
        <v>42905</v>
      </c>
      <c r="E19342" s="8">
        <f t="shared" si="316"/>
        <v>2017</v>
      </c>
      <c r="F19342" t="s">
        <v>3109</v>
      </c>
      <c r="G19342" s="9">
        <v>8946.2000000000007</v>
      </c>
      <c r="H19342" s="8">
        <v>25113</v>
      </c>
    </row>
    <row r="19343" spans="2:8" ht="15" customHeight="1" x14ac:dyDescent="0.4">
      <c r="B19343" t="s">
        <v>7</v>
      </c>
      <c r="C19343" t="s">
        <v>3107</v>
      </c>
      <c r="D19343" s="7">
        <f>DATE(2017,7,5)</f>
        <v>42921</v>
      </c>
      <c r="E19343" s="8">
        <f t="shared" si="316"/>
        <v>2017</v>
      </c>
      <c r="F19343" t="s">
        <v>3109</v>
      </c>
      <c r="G19343" s="9">
        <v>141.19999999999999</v>
      </c>
      <c r="H19343" s="8">
        <v>25210</v>
      </c>
    </row>
    <row r="19344" spans="2:8" ht="15" customHeight="1" x14ac:dyDescent="0.4">
      <c r="B19344" t="s">
        <v>7</v>
      </c>
      <c r="C19344" t="s">
        <v>3107</v>
      </c>
      <c r="D19344" s="7">
        <f>DATE(2017,7,19)</f>
        <v>42935</v>
      </c>
      <c r="E19344" s="8">
        <f t="shared" si="316"/>
        <v>2017</v>
      </c>
      <c r="F19344" t="s">
        <v>3109</v>
      </c>
      <c r="G19344" s="9">
        <v>138.94</v>
      </c>
      <c r="H19344" s="8">
        <v>25282</v>
      </c>
    </row>
    <row r="19345" spans="2:8" ht="15" customHeight="1" x14ac:dyDescent="0.4">
      <c r="B19345" t="s">
        <v>7</v>
      </c>
      <c r="C19345" t="s">
        <v>3107</v>
      </c>
      <c r="D19345" s="7">
        <f>DATE(2017,9,15)</f>
        <v>42993</v>
      </c>
      <c r="E19345" s="8">
        <f t="shared" si="316"/>
        <v>2017</v>
      </c>
      <c r="F19345" t="s">
        <v>3109</v>
      </c>
      <c r="G19345" s="9">
        <v>9461.09</v>
      </c>
      <c r="H19345" s="8">
        <v>25593</v>
      </c>
    </row>
    <row r="19346" spans="2:8" ht="15" customHeight="1" x14ac:dyDescent="0.4">
      <c r="B19346" t="s">
        <v>7</v>
      </c>
      <c r="C19346" t="s">
        <v>3107</v>
      </c>
      <c r="D19346" s="7">
        <f>DATE(2017,10,9)</f>
        <v>43017</v>
      </c>
      <c r="E19346" s="8">
        <f t="shared" si="316"/>
        <v>2017</v>
      </c>
      <c r="F19346" t="s">
        <v>3109</v>
      </c>
      <c r="G19346" s="9">
        <v>131.91999999999999</v>
      </c>
      <c r="H19346" s="8">
        <v>25706</v>
      </c>
    </row>
    <row r="19347" spans="2:8" ht="15" customHeight="1" x14ac:dyDescent="0.4">
      <c r="B19347" t="s">
        <v>7</v>
      </c>
      <c r="C19347" t="s">
        <v>3107</v>
      </c>
      <c r="D19347" s="7">
        <f>DATE(2017,12,22)</f>
        <v>43091</v>
      </c>
      <c r="E19347" s="8">
        <f t="shared" si="316"/>
        <v>2017</v>
      </c>
      <c r="F19347" t="s">
        <v>3109</v>
      </c>
      <c r="G19347" s="9">
        <v>7909.84</v>
      </c>
      <c r="H19347" s="8">
        <v>25987</v>
      </c>
    </row>
    <row r="19348" spans="2:8" ht="15" customHeight="1" x14ac:dyDescent="0.4">
      <c r="B19348" t="s">
        <v>7</v>
      </c>
      <c r="C19348" t="s">
        <v>3107</v>
      </c>
      <c r="D19348" s="7">
        <f>DATE(2018,5,8)</f>
        <v>43228</v>
      </c>
      <c r="E19348" s="8">
        <f t="shared" si="316"/>
        <v>2018</v>
      </c>
      <c r="F19348" t="s">
        <v>3109</v>
      </c>
      <c r="G19348" s="9">
        <v>3098.14</v>
      </c>
      <c r="H19348" s="8">
        <v>26983</v>
      </c>
    </row>
    <row r="19349" spans="2:8" ht="15" customHeight="1" x14ac:dyDescent="0.4">
      <c r="B19349" t="s">
        <v>7</v>
      </c>
      <c r="C19349" t="s">
        <v>3107</v>
      </c>
      <c r="D19349" s="7">
        <f>DATE(2018,8,8)</f>
        <v>43320</v>
      </c>
      <c r="E19349" s="8">
        <f t="shared" si="316"/>
        <v>2018</v>
      </c>
      <c r="F19349" t="s">
        <v>3109</v>
      </c>
      <c r="G19349" s="9">
        <v>1578</v>
      </c>
      <c r="H19349" s="8">
        <v>27233</v>
      </c>
    </row>
    <row r="19350" spans="2:8" ht="15" customHeight="1" x14ac:dyDescent="0.4">
      <c r="B19350" t="s">
        <v>7</v>
      </c>
      <c r="C19350" t="s">
        <v>3107</v>
      </c>
      <c r="D19350" s="7">
        <f>DATE(2019,2,22)</f>
        <v>43518</v>
      </c>
      <c r="E19350" s="8">
        <f t="shared" si="316"/>
        <v>2019</v>
      </c>
      <c r="F19350" t="s">
        <v>3109</v>
      </c>
      <c r="G19350" s="9">
        <v>3750</v>
      </c>
      <c r="H19350" s="8">
        <v>28260</v>
      </c>
    </row>
    <row r="19351" spans="2:8" ht="15" customHeight="1" x14ac:dyDescent="0.4">
      <c r="B19351" t="s">
        <v>7</v>
      </c>
      <c r="C19351" t="s">
        <v>3107</v>
      </c>
      <c r="D19351" s="7">
        <f>DATE(2015,5,1)</f>
        <v>42125</v>
      </c>
      <c r="E19351" s="8">
        <f t="shared" si="316"/>
        <v>2015</v>
      </c>
      <c r="F19351" t="s">
        <v>3109</v>
      </c>
      <c r="G19351" s="9">
        <v>11183.34</v>
      </c>
      <c r="H19351" s="8">
        <v>20442</v>
      </c>
    </row>
    <row r="19352" spans="2:8" ht="15" customHeight="1" x14ac:dyDescent="0.4">
      <c r="B19352" t="s">
        <v>7</v>
      </c>
      <c r="C19352" t="s">
        <v>3107</v>
      </c>
      <c r="D19352" s="7">
        <f>DATE(2015,9,25)</f>
        <v>42272</v>
      </c>
      <c r="E19352" s="8">
        <f t="shared" si="316"/>
        <v>2015</v>
      </c>
      <c r="F19352" t="s">
        <v>3109</v>
      </c>
      <c r="G19352" s="9">
        <v>12952.97</v>
      </c>
      <c r="H19352" s="8">
        <v>21241</v>
      </c>
    </row>
    <row r="19353" spans="2:8" ht="15" customHeight="1" x14ac:dyDescent="0.4">
      <c r="B19353" t="s">
        <v>7</v>
      </c>
      <c r="C19353" t="s">
        <v>3107</v>
      </c>
      <c r="D19353" s="7">
        <f>DATE(2015,11,19)</f>
        <v>42327</v>
      </c>
      <c r="E19353" s="8">
        <f t="shared" si="316"/>
        <v>2015</v>
      </c>
      <c r="F19353" t="s">
        <v>3109</v>
      </c>
      <c r="G19353" s="9">
        <v>624.98</v>
      </c>
      <c r="H19353" s="8">
        <v>21667</v>
      </c>
    </row>
    <row r="19354" spans="2:8" ht="15" customHeight="1" x14ac:dyDescent="0.4">
      <c r="B19354" t="s">
        <v>7</v>
      </c>
      <c r="C19354" t="s">
        <v>3107</v>
      </c>
      <c r="D19354" s="7">
        <f>DATE(2017,8,9)</f>
        <v>42956</v>
      </c>
      <c r="E19354" s="8">
        <f t="shared" si="316"/>
        <v>2017</v>
      </c>
      <c r="F19354" t="s">
        <v>3109</v>
      </c>
      <c r="G19354" s="9">
        <v>1762.25</v>
      </c>
      <c r="H19354" s="8">
        <v>25334</v>
      </c>
    </row>
    <row r="19355" spans="2:8" ht="15" customHeight="1" x14ac:dyDescent="0.4">
      <c r="B19355" t="s">
        <v>7</v>
      </c>
      <c r="C19355" t="s">
        <v>3107</v>
      </c>
      <c r="D19355" s="7">
        <f>DATE(2018,5,29)</f>
        <v>43249</v>
      </c>
      <c r="E19355" s="8">
        <f t="shared" si="316"/>
        <v>2018</v>
      </c>
      <c r="F19355" t="s">
        <v>3109</v>
      </c>
      <c r="G19355" s="9">
        <v>21148.15</v>
      </c>
      <c r="H19355" s="8">
        <v>27097</v>
      </c>
    </row>
    <row r="19356" spans="2:8" ht="15" customHeight="1" x14ac:dyDescent="0.4">
      <c r="B19356" t="s">
        <v>7</v>
      </c>
      <c r="C19356" t="s">
        <v>3107</v>
      </c>
      <c r="D19356" s="7">
        <f>DATE(2015,12,29)</f>
        <v>42367</v>
      </c>
      <c r="E19356" s="8">
        <f t="shared" si="316"/>
        <v>2015</v>
      </c>
      <c r="F19356" t="s">
        <v>3109</v>
      </c>
      <c r="G19356" s="9">
        <v>17357.099999999999</v>
      </c>
      <c r="H19356" s="8">
        <v>454</v>
      </c>
    </row>
    <row r="19357" spans="2:8" ht="15" customHeight="1" x14ac:dyDescent="0.4">
      <c r="B19357" t="s">
        <v>16</v>
      </c>
      <c r="C19357" t="s">
        <v>3107</v>
      </c>
      <c r="D19357" s="7">
        <f>DATE(2015,5,4)</f>
        <v>42128</v>
      </c>
      <c r="E19357" s="8">
        <f t="shared" si="316"/>
        <v>2015</v>
      </c>
      <c r="F19357" t="s">
        <v>3109</v>
      </c>
      <c r="G19357" s="9">
        <v>9287.82</v>
      </c>
      <c r="H19357" s="8">
        <v>20560</v>
      </c>
    </row>
    <row r="19358" spans="2:8" ht="15" customHeight="1" x14ac:dyDescent="0.4">
      <c r="B19358" t="s">
        <v>16</v>
      </c>
      <c r="C19358" t="s">
        <v>3107</v>
      </c>
      <c r="D19358" s="7">
        <f>DATE(2015,5,6)</f>
        <v>42130</v>
      </c>
      <c r="E19358" s="8">
        <f t="shared" si="316"/>
        <v>2015</v>
      </c>
      <c r="F19358" t="s">
        <v>3109</v>
      </c>
      <c r="G19358" s="9">
        <v>1556.41</v>
      </c>
      <c r="H19358" s="8">
        <v>20578</v>
      </c>
    </row>
    <row r="19359" spans="2:8" ht="15" customHeight="1" x14ac:dyDescent="0.4">
      <c r="B19359" t="s">
        <v>7</v>
      </c>
      <c r="C19359" t="s">
        <v>3107</v>
      </c>
      <c r="D19359" s="7">
        <f>DATE(2014,10,10)</f>
        <v>41922</v>
      </c>
      <c r="E19359" s="8">
        <f t="shared" si="316"/>
        <v>2014</v>
      </c>
      <c r="F19359" t="s">
        <v>3109</v>
      </c>
      <c r="G19359" s="9">
        <v>50777.5</v>
      </c>
      <c r="H19359" s="8">
        <v>13358</v>
      </c>
    </row>
    <row r="19360" spans="2:8" ht="15" customHeight="1" x14ac:dyDescent="0.4">
      <c r="B19360" t="s">
        <v>7</v>
      </c>
      <c r="C19360" t="s">
        <v>3107</v>
      </c>
      <c r="D19360" s="7">
        <f>DATE(2014,12,10)</f>
        <v>41983</v>
      </c>
      <c r="E19360" s="8">
        <f t="shared" si="316"/>
        <v>2014</v>
      </c>
      <c r="F19360" t="s">
        <v>3109</v>
      </c>
      <c r="G19360" s="9">
        <v>216884.7</v>
      </c>
      <c r="H19360" s="8">
        <v>13458</v>
      </c>
    </row>
    <row r="19361" spans="2:8" ht="15" customHeight="1" x14ac:dyDescent="0.4">
      <c r="B19361" t="s">
        <v>7</v>
      </c>
      <c r="C19361" t="s">
        <v>3107</v>
      </c>
      <c r="D19361" s="7">
        <f>DATE(2013,12,18)</f>
        <v>41626</v>
      </c>
      <c r="E19361" s="8">
        <f t="shared" si="316"/>
        <v>2013</v>
      </c>
      <c r="F19361" t="s">
        <v>3109</v>
      </c>
      <c r="G19361" s="9">
        <v>6400</v>
      </c>
      <c r="H19361" s="8">
        <v>12810</v>
      </c>
    </row>
    <row r="19362" spans="2:8" ht="15" customHeight="1" x14ac:dyDescent="0.4">
      <c r="B19362" t="s">
        <v>7</v>
      </c>
      <c r="C19362" t="s">
        <v>3107</v>
      </c>
      <c r="D19362" s="7">
        <f>DATE(2014,7,1)</f>
        <v>41821</v>
      </c>
      <c r="E19362" s="8">
        <f t="shared" si="316"/>
        <v>2014</v>
      </c>
      <c r="F19362" t="s">
        <v>3109</v>
      </c>
      <c r="G19362" s="9">
        <v>7298.48</v>
      </c>
      <c r="H19362" s="8">
        <v>13251</v>
      </c>
    </row>
    <row r="19363" spans="2:8" ht="15" customHeight="1" x14ac:dyDescent="0.4">
      <c r="B19363" t="s">
        <v>7</v>
      </c>
      <c r="C19363" t="s">
        <v>3107</v>
      </c>
      <c r="D19363" s="7">
        <f>DATE(2014,7,28)</f>
        <v>41848</v>
      </c>
      <c r="E19363" s="8">
        <f t="shared" si="316"/>
        <v>2014</v>
      </c>
      <c r="F19363" t="s">
        <v>3109</v>
      </c>
      <c r="G19363" s="9">
        <v>5354.63</v>
      </c>
      <c r="H19363" s="8">
        <v>13304</v>
      </c>
    </row>
    <row r="19364" spans="2:8" ht="15" customHeight="1" x14ac:dyDescent="0.4">
      <c r="B19364" t="s">
        <v>7</v>
      </c>
      <c r="C19364" t="s">
        <v>3107</v>
      </c>
      <c r="D19364" s="7">
        <f>DATE(2014,9,22)</f>
        <v>41904</v>
      </c>
      <c r="E19364" s="8">
        <f t="shared" si="316"/>
        <v>2014</v>
      </c>
      <c r="F19364" t="s">
        <v>3109</v>
      </c>
      <c r="G19364" s="9">
        <v>7500</v>
      </c>
      <c r="H19364" s="8">
        <v>13452</v>
      </c>
    </row>
    <row r="19365" spans="2:8" ht="15" customHeight="1" x14ac:dyDescent="0.4">
      <c r="B19365" t="s">
        <v>7</v>
      </c>
      <c r="C19365" t="s">
        <v>3107</v>
      </c>
      <c r="D19365" s="7">
        <f>DATE(2014,10,10)</f>
        <v>41922</v>
      </c>
      <c r="E19365" s="8">
        <f t="shared" si="316"/>
        <v>2014</v>
      </c>
      <c r="F19365" t="s">
        <v>3109</v>
      </c>
      <c r="G19365" s="9">
        <v>4014</v>
      </c>
      <c r="H19365" s="8">
        <v>13419</v>
      </c>
    </row>
    <row r="19366" spans="2:8" ht="15" customHeight="1" x14ac:dyDescent="0.4">
      <c r="B19366" t="s">
        <v>7</v>
      </c>
      <c r="C19366" t="s">
        <v>3107</v>
      </c>
      <c r="D19366" s="7">
        <f>DATE(2014,6,19)</f>
        <v>41809</v>
      </c>
      <c r="E19366" s="8">
        <f t="shared" si="316"/>
        <v>2014</v>
      </c>
      <c r="F19366" t="s">
        <v>3109</v>
      </c>
      <c r="G19366" s="9">
        <v>12901.37</v>
      </c>
      <c r="H19366" s="8">
        <v>13254</v>
      </c>
    </row>
    <row r="19367" spans="2:8" ht="15" customHeight="1" x14ac:dyDescent="0.4">
      <c r="B19367" t="s">
        <v>7</v>
      </c>
      <c r="C19367" t="s">
        <v>3107</v>
      </c>
      <c r="D19367" s="7">
        <f>DATE(2014,7,18)</f>
        <v>41838</v>
      </c>
      <c r="E19367" s="8">
        <f t="shared" si="316"/>
        <v>2014</v>
      </c>
      <c r="F19367" t="s">
        <v>3109</v>
      </c>
      <c r="G19367" s="9">
        <v>13378.23</v>
      </c>
      <c r="H19367" s="8">
        <v>13290</v>
      </c>
    </row>
    <row r="19368" spans="2:8" ht="15" customHeight="1" x14ac:dyDescent="0.4">
      <c r="B19368" t="s">
        <v>7</v>
      </c>
      <c r="C19368" t="s">
        <v>3107</v>
      </c>
      <c r="D19368" s="7">
        <f>DATE(2014,7,18)</f>
        <v>41838</v>
      </c>
      <c r="E19368" s="8">
        <f t="shared" si="316"/>
        <v>2014</v>
      </c>
      <c r="F19368" t="s">
        <v>3109</v>
      </c>
      <c r="G19368" s="9">
        <v>14589.04</v>
      </c>
      <c r="H19368" s="8">
        <v>13303</v>
      </c>
    </row>
    <row r="19369" spans="2:8" ht="15" customHeight="1" x14ac:dyDescent="0.4">
      <c r="B19369" s="3" t="s">
        <v>7</v>
      </c>
      <c r="C19369" s="3" t="s">
        <v>3107</v>
      </c>
      <c r="D19369" s="4">
        <f>DATE(2013,11,5)</f>
        <v>41583</v>
      </c>
      <c r="E19369" s="5">
        <f t="shared" si="316"/>
        <v>2013</v>
      </c>
      <c r="F19369" s="3" t="s">
        <v>3109</v>
      </c>
      <c r="G19369" s="6">
        <v>32651.23</v>
      </c>
      <c r="H19369" s="5">
        <v>5816</v>
      </c>
    </row>
    <row r="19370" spans="2:8" ht="15" customHeight="1" x14ac:dyDescent="0.4">
      <c r="B19370" s="3" t="s">
        <v>7</v>
      </c>
      <c r="C19370" s="3" t="s">
        <v>3107</v>
      </c>
      <c r="D19370" s="4">
        <f>DATE(2013,11,5)</f>
        <v>41583</v>
      </c>
      <c r="E19370" s="5">
        <f t="shared" si="316"/>
        <v>2013</v>
      </c>
      <c r="F19370" s="3" t="s">
        <v>3109</v>
      </c>
      <c r="G19370" s="6">
        <v>3626.12</v>
      </c>
      <c r="H19370" s="5">
        <v>5817</v>
      </c>
    </row>
    <row r="19371" spans="2:8" ht="15" customHeight="1" x14ac:dyDescent="0.4">
      <c r="B19371" s="3" t="s">
        <v>7</v>
      </c>
      <c r="C19371" s="3" t="s">
        <v>3107</v>
      </c>
      <c r="D19371" s="4">
        <f>DATE(2014,3,6)</f>
        <v>41704</v>
      </c>
      <c r="E19371" s="5">
        <f t="shared" si="316"/>
        <v>2014</v>
      </c>
      <c r="F19371" s="3" t="s">
        <v>3109</v>
      </c>
      <c r="G19371" s="6">
        <v>431.6</v>
      </c>
      <c r="H19371" s="5">
        <v>6083</v>
      </c>
    </row>
    <row r="19372" spans="2:8" ht="15" customHeight="1" x14ac:dyDescent="0.4">
      <c r="B19372" s="3" t="s">
        <v>7</v>
      </c>
      <c r="C19372" s="3" t="s">
        <v>3107</v>
      </c>
      <c r="D19372" s="4">
        <f>DATE(2014,4,2)</f>
        <v>41731</v>
      </c>
      <c r="E19372" s="5">
        <f t="shared" si="316"/>
        <v>2014</v>
      </c>
      <c r="F19372" s="3" t="s">
        <v>3109</v>
      </c>
      <c r="G19372" s="6">
        <v>179.36</v>
      </c>
      <c r="H19372" s="5">
        <v>6144</v>
      </c>
    </row>
    <row r="19373" spans="2:8" ht="15" customHeight="1" x14ac:dyDescent="0.4">
      <c r="B19373" s="3" t="s">
        <v>7</v>
      </c>
      <c r="C19373" s="3" t="s">
        <v>3107</v>
      </c>
      <c r="D19373" s="4">
        <f>DATE(2014,4,25)</f>
        <v>41754</v>
      </c>
      <c r="E19373" s="5">
        <f t="shared" si="316"/>
        <v>2014</v>
      </c>
      <c r="F19373" s="3" t="s">
        <v>3109</v>
      </c>
      <c r="G19373" s="6">
        <v>1971.54</v>
      </c>
      <c r="H19373" s="5">
        <v>6169</v>
      </c>
    </row>
    <row r="19374" spans="2:8" ht="15" customHeight="1" x14ac:dyDescent="0.4">
      <c r="B19374" s="3" t="s">
        <v>7</v>
      </c>
      <c r="C19374" s="3" t="s">
        <v>3107</v>
      </c>
      <c r="D19374" s="4">
        <f>DATE(2014,5,14)</f>
        <v>41773</v>
      </c>
      <c r="E19374" s="5">
        <f t="shared" si="316"/>
        <v>2014</v>
      </c>
      <c r="F19374" s="3" t="s">
        <v>3109</v>
      </c>
      <c r="G19374" s="6">
        <v>384.04</v>
      </c>
      <c r="H19374" s="5">
        <v>6191</v>
      </c>
    </row>
    <row r="19375" spans="2:8" ht="15" customHeight="1" x14ac:dyDescent="0.4">
      <c r="B19375" s="3" t="s">
        <v>7</v>
      </c>
      <c r="C19375" s="3" t="s">
        <v>3107</v>
      </c>
      <c r="D19375" s="4">
        <f>DATE(2013,10,9)</f>
        <v>41556</v>
      </c>
      <c r="E19375" s="5">
        <f t="shared" si="316"/>
        <v>2013</v>
      </c>
      <c r="F19375" s="3" t="s">
        <v>3109</v>
      </c>
      <c r="G19375" s="6">
        <v>11720.23</v>
      </c>
      <c r="H19375" s="5">
        <v>18980</v>
      </c>
    </row>
    <row r="19376" spans="2:8" ht="15" customHeight="1" x14ac:dyDescent="0.4">
      <c r="B19376" s="3" t="s">
        <v>7</v>
      </c>
      <c r="C19376" s="3" t="s">
        <v>3107</v>
      </c>
      <c r="D19376" s="4">
        <f>DATE(2013,10,9)</f>
        <v>41556</v>
      </c>
      <c r="E19376" s="5">
        <f t="shared" si="316"/>
        <v>2013</v>
      </c>
      <c r="F19376" s="3" t="s">
        <v>3109</v>
      </c>
      <c r="G19376" s="6">
        <v>2495.3200000000002</v>
      </c>
      <c r="H19376" s="5">
        <v>18981</v>
      </c>
    </row>
    <row r="19377" spans="2:8" ht="15" customHeight="1" x14ac:dyDescent="0.4">
      <c r="B19377" s="3" t="s">
        <v>7</v>
      </c>
      <c r="C19377" s="3" t="s">
        <v>3107</v>
      </c>
      <c r="D19377" s="4">
        <f>DATE(2013,10,17)</f>
        <v>41564</v>
      </c>
      <c r="E19377" s="5">
        <f t="shared" si="316"/>
        <v>2013</v>
      </c>
      <c r="F19377" s="3" t="s">
        <v>3109</v>
      </c>
      <c r="G19377" s="6">
        <v>9650</v>
      </c>
      <c r="H19377" s="5">
        <v>19095</v>
      </c>
    </row>
    <row r="19378" spans="2:8" ht="15" customHeight="1" x14ac:dyDescent="0.4">
      <c r="B19378" s="3" t="s">
        <v>7</v>
      </c>
      <c r="C19378" s="3" t="s">
        <v>3107</v>
      </c>
      <c r="D19378" s="4">
        <f>DATE(2013,10,22)</f>
        <v>41569</v>
      </c>
      <c r="E19378" s="5">
        <f t="shared" si="316"/>
        <v>2013</v>
      </c>
      <c r="F19378" s="3" t="s">
        <v>3109</v>
      </c>
      <c r="G19378" s="6">
        <v>818</v>
      </c>
      <c r="H19378" s="5">
        <v>19123</v>
      </c>
    </row>
    <row r="19379" spans="2:8" ht="15" customHeight="1" x14ac:dyDescent="0.4">
      <c r="B19379" s="3" t="s">
        <v>7</v>
      </c>
      <c r="C19379" s="3" t="s">
        <v>3107</v>
      </c>
      <c r="D19379" s="4">
        <f>DATE(2013,10,24)</f>
        <v>41571</v>
      </c>
      <c r="E19379" s="5">
        <f t="shared" si="316"/>
        <v>2013</v>
      </c>
      <c r="F19379" s="3" t="s">
        <v>3109</v>
      </c>
      <c r="G19379" s="6">
        <v>896</v>
      </c>
      <c r="H19379" s="5">
        <v>19128</v>
      </c>
    </row>
    <row r="19380" spans="2:8" ht="15" customHeight="1" x14ac:dyDescent="0.4">
      <c r="B19380" s="3" t="s">
        <v>7</v>
      </c>
      <c r="C19380" s="3" t="s">
        <v>3107</v>
      </c>
      <c r="D19380" s="4">
        <f>DATE(2013,11,5)</f>
        <v>41583</v>
      </c>
      <c r="E19380" s="5">
        <f t="shared" si="316"/>
        <v>2013</v>
      </c>
      <c r="F19380" s="3" t="s">
        <v>3109</v>
      </c>
      <c r="G19380" s="6">
        <v>8495</v>
      </c>
      <c r="H19380" s="5">
        <v>19151</v>
      </c>
    </row>
    <row r="19381" spans="2:8" ht="15" customHeight="1" x14ac:dyDescent="0.4">
      <c r="B19381" s="3" t="s">
        <v>7</v>
      </c>
      <c r="C19381" s="3" t="s">
        <v>3107</v>
      </c>
      <c r="D19381" s="4">
        <f>DATE(2013,11,14)</f>
        <v>41592</v>
      </c>
      <c r="E19381" s="5">
        <f t="shared" si="316"/>
        <v>2013</v>
      </c>
      <c r="F19381" s="3" t="s">
        <v>3109</v>
      </c>
      <c r="G19381" s="6">
        <v>560</v>
      </c>
      <c r="H19381" s="5">
        <v>19222</v>
      </c>
    </row>
    <row r="19382" spans="2:8" ht="15" customHeight="1" x14ac:dyDescent="0.4">
      <c r="B19382" s="3" t="s">
        <v>7</v>
      </c>
      <c r="C19382" s="3" t="s">
        <v>3107</v>
      </c>
      <c r="D19382" s="4">
        <f>DATE(2013,11,19)</f>
        <v>41597</v>
      </c>
      <c r="E19382" s="5">
        <f t="shared" si="316"/>
        <v>2013</v>
      </c>
      <c r="F19382" s="3" t="s">
        <v>3109</v>
      </c>
      <c r="G19382" s="6">
        <v>6006.42</v>
      </c>
      <c r="H19382" s="5">
        <v>19251</v>
      </c>
    </row>
    <row r="19383" spans="2:8" ht="15" customHeight="1" x14ac:dyDescent="0.4">
      <c r="B19383" s="3" t="s">
        <v>7</v>
      </c>
      <c r="C19383" s="3" t="s">
        <v>3107</v>
      </c>
      <c r="D19383" s="4">
        <f>DATE(2013,11,27)</f>
        <v>41605</v>
      </c>
      <c r="E19383" s="5">
        <f t="shared" si="316"/>
        <v>2013</v>
      </c>
      <c r="F19383" s="3" t="s">
        <v>3109</v>
      </c>
      <c r="G19383" s="6">
        <v>7040</v>
      </c>
      <c r="H19383" s="5">
        <v>19231</v>
      </c>
    </row>
    <row r="19384" spans="2:8" ht="15" customHeight="1" x14ac:dyDescent="0.4">
      <c r="B19384" s="3" t="s">
        <v>7</v>
      </c>
      <c r="C19384" s="3" t="s">
        <v>3107</v>
      </c>
      <c r="D19384" s="4">
        <f>DATE(2013,12,3)</f>
        <v>41611</v>
      </c>
      <c r="E19384" s="5">
        <f t="shared" si="316"/>
        <v>2013</v>
      </c>
      <c r="F19384" s="3" t="s">
        <v>3109</v>
      </c>
      <c r="G19384" s="6">
        <v>1543.83</v>
      </c>
      <c r="H19384" s="5">
        <v>19285</v>
      </c>
    </row>
    <row r="19385" spans="2:8" ht="15" customHeight="1" x14ac:dyDescent="0.4">
      <c r="B19385" s="3" t="s">
        <v>7</v>
      </c>
      <c r="C19385" s="3" t="s">
        <v>3107</v>
      </c>
      <c r="D19385" s="4">
        <f>DATE(2013,12,6)</f>
        <v>41614</v>
      </c>
      <c r="E19385" s="5">
        <f t="shared" si="316"/>
        <v>2013</v>
      </c>
      <c r="F19385" s="3" t="s">
        <v>3109</v>
      </c>
      <c r="G19385" s="6">
        <v>1320</v>
      </c>
      <c r="H19385" s="5">
        <v>19225</v>
      </c>
    </row>
    <row r="19386" spans="2:8" ht="15" customHeight="1" x14ac:dyDescent="0.4">
      <c r="B19386" s="3" t="s">
        <v>7</v>
      </c>
      <c r="C19386" s="3" t="s">
        <v>3107</v>
      </c>
      <c r="D19386" s="4">
        <f>DATE(2013,12,11)</f>
        <v>41619</v>
      </c>
      <c r="E19386" s="5">
        <f t="shared" si="316"/>
        <v>2013</v>
      </c>
      <c r="F19386" s="3" t="s">
        <v>3109</v>
      </c>
      <c r="G19386" s="6">
        <v>11743.19</v>
      </c>
      <c r="H19386" s="5">
        <v>19310</v>
      </c>
    </row>
    <row r="19387" spans="2:8" ht="15" customHeight="1" x14ac:dyDescent="0.4">
      <c r="B19387" s="3" t="s">
        <v>7</v>
      </c>
      <c r="C19387" s="3" t="s">
        <v>3107</v>
      </c>
      <c r="D19387" s="4">
        <f>DATE(2013,12,11)</f>
        <v>41619</v>
      </c>
      <c r="E19387" s="5">
        <f t="shared" si="316"/>
        <v>2013</v>
      </c>
      <c r="F19387" s="3" t="s">
        <v>3109</v>
      </c>
      <c r="G19387" s="6">
        <v>2751.05</v>
      </c>
      <c r="H19387" s="5">
        <v>19314</v>
      </c>
    </row>
    <row r="19388" spans="2:8" ht="15" customHeight="1" x14ac:dyDescent="0.4">
      <c r="B19388" s="3" t="s">
        <v>7</v>
      </c>
      <c r="C19388" s="3" t="s">
        <v>3107</v>
      </c>
      <c r="D19388" s="4">
        <f>DATE(2013,12,19)</f>
        <v>41627</v>
      </c>
      <c r="E19388" s="5">
        <f t="shared" si="316"/>
        <v>2013</v>
      </c>
      <c r="F19388" s="3" t="s">
        <v>3109</v>
      </c>
      <c r="G19388" s="6">
        <v>787.22</v>
      </c>
      <c r="H19388" s="5">
        <v>19349</v>
      </c>
    </row>
    <row r="19389" spans="2:8" ht="15" customHeight="1" x14ac:dyDescent="0.4">
      <c r="B19389" s="3" t="s">
        <v>7</v>
      </c>
      <c r="C19389" s="3" t="s">
        <v>3107</v>
      </c>
      <c r="D19389" s="4">
        <f>DATE(2013,12,19)</f>
        <v>41627</v>
      </c>
      <c r="E19389" s="5">
        <f t="shared" si="316"/>
        <v>2013</v>
      </c>
      <c r="F19389" s="3" t="s">
        <v>3109</v>
      </c>
      <c r="G19389" s="6">
        <v>430.52</v>
      </c>
      <c r="H19389" s="5">
        <v>19339</v>
      </c>
    </row>
    <row r="19390" spans="2:8" ht="15" customHeight="1" x14ac:dyDescent="0.4">
      <c r="B19390" s="3" t="s">
        <v>7</v>
      </c>
      <c r="C19390" s="3" t="s">
        <v>3107</v>
      </c>
      <c r="D19390" s="4">
        <f>DATE(2014,1,24)</f>
        <v>41663</v>
      </c>
      <c r="E19390" s="5">
        <f t="shared" si="316"/>
        <v>2014</v>
      </c>
      <c r="F19390" s="3" t="s">
        <v>3109</v>
      </c>
      <c r="G19390" s="6">
        <v>15857.74</v>
      </c>
      <c r="H19390" s="5">
        <v>19432</v>
      </c>
    </row>
    <row r="19391" spans="2:8" ht="15" customHeight="1" x14ac:dyDescent="0.4">
      <c r="B19391" s="3" t="s">
        <v>7</v>
      </c>
      <c r="C19391" s="3" t="s">
        <v>3107</v>
      </c>
      <c r="D19391" s="4">
        <f>DATE(2014,1,31)</f>
        <v>41670</v>
      </c>
      <c r="E19391" s="5">
        <f t="shared" si="316"/>
        <v>2014</v>
      </c>
      <c r="F19391" s="3" t="s">
        <v>3109</v>
      </c>
      <c r="G19391" s="6">
        <v>2607.94</v>
      </c>
      <c r="H19391" s="5">
        <v>19463</v>
      </c>
    </row>
    <row r="19392" spans="2:8" ht="15" customHeight="1" x14ac:dyDescent="0.4">
      <c r="B19392" s="3" t="s">
        <v>7</v>
      </c>
      <c r="C19392" s="3" t="s">
        <v>3107</v>
      </c>
      <c r="D19392" s="4">
        <f>DATE(2014,2,10)</f>
        <v>41680</v>
      </c>
      <c r="E19392" s="5">
        <f t="shared" si="316"/>
        <v>2014</v>
      </c>
      <c r="F19392" s="3" t="s">
        <v>3109</v>
      </c>
      <c r="G19392" s="6">
        <v>450.66</v>
      </c>
      <c r="H19392" s="5">
        <v>19513</v>
      </c>
    </row>
    <row r="19393" spans="2:8" ht="15" customHeight="1" x14ac:dyDescent="0.4">
      <c r="B19393" s="3" t="s">
        <v>7</v>
      </c>
      <c r="C19393" s="3" t="s">
        <v>3107</v>
      </c>
      <c r="D19393" s="4">
        <f>DATE(2014,2,26)</f>
        <v>41696</v>
      </c>
      <c r="E19393" s="5">
        <f t="shared" si="316"/>
        <v>2014</v>
      </c>
      <c r="F19393" s="3" t="s">
        <v>3109</v>
      </c>
      <c r="G19393" s="6">
        <v>1225.5</v>
      </c>
      <c r="H19393" s="5">
        <v>19612</v>
      </c>
    </row>
    <row r="19394" spans="2:8" ht="15" customHeight="1" x14ac:dyDescent="0.4">
      <c r="B19394" s="3" t="s">
        <v>7</v>
      </c>
      <c r="C19394" s="3" t="s">
        <v>3107</v>
      </c>
      <c r="D19394" s="4">
        <f>DATE(2014,3,7)</f>
        <v>41705</v>
      </c>
      <c r="E19394" s="5">
        <f t="shared" si="316"/>
        <v>2014</v>
      </c>
      <c r="F19394" s="3" t="s">
        <v>3109</v>
      </c>
      <c r="G19394" s="6">
        <v>13233.85</v>
      </c>
      <c r="H19394" s="5">
        <v>19658</v>
      </c>
    </row>
    <row r="19395" spans="2:8" ht="15" customHeight="1" x14ac:dyDescent="0.4">
      <c r="B19395" s="3" t="s">
        <v>7</v>
      </c>
      <c r="C19395" s="3" t="s">
        <v>3107</v>
      </c>
      <c r="D19395" s="4">
        <f>DATE(2014,5,13)</f>
        <v>41772</v>
      </c>
      <c r="E19395" s="5">
        <f t="shared" ref="E19395:E19458" si="317">YEAR(D19395)</f>
        <v>2014</v>
      </c>
      <c r="F19395" s="3" t="s">
        <v>3109</v>
      </c>
      <c r="G19395" s="6">
        <v>4751.57</v>
      </c>
      <c r="H19395" s="5">
        <v>19023</v>
      </c>
    </row>
    <row r="19396" spans="2:8" ht="15" customHeight="1" x14ac:dyDescent="0.4">
      <c r="B19396" s="3" t="s">
        <v>7</v>
      </c>
      <c r="C19396" s="3" t="s">
        <v>3107</v>
      </c>
      <c r="D19396" s="4">
        <f>DATE(2014,5,15)</f>
        <v>41774</v>
      </c>
      <c r="E19396" s="5">
        <f t="shared" si="317"/>
        <v>2014</v>
      </c>
      <c r="F19396" s="3" t="s">
        <v>3109</v>
      </c>
      <c r="G19396" s="6">
        <v>6969.18</v>
      </c>
      <c r="H19396" s="5">
        <v>19982</v>
      </c>
    </row>
    <row r="19397" spans="2:8" ht="15" customHeight="1" x14ac:dyDescent="0.4">
      <c r="B19397" s="3" t="s">
        <v>7</v>
      </c>
      <c r="C19397" s="3" t="s">
        <v>3107</v>
      </c>
      <c r="D19397" s="4">
        <f>DATE(2014,6,3)</f>
        <v>41793</v>
      </c>
      <c r="E19397" s="5">
        <f t="shared" si="317"/>
        <v>2014</v>
      </c>
      <c r="F19397" s="3" t="s">
        <v>3109</v>
      </c>
      <c r="G19397" s="6">
        <v>229.54</v>
      </c>
      <c r="H19397" s="5">
        <v>20047</v>
      </c>
    </row>
    <row r="19398" spans="2:8" ht="15" customHeight="1" x14ac:dyDescent="0.4">
      <c r="B19398" s="3" t="s">
        <v>7</v>
      </c>
      <c r="C19398" s="3" t="s">
        <v>3107</v>
      </c>
      <c r="D19398" s="4">
        <f>DATE(2014,8,5)</f>
        <v>41856</v>
      </c>
      <c r="E19398" s="5">
        <f t="shared" si="317"/>
        <v>2014</v>
      </c>
      <c r="F19398" s="3" t="s">
        <v>3109</v>
      </c>
      <c r="G19398" s="6">
        <v>2255.5700000000002</v>
      </c>
      <c r="H19398" s="5">
        <v>20236</v>
      </c>
    </row>
    <row r="19399" spans="2:8" ht="15" customHeight="1" x14ac:dyDescent="0.4">
      <c r="B19399" s="3" t="s">
        <v>7</v>
      </c>
      <c r="C19399" s="3" t="s">
        <v>3107</v>
      </c>
      <c r="D19399" s="4">
        <f>DATE(2014,8,6)</f>
        <v>41857</v>
      </c>
      <c r="E19399" s="5">
        <f t="shared" si="317"/>
        <v>2014</v>
      </c>
      <c r="F19399" s="3" t="s">
        <v>3109</v>
      </c>
      <c r="G19399" s="6">
        <v>5309.39</v>
      </c>
      <c r="H19399" s="5">
        <v>20274</v>
      </c>
    </row>
    <row r="19400" spans="2:8" ht="15" customHeight="1" x14ac:dyDescent="0.4">
      <c r="B19400" s="3" t="s">
        <v>7</v>
      </c>
      <c r="C19400" s="3" t="s">
        <v>3107</v>
      </c>
      <c r="D19400" s="4">
        <f>DATE(2014,8,8)</f>
        <v>41859</v>
      </c>
      <c r="E19400" s="5">
        <f t="shared" si="317"/>
        <v>2014</v>
      </c>
      <c r="F19400" s="3" t="s">
        <v>3109</v>
      </c>
      <c r="G19400" s="6">
        <v>723.22</v>
      </c>
      <c r="H19400" s="5">
        <v>20281</v>
      </c>
    </row>
    <row r="19401" spans="2:8" ht="15" customHeight="1" x14ac:dyDescent="0.4">
      <c r="B19401" s="3" t="s">
        <v>7</v>
      </c>
      <c r="C19401" s="3" t="s">
        <v>3107</v>
      </c>
      <c r="D19401" s="4">
        <f>DATE(2014,8,13)</f>
        <v>41864</v>
      </c>
      <c r="E19401" s="5">
        <f t="shared" si="317"/>
        <v>2014</v>
      </c>
      <c r="F19401" s="3" t="s">
        <v>3109</v>
      </c>
      <c r="G19401" s="6">
        <v>1461.52</v>
      </c>
      <c r="H19401" s="5">
        <v>20289</v>
      </c>
    </row>
    <row r="19402" spans="2:8" ht="15" customHeight="1" x14ac:dyDescent="0.4">
      <c r="B19402" s="3" t="s">
        <v>7</v>
      </c>
      <c r="C19402" s="3" t="s">
        <v>3107</v>
      </c>
      <c r="D19402" s="4">
        <f>DATE(2014,8,22)</f>
        <v>41873</v>
      </c>
      <c r="E19402" s="5">
        <f t="shared" si="317"/>
        <v>2014</v>
      </c>
      <c r="F19402" s="3" t="s">
        <v>3109</v>
      </c>
      <c r="G19402" s="6">
        <v>1700.38</v>
      </c>
      <c r="H19402" s="5">
        <v>20331</v>
      </c>
    </row>
    <row r="19403" spans="2:8" ht="15" customHeight="1" x14ac:dyDescent="0.4">
      <c r="B19403" s="3" t="s">
        <v>7</v>
      </c>
      <c r="C19403" s="3" t="s">
        <v>3107</v>
      </c>
      <c r="D19403" s="4">
        <f>DATE(2014,8,28)</f>
        <v>41879</v>
      </c>
      <c r="E19403" s="5">
        <f t="shared" si="317"/>
        <v>2014</v>
      </c>
      <c r="F19403" s="3" t="s">
        <v>3109</v>
      </c>
      <c r="G19403" s="6">
        <v>21060.799999999999</v>
      </c>
      <c r="H19403" s="5">
        <v>20228</v>
      </c>
    </row>
    <row r="19404" spans="2:8" ht="15" customHeight="1" x14ac:dyDescent="0.4">
      <c r="B19404" s="3" t="s">
        <v>7</v>
      </c>
      <c r="C19404" s="3" t="s">
        <v>3107</v>
      </c>
      <c r="D19404" s="4">
        <f>DATE(2014,9,11)</f>
        <v>41893</v>
      </c>
      <c r="E19404" s="5">
        <f t="shared" si="317"/>
        <v>2014</v>
      </c>
      <c r="F19404" s="3" t="s">
        <v>3109</v>
      </c>
      <c r="G19404" s="6">
        <v>19601.68</v>
      </c>
      <c r="H19404" s="5">
        <v>20404</v>
      </c>
    </row>
    <row r="19405" spans="2:8" ht="15" customHeight="1" x14ac:dyDescent="0.4">
      <c r="B19405" s="3" t="s">
        <v>7</v>
      </c>
      <c r="C19405" s="3" t="s">
        <v>3107</v>
      </c>
      <c r="D19405" s="4">
        <f>DATE(2014,10,22)</f>
        <v>41934</v>
      </c>
      <c r="E19405" s="5">
        <f t="shared" si="317"/>
        <v>2014</v>
      </c>
      <c r="F19405" s="3" t="s">
        <v>3109</v>
      </c>
      <c r="G19405" s="6">
        <v>2939.15</v>
      </c>
      <c r="H19405" s="5">
        <v>20551</v>
      </c>
    </row>
    <row r="19406" spans="2:8" ht="15" customHeight="1" x14ac:dyDescent="0.4">
      <c r="B19406" s="3" t="s">
        <v>7</v>
      </c>
      <c r="C19406" s="3" t="s">
        <v>3107</v>
      </c>
      <c r="D19406" s="4">
        <f>DATE(2014,10,31)</f>
        <v>41943</v>
      </c>
      <c r="E19406" s="5">
        <f t="shared" si="317"/>
        <v>2014</v>
      </c>
      <c r="F19406" s="3" t="s">
        <v>3109</v>
      </c>
      <c r="G19406" s="6">
        <v>2300.9499999999998</v>
      </c>
      <c r="H19406" s="5">
        <v>20584</v>
      </c>
    </row>
    <row r="19407" spans="2:8" ht="15" customHeight="1" x14ac:dyDescent="0.4">
      <c r="B19407" s="3" t="s">
        <v>7</v>
      </c>
      <c r="C19407" s="3" t="s">
        <v>3107</v>
      </c>
      <c r="D19407" s="4">
        <f>DATE(2014,11,4)</f>
        <v>41947</v>
      </c>
      <c r="E19407" s="5">
        <f t="shared" si="317"/>
        <v>2014</v>
      </c>
      <c r="F19407" s="3" t="s">
        <v>3109</v>
      </c>
      <c r="G19407" s="6">
        <v>1734.82</v>
      </c>
      <c r="H19407" s="5">
        <v>20598</v>
      </c>
    </row>
    <row r="19408" spans="2:8" ht="15" customHeight="1" x14ac:dyDescent="0.4">
      <c r="B19408" s="3" t="s">
        <v>7</v>
      </c>
      <c r="C19408" s="3" t="s">
        <v>3107</v>
      </c>
      <c r="D19408" s="4">
        <f>DATE(2014,11,10)</f>
        <v>41953</v>
      </c>
      <c r="E19408" s="5">
        <f t="shared" si="317"/>
        <v>2014</v>
      </c>
      <c r="F19408" s="3" t="s">
        <v>3109</v>
      </c>
      <c r="G19408" s="6">
        <v>2688.17</v>
      </c>
      <c r="H19408" s="5">
        <v>20627</v>
      </c>
    </row>
    <row r="19409" spans="2:8" ht="15" customHeight="1" x14ac:dyDescent="0.4">
      <c r="B19409" s="3" t="s">
        <v>7</v>
      </c>
      <c r="C19409" s="3" t="s">
        <v>3107</v>
      </c>
      <c r="D19409" s="4">
        <f>DATE(2014,12,12)</f>
        <v>41985</v>
      </c>
      <c r="E19409" s="5">
        <f t="shared" si="317"/>
        <v>2014</v>
      </c>
      <c r="F19409" s="3" t="s">
        <v>3109</v>
      </c>
      <c r="G19409" s="6">
        <v>4187</v>
      </c>
      <c r="H19409" s="5">
        <v>20720</v>
      </c>
    </row>
    <row r="19410" spans="2:8" ht="15" customHeight="1" x14ac:dyDescent="0.4">
      <c r="B19410" t="s">
        <v>7</v>
      </c>
      <c r="C19410" t="s">
        <v>3110</v>
      </c>
      <c r="D19410" s="7">
        <f>DATE(2015,6,29)</f>
        <v>42184</v>
      </c>
      <c r="E19410" s="8">
        <f t="shared" si="317"/>
        <v>2015</v>
      </c>
      <c r="F19410" t="s">
        <v>3111</v>
      </c>
      <c r="G19410" s="9">
        <v>9750</v>
      </c>
      <c r="H19410" s="8">
        <v>20767</v>
      </c>
    </row>
    <row r="19411" spans="2:8" ht="15" customHeight="1" x14ac:dyDescent="0.4">
      <c r="B19411" t="s">
        <v>7</v>
      </c>
      <c r="C19411" t="s">
        <v>3110</v>
      </c>
      <c r="D19411" s="7">
        <f>DATE(2017,1,3)</f>
        <v>42738</v>
      </c>
      <c r="E19411" s="8">
        <f t="shared" si="317"/>
        <v>2017</v>
      </c>
      <c r="F19411" t="s">
        <v>3111</v>
      </c>
      <c r="G19411" s="9">
        <v>5425</v>
      </c>
      <c r="H19411" s="8">
        <v>24036</v>
      </c>
    </row>
    <row r="19412" spans="2:8" ht="15" customHeight="1" x14ac:dyDescent="0.4">
      <c r="B19412" t="s">
        <v>7</v>
      </c>
      <c r="C19412" t="s">
        <v>3110</v>
      </c>
      <c r="D19412" s="7">
        <f>DATE(2017,5,5)</f>
        <v>42860</v>
      </c>
      <c r="E19412" s="8">
        <f t="shared" si="317"/>
        <v>2017</v>
      </c>
      <c r="F19412" t="s">
        <v>3111</v>
      </c>
      <c r="G19412" s="9">
        <v>12400</v>
      </c>
      <c r="H19412" s="8">
        <v>24777</v>
      </c>
    </row>
    <row r="19413" spans="2:8" ht="15" customHeight="1" x14ac:dyDescent="0.4">
      <c r="B19413" t="s">
        <v>7</v>
      </c>
      <c r="C19413" t="s">
        <v>3110</v>
      </c>
      <c r="D19413" s="7">
        <f>DATE(2018,5,21)</f>
        <v>43241</v>
      </c>
      <c r="E19413" s="8">
        <f t="shared" si="317"/>
        <v>2018</v>
      </c>
      <c r="F19413" t="s">
        <v>3111</v>
      </c>
      <c r="G19413" s="9">
        <v>14069</v>
      </c>
      <c r="H19413" s="8">
        <v>26946</v>
      </c>
    </row>
    <row r="19414" spans="2:8" ht="15" customHeight="1" x14ac:dyDescent="0.4">
      <c r="B19414" t="s">
        <v>7</v>
      </c>
      <c r="C19414" t="s">
        <v>3110</v>
      </c>
      <c r="D19414" s="7">
        <f>DATE(2017,7,3)</f>
        <v>42919</v>
      </c>
      <c r="E19414" s="8">
        <f t="shared" si="317"/>
        <v>2017</v>
      </c>
      <c r="F19414" t="s">
        <v>3111</v>
      </c>
      <c r="G19414" s="9">
        <v>268.08</v>
      </c>
      <c r="H19414" s="8">
        <v>25170</v>
      </c>
    </row>
    <row r="19415" spans="2:8" ht="15" customHeight="1" x14ac:dyDescent="0.4">
      <c r="B19415" t="s">
        <v>7</v>
      </c>
      <c r="C19415" t="s">
        <v>3110</v>
      </c>
      <c r="D19415" s="7">
        <f>DATE(2015,6,16)</f>
        <v>42171</v>
      </c>
      <c r="E19415" s="8">
        <f t="shared" si="317"/>
        <v>2015</v>
      </c>
      <c r="F19415" t="s">
        <v>3111</v>
      </c>
      <c r="G19415" s="9">
        <v>4230.32</v>
      </c>
      <c r="H19415" s="8">
        <v>20766</v>
      </c>
    </row>
    <row r="19416" spans="2:8" ht="15" customHeight="1" x14ac:dyDescent="0.4">
      <c r="B19416" t="s">
        <v>7</v>
      </c>
      <c r="C19416" t="s">
        <v>3110</v>
      </c>
      <c r="D19416" s="7">
        <f>DATE(2016,5,2)</f>
        <v>42492</v>
      </c>
      <c r="E19416" s="8">
        <f t="shared" si="317"/>
        <v>2016</v>
      </c>
      <c r="F19416" t="s">
        <v>3111</v>
      </c>
      <c r="G19416" s="9">
        <v>4731.1000000000004</v>
      </c>
      <c r="H19416" s="8">
        <v>22673</v>
      </c>
    </row>
    <row r="19417" spans="2:8" ht="15" customHeight="1" x14ac:dyDescent="0.4">
      <c r="B19417" t="s">
        <v>7</v>
      </c>
      <c r="C19417" t="s">
        <v>3110</v>
      </c>
      <c r="D19417" s="7">
        <f>DATE(2017,10,5)</f>
        <v>43013</v>
      </c>
      <c r="E19417" s="8">
        <f t="shared" si="317"/>
        <v>2017</v>
      </c>
      <c r="F19417" t="s">
        <v>3111</v>
      </c>
      <c r="G19417" s="9">
        <v>4476.8900000000003</v>
      </c>
      <c r="H19417" s="8">
        <v>25570</v>
      </c>
    </row>
    <row r="19418" spans="2:8" ht="15" customHeight="1" x14ac:dyDescent="0.4">
      <c r="B19418" t="s">
        <v>7</v>
      </c>
      <c r="C19418" t="s">
        <v>3110</v>
      </c>
      <c r="D19418" s="7">
        <f>DATE(2008,1,12)</f>
        <v>39459</v>
      </c>
      <c r="E19418" s="8">
        <f t="shared" si="317"/>
        <v>2008</v>
      </c>
      <c r="F19418" t="s">
        <v>3111</v>
      </c>
      <c r="G19418" s="9">
        <v>5918.84</v>
      </c>
      <c r="H19418" s="8">
        <v>6780</v>
      </c>
    </row>
    <row r="19419" spans="2:8" ht="15" customHeight="1" x14ac:dyDescent="0.4">
      <c r="B19419" t="s">
        <v>7</v>
      </c>
      <c r="C19419" t="s">
        <v>3110</v>
      </c>
      <c r="D19419" s="7">
        <f>DATE(2008,3,4)</f>
        <v>39511</v>
      </c>
      <c r="E19419" s="8">
        <f t="shared" si="317"/>
        <v>2008</v>
      </c>
      <c r="F19419" t="s">
        <v>3111</v>
      </c>
      <c r="G19419" s="9">
        <v>5800</v>
      </c>
      <c r="H19419" s="8">
        <v>6950</v>
      </c>
    </row>
    <row r="19420" spans="2:8" ht="15" customHeight="1" x14ac:dyDescent="0.4">
      <c r="B19420" t="s">
        <v>7</v>
      </c>
      <c r="C19420" t="s">
        <v>3110</v>
      </c>
      <c r="D19420" s="7">
        <f>DATE(2009,2,16)</f>
        <v>39860</v>
      </c>
      <c r="E19420" s="8">
        <f t="shared" si="317"/>
        <v>2009</v>
      </c>
      <c r="F19420" t="s">
        <v>3111</v>
      </c>
      <c r="G19420" s="9">
        <v>5029.8900000000003</v>
      </c>
      <c r="H19420" s="8">
        <v>8282</v>
      </c>
    </row>
    <row r="19421" spans="2:8" ht="15" customHeight="1" x14ac:dyDescent="0.4">
      <c r="B19421" t="s">
        <v>7</v>
      </c>
      <c r="C19421" t="s">
        <v>3110</v>
      </c>
      <c r="D19421" s="7">
        <f>DATE(2009,5,4)</f>
        <v>39937</v>
      </c>
      <c r="E19421" s="8">
        <f t="shared" si="317"/>
        <v>2009</v>
      </c>
      <c r="F19421" t="s">
        <v>3111</v>
      </c>
      <c r="G19421" s="9">
        <v>7850</v>
      </c>
      <c r="H19421" s="8">
        <v>8665</v>
      </c>
    </row>
    <row r="19422" spans="2:8" ht="15" customHeight="1" x14ac:dyDescent="0.4">
      <c r="B19422" t="s">
        <v>7</v>
      </c>
      <c r="C19422" t="s">
        <v>3110</v>
      </c>
      <c r="D19422" s="7">
        <f>DATE(2010,3,23)</f>
        <v>40260</v>
      </c>
      <c r="E19422" s="8">
        <f t="shared" si="317"/>
        <v>2010</v>
      </c>
      <c r="F19422" t="s">
        <v>3111</v>
      </c>
      <c r="G19422" s="9">
        <v>5800</v>
      </c>
      <c r="H19422" s="8">
        <v>9580</v>
      </c>
    </row>
    <row r="19423" spans="2:8" ht="15" customHeight="1" x14ac:dyDescent="0.4">
      <c r="B19423" t="s">
        <v>7</v>
      </c>
      <c r="C19423" t="s">
        <v>3110</v>
      </c>
      <c r="D19423" s="7">
        <f>DATE(2010,5,6)</f>
        <v>40304</v>
      </c>
      <c r="E19423" s="8">
        <f t="shared" si="317"/>
        <v>2010</v>
      </c>
      <c r="F19423" t="s">
        <v>3111</v>
      </c>
      <c r="G19423" s="9">
        <v>5800</v>
      </c>
      <c r="H19423" s="8">
        <v>9822</v>
      </c>
    </row>
    <row r="19424" spans="2:8" ht="15" customHeight="1" x14ac:dyDescent="0.4">
      <c r="B19424" t="s">
        <v>7</v>
      </c>
      <c r="C19424" t="s">
        <v>3110</v>
      </c>
      <c r="D19424" s="7">
        <f>DATE(2004,9,9)</f>
        <v>38239</v>
      </c>
      <c r="E19424" s="8">
        <f t="shared" si="317"/>
        <v>2004</v>
      </c>
      <c r="F19424" t="s">
        <v>3112</v>
      </c>
      <c r="G19424" s="9">
        <v>2680.57</v>
      </c>
      <c r="H19424" s="8">
        <v>2117</v>
      </c>
    </row>
    <row r="19425" spans="2:8" ht="15" customHeight="1" x14ac:dyDescent="0.4">
      <c r="B19425" t="s">
        <v>7</v>
      </c>
      <c r="C19425" t="s">
        <v>3110</v>
      </c>
      <c r="D19425" s="7">
        <f>DATE(2004,9,13)</f>
        <v>38243</v>
      </c>
      <c r="E19425" s="8">
        <f t="shared" si="317"/>
        <v>2004</v>
      </c>
      <c r="F19425" t="s">
        <v>3112</v>
      </c>
      <c r="G19425" s="9">
        <v>4200</v>
      </c>
      <c r="H19425" s="8">
        <v>2132</v>
      </c>
    </row>
    <row r="19426" spans="2:8" ht="15" customHeight="1" x14ac:dyDescent="0.4">
      <c r="B19426" t="s">
        <v>7</v>
      </c>
      <c r="C19426" t="s">
        <v>3110</v>
      </c>
      <c r="D19426" s="7">
        <f>DATE(2004,9,15)</f>
        <v>38245</v>
      </c>
      <c r="E19426" s="8">
        <f t="shared" si="317"/>
        <v>2004</v>
      </c>
      <c r="F19426" t="s">
        <v>3112</v>
      </c>
      <c r="G19426" s="9">
        <v>4200</v>
      </c>
      <c r="H19426" s="8">
        <v>2133</v>
      </c>
    </row>
    <row r="19427" spans="2:8" ht="15" customHeight="1" x14ac:dyDescent="0.4">
      <c r="B19427" t="s">
        <v>7</v>
      </c>
      <c r="C19427" t="s">
        <v>3110</v>
      </c>
      <c r="D19427" s="7">
        <f>DATE(2005,8,8)</f>
        <v>38572</v>
      </c>
      <c r="E19427" s="8">
        <f t="shared" si="317"/>
        <v>2005</v>
      </c>
      <c r="F19427" t="s">
        <v>3112</v>
      </c>
      <c r="G19427" s="9">
        <v>3096.16</v>
      </c>
      <c r="H19427" s="8">
        <v>3442</v>
      </c>
    </row>
    <row r="19428" spans="2:8" ht="15" customHeight="1" x14ac:dyDescent="0.4">
      <c r="B19428" t="s">
        <v>7</v>
      </c>
      <c r="C19428" t="s">
        <v>3110</v>
      </c>
      <c r="D19428" s="7">
        <f>DATE(2006,7,25)</f>
        <v>38923</v>
      </c>
      <c r="E19428" s="8">
        <f t="shared" si="317"/>
        <v>2006</v>
      </c>
      <c r="F19428" t="s">
        <v>3112</v>
      </c>
      <c r="G19428" s="9">
        <v>2218.92</v>
      </c>
      <c r="H19428" s="8">
        <v>4799</v>
      </c>
    </row>
    <row r="19429" spans="2:8" ht="15" customHeight="1" x14ac:dyDescent="0.4">
      <c r="B19429" t="s">
        <v>7</v>
      </c>
      <c r="C19429" t="s">
        <v>3110</v>
      </c>
      <c r="D19429" s="7">
        <f>DATE(2006,12,15)</f>
        <v>39066</v>
      </c>
      <c r="E19429" s="8">
        <f t="shared" si="317"/>
        <v>2006</v>
      </c>
      <c r="F19429" t="s">
        <v>3112</v>
      </c>
      <c r="G19429" s="9">
        <v>5232.96</v>
      </c>
      <c r="H19429" s="8">
        <v>5272</v>
      </c>
    </row>
    <row r="19430" spans="2:8" ht="15" customHeight="1" x14ac:dyDescent="0.4">
      <c r="B19430" s="3" t="s">
        <v>7</v>
      </c>
      <c r="C19430" s="3" t="s">
        <v>3110</v>
      </c>
      <c r="D19430" s="4">
        <f>DATE(2004,2,10)</f>
        <v>38027</v>
      </c>
      <c r="E19430" s="5">
        <f t="shared" si="317"/>
        <v>2004</v>
      </c>
      <c r="F19430" s="3" t="s">
        <v>3112</v>
      </c>
      <c r="G19430" s="6">
        <v>814</v>
      </c>
      <c r="H19430" s="5">
        <v>2140</v>
      </c>
    </row>
    <row r="19431" spans="2:8" ht="15" customHeight="1" x14ac:dyDescent="0.4">
      <c r="B19431" s="3" t="s">
        <v>7</v>
      </c>
      <c r="C19431" s="3" t="s">
        <v>3110</v>
      </c>
      <c r="D19431" s="4">
        <f>DATE(2005,3,28)</f>
        <v>38439</v>
      </c>
      <c r="E19431" s="5">
        <f t="shared" si="317"/>
        <v>2005</v>
      </c>
      <c r="F19431" s="3" t="s">
        <v>3112</v>
      </c>
      <c r="G19431" s="6">
        <v>66.12</v>
      </c>
      <c r="H19431" s="5">
        <v>4427</v>
      </c>
    </row>
    <row r="19432" spans="2:8" ht="15" customHeight="1" x14ac:dyDescent="0.4">
      <c r="B19432" t="s">
        <v>7</v>
      </c>
      <c r="C19432" t="s">
        <v>3113</v>
      </c>
      <c r="D19432" s="7">
        <f>DATE(2003,4,22)</f>
        <v>37733</v>
      </c>
      <c r="E19432" s="8">
        <f t="shared" si="317"/>
        <v>2003</v>
      </c>
      <c r="F19432" t="s">
        <v>3114</v>
      </c>
      <c r="G19432" s="9">
        <v>2439.65</v>
      </c>
      <c r="H19432" s="8">
        <v>506</v>
      </c>
    </row>
    <row r="19433" spans="2:8" ht="15" customHeight="1" x14ac:dyDescent="0.4">
      <c r="B19433" t="s">
        <v>7</v>
      </c>
      <c r="C19433" t="s">
        <v>3113</v>
      </c>
      <c r="D19433" s="7">
        <f>DATE(2004,1,16)</f>
        <v>38002</v>
      </c>
      <c r="E19433" s="8">
        <f t="shared" si="317"/>
        <v>2004</v>
      </c>
      <c r="F19433" t="s">
        <v>3114</v>
      </c>
      <c r="G19433" s="9">
        <v>2398.86</v>
      </c>
      <c r="H19433" s="8">
        <v>1137</v>
      </c>
    </row>
    <row r="19434" spans="2:8" ht="15" customHeight="1" x14ac:dyDescent="0.4">
      <c r="B19434" t="s">
        <v>7</v>
      </c>
      <c r="C19434" t="s">
        <v>3113</v>
      </c>
      <c r="D19434" s="7">
        <f>DATE(2006,8,19)</f>
        <v>38948</v>
      </c>
      <c r="E19434" s="8">
        <f t="shared" si="317"/>
        <v>2006</v>
      </c>
      <c r="F19434" t="s">
        <v>3114</v>
      </c>
      <c r="G19434" s="9">
        <v>2524.66</v>
      </c>
      <c r="H19434" s="8">
        <v>4923</v>
      </c>
    </row>
    <row r="19435" spans="2:8" ht="15" customHeight="1" x14ac:dyDescent="0.4">
      <c r="B19435" t="s">
        <v>7</v>
      </c>
      <c r="C19435" t="s">
        <v>3113</v>
      </c>
      <c r="D19435" s="7">
        <f>DATE(2006,12,1)</f>
        <v>39052</v>
      </c>
      <c r="E19435" s="8">
        <f t="shared" si="317"/>
        <v>2006</v>
      </c>
      <c r="F19435" t="s">
        <v>3114</v>
      </c>
      <c r="G19435" s="9">
        <v>2852.83</v>
      </c>
      <c r="H19435" s="8">
        <v>5180</v>
      </c>
    </row>
    <row r="19436" spans="2:8" ht="15" customHeight="1" x14ac:dyDescent="0.4">
      <c r="B19436" t="s">
        <v>7</v>
      </c>
      <c r="C19436" t="s">
        <v>3113</v>
      </c>
      <c r="D19436" s="7">
        <f>DATE(2010,11,5)</f>
        <v>40487</v>
      </c>
      <c r="E19436" s="8">
        <f t="shared" si="317"/>
        <v>2010</v>
      </c>
      <c r="F19436" t="s">
        <v>3114</v>
      </c>
      <c r="G19436" s="9">
        <v>1889.24</v>
      </c>
      <c r="H19436" s="8">
        <v>10164</v>
      </c>
    </row>
    <row r="19437" spans="2:8" ht="15" customHeight="1" x14ac:dyDescent="0.4">
      <c r="B19437" s="3" t="s">
        <v>7</v>
      </c>
      <c r="C19437" s="3" t="s">
        <v>3113</v>
      </c>
      <c r="D19437" s="4">
        <f>DATE(2005,3,16)</f>
        <v>38427</v>
      </c>
      <c r="E19437" s="5">
        <f t="shared" si="317"/>
        <v>2005</v>
      </c>
      <c r="F19437" s="3" t="s">
        <v>3114</v>
      </c>
      <c r="G19437" s="6">
        <v>7600</v>
      </c>
      <c r="H19437" s="5">
        <v>4336</v>
      </c>
    </row>
    <row r="19438" spans="2:8" ht="15" customHeight="1" x14ac:dyDescent="0.4">
      <c r="B19438" t="s">
        <v>7</v>
      </c>
      <c r="C19438" t="s">
        <v>3115</v>
      </c>
      <c r="D19438" s="7">
        <f>DATE(2003,3,27)</f>
        <v>37707</v>
      </c>
      <c r="E19438" s="8">
        <f t="shared" si="317"/>
        <v>2003</v>
      </c>
      <c r="F19438" t="s">
        <v>3116</v>
      </c>
      <c r="G19438" s="9">
        <v>5265.02</v>
      </c>
      <c r="H19438" s="8">
        <v>390</v>
      </c>
    </row>
    <row r="19439" spans="2:8" ht="15" customHeight="1" x14ac:dyDescent="0.4">
      <c r="B19439" t="s">
        <v>7</v>
      </c>
      <c r="C19439" t="s">
        <v>3115</v>
      </c>
      <c r="D19439" s="7">
        <f>DATE(2003,12,23)</f>
        <v>37978</v>
      </c>
      <c r="E19439" s="8">
        <f t="shared" si="317"/>
        <v>2003</v>
      </c>
      <c r="F19439" t="s">
        <v>3116</v>
      </c>
      <c r="G19439" s="9">
        <v>6770.62</v>
      </c>
      <c r="H19439" s="8">
        <v>1103</v>
      </c>
    </row>
    <row r="19440" spans="2:8" ht="15" customHeight="1" x14ac:dyDescent="0.4">
      <c r="B19440" t="s">
        <v>7</v>
      </c>
      <c r="C19440" t="s">
        <v>3115</v>
      </c>
      <c r="D19440" s="7">
        <f>DATE(2004,9,26)</f>
        <v>38256</v>
      </c>
      <c r="E19440" s="8">
        <f t="shared" si="317"/>
        <v>2004</v>
      </c>
      <c r="F19440" t="s">
        <v>3116</v>
      </c>
      <c r="G19440" s="9">
        <v>6621.43</v>
      </c>
      <c r="H19440" s="8">
        <v>2247</v>
      </c>
    </row>
    <row r="19441" spans="2:8" ht="15" customHeight="1" x14ac:dyDescent="0.4">
      <c r="B19441" t="s">
        <v>7</v>
      </c>
      <c r="C19441" t="s">
        <v>3115</v>
      </c>
      <c r="D19441" s="7">
        <f>DATE(2007,7,12)</f>
        <v>39275</v>
      </c>
      <c r="E19441" s="8">
        <f t="shared" si="317"/>
        <v>2007</v>
      </c>
      <c r="F19441" t="s">
        <v>3116</v>
      </c>
      <c r="G19441" s="9">
        <v>2346.98</v>
      </c>
      <c r="H19441" s="8">
        <v>6116</v>
      </c>
    </row>
    <row r="19442" spans="2:8" ht="15" customHeight="1" x14ac:dyDescent="0.4">
      <c r="B19442" s="3" t="s">
        <v>7</v>
      </c>
      <c r="C19442" s="3" t="s">
        <v>3115</v>
      </c>
      <c r="D19442" s="4">
        <f>DATE(2004,2,12)</f>
        <v>38029</v>
      </c>
      <c r="E19442" s="5">
        <f t="shared" si="317"/>
        <v>2004</v>
      </c>
      <c r="F19442" s="3" t="s">
        <v>3116</v>
      </c>
      <c r="G19442" s="6">
        <v>3450</v>
      </c>
      <c r="H19442" s="5">
        <v>2078</v>
      </c>
    </row>
    <row r="19443" spans="2:8" ht="15" customHeight="1" x14ac:dyDescent="0.4">
      <c r="B19443" s="3" t="s">
        <v>7</v>
      </c>
      <c r="C19443" s="3" t="s">
        <v>3115</v>
      </c>
      <c r="D19443" s="4">
        <f>DATE(2005,12,20)</f>
        <v>38706</v>
      </c>
      <c r="E19443" s="5">
        <f t="shared" si="317"/>
        <v>2005</v>
      </c>
      <c r="F19443" s="3" t="s">
        <v>3116</v>
      </c>
      <c r="G19443" s="6">
        <v>3900</v>
      </c>
      <c r="H19443" s="5">
        <v>5749</v>
      </c>
    </row>
    <row r="19444" spans="2:8" ht="15" customHeight="1" x14ac:dyDescent="0.4">
      <c r="B19444" s="3" t="s">
        <v>7</v>
      </c>
      <c r="C19444" s="3" t="s">
        <v>3115</v>
      </c>
      <c r="D19444" s="4">
        <f>DATE(2007,3,8)</f>
        <v>39149</v>
      </c>
      <c r="E19444" s="5">
        <f t="shared" si="317"/>
        <v>2007</v>
      </c>
      <c r="F19444" s="3" t="s">
        <v>3116</v>
      </c>
      <c r="G19444" s="6">
        <v>657.8</v>
      </c>
      <c r="H19444" s="5">
        <v>8109</v>
      </c>
    </row>
    <row r="19445" spans="2:8" ht="15" customHeight="1" x14ac:dyDescent="0.4">
      <c r="B19445" s="3" t="s">
        <v>7</v>
      </c>
      <c r="C19445" s="3" t="s">
        <v>3115</v>
      </c>
      <c r="D19445" s="4">
        <f>DATE(2007,3,27)</f>
        <v>39168</v>
      </c>
      <c r="E19445" s="5">
        <f t="shared" si="317"/>
        <v>2007</v>
      </c>
      <c r="F19445" s="3" t="s">
        <v>3116</v>
      </c>
      <c r="G19445" s="6">
        <v>404.9</v>
      </c>
      <c r="H19445" s="5">
        <v>8256</v>
      </c>
    </row>
    <row r="19446" spans="2:8" ht="15" customHeight="1" x14ac:dyDescent="0.4">
      <c r="B19446" s="3" t="s">
        <v>7</v>
      </c>
      <c r="C19446" s="3" t="s">
        <v>3115</v>
      </c>
      <c r="D19446" s="4">
        <f>DATE(2007,11,2)</f>
        <v>39388</v>
      </c>
      <c r="E19446" s="5">
        <f t="shared" si="317"/>
        <v>2007</v>
      </c>
      <c r="F19446" s="3" t="s">
        <v>3116</v>
      </c>
      <c r="G19446" s="6">
        <v>2646</v>
      </c>
      <c r="H19446" s="5">
        <v>9407</v>
      </c>
    </row>
    <row r="19447" spans="2:8" ht="15" customHeight="1" x14ac:dyDescent="0.4">
      <c r="B19447" s="3" t="s">
        <v>7</v>
      </c>
      <c r="C19447" s="3" t="s">
        <v>3115</v>
      </c>
      <c r="D19447" s="4">
        <f>DATE(2008,1,10)</f>
        <v>39457</v>
      </c>
      <c r="E19447" s="5">
        <f t="shared" si="317"/>
        <v>2008</v>
      </c>
      <c r="F19447" s="3" t="s">
        <v>3116</v>
      </c>
      <c r="G19447" s="6">
        <v>7100</v>
      </c>
      <c r="H19447" s="5">
        <v>9680</v>
      </c>
    </row>
    <row r="19448" spans="2:8" ht="15" customHeight="1" x14ac:dyDescent="0.4">
      <c r="B19448" s="3" t="s">
        <v>7</v>
      </c>
      <c r="C19448" s="3" t="s">
        <v>3115</v>
      </c>
      <c r="D19448" s="4">
        <f>DATE(2008,10,28)</f>
        <v>39749</v>
      </c>
      <c r="E19448" s="5">
        <f t="shared" si="317"/>
        <v>2008</v>
      </c>
      <c r="F19448" s="3" t="s">
        <v>3116</v>
      </c>
      <c r="G19448" s="6">
        <v>7600</v>
      </c>
      <c r="H19448" s="5">
        <v>11488</v>
      </c>
    </row>
    <row r="19449" spans="2:8" ht="15" customHeight="1" x14ac:dyDescent="0.4">
      <c r="B19449" t="s">
        <v>7</v>
      </c>
      <c r="C19449" t="s">
        <v>3115</v>
      </c>
      <c r="D19449" s="7">
        <f>DATE(2009,4,23)</f>
        <v>39926</v>
      </c>
      <c r="E19449" s="8">
        <f t="shared" si="317"/>
        <v>2009</v>
      </c>
      <c r="F19449" t="s">
        <v>3116</v>
      </c>
      <c r="G19449" s="9">
        <v>62904.97</v>
      </c>
      <c r="H19449" s="8">
        <v>194</v>
      </c>
    </row>
    <row r="19450" spans="2:8" ht="15" customHeight="1" x14ac:dyDescent="0.4">
      <c r="B19450" t="s">
        <v>16</v>
      </c>
      <c r="C19450" t="s">
        <v>3115</v>
      </c>
      <c r="D19450" s="7">
        <f>DATE(2009,6,24)</f>
        <v>39988</v>
      </c>
      <c r="E19450" s="8">
        <f t="shared" si="317"/>
        <v>2009</v>
      </c>
      <c r="F19450" t="s">
        <v>3116</v>
      </c>
      <c r="G19450" s="9">
        <v>2336</v>
      </c>
      <c r="H19450" s="8">
        <v>225</v>
      </c>
    </row>
    <row r="19451" spans="2:8" ht="15" customHeight="1" x14ac:dyDescent="0.4">
      <c r="B19451" t="s">
        <v>7</v>
      </c>
      <c r="C19451" t="s">
        <v>3115</v>
      </c>
      <c r="D19451" s="7">
        <f>DATE(2019,4,22)</f>
        <v>43577</v>
      </c>
      <c r="E19451" s="8">
        <f t="shared" si="317"/>
        <v>2019</v>
      </c>
      <c r="F19451" t="s">
        <v>3117</v>
      </c>
      <c r="G19451" s="9">
        <v>17093.32</v>
      </c>
      <c r="H19451" s="8">
        <v>28725</v>
      </c>
    </row>
    <row r="19452" spans="2:8" ht="15" customHeight="1" x14ac:dyDescent="0.4">
      <c r="B19452" t="s">
        <v>7</v>
      </c>
      <c r="C19452" t="s">
        <v>3115</v>
      </c>
      <c r="D19452" s="7">
        <f>DATE(2015,1,23)</f>
        <v>42027</v>
      </c>
      <c r="E19452" s="8">
        <f t="shared" si="317"/>
        <v>2015</v>
      </c>
      <c r="F19452" t="s">
        <v>3117</v>
      </c>
      <c r="G19452" s="9">
        <v>7341.48</v>
      </c>
      <c r="H19452" s="8">
        <v>178</v>
      </c>
    </row>
    <row r="19453" spans="2:8" ht="15" customHeight="1" x14ac:dyDescent="0.4">
      <c r="B19453" t="s">
        <v>7</v>
      </c>
      <c r="C19453" t="s">
        <v>3115</v>
      </c>
      <c r="D19453" s="7">
        <f>DATE(2015,3,3)</f>
        <v>42066</v>
      </c>
      <c r="E19453" s="8">
        <f t="shared" si="317"/>
        <v>2015</v>
      </c>
      <c r="F19453" t="s">
        <v>3117</v>
      </c>
      <c r="G19453" s="9">
        <v>150.37</v>
      </c>
      <c r="H19453" s="8">
        <v>20062</v>
      </c>
    </row>
    <row r="19454" spans="2:8" ht="15" customHeight="1" x14ac:dyDescent="0.4">
      <c r="B19454" t="s">
        <v>7</v>
      </c>
      <c r="C19454" t="s">
        <v>3115</v>
      </c>
      <c r="D19454" s="7">
        <f>DATE(2015,5,14)</f>
        <v>42138</v>
      </c>
      <c r="E19454" s="8">
        <f t="shared" si="317"/>
        <v>2015</v>
      </c>
      <c r="F19454" t="s">
        <v>3117</v>
      </c>
      <c r="G19454" s="9">
        <v>6229.27</v>
      </c>
      <c r="H19454" s="8">
        <v>20553</v>
      </c>
    </row>
    <row r="19455" spans="2:8" ht="15" customHeight="1" x14ac:dyDescent="0.4">
      <c r="B19455" t="s">
        <v>7</v>
      </c>
      <c r="C19455" t="s">
        <v>3115</v>
      </c>
      <c r="D19455" s="7">
        <f>DATE(2015,6,10)</f>
        <v>42165</v>
      </c>
      <c r="E19455" s="8">
        <f t="shared" si="317"/>
        <v>2015</v>
      </c>
      <c r="F19455" t="s">
        <v>3117</v>
      </c>
      <c r="G19455" s="9">
        <v>1151</v>
      </c>
      <c r="H19455" s="8">
        <v>20699</v>
      </c>
    </row>
    <row r="19456" spans="2:8" ht="15" customHeight="1" x14ac:dyDescent="0.4">
      <c r="B19456" t="s">
        <v>7</v>
      </c>
      <c r="C19456" t="s">
        <v>3115</v>
      </c>
      <c r="D19456" s="7">
        <f>DATE(2015,7,15)</f>
        <v>42200</v>
      </c>
      <c r="E19456" s="8">
        <f t="shared" si="317"/>
        <v>2015</v>
      </c>
      <c r="F19456" t="s">
        <v>3117</v>
      </c>
      <c r="G19456" s="9">
        <v>1364</v>
      </c>
      <c r="H19456" s="8">
        <v>20870</v>
      </c>
    </row>
    <row r="19457" spans="2:8" ht="15" customHeight="1" x14ac:dyDescent="0.4">
      <c r="B19457" t="s">
        <v>7</v>
      </c>
      <c r="C19457" t="s">
        <v>3115</v>
      </c>
      <c r="D19457" s="7">
        <f>DATE(2015,8,13)</f>
        <v>42229</v>
      </c>
      <c r="E19457" s="8">
        <f t="shared" si="317"/>
        <v>2015</v>
      </c>
      <c r="F19457" t="s">
        <v>3117</v>
      </c>
      <c r="G19457" s="9">
        <v>1138</v>
      </c>
      <c r="H19457" s="8">
        <v>21031</v>
      </c>
    </row>
    <row r="19458" spans="2:8" ht="15" customHeight="1" x14ac:dyDescent="0.4">
      <c r="B19458" t="s">
        <v>7</v>
      </c>
      <c r="C19458" t="s">
        <v>3115</v>
      </c>
      <c r="D19458" s="7">
        <f>DATE(2015,8,19)</f>
        <v>42235</v>
      </c>
      <c r="E19458" s="8">
        <f t="shared" si="317"/>
        <v>2015</v>
      </c>
      <c r="F19458" t="s">
        <v>3117</v>
      </c>
      <c r="G19458" s="9">
        <v>1192.8</v>
      </c>
      <c r="H19458" s="8">
        <v>21092</v>
      </c>
    </row>
    <row r="19459" spans="2:8" ht="15" customHeight="1" x14ac:dyDescent="0.4">
      <c r="B19459" t="s">
        <v>7</v>
      </c>
      <c r="C19459" t="s">
        <v>3115</v>
      </c>
      <c r="D19459" s="7">
        <f>DATE(2015,9,15)</f>
        <v>42262</v>
      </c>
      <c r="E19459" s="8">
        <f t="shared" ref="E19459:E19522" si="318">YEAR(D19459)</f>
        <v>2015</v>
      </c>
      <c r="F19459" t="s">
        <v>3117</v>
      </c>
      <c r="G19459" s="9">
        <v>7179.08</v>
      </c>
      <c r="H19459" s="8">
        <v>21175</v>
      </c>
    </row>
    <row r="19460" spans="2:8" ht="15" customHeight="1" x14ac:dyDescent="0.4">
      <c r="B19460" t="s">
        <v>7</v>
      </c>
      <c r="C19460" t="s">
        <v>3115</v>
      </c>
      <c r="D19460" s="7">
        <f>DATE(2015,9,29)</f>
        <v>42276</v>
      </c>
      <c r="E19460" s="8">
        <f t="shared" si="318"/>
        <v>2015</v>
      </c>
      <c r="F19460" t="s">
        <v>3117</v>
      </c>
      <c r="G19460" s="9">
        <v>1550.5</v>
      </c>
      <c r="H19460" s="8">
        <v>21266</v>
      </c>
    </row>
    <row r="19461" spans="2:8" ht="15" customHeight="1" x14ac:dyDescent="0.4">
      <c r="B19461" t="s">
        <v>7</v>
      </c>
      <c r="C19461" t="s">
        <v>3115</v>
      </c>
      <c r="D19461" s="7">
        <f>DATE(2015,10,28)</f>
        <v>42305</v>
      </c>
      <c r="E19461" s="8">
        <f t="shared" si="318"/>
        <v>2015</v>
      </c>
      <c r="F19461" t="s">
        <v>3117</v>
      </c>
      <c r="G19461" s="9">
        <v>176</v>
      </c>
      <c r="H19461" s="8">
        <v>21464</v>
      </c>
    </row>
    <row r="19462" spans="2:8" ht="15" customHeight="1" x14ac:dyDescent="0.4">
      <c r="B19462" t="s">
        <v>7</v>
      </c>
      <c r="C19462" t="s">
        <v>3115</v>
      </c>
      <c r="D19462" s="7">
        <f>DATE(2015,11,18)</f>
        <v>42326</v>
      </c>
      <c r="E19462" s="8">
        <f t="shared" si="318"/>
        <v>2015</v>
      </c>
      <c r="F19462" t="s">
        <v>3117</v>
      </c>
      <c r="G19462" s="9">
        <v>11744.08</v>
      </c>
      <c r="H19462" s="8">
        <v>21537</v>
      </c>
    </row>
    <row r="19463" spans="2:8" ht="15" customHeight="1" x14ac:dyDescent="0.4">
      <c r="B19463" t="s">
        <v>7</v>
      </c>
      <c r="C19463" t="s">
        <v>3115</v>
      </c>
      <c r="D19463" s="7">
        <f>DATE(2015,11,27)</f>
        <v>42335</v>
      </c>
      <c r="E19463" s="8">
        <f t="shared" si="318"/>
        <v>2015</v>
      </c>
      <c r="F19463" t="s">
        <v>3117</v>
      </c>
      <c r="G19463" s="9">
        <v>25707.58</v>
      </c>
      <c r="H19463" s="8">
        <v>21304</v>
      </c>
    </row>
    <row r="19464" spans="2:8" ht="15" customHeight="1" x14ac:dyDescent="0.4">
      <c r="B19464" t="s">
        <v>7</v>
      </c>
      <c r="C19464" t="s">
        <v>3115</v>
      </c>
      <c r="D19464" s="7">
        <f>DATE(2015,11,27)</f>
        <v>42335</v>
      </c>
      <c r="E19464" s="8">
        <f t="shared" si="318"/>
        <v>2015</v>
      </c>
      <c r="F19464" t="s">
        <v>3117</v>
      </c>
      <c r="G19464" s="9">
        <v>386</v>
      </c>
      <c r="H19464" s="8">
        <v>21624</v>
      </c>
    </row>
    <row r="19465" spans="2:8" ht="15" customHeight="1" x14ac:dyDescent="0.4">
      <c r="B19465" t="s">
        <v>7</v>
      </c>
      <c r="C19465" t="s">
        <v>3115</v>
      </c>
      <c r="D19465" s="7">
        <f>DATE(2015,11,27)</f>
        <v>42335</v>
      </c>
      <c r="E19465" s="8">
        <f t="shared" si="318"/>
        <v>2015</v>
      </c>
      <c r="F19465" t="s">
        <v>3117</v>
      </c>
      <c r="G19465" s="9">
        <v>1523.5</v>
      </c>
      <c r="H19465" s="8">
        <v>21598</v>
      </c>
    </row>
    <row r="19466" spans="2:8" ht="15" customHeight="1" x14ac:dyDescent="0.4">
      <c r="B19466" t="s">
        <v>7</v>
      </c>
      <c r="C19466" t="s">
        <v>3115</v>
      </c>
      <c r="D19466" s="7">
        <f>DATE(2015,12,3)</f>
        <v>42341</v>
      </c>
      <c r="E19466" s="8">
        <f t="shared" si="318"/>
        <v>2015</v>
      </c>
      <c r="F19466" t="s">
        <v>3117</v>
      </c>
      <c r="G19466" s="9">
        <v>161</v>
      </c>
      <c r="H19466" s="8">
        <v>21691</v>
      </c>
    </row>
    <row r="19467" spans="2:8" ht="15" customHeight="1" x14ac:dyDescent="0.4">
      <c r="B19467" t="s">
        <v>7</v>
      </c>
      <c r="C19467" t="s">
        <v>3115</v>
      </c>
      <c r="D19467" s="7">
        <f>DATE(2015,12,15)</f>
        <v>42353</v>
      </c>
      <c r="E19467" s="8">
        <f t="shared" si="318"/>
        <v>2015</v>
      </c>
      <c r="F19467" t="s">
        <v>3117</v>
      </c>
      <c r="G19467" s="9">
        <v>1520</v>
      </c>
      <c r="H19467" s="8">
        <v>21753</v>
      </c>
    </row>
    <row r="19468" spans="2:8" ht="15" customHeight="1" x14ac:dyDescent="0.4">
      <c r="B19468" t="s">
        <v>7</v>
      </c>
      <c r="C19468" t="s">
        <v>3115</v>
      </c>
      <c r="D19468" s="7">
        <f>DATE(2016,1,21)</f>
        <v>42390</v>
      </c>
      <c r="E19468" s="8">
        <f t="shared" si="318"/>
        <v>2016</v>
      </c>
      <c r="F19468" t="s">
        <v>3117</v>
      </c>
      <c r="G19468" s="9">
        <v>2523</v>
      </c>
      <c r="H19468" s="8">
        <v>22005</v>
      </c>
    </row>
    <row r="19469" spans="2:8" ht="15" customHeight="1" x14ac:dyDescent="0.4">
      <c r="B19469" t="s">
        <v>7</v>
      </c>
      <c r="C19469" t="s">
        <v>3115</v>
      </c>
      <c r="D19469" s="7">
        <f>DATE(2016,5,3)</f>
        <v>42493</v>
      </c>
      <c r="E19469" s="8">
        <f t="shared" si="318"/>
        <v>2016</v>
      </c>
      <c r="F19469" t="s">
        <v>3117</v>
      </c>
      <c r="G19469" s="9">
        <v>341</v>
      </c>
      <c r="H19469" s="8">
        <v>22723</v>
      </c>
    </row>
    <row r="19470" spans="2:8" ht="15" customHeight="1" x14ac:dyDescent="0.4">
      <c r="B19470" t="s">
        <v>7</v>
      </c>
      <c r="C19470" t="s">
        <v>3115</v>
      </c>
      <c r="D19470" s="7">
        <f>DATE(2016,5,18)</f>
        <v>42508</v>
      </c>
      <c r="E19470" s="8">
        <f t="shared" si="318"/>
        <v>2016</v>
      </c>
      <c r="F19470" t="s">
        <v>3117</v>
      </c>
      <c r="G19470" s="9">
        <v>251</v>
      </c>
      <c r="H19470" s="8">
        <v>22854</v>
      </c>
    </row>
    <row r="19471" spans="2:8" ht="15" customHeight="1" x14ac:dyDescent="0.4">
      <c r="B19471" t="s">
        <v>7</v>
      </c>
      <c r="C19471" t="s">
        <v>3115</v>
      </c>
      <c r="D19471" s="7">
        <f>DATE(2016,5,23)</f>
        <v>42513</v>
      </c>
      <c r="E19471" s="8">
        <f t="shared" si="318"/>
        <v>2016</v>
      </c>
      <c r="F19471" t="s">
        <v>3117</v>
      </c>
      <c r="G19471" s="9">
        <v>4120</v>
      </c>
      <c r="H19471" s="8">
        <v>22837</v>
      </c>
    </row>
    <row r="19472" spans="2:8" ht="15" customHeight="1" x14ac:dyDescent="0.4">
      <c r="B19472" t="s">
        <v>7</v>
      </c>
      <c r="C19472" t="s">
        <v>3115</v>
      </c>
      <c r="D19472" s="7">
        <f>DATE(2016,6,22)</f>
        <v>42543</v>
      </c>
      <c r="E19472" s="8">
        <f t="shared" si="318"/>
        <v>2016</v>
      </c>
      <c r="F19472" t="s">
        <v>3117</v>
      </c>
      <c r="G19472" s="9">
        <v>311</v>
      </c>
      <c r="H19472" s="8">
        <v>23028</v>
      </c>
    </row>
    <row r="19473" spans="2:8" ht="15" customHeight="1" x14ac:dyDescent="0.4">
      <c r="B19473" t="s">
        <v>7</v>
      </c>
      <c r="C19473" t="s">
        <v>3115</v>
      </c>
      <c r="D19473" s="7">
        <f>DATE(2016,7,13)</f>
        <v>42564</v>
      </c>
      <c r="E19473" s="8">
        <f t="shared" si="318"/>
        <v>2016</v>
      </c>
      <c r="F19473" t="s">
        <v>3117</v>
      </c>
      <c r="G19473" s="9">
        <v>1533</v>
      </c>
      <c r="H19473" s="8">
        <v>23107</v>
      </c>
    </row>
    <row r="19474" spans="2:8" ht="15" customHeight="1" x14ac:dyDescent="0.4">
      <c r="B19474" t="s">
        <v>7</v>
      </c>
      <c r="C19474" t="s">
        <v>3115</v>
      </c>
      <c r="D19474" s="7">
        <f>DATE(2016,7,26)</f>
        <v>42577</v>
      </c>
      <c r="E19474" s="8">
        <f t="shared" si="318"/>
        <v>2016</v>
      </c>
      <c r="F19474" t="s">
        <v>3117</v>
      </c>
      <c r="G19474" s="9">
        <v>1152</v>
      </c>
      <c r="H19474" s="8">
        <v>23163</v>
      </c>
    </row>
    <row r="19475" spans="2:8" ht="15" customHeight="1" x14ac:dyDescent="0.4">
      <c r="B19475" t="s">
        <v>7</v>
      </c>
      <c r="C19475" t="s">
        <v>3115</v>
      </c>
      <c r="D19475" s="7">
        <f>DATE(2016,9,8)</f>
        <v>42621</v>
      </c>
      <c r="E19475" s="8">
        <f t="shared" si="318"/>
        <v>2016</v>
      </c>
      <c r="F19475" t="s">
        <v>3117</v>
      </c>
      <c r="G19475" s="9">
        <v>3082.99</v>
      </c>
      <c r="H19475" s="8">
        <v>23377</v>
      </c>
    </row>
    <row r="19476" spans="2:8" ht="15" customHeight="1" x14ac:dyDescent="0.4">
      <c r="B19476" t="s">
        <v>7</v>
      </c>
      <c r="C19476" t="s">
        <v>3115</v>
      </c>
      <c r="D19476" s="7">
        <f>DATE(2016,10,12)</f>
        <v>42655</v>
      </c>
      <c r="E19476" s="8">
        <f t="shared" si="318"/>
        <v>2016</v>
      </c>
      <c r="F19476" t="s">
        <v>3117</v>
      </c>
      <c r="G19476" s="9">
        <v>44480.56</v>
      </c>
      <c r="H19476" s="8">
        <v>23547</v>
      </c>
    </row>
    <row r="19477" spans="2:8" ht="15" customHeight="1" x14ac:dyDescent="0.4">
      <c r="B19477" t="s">
        <v>7</v>
      </c>
      <c r="C19477" t="s">
        <v>3115</v>
      </c>
      <c r="D19477" s="7">
        <f>DATE(2016,11,1)</f>
        <v>42675</v>
      </c>
      <c r="E19477" s="8">
        <f t="shared" si="318"/>
        <v>2016</v>
      </c>
      <c r="F19477" t="s">
        <v>3117</v>
      </c>
      <c r="G19477" s="9">
        <v>4202.8</v>
      </c>
      <c r="H19477" s="8">
        <v>23744</v>
      </c>
    </row>
    <row r="19478" spans="2:8" ht="15" customHeight="1" x14ac:dyDescent="0.4">
      <c r="B19478" t="s">
        <v>7</v>
      </c>
      <c r="C19478" t="s">
        <v>3115</v>
      </c>
      <c r="D19478" s="7">
        <f>DATE(2016,11,7)</f>
        <v>42681</v>
      </c>
      <c r="E19478" s="8">
        <f t="shared" si="318"/>
        <v>2016</v>
      </c>
      <c r="F19478" t="s">
        <v>3117</v>
      </c>
      <c r="G19478" s="9">
        <v>1364</v>
      </c>
      <c r="H19478" s="8">
        <v>23688</v>
      </c>
    </row>
    <row r="19479" spans="2:8" ht="15" customHeight="1" x14ac:dyDescent="0.4">
      <c r="B19479" t="s">
        <v>7</v>
      </c>
      <c r="C19479" t="s">
        <v>3115</v>
      </c>
      <c r="D19479" s="7">
        <f>DATE(2016,12,7)</f>
        <v>42711</v>
      </c>
      <c r="E19479" s="8">
        <f t="shared" si="318"/>
        <v>2016</v>
      </c>
      <c r="F19479" t="s">
        <v>3117</v>
      </c>
      <c r="G19479" s="9">
        <v>1914</v>
      </c>
      <c r="H19479" s="8">
        <v>23924</v>
      </c>
    </row>
    <row r="19480" spans="2:8" ht="15" customHeight="1" x14ac:dyDescent="0.4">
      <c r="B19480" t="s">
        <v>7</v>
      </c>
      <c r="C19480" t="s">
        <v>3115</v>
      </c>
      <c r="D19480" s="7">
        <f>DATE(2017,1,12)</f>
        <v>42747</v>
      </c>
      <c r="E19480" s="8">
        <f t="shared" si="318"/>
        <v>2017</v>
      </c>
      <c r="F19480" t="s">
        <v>3117</v>
      </c>
      <c r="G19480" s="9">
        <v>1606</v>
      </c>
      <c r="H19480" s="8">
        <v>24068</v>
      </c>
    </row>
    <row r="19481" spans="2:8" ht="15" customHeight="1" x14ac:dyDescent="0.4">
      <c r="B19481" t="s">
        <v>7</v>
      </c>
      <c r="C19481" t="s">
        <v>3115</v>
      </c>
      <c r="D19481" s="7">
        <f>DATE(2017,3,7)</f>
        <v>42801</v>
      </c>
      <c r="E19481" s="8">
        <f t="shared" si="318"/>
        <v>2017</v>
      </c>
      <c r="F19481" t="s">
        <v>3117</v>
      </c>
      <c r="G19481" s="9">
        <v>3545</v>
      </c>
      <c r="H19481" s="8">
        <v>24332</v>
      </c>
    </row>
    <row r="19482" spans="2:8" ht="15" customHeight="1" x14ac:dyDescent="0.4">
      <c r="B19482" t="s">
        <v>7</v>
      </c>
      <c r="C19482" t="s">
        <v>3115</v>
      </c>
      <c r="D19482" s="7">
        <f>DATE(2017,3,10)</f>
        <v>42804</v>
      </c>
      <c r="E19482" s="8">
        <f t="shared" si="318"/>
        <v>2017</v>
      </c>
      <c r="F19482" t="s">
        <v>3117</v>
      </c>
      <c r="G19482" s="9">
        <v>4121</v>
      </c>
      <c r="H19482" s="8">
        <v>24370</v>
      </c>
    </row>
    <row r="19483" spans="2:8" ht="15" customHeight="1" x14ac:dyDescent="0.4">
      <c r="B19483" t="s">
        <v>7</v>
      </c>
      <c r="C19483" t="s">
        <v>3115</v>
      </c>
      <c r="D19483" s="7">
        <f>DATE(2017,3,21)</f>
        <v>42815</v>
      </c>
      <c r="E19483" s="8">
        <f t="shared" si="318"/>
        <v>2017</v>
      </c>
      <c r="F19483" t="s">
        <v>3117</v>
      </c>
      <c r="G19483" s="9">
        <v>1835.19</v>
      </c>
      <c r="H19483" s="8">
        <v>24548</v>
      </c>
    </row>
    <row r="19484" spans="2:8" ht="15" customHeight="1" x14ac:dyDescent="0.4">
      <c r="B19484" t="s">
        <v>7</v>
      </c>
      <c r="C19484" t="s">
        <v>3115</v>
      </c>
      <c r="D19484" s="7">
        <f>DATE(2017,3,21)</f>
        <v>42815</v>
      </c>
      <c r="E19484" s="8">
        <f t="shared" si="318"/>
        <v>2017</v>
      </c>
      <c r="F19484" t="s">
        <v>3117</v>
      </c>
      <c r="G19484" s="9">
        <v>2142.87</v>
      </c>
      <c r="H19484" s="8">
        <v>24548</v>
      </c>
    </row>
    <row r="19485" spans="2:8" ht="15" customHeight="1" x14ac:dyDescent="0.4">
      <c r="B19485" t="s">
        <v>7</v>
      </c>
      <c r="C19485" t="s">
        <v>3115</v>
      </c>
      <c r="D19485" s="7">
        <f>DATE(2017,4,6)</f>
        <v>42831</v>
      </c>
      <c r="E19485" s="8">
        <f t="shared" si="318"/>
        <v>2017</v>
      </c>
      <c r="F19485" t="s">
        <v>3117</v>
      </c>
      <c r="G19485" s="9">
        <v>4121</v>
      </c>
      <c r="H19485" s="8">
        <v>24595</v>
      </c>
    </row>
    <row r="19486" spans="2:8" ht="15" customHeight="1" x14ac:dyDescent="0.4">
      <c r="B19486" t="s">
        <v>7</v>
      </c>
      <c r="C19486" t="s">
        <v>3115</v>
      </c>
      <c r="D19486" s="7">
        <f>DATE(2017,4,24)</f>
        <v>42849</v>
      </c>
      <c r="E19486" s="8">
        <f t="shared" si="318"/>
        <v>2017</v>
      </c>
      <c r="F19486" t="s">
        <v>3117</v>
      </c>
      <c r="G19486" s="9">
        <v>4121</v>
      </c>
      <c r="H19486" s="8">
        <v>24788</v>
      </c>
    </row>
    <row r="19487" spans="2:8" ht="15" customHeight="1" x14ac:dyDescent="0.4">
      <c r="B19487" t="s">
        <v>7</v>
      </c>
      <c r="C19487" t="s">
        <v>3115</v>
      </c>
      <c r="D19487" s="7">
        <f>DATE(2017,4,24)</f>
        <v>42849</v>
      </c>
      <c r="E19487" s="8">
        <f t="shared" si="318"/>
        <v>2017</v>
      </c>
      <c r="F19487" t="s">
        <v>3117</v>
      </c>
      <c r="G19487" s="9">
        <v>1603.75</v>
      </c>
      <c r="H19487" s="8">
        <v>24748</v>
      </c>
    </row>
    <row r="19488" spans="2:8" ht="15" customHeight="1" x14ac:dyDescent="0.4">
      <c r="B19488" t="s">
        <v>7</v>
      </c>
      <c r="C19488" t="s">
        <v>3115</v>
      </c>
      <c r="D19488" s="7">
        <f>DATE(2017,4,24)</f>
        <v>42849</v>
      </c>
      <c r="E19488" s="8">
        <f t="shared" si="318"/>
        <v>2017</v>
      </c>
      <c r="F19488" t="s">
        <v>3117</v>
      </c>
      <c r="G19488" s="9">
        <v>1893</v>
      </c>
      <c r="H19488" s="8">
        <v>24701</v>
      </c>
    </row>
    <row r="19489" spans="2:8" ht="15" customHeight="1" x14ac:dyDescent="0.4">
      <c r="B19489" t="s">
        <v>7</v>
      </c>
      <c r="C19489" t="s">
        <v>3115</v>
      </c>
      <c r="D19489" s="7">
        <f>DATE(2017,5,31)</f>
        <v>42886</v>
      </c>
      <c r="E19489" s="8">
        <f t="shared" si="318"/>
        <v>2017</v>
      </c>
      <c r="F19489" t="s">
        <v>3117</v>
      </c>
      <c r="G19489" s="9">
        <v>56</v>
      </c>
      <c r="H19489" s="8">
        <v>24929</v>
      </c>
    </row>
    <row r="19490" spans="2:8" ht="15" customHeight="1" x14ac:dyDescent="0.4">
      <c r="B19490" t="s">
        <v>7</v>
      </c>
      <c r="C19490" t="s">
        <v>3115</v>
      </c>
      <c r="D19490" s="7">
        <f>DATE(2017,6,7)</f>
        <v>42893</v>
      </c>
      <c r="E19490" s="8">
        <f t="shared" si="318"/>
        <v>2017</v>
      </c>
      <c r="F19490" t="s">
        <v>3117</v>
      </c>
      <c r="G19490" s="9">
        <v>1968</v>
      </c>
      <c r="H19490" s="8">
        <v>24914</v>
      </c>
    </row>
    <row r="19491" spans="2:8" ht="15" customHeight="1" x14ac:dyDescent="0.4">
      <c r="B19491" t="s">
        <v>7</v>
      </c>
      <c r="C19491" t="s">
        <v>3115</v>
      </c>
      <c r="D19491" s="7">
        <f>DATE(2017,6,7)</f>
        <v>42893</v>
      </c>
      <c r="E19491" s="8">
        <f t="shared" si="318"/>
        <v>2017</v>
      </c>
      <c r="F19491" t="s">
        <v>3117</v>
      </c>
      <c r="G19491" s="9">
        <v>2579.5</v>
      </c>
      <c r="H19491" s="8">
        <v>24839</v>
      </c>
    </row>
    <row r="19492" spans="2:8" ht="15" customHeight="1" x14ac:dyDescent="0.4">
      <c r="B19492" t="s">
        <v>7</v>
      </c>
      <c r="C19492" t="s">
        <v>3115</v>
      </c>
      <c r="D19492" s="7">
        <f>DATE(2017,6,16)</f>
        <v>42902</v>
      </c>
      <c r="E19492" s="8">
        <f t="shared" si="318"/>
        <v>2017</v>
      </c>
      <c r="F19492" t="s">
        <v>3117</v>
      </c>
      <c r="G19492" s="9">
        <v>313.5</v>
      </c>
      <c r="H19492" s="8">
        <v>25097</v>
      </c>
    </row>
    <row r="19493" spans="2:8" ht="15" customHeight="1" x14ac:dyDescent="0.4">
      <c r="B19493" t="s">
        <v>7</v>
      </c>
      <c r="C19493" t="s">
        <v>3115</v>
      </c>
      <c r="D19493" s="7">
        <f>DATE(2017,6,28)</f>
        <v>42914</v>
      </c>
      <c r="E19493" s="8">
        <f t="shared" si="318"/>
        <v>2017</v>
      </c>
      <c r="F19493" t="s">
        <v>3117</v>
      </c>
      <c r="G19493" s="9">
        <v>4121</v>
      </c>
      <c r="H19493" s="8">
        <v>25125</v>
      </c>
    </row>
    <row r="19494" spans="2:8" ht="15" customHeight="1" x14ac:dyDescent="0.4">
      <c r="B19494" t="s">
        <v>7</v>
      </c>
      <c r="C19494" t="s">
        <v>3115</v>
      </c>
      <c r="D19494" s="7">
        <f>DATE(2017,7,28)</f>
        <v>42944</v>
      </c>
      <c r="E19494" s="8">
        <f t="shared" si="318"/>
        <v>2017</v>
      </c>
      <c r="F19494" t="s">
        <v>3117</v>
      </c>
      <c r="G19494" s="9">
        <v>1524.5</v>
      </c>
      <c r="H19494" s="8">
        <v>24912</v>
      </c>
    </row>
    <row r="19495" spans="2:8" ht="15" customHeight="1" x14ac:dyDescent="0.4">
      <c r="B19495" t="s">
        <v>7</v>
      </c>
      <c r="C19495" t="s">
        <v>3115</v>
      </c>
      <c r="D19495" s="7">
        <f>DATE(2017,9,28)</f>
        <v>43006</v>
      </c>
      <c r="E19495" s="8">
        <f t="shared" si="318"/>
        <v>2017</v>
      </c>
      <c r="F19495" t="s">
        <v>3117</v>
      </c>
      <c r="G19495" s="9">
        <v>612</v>
      </c>
      <c r="H19495" s="8">
        <v>25626</v>
      </c>
    </row>
    <row r="19496" spans="2:8" ht="15" customHeight="1" x14ac:dyDescent="0.4">
      <c r="B19496" t="s">
        <v>7</v>
      </c>
      <c r="C19496" t="s">
        <v>3115</v>
      </c>
      <c r="D19496" s="7">
        <f>DATE(2017,11,30)</f>
        <v>43069</v>
      </c>
      <c r="E19496" s="8">
        <f t="shared" si="318"/>
        <v>2017</v>
      </c>
      <c r="F19496" t="s">
        <v>3117</v>
      </c>
      <c r="G19496" s="9">
        <v>2641.8</v>
      </c>
      <c r="H19496" s="8">
        <v>25968</v>
      </c>
    </row>
    <row r="19497" spans="2:8" ht="15" customHeight="1" x14ac:dyDescent="0.4">
      <c r="B19497" t="s">
        <v>7</v>
      </c>
      <c r="C19497" t="s">
        <v>3115</v>
      </c>
      <c r="D19497" s="7">
        <f>DATE(2017,12,18)</f>
        <v>43087</v>
      </c>
      <c r="E19497" s="8">
        <f t="shared" si="318"/>
        <v>2017</v>
      </c>
      <c r="F19497" t="s">
        <v>3117</v>
      </c>
      <c r="G19497" s="9">
        <v>86</v>
      </c>
      <c r="H19497" s="8">
        <v>26003</v>
      </c>
    </row>
    <row r="19498" spans="2:8" ht="15" customHeight="1" x14ac:dyDescent="0.4">
      <c r="B19498" t="s">
        <v>7</v>
      </c>
      <c r="C19498" t="s">
        <v>3115</v>
      </c>
      <c r="D19498" s="7">
        <f>DATE(2017,12,18)</f>
        <v>43087</v>
      </c>
      <c r="E19498" s="8">
        <f t="shared" si="318"/>
        <v>2017</v>
      </c>
      <c r="F19498" t="s">
        <v>3117</v>
      </c>
      <c r="G19498" s="9">
        <v>1014.6</v>
      </c>
      <c r="H19498" s="8">
        <v>26004</v>
      </c>
    </row>
    <row r="19499" spans="2:8" ht="15" customHeight="1" x14ac:dyDescent="0.4">
      <c r="B19499" t="s">
        <v>7</v>
      </c>
      <c r="C19499" t="s">
        <v>3115</v>
      </c>
      <c r="D19499" s="7">
        <f>DATE(2018,1,15)</f>
        <v>43115</v>
      </c>
      <c r="E19499" s="8">
        <f t="shared" si="318"/>
        <v>2018</v>
      </c>
      <c r="F19499" t="s">
        <v>3117</v>
      </c>
      <c r="G19499" s="9">
        <v>5094.41</v>
      </c>
      <c r="H19499" s="8">
        <v>24718</v>
      </c>
    </row>
    <row r="19500" spans="2:8" ht="15" customHeight="1" x14ac:dyDescent="0.4">
      <c r="B19500" t="s">
        <v>7</v>
      </c>
      <c r="C19500" t="s">
        <v>3115</v>
      </c>
      <c r="D19500" s="7">
        <f>DATE(2018,1,24)</f>
        <v>43124</v>
      </c>
      <c r="E19500" s="8">
        <f t="shared" si="318"/>
        <v>2018</v>
      </c>
      <c r="F19500" t="s">
        <v>3117</v>
      </c>
      <c r="G19500" s="9">
        <v>1250.5999999999999</v>
      </c>
      <c r="H19500" s="8">
        <v>26126</v>
      </c>
    </row>
    <row r="19501" spans="2:8" ht="15" customHeight="1" x14ac:dyDescent="0.4">
      <c r="B19501" t="s">
        <v>7</v>
      </c>
      <c r="C19501" t="s">
        <v>3115</v>
      </c>
      <c r="D19501" s="7">
        <f>DATE(2018,2,21)</f>
        <v>43152</v>
      </c>
      <c r="E19501" s="8">
        <f t="shared" si="318"/>
        <v>2018</v>
      </c>
      <c r="F19501" t="s">
        <v>3117</v>
      </c>
      <c r="G19501" s="9">
        <v>1343</v>
      </c>
      <c r="H19501" s="8">
        <v>26385</v>
      </c>
    </row>
    <row r="19502" spans="2:8" ht="15" customHeight="1" x14ac:dyDescent="0.4">
      <c r="B19502" t="s">
        <v>7</v>
      </c>
      <c r="C19502" t="s">
        <v>3115</v>
      </c>
      <c r="D19502" s="7">
        <f>DATE(2018,2,21)</f>
        <v>43152</v>
      </c>
      <c r="E19502" s="8">
        <f t="shared" si="318"/>
        <v>2018</v>
      </c>
      <c r="F19502" t="s">
        <v>3117</v>
      </c>
      <c r="G19502" s="9">
        <v>625.29999999999995</v>
      </c>
      <c r="H19502" s="8">
        <v>26125</v>
      </c>
    </row>
    <row r="19503" spans="2:8" ht="15" customHeight="1" x14ac:dyDescent="0.4">
      <c r="B19503" t="s">
        <v>7</v>
      </c>
      <c r="C19503" t="s">
        <v>3115</v>
      </c>
      <c r="D19503" s="7">
        <f>DATE(2018,3,1)</f>
        <v>43160</v>
      </c>
      <c r="E19503" s="8">
        <f t="shared" si="318"/>
        <v>2018</v>
      </c>
      <c r="F19503" t="s">
        <v>3117</v>
      </c>
      <c r="G19503" s="9">
        <v>1250.5999999999999</v>
      </c>
      <c r="H19503" s="8">
        <v>26574</v>
      </c>
    </row>
    <row r="19504" spans="2:8" ht="15" customHeight="1" x14ac:dyDescent="0.4">
      <c r="B19504" t="s">
        <v>7</v>
      </c>
      <c r="C19504" t="s">
        <v>3115</v>
      </c>
      <c r="D19504" s="7">
        <f>DATE(2018,3,5)</f>
        <v>43164</v>
      </c>
      <c r="E19504" s="8">
        <f t="shared" si="318"/>
        <v>2018</v>
      </c>
      <c r="F19504" t="s">
        <v>3117</v>
      </c>
      <c r="G19504" s="9">
        <v>462</v>
      </c>
      <c r="H19504" s="8">
        <v>26590</v>
      </c>
    </row>
    <row r="19505" spans="2:8" ht="15" customHeight="1" x14ac:dyDescent="0.4">
      <c r="B19505" t="s">
        <v>7</v>
      </c>
      <c r="C19505" t="s">
        <v>3115</v>
      </c>
      <c r="D19505" s="7">
        <f>DATE(2018,6,6)</f>
        <v>43257</v>
      </c>
      <c r="E19505" s="8">
        <f t="shared" si="318"/>
        <v>2018</v>
      </c>
      <c r="F19505" t="s">
        <v>3117</v>
      </c>
      <c r="G19505" s="9">
        <v>265</v>
      </c>
      <c r="H19505" s="8">
        <v>26945</v>
      </c>
    </row>
    <row r="19506" spans="2:8" ht="15" customHeight="1" x14ac:dyDescent="0.4">
      <c r="B19506" t="s">
        <v>7</v>
      </c>
      <c r="C19506" t="s">
        <v>3115</v>
      </c>
      <c r="D19506" s="7">
        <f>DATE(2018,6,27)</f>
        <v>43278</v>
      </c>
      <c r="E19506" s="8">
        <f t="shared" si="318"/>
        <v>2018</v>
      </c>
      <c r="F19506" t="s">
        <v>3117</v>
      </c>
      <c r="G19506" s="9">
        <v>1512.55</v>
      </c>
      <c r="H19506" s="8">
        <v>27103</v>
      </c>
    </row>
    <row r="19507" spans="2:8" ht="15" customHeight="1" x14ac:dyDescent="0.4">
      <c r="B19507" t="s">
        <v>7</v>
      </c>
      <c r="C19507" t="s">
        <v>3115</v>
      </c>
      <c r="D19507" s="7">
        <f>DATE(2018,7,6)</f>
        <v>43287</v>
      </c>
      <c r="E19507" s="8">
        <f t="shared" si="318"/>
        <v>2018</v>
      </c>
      <c r="F19507" t="s">
        <v>3117</v>
      </c>
      <c r="G19507" s="9">
        <v>627</v>
      </c>
      <c r="H19507" s="8">
        <v>27326</v>
      </c>
    </row>
    <row r="19508" spans="2:8" ht="15" customHeight="1" x14ac:dyDescent="0.4">
      <c r="B19508" t="s">
        <v>7</v>
      </c>
      <c r="C19508" t="s">
        <v>3115</v>
      </c>
      <c r="D19508" s="7">
        <f>DATE(2018,7,13)</f>
        <v>43294</v>
      </c>
      <c r="E19508" s="8">
        <f t="shared" si="318"/>
        <v>2018</v>
      </c>
      <c r="F19508" t="s">
        <v>3117</v>
      </c>
      <c r="G19508" s="9">
        <v>4122</v>
      </c>
      <c r="H19508" s="8">
        <v>27292</v>
      </c>
    </row>
    <row r="19509" spans="2:8" ht="15" customHeight="1" x14ac:dyDescent="0.4">
      <c r="B19509" t="s">
        <v>7</v>
      </c>
      <c r="C19509" t="s">
        <v>3115</v>
      </c>
      <c r="D19509" s="7">
        <f>DATE(2018,8,7)</f>
        <v>43319</v>
      </c>
      <c r="E19509" s="8">
        <f t="shared" si="318"/>
        <v>2018</v>
      </c>
      <c r="F19509" t="s">
        <v>3117</v>
      </c>
      <c r="G19509" s="9">
        <v>1290</v>
      </c>
      <c r="H19509" s="8">
        <v>27428</v>
      </c>
    </row>
    <row r="19510" spans="2:8" ht="15" customHeight="1" x14ac:dyDescent="0.4">
      <c r="B19510" t="s">
        <v>7</v>
      </c>
      <c r="C19510" t="s">
        <v>3115</v>
      </c>
      <c r="D19510" s="7">
        <f>DATE(2018,8,7)</f>
        <v>43319</v>
      </c>
      <c r="E19510" s="8">
        <f t="shared" si="318"/>
        <v>2018</v>
      </c>
      <c r="F19510" t="s">
        <v>3117</v>
      </c>
      <c r="G19510" s="9">
        <v>1972</v>
      </c>
      <c r="H19510" s="8">
        <v>27450</v>
      </c>
    </row>
    <row r="19511" spans="2:8" ht="15" customHeight="1" x14ac:dyDescent="0.4">
      <c r="B19511" t="s">
        <v>7</v>
      </c>
      <c r="C19511" t="s">
        <v>3115</v>
      </c>
      <c r="D19511" s="7">
        <f>DATE(2019,3,18)</f>
        <v>43542</v>
      </c>
      <c r="E19511" s="8">
        <f t="shared" si="318"/>
        <v>2019</v>
      </c>
      <c r="F19511" t="s">
        <v>3117</v>
      </c>
      <c r="G19511" s="9">
        <v>197.42</v>
      </c>
      <c r="H19511" s="8">
        <v>28637</v>
      </c>
    </row>
    <row r="19512" spans="2:8" ht="15" customHeight="1" x14ac:dyDescent="0.4">
      <c r="B19512" t="s">
        <v>7</v>
      </c>
      <c r="C19512" t="s">
        <v>3115</v>
      </c>
      <c r="D19512" s="7">
        <f>DATE(2019,3,26)</f>
        <v>43550</v>
      </c>
      <c r="E19512" s="8">
        <f t="shared" si="318"/>
        <v>2019</v>
      </c>
      <c r="F19512" t="s">
        <v>3117</v>
      </c>
      <c r="G19512" s="9">
        <v>1523.5</v>
      </c>
      <c r="H19512" s="8">
        <v>28304</v>
      </c>
    </row>
    <row r="19513" spans="2:8" ht="15" customHeight="1" x14ac:dyDescent="0.4">
      <c r="B19513" t="s">
        <v>7</v>
      </c>
      <c r="C19513" t="s">
        <v>3115</v>
      </c>
      <c r="D19513" s="7">
        <f>DATE(2019,5,8)</f>
        <v>43593</v>
      </c>
      <c r="E19513" s="8">
        <f t="shared" si="318"/>
        <v>2019</v>
      </c>
      <c r="F19513" t="s">
        <v>3117</v>
      </c>
      <c r="G19513" s="9">
        <v>7447.31</v>
      </c>
      <c r="H19513" s="8">
        <v>28863</v>
      </c>
    </row>
    <row r="19514" spans="2:8" ht="15" customHeight="1" x14ac:dyDescent="0.4">
      <c r="B19514" t="s">
        <v>7</v>
      </c>
      <c r="C19514" t="s">
        <v>3115</v>
      </c>
      <c r="D19514" s="7">
        <f>DATE(2019,5,14)</f>
        <v>43599</v>
      </c>
      <c r="E19514" s="8">
        <f t="shared" si="318"/>
        <v>2019</v>
      </c>
      <c r="F19514" t="s">
        <v>3117</v>
      </c>
      <c r="G19514" s="9">
        <v>7887.31</v>
      </c>
      <c r="H19514" s="8">
        <v>28748</v>
      </c>
    </row>
    <row r="19515" spans="2:8" ht="15" customHeight="1" x14ac:dyDescent="0.4">
      <c r="B19515" t="s">
        <v>7</v>
      </c>
      <c r="C19515" t="s">
        <v>3115</v>
      </c>
      <c r="D19515" s="7">
        <f>DATE(2019,5,15)</f>
        <v>43600</v>
      </c>
      <c r="E19515" s="8">
        <f t="shared" si="318"/>
        <v>2019</v>
      </c>
      <c r="F19515" t="s">
        <v>3117</v>
      </c>
      <c r="G19515" s="9">
        <v>4597.3100000000004</v>
      </c>
      <c r="H19515" s="8">
        <v>29000</v>
      </c>
    </row>
    <row r="19516" spans="2:8" ht="15" customHeight="1" x14ac:dyDescent="0.4">
      <c r="B19516" t="s">
        <v>7</v>
      </c>
      <c r="C19516" t="s">
        <v>3115</v>
      </c>
      <c r="D19516" s="7">
        <f>DATE(2018,5,23)</f>
        <v>43243</v>
      </c>
      <c r="E19516" s="8">
        <f t="shared" si="318"/>
        <v>2018</v>
      </c>
      <c r="F19516" t="s">
        <v>3117</v>
      </c>
      <c r="G19516" s="9">
        <v>17872.59</v>
      </c>
      <c r="H19516" s="8">
        <v>27070</v>
      </c>
    </row>
    <row r="19517" spans="2:8" ht="15" customHeight="1" x14ac:dyDescent="0.4">
      <c r="B19517" t="s">
        <v>7</v>
      </c>
      <c r="C19517" t="s">
        <v>3115</v>
      </c>
      <c r="D19517" s="7">
        <f>DATE(2018,6,19)</f>
        <v>43270</v>
      </c>
      <c r="E19517" s="8">
        <f t="shared" si="318"/>
        <v>2018</v>
      </c>
      <c r="F19517" t="s">
        <v>3117</v>
      </c>
      <c r="G19517" s="9">
        <v>2161.1</v>
      </c>
      <c r="H19517" s="8">
        <v>27219</v>
      </c>
    </row>
    <row r="19518" spans="2:8" ht="15" customHeight="1" x14ac:dyDescent="0.4">
      <c r="B19518" t="s">
        <v>7</v>
      </c>
      <c r="C19518" t="s">
        <v>3115</v>
      </c>
      <c r="D19518" s="7">
        <f>DATE(2018,7,2)</f>
        <v>43283</v>
      </c>
      <c r="E19518" s="8">
        <f t="shared" si="318"/>
        <v>2018</v>
      </c>
      <c r="F19518" t="s">
        <v>3117</v>
      </c>
      <c r="G19518" s="9">
        <v>11586.57</v>
      </c>
      <c r="H19518" s="8">
        <v>27191</v>
      </c>
    </row>
    <row r="19519" spans="2:8" ht="15" customHeight="1" x14ac:dyDescent="0.4">
      <c r="B19519" t="s">
        <v>7</v>
      </c>
      <c r="C19519" t="s">
        <v>3115</v>
      </c>
      <c r="D19519" s="7">
        <f>DATE(2018,9,13)</f>
        <v>43356</v>
      </c>
      <c r="E19519" s="8">
        <f t="shared" si="318"/>
        <v>2018</v>
      </c>
      <c r="F19519" t="s">
        <v>3117</v>
      </c>
      <c r="G19519" s="9">
        <v>170.85</v>
      </c>
      <c r="H19519" s="8">
        <v>27599</v>
      </c>
    </row>
    <row r="19520" spans="2:8" ht="15" customHeight="1" x14ac:dyDescent="0.4">
      <c r="B19520" t="s">
        <v>7</v>
      </c>
      <c r="C19520" t="s">
        <v>3115</v>
      </c>
      <c r="D19520" s="7">
        <f>DATE(2018,9,13)</f>
        <v>43356</v>
      </c>
      <c r="E19520" s="8">
        <f t="shared" si="318"/>
        <v>2018</v>
      </c>
      <c r="F19520" t="s">
        <v>3117</v>
      </c>
      <c r="G19520" s="9">
        <v>2186.23</v>
      </c>
      <c r="H19520" s="8">
        <v>27199</v>
      </c>
    </row>
    <row r="19521" spans="2:8" ht="15" customHeight="1" x14ac:dyDescent="0.4">
      <c r="B19521" t="s">
        <v>16</v>
      </c>
      <c r="C19521" t="s">
        <v>3115</v>
      </c>
      <c r="D19521" s="7">
        <f>DATE(2018,4,20)</f>
        <v>43210</v>
      </c>
      <c r="E19521" s="8">
        <f t="shared" si="318"/>
        <v>2018</v>
      </c>
      <c r="F19521" t="s">
        <v>3117</v>
      </c>
      <c r="G19521" s="9">
        <v>1250.5999999999999</v>
      </c>
      <c r="H19521" s="8">
        <v>26928</v>
      </c>
    </row>
    <row r="19522" spans="2:8" ht="15" customHeight="1" x14ac:dyDescent="0.4">
      <c r="B19522" t="s">
        <v>16</v>
      </c>
      <c r="C19522" t="s">
        <v>3115</v>
      </c>
      <c r="D19522" s="7">
        <f>DATE(2018,8,9)</f>
        <v>43321</v>
      </c>
      <c r="E19522" s="8">
        <f t="shared" si="318"/>
        <v>2018</v>
      </c>
      <c r="F19522" t="s">
        <v>3117</v>
      </c>
      <c r="G19522" s="9">
        <v>9.5</v>
      </c>
      <c r="H19522" s="8">
        <v>27473</v>
      </c>
    </row>
    <row r="19523" spans="2:8" ht="15" customHeight="1" x14ac:dyDescent="0.4">
      <c r="B19523" t="s">
        <v>7</v>
      </c>
      <c r="C19523" t="s">
        <v>3115</v>
      </c>
      <c r="D19523" s="7">
        <f>DATE(2006,12,13)</f>
        <v>39064</v>
      </c>
      <c r="E19523" s="8">
        <f t="shared" ref="E19523:E19586" si="319">YEAR(D19523)</f>
        <v>2006</v>
      </c>
      <c r="F19523" t="s">
        <v>3117</v>
      </c>
      <c r="G19523" s="9">
        <v>2675</v>
      </c>
      <c r="H19523" s="8">
        <v>5275</v>
      </c>
    </row>
    <row r="19524" spans="2:8" ht="15" customHeight="1" x14ac:dyDescent="0.4">
      <c r="B19524" t="s">
        <v>7</v>
      </c>
      <c r="C19524" t="s">
        <v>3115</v>
      </c>
      <c r="D19524" s="7">
        <f>DATE(2007,7,16)</f>
        <v>39279</v>
      </c>
      <c r="E19524" s="8">
        <f t="shared" si="319"/>
        <v>2007</v>
      </c>
      <c r="F19524" t="s">
        <v>3117</v>
      </c>
      <c r="G19524" s="9">
        <v>963</v>
      </c>
      <c r="H19524" s="8">
        <v>6188</v>
      </c>
    </row>
    <row r="19525" spans="2:8" ht="15" customHeight="1" x14ac:dyDescent="0.4">
      <c r="B19525" t="s">
        <v>7</v>
      </c>
      <c r="C19525" t="s">
        <v>3115</v>
      </c>
      <c r="D19525" s="7">
        <f>DATE(2012,11,7)</f>
        <v>41220</v>
      </c>
      <c r="E19525" s="8">
        <f t="shared" si="319"/>
        <v>2012</v>
      </c>
      <c r="F19525" t="s">
        <v>3117</v>
      </c>
      <c r="G19525" s="9">
        <v>1605</v>
      </c>
      <c r="H19525" s="8">
        <v>11956</v>
      </c>
    </row>
    <row r="19526" spans="2:8" ht="15" customHeight="1" x14ac:dyDescent="0.4">
      <c r="B19526" t="s">
        <v>7</v>
      </c>
      <c r="C19526" t="s">
        <v>3115</v>
      </c>
      <c r="D19526" s="7">
        <f>DATE(2003,9,7)</f>
        <v>37871</v>
      </c>
      <c r="E19526" s="8">
        <f t="shared" si="319"/>
        <v>2003</v>
      </c>
      <c r="F19526" t="s">
        <v>3117</v>
      </c>
      <c r="G19526" s="9">
        <v>14054.85</v>
      </c>
      <c r="H19526" s="8">
        <v>852</v>
      </c>
    </row>
    <row r="19527" spans="2:8" ht="15" customHeight="1" x14ac:dyDescent="0.4">
      <c r="B19527" t="s">
        <v>7</v>
      </c>
      <c r="C19527" t="s">
        <v>3115</v>
      </c>
      <c r="D19527" s="7">
        <f>DATE(2004,9,19)</f>
        <v>38249</v>
      </c>
      <c r="E19527" s="8">
        <f t="shared" si="319"/>
        <v>2004</v>
      </c>
      <c r="F19527" t="s">
        <v>3117</v>
      </c>
      <c r="G19527" s="9">
        <v>10940.61</v>
      </c>
      <c r="H19527" s="8">
        <v>2200</v>
      </c>
    </row>
    <row r="19528" spans="2:8" ht="15" customHeight="1" x14ac:dyDescent="0.4">
      <c r="B19528" t="s">
        <v>7</v>
      </c>
      <c r="C19528" t="s">
        <v>3115</v>
      </c>
      <c r="D19528" s="7">
        <f>DATE(2004,10,4)</f>
        <v>38264</v>
      </c>
      <c r="E19528" s="8">
        <f t="shared" si="319"/>
        <v>2004</v>
      </c>
      <c r="F19528" t="s">
        <v>3117</v>
      </c>
      <c r="G19528" s="9">
        <v>6263.07</v>
      </c>
      <c r="H19528" s="8">
        <v>2258</v>
      </c>
    </row>
    <row r="19529" spans="2:8" ht="15" customHeight="1" x14ac:dyDescent="0.4">
      <c r="B19529" t="s">
        <v>7</v>
      </c>
      <c r="C19529" t="s">
        <v>3115</v>
      </c>
      <c r="D19529" s="7">
        <f>DATE(2007,10,4)</f>
        <v>39359</v>
      </c>
      <c r="E19529" s="8">
        <f t="shared" si="319"/>
        <v>2007</v>
      </c>
      <c r="F19529" t="s">
        <v>3117</v>
      </c>
      <c r="G19529" s="9">
        <v>11909.95</v>
      </c>
      <c r="H19529" s="8">
        <v>6442</v>
      </c>
    </row>
    <row r="19530" spans="2:8" ht="15" customHeight="1" x14ac:dyDescent="0.4">
      <c r="B19530" t="s">
        <v>7</v>
      </c>
      <c r="C19530" t="s">
        <v>3115</v>
      </c>
      <c r="D19530" s="7">
        <f>DATE(2008,3,18)</f>
        <v>39525</v>
      </c>
      <c r="E19530" s="8">
        <f t="shared" si="319"/>
        <v>2008</v>
      </c>
      <c r="F19530" t="s">
        <v>3117</v>
      </c>
      <c r="G19530" s="9">
        <v>6158.42</v>
      </c>
      <c r="H19530" s="8">
        <v>7229</v>
      </c>
    </row>
    <row r="19531" spans="2:8" ht="15" customHeight="1" x14ac:dyDescent="0.4">
      <c r="B19531" t="s">
        <v>7</v>
      </c>
      <c r="C19531" t="s">
        <v>3115</v>
      </c>
      <c r="D19531" s="7">
        <f>DATE(2008,5,1)</f>
        <v>39569</v>
      </c>
      <c r="E19531" s="8">
        <f t="shared" si="319"/>
        <v>2008</v>
      </c>
      <c r="F19531" t="s">
        <v>3117</v>
      </c>
      <c r="G19531" s="9">
        <v>4750</v>
      </c>
      <c r="H19531" s="8">
        <v>7020</v>
      </c>
    </row>
    <row r="19532" spans="2:8" ht="15" customHeight="1" x14ac:dyDescent="0.4">
      <c r="B19532" t="s">
        <v>7</v>
      </c>
      <c r="C19532" t="s">
        <v>3115</v>
      </c>
      <c r="D19532" s="7">
        <f>DATE(2008,11,15)</f>
        <v>39767</v>
      </c>
      <c r="E19532" s="8">
        <f t="shared" si="319"/>
        <v>2008</v>
      </c>
      <c r="F19532" t="s">
        <v>3117</v>
      </c>
      <c r="G19532" s="9">
        <v>28843.7</v>
      </c>
      <c r="H19532" s="8">
        <v>8025</v>
      </c>
    </row>
    <row r="19533" spans="2:8" ht="15" customHeight="1" x14ac:dyDescent="0.4">
      <c r="B19533" t="s">
        <v>7</v>
      </c>
      <c r="C19533" t="s">
        <v>3115</v>
      </c>
      <c r="D19533" s="7">
        <f>DATE(2008,11,15)</f>
        <v>39767</v>
      </c>
      <c r="E19533" s="8">
        <f t="shared" si="319"/>
        <v>2008</v>
      </c>
      <c r="F19533" t="s">
        <v>3117</v>
      </c>
      <c r="G19533" s="9">
        <v>7524.63</v>
      </c>
      <c r="H19533" s="8">
        <v>8028</v>
      </c>
    </row>
    <row r="19534" spans="2:8" ht="15" customHeight="1" x14ac:dyDescent="0.4">
      <c r="B19534" t="s">
        <v>7</v>
      </c>
      <c r="C19534" t="s">
        <v>3115</v>
      </c>
      <c r="D19534" s="7">
        <f>DATE(2008,12,7)</f>
        <v>39789</v>
      </c>
      <c r="E19534" s="8">
        <f t="shared" si="319"/>
        <v>2008</v>
      </c>
      <c r="F19534" t="s">
        <v>3117</v>
      </c>
      <c r="G19534" s="9">
        <v>4970.93</v>
      </c>
      <c r="H19534" s="8">
        <v>8083</v>
      </c>
    </row>
    <row r="19535" spans="2:8" ht="15" customHeight="1" x14ac:dyDescent="0.4">
      <c r="B19535" t="s">
        <v>7</v>
      </c>
      <c r="C19535" t="s">
        <v>3115</v>
      </c>
      <c r="D19535" s="7">
        <f>DATE(2008,12,6)</f>
        <v>39788</v>
      </c>
      <c r="E19535" s="8">
        <f t="shared" si="319"/>
        <v>2008</v>
      </c>
      <c r="F19535" t="s">
        <v>3117</v>
      </c>
      <c r="G19535" s="9">
        <v>11610.05</v>
      </c>
      <c r="H19535" s="8">
        <v>8081</v>
      </c>
    </row>
    <row r="19536" spans="2:8" ht="15" customHeight="1" x14ac:dyDescent="0.4">
      <c r="B19536" t="s">
        <v>7</v>
      </c>
      <c r="C19536" t="s">
        <v>3115</v>
      </c>
      <c r="D19536" s="7">
        <f>DATE(2010,5,28)</f>
        <v>40326</v>
      </c>
      <c r="E19536" s="8">
        <f t="shared" si="319"/>
        <v>2010</v>
      </c>
      <c r="F19536" t="s">
        <v>3117</v>
      </c>
      <c r="G19536" s="9">
        <v>56978.02</v>
      </c>
      <c r="H19536" s="8">
        <v>8752</v>
      </c>
    </row>
    <row r="19537" spans="2:8" ht="15" customHeight="1" x14ac:dyDescent="0.4">
      <c r="B19537" t="s">
        <v>7</v>
      </c>
      <c r="C19537" t="s">
        <v>3115</v>
      </c>
      <c r="D19537" s="7">
        <f>DATE(2011,4,26)</f>
        <v>40659</v>
      </c>
      <c r="E19537" s="8">
        <f t="shared" si="319"/>
        <v>2011</v>
      </c>
      <c r="F19537" t="s">
        <v>3117</v>
      </c>
      <c r="G19537" s="9">
        <v>26579.94</v>
      </c>
      <c r="H19537" s="8">
        <v>10631</v>
      </c>
    </row>
    <row r="19538" spans="2:8" ht="15" customHeight="1" x14ac:dyDescent="0.4">
      <c r="B19538" t="s">
        <v>7</v>
      </c>
      <c r="C19538" t="s">
        <v>3115</v>
      </c>
      <c r="D19538" s="7">
        <f>DATE(2012,5,21)</f>
        <v>41050</v>
      </c>
      <c r="E19538" s="8">
        <f t="shared" si="319"/>
        <v>2012</v>
      </c>
      <c r="F19538" t="s">
        <v>3117</v>
      </c>
      <c r="G19538" s="9">
        <v>9350</v>
      </c>
      <c r="H19538" s="8">
        <v>11248</v>
      </c>
    </row>
    <row r="19539" spans="2:8" ht="15" customHeight="1" x14ac:dyDescent="0.4">
      <c r="B19539" t="s">
        <v>7</v>
      </c>
      <c r="C19539" t="s">
        <v>3115</v>
      </c>
      <c r="D19539" s="7">
        <f>DATE(2012,5,22)</f>
        <v>41051</v>
      </c>
      <c r="E19539" s="8">
        <f t="shared" si="319"/>
        <v>2012</v>
      </c>
      <c r="F19539" t="s">
        <v>3117</v>
      </c>
      <c r="G19539" s="9">
        <v>137000</v>
      </c>
      <c r="H19539" s="8">
        <v>11626</v>
      </c>
    </row>
    <row r="19540" spans="2:8" ht="15" customHeight="1" x14ac:dyDescent="0.4">
      <c r="B19540" t="s">
        <v>7</v>
      </c>
      <c r="C19540" t="s">
        <v>3115</v>
      </c>
      <c r="D19540" s="7">
        <f>DATE(2013,5,22)</f>
        <v>41416</v>
      </c>
      <c r="E19540" s="8">
        <f t="shared" si="319"/>
        <v>2013</v>
      </c>
      <c r="F19540" t="s">
        <v>3117</v>
      </c>
      <c r="G19540" s="9">
        <v>8078.95</v>
      </c>
      <c r="H19540" s="8">
        <v>12005</v>
      </c>
    </row>
    <row r="19541" spans="2:8" ht="15" customHeight="1" x14ac:dyDescent="0.4">
      <c r="B19541" t="s">
        <v>16</v>
      </c>
      <c r="C19541" t="s">
        <v>3115</v>
      </c>
      <c r="D19541" s="7">
        <f>DATE(2009,7,11)</f>
        <v>40005</v>
      </c>
      <c r="E19541" s="8">
        <f t="shared" si="319"/>
        <v>2009</v>
      </c>
      <c r="F19541" t="s">
        <v>3117</v>
      </c>
      <c r="G19541" s="9">
        <v>4750</v>
      </c>
      <c r="H19541" s="8">
        <v>8883</v>
      </c>
    </row>
    <row r="19542" spans="2:8" ht="15" customHeight="1" x14ac:dyDescent="0.4">
      <c r="B19542" s="3" t="s">
        <v>7</v>
      </c>
      <c r="C19542" s="3" t="s">
        <v>3115</v>
      </c>
      <c r="D19542" s="4">
        <f>DATE(2003,1,29)</f>
        <v>37650</v>
      </c>
      <c r="E19542" s="5">
        <f t="shared" si="319"/>
        <v>2003</v>
      </c>
      <c r="F19542" s="3" t="s">
        <v>3117</v>
      </c>
      <c r="G19542" s="6">
        <v>24010</v>
      </c>
      <c r="H19542" s="5">
        <v>141</v>
      </c>
    </row>
    <row r="19543" spans="2:8" ht="15" customHeight="1" x14ac:dyDescent="0.4">
      <c r="B19543" s="3" t="s">
        <v>7</v>
      </c>
      <c r="C19543" s="3" t="s">
        <v>3115</v>
      </c>
      <c r="D19543" s="4">
        <f>DATE(2003,3,11)</f>
        <v>37691</v>
      </c>
      <c r="E19543" s="5">
        <f t="shared" si="319"/>
        <v>2003</v>
      </c>
      <c r="F19543" s="3" t="s">
        <v>3117</v>
      </c>
      <c r="G19543" s="6">
        <v>1125</v>
      </c>
      <c r="H19543" s="5">
        <v>500</v>
      </c>
    </row>
    <row r="19544" spans="2:8" ht="15" customHeight="1" x14ac:dyDescent="0.4">
      <c r="B19544" s="3" t="s">
        <v>7</v>
      </c>
      <c r="C19544" s="3" t="s">
        <v>3115</v>
      </c>
      <c r="D19544" s="4">
        <f>DATE(2003,3,19)</f>
        <v>37699</v>
      </c>
      <c r="E19544" s="5">
        <f t="shared" si="319"/>
        <v>2003</v>
      </c>
      <c r="F19544" s="3" t="s">
        <v>3117</v>
      </c>
      <c r="G19544" s="6">
        <v>161</v>
      </c>
      <c r="H19544" s="5">
        <v>581</v>
      </c>
    </row>
    <row r="19545" spans="2:8" ht="15" customHeight="1" x14ac:dyDescent="0.4">
      <c r="B19545" s="3" t="s">
        <v>7</v>
      </c>
      <c r="C19545" s="3" t="s">
        <v>3115</v>
      </c>
      <c r="D19545" s="4">
        <f>DATE(2003,3,25)</f>
        <v>37705</v>
      </c>
      <c r="E19545" s="5">
        <f t="shared" si="319"/>
        <v>2003</v>
      </c>
      <c r="F19545" s="3" t="s">
        <v>3117</v>
      </c>
      <c r="G19545" s="6">
        <v>210</v>
      </c>
      <c r="H19545" s="5">
        <v>590</v>
      </c>
    </row>
    <row r="19546" spans="2:8" ht="15" customHeight="1" x14ac:dyDescent="0.4">
      <c r="B19546" s="3" t="s">
        <v>7</v>
      </c>
      <c r="C19546" s="3" t="s">
        <v>3115</v>
      </c>
      <c r="D19546" s="4">
        <f>DATE(2003,6,9)</f>
        <v>37781</v>
      </c>
      <c r="E19546" s="5">
        <f t="shared" si="319"/>
        <v>2003</v>
      </c>
      <c r="F19546" s="3" t="s">
        <v>3117</v>
      </c>
      <c r="G19546" s="6">
        <v>360</v>
      </c>
      <c r="H19546" s="5">
        <v>1028</v>
      </c>
    </row>
    <row r="19547" spans="2:8" ht="15" customHeight="1" x14ac:dyDescent="0.4">
      <c r="B19547" s="3" t="s">
        <v>7</v>
      </c>
      <c r="C19547" s="3" t="s">
        <v>3115</v>
      </c>
      <c r="D19547" s="4">
        <f>DATE(2004,3,4)</f>
        <v>38050</v>
      </c>
      <c r="E19547" s="5">
        <f t="shared" si="319"/>
        <v>2004</v>
      </c>
      <c r="F19547" s="3" t="s">
        <v>3117</v>
      </c>
      <c r="G19547" s="6">
        <v>714</v>
      </c>
      <c r="H19547" s="5">
        <v>2330</v>
      </c>
    </row>
    <row r="19548" spans="2:8" ht="15" customHeight="1" x14ac:dyDescent="0.4">
      <c r="B19548" s="3" t="s">
        <v>7</v>
      </c>
      <c r="C19548" s="3" t="s">
        <v>3115</v>
      </c>
      <c r="D19548" s="4">
        <f>DATE(2004,3,5)</f>
        <v>38051</v>
      </c>
      <c r="E19548" s="5">
        <f t="shared" si="319"/>
        <v>2004</v>
      </c>
      <c r="F19548" s="3" t="s">
        <v>3117</v>
      </c>
      <c r="G19548" s="6">
        <v>290</v>
      </c>
      <c r="H19548" s="5">
        <v>2333</v>
      </c>
    </row>
    <row r="19549" spans="2:8" ht="15" customHeight="1" x14ac:dyDescent="0.4">
      <c r="B19549" s="3" t="s">
        <v>7</v>
      </c>
      <c r="C19549" s="3" t="s">
        <v>3115</v>
      </c>
      <c r="D19549" s="4">
        <f>DATE(2004,3,16)</f>
        <v>38062</v>
      </c>
      <c r="E19549" s="5">
        <f t="shared" si="319"/>
        <v>2004</v>
      </c>
      <c r="F19549" s="3" t="s">
        <v>3117</v>
      </c>
      <c r="G19549" s="6">
        <v>384</v>
      </c>
      <c r="H19549" s="5">
        <v>2343</v>
      </c>
    </row>
    <row r="19550" spans="2:8" ht="15" customHeight="1" x14ac:dyDescent="0.4">
      <c r="B19550" s="3" t="s">
        <v>7</v>
      </c>
      <c r="C19550" s="3" t="s">
        <v>3115</v>
      </c>
      <c r="D19550" s="4">
        <f>DATE(2004,8,19)</f>
        <v>38218</v>
      </c>
      <c r="E19550" s="5">
        <f t="shared" si="319"/>
        <v>2004</v>
      </c>
      <c r="F19550" s="3" t="s">
        <v>3117</v>
      </c>
      <c r="G19550" s="6">
        <v>742</v>
      </c>
      <c r="H19550" s="5">
        <v>3288</v>
      </c>
    </row>
    <row r="19551" spans="2:8" ht="15" customHeight="1" x14ac:dyDescent="0.4">
      <c r="B19551" s="3" t="s">
        <v>7</v>
      </c>
      <c r="C19551" s="3" t="s">
        <v>3115</v>
      </c>
      <c r="D19551" s="4">
        <f>DATE(2004,9,17)</f>
        <v>38247</v>
      </c>
      <c r="E19551" s="5">
        <f t="shared" si="319"/>
        <v>2004</v>
      </c>
      <c r="F19551" s="3" t="s">
        <v>3117</v>
      </c>
      <c r="G19551" s="6">
        <v>1487.5</v>
      </c>
      <c r="H19551" s="5">
        <v>3398</v>
      </c>
    </row>
    <row r="19552" spans="2:8" ht="15" customHeight="1" x14ac:dyDescent="0.4">
      <c r="B19552" s="3" t="s">
        <v>7</v>
      </c>
      <c r="C19552" s="3" t="s">
        <v>3115</v>
      </c>
      <c r="D19552" s="4">
        <f>DATE(2004,10,8)</f>
        <v>38268</v>
      </c>
      <c r="E19552" s="5">
        <f t="shared" si="319"/>
        <v>2004</v>
      </c>
      <c r="F19552" s="3" t="s">
        <v>3117</v>
      </c>
      <c r="G19552" s="6">
        <v>870</v>
      </c>
      <c r="H19552" s="5">
        <v>3545</v>
      </c>
    </row>
    <row r="19553" spans="2:8" ht="15" customHeight="1" x14ac:dyDescent="0.4">
      <c r="B19553" s="3" t="s">
        <v>7</v>
      </c>
      <c r="C19553" s="3" t="s">
        <v>3115</v>
      </c>
      <c r="D19553" s="4">
        <f>DATE(2004,11,2)</f>
        <v>38293</v>
      </c>
      <c r="E19553" s="5">
        <f t="shared" si="319"/>
        <v>2004</v>
      </c>
      <c r="F19553" s="3" t="s">
        <v>3117</v>
      </c>
      <c r="G19553" s="6">
        <v>742</v>
      </c>
      <c r="H19553" s="5">
        <v>3631</v>
      </c>
    </row>
    <row r="19554" spans="2:8" ht="15" customHeight="1" x14ac:dyDescent="0.4">
      <c r="B19554" s="3" t="s">
        <v>7</v>
      </c>
      <c r="C19554" s="3" t="s">
        <v>3115</v>
      </c>
      <c r="D19554" s="4">
        <f>DATE(2004,12,3)</f>
        <v>38324</v>
      </c>
      <c r="E19554" s="5">
        <f t="shared" si="319"/>
        <v>2004</v>
      </c>
      <c r="F19554" s="3" t="s">
        <v>3117</v>
      </c>
      <c r="G19554" s="6">
        <v>630</v>
      </c>
      <c r="H19554" s="5">
        <v>3794</v>
      </c>
    </row>
    <row r="19555" spans="2:8" ht="15" customHeight="1" x14ac:dyDescent="0.4">
      <c r="B19555" s="3" t="s">
        <v>7</v>
      </c>
      <c r="C19555" s="3" t="s">
        <v>3115</v>
      </c>
      <c r="D19555" s="4">
        <f>DATE(2004,12,15)</f>
        <v>38336</v>
      </c>
      <c r="E19555" s="5">
        <f t="shared" si="319"/>
        <v>2004</v>
      </c>
      <c r="F19555" s="3" t="s">
        <v>3117</v>
      </c>
      <c r="G19555" s="6">
        <v>2380</v>
      </c>
      <c r="H19555" s="5">
        <v>3794</v>
      </c>
    </row>
    <row r="19556" spans="2:8" ht="15" customHeight="1" x14ac:dyDescent="0.4">
      <c r="B19556" s="3" t="s">
        <v>7</v>
      </c>
      <c r="C19556" s="3" t="s">
        <v>3115</v>
      </c>
      <c r="D19556" s="4">
        <f>DATE(2005,1,14)</f>
        <v>38366</v>
      </c>
      <c r="E19556" s="5">
        <f t="shared" si="319"/>
        <v>2005</v>
      </c>
      <c r="F19556" s="3" t="s">
        <v>3117</v>
      </c>
      <c r="G19556" s="6">
        <v>870</v>
      </c>
      <c r="H19556" s="5">
        <v>3965</v>
      </c>
    </row>
    <row r="19557" spans="2:8" ht="15" customHeight="1" x14ac:dyDescent="0.4">
      <c r="B19557" s="3" t="s">
        <v>7</v>
      </c>
      <c r="C19557" s="3" t="s">
        <v>3115</v>
      </c>
      <c r="D19557" s="4">
        <f>DATE(2005,1,24)</f>
        <v>38376</v>
      </c>
      <c r="E19557" s="5">
        <f t="shared" si="319"/>
        <v>2005</v>
      </c>
      <c r="F19557" s="3" t="s">
        <v>3117</v>
      </c>
      <c r="G19557" s="6">
        <v>7215</v>
      </c>
      <c r="H19557" s="5">
        <v>3987</v>
      </c>
    </row>
    <row r="19558" spans="2:8" ht="15" customHeight="1" x14ac:dyDescent="0.4">
      <c r="B19558" s="3" t="s">
        <v>7</v>
      </c>
      <c r="C19558" s="3" t="s">
        <v>3115</v>
      </c>
      <c r="D19558" s="4">
        <f>DATE(2005,4,1)</f>
        <v>38443</v>
      </c>
      <c r="E19558" s="5">
        <f t="shared" si="319"/>
        <v>2005</v>
      </c>
      <c r="F19558" s="3" t="s">
        <v>3117</v>
      </c>
      <c r="G19558" s="6">
        <v>24840</v>
      </c>
      <c r="H19558" s="5">
        <v>4396</v>
      </c>
    </row>
    <row r="19559" spans="2:8" ht="15" customHeight="1" x14ac:dyDescent="0.4">
      <c r="B19559" s="3" t="s">
        <v>7</v>
      </c>
      <c r="C19559" s="3" t="s">
        <v>3115</v>
      </c>
      <c r="D19559" s="4">
        <f>DATE(2005,4,8)</f>
        <v>38450</v>
      </c>
      <c r="E19559" s="5">
        <f t="shared" si="319"/>
        <v>2005</v>
      </c>
      <c r="F19559" s="3" t="s">
        <v>3117</v>
      </c>
      <c r="G19559" s="6">
        <v>1012</v>
      </c>
      <c r="H19559" s="5">
        <v>4540</v>
      </c>
    </row>
    <row r="19560" spans="2:8" ht="15" customHeight="1" x14ac:dyDescent="0.4">
      <c r="B19560" s="3" t="s">
        <v>7</v>
      </c>
      <c r="C19560" s="3" t="s">
        <v>3115</v>
      </c>
      <c r="D19560" s="4">
        <f>DATE(2005,5,10)</f>
        <v>38482</v>
      </c>
      <c r="E19560" s="5">
        <f t="shared" si="319"/>
        <v>2005</v>
      </c>
      <c r="F19560" s="3" t="s">
        <v>3117</v>
      </c>
      <c r="G19560" s="6">
        <v>1500</v>
      </c>
      <c r="H19560" s="5">
        <v>4723</v>
      </c>
    </row>
    <row r="19561" spans="2:8" ht="15" customHeight="1" x14ac:dyDescent="0.4">
      <c r="B19561" s="3" t="s">
        <v>7</v>
      </c>
      <c r="C19561" s="3" t="s">
        <v>3115</v>
      </c>
      <c r="D19561" s="4">
        <f>DATE(2005,11,16)</f>
        <v>38672</v>
      </c>
      <c r="E19561" s="5">
        <f t="shared" si="319"/>
        <v>2005</v>
      </c>
      <c r="F19561" s="3" t="s">
        <v>3117</v>
      </c>
      <c r="G19561" s="6">
        <v>12978.99</v>
      </c>
      <c r="H19561" s="5">
        <v>5483</v>
      </c>
    </row>
    <row r="19562" spans="2:8" ht="15" customHeight="1" x14ac:dyDescent="0.4">
      <c r="B19562" s="3" t="s">
        <v>7</v>
      </c>
      <c r="C19562" s="3" t="s">
        <v>3115</v>
      </c>
      <c r="D19562" s="4">
        <f>DATE(2006,1,16)</f>
        <v>38733</v>
      </c>
      <c r="E19562" s="5">
        <f t="shared" si="319"/>
        <v>2006</v>
      </c>
      <c r="F19562" s="3" t="s">
        <v>3117</v>
      </c>
      <c r="G19562" s="6">
        <v>147</v>
      </c>
      <c r="H19562" s="5">
        <v>5841</v>
      </c>
    </row>
    <row r="19563" spans="2:8" ht="15" customHeight="1" x14ac:dyDescent="0.4">
      <c r="B19563" s="3" t="s">
        <v>7</v>
      </c>
      <c r="C19563" s="3" t="s">
        <v>3115</v>
      </c>
      <c r="D19563" s="4">
        <f>DATE(2006,1,25)</f>
        <v>38742</v>
      </c>
      <c r="E19563" s="5">
        <f t="shared" si="319"/>
        <v>2006</v>
      </c>
      <c r="F19563" s="3" t="s">
        <v>3117</v>
      </c>
      <c r="G19563" s="6">
        <v>380</v>
      </c>
      <c r="H19563" s="5">
        <v>5913</v>
      </c>
    </row>
    <row r="19564" spans="2:8" ht="15" customHeight="1" x14ac:dyDescent="0.4">
      <c r="B19564" s="3" t="s">
        <v>7</v>
      </c>
      <c r="C19564" s="3" t="s">
        <v>3115</v>
      </c>
      <c r="D19564" s="4">
        <f>DATE(2006,3,9)</f>
        <v>38785</v>
      </c>
      <c r="E19564" s="5">
        <f t="shared" si="319"/>
        <v>2006</v>
      </c>
      <c r="F19564" s="3" t="s">
        <v>3117</v>
      </c>
      <c r="G19564" s="6">
        <v>953</v>
      </c>
      <c r="H19564" s="5">
        <v>6246</v>
      </c>
    </row>
    <row r="19565" spans="2:8" ht="15" customHeight="1" x14ac:dyDescent="0.4">
      <c r="B19565" s="3" t="s">
        <v>7</v>
      </c>
      <c r="C19565" s="3" t="s">
        <v>3115</v>
      </c>
      <c r="D19565" s="4">
        <f>DATE(2006,3,13)</f>
        <v>38789</v>
      </c>
      <c r="E19565" s="5">
        <f t="shared" si="319"/>
        <v>2006</v>
      </c>
      <c r="F19565" s="3" t="s">
        <v>3117</v>
      </c>
      <c r="G19565" s="6">
        <v>588</v>
      </c>
      <c r="H19565" s="5">
        <v>6246</v>
      </c>
    </row>
    <row r="19566" spans="2:8" ht="15" customHeight="1" x14ac:dyDescent="0.4">
      <c r="B19566" s="3" t="s">
        <v>7</v>
      </c>
      <c r="C19566" s="3" t="s">
        <v>3115</v>
      </c>
      <c r="D19566" s="4">
        <f>DATE(2006,4,3)</f>
        <v>38810</v>
      </c>
      <c r="E19566" s="5">
        <f t="shared" si="319"/>
        <v>2006</v>
      </c>
      <c r="F19566" s="3" t="s">
        <v>3117</v>
      </c>
      <c r="G19566" s="6">
        <v>2850</v>
      </c>
      <c r="H19566" s="5">
        <v>6437</v>
      </c>
    </row>
    <row r="19567" spans="2:8" ht="15" customHeight="1" x14ac:dyDescent="0.4">
      <c r="B19567" s="3" t="s">
        <v>7</v>
      </c>
      <c r="C19567" s="3" t="s">
        <v>3115</v>
      </c>
      <c r="D19567" s="4">
        <f>DATE(2006,5,9)</f>
        <v>38846</v>
      </c>
      <c r="E19567" s="5">
        <f t="shared" si="319"/>
        <v>2006</v>
      </c>
      <c r="F19567" s="3" t="s">
        <v>3117</v>
      </c>
      <c r="G19567" s="6">
        <v>6350</v>
      </c>
      <c r="H19567" s="5">
        <v>6449</v>
      </c>
    </row>
    <row r="19568" spans="2:8" ht="15" customHeight="1" x14ac:dyDescent="0.4">
      <c r="B19568" s="3" t="s">
        <v>7</v>
      </c>
      <c r="C19568" s="3" t="s">
        <v>3115</v>
      </c>
      <c r="D19568" s="4">
        <f>DATE(2006,5,30)</f>
        <v>38867</v>
      </c>
      <c r="E19568" s="5">
        <f t="shared" si="319"/>
        <v>2006</v>
      </c>
      <c r="F19568" s="3" t="s">
        <v>3117</v>
      </c>
      <c r="G19568" s="6">
        <v>1500</v>
      </c>
      <c r="H19568" s="5">
        <v>6789</v>
      </c>
    </row>
    <row r="19569" spans="2:8" ht="15" customHeight="1" x14ac:dyDescent="0.4">
      <c r="B19569" s="3" t="s">
        <v>7</v>
      </c>
      <c r="C19569" s="3" t="s">
        <v>3115</v>
      </c>
      <c r="D19569" s="4">
        <f>DATE(2006,12,14)</f>
        <v>39065</v>
      </c>
      <c r="E19569" s="5">
        <f t="shared" si="319"/>
        <v>2006</v>
      </c>
      <c r="F19569" s="3" t="s">
        <v>3117</v>
      </c>
      <c r="G19569" s="6">
        <v>1800</v>
      </c>
      <c r="H19569" s="5">
        <v>7644</v>
      </c>
    </row>
    <row r="19570" spans="2:8" ht="15" customHeight="1" x14ac:dyDescent="0.4">
      <c r="B19570" s="3" t="s">
        <v>7</v>
      </c>
      <c r="C19570" s="3" t="s">
        <v>3115</v>
      </c>
      <c r="D19570" s="4">
        <f>DATE(2006,12,15)</f>
        <v>39066</v>
      </c>
      <c r="E19570" s="5">
        <f t="shared" si="319"/>
        <v>2006</v>
      </c>
      <c r="F19570" s="3" t="s">
        <v>3117</v>
      </c>
      <c r="G19570" s="6">
        <v>4100</v>
      </c>
      <c r="H19570" s="5">
        <v>7639</v>
      </c>
    </row>
    <row r="19571" spans="2:8" ht="15" customHeight="1" x14ac:dyDescent="0.4">
      <c r="B19571" s="3" t="s">
        <v>7</v>
      </c>
      <c r="C19571" s="3" t="s">
        <v>3115</v>
      </c>
      <c r="D19571" s="4">
        <f>DATE(2006,12,18)</f>
        <v>39069</v>
      </c>
      <c r="E19571" s="5">
        <f t="shared" si="319"/>
        <v>2006</v>
      </c>
      <c r="F19571" s="3" t="s">
        <v>3117</v>
      </c>
      <c r="G19571" s="6">
        <v>380</v>
      </c>
      <c r="H19571" s="5">
        <v>7662</v>
      </c>
    </row>
    <row r="19572" spans="2:8" ht="15" customHeight="1" x14ac:dyDescent="0.4">
      <c r="B19572" s="3" t="s">
        <v>7</v>
      </c>
      <c r="C19572" s="3" t="s">
        <v>3115</v>
      </c>
      <c r="D19572" s="4">
        <f>DATE(2007,1,15)</f>
        <v>39097</v>
      </c>
      <c r="E19572" s="5">
        <f t="shared" si="319"/>
        <v>2007</v>
      </c>
      <c r="F19572" s="3" t="s">
        <v>3117</v>
      </c>
      <c r="G19572" s="6">
        <v>3600</v>
      </c>
      <c r="H19572" s="5">
        <v>7722</v>
      </c>
    </row>
    <row r="19573" spans="2:8" ht="15" customHeight="1" x14ac:dyDescent="0.4">
      <c r="B19573" s="3" t="s">
        <v>7</v>
      </c>
      <c r="C19573" s="3" t="s">
        <v>3115</v>
      </c>
      <c r="D19573" s="4">
        <f>DATE(2007,1,30)</f>
        <v>39112</v>
      </c>
      <c r="E19573" s="5">
        <f t="shared" si="319"/>
        <v>2007</v>
      </c>
      <c r="F19573" s="3" t="s">
        <v>3117</v>
      </c>
      <c r="G19573" s="6">
        <v>205</v>
      </c>
      <c r="H19573" s="5">
        <v>7843</v>
      </c>
    </row>
    <row r="19574" spans="2:8" ht="15" customHeight="1" x14ac:dyDescent="0.4">
      <c r="B19574" s="3" t="s">
        <v>7</v>
      </c>
      <c r="C19574" s="3" t="s">
        <v>3115</v>
      </c>
      <c r="D19574" s="4">
        <f>DATE(2007,2,9)</f>
        <v>39122</v>
      </c>
      <c r="E19574" s="5">
        <f t="shared" si="319"/>
        <v>2007</v>
      </c>
      <c r="F19574" s="3" t="s">
        <v>3117</v>
      </c>
      <c r="G19574" s="6">
        <v>4560</v>
      </c>
      <c r="H19574" s="5">
        <v>7922</v>
      </c>
    </row>
    <row r="19575" spans="2:8" ht="15" customHeight="1" x14ac:dyDescent="0.4">
      <c r="B19575" s="3" t="s">
        <v>7</v>
      </c>
      <c r="C19575" s="3" t="s">
        <v>3115</v>
      </c>
      <c r="D19575" s="4">
        <f>DATE(2007,3,21)</f>
        <v>39162</v>
      </c>
      <c r="E19575" s="5">
        <f t="shared" si="319"/>
        <v>2007</v>
      </c>
      <c r="F19575" s="3" t="s">
        <v>3117</v>
      </c>
      <c r="G19575" s="6">
        <v>1025</v>
      </c>
      <c r="H19575" s="5">
        <v>8196</v>
      </c>
    </row>
    <row r="19576" spans="2:8" ht="15" customHeight="1" x14ac:dyDescent="0.4">
      <c r="B19576" s="3" t="s">
        <v>7</v>
      </c>
      <c r="C19576" s="3" t="s">
        <v>3115</v>
      </c>
      <c r="D19576" s="4">
        <f>DATE(2007,4,19)</f>
        <v>39191</v>
      </c>
      <c r="E19576" s="5">
        <f t="shared" si="319"/>
        <v>2007</v>
      </c>
      <c r="F19576" s="3" t="s">
        <v>3117</v>
      </c>
      <c r="G19576" s="6">
        <v>4100</v>
      </c>
      <c r="H19576" s="5">
        <v>8420</v>
      </c>
    </row>
    <row r="19577" spans="2:8" ht="15" customHeight="1" x14ac:dyDescent="0.4">
      <c r="B19577" s="3" t="s">
        <v>7</v>
      </c>
      <c r="C19577" s="3" t="s">
        <v>3115</v>
      </c>
      <c r="D19577" s="4">
        <f>DATE(2007,5,14)</f>
        <v>39216</v>
      </c>
      <c r="E19577" s="5">
        <f t="shared" si="319"/>
        <v>2007</v>
      </c>
      <c r="F19577" s="3" t="s">
        <v>3117</v>
      </c>
      <c r="G19577" s="6">
        <v>6150</v>
      </c>
      <c r="H19577" s="5">
        <v>8472</v>
      </c>
    </row>
    <row r="19578" spans="2:8" ht="15" customHeight="1" x14ac:dyDescent="0.4">
      <c r="B19578" s="3" t="s">
        <v>7</v>
      </c>
      <c r="C19578" s="3" t="s">
        <v>3115</v>
      </c>
      <c r="D19578" s="4">
        <f>DATE(2007,5,25)</f>
        <v>39227</v>
      </c>
      <c r="E19578" s="5">
        <f t="shared" si="319"/>
        <v>2007</v>
      </c>
      <c r="F19578" s="3" t="s">
        <v>3117</v>
      </c>
      <c r="G19578" s="6">
        <v>7760</v>
      </c>
      <c r="H19578" s="5">
        <v>8631</v>
      </c>
    </row>
    <row r="19579" spans="2:8" ht="15" customHeight="1" x14ac:dyDescent="0.4">
      <c r="B19579" s="3" t="s">
        <v>7</v>
      </c>
      <c r="C19579" s="3" t="s">
        <v>3115</v>
      </c>
      <c r="D19579" s="4">
        <f>DATE(2007,6,8)</f>
        <v>39241</v>
      </c>
      <c r="E19579" s="5">
        <f t="shared" si="319"/>
        <v>2007</v>
      </c>
      <c r="F19579" s="3" t="s">
        <v>3117</v>
      </c>
      <c r="G19579" s="6">
        <v>2175.5</v>
      </c>
      <c r="H19579" s="5">
        <v>8648</v>
      </c>
    </row>
    <row r="19580" spans="2:8" ht="15" customHeight="1" x14ac:dyDescent="0.4">
      <c r="B19580" s="3" t="s">
        <v>7</v>
      </c>
      <c r="C19580" s="3" t="s">
        <v>3115</v>
      </c>
      <c r="D19580" s="4">
        <f>DATE(2007,6,28)</f>
        <v>39261</v>
      </c>
      <c r="E19580" s="5">
        <f t="shared" si="319"/>
        <v>2007</v>
      </c>
      <c r="F19580" s="3" t="s">
        <v>3117</v>
      </c>
      <c r="G19580" s="6">
        <v>9700</v>
      </c>
      <c r="H19580" s="5">
        <v>8809</v>
      </c>
    </row>
    <row r="19581" spans="2:8" ht="15" customHeight="1" x14ac:dyDescent="0.4">
      <c r="B19581" s="3" t="s">
        <v>7</v>
      </c>
      <c r="C19581" s="3" t="s">
        <v>3115</v>
      </c>
      <c r="D19581" s="4">
        <f>DATE(2007,12,20)</f>
        <v>39436</v>
      </c>
      <c r="E19581" s="5">
        <f t="shared" si="319"/>
        <v>2007</v>
      </c>
      <c r="F19581" s="3" t="s">
        <v>3117</v>
      </c>
      <c r="G19581" s="6">
        <v>1500</v>
      </c>
      <c r="H19581" s="5">
        <v>9618</v>
      </c>
    </row>
    <row r="19582" spans="2:8" ht="15" customHeight="1" x14ac:dyDescent="0.4">
      <c r="B19582" s="3" t="s">
        <v>7</v>
      </c>
      <c r="C19582" s="3" t="s">
        <v>3115</v>
      </c>
      <c r="D19582" s="4">
        <f>DATE(2008,1,10)</f>
        <v>39457</v>
      </c>
      <c r="E19582" s="5">
        <f t="shared" si="319"/>
        <v>2008</v>
      </c>
      <c r="F19582" s="3" t="s">
        <v>3117</v>
      </c>
      <c r="G19582" s="6">
        <v>98.5</v>
      </c>
      <c r="H19582" s="5">
        <v>9667</v>
      </c>
    </row>
    <row r="19583" spans="2:8" ht="15" customHeight="1" x14ac:dyDescent="0.4">
      <c r="B19583" s="3" t="s">
        <v>7</v>
      </c>
      <c r="C19583" s="3" t="s">
        <v>3115</v>
      </c>
      <c r="D19583" s="4">
        <f>DATE(2008,2,19)</f>
        <v>39497</v>
      </c>
      <c r="E19583" s="5">
        <f t="shared" si="319"/>
        <v>2008</v>
      </c>
      <c r="F19583" s="3" t="s">
        <v>3117</v>
      </c>
      <c r="G19583" s="6">
        <v>9500</v>
      </c>
      <c r="H19583" s="5">
        <v>9830</v>
      </c>
    </row>
    <row r="19584" spans="2:8" ht="15" customHeight="1" x14ac:dyDescent="0.4">
      <c r="B19584" s="3" t="s">
        <v>7</v>
      </c>
      <c r="C19584" s="3" t="s">
        <v>3115</v>
      </c>
      <c r="D19584" s="4">
        <f>DATE(2008,2,22)</f>
        <v>39500</v>
      </c>
      <c r="E19584" s="5">
        <f t="shared" si="319"/>
        <v>2008</v>
      </c>
      <c r="F19584" s="3" t="s">
        <v>3117</v>
      </c>
      <c r="G19584" s="6">
        <v>276</v>
      </c>
      <c r="H19584" s="5">
        <v>10015</v>
      </c>
    </row>
    <row r="19585" spans="2:8" ht="15" customHeight="1" x14ac:dyDescent="0.4">
      <c r="B19585" s="3" t="s">
        <v>7</v>
      </c>
      <c r="C19585" s="3" t="s">
        <v>3115</v>
      </c>
      <c r="D19585" s="4">
        <f>DATE(2008,2,26)</f>
        <v>39504</v>
      </c>
      <c r="E19585" s="5">
        <f t="shared" si="319"/>
        <v>2008</v>
      </c>
      <c r="F19585" s="3" t="s">
        <v>3117</v>
      </c>
      <c r="G19585" s="6">
        <v>20700</v>
      </c>
      <c r="H19585" s="5">
        <v>9997</v>
      </c>
    </row>
    <row r="19586" spans="2:8" ht="15" customHeight="1" x14ac:dyDescent="0.4">
      <c r="B19586" s="3" t="s">
        <v>7</v>
      </c>
      <c r="C19586" s="3" t="s">
        <v>3115</v>
      </c>
      <c r="D19586" s="4">
        <f>DATE(2008,3,3)</f>
        <v>39510</v>
      </c>
      <c r="E19586" s="5">
        <f t="shared" si="319"/>
        <v>2008</v>
      </c>
      <c r="F19586" s="3" t="s">
        <v>3117</v>
      </c>
      <c r="G19586" s="6">
        <v>4183.2</v>
      </c>
      <c r="H19586" s="5">
        <v>10051</v>
      </c>
    </row>
    <row r="19587" spans="2:8" ht="15" customHeight="1" x14ac:dyDescent="0.4">
      <c r="B19587" s="3" t="s">
        <v>7</v>
      </c>
      <c r="C19587" s="3" t="s">
        <v>3115</v>
      </c>
      <c r="D19587" s="4">
        <f>DATE(2008,3,25)</f>
        <v>39532</v>
      </c>
      <c r="E19587" s="5">
        <f t="shared" ref="E19587:E19650" si="320">YEAR(D19587)</f>
        <v>2008</v>
      </c>
      <c r="F19587" s="3" t="s">
        <v>3117</v>
      </c>
      <c r="G19587" s="6">
        <v>786.81</v>
      </c>
      <c r="H19587" s="5">
        <v>10298</v>
      </c>
    </row>
    <row r="19588" spans="2:8" ht="15" customHeight="1" x14ac:dyDescent="0.4">
      <c r="B19588" s="3" t="s">
        <v>7</v>
      </c>
      <c r="C19588" s="3" t="s">
        <v>3115</v>
      </c>
      <c r="D19588" s="4">
        <f>DATE(2008,3,31)</f>
        <v>39538</v>
      </c>
      <c r="E19588" s="5">
        <f t="shared" si="320"/>
        <v>2008</v>
      </c>
      <c r="F19588" s="3" t="s">
        <v>3117</v>
      </c>
      <c r="G19588" s="6">
        <v>3575</v>
      </c>
      <c r="H19588" s="5">
        <v>10215</v>
      </c>
    </row>
    <row r="19589" spans="2:8" ht="15" customHeight="1" x14ac:dyDescent="0.4">
      <c r="B19589" s="3" t="s">
        <v>7</v>
      </c>
      <c r="C19589" s="3" t="s">
        <v>3115</v>
      </c>
      <c r="D19589" s="4">
        <f>DATE(2008,7,23)</f>
        <v>39652</v>
      </c>
      <c r="E19589" s="5">
        <f t="shared" si="320"/>
        <v>2008</v>
      </c>
      <c r="F19589" s="3" t="s">
        <v>3117</v>
      </c>
      <c r="G19589" s="6">
        <v>3280</v>
      </c>
      <c r="H19589" s="5">
        <v>10969</v>
      </c>
    </row>
    <row r="19590" spans="2:8" ht="15" customHeight="1" x14ac:dyDescent="0.4">
      <c r="B19590" s="3" t="s">
        <v>7</v>
      </c>
      <c r="C19590" s="3" t="s">
        <v>3115</v>
      </c>
      <c r="D19590" s="4">
        <f>DATE(2008,9,23)</f>
        <v>39714</v>
      </c>
      <c r="E19590" s="5">
        <f t="shared" si="320"/>
        <v>2008</v>
      </c>
      <c r="F19590" s="3" t="s">
        <v>3117</v>
      </c>
      <c r="G19590" s="6">
        <v>11640</v>
      </c>
      <c r="H19590" s="5">
        <v>11265</v>
      </c>
    </row>
    <row r="19591" spans="2:8" ht="15" customHeight="1" x14ac:dyDescent="0.4">
      <c r="B19591" s="3" t="s">
        <v>7</v>
      </c>
      <c r="C19591" s="3" t="s">
        <v>3115</v>
      </c>
      <c r="D19591" s="4">
        <f>DATE(2009,2,10)</f>
        <v>39854</v>
      </c>
      <c r="E19591" s="5">
        <f t="shared" si="320"/>
        <v>2009</v>
      </c>
      <c r="F19591" s="3" t="s">
        <v>3117</v>
      </c>
      <c r="G19591" s="6">
        <v>7100</v>
      </c>
      <c r="H19591" s="5">
        <v>11841</v>
      </c>
    </row>
    <row r="19592" spans="2:8" ht="15" customHeight="1" x14ac:dyDescent="0.4">
      <c r="B19592" s="3" t="s">
        <v>7</v>
      </c>
      <c r="C19592" s="3" t="s">
        <v>3115</v>
      </c>
      <c r="D19592" s="4">
        <f>DATE(2009,4,23)</f>
        <v>39926</v>
      </c>
      <c r="E19592" s="5">
        <f t="shared" si="320"/>
        <v>2009</v>
      </c>
      <c r="F19592" s="3" t="s">
        <v>3117</v>
      </c>
      <c r="G19592" s="6">
        <v>2050</v>
      </c>
      <c r="H19592" s="5">
        <v>12416</v>
      </c>
    </row>
    <row r="19593" spans="2:8" ht="15" customHeight="1" x14ac:dyDescent="0.4">
      <c r="B19593" s="3" t="s">
        <v>7</v>
      </c>
      <c r="C19593" s="3" t="s">
        <v>3115</v>
      </c>
      <c r="D19593" s="4">
        <f>DATE(2009,4,23)</f>
        <v>39926</v>
      </c>
      <c r="E19593" s="5">
        <f t="shared" si="320"/>
        <v>2009</v>
      </c>
      <c r="F19593" s="3" t="s">
        <v>3117</v>
      </c>
      <c r="G19593" s="6">
        <v>19320</v>
      </c>
      <c r="H19593" s="5">
        <v>12393</v>
      </c>
    </row>
    <row r="19594" spans="2:8" ht="15" customHeight="1" x14ac:dyDescent="0.4">
      <c r="B19594" s="3" t="s">
        <v>7</v>
      </c>
      <c r="C19594" s="3" t="s">
        <v>3115</v>
      </c>
      <c r="D19594" s="4">
        <f>DATE(2009,5,11)</f>
        <v>39944</v>
      </c>
      <c r="E19594" s="5">
        <f t="shared" si="320"/>
        <v>2009</v>
      </c>
      <c r="F19594" s="3" t="s">
        <v>3117</v>
      </c>
      <c r="G19594" s="6">
        <v>750</v>
      </c>
      <c r="H19594" s="5">
        <v>12511</v>
      </c>
    </row>
    <row r="19595" spans="2:8" ht="15" customHeight="1" x14ac:dyDescent="0.4">
      <c r="B19595" s="3" t="s">
        <v>7</v>
      </c>
      <c r="C19595" s="3" t="s">
        <v>3115</v>
      </c>
      <c r="D19595" s="4">
        <f>DATE(2009,5,29)</f>
        <v>39962</v>
      </c>
      <c r="E19595" s="5">
        <f t="shared" si="320"/>
        <v>2009</v>
      </c>
      <c r="F19595" s="3" t="s">
        <v>3117</v>
      </c>
      <c r="G19595" s="6">
        <v>21600</v>
      </c>
      <c r="H19595" s="5">
        <v>12584</v>
      </c>
    </row>
    <row r="19596" spans="2:8" ht="15" customHeight="1" x14ac:dyDescent="0.4">
      <c r="B19596" s="3" t="s">
        <v>7</v>
      </c>
      <c r="C19596" s="3" t="s">
        <v>3115</v>
      </c>
      <c r="D19596" s="4">
        <f>DATE(2009,8,11)</f>
        <v>40036</v>
      </c>
      <c r="E19596" s="5">
        <f t="shared" si="320"/>
        <v>2009</v>
      </c>
      <c r="F19596" s="3" t="s">
        <v>3117</v>
      </c>
      <c r="G19596" s="6">
        <v>8600</v>
      </c>
      <c r="H19596" s="5">
        <v>12863</v>
      </c>
    </row>
    <row r="19597" spans="2:8" ht="15" customHeight="1" x14ac:dyDescent="0.4">
      <c r="B19597" s="3" t="s">
        <v>7</v>
      </c>
      <c r="C19597" s="3" t="s">
        <v>3115</v>
      </c>
      <c r="D19597" s="4">
        <f>DATE(2009,10,9)</f>
        <v>40095</v>
      </c>
      <c r="E19597" s="5">
        <f t="shared" si="320"/>
        <v>2009</v>
      </c>
      <c r="F19597" s="3" t="s">
        <v>3117</v>
      </c>
      <c r="G19597" s="6">
        <v>3587.5</v>
      </c>
      <c r="H19597" s="5">
        <v>13029</v>
      </c>
    </row>
    <row r="19598" spans="2:8" ht="15" customHeight="1" x14ac:dyDescent="0.4">
      <c r="B19598" s="3" t="s">
        <v>7</v>
      </c>
      <c r="C19598" s="3" t="s">
        <v>3115</v>
      </c>
      <c r="D19598" s="4">
        <f>DATE(2010,1,14)</f>
        <v>40192</v>
      </c>
      <c r="E19598" s="5">
        <f t="shared" si="320"/>
        <v>2010</v>
      </c>
      <c r="F19598" s="3" t="s">
        <v>3117</v>
      </c>
      <c r="G19598" s="6">
        <v>1500</v>
      </c>
      <c r="H19598" s="5">
        <v>13396</v>
      </c>
    </row>
    <row r="19599" spans="2:8" ht="15" customHeight="1" x14ac:dyDescent="0.4">
      <c r="B19599" s="3" t="s">
        <v>7</v>
      </c>
      <c r="C19599" s="3" t="s">
        <v>3115</v>
      </c>
      <c r="D19599" s="4">
        <f>DATE(2010,1,14)</f>
        <v>40192</v>
      </c>
      <c r="E19599" s="5">
        <f t="shared" si="320"/>
        <v>2010</v>
      </c>
      <c r="F19599" s="3" t="s">
        <v>3117</v>
      </c>
      <c r="G19599" s="6">
        <v>3000</v>
      </c>
      <c r="H19599" s="5">
        <v>13398</v>
      </c>
    </row>
    <row r="19600" spans="2:8" ht="15" customHeight="1" x14ac:dyDescent="0.4">
      <c r="B19600" s="3" t="s">
        <v>7</v>
      </c>
      <c r="C19600" s="3" t="s">
        <v>3115</v>
      </c>
      <c r="D19600" s="4">
        <f>DATE(2010,1,14)</f>
        <v>40192</v>
      </c>
      <c r="E19600" s="5">
        <f t="shared" si="320"/>
        <v>2010</v>
      </c>
      <c r="F19600" s="3" t="s">
        <v>3117</v>
      </c>
      <c r="G19600" s="6">
        <v>1900</v>
      </c>
      <c r="H19600" s="5">
        <v>13428</v>
      </c>
    </row>
    <row r="19601" spans="2:8" ht="15" customHeight="1" x14ac:dyDescent="0.4">
      <c r="B19601" s="3" t="s">
        <v>7</v>
      </c>
      <c r="C19601" s="3" t="s">
        <v>3115</v>
      </c>
      <c r="D19601" s="4">
        <f>DATE(2010,1,29)</f>
        <v>40207</v>
      </c>
      <c r="E19601" s="5">
        <f t="shared" si="320"/>
        <v>2010</v>
      </c>
      <c r="F19601" s="3" t="s">
        <v>3117</v>
      </c>
      <c r="G19601" s="6">
        <v>1000</v>
      </c>
      <c r="H19601" s="5">
        <v>13490</v>
      </c>
    </row>
    <row r="19602" spans="2:8" ht="15" customHeight="1" x14ac:dyDescent="0.4">
      <c r="B19602" s="3" t="s">
        <v>7</v>
      </c>
      <c r="C19602" s="3" t="s">
        <v>3115</v>
      </c>
      <c r="D19602" s="4">
        <f>DATE(2010,1,29)</f>
        <v>40207</v>
      </c>
      <c r="E19602" s="5">
        <f t="shared" si="320"/>
        <v>2010</v>
      </c>
      <c r="F19602" s="3" t="s">
        <v>3117</v>
      </c>
      <c r="G19602" s="6">
        <v>4100</v>
      </c>
      <c r="H19602" s="5">
        <v>13461</v>
      </c>
    </row>
    <row r="19603" spans="2:8" ht="15" customHeight="1" x14ac:dyDescent="0.4">
      <c r="B19603" s="3" t="s">
        <v>7</v>
      </c>
      <c r="C19603" s="3" t="s">
        <v>3115</v>
      </c>
      <c r="D19603" s="4">
        <f>DATE(2010,2,11)</f>
        <v>40220</v>
      </c>
      <c r="E19603" s="5">
        <f t="shared" si="320"/>
        <v>2010</v>
      </c>
      <c r="F19603" s="3" t="s">
        <v>3117</v>
      </c>
      <c r="G19603" s="6">
        <v>23492</v>
      </c>
      <c r="H19603" s="5">
        <v>13243</v>
      </c>
    </row>
    <row r="19604" spans="2:8" ht="15" customHeight="1" x14ac:dyDescent="0.4">
      <c r="B19604" s="3" t="s">
        <v>7</v>
      </c>
      <c r="C19604" s="3" t="s">
        <v>3115</v>
      </c>
      <c r="D19604" s="4">
        <f>DATE(2010,3,10)</f>
        <v>40247</v>
      </c>
      <c r="E19604" s="5">
        <f t="shared" si="320"/>
        <v>2010</v>
      </c>
      <c r="F19604" s="3" t="s">
        <v>3117</v>
      </c>
      <c r="G19604" s="6">
        <v>38000</v>
      </c>
      <c r="H19604" s="5">
        <v>13540</v>
      </c>
    </row>
    <row r="19605" spans="2:8" ht="15" customHeight="1" x14ac:dyDescent="0.4">
      <c r="B19605" s="3" t="s">
        <v>7</v>
      </c>
      <c r="C19605" s="3" t="s">
        <v>3115</v>
      </c>
      <c r="D19605" s="4">
        <f>DATE(2010,4,30)</f>
        <v>40298</v>
      </c>
      <c r="E19605" s="5">
        <f t="shared" si="320"/>
        <v>2010</v>
      </c>
      <c r="F19605" s="3" t="s">
        <v>3117</v>
      </c>
      <c r="G19605" s="6">
        <v>4100</v>
      </c>
      <c r="H19605" s="5">
        <v>13918</v>
      </c>
    </row>
    <row r="19606" spans="2:8" ht="15" customHeight="1" x14ac:dyDescent="0.4">
      <c r="B19606" s="3" t="s">
        <v>7</v>
      </c>
      <c r="C19606" s="3" t="s">
        <v>3115</v>
      </c>
      <c r="D19606" s="4">
        <f>DATE(2010,5,13)</f>
        <v>40311</v>
      </c>
      <c r="E19606" s="5">
        <f t="shared" si="320"/>
        <v>2010</v>
      </c>
      <c r="F19606" s="3" t="s">
        <v>3117</v>
      </c>
      <c r="G19606" s="6">
        <v>883.5</v>
      </c>
      <c r="H19606" s="5">
        <v>13854</v>
      </c>
    </row>
    <row r="19607" spans="2:8" ht="15" customHeight="1" x14ac:dyDescent="0.4">
      <c r="B19607" s="3" t="s">
        <v>7</v>
      </c>
      <c r="C19607" s="3" t="s">
        <v>3115</v>
      </c>
      <c r="D19607" s="4">
        <f>DATE(2010,8,9)</f>
        <v>40399</v>
      </c>
      <c r="E19607" s="5">
        <f t="shared" si="320"/>
        <v>2010</v>
      </c>
      <c r="F19607" s="3" t="s">
        <v>3117</v>
      </c>
      <c r="G19607" s="6">
        <v>21600</v>
      </c>
      <c r="H19607" s="5">
        <v>14191</v>
      </c>
    </row>
    <row r="19608" spans="2:8" ht="15" customHeight="1" x14ac:dyDescent="0.4">
      <c r="B19608" s="3" t="s">
        <v>7</v>
      </c>
      <c r="C19608" s="3" t="s">
        <v>3115</v>
      </c>
      <c r="D19608" s="4">
        <f>DATE(2010,10,18)</f>
        <v>40469</v>
      </c>
      <c r="E19608" s="5">
        <f t="shared" si="320"/>
        <v>2010</v>
      </c>
      <c r="F19608" s="3" t="s">
        <v>3117</v>
      </c>
      <c r="G19608" s="6">
        <v>4100</v>
      </c>
      <c r="H19608" s="5">
        <v>14598</v>
      </c>
    </row>
    <row r="19609" spans="2:8" ht="15" customHeight="1" x14ac:dyDescent="0.4">
      <c r="B19609" s="3" t="s">
        <v>7</v>
      </c>
      <c r="C19609" s="3" t="s">
        <v>3115</v>
      </c>
      <c r="D19609" s="4">
        <f>DATE(2010,11,10)</f>
        <v>40492</v>
      </c>
      <c r="E19609" s="5">
        <f t="shared" si="320"/>
        <v>2010</v>
      </c>
      <c r="F19609" s="3" t="s">
        <v>3117</v>
      </c>
      <c r="G19609" s="6">
        <v>7100</v>
      </c>
      <c r="H19609" s="5">
        <v>14689</v>
      </c>
    </row>
    <row r="19610" spans="2:8" ht="15" customHeight="1" x14ac:dyDescent="0.4">
      <c r="B19610" s="3" t="s">
        <v>7</v>
      </c>
      <c r="C19610" s="3" t="s">
        <v>3115</v>
      </c>
      <c r="D19610" s="4">
        <f>DATE(2010,11,23)</f>
        <v>40505</v>
      </c>
      <c r="E19610" s="5">
        <f t="shared" si="320"/>
        <v>2010</v>
      </c>
      <c r="F19610" s="3" t="s">
        <v>3117</v>
      </c>
      <c r="G19610" s="6">
        <v>950</v>
      </c>
      <c r="H19610" s="5">
        <v>14762</v>
      </c>
    </row>
    <row r="19611" spans="2:8" ht="15" customHeight="1" x14ac:dyDescent="0.4">
      <c r="B19611" s="3" t="s">
        <v>7</v>
      </c>
      <c r="C19611" s="3" t="s">
        <v>3115</v>
      </c>
      <c r="D19611" s="4">
        <f>DATE(2011,1,13)</f>
        <v>40556</v>
      </c>
      <c r="E19611" s="5">
        <f t="shared" si="320"/>
        <v>2011</v>
      </c>
      <c r="F19611" s="3" t="s">
        <v>3117</v>
      </c>
      <c r="G19611" s="6">
        <v>3800</v>
      </c>
      <c r="H19611" s="5">
        <v>14905</v>
      </c>
    </row>
    <row r="19612" spans="2:8" ht="15" customHeight="1" x14ac:dyDescent="0.4">
      <c r="B19612" s="3" t="s">
        <v>7</v>
      </c>
      <c r="C19612" s="3" t="s">
        <v>3115</v>
      </c>
      <c r="D19612" s="4">
        <f>DATE(2011,2,11)</f>
        <v>40585</v>
      </c>
      <c r="E19612" s="5">
        <f t="shared" si="320"/>
        <v>2011</v>
      </c>
      <c r="F19612" s="3" t="s">
        <v>3117</v>
      </c>
      <c r="G19612" s="6">
        <v>848</v>
      </c>
      <c r="H19612" s="5">
        <v>15061</v>
      </c>
    </row>
    <row r="19613" spans="2:8" ht="15" customHeight="1" x14ac:dyDescent="0.4">
      <c r="B19613" s="3" t="s">
        <v>7</v>
      </c>
      <c r="C19613" s="3" t="s">
        <v>3115</v>
      </c>
      <c r="D19613" s="4">
        <f>DATE(2011,2,17)</f>
        <v>40591</v>
      </c>
      <c r="E19613" s="5">
        <f t="shared" si="320"/>
        <v>2011</v>
      </c>
      <c r="F19613" s="3" t="s">
        <v>3117</v>
      </c>
      <c r="G19613" s="6">
        <v>1900</v>
      </c>
      <c r="H19613" s="5">
        <v>15069</v>
      </c>
    </row>
    <row r="19614" spans="2:8" ht="15" customHeight="1" x14ac:dyDescent="0.4">
      <c r="B19614" s="3" t="s">
        <v>7</v>
      </c>
      <c r="C19614" s="3" t="s">
        <v>3115</v>
      </c>
      <c r="D19614" s="4">
        <f>DATE(2011,4,15)</f>
        <v>40648</v>
      </c>
      <c r="E19614" s="5">
        <f t="shared" si="320"/>
        <v>2011</v>
      </c>
      <c r="F19614" s="3" t="s">
        <v>3117</v>
      </c>
      <c r="G19614" s="6">
        <v>750</v>
      </c>
      <c r="H19614" s="5">
        <v>15444</v>
      </c>
    </row>
    <row r="19615" spans="2:8" ht="15" customHeight="1" x14ac:dyDescent="0.4">
      <c r="B19615" s="3" t="s">
        <v>7</v>
      </c>
      <c r="C19615" s="3" t="s">
        <v>3115</v>
      </c>
      <c r="D19615" s="4">
        <f>DATE(2011,5,24)</f>
        <v>40687</v>
      </c>
      <c r="E19615" s="5">
        <f t="shared" si="320"/>
        <v>2011</v>
      </c>
      <c r="F19615" s="3" t="s">
        <v>3117</v>
      </c>
      <c r="G19615" s="6">
        <v>9700</v>
      </c>
      <c r="H19615" s="5">
        <v>15479</v>
      </c>
    </row>
    <row r="19616" spans="2:8" ht="15" customHeight="1" x14ac:dyDescent="0.4">
      <c r="B19616" s="3" t="s">
        <v>7</v>
      </c>
      <c r="C19616" s="3" t="s">
        <v>3115</v>
      </c>
      <c r="D19616" s="4">
        <f>DATE(2011,6,6)</f>
        <v>40700</v>
      </c>
      <c r="E19616" s="5">
        <f t="shared" si="320"/>
        <v>2011</v>
      </c>
      <c r="F19616" s="3" t="s">
        <v>3117</v>
      </c>
      <c r="G19616" s="6">
        <v>6150</v>
      </c>
      <c r="H19616" s="5">
        <v>15634</v>
      </c>
    </row>
    <row r="19617" spans="2:8" ht="15" customHeight="1" x14ac:dyDescent="0.4">
      <c r="B19617" s="3" t="s">
        <v>7</v>
      </c>
      <c r="C19617" s="3" t="s">
        <v>3115</v>
      </c>
      <c r="D19617" s="4">
        <f>DATE(2011,6,20)</f>
        <v>40714</v>
      </c>
      <c r="E19617" s="5">
        <f t="shared" si="320"/>
        <v>2011</v>
      </c>
      <c r="F19617" s="3" t="s">
        <v>3117</v>
      </c>
      <c r="G19617" s="6">
        <v>6150</v>
      </c>
      <c r="H19617" s="5">
        <v>15701</v>
      </c>
    </row>
    <row r="19618" spans="2:8" ht="15" customHeight="1" x14ac:dyDescent="0.4">
      <c r="B19618" s="3" t="s">
        <v>7</v>
      </c>
      <c r="C19618" s="3" t="s">
        <v>3115</v>
      </c>
      <c r="D19618" s="4">
        <f>DATE(2011,8,18)</f>
        <v>40773</v>
      </c>
      <c r="E19618" s="5">
        <f t="shared" si="320"/>
        <v>2011</v>
      </c>
      <c r="F19618" s="3" t="s">
        <v>3117</v>
      </c>
      <c r="G19618" s="6">
        <v>41000</v>
      </c>
      <c r="H19618" s="5">
        <v>15731</v>
      </c>
    </row>
    <row r="19619" spans="2:8" ht="15" customHeight="1" x14ac:dyDescent="0.4">
      <c r="B19619" s="3" t="s">
        <v>7</v>
      </c>
      <c r="C19619" s="3" t="s">
        <v>3115</v>
      </c>
      <c r="D19619" s="4">
        <f>DATE(2011,11,8)</f>
        <v>40855</v>
      </c>
      <c r="E19619" s="5">
        <f t="shared" si="320"/>
        <v>2011</v>
      </c>
      <c r="F19619" s="3" t="s">
        <v>3117</v>
      </c>
      <c r="G19619" s="6">
        <v>4510</v>
      </c>
      <c r="H19619" s="5">
        <v>16131</v>
      </c>
    </row>
    <row r="19620" spans="2:8" ht="15" customHeight="1" x14ac:dyDescent="0.4">
      <c r="B19620" s="3" t="s">
        <v>7</v>
      </c>
      <c r="C19620" s="3" t="s">
        <v>3115</v>
      </c>
      <c r="D19620" s="4">
        <f>DATE(2011,11,14)</f>
        <v>40861</v>
      </c>
      <c r="E19620" s="5">
        <f t="shared" si="320"/>
        <v>2011</v>
      </c>
      <c r="F19620" s="3" t="s">
        <v>3117</v>
      </c>
      <c r="G19620" s="6">
        <v>2508</v>
      </c>
      <c r="H19620" s="5">
        <v>16194</v>
      </c>
    </row>
    <row r="19621" spans="2:8" ht="15" customHeight="1" x14ac:dyDescent="0.4">
      <c r="B19621" s="3" t="s">
        <v>7</v>
      </c>
      <c r="C19621" s="3" t="s">
        <v>3115</v>
      </c>
      <c r="D19621" s="4">
        <f>DATE(2011,11,16)</f>
        <v>40863</v>
      </c>
      <c r="E19621" s="5">
        <f t="shared" si="320"/>
        <v>2011</v>
      </c>
      <c r="F19621" s="3" t="s">
        <v>3117</v>
      </c>
      <c r="G19621" s="6">
        <v>1512.5</v>
      </c>
      <c r="H19621" s="5">
        <v>16202</v>
      </c>
    </row>
    <row r="19622" spans="2:8" ht="15" customHeight="1" x14ac:dyDescent="0.4">
      <c r="B19622" s="3" t="s">
        <v>7</v>
      </c>
      <c r="C19622" s="3" t="s">
        <v>3115</v>
      </c>
      <c r="D19622" s="4">
        <f>DATE(2011,11,29)</f>
        <v>40876</v>
      </c>
      <c r="E19622" s="5">
        <f t="shared" si="320"/>
        <v>2011</v>
      </c>
      <c r="F19622" s="3" t="s">
        <v>3117</v>
      </c>
      <c r="G19622" s="6">
        <v>1900</v>
      </c>
      <c r="H19622" s="5">
        <v>16226</v>
      </c>
    </row>
    <row r="19623" spans="2:8" ht="15" customHeight="1" x14ac:dyDescent="0.4">
      <c r="B19623" s="3" t="s">
        <v>7</v>
      </c>
      <c r="C19623" s="3" t="s">
        <v>3115</v>
      </c>
      <c r="D19623" s="4">
        <f>DATE(2012,1,11)</f>
        <v>40919</v>
      </c>
      <c r="E19623" s="5">
        <f t="shared" si="320"/>
        <v>2012</v>
      </c>
      <c r="F19623" s="3" t="s">
        <v>3117</v>
      </c>
      <c r="G19623" s="6">
        <v>1200</v>
      </c>
      <c r="H19623" s="5">
        <v>16371</v>
      </c>
    </row>
    <row r="19624" spans="2:8" ht="15" customHeight="1" x14ac:dyDescent="0.4">
      <c r="B19624" s="3" t="s">
        <v>7</v>
      </c>
      <c r="C19624" s="3" t="s">
        <v>3115</v>
      </c>
      <c r="D19624" s="4">
        <f>DATE(2012,2,13)</f>
        <v>40952</v>
      </c>
      <c r="E19624" s="5">
        <f t="shared" si="320"/>
        <v>2012</v>
      </c>
      <c r="F19624" s="3" t="s">
        <v>3117</v>
      </c>
      <c r="G19624" s="6">
        <v>950</v>
      </c>
      <c r="H19624" s="5">
        <v>16548</v>
      </c>
    </row>
    <row r="19625" spans="2:8" ht="15" customHeight="1" x14ac:dyDescent="0.4">
      <c r="B19625" s="3" t="s">
        <v>7</v>
      </c>
      <c r="C19625" s="3" t="s">
        <v>3115</v>
      </c>
      <c r="D19625" s="4">
        <f>DATE(2012,2,16)</f>
        <v>40955</v>
      </c>
      <c r="E19625" s="5">
        <f t="shared" si="320"/>
        <v>2012</v>
      </c>
      <c r="F19625" s="3" t="s">
        <v>3117</v>
      </c>
      <c r="G19625" s="6">
        <v>1760</v>
      </c>
      <c r="H19625" s="5">
        <v>16558</v>
      </c>
    </row>
    <row r="19626" spans="2:8" ht="15" customHeight="1" x14ac:dyDescent="0.4">
      <c r="B19626" s="3" t="s">
        <v>7</v>
      </c>
      <c r="C19626" s="3" t="s">
        <v>3115</v>
      </c>
      <c r="D19626" s="4">
        <f>DATE(2012,3,9)</f>
        <v>40977</v>
      </c>
      <c r="E19626" s="5">
        <f t="shared" si="320"/>
        <v>2012</v>
      </c>
      <c r="F19626" s="3" t="s">
        <v>3117</v>
      </c>
      <c r="G19626" s="6">
        <v>29250</v>
      </c>
      <c r="H19626" s="5">
        <v>16624</v>
      </c>
    </row>
    <row r="19627" spans="2:8" ht="15" customHeight="1" x14ac:dyDescent="0.4">
      <c r="B19627" s="3" t="s">
        <v>7</v>
      </c>
      <c r="C19627" s="3" t="s">
        <v>3115</v>
      </c>
      <c r="D19627" s="4">
        <f>DATE(2012,4,3)</f>
        <v>41002</v>
      </c>
      <c r="E19627" s="5">
        <f t="shared" si="320"/>
        <v>2012</v>
      </c>
      <c r="F19627" s="3" t="s">
        <v>3117</v>
      </c>
      <c r="G19627" s="6">
        <v>1192.08</v>
      </c>
      <c r="H19627" s="5">
        <v>16844</v>
      </c>
    </row>
    <row r="19628" spans="2:8" ht="15" customHeight="1" x14ac:dyDescent="0.4">
      <c r="B19628" s="3" t="s">
        <v>7</v>
      </c>
      <c r="C19628" s="3" t="s">
        <v>3115</v>
      </c>
      <c r="D19628" s="4">
        <f>DATE(2012,5,9)</f>
        <v>41038</v>
      </c>
      <c r="E19628" s="5">
        <f t="shared" si="320"/>
        <v>2012</v>
      </c>
      <c r="F19628" s="3" t="s">
        <v>3117</v>
      </c>
      <c r="G19628" s="6">
        <v>3750</v>
      </c>
      <c r="H19628" s="5">
        <v>17096</v>
      </c>
    </row>
    <row r="19629" spans="2:8" ht="15" customHeight="1" x14ac:dyDescent="0.4">
      <c r="B19629" s="3" t="s">
        <v>7</v>
      </c>
      <c r="C19629" s="3" t="s">
        <v>3115</v>
      </c>
      <c r="D19629" s="4">
        <f>DATE(2012,8,13)</f>
        <v>41134</v>
      </c>
      <c r="E19629" s="5">
        <f t="shared" si="320"/>
        <v>2012</v>
      </c>
      <c r="F19629" s="3" t="s">
        <v>3117</v>
      </c>
      <c r="G19629" s="6">
        <v>4100</v>
      </c>
      <c r="H19629" s="5">
        <v>17447</v>
      </c>
    </row>
    <row r="19630" spans="2:8" ht="15" customHeight="1" x14ac:dyDescent="0.4">
      <c r="B19630" s="3" t="s">
        <v>7</v>
      </c>
      <c r="C19630" s="3" t="s">
        <v>3115</v>
      </c>
      <c r="D19630" s="4">
        <f>DATE(2012,8,20)</f>
        <v>41141</v>
      </c>
      <c r="E19630" s="5">
        <f t="shared" si="320"/>
        <v>2012</v>
      </c>
      <c r="F19630" s="3" t="s">
        <v>3117</v>
      </c>
      <c r="G19630" s="6">
        <v>5310.84</v>
      </c>
      <c r="H19630" s="5">
        <v>17377</v>
      </c>
    </row>
    <row r="19631" spans="2:8" ht="15" customHeight="1" x14ac:dyDescent="0.4">
      <c r="B19631" s="3" t="s">
        <v>7</v>
      </c>
      <c r="C19631" s="3" t="s">
        <v>3115</v>
      </c>
      <c r="D19631" s="4">
        <f>DATE(2012,9,13)</f>
        <v>41165</v>
      </c>
      <c r="E19631" s="5">
        <f t="shared" si="320"/>
        <v>2012</v>
      </c>
      <c r="F19631" s="3" t="s">
        <v>3117</v>
      </c>
      <c r="G19631" s="6">
        <v>1254.08</v>
      </c>
      <c r="H19631" s="5">
        <v>17583</v>
      </c>
    </row>
    <row r="19632" spans="2:8" ht="15" customHeight="1" x14ac:dyDescent="0.4">
      <c r="B19632" s="3" t="s">
        <v>7</v>
      </c>
      <c r="C19632" s="3" t="s">
        <v>3115</v>
      </c>
      <c r="D19632" s="4">
        <f>DATE(2012,9,19)</f>
        <v>41171</v>
      </c>
      <c r="E19632" s="5">
        <f t="shared" si="320"/>
        <v>2012</v>
      </c>
      <c r="F19632" s="3" t="s">
        <v>3117</v>
      </c>
      <c r="G19632" s="6">
        <v>5125</v>
      </c>
      <c r="H19632" s="5">
        <v>17601</v>
      </c>
    </row>
    <row r="19633" spans="2:8" ht="15" customHeight="1" x14ac:dyDescent="0.4">
      <c r="B19633" s="3" t="s">
        <v>7</v>
      </c>
      <c r="C19633" s="3" t="s">
        <v>3115</v>
      </c>
      <c r="D19633" s="4">
        <f>DATE(2012,11,21)</f>
        <v>41234</v>
      </c>
      <c r="E19633" s="5">
        <f t="shared" si="320"/>
        <v>2012</v>
      </c>
      <c r="F19633" s="3" t="s">
        <v>3117</v>
      </c>
      <c r="G19633" s="6">
        <v>810</v>
      </c>
      <c r="H19633" s="5">
        <v>17845</v>
      </c>
    </row>
    <row r="19634" spans="2:8" ht="15" customHeight="1" x14ac:dyDescent="0.4">
      <c r="B19634" s="3" t="s">
        <v>7</v>
      </c>
      <c r="C19634" s="3" t="s">
        <v>3115</v>
      </c>
      <c r="D19634" s="4">
        <f>DATE(2012,11,21)</f>
        <v>41234</v>
      </c>
      <c r="E19634" s="5">
        <f t="shared" si="320"/>
        <v>2012</v>
      </c>
      <c r="F19634" s="3" t="s">
        <v>3117</v>
      </c>
      <c r="G19634" s="6">
        <v>2845</v>
      </c>
      <c r="H19634" s="5">
        <v>17820</v>
      </c>
    </row>
    <row r="19635" spans="2:8" ht="15" customHeight="1" x14ac:dyDescent="0.4">
      <c r="B19635" s="3" t="s">
        <v>7</v>
      </c>
      <c r="C19635" s="3" t="s">
        <v>3115</v>
      </c>
      <c r="D19635" s="4">
        <f>DATE(2012,12,7)</f>
        <v>41250</v>
      </c>
      <c r="E19635" s="5">
        <f t="shared" si="320"/>
        <v>2012</v>
      </c>
      <c r="F19635" s="3" t="s">
        <v>3117</v>
      </c>
      <c r="G19635" s="6">
        <v>3375</v>
      </c>
      <c r="H19635" s="5">
        <v>17881</v>
      </c>
    </row>
    <row r="19636" spans="2:8" ht="15" customHeight="1" x14ac:dyDescent="0.4">
      <c r="B19636" s="3" t="s">
        <v>7</v>
      </c>
      <c r="C19636" s="3" t="s">
        <v>3115</v>
      </c>
      <c r="D19636" s="4">
        <f>DATE(2012,12,19)</f>
        <v>41262</v>
      </c>
      <c r="E19636" s="5">
        <f t="shared" si="320"/>
        <v>2012</v>
      </c>
      <c r="F19636" s="3" t="s">
        <v>3117</v>
      </c>
      <c r="G19636" s="6">
        <v>750</v>
      </c>
      <c r="H19636" s="5">
        <v>17907</v>
      </c>
    </row>
    <row r="19637" spans="2:8" ht="15" customHeight="1" x14ac:dyDescent="0.4">
      <c r="B19637" s="3" t="s">
        <v>7</v>
      </c>
      <c r="C19637" s="3" t="s">
        <v>3115</v>
      </c>
      <c r="D19637" s="4">
        <f>DATE(2013,1,21)</f>
        <v>41295</v>
      </c>
      <c r="E19637" s="5">
        <f t="shared" si="320"/>
        <v>2013</v>
      </c>
      <c r="F19637" s="3" t="s">
        <v>3117</v>
      </c>
      <c r="G19637" s="6">
        <v>5090</v>
      </c>
      <c r="H19637" s="5">
        <v>17942</v>
      </c>
    </row>
    <row r="19638" spans="2:8" ht="15" customHeight="1" x14ac:dyDescent="0.4">
      <c r="B19638" s="3" t="s">
        <v>7</v>
      </c>
      <c r="C19638" s="3" t="s">
        <v>3115</v>
      </c>
      <c r="D19638" s="4">
        <f>DATE(2013,3,7)</f>
        <v>41340</v>
      </c>
      <c r="E19638" s="5">
        <f t="shared" si="320"/>
        <v>2013</v>
      </c>
      <c r="F19638" s="3" t="s">
        <v>3117</v>
      </c>
      <c r="G19638" s="6">
        <v>240</v>
      </c>
      <c r="H19638" s="5">
        <v>18253</v>
      </c>
    </row>
    <row r="19639" spans="2:8" ht="15" customHeight="1" x14ac:dyDescent="0.4">
      <c r="B19639" s="3" t="s">
        <v>7</v>
      </c>
      <c r="C19639" s="3" t="s">
        <v>3115</v>
      </c>
      <c r="D19639" s="4">
        <f>DATE(2013,3,27)</f>
        <v>41360</v>
      </c>
      <c r="E19639" s="5">
        <f t="shared" si="320"/>
        <v>2013</v>
      </c>
      <c r="F19639" s="3" t="s">
        <v>3117</v>
      </c>
      <c r="G19639" s="6">
        <v>19800</v>
      </c>
      <c r="H19639" s="5">
        <v>18349</v>
      </c>
    </row>
    <row r="19640" spans="2:8" ht="15" customHeight="1" x14ac:dyDescent="0.4">
      <c r="B19640" s="3" t="s">
        <v>7</v>
      </c>
      <c r="C19640" s="3" t="s">
        <v>3115</v>
      </c>
      <c r="D19640" s="4">
        <f>DATE(2013,8,13)</f>
        <v>41499</v>
      </c>
      <c r="E19640" s="5">
        <f t="shared" si="320"/>
        <v>2013</v>
      </c>
      <c r="F19640" s="3" t="s">
        <v>3117</v>
      </c>
      <c r="G19640" s="6">
        <v>3025</v>
      </c>
      <c r="H19640" s="5">
        <v>18832</v>
      </c>
    </row>
    <row r="19641" spans="2:8" ht="15" customHeight="1" x14ac:dyDescent="0.4">
      <c r="B19641" s="3" t="s">
        <v>7</v>
      </c>
      <c r="C19641" s="3" t="s">
        <v>3115</v>
      </c>
      <c r="D19641" s="4">
        <f>DATE(2013,9,27)</f>
        <v>41544</v>
      </c>
      <c r="E19641" s="5">
        <f t="shared" si="320"/>
        <v>2013</v>
      </c>
      <c r="F19641" s="3" t="s">
        <v>3117</v>
      </c>
      <c r="G19641" s="6">
        <v>16800</v>
      </c>
      <c r="H19641" s="5">
        <v>18802</v>
      </c>
    </row>
    <row r="19642" spans="2:8" ht="15" customHeight="1" x14ac:dyDescent="0.4">
      <c r="B19642" s="3" t="s">
        <v>7</v>
      </c>
      <c r="C19642" s="3" t="s">
        <v>3115</v>
      </c>
      <c r="D19642" s="4">
        <f>DATE(2013,10,11)</f>
        <v>41558</v>
      </c>
      <c r="E19642" s="5">
        <f t="shared" si="320"/>
        <v>2013</v>
      </c>
      <c r="F19642" s="3" t="s">
        <v>3117</v>
      </c>
      <c r="G19642" s="6">
        <v>375</v>
      </c>
      <c r="H19642" s="5">
        <v>19074</v>
      </c>
    </row>
    <row r="19643" spans="2:8" ht="15" customHeight="1" x14ac:dyDescent="0.4">
      <c r="B19643" s="3" t="s">
        <v>7</v>
      </c>
      <c r="C19643" s="3" t="s">
        <v>3115</v>
      </c>
      <c r="D19643" s="4">
        <f>DATE(2013,11,8)</f>
        <v>41586</v>
      </c>
      <c r="E19643" s="5">
        <f t="shared" si="320"/>
        <v>2013</v>
      </c>
      <c r="F19643" s="3" t="s">
        <v>3117</v>
      </c>
      <c r="G19643" s="6">
        <v>3490</v>
      </c>
      <c r="H19643" s="5">
        <v>19178</v>
      </c>
    </row>
    <row r="19644" spans="2:8" ht="15" customHeight="1" x14ac:dyDescent="0.4">
      <c r="B19644" s="3" t="s">
        <v>7</v>
      </c>
      <c r="C19644" s="3" t="s">
        <v>3115</v>
      </c>
      <c r="D19644" s="4">
        <f>DATE(2014,1,14)</f>
        <v>41653</v>
      </c>
      <c r="E19644" s="5">
        <f t="shared" si="320"/>
        <v>2014</v>
      </c>
      <c r="F19644" s="3" t="s">
        <v>3117</v>
      </c>
      <c r="G19644" s="6">
        <v>1500</v>
      </c>
      <c r="H19644" s="5">
        <v>19391</v>
      </c>
    </row>
    <row r="19645" spans="2:8" ht="15" customHeight="1" x14ac:dyDescent="0.4">
      <c r="B19645" s="3" t="s">
        <v>7</v>
      </c>
      <c r="C19645" s="3" t="s">
        <v>3115</v>
      </c>
      <c r="D19645" s="4">
        <f>DATE(2014,3,24)</f>
        <v>41722</v>
      </c>
      <c r="E19645" s="5">
        <f t="shared" si="320"/>
        <v>2014</v>
      </c>
      <c r="F19645" s="3" t="s">
        <v>3117</v>
      </c>
      <c r="G19645" s="6">
        <v>3000</v>
      </c>
      <c r="H19645" s="5">
        <v>19747</v>
      </c>
    </row>
    <row r="19646" spans="2:8" ht="15" customHeight="1" x14ac:dyDescent="0.4">
      <c r="B19646" s="3" t="s">
        <v>7</v>
      </c>
      <c r="C19646" s="3" t="s">
        <v>3115</v>
      </c>
      <c r="D19646" s="4">
        <f>DATE(2014,5,2)</f>
        <v>41761</v>
      </c>
      <c r="E19646" s="5">
        <f t="shared" si="320"/>
        <v>2014</v>
      </c>
      <c r="F19646" s="3" t="s">
        <v>3117</v>
      </c>
      <c r="G19646" s="6">
        <v>14700</v>
      </c>
      <c r="H19646" s="5">
        <v>19865</v>
      </c>
    </row>
    <row r="19647" spans="2:8" ht="15" customHeight="1" x14ac:dyDescent="0.4">
      <c r="B19647" s="3" t="s">
        <v>7</v>
      </c>
      <c r="C19647" s="3" t="s">
        <v>3115</v>
      </c>
      <c r="D19647" s="4">
        <f>DATE(2014,5,23)</f>
        <v>41782</v>
      </c>
      <c r="E19647" s="5">
        <f t="shared" si="320"/>
        <v>2014</v>
      </c>
      <c r="F19647" s="3" t="s">
        <v>3117</v>
      </c>
      <c r="G19647" s="6">
        <v>68.58</v>
      </c>
      <c r="H19647" s="5">
        <v>20004</v>
      </c>
    </row>
    <row r="19648" spans="2:8" ht="15" customHeight="1" x14ac:dyDescent="0.4">
      <c r="B19648" s="3" t="s">
        <v>7</v>
      </c>
      <c r="C19648" s="3" t="s">
        <v>3115</v>
      </c>
      <c r="D19648" s="4">
        <f>DATE(2014,10,16)</f>
        <v>41928</v>
      </c>
      <c r="E19648" s="5">
        <f t="shared" si="320"/>
        <v>2014</v>
      </c>
      <c r="F19648" s="3" t="s">
        <v>3117</v>
      </c>
      <c r="G19648" s="6">
        <v>1151</v>
      </c>
      <c r="H19648" s="5">
        <v>20506</v>
      </c>
    </row>
    <row r="19649" spans="2:8" ht="15" customHeight="1" x14ac:dyDescent="0.4">
      <c r="B19649" s="3" t="s">
        <v>7</v>
      </c>
      <c r="C19649" s="3" t="s">
        <v>3115</v>
      </c>
      <c r="D19649" s="4">
        <f>DATE(2014,10,24)</f>
        <v>41936</v>
      </c>
      <c r="E19649" s="5">
        <f t="shared" si="320"/>
        <v>2014</v>
      </c>
      <c r="F19649" s="3" t="s">
        <v>3117</v>
      </c>
      <c r="G19649" s="6">
        <v>1275.57</v>
      </c>
      <c r="H19649" s="5">
        <v>20517</v>
      </c>
    </row>
    <row r="19650" spans="2:8" ht="15" customHeight="1" x14ac:dyDescent="0.4">
      <c r="B19650" s="3" t="s">
        <v>7</v>
      </c>
      <c r="C19650" s="3" t="s">
        <v>3115</v>
      </c>
      <c r="D19650" s="4">
        <f>DATE(2014,11,25)</f>
        <v>41968</v>
      </c>
      <c r="E19650" s="5">
        <f t="shared" si="320"/>
        <v>2014</v>
      </c>
      <c r="F19650" s="3" t="s">
        <v>3117</v>
      </c>
      <c r="G19650" s="6">
        <v>615</v>
      </c>
      <c r="H19650" s="5">
        <v>20668</v>
      </c>
    </row>
    <row r="19651" spans="2:8" ht="15" customHeight="1" x14ac:dyDescent="0.4">
      <c r="B19651" s="3" t="s">
        <v>16</v>
      </c>
      <c r="C19651" s="3" t="s">
        <v>3115</v>
      </c>
      <c r="D19651" s="4">
        <f>DATE(2007,5,23)</f>
        <v>39225</v>
      </c>
      <c r="E19651" s="5">
        <f t="shared" ref="E19651:E19714" si="321">YEAR(D19651)</f>
        <v>2007</v>
      </c>
      <c r="F19651" s="3" t="s">
        <v>3117</v>
      </c>
      <c r="G19651" s="6">
        <v>2164.5</v>
      </c>
      <c r="H19651" s="5">
        <v>8646</v>
      </c>
    </row>
    <row r="19652" spans="2:8" ht="15" customHeight="1" x14ac:dyDescent="0.4">
      <c r="B19652" s="3" t="s">
        <v>16</v>
      </c>
      <c r="C19652" s="3" t="s">
        <v>3115</v>
      </c>
      <c r="D19652" s="4">
        <f>DATE(2010,3,10)</f>
        <v>40247</v>
      </c>
      <c r="E19652" s="5">
        <f t="shared" si="321"/>
        <v>2010</v>
      </c>
      <c r="F19652" s="3" t="s">
        <v>3117</v>
      </c>
      <c r="G19652" s="6">
        <v>2870</v>
      </c>
      <c r="H19652" s="5">
        <v>13733</v>
      </c>
    </row>
    <row r="19653" spans="2:8" ht="15" customHeight="1" x14ac:dyDescent="0.4">
      <c r="B19653" t="s">
        <v>7</v>
      </c>
      <c r="C19653" t="s">
        <v>3115</v>
      </c>
      <c r="D19653" s="7">
        <f>DATE(2010,5,28)</f>
        <v>40326</v>
      </c>
      <c r="E19653" s="8">
        <f t="shared" si="321"/>
        <v>2010</v>
      </c>
      <c r="F19653" t="s">
        <v>3117</v>
      </c>
      <c r="G19653" s="9">
        <v>147795.10999999999</v>
      </c>
      <c r="H19653" s="8">
        <v>221</v>
      </c>
    </row>
    <row r="19654" spans="2:8" ht="15" customHeight="1" x14ac:dyDescent="0.4">
      <c r="B19654" t="s">
        <v>7</v>
      </c>
      <c r="C19654" t="s">
        <v>3115</v>
      </c>
      <c r="D19654" s="7">
        <f>DATE(2011,4,26)</f>
        <v>40659</v>
      </c>
      <c r="E19654" s="8">
        <f t="shared" si="321"/>
        <v>2011</v>
      </c>
      <c r="F19654" t="s">
        <v>3117</v>
      </c>
      <c r="G19654" s="9">
        <v>80159.48</v>
      </c>
      <c r="H19654" s="8">
        <v>265</v>
      </c>
    </row>
    <row r="19655" spans="2:8" ht="15" customHeight="1" x14ac:dyDescent="0.4">
      <c r="B19655" t="s">
        <v>7</v>
      </c>
      <c r="C19655" t="s">
        <v>3115</v>
      </c>
      <c r="D19655" s="7">
        <f>DATE(2012,5,30)</f>
        <v>41059</v>
      </c>
      <c r="E19655" s="8">
        <f t="shared" si="321"/>
        <v>2012</v>
      </c>
      <c r="F19655" t="s">
        <v>3117</v>
      </c>
      <c r="G19655" s="9">
        <v>203064.51</v>
      </c>
      <c r="H19655" s="8">
        <v>512</v>
      </c>
    </row>
    <row r="19656" spans="2:8" ht="15" customHeight="1" x14ac:dyDescent="0.4">
      <c r="B19656" t="s">
        <v>7</v>
      </c>
      <c r="C19656" t="s">
        <v>3115</v>
      </c>
      <c r="D19656" s="7">
        <f>DATE(2012,5,30)</f>
        <v>41059</v>
      </c>
      <c r="E19656" s="8">
        <f t="shared" si="321"/>
        <v>2012</v>
      </c>
      <c r="F19656" t="s">
        <v>3117</v>
      </c>
      <c r="G19656" s="9">
        <v>157816.59</v>
      </c>
      <c r="H19656" s="8">
        <v>296</v>
      </c>
    </row>
    <row r="19657" spans="2:8" ht="15" customHeight="1" x14ac:dyDescent="0.4">
      <c r="B19657" t="s">
        <v>7</v>
      </c>
      <c r="C19657" t="s">
        <v>3115</v>
      </c>
      <c r="D19657" s="7">
        <f>DATE(2013,5,22)</f>
        <v>41416</v>
      </c>
      <c r="E19657" s="8">
        <f t="shared" si="321"/>
        <v>2013</v>
      </c>
      <c r="F19657" t="s">
        <v>3117</v>
      </c>
      <c r="G19657" s="9">
        <v>120946.57</v>
      </c>
      <c r="H19657" s="8">
        <v>303</v>
      </c>
    </row>
    <row r="19658" spans="2:8" ht="15" customHeight="1" x14ac:dyDescent="0.4">
      <c r="B19658" t="s">
        <v>7</v>
      </c>
      <c r="C19658" t="s">
        <v>3115</v>
      </c>
      <c r="D19658" s="7">
        <f>DATE(2014,4,25)</f>
        <v>41754</v>
      </c>
      <c r="E19658" s="8">
        <f t="shared" si="321"/>
        <v>2014</v>
      </c>
      <c r="F19658" t="s">
        <v>3117</v>
      </c>
      <c r="G19658" s="9">
        <v>136577.76</v>
      </c>
      <c r="H19658" s="8">
        <v>314</v>
      </c>
    </row>
    <row r="19659" spans="2:8" ht="15" customHeight="1" x14ac:dyDescent="0.4">
      <c r="B19659" t="s">
        <v>7</v>
      </c>
      <c r="C19659" t="s">
        <v>3118</v>
      </c>
      <c r="D19659" s="7">
        <f>DATE(2008,3,15)</f>
        <v>39522</v>
      </c>
      <c r="E19659" s="8">
        <f t="shared" si="321"/>
        <v>2008</v>
      </c>
      <c r="F19659" t="s">
        <v>3119</v>
      </c>
      <c r="G19659" s="9">
        <v>28799.46</v>
      </c>
      <c r="H19659" s="8">
        <v>6496</v>
      </c>
    </row>
    <row r="19660" spans="2:8" ht="15" customHeight="1" x14ac:dyDescent="0.4">
      <c r="B19660" t="s">
        <v>7</v>
      </c>
      <c r="C19660" t="s">
        <v>3118</v>
      </c>
      <c r="D19660" s="7">
        <f>DATE(2003,5,20)</f>
        <v>37761</v>
      </c>
      <c r="E19660" s="8">
        <f t="shared" si="321"/>
        <v>2003</v>
      </c>
      <c r="F19660" t="s">
        <v>3120</v>
      </c>
      <c r="G19660" s="9">
        <v>26191</v>
      </c>
      <c r="H19660" s="8">
        <v>539</v>
      </c>
    </row>
    <row r="19661" spans="2:8" ht="15" customHeight="1" x14ac:dyDescent="0.4">
      <c r="B19661" t="s">
        <v>7</v>
      </c>
      <c r="C19661" t="s">
        <v>3118</v>
      </c>
      <c r="D19661" s="7">
        <f>DATE(2003,11,13)</f>
        <v>37938</v>
      </c>
      <c r="E19661" s="8">
        <f t="shared" si="321"/>
        <v>2003</v>
      </c>
      <c r="F19661" t="s">
        <v>3120</v>
      </c>
      <c r="G19661" s="9">
        <v>31000</v>
      </c>
      <c r="H19661" s="8">
        <v>997</v>
      </c>
    </row>
    <row r="19662" spans="2:8" ht="15" customHeight="1" x14ac:dyDescent="0.4">
      <c r="B19662" t="s">
        <v>7</v>
      </c>
      <c r="C19662" t="s">
        <v>3118</v>
      </c>
      <c r="D19662" s="7">
        <f>DATE(2003,11,24)</f>
        <v>37949</v>
      </c>
      <c r="E19662" s="8">
        <f t="shared" si="321"/>
        <v>2003</v>
      </c>
      <c r="F19662" t="s">
        <v>3120</v>
      </c>
      <c r="G19662" s="9">
        <v>26677</v>
      </c>
      <c r="H19662" s="8">
        <v>1022</v>
      </c>
    </row>
    <row r="19663" spans="2:8" ht="15" customHeight="1" x14ac:dyDescent="0.4">
      <c r="B19663" t="s">
        <v>7</v>
      </c>
      <c r="C19663" t="s">
        <v>3118</v>
      </c>
      <c r="D19663" s="7">
        <f>DATE(2004,3,28)</f>
        <v>38074</v>
      </c>
      <c r="E19663" s="8">
        <f t="shared" si="321"/>
        <v>2004</v>
      </c>
      <c r="F19663" t="s">
        <v>3120</v>
      </c>
      <c r="G19663" s="9">
        <v>10013</v>
      </c>
      <c r="H19663" s="8">
        <v>1579</v>
      </c>
    </row>
    <row r="19664" spans="2:8" ht="15" customHeight="1" x14ac:dyDescent="0.4">
      <c r="B19664" t="s">
        <v>7</v>
      </c>
      <c r="C19664" t="s">
        <v>3118</v>
      </c>
      <c r="D19664" s="7">
        <f>DATE(2004,3,24)</f>
        <v>38070</v>
      </c>
      <c r="E19664" s="8">
        <f t="shared" si="321"/>
        <v>2004</v>
      </c>
      <c r="F19664" t="s">
        <v>3120</v>
      </c>
      <c r="G19664" s="9">
        <v>14388</v>
      </c>
      <c r="H19664" s="8">
        <v>1270</v>
      </c>
    </row>
    <row r="19665" spans="2:8" ht="15" customHeight="1" x14ac:dyDescent="0.4">
      <c r="B19665" t="s">
        <v>7</v>
      </c>
      <c r="C19665" t="s">
        <v>3118</v>
      </c>
      <c r="D19665" s="7">
        <f>DATE(2004,4,4)</f>
        <v>38081</v>
      </c>
      <c r="E19665" s="8">
        <f t="shared" si="321"/>
        <v>2004</v>
      </c>
      <c r="F19665" t="s">
        <v>3120</v>
      </c>
      <c r="G19665" s="9">
        <v>22869</v>
      </c>
      <c r="H19665" s="8">
        <v>1248</v>
      </c>
    </row>
    <row r="19666" spans="2:8" ht="15" customHeight="1" x14ac:dyDescent="0.4">
      <c r="B19666" t="s">
        <v>7</v>
      </c>
      <c r="C19666" t="s">
        <v>3118</v>
      </c>
      <c r="D19666" s="7">
        <f>DATE(2004,3,30)</f>
        <v>38076</v>
      </c>
      <c r="E19666" s="8">
        <f t="shared" si="321"/>
        <v>2004</v>
      </c>
      <c r="F19666" t="s">
        <v>3120</v>
      </c>
      <c r="G19666" s="9">
        <v>12177</v>
      </c>
      <c r="H19666" s="8">
        <v>1586</v>
      </c>
    </row>
    <row r="19667" spans="2:8" ht="15" customHeight="1" x14ac:dyDescent="0.4">
      <c r="B19667" t="s">
        <v>7</v>
      </c>
      <c r="C19667" t="s">
        <v>3118</v>
      </c>
      <c r="D19667" s="7">
        <f>DATE(2004,4,1)</f>
        <v>38078</v>
      </c>
      <c r="E19667" s="8">
        <f t="shared" si="321"/>
        <v>2004</v>
      </c>
      <c r="F19667" t="s">
        <v>3120</v>
      </c>
      <c r="G19667" s="9">
        <v>38353.74</v>
      </c>
      <c r="H19667" s="8">
        <v>1250</v>
      </c>
    </row>
    <row r="19668" spans="2:8" ht="15" customHeight="1" x14ac:dyDescent="0.4">
      <c r="B19668" t="s">
        <v>7</v>
      </c>
      <c r="C19668" t="s">
        <v>3118</v>
      </c>
      <c r="D19668" s="7">
        <f>DATE(2005,1,23)</f>
        <v>38375</v>
      </c>
      <c r="E19668" s="8">
        <f t="shared" si="321"/>
        <v>2005</v>
      </c>
      <c r="F19668" t="s">
        <v>3120</v>
      </c>
      <c r="G19668" s="9">
        <v>28866.16</v>
      </c>
      <c r="H19668" s="8">
        <v>2442</v>
      </c>
    </row>
    <row r="19669" spans="2:8" ht="15" customHeight="1" x14ac:dyDescent="0.4">
      <c r="B19669" t="s">
        <v>7</v>
      </c>
      <c r="C19669" t="s">
        <v>3118</v>
      </c>
      <c r="D19669" s="7">
        <f>DATE(2005,4,12)</f>
        <v>38454</v>
      </c>
      <c r="E19669" s="8">
        <f t="shared" si="321"/>
        <v>2005</v>
      </c>
      <c r="F19669" t="s">
        <v>3120</v>
      </c>
      <c r="G19669" s="9">
        <v>28921.78</v>
      </c>
      <c r="H19669" s="8">
        <v>3028</v>
      </c>
    </row>
    <row r="19670" spans="2:8" ht="15" customHeight="1" x14ac:dyDescent="0.4">
      <c r="B19670" t="s">
        <v>7</v>
      </c>
      <c r="C19670" t="s">
        <v>3118</v>
      </c>
      <c r="D19670" s="7">
        <f>DATE(2006,2,4)</f>
        <v>38752</v>
      </c>
      <c r="E19670" s="8">
        <f t="shared" si="321"/>
        <v>2006</v>
      </c>
      <c r="F19670" t="s">
        <v>3120</v>
      </c>
      <c r="G19670" s="9">
        <v>29618.62</v>
      </c>
      <c r="H19670" s="8">
        <v>4043</v>
      </c>
    </row>
    <row r="19671" spans="2:8" ht="15" customHeight="1" x14ac:dyDescent="0.4">
      <c r="B19671" t="s">
        <v>7</v>
      </c>
      <c r="C19671" t="s">
        <v>3118</v>
      </c>
      <c r="D19671" s="7">
        <f>DATE(2006,4,23)</f>
        <v>38830</v>
      </c>
      <c r="E19671" s="8">
        <f t="shared" si="321"/>
        <v>2006</v>
      </c>
      <c r="F19671" t="s">
        <v>3120</v>
      </c>
      <c r="G19671" s="9">
        <v>29296</v>
      </c>
      <c r="H19671" s="8">
        <v>3997</v>
      </c>
    </row>
    <row r="19672" spans="2:8" ht="15" customHeight="1" x14ac:dyDescent="0.4">
      <c r="B19672" t="s">
        <v>7</v>
      </c>
      <c r="C19672" t="s">
        <v>3118</v>
      </c>
      <c r="D19672" s="7">
        <f>DATE(2006,5,21)</f>
        <v>38858</v>
      </c>
      <c r="E19672" s="8">
        <f t="shared" si="321"/>
        <v>2006</v>
      </c>
      <c r="F19672" t="s">
        <v>3120</v>
      </c>
      <c r="G19672" s="9">
        <v>13789.66</v>
      </c>
      <c r="H19672" s="8">
        <v>4082</v>
      </c>
    </row>
    <row r="19673" spans="2:8" ht="15" customHeight="1" x14ac:dyDescent="0.4">
      <c r="B19673" t="s">
        <v>7</v>
      </c>
      <c r="C19673" t="s">
        <v>3118</v>
      </c>
      <c r="D19673" s="7">
        <f>DATE(2006,7,20)</f>
        <v>38918</v>
      </c>
      <c r="E19673" s="8">
        <f t="shared" si="321"/>
        <v>2006</v>
      </c>
      <c r="F19673" t="s">
        <v>3120</v>
      </c>
      <c r="G19673" s="9">
        <v>18265.900000000001</v>
      </c>
      <c r="H19673" s="8">
        <v>4084</v>
      </c>
    </row>
    <row r="19674" spans="2:8" ht="15" customHeight="1" x14ac:dyDescent="0.4">
      <c r="B19674" t="s">
        <v>7</v>
      </c>
      <c r="C19674" t="s">
        <v>3118</v>
      </c>
      <c r="D19674" s="7">
        <f>DATE(2006,7,21)</f>
        <v>38919</v>
      </c>
      <c r="E19674" s="8">
        <f t="shared" si="321"/>
        <v>2006</v>
      </c>
      <c r="F19674" t="s">
        <v>3120</v>
      </c>
      <c r="G19674" s="9">
        <v>43980.72</v>
      </c>
      <c r="H19674" s="8">
        <v>4798</v>
      </c>
    </row>
    <row r="19675" spans="2:8" ht="15" customHeight="1" x14ac:dyDescent="0.4">
      <c r="B19675" t="s">
        <v>7</v>
      </c>
      <c r="C19675" t="s">
        <v>3118</v>
      </c>
      <c r="D19675" s="7">
        <f>DATE(2006,7,28)</f>
        <v>38926</v>
      </c>
      <c r="E19675" s="8">
        <f t="shared" si="321"/>
        <v>2006</v>
      </c>
      <c r="F19675" t="s">
        <v>3120</v>
      </c>
      <c r="G19675" s="9">
        <v>42299</v>
      </c>
      <c r="H19675" s="8">
        <v>4819</v>
      </c>
    </row>
    <row r="19676" spans="2:8" ht="15" customHeight="1" x14ac:dyDescent="0.4">
      <c r="B19676" t="s">
        <v>7</v>
      </c>
      <c r="C19676" t="s">
        <v>3118</v>
      </c>
      <c r="D19676" s="7">
        <f>DATE(2006,8,24)</f>
        <v>38953</v>
      </c>
      <c r="E19676" s="8">
        <f t="shared" si="321"/>
        <v>2006</v>
      </c>
      <c r="F19676" t="s">
        <v>3120</v>
      </c>
      <c r="G19676" s="9">
        <v>27092.15</v>
      </c>
      <c r="H19676" s="8">
        <v>4929</v>
      </c>
    </row>
    <row r="19677" spans="2:8" ht="15" customHeight="1" x14ac:dyDescent="0.4">
      <c r="B19677" t="s">
        <v>7</v>
      </c>
      <c r="C19677" t="s">
        <v>3118</v>
      </c>
      <c r="D19677" s="7">
        <f>DATE(2007,3,22)</f>
        <v>39163</v>
      </c>
      <c r="E19677" s="8">
        <f t="shared" si="321"/>
        <v>2007</v>
      </c>
      <c r="F19677" t="s">
        <v>3120</v>
      </c>
      <c r="G19677" s="9">
        <v>31051</v>
      </c>
      <c r="H19677" s="8">
        <v>5438</v>
      </c>
    </row>
    <row r="19678" spans="2:8" ht="15" customHeight="1" x14ac:dyDescent="0.4">
      <c r="B19678" t="s">
        <v>7</v>
      </c>
      <c r="C19678" t="s">
        <v>3118</v>
      </c>
      <c r="D19678" s="7">
        <f>DATE(2007,5,8)</f>
        <v>39210</v>
      </c>
      <c r="E19678" s="8">
        <f t="shared" si="321"/>
        <v>2007</v>
      </c>
      <c r="F19678" t="s">
        <v>3120</v>
      </c>
      <c r="G19678" s="9">
        <v>10196.24</v>
      </c>
      <c r="H19678" s="8">
        <v>5838</v>
      </c>
    </row>
    <row r="19679" spans="2:8" ht="15" customHeight="1" x14ac:dyDescent="0.4">
      <c r="B19679" t="s">
        <v>7</v>
      </c>
      <c r="C19679" t="s">
        <v>3118</v>
      </c>
      <c r="D19679" s="7">
        <f>DATE(2007,5,1)</f>
        <v>39203</v>
      </c>
      <c r="E19679" s="8">
        <f t="shared" si="321"/>
        <v>2007</v>
      </c>
      <c r="F19679" t="s">
        <v>3120</v>
      </c>
      <c r="G19679" s="9">
        <v>12836.06</v>
      </c>
      <c r="H19679" s="8">
        <v>5738</v>
      </c>
    </row>
    <row r="19680" spans="2:8" ht="15" customHeight="1" x14ac:dyDescent="0.4">
      <c r="B19680" t="s">
        <v>7</v>
      </c>
      <c r="C19680" t="s">
        <v>3118</v>
      </c>
      <c r="D19680" s="7">
        <f>DATE(2007,5,6)</f>
        <v>39208</v>
      </c>
      <c r="E19680" s="8">
        <f t="shared" si="321"/>
        <v>2007</v>
      </c>
      <c r="F19680" t="s">
        <v>3120</v>
      </c>
      <c r="G19680" s="9">
        <v>33909.660000000003</v>
      </c>
      <c r="H19680" s="8">
        <v>5840</v>
      </c>
    </row>
    <row r="19681" spans="2:8" ht="15" customHeight="1" x14ac:dyDescent="0.4">
      <c r="B19681" t="s">
        <v>7</v>
      </c>
      <c r="C19681" t="s">
        <v>3118</v>
      </c>
      <c r="D19681" s="7">
        <f>DATE(2007,5,31)</f>
        <v>39233</v>
      </c>
      <c r="E19681" s="8">
        <f t="shared" si="321"/>
        <v>2007</v>
      </c>
      <c r="F19681" t="s">
        <v>3120</v>
      </c>
      <c r="G19681" s="9">
        <v>20822</v>
      </c>
      <c r="H19681" s="8">
        <v>5839</v>
      </c>
    </row>
    <row r="19682" spans="2:8" ht="15" customHeight="1" x14ac:dyDescent="0.4">
      <c r="B19682" s="3" t="s">
        <v>16</v>
      </c>
      <c r="C19682" s="3" t="s">
        <v>3121</v>
      </c>
      <c r="D19682" s="4">
        <f>DATE(2009,3,24)</f>
        <v>39896</v>
      </c>
      <c r="E19682" s="5">
        <f t="shared" si="321"/>
        <v>2009</v>
      </c>
      <c r="F19682" s="3" t="s">
        <v>3122</v>
      </c>
      <c r="G19682" s="6">
        <v>1012.71</v>
      </c>
      <c r="H19682" s="5">
        <v>3357</v>
      </c>
    </row>
    <row r="19683" spans="2:8" ht="15" customHeight="1" x14ac:dyDescent="0.4">
      <c r="B19683" s="3" t="s">
        <v>7</v>
      </c>
      <c r="C19683" s="3" t="s">
        <v>3121</v>
      </c>
      <c r="D19683" s="4">
        <f>DATE(2009,3,19)</f>
        <v>39891</v>
      </c>
      <c r="E19683" s="5">
        <f t="shared" si="321"/>
        <v>2009</v>
      </c>
      <c r="F19683" s="3" t="s">
        <v>3123</v>
      </c>
      <c r="G19683" s="6">
        <v>13287.95</v>
      </c>
      <c r="H19683" s="5">
        <v>3314</v>
      </c>
    </row>
    <row r="19684" spans="2:8" ht="15" customHeight="1" x14ac:dyDescent="0.4">
      <c r="B19684" t="s">
        <v>7</v>
      </c>
      <c r="C19684" t="s">
        <v>3124</v>
      </c>
      <c r="D19684" s="7">
        <f>DATE(2010,12,21)</f>
        <v>40533</v>
      </c>
      <c r="E19684" s="8">
        <f t="shared" si="321"/>
        <v>2010</v>
      </c>
      <c r="F19684" t="s">
        <v>3125</v>
      </c>
      <c r="G19684" s="9">
        <v>15216.54</v>
      </c>
      <c r="H19684" s="8">
        <v>10286</v>
      </c>
    </row>
    <row r="19685" spans="2:8" ht="15" customHeight="1" x14ac:dyDescent="0.4">
      <c r="B19685" t="s">
        <v>7</v>
      </c>
      <c r="C19685" t="s">
        <v>3124</v>
      </c>
      <c r="D19685" s="7">
        <f>DATE(2009,4,27)</f>
        <v>39930</v>
      </c>
      <c r="E19685" s="8">
        <f t="shared" si="321"/>
        <v>2009</v>
      </c>
      <c r="F19685" t="s">
        <v>3125</v>
      </c>
      <c r="G19685" s="9">
        <v>14150.64</v>
      </c>
      <c r="H19685" s="8">
        <v>8443</v>
      </c>
    </row>
    <row r="19686" spans="2:8" ht="15" customHeight="1" x14ac:dyDescent="0.4">
      <c r="B19686" t="s">
        <v>7</v>
      </c>
      <c r="C19686" t="s">
        <v>3126</v>
      </c>
      <c r="D19686" s="7">
        <f>DATE(2008,1,12)</f>
        <v>39459</v>
      </c>
      <c r="E19686" s="8">
        <f t="shared" si="321"/>
        <v>2008</v>
      </c>
      <c r="F19686" t="s">
        <v>3127</v>
      </c>
      <c r="G19686" s="9">
        <v>7835.09</v>
      </c>
      <c r="H19686" s="8">
        <v>6861</v>
      </c>
    </row>
    <row r="19687" spans="2:8" ht="15" customHeight="1" x14ac:dyDescent="0.4">
      <c r="B19687" t="s">
        <v>7</v>
      </c>
      <c r="C19687" t="s">
        <v>3128</v>
      </c>
      <c r="D19687" s="7">
        <f>DATE(2004,11,22)</f>
        <v>38313</v>
      </c>
      <c r="E19687" s="8">
        <f t="shared" si="321"/>
        <v>2004</v>
      </c>
      <c r="F19687" t="s">
        <v>3129</v>
      </c>
      <c r="G19687" s="9">
        <v>560</v>
      </c>
      <c r="H19687" s="8">
        <v>2311</v>
      </c>
    </row>
    <row r="19688" spans="2:8" ht="15" customHeight="1" x14ac:dyDescent="0.4">
      <c r="B19688" t="s">
        <v>7</v>
      </c>
      <c r="C19688" t="s">
        <v>3128</v>
      </c>
      <c r="D19688" s="7">
        <f>DATE(2005,4,5)</f>
        <v>38447</v>
      </c>
      <c r="E19688" s="8">
        <f t="shared" si="321"/>
        <v>2005</v>
      </c>
      <c r="F19688" t="s">
        <v>3129</v>
      </c>
      <c r="G19688" s="9">
        <v>706</v>
      </c>
      <c r="H19688" s="8">
        <v>3036</v>
      </c>
    </row>
    <row r="19689" spans="2:8" ht="15" customHeight="1" x14ac:dyDescent="0.4">
      <c r="B19689" t="s">
        <v>7</v>
      </c>
      <c r="C19689" t="s">
        <v>3128</v>
      </c>
      <c r="D19689" s="7">
        <f>DATE(2003,6,12)</f>
        <v>37784</v>
      </c>
      <c r="E19689" s="8">
        <f t="shared" si="321"/>
        <v>2003</v>
      </c>
      <c r="F19689" t="s">
        <v>3129</v>
      </c>
      <c r="G19689" s="9">
        <v>660.5</v>
      </c>
      <c r="H19689" s="8">
        <v>667</v>
      </c>
    </row>
    <row r="19690" spans="2:8" ht="15" customHeight="1" x14ac:dyDescent="0.4">
      <c r="B19690" t="s">
        <v>7</v>
      </c>
      <c r="C19690" t="s">
        <v>3128</v>
      </c>
      <c r="D19690" s="7">
        <f>DATE(2003,6,30)</f>
        <v>37802</v>
      </c>
      <c r="E19690" s="8">
        <f t="shared" si="321"/>
        <v>2003</v>
      </c>
      <c r="F19690" t="s">
        <v>3129</v>
      </c>
      <c r="G19690" s="9">
        <v>407.5</v>
      </c>
      <c r="H19690" s="8">
        <v>704</v>
      </c>
    </row>
    <row r="19691" spans="2:8" ht="15" customHeight="1" x14ac:dyDescent="0.4">
      <c r="B19691" t="s">
        <v>7</v>
      </c>
      <c r="C19691" t="s">
        <v>3128</v>
      </c>
      <c r="D19691" s="7">
        <f>DATE(2005,11,25)</f>
        <v>38681</v>
      </c>
      <c r="E19691" s="8">
        <f t="shared" si="321"/>
        <v>2005</v>
      </c>
      <c r="F19691" t="s">
        <v>3129</v>
      </c>
      <c r="G19691" s="9">
        <v>889.2</v>
      </c>
      <c r="H19691" s="8">
        <v>3758</v>
      </c>
    </row>
    <row r="19692" spans="2:8" ht="15" customHeight="1" x14ac:dyDescent="0.4">
      <c r="B19692" t="s">
        <v>7</v>
      </c>
      <c r="C19692" t="s">
        <v>3130</v>
      </c>
      <c r="D19692" s="7">
        <f>DATE(2016,5,11)</f>
        <v>42501</v>
      </c>
      <c r="E19692" s="8">
        <f t="shared" si="321"/>
        <v>2016</v>
      </c>
      <c r="F19692" t="s">
        <v>3131</v>
      </c>
      <c r="G19692" s="9">
        <v>23753</v>
      </c>
      <c r="H19692" s="8">
        <v>21915</v>
      </c>
    </row>
    <row r="19693" spans="2:8" ht="15" customHeight="1" x14ac:dyDescent="0.4">
      <c r="B19693" t="s">
        <v>7</v>
      </c>
      <c r="C19693" t="s">
        <v>3130</v>
      </c>
      <c r="D19693" s="7">
        <f>DATE(2012,3,16)</f>
        <v>40984</v>
      </c>
      <c r="E19693" s="8">
        <f t="shared" si="321"/>
        <v>2012</v>
      </c>
      <c r="F19693" t="s">
        <v>3131</v>
      </c>
      <c r="G19693" s="9">
        <v>4585.9799999999996</v>
      </c>
      <c r="H19693" s="8">
        <v>11260</v>
      </c>
    </row>
    <row r="19694" spans="2:8" ht="15" customHeight="1" x14ac:dyDescent="0.4">
      <c r="B19694" t="s">
        <v>7</v>
      </c>
      <c r="C19694" t="s">
        <v>3130</v>
      </c>
      <c r="D19694" s="7">
        <f>DATE(2013,2,20)</f>
        <v>41325</v>
      </c>
      <c r="E19694" s="8">
        <f t="shared" si="321"/>
        <v>2013</v>
      </c>
      <c r="F19694" t="s">
        <v>3131</v>
      </c>
      <c r="G19694" s="9">
        <v>4261.3900000000003</v>
      </c>
      <c r="H19694" s="8">
        <v>12180</v>
      </c>
    </row>
    <row r="19695" spans="2:8" ht="15" customHeight="1" x14ac:dyDescent="0.4">
      <c r="B19695" s="3" t="s">
        <v>7</v>
      </c>
      <c r="C19695" s="3" t="s">
        <v>3130</v>
      </c>
      <c r="D19695" s="4">
        <f>DATE(2011,6,10)</f>
        <v>40704</v>
      </c>
      <c r="E19695" s="5">
        <f t="shared" si="321"/>
        <v>2011</v>
      </c>
      <c r="F19695" s="3" t="s">
        <v>3131</v>
      </c>
      <c r="G19695" s="6">
        <v>244.5</v>
      </c>
      <c r="H19695" s="5">
        <v>15546</v>
      </c>
    </row>
    <row r="19696" spans="2:8" ht="15" customHeight="1" x14ac:dyDescent="0.4">
      <c r="B19696" t="s">
        <v>7</v>
      </c>
      <c r="C19696" t="s">
        <v>3132</v>
      </c>
      <c r="D19696" s="7">
        <f>DATE(2015,8,26)</f>
        <v>42242</v>
      </c>
      <c r="E19696" s="8">
        <f t="shared" si="321"/>
        <v>2015</v>
      </c>
      <c r="F19696" t="s">
        <v>3133</v>
      </c>
      <c r="G19696" s="9">
        <v>203.05</v>
      </c>
      <c r="H19696" s="8">
        <v>21139</v>
      </c>
    </row>
    <row r="19697" spans="2:8" ht="15" customHeight="1" x14ac:dyDescent="0.4">
      <c r="B19697" t="s">
        <v>7</v>
      </c>
      <c r="C19697" t="s">
        <v>3132</v>
      </c>
      <c r="D19697" s="7">
        <f>DATE(2015,9,10)</f>
        <v>42257</v>
      </c>
      <c r="E19697" s="8">
        <f t="shared" si="321"/>
        <v>2015</v>
      </c>
      <c r="F19697" t="s">
        <v>3133</v>
      </c>
      <c r="G19697" s="9">
        <v>731.04</v>
      </c>
      <c r="H19697" s="8">
        <v>21217</v>
      </c>
    </row>
    <row r="19698" spans="2:8" ht="15" customHeight="1" x14ac:dyDescent="0.4">
      <c r="B19698" t="s">
        <v>7</v>
      </c>
      <c r="C19698" t="s">
        <v>3134</v>
      </c>
      <c r="D19698" s="7">
        <f>DATE(2015,2,2)</f>
        <v>42037</v>
      </c>
      <c r="E19698" s="8">
        <f t="shared" si="321"/>
        <v>2015</v>
      </c>
      <c r="F19698" t="s">
        <v>3135</v>
      </c>
      <c r="G19698" s="9">
        <v>444.52</v>
      </c>
      <c r="H19698" s="8">
        <v>316</v>
      </c>
    </row>
    <row r="19699" spans="2:8" ht="15" customHeight="1" x14ac:dyDescent="0.4">
      <c r="B19699" t="s">
        <v>7</v>
      </c>
      <c r="C19699" t="s">
        <v>3134</v>
      </c>
      <c r="D19699" s="7">
        <f>DATE(2015,2,13)</f>
        <v>42048</v>
      </c>
      <c r="E19699" s="8">
        <f t="shared" si="321"/>
        <v>2015</v>
      </c>
      <c r="F19699" t="s">
        <v>3135</v>
      </c>
      <c r="G19699" s="9">
        <v>390.41</v>
      </c>
      <c r="H19699" s="8">
        <v>391</v>
      </c>
    </row>
    <row r="19700" spans="2:8" ht="15" customHeight="1" x14ac:dyDescent="0.4">
      <c r="B19700" t="s">
        <v>7</v>
      </c>
      <c r="C19700" t="s">
        <v>3134</v>
      </c>
      <c r="D19700" s="7">
        <f>DATE(2015,4,21)</f>
        <v>42115</v>
      </c>
      <c r="E19700" s="8">
        <f t="shared" si="321"/>
        <v>2015</v>
      </c>
      <c r="F19700" t="s">
        <v>3135</v>
      </c>
      <c r="G19700" s="9">
        <v>1103.82</v>
      </c>
      <c r="H19700" s="8">
        <v>284</v>
      </c>
    </row>
    <row r="19701" spans="2:8" ht="15" customHeight="1" x14ac:dyDescent="0.4">
      <c r="B19701" t="s">
        <v>7</v>
      </c>
      <c r="C19701" t="s">
        <v>3134</v>
      </c>
      <c r="D19701" s="7">
        <f>DATE(2015,6,10)</f>
        <v>42165</v>
      </c>
      <c r="E19701" s="8">
        <f t="shared" si="321"/>
        <v>2015</v>
      </c>
      <c r="F19701" t="s">
        <v>3135</v>
      </c>
      <c r="G19701" s="9">
        <v>471.67</v>
      </c>
      <c r="H19701" s="8">
        <v>20639</v>
      </c>
    </row>
    <row r="19702" spans="2:8" ht="15" customHeight="1" x14ac:dyDescent="0.4">
      <c r="B19702" t="s">
        <v>7</v>
      </c>
      <c r="C19702" t="s">
        <v>3134</v>
      </c>
      <c r="D19702" s="7">
        <f>DATE(2015,8,12)</f>
        <v>42228</v>
      </c>
      <c r="E19702" s="8">
        <f t="shared" si="321"/>
        <v>2015</v>
      </c>
      <c r="F19702" t="s">
        <v>3135</v>
      </c>
      <c r="G19702" s="9">
        <v>91</v>
      </c>
      <c r="H19702" s="8">
        <v>21002</v>
      </c>
    </row>
    <row r="19703" spans="2:8" ht="15" customHeight="1" x14ac:dyDescent="0.4">
      <c r="B19703" t="s">
        <v>7</v>
      </c>
      <c r="C19703" t="s">
        <v>3134</v>
      </c>
      <c r="D19703" s="7">
        <f>DATE(2015,10,13)</f>
        <v>42290</v>
      </c>
      <c r="E19703" s="8">
        <f t="shared" si="321"/>
        <v>2015</v>
      </c>
      <c r="F19703" t="s">
        <v>3135</v>
      </c>
      <c r="G19703" s="9">
        <v>480.64</v>
      </c>
      <c r="H19703" s="8">
        <v>21238</v>
      </c>
    </row>
    <row r="19704" spans="2:8" ht="15" customHeight="1" x14ac:dyDescent="0.4">
      <c r="B19704" t="s">
        <v>7</v>
      </c>
      <c r="C19704" t="s">
        <v>3134</v>
      </c>
      <c r="D19704" s="7">
        <f>DATE(2016,5,11)</f>
        <v>42501</v>
      </c>
      <c r="E19704" s="8">
        <f t="shared" si="321"/>
        <v>2016</v>
      </c>
      <c r="F19704" t="s">
        <v>3135</v>
      </c>
      <c r="G19704" s="9">
        <v>111455.88</v>
      </c>
      <c r="H19704" s="8">
        <v>21922</v>
      </c>
    </row>
    <row r="19705" spans="2:8" ht="15" customHeight="1" x14ac:dyDescent="0.4">
      <c r="B19705" t="s">
        <v>7</v>
      </c>
      <c r="C19705" t="s">
        <v>3134</v>
      </c>
      <c r="D19705" s="7">
        <f>DATE(2016,6,7)</f>
        <v>42528</v>
      </c>
      <c r="E19705" s="8">
        <f t="shared" si="321"/>
        <v>2016</v>
      </c>
      <c r="F19705" t="s">
        <v>3135</v>
      </c>
      <c r="G19705" s="9">
        <v>85</v>
      </c>
      <c r="H19705" s="8">
        <v>22895</v>
      </c>
    </row>
    <row r="19706" spans="2:8" ht="15" customHeight="1" x14ac:dyDescent="0.4">
      <c r="B19706" t="s">
        <v>7</v>
      </c>
      <c r="C19706" t="s">
        <v>3134</v>
      </c>
      <c r="D19706" s="7">
        <f>DATE(2016,11,1)</f>
        <v>42675</v>
      </c>
      <c r="E19706" s="8">
        <f t="shared" si="321"/>
        <v>2016</v>
      </c>
      <c r="F19706" t="s">
        <v>3135</v>
      </c>
      <c r="G19706" s="9">
        <v>849.07</v>
      </c>
      <c r="H19706" s="8">
        <v>23677</v>
      </c>
    </row>
    <row r="19707" spans="2:8" ht="15" customHeight="1" x14ac:dyDescent="0.4">
      <c r="B19707" t="s">
        <v>7</v>
      </c>
      <c r="C19707" t="s">
        <v>3134</v>
      </c>
      <c r="D19707" s="7">
        <f>DATE(2016,11,1)</f>
        <v>42675</v>
      </c>
      <c r="E19707" s="8">
        <f t="shared" si="321"/>
        <v>2016</v>
      </c>
      <c r="F19707" t="s">
        <v>3135</v>
      </c>
      <c r="G19707" s="9">
        <v>729.81</v>
      </c>
      <c r="H19707" s="8">
        <v>23687</v>
      </c>
    </row>
    <row r="19708" spans="2:8" ht="15" customHeight="1" x14ac:dyDescent="0.4">
      <c r="B19708" t="s">
        <v>7</v>
      </c>
      <c r="C19708" t="s">
        <v>3134</v>
      </c>
      <c r="D19708" s="7">
        <f>DATE(2006,12,20)</f>
        <v>39071</v>
      </c>
      <c r="E19708" s="8">
        <f t="shared" si="321"/>
        <v>2006</v>
      </c>
      <c r="F19708" t="s">
        <v>3135</v>
      </c>
      <c r="G19708" s="9">
        <v>575</v>
      </c>
      <c r="H19708" s="8">
        <v>3867</v>
      </c>
    </row>
    <row r="19709" spans="2:8" ht="15" customHeight="1" x14ac:dyDescent="0.4">
      <c r="B19709" t="s">
        <v>7</v>
      </c>
      <c r="C19709" t="s">
        <v>3134</v>
      </c>
      <c r="D19709" s="7">
        <f>DATE(2005,12,20)</f>
        <v>38706</v>
      </c>
      <c r="E19709" s="8">
        <f t="shared" si="321"/>
        <v>2005</v>
      </c>
      <c r="F19709" t="s">
        <v>3135</v>
      </c>
      <c r="G19709" s="9">
        <v>575</v>
      </c>
      <c r="H19709" s="8">
        <v>3924</v>
      </c>
    </row>
    <row r="19710" spans="2:8" ht="15" customHeight="1" x14ac:dyDescent="0.4">
      <c r="B19710" t="s">
        <v>16</v>
      </c>
      <c r="C19710" t="s">
        <v>3134</v>
      </c>
      <c r="D19710" s="7">
        <f>DATE(2006,12,20)</f>
        <v>39071</v>
      </c>
      <c r="E19710" s="8">
        <f t="shared" si="321"/>
        <v>2006</v>
      </c>
      <c r="F19710" t="s">
        <v>3135</v>
      </c>
      <c r="G19710" s="9">
        <v>575</v>
      </c>
      <c r="H19710" s="8">
        <v>3923</v>
      </c>
    </row>
    <row r="19711" spans="2:8" ht="15" customHeight="1" x14ac:dyDescent="0.4">
      <c r="B19711" s="3" t="s">
        <v>7</v>
      </c>
      <c r="C19711" s="3" t="s">
        <v>3134</v>
      </c>
      <c r="D19711" s="4">
        <f>DATE(2005,7,20)</f>
        <v>38553</v>
      </c>
      <c r="E19711" s="5">
        <f t="shared" si="321"/>
        <v>2005</v>
      </c>
      <c r="F19711" s="3" t="s">
        <v>3135</v>
      </c>
      <c r="G19711" s="6">
        <v>24431.65</v>
      </c>
      <c r="H19711" s="5">
        <v>4341</v>
      </c>
    </row>
    <row r="19712" spans="2:8" ht="15" customHeight="1" x14ac:dyDescent="0.4">
      <c r="B19712" s="3" t="s">
        <v>7</v>
      </c>
      <c r="C19712" s="3" t="s">
        <v>3134</v>
      </c>
      <c r="D19712" s="4">
        <f>DATE(2005,7,15)</f>
        <v>38548</v>
      </c>
      <c r="E19712" s="5">
        <f t="shared" si="321"/>
        <v>2005</v>
      </c>
      <c r="F19712" s="3" t="s">
        <v>3135</v>
      </c>
      <c r="G19712" s="6">
        <v>48021.35</v>
      </c>
      <c r="H19712" s="5">
        <v>4341</v>
      </c>
    </row>
    <row r="19713" spans="2:8" ht="15" customHeight="1" x14ac:dyDescent="0.4">
      <c r="B19713" s="3" t="s">
        <v>7</v>
      </c>
      <c r="C19713" s="3" t="s">
        <v>3134</v>
      </c>
      <c r="D19713" s="4">
        <f>DATE(2005,9,9)</f>
        <v>38604</v>
      </c>
      <c r="E19713" s="5">
        <f t="shared" si="321"/>
        <v>2005</v>
      </c>
      <c r="F19713" s="3" t="s">
        <v>3135</v>
      </c>
      <c r="G19713" s="6">
        <v>3291</v>
      </c>
      <c r="H19713" s="5">
        <v>5195</v>
      </c>
    </row>
    <row r="19714" spans="2:8" ht="15" customHeight="1" x14ac:dyDescent="0.4">
      <c r="B19714" s="3" t="s">
        <v>7</v>
      </c>
      <c r="C19714" s="3" t="s">
        <v>3134</v>
      </c>
      <c r="D19714" s="4">
        <f>DATE(2006,1,25)</f>
        <v>38742</v>
      </c>
      <c r="E19714" s="5">
        <f t="shared" si="321"/>
        <v>2006</v>
      </c>
      <c r="F19714" s="3" t="s">
        <v>3135</v>
      </c>
      <c r="G19714" s="6">
        <v>105.99</v>
      </c>
      <c r="H19714" s="5">
        <v>5901</v>
      </c>
    </row>
    <row r="19715" spans="2:8" ht="15" customHeight="1" x14ac:dyDescent="0.4">
      <c r="B19715" s="3" t="s">
        <v>7</v>
      </c>
      <c r="C19715" s="3" t="s">
        <v>3134</v>
      </c>
      <c r="D19715" s="4">
        <f>DATE(2006,2,3)</f>
        <v>38751</v>
      </c>
      <c r="E19715" s="5">
        <f t="shared" ref="E19715:E19778" si="322">YEAR(D19715)</f>
        <v>2006</v>
      </c>
      <c r="F19715" s="3" t="s">
        <v>3135</v>
      </c>
      <c r="G19715" s="6">
        <v>276</v>
      </c>
      <c r="H19715" s="5">
        <v>5952</v>
      </c>
    </row>
    <row r="19716" spans="2:8" ht="15" customHeight="1" x14ac:dyDescent="0.4">
      <c r="B19716" s="3" t="s">
        <v>7</v>
      </c>
      <c r="C19716" s="3" t="s">
        <v>3134</v>
      </c>
      <c r="D19716" s="4">
        <f>DATE(2006,2,8)</f>
        <v>38756</v>
      </c>
      <c r="E19716" s="5">
        <f t="shared" si="322"/>
        <v>2006</v>
      </c>
      <c r="F19716" s="3" t="s">
        <v>3135</v>
      </c>
      <c r="G19716" s="6">
        <v>1210</v>
      </c>
      <c r="H19716" s="5">
        <v>5966</v>
      </c>
    </row>
    <row r="19717" spans="2:8" ht="15" customHeight="1" x14ac:dyDescent="0.4">
      <c r="B19717" s="3" t="s">
        <v>7</v>
      </c>
      <c r="C19717" s="3" t="s">
        <v>3134</v>
      </c>
      <c r="D19717" s="4">
        <f>DATE(2006,3,15)</f>
        <v>38791</v>
      </c>
      <c r="E19717" s="5">
        <f t="shared" si="322"/>
        <v>2006</v>
      </c>
      <c r="F19717" s="3" t="s">
        <v>3135</v>
      </c>
      <c r="G19717" s="6">
        <v>299.25</v>
      </c>
      <c r="H19717" s="5">
        <v>6293</v>
      </c>
    </row>
    <row r="19718" spans="2:8" ht="15" customHeight="1" x14ac:dyDescent="0.4">
      <c r="B19718" s="3" t="s">
        <v>7</v>
      </c>
      <c r="C19718" s="3" t="s">
        <v>3134</v>
      </c>
      <c r="D19718" s="4">
        <f>DATE(2006,4,7)</f>
        <v>38814</v>
      </c>
      <c r="E19718" s="5">
        <f t="shared" si="322"/>
        <v>2006</v>
      </c>
      <c r="F19718" s="3" t="s">
        <v>3135</v>
      </c>
      <c r="G19718" s="6">
        <v>1279.99</v>
      </c>
      <c r="H19718" s="5">
        <v>6163</v>
      </c>
    </row>
    <row r="19719" spans="2:8" ht="15" customHeight="1" x14ac:dyDescent="0.4">
      <c r="B19719" s="3" t="s">
        <v>7</v>
      </c>
      <c r="C19719" s="3" t="s">
        <v>3134</v>
      </c>
      <c r="D19719" s="4">
        <f>DATE(2006,4,28)</f>
        <v>38835</v>
      </c>
      <c r="E19719" s="5">
        <f t="shared" si="322"/>
        <v>2006</v>
      </c>
      <c r="F19719" s="3" t="s">
        <v>3135</v>
      </c>
      <c r="G19719" s="6">
        <v>103285.66</v>
      </c>
      <c r="H19719" s="5">
        <v>5876</v>
      </c>
    </row>
    <row r="19720" spans="2:8" ht="15" customHeight="1" x14ac:dyDescent="0.4">
      <c r="B19720" s="3" t="s">
        <v>7</v>
      </c>
      <c r="C19720" s="3" t="s">
        <v>3134</v>
      </c>
      <c r="D19720" s="4">
        <f>DATE(2006,5,9)</f>
        <v>38846</v>
      </c>
      <c r="E19720" s="5">
        <f t="shared" si="322"/>
        <v>2006</v>
      </c>
      <c r="F19720" s="3" t="s">
        <v>3135</v>
      </c>
      <c r="G19720" s="6">
        <v>206</v>
      </c>
      <c r="H19720" s="5">
        <v>6694</v>
      </c>
    </row>
    <row r="19721" spans="2:8" ht="15" customHeight="1" x14ac:dyDescent="0.4">
      <c r="B19721" s="3" t="s">
        <v>7</v>
      </c>
      <c r="C19721" s="3" t="s">
        <v>3134</v>
      </c>
      <c r="D19721" s="4">
        <f>DATE(2006,12,26)</f>
        <v>39077</v>
      </c>
      <c r="E19721" s="5">
        <f t="shared" si="322"/>
        <v>2006</v>
      </c>
      <c r="F19721" s="3" t="s">
        <v>3135</v>
      </c>
      <c r="G19721" s="6">
        <v>15571.64</v>
      </c>
      <c r="H19721" s="5">
        <v>7573</v>
      </c>
    </row>
    <row r="19722" spans="2:8" ht="15" customHeight="1" x14ac:dyDescent="0.4">
      <c r="B19722" s="3" t="s">
        <v>7</v>
      </c>
      <c r="C19722" s="3" t="s">
        <v>3134</v>
      </c>
      <c r="D19722" s="4">
        <f>DATE(2007,3,23)</f>
        <v>39164</v>
      </c>
      <c r="E19722" s="5">
        <f t="shared" si="322"/>
        <v>2007</v>
      </c>
      <c r="F19722" s="3" t="s">
        <v>3135</v>
      </c>
      <c r="G19722" s="6">
        <v>702.49</v>
      </c>
      <c r="H19722" s="5">
        <v>8221</v>
      </c>
    </row>
    <row r="19723" spans="2:8" ht="15" customHeight="1" x14ac:dyDescent="0.4">
      <c r="B19723" s="3" t="s">
        <v>7</v>
      </c>
      <c r="C19723" s="3" t="s">
        <v>3134</v>
      </c>
      <c r="D19723" s="4">
        <f>DATE(2007,8,17)</f>
        <v>39311</v>
      </c>
      <c r="E19723" s="5">
        <f t="shared" si="322"/>
        <v>2007</v>
      </c>
      <c r="F19723" s="3" t="s">
        <v>3135</v>
      </c>
      <c r="G19723" s="6">
        <v>58085.75</v>
      </c>
      <c r="H19723" s="5">
        <v>8218</v>
      </c>
    </row>
    <row r="19724" spans="2:8" ht="15" customHeight="1" x14ac:dyDescent="0.4">
      <c r="B19724" s="3" t="s">
        <v>7</v>
      </c>
      <c r="C19724" s="3" t="s">
        <v>3134</v>
      </c>
      <c r="D19724" s="4">
        <f>DATE(2007,12,17)</f>
        <v>39433</v>
      </c>
      <c r="E19724" s="5">
        <f t="shared" si="322"/>
        <v>2007</v>
      </c>
      <c r="F19724" s="3" t="s">
        <v>3135</v>
      </c>
      <c r="G19724" s="6">
        <v>46939.86</v>
      </c>
      <c r="H19724" s="5">
        <v>9287</v>
      </c>
    </row>
    <row r="19725" spans="2:8" ht="15" customHeight="1" x14ac:dyDescent="0.4">
      <c r="B19725" s="3" t="s">
        <v>7</v>
      </c>
      <c r="C19725" s="3" t="s">
        <v>3134</v>
      </c>
      <c r="D19725" s="4">
        <f>DATE(2008,2,27)</f>
        <v>39505</v>
      </c>
      <c r="E19725" s="5">
        <f t="shared" si="322"/>
        <v>2008</v>
      </c>
      <c r="F19725" s="3" t="s">
        <v>3135</v>
      </c>
      <c r="G19725" s="6">
        <v>410</v>
      </c>
      <c r="H19725" s="5">
        <v>10067</v>
      </c>
    </row>
    <row r="19726" spans="2:8" ht="15" customHeight="1" x14ac:dyDescent="0.4">
      <c r="B19726" s="3" t="s">
        <v>7</v>
      </c>
      <c r="C19726" s="3" t="s">
        <v>3134</v>
      </c>
      <c r="D19726" s="4">
        <f>DATE(2008,2,27)</f>
        <v>39505</v>
      </c>
      <c r="E19726" s="5">
        <f t="shared" si="322"/>
        <v>2008</v>
      </c>
      <c r="F19726" s="3" t="s">
        <v>3135</v>
      </c>
      <c r="G19726" s="6">
        <v>410</v>
      </c>
      <c r="H19726" s="5">
        <v>10068</v>
      </c>
    </row>
    <row r="19727" spans="2:8" ht="15" customHeight="1" x14ac:dyDescent="0.4">
      <c r="B19727" s="3" t="s">
        <v>7</v>
      </c>
      <c r="C19727" s="3" t="s">
        <v>3134</v>
      </c>
      <c r="D19727" s="4">
        <f>DATE(2008,2,27)</f>
        <v>39505</v>
      </c>
      <c r="E19727" s="5">
        <f t="shared" si="322"/>
        <v>2008</v>
      </c>
      <c r="F19727" s="3" t="s">
        <v>3135</v>
      </c>
      <c r="G19727" s="6">
        <v>410</v>
      </c>
      <c r="H19727" s="5">
        <v>10069</v>
      </c>
    </row>
    <row r="19728" spans="2:8" ht="15" customHeight="1" x14ac:dyDescent="0.4">
      <c r="B19728" s="3" t="s">
        <v>7</v>
      </c>
      <c r="C19728" s="3" t="s">
        <v>3134</v>
      </c>
      <c r="D19728" s="4">
        <f>DATE(2008,2,27)</f>
        <v>39505</v>
      </c>
      <c r="E19728" s="5">
        <f t="shared" si="322"/>
        <v>2008</v>
      </c>
      <c r="F19728" s="3" t="s">
        <v>3135</v>
      </c>
      <c r="G19728" s="6">
        <v>495.26</v>
      </c>
      <c r="H19728" s="5">
        <v>10070</v>
      </c>
    </row>
    <row r="19729" spans="2:8" ht="15" customHeight="1" x14ac:dyDescent="0.4">
      <c r="B19729" s="3" t="s">
        <v>7</v>
      </c>
      <c r="C19729" s="3" t="s">
        <v>3134</v>
      </c>
      <c r="D19729" s="4">
        <f>DATE(2008,10,30)</f>
        <v>39751</v>
      </c>
      <c r="E19729" s="5">
        <f t="shared" si="322"/>
        <v>2008</v>
      </c>
      <c r="F19729" s="3" t="s">
        <v>3135</v>
      </c>
      <c r="G19729" s="6">
        <v>1562.99</v>
      </c>
      <c r="H19729" s="5">
        <v>11347</v>
      </c>
    </row>
    <row r="19730" spans="2:8" ht="15" customHeight="1" x14ac:dyDescent="0.4">
      <c r="B19730" s="3" t="s">
        <v>7</v>
      </c>
      <c r="C19730" s="3" t="s">
        <v>3134</v>
      </c>
      <c r="D19730" s="4">
        <f>DATE(2009,5,1)</f>
        <v>39934</v>
      </c>
      <c r="E19730" s="5">
        <f t="shared" si="322"/>
        <v>2009</v>
      </c>
      <c r="F19730" s="3" t="s">
        <v>3135</v>
      </c>
      <c r="G19730" s="6">
        <v>60111.17</v>
      </c>
      <c r="H19730" s="5">
        <v>12237</v>
      </c>
    </row>
    <row r="19731" spans="2:8" ht="15" customHeight="1" x14ac:dyDescent="0.4">
      <c r="B19731" s="3" t="s">
        <v>7</v>
      </c>
      <c r="C19731" s="3" t="s">
        <v>3134</v>
      </c>
      <c r="D19731" s="4">
        <f t="shared" ref="D19731:D19737" si="323">DATE(2009,6,2)</f>
        <v>39966</v>
      </c>
      <c r="E19731" s="5">
        <f t="shared" si="322"/>
        <v>2009</v>
      </c>
      <c r="F19731" s="3" t="s">
        <v>3135</v>
      </c>
      <c r="G19731" s="6">
        <v>178.22</v>
      </c>
      <c r="H19731" s="5">
        <v>12604</v>
      </c>
    </row>
    <row r="19732" spans="2:8" ht="15" customHeight="1" x14ac:dyDescent="0.4">
      <c r="B19732" s="3" t="s">
        <v>7</v>
      </c>
      <c r="C19732" s="3" t="s">
        <v>3134</v>
      </c>
      <c r="D19732" s="4">
        <f t="shared" si="323"/>
        <v>39966</v>
      </c>
      <c r="E19732" s="5">
        <f t="shared" si="322"/>
        <v>2009</v>
      </c>
      <c r="F19732" s="3" t="s">
        <v>3135</v>
      </c>
      <c r="G19732" s="6">
        <v>531.79999999999995</v>
      </c>
      <c r="H19732" s="5">
        <v>12232</v>
      </c>
    </row>
    <row r="19733" spans="2:8" ht="15" customHeight="1" x14ac:dyDescent="0.4">
      <c r="B19733" s="3" t="s">
        <v>7</v>
      </c>
      <c r="C19733" s="3" t="s">
        <v>3134</v>
      </c>
      <c r="D19733" s="4">
        <f t="shared" si="323"/>
        <v>39966</v>
      </c>
      <c r="E19733" s="5">
        <f t="shared" si="322"/>
        <v>2009</v>
      </c>
      <c r="F19733" s="3" t="s">
        <v>3135</v>
      </c>
      <c r="G19733" s="6">
        <v>40</v>
      </c>
      <c r="H19733" s="5">
        <v>12601</v>
      </c>
    </row>
    <row r="19734" spans="2:8" ht="15" customHeight="1" x14ac:dyDescent="0.4">
      <c r="B19734" s="3" t="s">
        <v>7</v>
      </c>
      <c r="C19734" s="3" t="s">
        <v>3134</v>
      </c>
      <c r="D19734" s="4">
        <f t="shared" si="323"/>
        <v>39966</v>
      </c>
      <c r="E19734" s="5">
        <f t="shared" si="322"/>
        <v>2009</v>
      </c>
      <c r="F19734" s="3" t="s">
        <v>3135</v>
      </c>
      <c r="G19734" s="6">
        <v>90</v>
      </c>
      <c r="H19734" s="5">
        <v>12602</v>
      </c>
    </row>
    <row r="19735" spans="2:8" ht="15" customHeight="1" x14ac:dyDescent="0.4">
      <c r="B19735" s="3" t="s">
        <v>7</v>
      </c>
      <c r="C19735" s="3" t="s">
        <v>3134</v>
      </c>
      <c r="D19735" s="4">
        <f t="shared" si="323"/>
        <v>39966</v>
      </c>
      <c r="E19735" s="5">
        <f t="shared" si="322"/>
        <v>2009</v>
      </c>
      <c r="F19735" s="3" t="s">
        <v>3135</v>
      </c>
      <c r="G19735" s="6">
        <v>67</v>
      </c>
      <c r="H19735" s="5">
        <v>12603</v>
      </c>
    </row>
    <row r="19736" spans="2:8" ht="15" customHeight="1" x14ac:dyDescent="0.4">
      <c r="B19736" s="3" t="s">
        <v>7</v>
      </c>
      <c r="C19736" s="3" t="s">
        <v>3134</v>
      </c>
      <c r="D19736" s="4">
        <f t="shared" si="323"/>
        <v>39966</v>
      </c>
      <c r="E19736" s="5">
        <f t="shared" si="322"/>
        <v>2009</v>
      </c>
      <c r="F19736" s="3" t="s">
        <v>3135</v>
      </c>
      <c r="G19736" s="6">
        <v>148</v>
      </c>
      <c r="H19736" s="5">
        <v>12605</v>
      </c>
    </row>
    <row r="19737" spans="2:8" ht="15" customHeight="1" x14ac:dyDescent="0.4">
      <c r="B19737" s="3" t="s">
        <v>7</v>
      </c>
      <c r="C19737" s="3" t="s">
        <v>3134</v>
      </c>
      <c r="D19737" s="4">
        <f t="shared" si="323"/>
        <v>39966</v>
      </c>
      <c r="E19737" s="5">
        <f t="shared" si="322"/>
        <v>2009</v>
      </c>
      <c r="F19737" s="3" t="s">
        <v>3135</v>
      </c>
      <c r="G19737" s="6">
        <v>310</v>
      </c>
      <c r="H19737" s="5">
        <v>12606</v>
      </c>
    </row>
    <row r="19738" spans="2:8" ht="15" customHeight="1" x14ac:dyDescent="0.4">
      <c r="B19738" s="3" t="s">
        <v>7</v>
      </c>
      <c r="C19738" s="3" t="s">
        <v>3134</v>
      </c>
      <c r="D19738" s="4">
        <f>DATE(2009,6,4)</f>
        <v>39968</v>
      </c>
      <c r="E19738" s="5">
        <f t="shared" si="322"/>
        <v>2009</v>
      </c>
      <c r="F19738" s="3" t="s">
        <v>3135</v>
      </c>
      <c r="G19738" s="6">
        <v>40</v>
      </c>
      <c r="H19738" s="5">
        <v>12644</v>
      </c>
    </row>
    <row r="19739" spans="2:8" ht="15" customHeight="1" x14ac:dyDescent="0.4">
      <c r="B19739" s="3" t="s">
        <v>7</v>
      </c>
      <c r="C19739" s="3" t="s">
        <v>3134</v>
      </c>
      <c r="D19739" s="4">
        <f>DATE(2009,6,24)</f>
        <v>39988</v>
      </c>
      <c r="E19739" s="5">
        <f t="shared" si="322"/>
        <v>2009</v>
      </c>
      <c r="F19739" s="3" t="s">
        <v>3135</v>
      </c>
      <c r="G19739" s="6">
        <v>27695.759999999998</v>
      </c>
      <c r="H19739" s="5">
        <v>12533</v>
      </c>
    </row>
    <row r="19740" spans="2:8" ht="15" customHeight="1" x14ac:dyDescent="0.4">
      <c r="B19740" s="3" t="s">
        <v>7</v>
      </c>
      <c r="C19740" s="3" t="s">
        <v>3134</v>
      </c>
      <c r="D19740" s="4">
        <f>DATE(2009,10,7)</f>
        <v>40093</v>
      </c>
      <c r="E19740" s="5">
        <f t="shared" si="322"/>
        <v>2009</v>
      </c>
      <c r="F19740" s="3" t="s">
        <v>3135</v>
      </c>
      <c r="G19740" s="6">
        <v>46144.99</v>
      </c>
      <c r="H19740" s="5">
        <v>12962</v>
      </c>
    </row>
    <row r="19741" spans="2:8" ht="15" customHeight="1" x14ac:dyDescent="0.4">
      <c r="B19741" s="3" t="s">
        <v>7</v>
      </c>
      <c r="C19741" s="3" t="s">
        <v>3134</v>
      </c>
      <c r="D19741" s="4">
        <f>DATE(2009,10,21)</f>
        <v>40107</v>
      </c>
      <c r="E19741" s="5">
        <f t="shared" si="322"/>
        <v>2009</v>
      </c>
      <c r="F19741" s="3" t="s">
        <v>3135</v>
      </c>
      <c r="G19741" s="6">
        <v>6665.41</v>
      </c>
      <c r="H19741" s="5">
        <v>12959</v>
      </c>
    </row>
    <row r="19742" spans="2:8" ht="15" customHeight="1" x14ac:dyDescent="0.4">
      <c r="B19742" s="3" t="s">
        <v>7</v>
      </c>
      <c r="C19742" s="3" t="s">
        <v>3134</v>
      </c>
      <c r="D19742" s="4">
        <f>DATE(2010,6,28)</f>
        <v>40357</v>
      </c>
      <c r="E19742" s="5">
        <f t="shared" si="322"/>
        <v>2010</v>
      </c>
      <c r="F19742" s="3" t="s">
        <v>3135</v>
      </c>
      <c r="G19742" s="6">
        <v>13800</v>
      </c>
      <c r="H19742" s="5">
        <v>13283</v>
      </c>
    </row>
    <row r="19743" spans="2:8" ht="15" customHeight="1" x14ac:dyDescent="0.4">
      <c r="B19743" s="3" t="s">
        <v>7</v>
      </c>
      <c r="C19743" s="3" t="s">
        <v>3134</v>
      </c>
      <c r="D19743" s="4">
        <f>DATE(2010,6,28)</f>
        <v>40357</v>
      </c>
      <c r="E19743" s="5">
        <f t="shared" si="322"/>
        <v>2010</v>
      </c>
      <c r="F19743" s="3" t="s">
        <v>3135</v>
      </c>
      <c r="G19743" s="6">
        <v>46415.55</v>
      </c>
      <c r="H19743" s="5">
        <v>13283</v>
      </c>
    </row>
    <row r="19744" spans="2:8" ht="15" customHeight="1" x14ac:dyDescent="0.4">
      <c r="B19744" s="3" t="s">
        <v>7</v>
      </c>
      <c r="C19744" s="3" t="s">
        <v>3134</v>
      </c>
      <c r="D19744" s="4">
        <f>DATE(2010,6,28)</f>
        <v>40357</v>
      </c>
      <c r="E19744" s="5">
        <f t="shared" si="322"/>
        <v>2010</v>
      </c>
      <c r="F19744" s="3" t="s">
        <v>3135</v>
      </c>
      <c r="G19744" s="6">
        <v>46153.440000000002</v>
      </c>
      <c r="H19744" s="5">
        <v>14083</v>
      </c>
    </row>
    <row r="19745" spans="2:8" ht="15" customHeight="1" x14ac:dyDescent="0.4">
      <c r="B19745" s="3" t="s">
        <v>7</v>
      </c>
      <c r="C19745" s="3" t="s">
        <v>3134</v>
      </c>
      <c r="D19745" s="4">
        <f>DATE(2010,9,9)</f>
        <v>40430</v>
      </c>
      <c r="E19745" s="5">
        <f t="shared" si="322"/>
        <v>2010</v>
      </c>
      <c r="F19745" s="3" t="s">
        <v>3135</v>
      </c>
      <c r="G19745" s="6">
        <v>47684.82</v>
      </c>
      <c r="H19745" s="5">
        <v>13801</v>
      </c>
    </row>
    <row r="19746" spans="2:8" ht="15" customHeight="1" x14ac:dyDescent="0.4">
      <c r="B19746" s="3" t="s">
        <v>7</v>
      </c>
      <c r="C19746" s="3" t="s">
        <v>3134</v>
      </c>
      <c r="D19746" s="4">
        <f>DATE(2014,11,11)</f>
        <v>41954</v>
      </c>
      <c r="E19746" s="5">
        <f t="shared" si="322"/>
        <v>2014</v>
      </c>
      <c r="F19746" s="3" t="s">
        <v>3135</v>
      </c>
      <c r="G19746" s="6">
        <v>115380.82</v>
      </c>
      <c r="H19746" s="5">
        <v>20162</v>
      </c>
    </row>
    <row r="19747" spans="2:8" ht="15" customHeight="1" x14ac:dyDescent="0.4">
      <c r="B19747" t="s">
        <v>7</v>
      </c>
      <c r="C19747" t="s">
        <v>3136</v>
      </c>
      <c r="D19747" s="7">
        <f>DATE(2011,12,21)</f>
        <v>40898</v>
      </c>
      <c r="E19747" s="8">
        <f t="shared" si="322"/>
        <v>2011</v>
      </c>
      <c r="F19747" t="s">
        <v>3137</v>
      </c>
      <c r="G19747" s="9">
        <v>4319</v>
      </c>
      <c r="H19747" s="8">
        <v>11066</v>
      </c>
    </row>
    <row r="19748" spans="2:8" ht="15" customHeight="1" x14ac:dyDescent="0.4">
      <c r="B19748" s="3" t="s">
        <v>7</v>
      </c>
      <c r="C19748" s="3" t="s">
        <v>3138</v>
      </c>
      <c r="D19748" s="4">
        <f>DATE(2013,12,4)</f>
        <v>41612</v>
      </c>
      <c r="E19748" s="5">
        <f t="shared" si="322"/>
        <v>2013</v>
      </c>
      <c r="F19748" s="3" t="s">
        <v>3139</v>
      </c>
      <c r="G19748" s="6">
        <v>26300.84</v>
      </c>
      <c r="H19748" s="5">
        <v>5881</v>
      </c>
    </row>
    <row r="19749" spans="2:8" ht="15" customHeight="1" x14ac:dyDescent="0.4">
      <c r="B19749" t="s">
        <v>7</v>
      </c>
      <c r="C19749" t="s">
        <v>3140</v>
      </c>
      <c r="D19749" s="7">
        <f>DATE(2015,5,18)</f>
        <v>42142</v>
      </c>
      <c r="E19749" s="8">
        <f t="shared" si="322"/>
        <v>2015</v>
      </c>
      <c r="F19749" t="s">
        <v>3141</v>
      </c>
      <c r="G19749" s="9">
        <v>9089.92</v>
      </c>
      <c r="H19749" s="8">
        <v>20614</v>
      </c>
    </row>
    <row r="19750" spans="2:8" ht="15" customHeight="1" x14ac:dyDescent="0.4">
      <c r="B19750" t="s">
        <v>7</v>
      </c>
      <c r="C19750" t="s">
        <v>3140</v>
      </c>
      <c r="D19750" s="7">
        <f>DATE(2016,5,16)</f>
        <v>42506</v>
      </c>
      <c r="E19750" s="8">
        <f t="shared" si="322"/>
        <v>2016</v>
      </c>
      <c r="F19750" t="s">
        <v>3141</v>
      </c>
      <c r="G19750" s="9">
        <v>9268.85</v>
      </c>
      <c r="H19750" s="8">
        <v>22177</v>
      </c>
    </row>
    <row r="19751" spans="2:8" ht="15" customHeight="1" x14ac:dyDescent="0.4">
      <c r="B19751" t="s">
        <v>7</v>
      </c>
      <c r="C19751" t="s">
        <v>3140</v>
      </c>
      <c r="D19751" s="7">
        <f>DATE(2017,4,13)</f>
        <v>42838</v>
      </c>
      <c r="E19751" s="8">
        <f t="shared" si="322"/>
        <v>2017</v>
      </c>
      <c r="F19751" t="s">
        <v>3141</v>
      </c>
      <c r="G19751" s="9">
        <v>8913.52</v>
      </c>
      <c r="H19751" s="8">
        <v>24276</v>
      </c>
    </row>
    <row r="19752" spans="2:8" ht="15" customHeight="1" x14ac:dyDescent="0.4">
      <c r="B19752" t="s">
        <v>7</v>
      </c>
      <c r="C19752" t="s">
        <v>3140</v>
      </c>
      <c r="D19752" s="7">
        <f>DATE(2018,4,23)</f>
        <v>43213</v>
      </c>
      <c r="E19752" s="8">
        <f t="shared" si="322"/>
        <v>2018</v>
      </c>
      <c r="F19752" t="s">
        <v>3141</v>
      </c>
      <c r="G19752" s="9">
        <v>8881.84</v>
      </c>
      <c r="H19752" s="8">
        <v>26715</v>
      </c>
    </row>
    <row r="19753" spans="2:8" ht="15" customHeight="1" x14ac:dyDescent="0.4">
      <c r="B19753" t="s">
        <v>7</v>
      </c>
      <c r="C19753" t="s">
        <v>3140</v>
      </c>
      <c r="D19753" s="7">
        <f>DATE(2019,5,7)</f>
        <v>43592</v>
      </c>
      <c r="E19753" s="8">
        <f t="shared" si="322"/>
        <v>2019</v>
      </c>
      <c r="F19753" t="s">
        <v>3141</v>
      </c>
      <c r="G19753" s="9">
        <v>11664.75</v>
      </c>
      <c r="H19753" s="8">
        <v>28284</v>
      </c>
    </row>
    <row r="19754" spans="2:8" ht="15" customHeight="1" x14ac:dyDescent="0.4">
      <c r="B19754" t="s">
        <v>7</v>
      </c>
      <c r="C19754" t="s">
        <v>3140</v>
      </c>
      <c r="D19754" s="7">
        <f>DATE(2019,5,7)</f>
        <v>43592</v>
      </c>
      <c r="E19754" s="8">
        <f t="shared" si="322"/>
        <v>2019</v>
      </c>
      <c r="F19754" t="s">
        <v>3141</v>
      </c>
      <c r="G19754" s="9">
        <v>4393.12</v>
      </c>
      <c r="H19754" s="8">
        <v>28286</v>
      </c>
    </row>
    <row r="19755" spans="2:8" ht="15" customHeight="1" x14ac:dyDescent="0.4">
      <c r="B19755" t="s">
        <v>7</v>
      </c>
      <c r="C19755" t="s">
        <v>3140</v>
      </c>
      <c r="D19755" s="7">
        <f>DATE(2019,5,7)</f>
        <v>43592</v>
      </c>
      <c r="E19755" s="8">
        <f t="shared" si="322"/>
        <v>2019</v>
      </c>
      <c r="F19755" t="s">
        <v>3141</v>
      </c>
      <c r="G19755" s="9">
        <v>3700</v>
      </c>
      <c r="H19755" s="8">
        <v>28287</v>
      </c>
    </row>
    <row r="19756" spans="2:8" ht="15" customHeight="1" x14ac:dyDescent="0.4">
      <c r="B19756" t="s">
        <v>7</v>
      </c>
      <c r="C19756" t="s">
        <v>3140</v>
      </c>
      <c r="D19756" s="7">
        <f>DATE(2003,4,23)</f>
        <v>37734</v>
      </c>
      <c r="E19756" s="8">
        <f t="shared" si="322"/>
        <v>2003</v>
      </c>
      <c r="F19756" t="s">
        <v>3141</v>
      </c>
      <c r="G19756" s="9">
        <v>7572</v>
      </c>
      <c r="H19756" s="8">
        <v>157</v>
      </c>
    </row>
    <row r="19757" spans="2:8" ht="15" customHeight="1" x14ac:dyDescent="0.4">
      <c r="B19757" t="s">
        <v>7</v>
      </c>
      <c r="C19757" t="s">
        <v>3140</v>
      </c>
      <c r="D19757" s="7">
        <f>DATE(2004,5,5)</f>
        <v>38112</v>
      </c>
      <c r="E19757" s="8">
        <f t="shared" si="322"/>
        <v>2004</v>
      </c>
      <c r="F19757" t="s">
        <v>3141</v>
      </c>
      <c r="G19757" s="9">
        <v>7574.84</v>
      </c>
      <c r="H19757" s="8">
        <v>1667</v>
      </c>
    </row>
    <row r="19758" spans="2:8" ht="15" customHeight="1" x14ac:dyDescent="0.4">
      <c r="B19758" t="s">
        <v>7</v>
      </c>
      <c r="C19758" t="s">
        <v>3140</v>
      </c>
      <c r="D19758" s="7">
        <f>DATE(2005,2,5)</f>
        <v>38388</v>
      </c>
      <c r="E19758" s="8">
        <f t="shared" si="322"/>
        <v>2005</v>
      </c>
      <c r="F19758" t="s">
        <v>3141</v>
      </c>
      <c r="G19758" s="9">
        <v>4729.62</v>
      </c>
      <c r="H19758" s="8">
        <v>2487</v>
      </c>
    </row>
    <row r="19759" spans="2:8" ht="15" customHeight="1" x14ac:dyDescent="0.4">
      <c r="B19759" t="s">
        <v>7</v>
      </c>
      <c r="C19759" t="s">
        <v>3140</v>
      </c>
      <c r="D19759" s="7">
        <f>DATE(2005,2,3)</f>
        <v>38386</v>
      </c>
      <c r="E19759" s="8">
        <f t="shared" si="322"/>
        <v>2005</v>
      </c>
      <c r="F19759" t="s">
        <v>3141</v>
      </c>
      <c r="G19759" s="9">
        <v>8293.67</v>
      </c>
      <c r="H19759" s="8">
        <v>2472</v>
      </c>
    </row>
    <row r="19760" spans="2:8" ht="15" customHeight="1" x14ac:dyDescent="0.4">
      <c r="B19760" t="s">
        <v>7</v>
      </c>
      <c r="C19760" t="s">
        <v>3140</v>
      </c>
      <c r="D19760" s="7">
        <f>DATE(2005,2,18)</f>
        <v>38401</v>
      </c>
      <c r="E19760" s="8">
        <f t="shared" si="322"/>
        <v>2005</v>
      </c>
      <c r="F19760" t="s">
        <v>3141</v>
      </c>
      <c r="G19760" s="9">
        <v>3560.33</v>
      </c>
      <c r="H19760" s="8">
        <v>2775</v>
      </c>
    </row>
    <row r="19761" spans="2:8" ht="15" customHeight="1" x14ac:dyDescent="0.4">
      <c r="B19761" t="s">
        <v>7</v>
      </c>
      <c r="C19761" t="s">
        <v>3140</v>
      </c>
      <c r="D19761" s="7">
        <f>DATE(2005,5,19)</f>
        <v>38491</v>
      </c>
      <c r="E19761" s="8">
        <f t="shared" si="322"/>
        <v>2005</v>
      </c>
      <c r="F19761" t="s">
        <v>3141</v>
      </c>
      <c r="G19761" s="9">
        <v>8480.85</v>
      </c>
      <c r="H19761" s="8">
        <v>3141</v>
      </c>
    </row>
    <row r="19762" spans="2:8" ht="15" customHeight="1" x14ac:dyDescent="0.4">
      <c r="B19762" t="s">
        <v>7</v>
      </c>
      <c r="C19762" t="s">
        <v>3140</v>
      </c>
      <c r="D19762" s="7">
        <f>DATE(2006,5,5)</f>
        <v>38842</v>
      </c>
      <c r="E19762" s="8">
        <f t="shared" si="322"/>
        <v>2006</v>
      </c>
      <c r="F19762" t="s">
        <v>3141</v>
      </c>
      <c r="G19762" s="9">
        <v>8529.6</v>
      </c>
      <c r="H19762" s="8">
        <v>3928</v>
      </c>
    </row>
    <row r="19763" spans="2:8" ht="15" customHeight="1" x14ac:dyDescent="0.4">
      <c r="B19763" t="s">
        <v>7</v>
      </c>
      <c r="C19763" t="s">
        <v>3140</v>
      </c>
      <c r="D19763" s="7">
        <f>DATE(2006,8,30)</f>
        <v>38959</v>
      </c>
      <c r="E19763" s="8">
        <f t="shared" si="322"/>
        <v>2006</v>
      </c>
      <c r="F19763" t="s">
        <v>3141</v>
      </c>
      <c r="G19763" s="9">
        <v>2285.6</v>
      </c>
      <c r="H19763" s="8">
        <v>4967</v>
      </c>
    </row>
    <row r="19764" spans="2:8" ht="15" customHeight="1" x14ac:dyDescent="0.4">
      <c r="B19764" t="s">
        <v>7</v>
      </c>
      <c r="C19764" t="s">
        <v>3140</v>
      </c>
      <c r="D19764" s="7">
        <f>DATE(2007,3,8)</f>
        <v>39149</v>
      </c>
      <c r="E19764" s="8">
        <f t="shared" si="322"/>
        <v>2007</v>
      </c>
      <c r="F19764" t="s">
        <v>3141</v>
      </c>
      <c r="G19764" s="9">
        <v>8718.6</v>
      </c>
      <c r="H19764" s="8">
        <v>5389</v>
      </c>
    </row>
    <row r="19765" spans="2:8" ht="15" customHeight="1" x14ac:dyDescent="0.4">
      <c r="B19765" t="s">
        <v>7</v>
      </c>
      <c r="C19765" t="s">
        <v>3140</v>
      </c>
      <c r="D19765" s="7">
        <f>DATE(2008,4,25)</f>
        <v>39563</v>
      </c>
      <c r="E19765" s="8">
        <f t="shared" si="322"/>
        <v>2008</v>
      </c>
      <c r="F19765" t="s">
        <v>3141</v>
      </c>
      <c r="G19765" s="9">
        <v>8923.23</v>
      </c>
      <c r="H19765" s="8">
        <v>6883</v>
      </c>
    </row>
    <row r="19766" spans="2:8" ht="15" customHeight="1" x14ac:dyDescent="0.4">
      <c r="B19766" t="s">
        <v>7</v>
      </c>
      <c r="C19766" t="s">
        <v>3140</v>
      </c>
      <c r="D19766" s="7">
        <f>DATE(2009,5,20)</f>
        <v>39953</v>
      </c>
      <c r="E19766" s="8">
        <f t="shared" si="322"/>
        <v>2009</v>
      </c>
      <c r="F19766" t="s">
        <v>3141</v>
      </c>
      <c r="G19766" s="9">
        <v>9234.4</v>
      </c>
      <c r="H19766" s="8">
        <v>8598</v>
      </c>
    </row>
    <row r="19767" spans="2:8" ht="15" customHeight="1" x14ac:dyDescent="0.4">
      <c r="B19767" t="s">
        <v>7</v>
      </c>
      <c r="C19767" t="s">
        <v>3140</v>
      </c>
      <c r="D19767" s="7">
        <f>DATE(2010,3,30)</f>
        <v>40267</v>
      </c>
      <c r="E19767" s="8">
        <f t="shared" si="322"/>
        <v>2010</v>
      </c>
      <c r="F19767" t="s">
        <v>3141</v>
      </c>
      <c r="G19767" s="9">
        <v>9262.0400000000009</v>
      </c>
      <c r="H19767" s="8">
        <v>9534</v>
      </c>
    </row>
    <row r="19768" spans="2:8" ht="15" customHeight="1" x14ac:dyDescent="0.4">
      <c r="B19768" t="s">
        <v>7</v>
      </c>
      <c r="C19768" t="s">
        <v>3140</v>
      </c>
      <c r="D19768" s="7">
        <f>DATE(2011,3,30)</f>
        <v>40632</v>
      </c>
      <c r="E19768" s="8">
        <f t="shared" si="322"/>
        <v>2011</v>
      </c>
      <c r="F19768" t="s">
        <v>3141</v>
      </c>
      <c r="G19768" s="9">
        <v>9474.9599999999991</v>
      </c>
      <c r="H19768" s="8">
        <v>10479</v>
      </c>
    </row>
    <row r="19769" spans="2:8" ht="15" customHeight="1" x14ac:dyDescent="0.4">
      <c r="B19769" t="s">
        <v>7</v>
      </c>
      <c r="C19769" t="s">
        <v>3140</v>
      </c>
      <c r="D19769" s="7">
        <f>DATE(2012,5,10)</f>
        <v>41039</v>
      </c>
      <c r="E19769" s="8">
        <f t="shared" si="322"/>
        <v>2012</v>
      </c>
      <c r="F19769" t="s">
        <v>3141</v>
      </c>
      <c r="G19769" s="9">
        <v>9543.44</v>
      </c>
      <c r="H19769" s="8">
        <v>11231</v>
      </c>
    </row>
    <row r="19770" spans="2:8" ht="15" customHeight="1" x14ac:dyDescent="0.4">
      <c r="B19770" t="s">
        <v>7</v>
      </c>
      <c r="C19770" t="s">
        <v>3140</v>
      </c>
      <c r="D19770" s="7">
        <f>DATE(2013,3,27)</f>
        <v>41360</v>
      </c>
      <c r="E19770" s="8">
        <f t="shared" si="322"/>
        <v>2013</v>
      </c>
      <c r="F19770" t="s">
        <v>3141</v>
      </c>
      <c r="G19770" s="9">
        <v>9197.44</v>
      </c>
      <c r="H19770" s="8">
        <v>12240</v>
      </c>
    </row>
    <row r="19771" spans="2:8" ht="15" customHeight="1" x14ac:dyDescent="0.4">
      <c r="B19771" s="3" t="s">
        <v>7</v>
      </c>
      <c r="C19771" s="3" t="s">
        <v>3140</v>
      </c>
      <c r="D19771" s="4">
        <f>DATE(2005,3,16)</f>
        <v>38427</v>
      </c>
      <c r="E19771" s="5">
        <f t="shared" si="322"/>
        <v>2005</v>
      </c>
      <c r="F19771" s="3" t="s">
        <v>3141</v>
      </c>
      <c r="G19771" s="6">
        <v>138.30000000000001</v>
      </c>
      <c r="H19771" s="5">
        <v>4339</v>
      </c>
    </row>
    <row r="19772" spans="2:8" ht="15" customHeight="1" x14ac:dyDescent="0.4">
      <c r="B19772" t="s">
        <v>7</v>
      </c>
      <c r="C19772" t="s">
        <v>3142</v>
      </c>
      <c r="D19772" s="7">
        <f>DATE(2005,7,26)</f>
        <v>38559</v>
      </c>
      <c r="E19772" s="8">
        <f t="shared" si="322"/>
        <v>2005</v>
      </c>
      <c r="F19772" t="s">
        <v>3143</v>
      </c>
      <c r="G19772" s="9">
        <v>662</v>
      </c>
      <c r="H19772" s="8">
        <v>3312</v>
      </c>
    </row>
    <row r="19773" spans="2:8" ht="15" customHeight="1" x14ac:dyDescent="0.4">
      <c r="B19773" t="s">
        <v>7</v>
      </c>
      <c r="C19773" t="s">
        <v>3142</v>
      </c>
      <c r="D19773" s="7">
        <f>DATE(2011,3,11)</f>
        <v>40613</v>
      </c>
      <c r="E19773" s="8">
        <f t="shared" si="322"/>
        <v>2011</v>
      </c>
      <c r="F19773" t="s">
        <v>3143</v>
      </c>
      <c r="G19773" s="9">
        <v>1421</v>
      </c>
      <c r="H19773" s="8">
        <v>10529</v>
      </c>
    </row>
    <row r="19774" spans="2:8" ht="15" customHeight="1" x14ac:dyDescent="0.4">
      <c r="B19774" t="s">
        <v>7</v>
      </c>
      <c r="C19774" t="s">
        <v>3142</v>
      </c>
      <c r="D19774" s="7">
        <f>DATE(2009,5,22)</f>
        <v>39955</v>
      </c>
      <c r="E19774" s="8">
        <f t="shared" si="322"/>
        <v>2009</v>
      </c>
      <c r="F19774" t="s">
        <v>3143</v>
      </c>
      <c r="G19774" s="9">
        <v>4136.22</v>
      </c>
      <c r="H19774" s="8">
        <v>8700</v>
      </c>
    </row>
    <row r="19775" spans="2:8" ht="15" customHeight="1" x14ac:dyDescent="0.4">
      <c r="B19775" t="s">
        <v>7</v>
      </c>
      <c r="C19775" t="s">
        <v>3142</v>
      </c>
      <c r="D19775" s="7">
        <f>DATE(2010,9,10)</f>
        <v>40431</v>
      </c>
      <c r="E19775" s="8">
        <f t="shared" si="322"/>
        <v>2010</v>
      </c>
      <c r="F19775" t="s">
        <v>3143</v>
      </c>
      <c r="G19775" s="9">
        <v>3042.06</v>
      </c>
      <c r="H19775" s="8">
        <v>10101</v>
      </c>
    </row>
    <row r="19776" spans="2:8" ht="15" customHeight="1" x14ac:dyDescent="0.4">
      <c r="B19776" s="3" t="s">
        <v>7</v>
      </c>
      <c r="C19776" s="3" t="s">
        <v>3142</v>
      </c>
      <c r="D19776" s="4">
        <f>DATE(2003,7,21)</f>
        <v>37823</v>
      </c>
      <c r="E19776" s="5">
        <f t="shared" si="322"/>
        <v>2003</v>
      </c>
      <c r="F19776" s="3" t="s">
        <v>3143</v>
      </c>
      <c r="G19776" s="6">
        <v>958.75</v>
      </c>
      <c r="H19776" s="5">
        <v>1241</v>
      </c>
    </row>
    <row r="19777" spans="2:8" ht="15" customHeight="1" x14ac:dyDescent="0.4">
      <c r="B19777" s="3" t="s">
        <v>7</v>
      </c>
      <c r="C19777" s="3" t="s">
        <v>3142</v>
      </c>
      <c r="D19777" s="4">
        <f>DATE(2003,7,25)</f>
        <v>37827</v>
      </c>
      <c r="E19777" s="5">
        <f t="shared" si="322"/>
        <v>2003</v>
      </c>
      <c r="F19777" s="3" t="s">
        <v>3143</v>
      </c>
      <c r="G19777" s="6">
        <v>575.75</v>
      </c>
      <c r="H19777" s="5">
        <v>1266</v>
      </c>
    </row>
    <row r="19778" spans="2:8" ht="15" customHeight="1" x14ac:dyDescent="0.4">
      <c r="B19778" s="3" t="s">
        <v>7</v>
      </c>
      <c r="C19778" s="3" t="s">
        <v>3142</v>
      </c>
      <c r="D19778" s="4">
        <f>DATE(2004,1,27)</f>
        <v>38013</v>
      </c>
      <c r="E19778" s="5">
        <f t="shared" si="322"/>
        <v>2004</v>
      </c>
      <c r="F19778" s="3" t="s">
        <v>3143</v>
      </c>
      <c r="G19778" s="6">
        <v>12342.65</v>
      </c>
      <c r="H19778" s="5">
        <v>1918</v>
      </c>
    </row>
    <row r="19779" spans="2:8" ht="15" customHeight="1" x14ac:dyDescent="0.4">
      <c r="B19779" s="3" t="s">
        <v>7</v>
      </c>
      <c r="C19779" s="3" t="s">
        <v>3142</v>
      </c>
      <c r="D19779" s="4">
        <f>DATE(2004,3,11)</f>
        <v>38057</v>
      </c>
      <c r="E19779" s="5">
        <f t="shared" ref="E19779:E19842" si="324">YEAR(D19779)</f>
        <v>2004</v>
      </c>
      <c r="F19779" s="3" t="s">
        <v>3143</v>
      </c>
      <c r="G19779" s="6">
        <v>10800</v>
      </c>
      <c r="H19779" s="5">
        <v>1954</v>
      </c>
    </row>
    <row r="19780" spans="2:8" ht="15" customHeight="1" x14ac:dyDescent="0.4">
      <c r="B19780" s="3" t="s">
        <v>7</v>
      </c>
      <c r="C19780" s="3" t="s">
        <v>3142</v>
      </c>
      <c r="D19780" s="4">
        <f>DATE(2004,5,18)</f>
        <v>38125</v>
      </c>
      <c r="E19780" s="5">
        <f t="shared" si="324"/>
        <v>2004</v>
      </c>
      <c r="F19780" s="3" t="s">
        <v>3143</v>
      </c>
      <c r="G19780" s="6">
        <v>516</v>
      </c>
      <c r="H19780" s="5">
        <v>2881</v>
      </c>
    </row>
    <row r="19781" spans="2:8" ht="15" customHeight="1" x14ac:dyDescent="0.4">
      <c r="B19781" s="3" t="s">
        <v>7</v>
      </c>
      <c r="C19781" s="3" t="s">
        <v>3142</v>
      </c>
      <c r="D19781" s="4">
        <f>DATE(2004,11,24)</f>
        <v>38315</v>
      </c>
      <c r="E19781" s="5">
        <f t="shared" si="324"/>
        <v>2004</v>
      </c>
      <c r="F19781" s="3" t="s">
        <v>3143</v>
      </c>
      <c r="G19781" s="6">
        <v>4350</v>
      </c>
      <c r="H19781" s="5">
        <v>3748</v>
      </c>
    </row>
    <row r="19782" spans="2:8" ht="15" customHeight="1" x14ac:dyDescent="0.4">
      <c r="B19782" s="3" t="s">
        <v>7</v>
      </c>
      <c r="C19782" s="3" t="s">
        <v>3142</v>
      </c>
      <c r="D19782" s="4">
        <f>DATE(2007,8,14)</f>
        <v>39308</v>
      </c>
      <c r="E19782" s="5">
        <f t="shared" si="324"/>
        <v>2007</v>
      </c>
      <c r="F19782" s="3" t="s">
        <v>3143</v>
      </c>
      <c r="G19782" s="6">
        <v>1585</v>
      </c>
      <c r="H19782" s="5">
        <v>9016</v>
      </c>
    </row>
    <row r="19783" spans="2:8" ht="15" customHeight="1" x14ac:dyDescent="0.4">
      <c r="B19783" s="3" t="s">
        <v>7</v>
      </c>
      <c r="C19783" s="3" t="s">
        <v>3142</v>
      </c>
      <c r="D19783" s="4">
        <f>DATE(2009,3,25)</f>
        <v>39897</v>
      </c>
      <c r="E19783" s="5">
        <f t="shared" si="324"/>
        <v>2009</v>
      </c>
      <c r="F19783" s="3" t="s">
        <v>3143</v>
      </c>
      <c r="G19783" s="6">
        <v>7100</v>
      </c>
      <c r="H19783" s="5">
        <v>12271</v>
      </c>
    </row>
    <row r="19784" spans="2:8" ht="15" customHeight="1" x14ac:dyDescent="0.4">
      <c r="B19784" t="s">
        <v>7</v>
      </c>
      <c r="C19784" t="s">
        <v>3144</v>
      </c>
      <c r="D19784" s="7">
        <f>DATE(2003,5,23)</f>
        <v>37764</v>
      </c>
      <c r="E19784" s="8">
        <f t="shared" si="324"/>
        <v>2003</v>
      </c>
      <c r="F19784" t="s">
        <v>3145</v>
      </c>
      <c r="G19784" s="9">
        <v>55928.2</v>
      </c>
      <c r="H19784" s="8">
        <v>608</v>
      </c>
    </row>
    <row r="19785" spans="2:8" ht="15" customHeight="1" x14ac:dyDescent="0.4">
      <c r="B19785" t="s">
        <v>7</v>
      </c>
      <c r="C19785" t="s">
        <v>3144</v>
      </c>
      <c r="D19785" s="7">
        <f>DATE(2003,5,22)</f>
        <v>37763</v>
      </c>
      <c r="E19785" s="8">
        <f t="shared" si="324"/>
        <v>2003</v>
      </c>
      <c r="F19785" t="s">
        <v>3145</v>
      </c>
      <c r="G19785" s="9">
        <v>40777</v>
      </c>
      <c r="H19785" s="8">
        <v>616</v>
      </c>
    </row>
    <row r="19786" spans="2:8" ht="15" customHeight="1" x14ac:dyDescent="0.4">
      <c r="B19786" t="s">
        <v>7</v>
      </c>
      <c r="C19786" t="s">
        <v>3144</v>
      </c>
      <c r="D19786" s="7">
        <f>DATE(2003,5,26)</f>
        <v>37767</v>
      </c>
      <c r="E19786" s="8">
        <f t="shared" si="324"/>
        <v>2003</v>
      </c>
      <c r="F19786" t="s">
        <v>3145</v>
      </c>
      <c r="G19786" s="9">
        <v>32732.92</v>
      </c>
      <c r="H19786" s="8">
        <v>630</v>
      </c>
    </row>
    <row r="19787" spans="2:8" ht="15" customHeight="1" x14ac:dyDescent="0.4">
      <c r="B19787" t="s">
        <v>7</v>
      </c>
      <c r="C19787" t="s">
        <v>3144</v>
      </c>
      <c r="D19787" s="7">
        <f>DATE(2004,3,7)</f>
        <v>38053</v>
      </c>
      <c r="E19787" s="8">
        <f t="shared" si="324"/>
        <v>2004</v>
      </c>
      <c r="F19787" t="s">
        <v>3145</v>
      </c>
      <c r="G19787" s="9">
        <v>52500.800000000003</v>
      </c>
      <c r="H19787" s="8">
        <v>1493</v>
      </c>
    </row>
    <row r="19788" spans="2:8" ht="15" customHeight="1" x14ac:dyDescent="0.4">
      <c r="B19788" t="s">
        <v>7</v>
      </c>
      <c r="C19788" t="s">
        <v>3144</v>
      </c>
      <c r="D19788" s="7">
        <f>DATE(2007,5,9)</f>
        <v>39211</v>
      </c>
      <c r="E19788" s="8">
        <f t="shared" si="324"/>
        <v>2007</v>
      </c>
      <c r="F19788" t="s">
        <v>3145</v>
      </c>
      <c r="G19788" s="9">
        <v>750</v>
      </c>
      <c r="H19788" s="8">
        <v>5971</v>
      </c>
    </row>
    <row r="19789" spans="2:8" ht="15" customHeight="1" x14ac:dyDescent="0.4">
      <c r="B19789" t="s">
        <v>7</v>
      </c>
      <c r="C19789" t="s">
        <v>3144</v>
      </c>
      <c r="D19789" s="7">
        <f>DATE(2007,5,25)</f>
        <v>39227</v>
      </c>
      <c r="E19789" s="8">
        <f t="shared" si="324"/>
        <v>2007</v>
      </c>
      <c r="F19789" t="s">
        <v>3145</v>
      </c>
      <c r="G19789" s="9">
        <v>70498.55</v>
      </c>
      <c r="H19789" s="8">
        <v>5995</v>
      </c>
    </row>
    <row r="19790" spans="2:8" ht="15" customHeight="1" x14ac:dyDescent="0.4">
      <c r="B19790" t="s">
        <v>7</v>
      </c>
      <c r="C19790" t="s">
        <v>3144</v>
      </c>
      <c r="D19790" s="7">
        <f>DATE(2007,5,30)</f>
        <v>39232</v>
      </c>
      <c r="E19790" s="8">
        <f t="shared" si="324"/>
        <v>2007</v>
      </c>
      <c r="F19790" t="s">
        <v>3145</v>
      </c>
      <c r="G19790" s="9">
        <v>46607.66</v>
      </c>
      <c r="H19790" s="8">
        <v>6018</v>
      </c>
    </row>
    <row r="19791" spans="2:8" ht="15" customHeight="1" x14ac:dyDescent="0.4">
      <c r="B19791" t="s">
        <v>7</v>
      </c>
      <c r="C19791" t="s">
        <v>3144</v>
      </c>
      <c r="D19791" s="7">
        <f>DATE(2007,6,7)</f>
        <v>39240</v>
      </c>
      <c r="E19791" s="8">
        <f t="shared" si="324"/>
        <v>2007</v>
      </c>
      <c r="F19791" t="s">
        <v>3145</v>
      </c>
      <c r="G19791" s="9">
        <v>74947.039999999994</v>
      </c>
      <c r="H19791" s="8">
        <v>6019</v>
      </c>
    </row>
    <row r="19792" spans="2:8" ht="15" customHeight="1" x14ac:dyDescent="0.4">
      <c r="B19792" t="s">
        <v>7</v>
      </c>
      <c r="C19792" t="s">
        <v>3144</v>
      </c>
      <c r="D19792" s="7">
        <f>DATE(2007,8,28)</f>
        <v>39322</v>
      </c>
      <c r="E19792" s="8">
        <f t="shared" si="324"/>
        <v>2007</v>
      </c>
      <c r="F19792" t="s">
        <v>3145</v>
      </c>
      <c r="G19792" s="9">
        <v>63183.39</v>
      </c>
      <c r="H19792" s="8">
        <v>6303</v>
      </c>
    </row>
    <row r="19793" spans="2:8" ht="15" customHeight="1" x14ac:dyDescent="0.4">
      <c r="B19793" t="s">
        <v>7</v>
      </c>
      <c r="C19793" t="s">
        <v>3144</v>
      </c>
      <c r="D19793" s="7">
        <f>DATE(2008,2,9)</f>
        <v>39487</v>
      </c>
      <c r="E19793" s="8">
        <f t="shared" si="324"/>
        <v>2008</v>
      </c>
      <c r="F19793" t="s">
        <v>3145</v>
      </c>
      <c r="G19793" s="9">
        <v>15747</v>
      </c>
      <c r="H19793" s="8">
        <v>6693</v>
      </c>
    </row>
    <row r="19794" spans="2:8" ht="15" customHeight="1" x14ac:dyDescent="0.4">
      <c r="B19794" t="s">
        <v>7</v>
      </c>
      <c r="C19794" t="s">
        <v>3144</v>
      </c>
      <c r="D19794" s="7">
        <f>DATE(2008,2,29)</f>
        <v>39507</v>
      </c>
      <c r="E19794" s="8">
        <f t="shared" si="324"/>
        <v>2008</v>
      </c>
      <c r="F19794" t="s">
        <v>3145</v>
      </c>
      <c r="G19794" s="9">
        <v>15747</v>
      </c>
      <c r="H19794" s="8">
        <v>6730</v>
      </c>
    </row>
    <row r="19795" spans="2:8" ht="15" customHeight="1" x14ac:dyDescent="0.4">
      <c r="B19795" t="s">
        <v>7</v>
      </c>
      <c r="C19795" t="s">
        <v>3144</v>
      </c>
      <c r="D19795" s="7">
        <f>DATE(2008,3,21)</f>
        <v>39528</v>
      </c>
      <c r="E19795" s="8">
        <f t="shared" si="324"/>
        <v>2008</v>
      </c>
      <c r="F19795" t="s">
        <v>3145</v>
      </c>
      <c r="G19795" s="9">
        <v>95032.55</v>
      </c>
      <c r="H19795" s="8">
        <v>6816</v>
      </c>
    </row>
    <row r="19796" spans="2:8" ht="15" customHeight="1" x14ac:dyDescent="0.4">
      <c r="B19796" t="s">
        <v>7</v>
      </c>
      <c r="C19796" t="s">
        <v>3144</v>
      </c>
      <c r="D19796" s="7">
        <f>DATE(2009,2,17)</f>
        <v>39861</v>
      </c>
      <c r="E19796" s="8">
        <f t="shared" si="324"/>
        <v>2009</v>
      </c>
      <c r="F19796" t="s">
        <v>3145</v>
      </c>
      <c r="G19796" s="9">
        <v>44762.68</v>
      </c>
      <c r="H19796" s="8">
        <v>8278</v>
      </c>
    </row>
    <row r="19797" spans="2:8" ht="15" customHeight="1" x14ac:dyDescent="0.4">
      <c r="B19797" t="s">
        <v>16</v>
      </c>
      <c r="C19797" t="s">
        <v>3144</v>
      </c>
      <c r="D19797" s="7">
        <f>DATE(2003,7,31)</f>
        <v>37833</v>
      </c>
      <c r="E19797" s="8">
        <f t="shared" si="324"/>
        <v>2003</v>
      </c>
      <c r="F19797" t="s">
        <v>3145</v>
      </c>
      <c r="G19797" s="9">
        <v>2758.92</v>
      </c>
      <c r="H19797" s="8">
        <v>780</v>
      </c>
    </row>
    <row r="19798" spans="2:8" ht="15" customHeight="1" x14ac:dyDescent="0.4">
      <c r="B19798" t="s">
        <v>16</v>
      </c>
      <c r="C19798" t="s">
        <v>3144</v>
      </c>
      <c r="D19798" s="7">
        <f>DATE(2008,4,1)</f>
        <v>39539</v>
      </c>
      <c r="E19798" s="8">
        <f t="shared" si="324"/>
        <v>2008</v>
      </c>
      <c r="F19798" t="s">
        <v>3145</v>
      </c>
      <c r="G19798" s="9">
        <v>7127.44</v>
      </c>
      <c r="H19798" s="8">
        <v>7429</v>
      </c>
    </row>
    <row r="19799" spans="2:8" ht="15" customHeight="1" x14ac:dyDescent="0.4">
      <c r="B19799" s="3" t="s">
        <v>7</v>
      </c>
      <c r="C19799" s="3" t="s">
        <v>3144</v>
      </c>
      <c r="D19799" s="4">
        <f>DATE(2003,3,19)</f>
        <v>37699</v>
      </c>
      <c r="E19799" s="5">
        <f t="shared" si="324"/>
        <v>2003</v>
      </c>
      <c r="F19799" s="3" t="s">
        <v>3145</v>
      </c>
      <c r="G19799" s="6">
        <v>1053</v>
      </c>
      <c r="H19799" s="5">
        <v>538</v>
      </c>
    </row>
    <row r="19800" spans="2:8" ht="15" customHeight="1" x14ac:dyDescent="0.4">
      <c r="B19800" s="3" t="s">
        <v>7</v>
      </c>
      <c r="C19800" s="3" t="s">
        <v>3144</v>
      </c>
      <c r="D19800" s="4">
        <f>DATE(2003,3,25)</f>
        <v>37705</v>
      </c>
      <c r="E19800" s="5">
        <f t="shared" si="324"/>
        <v>2003</v>
      </c>
      <c r="F19800" s="3" t="s">
        <v>3145</v>
      </c>
      <c r="G19800" s="6">
        <v>300</v>
      </c>
      <c r="H19800" s="5">
        <v>560</v>
      </c>
    </row>
    <row r="19801" spans="2:8" ht="15" customHeight="1" x14ac:dyDescent="0.4">
      <c r="B19801" s="3" t="s">
        <v>7</v>
      </c>
      <c r="C19801" s="3" t="s">
        <v>3144</v>
      </c>
      <c r="D19801" s="4">
        <f>DATE(2003,4,22)</f>
        <v>37733</v>
      </c>
      <c r="E19801" s="5">
        <f t="shared" si="324"/>
        <v>2003</v>
      </c>
      <c r="F19801" s="3" t="s">
        <v>3145</v>
      </c>
      <c r="G19801" s="6">
        <v>7800</v>
      </c>
      <c r="H19801" s="5">
        <v>800</v>
      </c>
    </row>
    <row r="19802" spans="2:8" ht="15" customHeight="1" x14ac:dyDescent="0.4">
      <c r="B19802" s="3" t="s">
        <v>7</v>
      </c>
      <c r="C19802" s="3" t="s">
        <v>3144</v>
      </c>
      <c r="D19802" s="4">
        <f>DATE(2003,4,30)</f>
        <v>37741</v>
      </c>
      <c r="E19802" s="5">
        <f t="shared" si="324"/>
        <v>2003</v>
      </c>
      <c r="F19802" s="3" t="s">
        <v>3145</v>
      </c>
      <c r="G19802" s="6">
        <v>11250</v>
      </c>
      <c r="H19802" s="5">
        <v>860</v>
      </c>
    </row>
    <row r="19803" spans="2:8" ht="15" customHeight="1" x14ac:dyDescent="0.4">
      <c r="B19803" s="3" t="s">
        <v>7</v>
      </c>
      <c r="C19803" s="3" t="s">
        <v>3144</v>
      </c>
      <c r="D19803" s="4">
        <f>DATE(2003,5,1)</f>
        <v>37742</v>
      </c>
      <c r="E19803" s="5">
        <f t="shared" si="324"/>
        <v>2003</v>
      </c>
      <c r="F19803" s="3" t="s">
        <v>3145</v>
      </c>
      <c r="G19803" s="6">
        <v>20223.689999999999</v>
      </c>
      <c r="H19803" s="5">
        <v>877</v>
      </c>
    </row>
    <row r="19804" spans="2:8" ht="15" customHeight="1" x14ac:dyDescent="0.4">
      <c r="B19804" s="3" t="s">
        <v>7</v>
      </c>
      <c r="C19804" s="3" t="s">
        <v>3144</v>
      </c>
      <c r="D19804" s="4">
        <f>DATE(2003,9,26)</f>
        <v>37890</v>
      </c>
      <c r="E19804" s="5">
        <f t="shared" si="324"/>
        <v>2003</v>
      </c>
      <c r="F19804" s="3" t="s">
        <v>3145</v>
      </c>
      <c r="G19804" s="6">
        <v>1100</v>
      </c>
      <c r="H19804" s="5">
        <v>1551</v>
      </c>
    </row>
    <row r="19805" spans="2:8" ht="15" customHeight="1" x14ac:dyDescent="0.4">
      <c r="B19805" s="3" t="s">
        <v>7</v>
      </c>
      <c r="C19805" s="3" t="s">
        <v>3144</v>
      </c>
      <c r="D19805" s="4">
        <f>DATE(2004,1,9)</f>
        <v>37995</v>
      </c>
      <c r="E19805" s="5">
        <f t="shared" si="324"/>
        <v>2004</v>
      </c>
      <c r="F19805" s="3" t="s">
        <v>3145</v>
      </c>
      <c r="G19805" s="6">
        <v>9380.2099999999991</v>
      </c>
      <c r="H19805" s="5">
        <v>1967</v>
      </c>
    </row>
    <row r="19806" spans="2:8" ht="15" customHeight="1" x14ac:dyDescent="0.4">
      <c r="B19806" s="3" t="s">
        <v>7</v>
      </c>
      <c r="C19806" s="3" t="s">
        <v>3144</v>
      </c>
      <c r="D19806" s="4">
        <f>DATE(2004,3,30)</f>
        <v>38076</v>
      </c>
      <c r="E19806" s="5">
        <f t="shared" si="324"/>
        <v>2004</v>
      </c>
      <c r="F19806" s="3" t="s">
        <v>3145</v>
      </c>
      <c r="G19806" s="6">
        <v>1800</v>
      </c>
      <c r="H19806" s="5">
        <v>2519</v>
      </c>
    </row>
    <row r="19807" spans="2:8" ht="15" customHeight="1" x14ac:dyDescent="0.4">
      <c r="B19807" s="3" t="s">
        <v>7</v>
      </c>
      <c r="C19807" s="3" t="s">
        <v>3144</v>
      </c>
      <c r="D19807" s="4">
        <f>DATE(2004,4,5)</f>
        <v>38082</v>
      </c>
      <c r="E19807" s="5">
        <f t="shared" si="324"/>
        <v>2004</v>
      </c>
      <c r="F19807" s="3" t="s">
        <v>3145</v>
      </c>
      <c r="G19807" s="6">
        <v>19440</v>
      </c>
      <c r="H19807" s="5">
        <v>2586</v>
      </c>
    </row>
    <row r="19808" spans="2:8" ht="15" customHeight="1" x14ac:dyDescent="0.4">
      <c r="B19808" s="3" t="s">
        <v>7</v>
      </c>
      <c r="C19808" s="3" t="s">
        <v>3144</v>
      </c>
      <c r="D19808" s="4">
        <f>DATE(2004,4,21)</f>
        <v>38098</v>
      </c>
      <c r="E19808" s="5">
        <f t="shared" si="324"/>
        <v>2004</v>
      </c>
      <c r="F19808" s="3" t="s">
        <v>3145</v>
      </c>
      <c r="G19808" s="6">
        <v>1846.1</v>
      </c>
      <c r="H19808" s="5">
        <v>2696</v>
      </c>
    </row>
    <row r="19809" spans="2:8" ht="15" customHeight="1" x14ac:dyDescent="0.4">
      <c r="B19809" s="3" t="s">
        <v>7</v>
      </c>
      <c r="C19809" s="3" t="s">
        <v>3144</v>
      </c>
      <c r="D19809" s="4">
        <f>DATE(2004,8,30)</f>
        <v>38229</v>
      </c>
      <c r="E19809" s="5">
        <f t="shared" si="324"/>
        <v>2004</v>
      </c>
      <c r="F19809" s="3" t="s">
        <v>3145</v>
      </c>
      <c r="G19809" s="6">
        <v>872.07</v>
      </c>
      <c r="H19809" s="5">
        <v>3308</v>
      </c>
    </row>
    <row r="19810" spans="2:8" ht="15" customHeight="1" x14ac:dyDescent="0.4">
      <c r="B19810" s="3" t="s">
        <v>7</v>
      </c>
      <c r="C19810" s="3" t="s">
        <v>3144</v>
      </c>
      <c r="D19810" s="4">
        <f>DATE(2004,12,7)</f>
        <v>38328</v>
      </c>
      <c r="E19810" s="5">
        <f t="shared" si="324"/>
        <v>2004</v>
      </c>
      <c r="F19810" s="3" t="s">
        <v>3145</v>
      </c>
      <c r="G19810" s="6">
        <v>4346.4799999999996</v>
      </c>
      <c r="H19810" s="5">
        <v>3798</v>
      </c>
    </row>
    <row r="19811" spans="2:8" ht="15" customHeight="1" x14ac:dyDescent="0.4">
      <c r="B19811" s="3" t="s">
        <v>7</v>
      </c>
      <c r="C19811" s="3" t="s">
        <v>3144</v>
      </c>
      <c r="D19811" s="4">
        <f>DATE(2004,12,10)</f>
        <v>38331</v>
      </c>
      <c r="E19811" s="5">
        <f t="shared" si="324"/>
        <v>2004</v>
      </c>
      <c r="F19811" s="3" t="s">
        <v>3145</v>
      </c>
      <c r="G19811" s="6">
        <v>21235.8</v>
      </c>
      <c r="H19811" s="5">
        <v>3813</v>
      </c>
    </row>
    <row r="19812" spans="2:8" ht="15" customHeight="1" x14ac:dyDescent="0.4">
      <c r="B19812" s="3" t="s">
        <v>7</v>
      </c>
      <c r="C19812" s="3" t="s">
        <v>3144</v>
      </c>
      <c r="D19812" s="4">
        <f>DATE(2004,12,10)</f>
        <v>38331</v>
      </c>
      <c r="E19812" s="5">
        <f t="shared" si="324"/>
        <v>2004</v>
      </c>
      <c r="F19812" s="3" t="s">
        <v>3145</v>
      </c>
      <c r="G19812" s="6">
        <v>7787.22</v>
      </c>
      <c r="H19812" s="5">
        <v>3811</v>
      </c>
    </row>
    <row r="19813" spans="2:8" ht="15" customHeight="1" x14ac:dyDescent="0.4">
      <c r="B19813" s="3" t="s">
        <v>7</v>
      </c>
      <c r="C19813" s="3" t="s">
        <v>3144</v>
      </c>
      <c r="D19813" s="4">
        <f>DATE(2006,3,27)</f>
        <v>38803</v>
      </c>
      <c r="E19813" s="5">
        <f t="shared" si="324"/>
        <v>2006</v>
      </c>
      <c r="F19813" s="3" t="s">
        <v>3145</v>
      </c>
      <c r="G19813" s="6">
        <v>9187.07</v>
      </c>
      <c r="H19813" s="5">
        <v>6388</v>
      </c>
    </row>
    <row r="19814" spans="2:8" ht="15" customHeight="1" x14ac:dyDescent="0.4">
      <c r="B19814" s="3" t="s">
        <v>7</v>
      </c>
      <c r="C19814" s="3" t="s">
        <v>3144</v>
      </c>
      <c r="D19814" s="4">
        <f>DATE(2006,3,30)</f>
        <v>38806</v>
      </c>
      <c r="E19814" s="5">
        <f t="shared" si="324"/>
        <v>2006</v>
      </c>
      <c r="F19814" s="3" t="s">
        <v>3145</v>
      </c>
      <c r="G19814" s="6">
        <v>2296</v>
      </c>
      <c r="H19814" s="5">
        <v>6425</v>
      </c>
    </row>
    <row r="19815" spans="2:8" ht="15" customHeight="1" x14ac:dyDescent="0.4">
      <c r="B19815" s="3" t="s">
        <v>7</v>
      </c>
      <c r="C19815" s="3" t="s">
        <v>3144</v>
      </c>
      <c r="D19815" s="4">
        <f>DATE(2007,5,7)</f>
        <v>39209</v>
      </c>
      <c r="E19815" s="5">
        <f t="shared" si="324"/>
        <v>2007</v>
      </c>
      <c r="F19815" s="3" t="s">
        <v>3145</v>
      </c>
      <c r="G19815" s="6">
        <v>236.25</v>
      </c>
      <c r="H19815" s="5">
        <v>8531</v>
      </c>
    </row>
    <row r="19816" spans="2:8" ht="15" customHeight="1" x14ac:dyDescent="0.4">
      <c r="B19816" s="3" t="s">
        <v>7</v>
      </c>
      <c r="C19816" s="3" t="s">
        <v>3144</v>
      </c>
      <c r="D19816" s="4">
        <f>DATE(2007,5,2)</f>
        <v>39204</v>
      </c>
      <c r="E19816" s="5">
        <f t="shared" si="324"/>
        <v>2007</v>
      </c>
      <c r="F19816" s="3" t="s">
        <v>3145</v>
      </c>
      <c r="G19816" s="6">
        <v>25200</v>
      </c>
      <c r="H19816" s="5">
        <v>8502</v>
      </c>
    </row>
    <row r="19817" spans="2:8" ht="15" customHeight="1" x14ac:dyDescent="0.4">
      <c r="B19817" s="3" t="s">
        <v>7</v>
      </c>
      <c r="C19817" s="3" t="s">
        <v>3144</v>
      </c>
      <c r="D19817" s="4">
        <f>DATE(2007,5,9)</f>
        <v>39211</v>
      </c>
      <c r="E19817" s="5">
        <f t="shared" si="324"/>
        <v>2007</v>
      </c>
      <c r="F19817" s="3" t="s">
        <v>3145</v>
      </c>
      <c r="G19817" s="6">
        <v>9500</v>
      </c>
      <c r="H19817" s="5">
        <v>8546</v>
      </c>
    </row>
    <row r="19818" spans="2:8" ht="15" customHeight="1" x14ac:dyDescent="0.4">
      <c r="B19818" s="3" t="s">
        <v>7</v>
      </c>
      <c r="C19818" s="3" t="s">
        <v>3144</v>
      </c>
      <c r="D19818" s="4">
        <f>DATE(2008,1,16)</f>
        <v>39463</v>
      </c>
      <c r="E19818" s="5">
        <f t="shared" si="324"/>
        <v>2008</v>
      </c>
      <c r="F19818" s="3" t="s">
        <v>3145</v>
      </c>
      <c r="G19818" s="6">
        <v>55896</v>
      </c>
      <c r="H19818" s="5">
        <v>9733</v>
      </c>
    </row>
    <row r="19819" spans="2:8" ht="15" customHeight="1" x14ac:dyDescent="0.4">
      <c r="B19819" s="3" t="s">
        <v>7</v>
      </c>
      <c r="C19819" s="3" t="s">
        <v>3144</v>
      </c>
      <c r="D19819" s="4">
        <f>DATE(2008,1,31)</f>
        <v>39478</v>
      </c>
      <c r="E19819" s="5">
        <f t="shared" si="324"/>
        <v>2008</v>
      </c>
      <c r="F19819" s="3" t="s">
        <v>3145</v>
      </c>
      <c r="G19819" s="6">
        <v>7600</v>
      </c>
      <c r="H19819" s="5">
        <v>9848</v>
      </c>
    </row>
    <row r="19820" spans="2:8" ht="15" customHeight="1" x14ac:dyDescent="0.4">
      <c r="B19820" s="3" t="s">
        <v>7</v>
      </c>
      <c r="C19820" s="3" t="s">
        <v>3144</v>
      </c>
      <c r="D19820" s="4">
        <f>DATE(2007,2,6)</f>
        <v>39119</v>
      </c>
      <c r="E19820" s="5">
        <f t="shared" si="324"/>
        <v>2007</v>
      </c>
      <c r="F19820" s="3" t="s">
        <v>3145</v>
      </c>
      <c r="G19820" s="6">
        <v>5700</v>
      </c>
      <c r="H19820" s="5">
        <v>9872</v>
      </c>
    </row>
    <row r="19821" spans="2:8" ht="15" customHeight="1" x14ac:dyDescent="0.4">
      <c r="B19821" s="3" t="s">
        <v>7</v>
      </c>
      <c r="C19821" s="3" t="s">
        <v>3144</v>
      </c>
      <c r="D19821" s="4">
        <f>DATE(2008,3,18)</f>
        <v>39525</v>
      </c>
      <c r="E19821" s="5">
        <f t="shared" si="324"/>
        <v>2008</v>
      </c>
      <c r="F19821" s="3" t="s">
        <v>3145</v>
      </c>
      <c r="G19821" s="6">
        <v>1160</v>
      </c>
      <c r="H19821" s="5">
        <v>10174</v>
      </c>
    </row>
    <row r="19822" spans="2:8" ht="15" customHeight="1" x14ac:dyDescent="0.4">
      <c r="B19822" s="3" t="s">
        <v>7</v>
      </c>
      <c r="C19822" s="3" t="s">
        <v>3144</v>
      </c>
      <c r="D19822" s="4">
        <f>DATE(2008,3,18)</f>
        <v>39525</v>
      </c>
      <c r="E19822" s="5">
        <f t="shared" si="324"/>
        <v>2008</v>
      </c>
      <c r="F19822" s="3" t="s">
        <v>3145</v>
      </c>
      <c r="G19822" s="6">
        <v>554.5</v>
      </c>
      <c r="H19822" s="5">
        <v>10170</v>
      </c>
    </row>
    <row r="19823" spans="2:8" ht="15" customHeight="1" x14ac:dyDescent="0.4">
      <c r="B19823" s="3" t="s">
        <v>7</v>
      </c>
      <c r="C19823" s="3" t="s">
        <v>3144</v>
      </c>
      <c r="D19823" s="4">
        <f>DATE(2009,1,9)</f>
        <v>39822</v>
      </c>
      <c r="E19823" s="5">
        <f t="shared" si="324"/>
        <v>2009</v>
      </c>
      <c r="F19823" s="3" t="s">
        <v>3145</v>
      </c>
      <c r="G19823" s="6">
        <v>17239.73</v>
      </c>
      <c r="H19823" s="5">
        <v>11755</v>
      </c>
    </row>
    <row r="19824" spans="2:8" ht="15" customHeight="1" x14ac:dyDescent="0.4">
      <c r="B19824" s="3" t="s">
        <v>7</v>
      </c>
      <c r="C19824" s="3" t="s">
        <v>3144</v>
      </c>
      <c r="D19824" s="4">
        <f>DATE(2010,1,29)</f>
        <v>40207</v>
      </c>
      <c r="E19824" s="5">
        <f t="shared" si="324"/>
        <v>2010</v>
      </c>
      <c r="F19824" s="3" t="s">
        <v>3145</v>
      </c>
      <c r="G19824" s="6">
        <v>5700</v>
      </c>
      <c r="H19824" s="5">
        <v>13512</v>
      </c>
    </row>
    <row r="19825" spans="2:8" ht="15" customHeight="1" x14ac:dyDescent="0.4">
      <c r="B19825" s="3" t="s">
        <v>7</v>
      </c>
      <c r="C19825" s="3" t="s">
        <v>3144</v>
      </c>
      <c r="D19825" s="4">
        <f>DATE(2010,2,17)</f>
        <v>40226</v>
      </c>
      <c r="E19825" s="5">
        <f t="shared" si="324"/>
        <v>2010</v>
      </c>
      <c r="F19825" s="3" t="s">
        <v>3145</v>
      </c>
      <c r="G19825" s="6">
        <v>160</v>
      </c>
      <c r="H19825" s="5">
        <v>13625</v>
      </c>
    </row>
    <row r="19826" spans="2:8" ht="15" customHeight="1" x14ac:dyDescent="0.4">
      <c r="B19826" s="3" t="s">
        <v>7</v>
      </c>
      <c r="C19826" s="3" t="s">
        <v>3144</v>
      </c>
      <c r="D19826" s="4">
        <f>DATE(2010,3,3)</f>
        <v>40240</v>
      </c>
      <c r="E19826" s="5">
        <f t="shared" si="324"/>
        <v>2010</v>
      </c>
      <c r="F19826" s="3" t="s">
        <v>3145</v>
      </c>
      <c r="G19826" s="6">
        <v>1310</v>
      </c>
      <c r="H19826" s="5">
        <v>13678</v>
      </c>
    </row>
    <row r="19827" spans="2:8" ht="15" customHeight="1" x14ac:dyDescent="0.4">
      <c r="B19827" s="3" t="s">
        <v>7</v>
      </c>
      <c r="C19827" s="3" t="s">
        <v>3144</v>
      </c>
      <c r="D19827" s="4">
        <f>DATE(2010,3,3)</f>
        <v>40240</v>
      </c>
      <c r="E19827" s="5">
        <f t="shared" si="324"/>
        <v>2010</v>
      </c>
      <c r="F19827" s="3" t="s">
        <v>3145</v>
      </c>
      <c r="G19827" s="6">
        <v>1900</v>
      </c>
      <c r="H19827" s="5">
        <v>13675</v>
      </c>
    </row>
    <row r="19828" spans="2:8" ht="15" customHeight="1" x14ac:dyDescent="0.4">
      <c r="B19828" s="3" t="s">
        <v>7</v>
      </c>
      <c r="C19828" s="3" t="s">
        <v>3144</v>
      </c>
      <c r="D19828" s="4">
        <f>DATE(2010,3,3)</f>
        <v>40240</v>
      </c>
      <c r="E19828" s="5">
        <f t="shared" si="324"/>
        <v>2010</v>
      </c>
      <c r="F19828" s="3" t="s">
        <v>3145</v>
      </c>
      <c r="G19828" s="6">
        <v>170</v>
      </c>
      <c r="H19828" s="5">
        <v>13677</v>
      </c>
    </row>
    <row r="19829" spans="2:8" ht="15" customHeight="1" x14ac:dyDescent="0.4">
      <c r="B19829" s="3" t="s">
        <v>7</v>
      </c>
      <c r="C19829" s="3" t="s">
        <v>3144</v>
      </c>
      <c r="D19829" s="4">
        <f>DATE(2010,6,4)</f>
        <v>40333</v>
      </c>
      <c r="E19829" s="5">
        <f t="shared" si="324"/>
        <v>2010</v>
      </c>
      <c r="F19829" s="3" t="s">
        <v>3145</v>
      </c>
      <c r="G19829" s="6">
        <v>5700</v>
      </c>
      <c r="H19829" s="5">
        <v>14148</v>
      </c>
    </row>
    <row r="19830" spans="2:8" ht="15" customHeight="1" x14ac:dyDescent="0.4">
      <c r="B19830" s="3" t="s">
        <v>7</v>
      </c>
      <c r="C19830" s="3" t="s">
        <v>3144</v>
      </c>
      <c r="D19830" s="4">
        <f>DATE(2010,9,2)</f>
        <v>40423</v>
      </c>
      <c r="E19830" s="5">
        <f t="shared" si="324"/>
        <v>2010</v>
      </c>
      <c r="F19830" s="3" t="s">
        <v>3145</v>
      </c>
      <c r="G19830" s="6">
        <v>1769.81</v>
      </c>
      <c r="H19830" s="5">
        <v>14414</v>
      </c>
    </row>
    <row r="19831" spans="2:8" ht="15" customHeight="1" x14ac:dyDescent="0.4">
      <c r="B19831" s="3" t="s">
        <v>7</v>
      </c>
      <c r="C19831" s="3" t="s">
        <v>3144</v>
      </c>
      <c r="D19831" s="4">
        <f>DATE(2010,12,15)</f>
        <v>40527</v>
      </c>
      <c r="E19831" s="5">
        <f t="shared" si="324"/>
        <v>2010</v>
      </c>
      <c r="F19831" s="3" t="s">
        <v>3145</v>
      </c>
      <c r="G19831" s="6">
        <v>15200</v>
      </c>
      <c r="H19831" s="5">
        <v>14831</v>
      </c>
    </row>
    <row r="19832" spans="2:8" ht="15" customHeight="1" x14ac:dyDescent="0.4">
      <c r="B19832" s="3" t="s">
        <v>7</v>
      </c>
      <c r="C19832" s="3" t="s">
        <v>3144</v>
      </c>
      <c r="D19832" s="4">
        <f>DATE(2012,1,27)</f>
        <v>40935</v>
      </c>
      <c r="E19832" s="5">
        <f t="shared" si="324"/>
        <v>2012</v>
      </c>
      <c r="F19832" s="3" t="s">
        <v>3145</v>
      </c>
      <c r="G19832" s="6">
        <v>584</v>
      </c>
      <c r="H19832" s="5">
        <v>16452</v>
      </c>
    </row>
    <row r="19833" spans="2:8" ht="15" customHeight="1" x14ac:dyDescent="0.4">
      <c r="B19833" s="3" t="s">
        <v>7</v>
      </c>
      <c r="C19833" s="3" t="s">
        <v>3144</v>
      </c>
      <c r="D19833" s="4">
        <f>DATE(2012,8,30)</f>
        <v>41151</v>
      </c>
      <c r="E19833" s="5">
        <f t="shared" si="324"/>
        <v>2012</v>
      </c>
      <c r="F19833" s="3" t="s">
        <v>3145</v>
      </c>
      <c r="G19833" s="6">
        <v>2631.45</v>
      </c>
      <c r="H19833" s="5">
        <v>17455</v>
      </c>
    </row>
    <row r="19834" spans="2:8" ht="15" customHeight="1" x14ac:dyDescent="0.4">
      <c r="B19834" s="3" t="s">
        <v>7</v>
      </c>
      <c r="C19834" s="3" t="s">
        <v>3144</v>
      </c>
      <c r="D19834" s="4">
        <f>DATE(2013,6,25)</f>
        <v>41450</v>
      </c>
      <c r="E19834" s="5">
        <f t="shared" si="324"/>
        <v>2013</v>
      </c>
      <c r="F19834" s="3" t="s">
        <v>3145</v>
      </c>
      <c r="G19834" s="6">
        <v>315</v>
      </c>
      <c r="H19834" s="5">
        <v>18701</v>
      </c>
    </row>
    <row r="19835" spans="2:8" ht="15" customHeight="1" x14ac:dyDescent="0.4">
      <c r="B19835" s="3" t="s">
        <v>7</v>
      </c>
      <c r="C19835" s="3" t="s">
        <v>3144</v>
      </c>
      <c r="D19835" s="4">
        <f>DATE(2014,4,30)</f>
        <v>41759</v>
      </c>
      <c r="E19835" s="5">
        <f t="shared" si="324"/>
        <v>2014</v>
      </c>
      <c r="F19835" s="3" t="s">
        <v>3145</v>
      </c>
      <c r="G19835" s="6">
        <v>1720</v>
      </c>
      <c r="H19835" s="5">
        <v>19919</v>
      </c>
    </row>
    <row r="19836" spans="2:8" ht="15" customHeight="1" x14ac:dyDescent="0.4">
      <c r="B19836" t="s">
        <v>7</v>
      </c>
      <c r="C19836" t="s">
        <v>3146</v>
      </c>
      <c r="D19836" s="7">
        <f>DATE(2016,5,19)</f>
        <v>42509</v>
      </c>
      <c r="E19836" s="8">
        <f t="shared" si="324"/>
        <v>2016</v>
      </c>
      <c r="F19836" t="s">
        <v>3147</v>
      </c>
      <c r="G19836" s="9">
        <v>24824</v>
      </c>
      <c r="H19836" s="8">
        <v>22266</v>
      </c>
    </row>
    <row r="19837" spans="2:8" ht="15" customHeight="1" x14ac:dyDescent="0.4">
      <c r="B19837" t="s">
        <v>7</v>
      </c>
      <c r="C19837" t="s">
        <v>3146</v>
      </c>
      <c r="D19837" s="7">
        <f>DATE(2015,7,6)</f>
        <v>42191</v>
      </c>
      <c r="E19837" s="8">
        <f t="shared" si="324"/>
        <v>2015</v>
      </c>
      <c r="F19837" t="s">
        <v>3147</v>
      </c>
      <c r="G19837" s="9">
        <v>308.7</v>
      </c>
      <c r="H19837" s="8">
        <v>20663</v>
      </c>
    </row>
    <row r="19838" spans="2:8" ht="15" customHeight="1" x14ac:dyDescent="0.4">
      <c r="B19838" t="s">
        <v>7</v>
      </c>
      <c r="C19838" t="s">
        <v>3146</v>
      </c>
      <c r="D19838" s="7">
        <f>DATE(2017,5,11)</f>
        <v>42866</v>
      </c>
      <c r="E19838" s="8">
        <f t="shared" si="324"/>
        <v>2017</v>
      </c>
      <c r="F19838" t="s">
        <v>3147</v>
      </c>
      <c r="G19838" s="9">
        <v>264.60000000000002</v>
      </c>
      <c r="H19838" s="8">
        <v>24860</v>
      </c>
    </row>
    <row r="19839" spans="2:8" ht="15" customHeight="1" x14ac:dyDescent="0.4">
      <c r="B19839" t="s">
        <v>7</v>
      </c>
      <c r="C19839" t="s">
        <v>3146</v>
      </c>
      <c r="D19839" s="7">
        <f>DATE(2017,11,20)</f>
        <v>43059</v>
      </c>
      <c r="E19839" s="8">
        <f t="shared" si="324"/>
        <v>2017</v>
      </c>
      <c r="F19839" t="s">
        <v>3147</v>
      </c>
      <c r="G19839" s="9">
        <v>517.5</v>
      </c>
      <c r="H19839" s="8">
        <v>25899</v>
      </c>
    </row>
    <row r="19840" spans="2:8" ht="15" customHeight="1" x14ac:dyDescent="0.4">
      <c r="B19840" t="s">
        <v>7</v>
      </c>
      <c r="C19840" t="s">
        <v>3146</v>
      </c>
      <c r="D19840" s="7">
        <f>DATE(2017,11,20)</f>
        <v>43059</v>
      </c>
      <c r="E19840" s="8">
        <f t="shared" si="324"/>
        <v>2017</v>
      </c>
      <c r="F19840" t="s">
        <v>3147</v>
      </c>
      <c r="G19840" s="9">
        <v>525</v>
      </c>
      <c r="H19840" s="8">
        <v>25844</v>
      </c>
    </row>
    <row r="19841" spans="2:8" ht="15" customHeight="1" x14ac:dyDescent="0.4">
      <c r="B19841" t="s">
        <v>7</v>
      </c>
      <c r="C19841" t="s">
        <v>3146</v>
      </c>
      <c r="D19841" s="7">
        <f>DATE(2018,1,17)</f>
        <v>43117</v>
      </c>
      <c r="E19841" s="8">
        <f t="shared" si="324"/>
        <v>2018</v>
      </c>
      <c r="F19841" t="s">
        <v>3147</v>
      </c>
      <c r="G19841" s="9">
        <v>2322.5</v>
      </c>
      <c r="H19841" s="8">
        <v>26233</v>
      </c>
    </row>
    <row r="19842" spans="2:8" ht="15" customHeight="1" x14ac:dyDescent="0.4">
      <c r="B19842" t="s">
        <v>7</v>
      </c>
      <c r="C19842" t="s">
        <v>3146</v>
      </c>
      <c r="D19842" s="7">
        <f>DATE(2019,1,17)</f>
        <v>43482</v>
      </c>
      <c r="E19842" s="8">
        <f t="shared" si="324"/>
        <v>2019</v>
      </c>
      <c r="F19842" t="s">
        <v>3147</v>
      </c>
      <c r="G19842" s="9">
        <v>308.7</v>
      </c>
      <c r="H19842" s="8">
        <v>28229</v>
      </c>
    </row>
    <row r="19843" spans="2:8" ht="15" customHeight="1" x14ac:dyDescent="0.4">
      <c r="B19843" t="s">
        <v>7</v>
      </c>
      <c r="C19843" t="s">
        <v>3146</v>
      </c>
      <c r="D19843" s="7">
        <f>DATE(2011,5,11)</f>
        <v>40674</v>
      </c>
      <c r="E19843" s="8">
        <f t="shared" ref="E19843:E19906" si="325">YEAR(D19843)</f>
        <v>2011</v>
      </c>
      <c r="F19843" t="s">
        <v>3147</v>
      </c>
      <c r="G19843" s="9">
        <v>93661.65</v>
      </c>
      <c r="H19843" s="8">
        <v>10536</v>
      </c>
    </row>
    <row r="19844" spans="2:8" ht="15" customHeight="1" x14ac:dyDescent="0.4">
      <c r="B19844" t="s">
        <v>7</v>
      </c>
      <c r="C19844" t="s">
        <v>3146</v>
      </c>
      <c r="D19844" s="7">
        <f>DATE(2010,6,9)</f>
        <v>40338</v>
      </c>
      <c r="E19844" s="8">
        <f t="shared" si="325"/>
        <v>2010</v>
      </c>
      <c r="F19844" t="s">
        <v>3147</v>
      </c>
      <c r="G19844" s="9">
        <v>31577.1</v>
      </c>
      <c r="H19844" s="8">
        <v>9435</v>
      </c>
    </row>
    <row r="19845" spans="2:8" ht="15" customHeight="1" x14ac:dyDescent="0.4">
      <c r="B19845" t="s">
        <v>7</v>
      </c>
      <c r="C19845" t="s">
        <v>3146</v>
      </c>
      <c r="D19845" s="7">
        <f>DATE(2010,6,9)</f>
        <v>40338</v>
      </c>
      <c r="E19845" s="8">
        <f t="shared" si="325"/>
        <v>2010</v>
      </c>
      <c r="F19845" t="s">
        <v>3147</v>
      </c>
      <c r="G19845" s="9">
        <v>39550.589999999997</v>
      </c>
      <c r="H19845" s="8">
        <v>9491</v>
      </c>
    </row>
    <row r="19846" spans="2:8" ht="15" customHeight="1" x14ac:dyDescent="0.4">
      <c r="B19846" t="s">
        <v>7</v>
      </c>
      <c r="C19846" t="s">
        <v>3146</v>
      </c>
      <c r="D19846" s="7">
        <f>DATE(2010,6,9)</f>
        <v>40338</v>
      </c>
      <c r="E19846" s="8">
        <f t="shared" si="325"/>
        <v>2010</v>
      </c>
      <c r="F19846" t="s">
        <v>3147</v>
      </c>
      <c r="G19846" s="9">
        <v>7955.79</v>
      </c>
      <c r="H19846" s="8">
        <v>9771</v>
      </c>
    </row>
    <row r="19847" spans="2:8" ht="15" customHeight="1" x14ac:dyDescent="0.4">
      <c r="B19847" t="s">
        <v>7</v>
      </c>
      <c r="C19847" t="s">
        <v>3146</v>
      </c>
      <c r="D19847" s="7">
        <f>DATE(2010,6,9)</f>
        <v>40338</v>
      </c>
      <c r="E19847" s="8">
        <f t="shared" si="325"/>
        <v>2010</v>
      </c>
      <c r="F19847" t="s">
        <v>3147</v>
      </c>
      <c r="G19847" s="9">
        <v>106441.7</v>
      </c>
      <c r="H19847" s="8">
        <v>9910</v>
      </c>
    </row>
    <row r="19848" spans="2:8" ht="15" customHeight="1" x14ac:dyDescent="0.4">
      <c r="B19848" t="s">
        <v>7</v>
      </c>
      <c r="C19848" t="s">
        <v>3146</v>
      </c>
      <c r="D19848" s="7">
        <f>DATE(2011,5,11)</f>
        <v>40674</v>
      </c>
      <c r="E19848" s="8">
        <f t="shared" si="325"/>
        <v>2011</v>
      </c>
      <c r="F19848" t="s">
        <v>3147</v>
      </c>
      <c r="G19848" s="9">
        <v>27076.95</v>
      </c>
      <c r="H19848" s="8">
        <v>10535</v>
      </c>
    </row>
    <row r="19849" spans="2:8" ht="15" customHeight="1" x14ac:dyDescent="0.4">
      <c r="B19849" t="s">
        <v>7</v>
      </c>
      <c r="C19849" t="s">
        <v>3146</v>
      </c>
      <c r="D19849" s="7">
        <f>DATE(2011,7,6)</f>
        <v>40730</v>
      </c>
      <c r="E19849" s="8">
        <f t="shared" si="325"/>
        <v>2011</v>
      </c>
      <c r="F19849" t="s">
        <v>3147</v>
      </c>
      <c r="G19849" s="9">
        <v>112655.15</v>
      </c>
      <c r="H19849" s="8">
        <v>10725</v>
      </c>
    </row>
    <row r="19850" spans="2:8" ht="15" customHeight="1" x14ac:dyDescent="0.4">
      <c r="B19850" t="s">
        <v>16</v>
      </c>
      <c r="C19850" t="s">
        <v>3146</v>
      </c>
      <c r="D19850" s="7">
        <f>DATE(2010,6,9)</f>
        <v>40338</v>
      </c>
      <c r="E19850" s="8">
        <f t="shared" si="325"/>
        <v>2010</v>
      </c>
      <c r="F19850" t="s">
        <v>3147</v>
      </c>
      <c r="G19850" s="9">
        <v>390</v>
      </c>
      <c r="H19850" s="8">
        <v>9982</v>
      </c>
    </row>
    <row r="19851" spans="2:8" ht="15" customHeight="1" x14ac:dyDescent="0.4">
      <c r="B19851" s="3" t="s">
        <v>7</v>
      </c>
      <c r="C19851" s="3" t="s">
        <v>3146</v>
      </c>
      <c r="D19851" s="4">
        <f>DATE(2012,7,12)</f>
        <v>41102</v>
      </c>
      <c r="E19851" s="5">
        <f t="shared" si="325"/>
        <v>2012</v>
      </c>
      <c r="F19851" s="3" t="s">
        <v>3147</v>
      </c>
      <c r="G19851" s="6">
        <v>864</v>
      </c>
      <c r="H19851" s="5">
        <v>17350</v>
      </c>
    </row>
    <row r="19852" spans="2:8" ht="15" customHeight="1" x14ac:dyDescent="0.4">
      <c r="B19852" t="s">
        <v>7</v>
      </c>
      <c r="C19852" t="s">
        <v>3148</v>
      </c>
      <c r="D19852" s="7">
        <f>DATE(2007,5,1)</f>
        <v>39203</v>
      </c>
      <c r="E19852" s="8">
        <f t="shared" si="325"/>
        <v>2007</v>
      </c>
      <c r="F19852" t="s">
        <v>3149</v>
      </c>
      <c r="G19852" s="9">
        <v>14400</v>
      </c>
      <c r="H19852" s="8">
        <v>5693</v>
      </c>
    </row>
    <row r="19853" spans="2:8" ht="15" customHeight="1" x14ac:dyDescent="0.4">
      <c r="B19853" t="s">
        <v>7</v>
      </c>
      <c r="C19853" t="s">
        <v>3148</v>
      </c>
      <c r="D19853" s="7">
        <f>DATE(2014,5,7)</f>
        <v>41766</v>
      </c>
      <c r="E19853" s="8">
        <f t="shared" si="325"/>
        <v>2014</v>
      </c>
      <c r="F19853" t="s">
        <v>3149</v>
      </c>
      <c r="G19853" s="9">
        <v>13875</v>
      </c>
      <c r="H19853" s="8">
        <v>13072</v>
      </c>
    </row>
    <row r="19854" spans="2:8" ht="15" customHeight="1" x14ac:dyDescent="0.4">
      <c r="B19854" s="3" t="s">
        <v>7</v>
      </c>
      <c r="C19854" s="3" t="s">
        <v>3148</v>
      </c>
      <c r="D19854" s="4">
        <f>DATE(2014,10,13)</f>
        <v>41925</v>
      </c>
      <c r="E19854" s="5">
        <f t="shared" si="325"/>
        <v>2014</v>
      </c>
      <c r="F19854" s="3" t="s">
        <v>3149</v>
      </c>
      <c r="G19854" s="6">
        <v>262.47000000000003</v>
      </c>
      <c r="H19854" s="5">
        <v>20514</v>
      </c>
    </row>
    <row r="19855" spans="2:8" ht="15" customHeight="1" x14ac:dyDescent="0.4">
      <c r="B19855" s="3" t="s">
        <v>7</v>
      </c>
      <c r="C19855" s="3" t="s">
        <v>3150</v>
      </c>
      <c r="D19855" s="4">
        <f>DATE(2010,6,24)</f>
        <v>40353</v>
      </c>
      <c r="E19855" s="5">
        <f t="shared" si="325"/>
        <v>2010</v>
      </c>
      <c r="F19855" s="3" t="s">
        <v>3151</v>
      </c>
      <c r="G19855" s="6">
        <v>88.72</v>
      </c>
      <c r="H19855" s="5">
        <v>14195</v>
      </c>
    </row>
    <row r="19856" spans="2:8" ht="15" customHeight="1" x14ac:dyDescent="0.4">
      <c r="B19856" t="s">
        <v>7</v>
      </c>
      <c r="C19856" t="s">
        <v>3152</v>
      </c>
      <c r="D19856" s="7">
        <f>DATE(2008,5,7)</f>
        <v>39575</v>
      </c>
      <c r="E19856" s="8">
        <f t="shared" si="325"/>
        <v>2008</v>
      </c>
      <c r="F19856" t="s">
        <v>3153</v>
      </c>
      <c r="G19856" s="9">
        <v>3563.26</v>
      </c>
      <c r="H19856" s="8">
        <v>7344</v>
      </c>
    </row>
    <row r="19857" spans="2:8" ht="15" customHeight="1" x14ac:dyDescent="0.4">
      <c r="B19857" t="s">
        <v>7</v>
      </c>
      <c r="C19857" t="s">
        <v>3152</v>
      </c>
      <c r="D19857" s="7">
        <f>DATE(2008,5,9)</f>
        <v>39577</v>
      </c>
      <c r="E19857" s="8">
        <f t="shared" si="325"/>
        <v>2008</v>
      </c>
      <c r="F19857" t="s">
        <v>3154</v>
      </c>
      <c r="G19857" s="9">
        <v>13774.64</v>
      </c>
      <c r="H19857" s="8">
        <v>7351</v>
      </c>
    </row>
    <row r="19858" spans="2:8" ht="15" customHeight="1" x14ac:dyDescent="0.4">
      <c r="B19858" t="s">
        <v>7</v>
      </c>
      <c r="C19858" t="s">
        <v>3155</v>
      </c>
      <c r="D19858" s="7">
        <f>DATE(2003,5,16)</f>
        <v>37757</v>
      </c>
      <c r="E19858" s="8">
        <f t="shared" si="325"/>
        <v>2003</v>
      </c>
      <c r="F19858" t="s">
        <v>3156</v>
      </c>
      <c r="G19858" s="9">
        <v>4846.8100000000004</v>
      </c>
      <c r="H19858" s="8">
        <v>595</v>
      </c>
    </row>
    <row r="19859" spans="2:8" ht="15" customHeight="1" x14ac:dyDescent="0.4">
      <c r="B19859" t="s">
        <v>7</v>
      </c>
      <c r="C19859" t="s">
        <v>3155</v>
      </c>
      <c r="D19859" s="7">
        <f>DATE(2004,4,12)</f>
        <v>38089</v>
      </c>
      <c r="E19859" s="8">
        <f t="shared" si="325"/>
        <v>2004</v>
      </c>
      <c r="F19859" t="s">
        <v>3156</v>
      </c>
      <c r="G19859" s="9">
        <v>2278.39</v>
      </c>
      <c r="H19859" s="8">
        <v>1489</v>
      </c>
    </row>
    <row r="19860" spans="2:8" ht="15" customHeight="1" x14ac:dyDescent="0.4">
      <c r="B19860" t="s">
        <v>7</v>
      </c>
      <c r="C19860" t="s">
        <v>3157</v>
      </c>
      <c r="D19860" s="7">
        <f>DATE(2007,8,31)</f>
        <v>39325</v>
      </c>
      <c r="E19860" s="8">
        <f t="shared" si="325"/>
        <v>2007</v>
      </c>
      <c r="F19860" t="s">
        <v>3158</v>
      </c>
      <c r="G19860" s="9">
        <v>955.56</v>
      </c>
      <c r="H19860" s="8">
        <v>6311</v>
      </c>
    </row>
    <row r="19861" spans="2:8" ht="15" customHeight="1" x14ac:dyDescent="0.4">
      <c r="B19861" t="s">
        <v>7</v>
      </c>
      <c r="C19861" t="s">
        <v>3157</v>
      </c>
      <c r="D19861" s="7">
        <f>DATE(2009,1,12)</f>
        <v>39825</v>
      </c>
      <c r="E19861" s="8">
        <f t="shared" si="325"/>
        <v>2009</v>
      </c>
      <c r="F19861" t="s">
        <v>3158</v>
      </c>
      <c r="G19861" s="9">
        <v>840</v>
      </c>
      <c r="H19861" s="8">
        <v>8189</v>
      </c>
    </row>
    <row r="19862" spans="2:8" ht="15" customHeight="1" x14ac:dyDescent="0.4">
      <c r="B19862" t="s">
        <v>7</v>
      </c>
      <c r="C19862" t="s">
        <v>3157</v>
      </c>
      <c r="D19862" s="7">
        <f>DATE(2010,1,28)</f>
        <v>40206</v>
      </c>
      <c r="E19862" s="8">
        <f t="shared" si="325"/>
        <v>2010</v>
      </c>
      <c r="F19862" t="s">
        <v>3158</v>
      </c>
      <c r="G19862" s="9">
        <v>1476.39</v>
      </c>
      <c r="H19862" s="8">
        <v>9372</v>
      </c>
    </row>
    <row r="19863" spans="2:8" ht="15" customHeight="1" x14ac:dyDescent="0.4">
      <c r="B19863" t="s">
        <v>7</v>
      </c>
      <c r="C19863" t="s">
        <v>3157</v>
      </c>
      <c r="D19863" s="7">
        <f>DATE(2003,1,15)</f>
        <v>37636</v>
      </c>
      <c r="E19863" s="8">
        <f t="shared" si="325"/>
        <v>2003</v>
      </c>
      <c r="F19863" t="s">
        <v>3158</v>
      </c>
      <c r="G19863" s="9">
        <v>615</v>
      </c>
      <c r="H19863" s="8">
        <v>4</v>
      </c>
    </row>
    <row r="19864" spans="2:8" ht="15" customHeight="1" x14ac:dyDescent="0.4">
      <c r="B19864" t="s">
        <v>7</v>
      </c>
      <c r="C19864" t="s">
        <v>3157</v>
      </c>
      <c r="D19864" s="7">
        <f>DATE(2010,4,19)</f>
        <v>40287</v>
      </c>
      <c r="E19864" s="8">
        <f t="shared" si="325"/>
        <v>2010</v>
      </c>
      <c r="F19864" t="s">
        <v>3158</v>
      </c>
      <c r="G19864" s="9">
        <v>6131.74</v>
      </c>
      <c r="H19864" s="8">
        <v>9399</v>
      </c>
    </row>
    <row r="19865" spans="2:8" ht="15" customHeight="1" x14ac:dyDescent="0.4">
      <c r="B19865" t="s">
        <v>7</v>
      </c>
      <c r="C19865" t="s">
        <v>3159</v>
      </c>
      <c r="D19865" s="7">
        <f>DATE(2006,9,18)</f>
        <v>38978</v>
      </c>
      <c r="E19865" s="8">
        <f t="shared" si="325"/>
        <v>2006</v>
      </c>
      <c r="F19865" t="s">
        <v>3160</v>
      </c>
      <c r="G19865" s="9">
        <v>700</v>
      </c>
      <c r="H19865" s="8">
        <v>5012</v>
      </c>
    </row>
    <row r="19866" spans="2:8" ht="15" customHeight="1" x14ac:dyDescent="0.4">
      <c r="B19866" t="s">
        <v>7</v>
      </c>
      <c r="C19866" t="s">
        <v>3159</v>
      </c>
      <c r="D19866" s="7">
        <f>DATE(2004,4,11)</f>
        <v>38088</v>
      </c>
      <c r="E19866" s="8">
        <f t="shared" si="325"/>
        <v>2004</v>
      </c>
      <c r="F19866" t="s">
        <v>3160</v>
      </c>
      <c r="G19866" s="9">
        <v>22742.35</v>
      </c>
      <c r="H19866" s="8">
        <v>1634</v>
      </c>
    </row>
    <row r="19867" spans="2:8" ht="15" customHeight="1" x14ac:dyDescent="0.4">
      <c r="B19867" t="s">
        <v>7</v>
      </c>
      <c r="C19867" t="s">
        <v>3159</v>
      </c>
      <c r="D19867" s="7">
        <f>DATE(2005,11,5)</f>
        <v>38661</v>
      </c>
      <c r="E19867" s="8">
        <f t="shared" si="325"/>
        <v>2005</v>
      </c>
      <c r="F19867" t="s">
        <v>3160</v>
      </c>
      <c r="G19867" s="9">
        <v>13093.3</v>
      </c>
      <c r="H19867" s="8">
        <v>3688</v>
      </c>
    </row>
    <row r="19868" spans="2:8" ht="15" customHeight="1" x14ac:dyDescent="0.4">
      <c r="B19868" t="s">
        <v>7</v>
      </c>
      <c r="C19868" t="s">
        <v>3157</v>
      </c>
      <c r="D19868" s="7">
        <f>DATE(2005,6,21)</f>
        <v>38524</v>
      </c>
      <c r="E19868" s="8">
        <f t="shared" si="325"/>
        <v>2005</v>
      </c>
      <c r="F19868" t="s">
        <v>3161</v>
      </c>
      <c r="G19868" s="9">
        <v>733</v>
      </c>
      <c r="H19868" s="8">
        <v>3319</v>
      </c>
    </row>
    <row r="19869" spans="2:8" ht="15" customHeight="1" x14ac:dyDescent="0.4">
      <c r="B19869" t="s">
        <v>7</v>
      </c>
      <c r="C19869" t="s">
        <v>3157</v>
      </c>
      <c r="D19869" s="7">
        <f>DATE(2003,5,21)</f>
        <v>37762</v>
      </c>
      <c r="E19869" s="8">
        <f t="shared" si="325"/>
        <v>2003</v>
      </c>
      <c r="F19869" t="s">
        <v>3161</v>
      </c>
      <c r="G19869" s="9">
        <v>315</v>
      </c>
      <c r="H19869" s="8">
        <v>624</v>
      </c>
    </row>
    <row r="19870" spans="2:8" ht="15" customHeight="1" x14ac:dyDescent="0.4">
      <c r="B19870" s="3" t="s">
        <v>7</v>
      </c>
      <c r="C19870" s="3" t="s">
        <v>3157</v>
      </c>
      <c r="D19870" s="4">
        <f>DATE(2004,4,21)</f>
        <v>38098</v>
      </c>
      <c r="E19870" s="5">
        <f t="shared" si="325"/>
        <v>2004</v>
      </c>
      <c r="F19870" s="3" t="s">
        <v>3161</v>
      </c>
      <c r="G19870" s="6">
        <v>219</v>
      </c>
      <c r="H19870" s="5">
        <v>2689</v>
      </c>
    </row>
    <row r="19871" spans="2:8" ht="15" customHeight="1" x14ac:dyDescent="0.4">
      <c r="B19871" t="s">
        <v>7</v>
      </c>
      <c r="C19871" t="s">
        <v>3162</v>
      </c>
      <c r="D19871" s="7">
        <f>DATE(2010,12,1)</f>
        <v>40513</v>
      </c>
      <c r="E19871" s="8">
        <f t="shared" si="325"/>
        <v>2010</v>
      </c>
      <c r="F19871" t="s">
        <v>3163</v>
      </c>
      <c r="G19871" s="9">
        <v>6300</v>
      </c>
      <c r="H19871" s="8">
        <v>10281</v>
      </c>
    </row>
    <row r="19872" spans="2:8" ht="15" customHeight="1" x14ac:dyDescent="0.4">
      <c r="B19872" s="3" t="s">
        <v>7</v>
      </c>
      <c r="C19872" s="3" t="s">
        <v>749</v>
      </c>
      <c r="D19872" s="4">
        <f>DATE(2009,6,4)</f>
        <v>39968</v>
      </c>
      <c r="E19872" s="5">
        <f t="shared" si="325"/>
        <v>2009</v>
      </c>
      <c r="F19872" s="3" t="s">
        <v>3164</v>
      </c>
      <c r="G19872" s="6">
        <v>343.18</v>
      </c>
      <c r="H19872" s="5">
        <v>3466</v>
      </c>
    </row>
    <row r="19873" spans="2:8" ht="15" customHeight="1" x14ac:dyDescent="0.4">
      <c r="B19873" s="3" t="s">
        <v>7</v>
      </c>
      <c r="C19873" s="3" t="s">
        <v>3165</v>
      </c>
      <c r="D19873" s="4">
        <f>DATE(2007,8,23)</f>
        <v>39317</v>
      </c>
      <c r="E19873" s="5">
        <f t="shared" si="325"/>
        <v>2007</v>
      </c>
      <c r="F19873" s="3" t="s">
        <v>3166</v>
      </c>
      <c r="G19873" s="6">
        <v>16517</v>
      </c>
      <c r="H19873" s="5">
        <v>8919</v>
      </c>
    </row>
    <row r="19874" spans="2:8" ht="15" customHeight="1" x14ac:dyDescent="0.4">
      <c r="B19874" t="s">
        <v>7</v>
      </c>
      <c r="C19874" t="s">
        <v>3165</v>
      </c>
      <c r="D19874" s="7">
        <f>DATE(2016,1,15)</f>
        <v>42384</v>
      </c>
      <c r="E19874" s="8">
        <f t="shared" si="325"/>
        <v>2016</v>
      </c>
      <c r="F19874" t="s">
        <v>3167</v>
      </c>
      <c r="G19874" s="9">
        <v>2012</v>
      </c>
      <c r="H19874" s="8">
        <v>21898</v>
      </c>
    </row>
    <row r="19875" spans="2:8" ht="15" customHeight="1" x14ac:dyDescent="0.4">
      <c r="B19875" s="3" t="s">
        <v>7</v>
      </c>
      <c r="C19875" s="3" t="s">
        <v>3165</v>
      </c>
      <c r="D19875" s="4">
        <f>DATE(2007,2,8)</f>
        <v>39121</v>
      </c>
      <c r="E19875" s="5">
        <f t="shared" si="325"/>
        <v>2007</v>
      </c>
      <c r="F19875" s="3" t="s">
        <v>3167</v>
      </c>
      <c r="G19875" s="6">
        <v>1690.77</v>
      </c>
      <c r="H19875" s="5">
        <v>7743</v>
      </c>
    </row>
    <row r="19876" spans="2:8" ht="15" customHeight="1" x14ac:dyDescent="0.4">
      <c r="B19876" s="3" t="s">
        <v>7</v>
      </c>
      <c r="C19876" s="3" t="s">
        <v>3165</v>
      </c>
      <c r="D19876" s="4">
        <f>DATE(2008,1,25)</f>
        <v>39472</v>
      </c>
      <c r="E19876" s="5">
        <f t="shared" si="325"/>
        <v>2008</v>
      </c>
      <c r="F19876" s="3" t="s">
        <v>3167</v>
      </c>
      <c r="G19876" s="6">
        <v>6469</v>
      </c>
      <c r="H19876" s="5">
        <v>9702</v>
      </c>
    </row>
    <row r="19877" spans="2:8" ht="15" customHeight="1" x14ac:dyDescent="0.4">
      <c r="B19877" s="3" t="s">
        <v>7</v>
      </c>
      <c r="C19877" s="3" t="s">
        <v>3165</v>
      </c>
      <c r="D19877" s="4">
        <f>DATE(2008,3,13)</f>
        <v>39520</v>
      </c>
      <c r="E19877" s="5">
        <f t="shared" si="325"/>
        <v>2008</v>
      </c>
      <c r="F19877" s="3" t="s">
        <v>3167</v>
      </c>
      <c r="G19877" s="6">
        <v>6374</v>
      </c>
      <c r="H19877" s="5">
        <v>10101</v>
      </c>
    </row>
    <row r="19878" spans="2:8" ht="15" customHeight="1" x14ac:dyDescent="0.4">
      <c r="B19878" s="3" t="s">
        <v>7</v>
      </c>
      <c r="C19878" s="3" t="s">
        <v>3165</v>
      </c>
      <c r="D19878" s="4">
        <f>DATE(2008,4,1)</f>
        <v>39539</v>
      </c>
      <c r="E19878" s="5">
        <f t="shared" si="325"/>
        <v>2008</v>
      </c>
      <c r="F19878" s="3" t="s">
        <v>3167</v>
      </c>
      <c r="G19878" s="6">
        <v>6253.68</v>
      </c>
      <c r="H19878" s="5">
        <v>10148</v>
      </c>
    </row>
    <row r="19879" spans="2:8" ht="15" customHeight="1" x14ac:dyDescent="0.4">
      <c r="B19879" s="3" t="s">
        <v>7</v>
      </c>
      <c r="C19879" s="3" t="s">
        <v>3165</v>
      </c>
      <c r="D19879" s="4">
        <f>DATE(2008,7,7)</f>
        <v>39636</v>
      </c>
      <c r="E19879" s="5">
        <f t="shared" si="325"/>
        <v>2008</v>
      </c>
      <c r="F19879" s="3" t="s">
        <v>3167</v>
      </c>
      <c r="G19879" s="6">
        <v>9986</v>
      </c>
      <c r="H19879" s="5">
        <v>10634</v>
      </c>
    </row>
    <row r="19880" spans="2:8" ht="15" customHeight="1" x14ac:dyDescent="0.4">
      <c r="B19880" s="3" t="s">
        <v>7</v>
      </c>
      <c r="C19880" s="3" t="s">
        <v>3165</v>
      </c>
      <c r="D19880" s="4">
        <f>DATE(2009,1,23)</f>
        <v>39836</v>
      </c>
      <c r="E19880" s="5">
        <f t="shared" si="325"/>
        <v>2009</v>
      </c>
      <c r="F19880" s="3" t="s">
        <v>3167</v>
      </c>
      <c r="G19880" s="6">
        <v>9977.18</v>
      </c>
      <c r="H19880" s="5">
        <v>11826</v>
      </c>
    </row>
    <row r="19881" spans="2:8" ht="15" customHeight="1" x14ac:dyDescent="0.4">
      <c r="B19881" s="3" t="s">
        <v>7</v>
      </c>
      <c r="C19881" s="3" t="s">
        <v>3165</v>
      </c>
      <c r="D19881" s="4">
        <f>DATE(2009,5,1)</f>
        <v>39934</v>
      </c>
      <c r="E19881" s="5">
        <f t="shared" si="325"/>
        <v>2009</v>
      </c>
      <c r="F19881" s="3" t="s">
        <v>3167</v>
      </c>
      <c r="G19881" s="6">
        <v>4854</v>
      </c>
      <c r="H19881" s="5">
        <v>12404</v>
      </c>
    </row>
    <row r="19882" spans="2:8" ht="15" customHeight="1" x14ac:dyDescent="0.4">
      <c r="B19882" s="3" t="s">
        <v>7</v>
      </c>
      <c r="C19882" s="3" t="s">
        <v>3165</v>
      </c>
      <c r="D19882" s="4">
        <f>DATE(2014,3,6)</f>
        <v>41704</v>
      </c>
      <c r="E19882" s="5">
        <f t="shared" si="325"/>
        <v>2014</v>
      </c>
      <c r="F19882" s="3" t="s">
        <v>3167</v>
      </c>
      <c r="G19882" s="6">
        <v>5012</v>
      </c>
      <c r="H19882" s="5">
        <v>19516</v>
      </c>
    </row>
    <row r="19883" spans="2:8" ht="15" customHeight="1" x14ac:dyDescent="0.4">
      <c r="B19883" s="3" t="s">
        <v>7</v>
      </c>
      <c r="C19883" s="3" t="s">
        <v>3165</v>
      </c>
      <c r="D19883" s="4">
        <f>DATE(2004,3,25)</f>
        <v>38071</v>
      </c>
      <c r="E19883" s="5">
        <f t="shared" si="325"/>
        <v>2004</v>
      </c>
      <c r="F19883" s="3" t="s">
        <v>3168</v>
      </c>
      <c r="G19883" s="6">
        <v>11009</v>
      </c>
      <c r="H19883" s="5">
        <v>2245</v>
      </c>
    </row>
    <row r="19884" spans="2:8" ht="15" customHeight="1" x14ac:dyDescent="0.4">
      <c r="B19884" s="3" t="s">
        <v>7</v>
      </c>
      <c r="C19884" s="3" t="s">
        <v>3165</v>
      </c>
      <c r="D19884" s="4">
        <f>DATE(2005,2,2)</f>
        <v>38385</v>
      </c>
      <c r="E19884" s="5">
        <f t="shared" si="325"/>
        <v>2005</v>
      </c>
      <c r="F19884" s="3" t="s">
        <v>3168</v>
      </c>
      <c r="G19884" s="6">
        <v>8374.5</v>
      </c>
      <c r="H19884" s="5">
        <v>3853</v>
      </c>
    </row>
    <row r="19885" spans="2:8" ht="15" customHeight="1" x14ac:dyDescent="0.4">
      <c r="B19885" s="3" t="s">
        <v>7</v>
      </c>
      <c r="C19885" s="3" t="s">
        <v>3165</v>
      </c>
      <c r="D19885" s="4">
        <f>DATE(2006,3,20)</f>
        <v>38796</v>
      </c>
      <c r="E19885" s="5">
        <f t="shared" si="325"/>
        <v>2006</v>
      </c>
      <c r="F19885" s="3" t="s">
        <v>3168</v>
      </c>
      <c r="G19885" s="6">
        <v>6510</v>
      </c>
      <c r="H19885" s="5">
        <v>6173</v>
      </c>
    </row>
    <row r="19886" spans="2:8" ht="15" customHeight="1" x14ac:dyDescent="0.4">
      <c r="B19886" s="3" t="s">
        <v>7</v>
      </c>
      <c r="C19886" s="3" t="s">
        <v>3165</v>
      </c>
      <c r="D19886" s="4">
        <f>DATE(2007,2,14)</f>
        <v>39127</v>
      </c>
      <c r="E19886" s="5">
        <f t="shared" si="325"/>
        <v>2007</v>
      </c>
      <c r="F19886" s="3" t="s">
        <v>3168</v>
      </c>
      <c r="G19886" s="6">
        <v>5925.14</v>
      </c>
      <c r="H19886" s="5">
        <v>7743</v>
      </c>
    </row>
    <row r="19887" spans="2:8" ht="15" customHeight="1" x14ac:dyDescent="0.4">
      <c r="B19887" s="3" t="s">
        <v>7</v>
      </c>
      <c r="C19887" s="3" t="s">
        <v>3165</v>
      </c>
      <c r="D19887" s="4">
        <f>DATE(2007,3,6)</f>
        <v>39147</v>
      </c>
      <c r="E19887" s="5">
        <f t="shared" si="325"/>
        <v>2007</v>
      </c>
      <c r="F19887" s="3" t="s">
        <v>3168</v>
      </c>
      <c r="G19887" s="6">
        <v>7510</v>
      </c>
      <c r="H19887" s="5">
        <v>7923</v>
      </c>
    </row>
    <row r="19888" spans="2:8" ht="15" customHeight="1" x14ac:dyDescent="0.4">
      <c r="B19888" s="3" t="s">
        <v>7</v>
      </c>
      <c r="C19888" s="3" t="s">
        <v>3169</v>
      </c>
      <c r="D19888" s="4">
        <f>DATE(2006,2,9)</f>
        <v>38757</v>
      </c>
      <c r="E19888" s="5">
        <f t="shared" si="325"/>
        <v>2006</v>
      </c>
      <c r="F19888" s="3" t="s">
        <v>3170</v>
      </c>
      <c r="G19888" s="6">
        <v>2365</v>
      </c>
      <c r="H19888" s="5">
        <v>6008</v>
      </c>
    </row>
    <row r="19889" spans="2:8" ht="15" customHeight="1" x14ac:dyDescent="0.4">
      <c r="B19889" t="s">
        <v>7</v>
      </c>
      <c r="C19889" t="s">
        <v>3171</v>
      </c>
      <c r="D19889" s="7">
        <f>DATE(2015,3,13)</f>
        <v>42076</v>
      </c>
      <c r="E19889" s="8">
        <f t="shared" si="325"/>
        <v>2015</v>
      </c>
      <c r="F19889" t="s">
        <v>3172</v>
      </c>
      <c r="G19889" s="9">
        <v>2122.06</v>
      </c>
      <c r="H19889" s="8">
        <v>20024</v>
      </c>
    </row>
    <row r="19890" spans="2:8" ht="15" customHeight="1" x14ac:dyDescent="0.4">
      <c r="B19890" t="s">
        <v>7</v>
      </c>
      <c r="C19890" t="s">
        <v>3171</v>
      </c>
      <c r="D19890" s="7">
        <f>DATE(2015,11,2)</f>
        <v>42310</v>
      </c>
      <c r="E19890" s="8">
        <f t="shared" si="325"/>
        <v>2015</v>
      </c>
      <c r="F19890" t="s">
        <v>3172</v>
      </c>
      <c r="G19890" s="9">
        <v>9890.27</v>
      </c>
      <c r="H19890" s="8">
        <v>21475</v>
      </c>
    </row>
    <row r="19891" spans="2:8" ht="15" customHeight="1" x14ac:dyDescent="0.4">
      <c r="B19891" t="s">
        <v>7</v>
      </c>
      <c r="C19891" t="s">
        <v>3171</v>
      </c>
      <c r="D19891" s="7">
        <f>DATE(2015,12,3)</f>
        <v>42341</v>
      </c>
      <c r="E19891" s="8">
        <f t="shared" si="325"/>
        <v>2015</v>
      </c>
      <c r="F19891" t="s">
        <v>3172</v>
      </c>
      <c r="G19891" s="9">
        <v>2966.56</v>
      </c>
      <c r="H19891" s="8">
        <v>21725</v>
      </c>
    </row>
    <row r="19892" spans="2:8" ht="15" customHeight="1" x14ac:dyDescent="0.4">
      <c r="B19892" t="s">
        <v>7</v>
      </c>
      <c r="C19892" t="s">
        <v>3171</v>
      </c>
      <c r="D19892" s="7">
        <f>DATE(2016,5,4)</f>
        <v>42494</v>
      </c>
      <c r="E19892" s="8">
        <f t="shared" si="325"/>
        <v>2016</v>
      </c>
      <c r="F19892" t="s">
        <v>3172</v>
      </c>
      <c r="G19892" s="9">
        <v>1066</v>
      </c>
      <c r="H19892" s="8">
        <v>22750</v>
      </c>
    </row>
    <row r="19893" spans="2:8" ht="15" customHeight="1" x14ac:dyDescent="0.4">
      <c r="B19893" t="s">
        <v>7</v>
      </c>
      <c r="C19893" t="s">
        <v>3171</v>
      </c>
      <c r="D19893" s="7">
        <f>DATE(2016,11,29)</f>
        <v>42703</v>
      </c>
      <c r="E19893" s="8">
        <f t="shared" si="325"/>
        <v>2016</v>
      </c>
      <c r="F19893" t="s">
        <v>3172</v>
      </c>
      <c r="G19893" s="9">
        <v>3017.48</v>
      </c>
      <c r="H19893" s="8">
        <v>23885</v>
      </c>
    </row>
    <row r="19894" spans="2:8" ht="15" customHeight="1" x14ac:dyDescent="0.4">
      <c r="B19894" t="s">
        <v>7</v>
      </c>
      <c r="C19894" t="s">
        <v>3171</v>
      </c>
      <c r="D19894" s="7">
        <f>DATE(2016,12,23)</f>
        <v>42727</v>
      </c>
      <c r="E19894" s="8">
        <f t="shared" si="325"/>
        <v>2016</v>
      </c>
      <c r="F19894" t="s">
        <v>3172</v>
      </c>
      <c r="G19894" s="9">
        <v>1227.92</v>
      </c>
      <c r="H19894" s="8">
        <v>23907</v>
      </c>
    </row>
    <row r="19895" spans="2:8" ht="15" customHeight="1" x14ac:dyDescent="0.4">
      <c r="B19895" t="s">
        <v>7</v>
      </c>
      <c r="C19895" t="s">
        <v>3171</v>
      </c>
      <c r="D19895" s="7">
        <f>DATE(2017,6,23)</f>
        <v>42909</v>
      </c>
      <c r="E19895" s="8">
        <f t="shared" si="325"/>
        <v>2017</v>
      </c>
      <c r="F19895" t="s">
        <v>3172</v>
      </c>
      <c r="G19895" s="9">
        <v>1596.97</v>
      </c>
      <c r="H19895" s="8">
        <v>25110</v>
      </c>
    </row>
    <row r="19896" spans="2:8" ht="15" customHeight="1" x14ac:dyDescent="0.4">
      <c r="B19896" t="s">
        <v>7</v>
      </c>
      <c r="C19896" t="s">
        <v>3171</v>
      </c>
      <c r="D19896" s="7">
        <f>DATE(2017,10,24)</f>
        <v>43032</v>
      </c>
      <c r="E19896" s="8">
        <f t="shared" si="325"/>
        <v>2017</v>
      </c>
      <c r="F19896" t="s">
        <v>3172</v>
      </c>
      <c r="G19896" s="9">
        <v>1068</v>
      </c>
      <c r="H19896" s="8">
        <v>25717</v>
      </c>
    </row>
    <row r="19897" spans="2:8" ht="15" customHeight="1" x14ac:dyDescent="0.4">
      <c r="B19897" t="s">
        <v>7</v>
      </c>
      <c r="C19897" t="s">
        <v>3171</v>
      </c>
      <c r="D19897" s="7">
        <f>DATE(2018,12,28)</f>
        <v>43462</v>
      </c>
      <c r="E19897" s="8">
        <f t="shared" si="325"/>
        <v>2018</v>
      </c>
      <c r="F19897" t="s">
        <v>3172</v>
      </c>
      <c r="G19897" s="9">
        <v>2117.37</v>
      </c>
      <c r="H19897" s="8">
        <v>28144</v>
      </c>
    </row>
    <row r="19898" spans="2:8" ht="15" customHeight="1" x14ac:dyDescent="0.4">
      <c r="B19898" t="s">
        <v>7</v>
      </c>
      <c r="C19898" t="s">
        <v>3171</v>
      </c>
      <c r="D19898" s="7">
        <f>DATE(2019,1,17)</f>
        <v>43482</v>
      </c>
      <c r="E19898" s="8">
        <f t="shared" si="325"/>
        <v>2019</v>
      </c>
      <c r="F19898" t="s">
        <v>3172</v>
      </c>
      <c r="G19898" s="9">
        <v>5092.18</v>
      </c>
      <c r="H19898" s="8">
        <v>28228</v>
      </c>
    </row>
    <row r="19899" spans="2:8" ht="15" customHeight="1" x14ac:dyDescent="0.4">
      <c r="B19899" t="s">
        <v>7</v>
      </c>
      <c r="C19899" t="s">
        <v>3171</v>
      </c>
      <c r="D19899" s="7">
        <f>DATE(2019,1,17)</f>
        <v>43482</v>
      </c>
      <c r="E19899" s="8">
        <f t="shared" si="325"/>
        <v>2019</v>
      </c>
      <c r="F19899" t="s">
        <v>3172</v>
      </c>
      <c r="G19899" s="9">
        <v>2382.2600000000002</v>
      </c>
      <c r="H19899" s="8">
        <v>28228</v>
      </c>
    </row>
    <row r="19900" spans="2:8" ht="15" customHeight="1" x14ac:dyDescent="0.4">
      <c r="B19900" t="s">
        <v>7</v>
      </c>
      <c r="C19900" t="s">
        <v>3171</v>
      </c>
      <c r="D19900" s="7">
        <f>DATE(2019,2,4)</f>
        <v>43500</v>
      </c>
      <c r="E19900" s="8">
        <f t="shared" si="325"/>
        <v>2019</v>
      </c>
      <c r="F19900" t="s">
        <v>3172</v>
      </c>
      <c r="G19900" s="9">
        <v>2117.2399999999998</v>
      </c>
      <c r="H19900" s="8">
        <v>28337</v>
      </c>
    </row>
    <row r="19901" spans="2:8" ht="15" customHeight="1" x14ac:dyDescent="0.4">
      <c r="B19901" t="s">
        <v>7</v>
      </c>
      <c r="C19901" t="s">
        <v>3171</v>
      </c>
      <c r="D19901" s="7">
        <f>DATE(2016,5,13)</f>
        <v>42503</v>
      </c>
      <c r="E19901" s="8">
        <f t="shared" si="325"/>
        <v>2016</v>
      </c>
      <c r="F19901" t="s">
        <v>3172</v>
      </c>
      <c r="G19901" s="9">
        <v>7434.43</v>
      </c>
      <c r="H19901" s="8">
        <v>22808</v>
      </c>
    </row>
    <row r="19902" spans="2:8" ht="15" customHeight="1" x14ac:dyDescent="0.4">
      <c r="B19902" t="s">
        <v>7</v>
      </c>
      <c r="C19902" t="s">
        <v>3171</v>
      </c>
      <c r="D19902" s="7">
        <f>DATE(2003,7,13)</f>
        <v>37815</v>
      </c>
      <c r="E19902" s="8">
        <f t="shared" si="325"/>
        <v>2003</v>
      </c>
      <c r="F19902" t="s">
        <v>3172</v>
      </c>
      <c r="G19902" s="9">
        <v>9347.08</v>
      </c>
      <c r="H19902" s="8">
        <v>714</v>
      </c>
    </row>
    <row r="19903" spans="2:8" ht="15" customHeight="1" x14ac:dyDescent="0.4">
      <c r="B19903" t="s">
        <v>7</v>
      </c>
      <c r="C19903" t="s">
        <v>3171</v>
      </c>
      <c r="D19903" s="7">
        <f>DATE(2003,12,8)</f>
        <v>37963</v>
      </c>
      <c r="E19903" s="8">
        <f t="shared" si="325"/>
        <v>2003</v>
      </c>
      <c r="F19903" t="s">
        <v>3172</v>
      </c>
      <c r="G19903" s="9">
        <v>8859.84</v>
      </c>
      <c r="H19903" s="8">
        <v>1061</v>
      </c>
    </row>
    <row r="19904" spans="2:8" ht="15" customHeight="1" x14ac:dyDescent="0.4">
      <c r="B19904" t="s">
        <v>7</v>
      </c>
      <c r="C19904" t="s">
        <v>3171</v>
      </c>
      <c r="D19904" s="7">
        <f>DATE(2004,3,7)</f>
        <v>38053</v>
      </c>
      <c r="E19904" s="8">
        <f t="shared" si="325"/>
        <v>2004</v>
      </c>
      <c r="F19904" t="s">
        <v>3172</v>
      </c>
      <c r="G19904" s="9">
        <v>10596.52</v>
      </c>
      <c r="H19904" s="8">
        <v>1500</v>
      </c>
    </row>
    <row r="19905" spans="2:8" ht="15" customHeight="1" x14ac:dyDescent="0.4">
      <c r="B19905" t="s">
        <v>7</v>
      </c>
      <c r="C19905" t="s">
        <v>3171</v>
      </c>
      <c r="D19905" s="7">
        <f>DATE(2005,2,11)</f>
        <v>38394</v>
      </c>
      <c r="E19905" s="8">
        <f t="shared" si="325"/>
        <v>2005</v>
      </c>
      <c r="F19905" t="s">
        <v>3172</v>
      </c>
      <c r="G19905" s="9">
        <v>30203.05</v>
      </c>
      <c r="H19905" s="8">
        <v>2698</v>
      </c>
    </row>
    <row r="19906" spans="2:8" ht="15" customHeight="1" x14ac:dyDescent="0.4">
      <c r="B19906" t="s">
        <v>7</v>
      </c>
      <c r="C19906" t="s">
        <v>3171</v>
      </c>
      <c r="D19906" s="7">
        <f>DATE(2005,4,29)</f>
        <v>38471</v>
      </c>
      <c r="E19906" s="8">
        <f t="shared" si="325"/>
        <v>2005</v>
      </c>
      <c r="F19906" t="s">
        <v>3172</v>
      </c>
      <c r="G19906" s="9">
        <v>5258.75</v>
      </c>
      <c r="H19906" s="8">
        <v>3135</v>
      </c>
    </row>
    <row r="19907" spans="2:8" ht="15" customHeight="1" x14ac:dyDescent="0.4">
      <c r="B19907" t="s">
        <v>7</v>
      </c>
      <c r="C19907" t="s">
        <v>3171</v>
      </c>
      <c r="D19907" s="7">
        <f>DATE(2006,4,25)</f>
        <v>38832</v>
      </c>
      <c r="E19907" s="8">
        <f t="shared" ref="E19907:E19970" si="326">YEAR(D19907)</f>
        <v>2006</v>
      </c>
      <c r="F19907" t="s">
        <v>3172</v>
      </c>
      <c r="G19907" s="9">
        <v>5074.84</v>
      </c>
      <c r="H19907" s="8">
        <v>4537</v>
      </c>
    </row>
    <row r="19908" spans="2:8" ht="15" customHeight="1" x14ac:dyDescent="0.4">
      <c r="B19908" t="s">
        <v>7</v>
      </c>
      <c r="C19908" t="s">
        <v>3171</v>
      </c>
      <c r="D19908" s="7">
        <f>DATE(2007,2,27)</f>
        <v>39140</v>
      </c>
      <c r="E19908" s="8">
        <f t="shared" si="326"/>
        <v>2007</v>
      </c>
      <c r="F19908" t="s">
        <v>3172</v>
      </c>
      <c r="G19908" s="9">
        <v>8761.89</v>
      </c>
      <c r="H19908" s="8">
        <v>5595</v>
      </c>
    </row>
    <row r="19909" spans="2:8" ht="15" customHeight="1" x14ac:dyDescent="0.4">
      <c r="B19909" t="s">
        <v>7</v>
      </c>
      <c r="C19909" t="s">
        <v>3171</v>
      </c>
      <c r="D19909" s="7">
        <f>DATE(2010,8,24)</f>
        <v>40414</v>
      </c>
      <c r="E19909" s="8">
        <f t="shared" si="326"/>
        <v>2010</v>
      </c>
      <c r="F19909" t="s">
        <v>3172</v>
      </c>
      <c r="G19909" s="9">
        <v>7114.06</v>
      </c>
      <c r="H19909" s="8">
        <v>10062</v>
      </c>
    </row>
    <row r="19910" spans="2:8" ht="15" customHeight="1" x14ac:dyDescent="0.4">
      <c r="B19910" t="s">
        <v>7</v>
      </c>
      <c r="C19910" t="s">
        <v>3171</v>
      </c>
      <c r="D19910" s="7">
        <f>DATE(2011,9,7)</f>
        <v>40793</v>
      </c>
      <c r="E19910" s="8">
        <f t="shared" si="326"/>
        <v>2011</v>
      </c>
      <c r="F19910" t="s">
        <v>3172</v>
      </c>
      <c r="G19910" s="9">
        <v>6909.99</v>
      </c>
      <c r="H19910" s="8">
        <v>10996</v>
      </c>
    </row>
    <row r="19911" spans="2:8" ht="15" customHeight="1" x14ac:dyDescent="0.4">
      <c r="B19911" t="s">
        <v>7</v>
      </c>
      <c r="C19911" t="s">
        <v>3171</v>
      </c>
      <c r="D19911" s="7">
        <f>DATE(2014,2,24)</f>
        <v>41694</v>
      </c>
      <c r="E19911" s="8">
        <f t="shared" si="326"/>
        <v>2014</v>
      </c>
      <c r="F19911" t="s">
        <v>3172</v>
      </c>
      <c r="G19911" s="9">
        <v>6794.45</v>
      </c>
      <c r="H19911" s="8">
        <v>12948</v>
      </c>
    </row>
    <row r="19912" spans="2:8" ht="15" customHeight="1" x14ac:dyDescent="0.4">
      <c r="B19912" s="3" t="s">
        <v>7</v>
      </c>
      <c r="C19912" s="3" t="s">
        <v>3171</v>
      </c>
      <c r="D19912" s="4">
        <f>DATE(2003,1,16)</f>
        <v>37637</v>
      </c>
      <c r="E19912" s="5">
        <f t="shared" si="326"/>
        <v>2003</v>
      </c>
      <c r="F19912" s="3" t="s">
        <v>3172</v>
      </c>
      <c r="G19912" s="6">
        <v>1339</v>
      </c>
      <c r="H19912" s="5">
        <v>20</v>
      </c>
    </row>
    <row r="19913" spans="2:8" ht="15" customHeight="1" x14ac:dyDescent="0.4">
      <c r="B19913" s="3" t="s">
        <v>7</v>
      </c>
      <c r="C19913" s="3" t="s">
        <v>3171</v>
      </c>
      <c r="D19913" s="4">
        <f>DATE(2003,1,23)</f>
        <v>37644</v>
      </c>
      <c r="E19913" s="5">
        <f t="shared" si="326"/>
        <v>2003</v>
      </c>
      <c r="F19913" s="3" t="s">
        <v>3172</v>
      </c>
      <c r="G19913" s="6">
        <v>1338</v>
      </c>
      <c r="H19913" s="5">
        <v>112</v>
      </c>
    </row>
    <row r="19914" spans="2:8" ht="15" customHeight="1" x14ac:dyDescent="0.4">
      <c r="B19914" s="3" t="s">
        <v>7</v>
      </c>
      <c r="C19914" s="3" t="s">
        <v>3171</v>
      </c>
      <c r="D19914" s="4">
        <f>DATE(2003,5,1)</f>
        <v>37742</v>
      </c>
      <c r="E19914" s="5">
        <f t="shared" si="326"/>
        <v>2003</v>
      </c>
      <c r="F19914" s="3" t="s">
        <v>3172</v>
      </c>
      <c r="G19914" s="6">
        <v>1339</v>
      </c>
      <c r="H19914" s="5">
        <v>786</v>
      </c>
    </row>
    <row r="19915" spans="2:8" ht="15" customHeight="1" x14ac:dyDescent="0.4">
      <c r="B19915" s="3" t="s">
        <v>7</v>
      </c>
      <c r="C19915" s="3" t="s">
        <v>3171</v>
      </c>
      <c r="D19915" s="4">
        <f>DATE(2003,8,20)</f>
        <v>37853</v>
      </c>
      <c r="E19915" s="5">
        <f t="shared" si="326"/>
        <v>2003</v>
      </c>
      <c r="F19915" s="3" t="s">
        <v>3172</v>
      </c>
      <c r="G19915" s="6">
        <v>2120.5</v>
      </c>
      <c r="H19915" s="5">
        <v>1346</v>
      </c>
    </row>
    <row r="19916" spans="2:8" ht="15" customHeight="1" x14ac:dyDescent="0.4">
      <c r="B19916" s="3" t="s">
        <v>7</v>
      </c>
      <c r="C19916" s="3" t="s">
        <v>3171</v>
      </c>
      <c r="D19916" s="4">
        <f>DATE(2003,9,29)</f>
        <v>37893</v>
      </c>
      <c r="E19916" s="5">
        <f t="shared" si="326"/>
        <v>2003</v>
      </c>
      <c r="F19916" s="3" t="s">
        <v>3172</v>
      </c>
      <c r="G19916" s="6">
        <v>16328</v>
      </c>
      <c r="H19916" s="5">
        <v>1510</v>
      </c>
    </row>
    <row r="19917" spans="2:8" ht="15" customHeight="1" x14ac:dyDescent="0.4">
      <c r="B19917" s="3" t="s">
        <v>7</v>
      </c>
      <c r="C19917" s="3" t="s">
        <v>3171</v>
      </c>
      <c r="D19917" s="4">
        <f>DATE(2004,4,21)</f>
        <v>38098</v>
      </c>
      <c r="E19917" s="5">
        <f t="shared" si="326"/>
        <v>2004</v>
      </c>
      <c r="F19917" s="3" t="s">
        <v>3172</v>
      </c>
      <c r="G19917" s="6">
        <v>18334.23</v>
      </c>
      <c r="H19917" s="5">
        <v>2420</v>
      </c>
    </row>
    <row r="19918" spans="2:8" ht="15" customHeight="1" x14ac:dyDescent="0.4">
      <c r="B19918" s="3" t="s">
        <v>7</v>
      </c>
      <c r="C19918" s="3" t="s">
        <v>3171</v>
      </c>
      <c r="D19918" s="4">
        <f>DATE(2005,11,17)</f>
        <v>38673</v>
      </c>
      <c r="E19918" s="5">
        <f t="shared" si="326"/>
        <v>2005</v>
      </c>
      <c r="F19918" s="3" t="s">
        <v>3172</v>
      </c>
      <c r="G19918" s="6">
        <v>158.24</v>
      </c>
      <c r="H19918" s="5">
        <v>5598</v>
      </c>
    </row>
    <row r="19919" spans="2:8" ht="15" customHeight="1" x14ac:dyDescent="0.4">
      <c r="B19919" s="3" t="s">
        <v>7</v>
      </c>
      <c r="C19919" s="3" t="s">
        <v>3171</v>
      </c>
      <c r="D19919" s="4">
        <f>DATE(2005,11,29)</f>
        <v>38685</v>
      </c>
      <c r="E19919" s="5">
        <f t="shared" si="326"/>
        <v>2005</v>
      </c>
      <c r="F19919" s="3" t="s">
        <v>3172</v>
      </c>
      <c r="G19919" s="6">
        <v>28851.55</v>
      </c>
      <c r="H19919" s="5">
        <v>5517</v>
      </c>
    </row>
    <row r="19920" spans="2:8" ht="15" customHeight="1" x14ac:dyDescent="0.4">
      <c r="B19920" s="3" t="s">
        <v>7</v>
      </c>
      <c r="C19920" s="3" t="s">
        <v>3171</v>
      </c>
      <c r="D19920" s="4">
        <f>DATE(2006,4,12)</f>
        <v>38819</v>
      </c>
      <c r="E19920" s="5">
        <f t="shared" si="326"/>
        <v>2006</v>
      </c>
      <c r="F19920" s="3" t="s">
        <v>3172</v>
      </c>
      <c r="G19920" s="6">
        <v>379.75</v>
      </c>
      <c r="H19920" s="5">
        <v>6491</v>
      </c>
    </row>
    <row r="19921" spans="2:8" ht="15" customHeight="1" x14ac:dyDescent="0.4">
      <c r="B19921" s="3" t="s">
        <v>7</v>
      </c>
      <c r="C19921" s="3" t="s">
        <v>3171</v>
      </c>
      <c r="D19921" s="4">
        <f>DATE(2006,5,16)</f>
        <v>38853</v>
      </c>
      <c r="E19921" s="5">
        <f t="shared" si="326"/>
        <v>2006</v>
      </c>
      <c r="F19921" s="3" t="s">
        <v>3172</v>
      </c>
      <c r="G19921" s="6">
        <v>1260.68</v>
      </c>
      <c r="H19921" s="5">
        <v>6725</v>
      </c>
    </row>
    <row r="19922" spans="2:8" ht="15" customHeight="1" x14ac:dyDescent="0.4">
      <c r="B19922" s="3" t="s">
        <v>7</v>
      </c>
      <c r="C19922" s="3" t="s">
        <v>3171</v>
      </c>
      <c r="D19922" s="4">
        <f>DATE(2006,10,17)</f>
        <v>39007</v>
      </c>
      <c r="E19922" s="5">
        <f t="shared" si="326"/>
        <v>2006</v>
      </c>
      <c r="F19922" s="3" t="s">
        <v>3172</v>
      </c>
      <c r="G19922" s="6">
        <v>4482.3599999999997</v>
      </c>
      <c r="H19922" s="5">
        <v>7400</v>
      </c>
    </row>
    <row r="19923" spans="2:8" ht="15" customHeight="1" x14ac:dyDescent="0.4">
      <c r="B19923" s="3" t="s">
        <v>7</v>
      </c>
      <c r="C19923" s="3" t="s">
        <v>3171</v>
      </c>
      <c r="D19923" s="4">
        <f>DATE(2006,10,18)</f>
        <v>39008</v>
      </c>
      <c r="E19923" s="5">
        <f t="shared" si="326"/>
        <v>2006</v>
      </c>
      <c r="F19923" s="3" t="s">
        <v>3172</v>
      </c>
      <c r="G19923" s="6">
        <v>4482.5200000000004</v>
      </c>
      <c r="H19923" s="5">
        <v>7399</v>
      </c>
    </row>
    <row r="19924" spans="2:8" ht="15" customHeight="1" x14ac:dyDescent="0.4">
      <c r="B19924" s="3" t="s">
        <v>7</v>
      </c>
      <c r="C19924" s="3" t="s">
        <v>3171</v>
      </c>
      <c r="D19924" s="4">
        <f>DATE(2007,1,15)</f>
        <v>39097</v>
      </c>
      <c r="E19924" s="5">
        <f t="shared" si="326"/>
        <v>2007</v>
      </c>
      <c r="F19924" s="3" t="s">
        <v>3172</v>
      </c>
      <c r="G19924" s="6">
        <v>13962.82</v>
      </c>
      <c r="H19924" s="5">
        <v>7538</v>
      </c>
    </row>
    <row r="19925" spans="2:8" ht="15" customHeight="1" x14ac:dyDescent="0.4">
      <c r="B19925" s="3" t="s">
        <v>7</v>
      </c>
      <c r="C19925" s="3" t="s">
        <v>3171</v>
      </c>
      <c r="D19925" s="4">
        <f>DATE(2008,1,24)</f>
        <v>39471</v>
      </c>
      <c r="E19925" s="5">
        <f t="shared" si="326"/>
        <v>2008</v>
      </c>
      <c r="F19925" s="3" t="s">
        <v>3172</v>
      </c>
      <c r="G19925" s="6">
        <v>4486.8599999999997</v>
      </c>
      <c r="H19925" s="5">
        <v>9793</v>
      </c>
    </row>
    <row r="19926" spans="2:8" ht="15" customHeight="1" x14ac:dyDescent="0.4">
      <c r="B19926" s="3" t="s">
        <v>7</v>
      </c>
      <c r="C19926" s="3" t="s">
        <v>3171</v>
      </c>
      <c r="D19926" s="4">
        <f>DATE(2008,2,13)</f>
        <v>39491</v>
      </c>
      <c r="E19926" s="5">
        <f t="shared" si="326"/>
        <v>2008</v>
      </c>
      <c r="F19926" s="3" t="s">
        <v>3172</v>
      </c>
      <c r="G19926" s="6">
        <v>4523.84</v>
      </c>
      <c r="H19926" s="5">
        <v>9931</v>
      </c>
    </row>
    <row r="19927" spans="2:8" ht="15" customHeight="1" x14ac:dyDescent="0.4">
      <c r="B19927" s="3" t="s">
        <v>7</v>
      </c>
      <c r="C19927" s="3" t="s">
        <v>3171</v>
      </c>
      <c r="D19927" s="4">
        <f>DATE(2008,3,25)</f>
        <v>39532</v>
      </c>
      <c r="E19927" s="5">
        <f t="shared" si="326"/>
        <v>2008</v>
      </c>
      <c r="F19927" s="3" t="s">
        <v>3172</v>
      </c>
      <c r="G19927" s="6">
        <v>3586.7</v>
      </c>
      <c r="H19927" s="5">
        <v>10305</v>
      </c>
    </row>
    <row r="19928" spans="2:8" ht="15" customHeight="1" x14ac:dyDescent="0.4">
      <c r="B19928" s="3" t="s">
        <v>7</v>
      </c>
      <c r="C19928" s="3" t="s">
        <v>3171</v>
      </c>
      <c r="D19928" s="4">
        <f>DATE(2008,3,26)</f>
        <v>39533</v>
      </c>
      <c r="E19928" s="5">
        <f t="shared" si="326"/>
        <v>2008</v>
      </c>
      <c r="F19928" s="3" t="s">
        <v>3172</v>
      </c>
      <c r="G19928" s="6">
        <v>3586.7</v>
      </c>
      <c r="H19928" s="5">
        <v>10306</v>
      </c>
    </row>
    <row r="19929" spans="2:8" ht="15" customHeight="1" x14ac:dyDescent="0.4">
      <c r="B19929" s="3" t="s">
        <v>7</v>
      </c>
      <c r="C19929" s="3" t="s">
        <v>3171</v>
      </c>
      <c r="D19929" s="4">
        <f>DATE(2009,3,5)</f>
        <v>39877</v>
      </c>
      <c r="E19929" s="5">
        <f t="shared" si="326"/>
        <v>2009</v>
      </c>
      <c r="F19929" s="3" t="s">
        <v>3172</v>
      </c>
      <c r="G19929" s="6">
        <v>157.25</v>
      </c>
      <c r="H19929" s="5">
        <v>12118</v>
      </c>
    </row>
    <row r="19930" spans="2:8" ht="15" customHeight="1" x14ac:dyDescent="0.4">
      <c r="B19930" s="3" t="s">
        <v>7</v>
      </c>
      <c r="C19930" s="3" t="s">
        <v>3171</v>
      </c>
      <c r="D19930" s="4">
        <f>DATE(2009,11,13)</f>
        <v>40130</v>
      </c>
      <c r="E19930" s="5">
        <f t="shared" si="326"/>
        <v>2009</v>
      </c>
      <c r="F19930" s="3" t="s">
        <v>3172</v>
      </c>
      <c r="G19930" s="6">
        <v>15111.02</v>
      </c>
      <c r="H19930" s="5">
        <v>13249</v>
      </c>
    </row>
    <row r="19931" spans="2:8" ht="15" customHeight="1" x14ac:dyDescent="0.4">
      <c r="B19931" s="3" t="s">
        <v>7</v>
      </c>
      <c r="C19931" s="3" t="s">
        <v>3171</v>
      </c>
      <c r="D19931" s="4">
        <f>DATE(2010,8,27)</f>
        <v>40417</v>
      </c>
      <c r="E19931" s="5">
        <f t="shared" si="326"/>
        <v>2010</v>
      </c>
      <c r="F19931" s="3" t="s">
        <v>3172</v>
      </c>
      <c r="G19931" s="6">
        <v>1585.12</v>
      </c>
      <c r="H19931" s="5">
        <v>14404</v>
      </c>
    </row>
    <row r="19932" spans="2:8" ht="15" customHeight="1" x14ac:dyDescent="0.4">
      <c r="B19932" s="3" t="s">
        <v>7</v>
      </c>
      <c r="C19932" s="3" t="s">
        <v>3171</v>
      </c>
      <c r="D19932" s="4">
        <f>DATE(2010,9,15)</f>
        <v>40436</v>
      </c>
      <c r="E19932" s="5">
        <f t="shared" si="326"/>
        <v>2010</v>
      </c>
      <c r="F19932" s="3" t="s">
        <v>3172</v>
      </c>
      <c r="G19932" s="6">
        <v>12541.24</v>
      </c>
      <c r="H19932" s="5">
        <v>14448</v>
      </c>
    </row>
    <row r="19933" spans="2:8" ht="15" customHeight="1" x14ac:dyDescent="0.4">
      <c r="B19933" s="3" t="s">
        <v>7</v>
      </c>
      <c r="C19933" s="3" t="s">
        <v>3171</v>
      </c>
      <c r="D19933" s="4">
        <f>DATE(2010,9,30)</f>
        <v>40451</v>
      </c>
      <c r="E19933" s="5">
        <f t="shared" si="326"/>
        <v>2010</v>
      </c>
      <c r="F19933" s="3" t="s">
        <v>3172</v>
      </c>
      <c r="G19933" s="6">
        <v>12542.46</v>
      </c>
      <c r="H19933" s="5">
        <v>14521</v>
      </c>
    </row>
    <row r="19934" spans="2:8" ht="15" customHeight="1" x14ac:dyDescent="0.4">
      <c r="B19934" s="3" t="s">
        <v>7</v>
      </c>
      <c r="C19934" s="3" t="s">
        <v>3171</v>
      </c>
      <c r="D19934" s="4">
        <f>DATE(2011,9,26)</f>
        <v>40812</v>
      </c>
      <c r="E19934" s="5">
        <f t="shared" si="326"/>
        <v>2011</v>
      </c>
      <c r="F19934" s="3" t="s">
        <v>3172</v>
      </c>
      <c r="G19934" s="6">
        <v>2916.19</v>
      </c>
      <c r="H19934" s="5">
        <v>16034</v>
      </c>
    </row>
    <row r="19935" spans="2:8" ht="15" customHeight="1" x14ac:dyDescent="0.4">
      <c r="B19935" s="3" t="s">
        <v>7</v>
      </c>
      <c r="C19935" s="3" t="s">
        <v>3171</v>
      </c>
      <c r="D19935" s="4">
        <f>DATE(2011,9,29)</f>
        <v>40815</v>
      </c>
      <c r="E19935" s="5">
        <f t="shared" si="326"/>
        <v>2011</v>
      </c>
      <c r="F19935" s="3" t="s">
        <v>3172</v>
      </c>
      <c r="G19935" s="6">
        <v>4989.8599999999997</v>
      </c>
      <c r="H19935" s="5">
        <v>16046</v>
      </c>
    </row>
    <row r="19936" spans="2:8" ht="15" customHeight="1" x14ac:dyDescent="0.4">
      <c r="B19936" s="3" t="s">
        <v>7</v>
      </c>
      <c r="C19936" s="3" t="s">
        <v>3171</v>
      </c>
      <c r="D19936" s="4">
        <f>DATE(2011,9,29)</f>
        <v>40815</v>
      </c>
      <c r="E19936" s="5">
        <f t="shared" si="326"/>
        <v>2011</v>
      </c>
      <c r="F19936" s="3" t="s">
        <v>3172</v>
      </c>
      <c r="G19936" s="6">
        <v>1611.6</v>
      </c>
      <c r="H19936" s="5">
        <v>16046</v>
      </c>
    </row>
    <row r="19937" spans="2:8" ht="15" customHeight="1" x14ac:dyDescent="0.4">
      <c r="B19937" s="3" t="s">
        <v>7</v>
      </c>
      <c r="C19937" s="3" t="s">
        <v>3171</v>
      </c>
      <c r="D19937" s="4">
        <f>DATE(2011,10,3)</f>
        <v>40819</v>
      </c>
      <c r="E19937" s="5">
        <f t="shared" si="326"/>
        <v>2011</v>
      </c>
      <c r="F19937" s="3" t="s">
        <v>3172</v>
      </c>
      <c r="G19937" s="6">
        <v>6653.14</v>
      </c>
      <c r="H19937" s="5">
        <v>16046</v>
      </c>
    </row>
    <row r="19938" spans="2:8" ht="15" customHeight="1" x14ac:dyDescent="0.4">
      <c r="B19938" s="3" t="s">
        <v>7</v>
      </c>
      <c r="C19938" s="3" t="s">
        <v>3171</v>
      </c>
      <c r="D19938" s="4">
        <f>DATE(2011,10,4)</f>
        <v>40820</v>
      </c>
      <c r="E19938" s="5">
        <f t="shared" si="326"/>
        <v>2011</v>
      </c>
      <c r="F19938" s="3" t="s">
        <v>3172</v>
      </c>
      <c r="G19938" s="6">
        <v>2118.1999999999998</v>
      </c>
      <c r="H19938" s="5">
        <v>16045</v>
      </c>
    </row>
    <row r="19939" spans="2:8" ht="15" customHeight="1" x14ac:dyDescent="0.4">
      <c r="B19939" s="3" t="s">
        <v>7</v>
      </c>
      <c r="C19939" s="3" t="s">
        <v>3171</v>
      </c>
      <c r="D19939" s="4">
        <f>DATE(2011,10,4)</f>
        <v>40820</v>
      </c>
      <c r="E19939" s="5">
        <f t="shared" si="326"/>
        <v>2011</v>
      </c>
      <c r="F19939" s="3" t="s">
        <v>3172</v>
      </c>
      <c r="G19939" s="6">
        <v>6205.73</v>
      </c>
      <c r="H19939" s="5">
        <v>16046</v>
      </c>
    </row>
    <row r="19940" spans="2:8" ht="15" customHeight="1" x14ac:dyDescent="0.4">
      <c r="B19940" s="3" t="s">
        <v>7</v>
      </c>
      <c r="C19940" s="3" t="s">
        <v>3171</v>
      </c>
      <c r="D19940" s="4">
        <f>DATE(2011,11,15)</f>
        <v>40862</v>
      </c>
      <c r="E19940" s="5">
        <f t="shared" si="326"/>
        <v>2011</v>
      </c>
      <c r="F19940" s="3" t="s">
        <v>3172</v>
      </c>
      <c r="G19940" s="6">
        <v>26265.81</v>
      </c>
      <c r="H19940" s="5">
        <v>16075</v>
      </c>
    </row>
    <row r="19941" spans="2:8" ht="15" customHeight="1" x14ac:dyDescent="0.4">
      <c r="B19941" s="3" t="s">
        <v>7</v>
      </c>
      <c r="C19941" s="3" t="s">
        <v>3171</v>
      </c>
      <c r="D19941" s="4">
        <f>DATE(2012,5,11)</f>
        <v>41040</v>
      </c>
      <c r="E19941" s="5">
        <f t="shared" si="326"/>
        <v>2012</v>
      </c>
      <c r="F19941" s="3" t="s">
        <v>3172</v>
      </c>
      <c r="G19941" s="6">
        <v>345.2</v>
      </c>
      <c r="H19941" s="5">
        <v>17118</v>
      </c>
    </row>
    <row r="19942" spans="2:8" ht="15" customHeight="1" x14ac:dyDescent="0.4">
      <c r="B19942" s="3" t="s">
        <v>7</v>
      </c>
      <c r="C19942" s="3" t="s">
        <v>3171</v>
      </c>
      <c r="D19942" s="4">
        <f>DATE(2013,1,10)</f>
        <v>41284</v>
      </c>
      <c r="E19942" s="5">
        <f t="shared" si="326"/>
        <v>2013</v>
      </c>
      <c r="F19942" s="3" t="s">
        <v>3172</v>
      </c>
      <c r="G19942" s="6">
        <v>200</v>
      </c>
      <c r="H19942" s="5">
        <v>17943</v>
      </c>
    </row>
    <row r="19943" spans="2:8" ht="15" customHeight="1" x14ac:dyDescent="0.4">
      <c r="B19943" s="3" t="s">
        <v>7</v>
      </c>
      <c r="C19943" s="3" t="s">
        <v>3171</v>
      </c>
      <c r="D19943" s="4">
        <f>DATE(2013,10,14)</f>
        <v>41561</v>
      </c>
      <c r="E19943" s="5">
        <f t="shared" si="326"/>
        <v>2013</v>
      </c>
      <c r="F19943" s="3" t="s">
        <v>3172</v>
      </c>
      <c r="G19943" s="6">
        <v>4542.45</v>
      </c>
      <c r="H19943" s="5">
        <v>19046</v>
      </c>
    </row>
    <row r="19944" spans="2:8" ht="15" customHeight="1" x14ac:dyDescent="0.4">
      <c r="B19944" s="3" t="s">
        <v>7</v>
      </c>
      <c r="C19944" s="3" t="s">
        <v>3171</v>
      </c>
      <c r="D19944" s="4">
        <f>DATE(2013,10,28)</f>
        <v>41575</v>
      </c>
      <c r="E19944" s="5">
        <f t="shared" si="326"/>
        <v>2013</v>
      </c>
      <c r="F19944" s="3" t="s">
        <v>3172</v>
      </c>
      <c r="G19944" s="6">
        <v>441.07</v>
      </c>
      <c r="H19944" s="5">
        <v>19146</v>
      </c>
    </row>
    <row r="19945" spans="2:8" ht="15" customHeight="1" x14ac:dyDescent="0.4">
      <c r="B19945" s="3" t="s">
        <v>7</v>
      </c>
      <c r="C19945" s="3" t="s">
        <v>3171</v>
      </c>
      <c r="D19945" s="4">
        <f>DATE(2014,1,15)</f>
        <v>41654</v>
      </c>
      <c r="E19945" s="5">
        <f t="shared" si="326"/>
        <v>2014</v>
      </c>
      <c r="F19945" s="3" t="s">
        <v>3172</v>
      </c>
      <c r="G19945" s="6">
        <v>860.2</v>
      </c>
      <c r="H19945" s="5">
        <v>19355</v>
      </c>
    </row>
    <row r="19946" spans="2:8" ht="15" customHeight="1" x14ac:dyDescent="0.4">
      <c r="B19946" s="3" t="s">
        <v>7</v>
      </c>
      <c r="C19946" s="3" t="s">
        <v>3171</v>
      </c>
      <c r="D19946" s="4">
        <f>DATE(2014,3,18)</f>
        <v>41716</v>
      </c>
      <c r="E19946" s="5">
        <f t="shared" si="326"/>
        <v>2014</v>
      </c>
      <c r="F19946" s="3" t="s">
        <v>3172</v>
      </c>
      <c r="G19946" s="6">
        <v>1540.34</v>
      </c>
      <c r="H19946" s="5">
        <v>19689</v>
      </c>
    </row>
    <row r="19947" spans="2:8" ht="15" customHeight="1" x14ac:dyDescent="0.4">
      <c r="B19947" s="3" t="s">
        <v>7</v>
      </c>
      <c r="C19947" s="3" t="s">
        <v>3171</v>
      </c>
      <c r="D19947" s="4">
        <f>DATE(2014,3,18)</f>
        <v>41716</v>
      </c>
      <c r="E19947" s="5">
        <f t="shared" si="326"/>
        <v>2014</v>
      </c>
      <c r="F19947" s="3" t="s">
        <v>3172</v>
      </c>
      <c r="G19947" s="6">
        <v>2507.86</v>
      </c>
      <c r="H19947" s="5">
        <v>19686</v>
      </c>
    </row>
    <row r="19948" spans="2:8" ht="15" customHeight="1" x14ac:dyDescent="0.4">
      <c r="B19948" s="3" t="s">
        <v>7</v>
      </c>
      <c r="C19948" s="3" t="s">
        <v>3171</v>
      </c>
      <c r="D19948" s="4">
        <f>DATE(2014,7,25)</f>
        <v>41845</v>
      </c>
      <c r="E19948" s="5">
        <f t="shared" si="326"/>
        <v>2014</v>
      </c>
      <c r="F19948" s="3" t="s">
        <v>3172</v>
      </c>
      <c r="G19948" s="6">
        <v>2121.96</v>
      </c>
      <c r="H19948" s="5">
        <v>20094</v>
      </c>
    </row>
    <row r="19949" spans="2:8" ht="15" customHeight="1" x14ac:dyDescent="0.4">
      <c r="B19949" s="3" t="s">
        <v>16</v>
      </c>
      <c r="C19949" s="3" t="s">
        <v>3171</v>
      </c>
      <c r="D19949" s="4">
        <f>DATE(2003,1,15)</f>
        <v>37636</v>
      </c>
      <c r="E19949" s="5">
        <f t="shared" si="326"/>
        <v>2003</v>
      </c>
      <c r="F19949" s="3" t="s">
        <v>3172</v>
      </c>
      <c r="G19949" s="6">
        <v>665.5</v>
      </c>
      <c r="H19949" s="5">
        <v>111</v>
      </c>
    </row>
    <row r="19950" spans="2:8" ht="15" customHeight="1" x14ac:dyDescent="0.4">
      <c r="B19950" s="3" t="s">
        <v>16</v>
      </c>
      <c r="C19950" s="3" t="s">
        <v>3171</v>
      </c>
      <c r="D19950" s="4">
        <f>DATE(2003,1,30)</f>
        <v>37651</v>
      </c>
      <c r="E19950" s="5">
        <f t="shared" si="326"/>
        <v>2003</v>
      </c>
      <c r="F19950" s="3" t="s">
        <v>3172</v>
      </c>
      <c r="G19950" s="6">
        <v>745</v>
      </c>
      <c r="H19950" s="5">
        <v>198</v>
      </c>
    </row>
    <row r="19951" spans="2:8" ht="15" customHeight="1" x14ac:dyDescent="0.4">
      <c r="B19951" s="3" t="s">
        <v>16</v>
      </c>
      <c r="C19951" s="3" t="s">
        <v>3171</v>
      </c>
      <c r="D19951" s="4">
        <f>DATE(2011,2,24)</f>
        <v>40598</v>
      </c>
      <c r="E19951" s="5">
        <f t="shared" si="326"/>
        <v>2011</v>
      </c>
      <c r="F19951" s="3" t="s">
        <v>3172</v>
      </c>
      <c r="G19951" s="6">
        <v>150</v>
      </c>
      <c r="H19951" s="5">
        <v>15071</v>
      </c>
    </row>
    <row r="19952" spans="2:8" ht="15" customHeight="1" x14ac:dyDescent="0.4">
      <c r="B19952" t="s">
        <v>7</v>
      </c>
      <c r="C19952" t="s">
        <v>3173</v>
      </c>
      <c r="D19952" s="7">
        <f>DATE(2010,12,1)</f>
        <v>40513</v>
      </c>
      <c r="E19952" s="8">
        <f t="shared" si="326"/>
        <v>2010</v>
      </c>
      <c r="F19952" t="s">
        <v>3174</v>
      </c>
      <c r="G19952" s="9">
        <v>2447.5</v>
      </c>
      <c r="H19952" s="8">
        <v>10280</v>
      </c>
    </row>
    <row r="19953" spans="2:8" ht="15" customHeight="1" x14ac:dyDescent="0.4">
      <c r="B19953" t="s">
        <v>7</v>
      </c>
      <c r="C19953" t="s">
        <v>3175</v>
      </c>
      <c r="D19953" s="7">
        <f>DATE(2004,1,9)</f>
        <v>37995</v>
      </c>
      <c r="E19953" s="8">
        <f t="shared" si="326"/>
        <v>2004</v>
      </c>
      <c r="F19953" t="s">
        <v>3176</v>
      </c>
      <c r="G19953" s="9">
        <v>4484.88</v>
      </c>
      <c r="H19953" s="8">
        <v>1120</v>
      </c>
    </row>
    <row r="19954" spans="2:8" ht="15" customHeight="1" x14ac:dyDescent="0.4">
      <c r="B19954" t="s">
        <v>7</v>
      </c>
      <c r="C19954" t="s">
        <v>3175</v>
      </c>
      <c r="D19954" s="7">
        <f>DATE(2004,2,25)</f>
        <v>38042</v>
      </c>
      <c r="E19954" s="8">
        <f t="shared" si="326"/>
        <v>2004</v>
      </c>
      <c r="F19954" t="s">
        <v>3176</v>
      </c>
      <c r="G19954" s="9">
        <v>2864.6</v>
      </c>
      <c r="H19954" s="8">
        <v>1428</v>
      </c>
    </row>
    <row r="19955" spans="2:8" ht="15" customHeight="1" x14ac:dyDescent="0.4">
      <c r="B19955" t="s">
        <v>7</v>
      </c>
      <c r="C19955" t="s">
        <v>3175</v>
      </c>
      <c r="D19955" s="7">
        <f>DATE(2006,7,31)</f>
        <v>38929</v>
      </c>
      <c r="E19955" s="8">
        <f t="shared" si="326"/>
        <v>2006</v>
      </c>
      <c r="F19955" t="s">
        <v>3176</v>
      </c>
      <c r="G19955" s="9">
        <v>13059.91</v>
      </c>
      <c r="H19955" s="8">
        <v>4780</v>
      </c>
    </row>
    <row r="19956" spans="2:8" ht="15" customHeight="1" x14ac:dyDescent="0.4">
      <c r="B19956" t="s">
        <v>7</v>
      </c>
      <c r="C19956" t="s">
        <v>3177</v>
      </c>
      <c r="D19956" s="7">
        <f>DATE(2016,2,15)</f>
        <v>42415</v>
      </c>
      <c r="E19956" s="8">
        <f t="shared" si="326"/>
        <v>2016</v>
      </c>
      <c r="F19956" t="s">
        <v>3178</v>
      </c>
      <c r="G19956" s="9">
        <v>1125</v>
      </c>
      <c r="H19956" s="8">
        <v>22171</v>
      </c>
    </row>
    <row r="19957" spans="2:8" ht="15" customHeight="1" x14ac:dyDescent="0.4">
      <c r="B19957" t="s">
        <v>7</v>
      </c>
      <c r="C19957" t="s">
        <v>3177</v>
      </c>
      <c r="D19957" s="7">
        <f>DATE(2016,1,14)</f>
        <v>42383</v>
      </c>
      <c r="E19957" s="8">
        <f t="shared" si="326"/>
        <v>2016</v>
      </c>
      <c r="F19957" t="s">
        <v>3178</v>
      </c>
      <c r="G19957" s="9">
        <v>12000</v>
      </c>
      <c r="H19957" s="8">
        <v>21921</v>
      </c>
    </row>
    <row r="19958" spans="2:8" ht="15" customHeight="1" x14ac:dyDescent="0.4">
      <c r="B19958" t="s">
        <v>7</v>
      </c>
      <c r="C19958" t="s">
        <v>3177</v>
      </c>
      <c r="D19958" s="7">
        <f>DATE(2016,5,19)</f>
        <v>42509</v>
      </c>
      <c r="E19958" s="8">
        <f t="shared" si="326"/>
        <v>2016</v>
      </c>
      <c r="F19958" t="s">
        <v>3179</v>
      </c>
      <c r="G19958" s="9">
        <v>7500</v>
      </c>
      <c r="H19958" s="8">
        <v>22838</v>
      </c>
    </row>
    <row r="19959" spans="2:8" ht="15" customHeight="1" x14ac:dyDescent="0.4">
      <c r="B19959" t="s">
        <v>7</v>
      </c>
      <c r="C19959" t="s">
        <v>3177</v>
      </c>
      <c r="D19959" s="7">
        <f>DATE(2017,1,13)</f>
        <v>42748</v>
      </c>
      <c r="E19959" s="8">
        <f t="shared" si="326"/>
        <v>2017</v>
      </c>
      <c r="F19959" t="s">
        <v>3179</v>
      </c>
      <c r="G19959" s="9">
        <v>1500</v>
      </c>
      <c r="H19959" s="8">
        <v>24063</v>
      </c>
    </row>
    <row r="19960" spans="2:8" ht="15" customHeight="1" x14ac:dyDescent="0.4">
      <c r="B19960" t="s">
        <v>7</v>
      </c>
      <c r="C19960" t="s">
        <v>3177</v>
      </c>
      <c r="D19960" s="7">
        <f>DATE(2017,2,7)</f>
        <v>42773</v>
      </c>
      <c r="E19960" s="8">
        <f t="shared" si="326"/>
        <v>2017</v>
      </c>
      <c r="F19960" t="s">
        <v>3179</v>
      </c>
      <c r="G19960" s="9">
        <v>7500</v>
      </c>
      <c r="H19960" s="8">
        <v>24159</v>
      </c>
    </row>
    <row r="19961" spans="2:8" ht="15" customHeight="1" x14ac:dyDescent="0.4">
      <c r="B19961" t="s">
        <v>7</v>
      </c>
      <c r="C19961" t="s">
        <v>3177</v>
      </c>
      <c r="D19961" s="7">
        <f>DATE(2017,3,14)</f>
        <v>42808</v>
      </c>
      <c r="E19961" s="8">
        <f t="shared" si="326"/>
        <v>2017</v>
      </c>
      <c r="F19961" t="s">
        <v>3179</v>
      </c>
      <c r="G19961" s="9">
        <v>1300</v>
      </c>
      <c r="H19961" s="8">
        <v>24271</v>
      </c>
    </row>
    <row r="19962" spans="2:8" ht="15" customHeight="1" x14ac:dyDescent="0.4">
      <c r="B19962" t="s">
        <v>7</v>
      </c>
      <c r="C19962" t="s">
        <v>3177</v>
      </c>
      <c r="D19962" s="7">
        <f>DATE(2017,4,17)</f>
        <v>42842</v>
      </c>
      <c r="E19962" s="8">
        <f t="shared" si="326"/>
        <v>2017</v>
      </c>
      <c r="F19962" t="s">
        <v>3179</v>
      </c>
      <c r="G19962" s="9">
        <v>11249.05</v>
      </c>
      <c r="H19962" s="8">
        <v>24726</v>
      </c>
    </row>
    <row r="19963" spans="2:8" ht="15" customHeight="1" x14ac:dyDescent="0.4">
      <c r="B19963" t="s">
        <v>7</v>
      </c>
      <c r="C19963" t="s">
        <v>3177</v>
      </c>
      <c r="D19963" s="7">
        <f>DATE(2017,5,23)</f>
        <v>42878</v>
      </c>
      <c r="E19963" s="8">
        <f t="shared" si="326"/>
        <v>2017</v>
      </c>
      <c r="F19963" t="s">
        <v>3179</v>
      </c>
      <c r="G19963" s="9">
        <v>4428.8</v>
      </c>
      <c r="H19963" s="8">
        <v>24958</v>
      </c>
    </row>
    <row r="19964" spans="2:8" ht="15" customHeight="1" x14ac:dyDescent="0.4">
      <c r="B19964" t="s">
        <v>7</v>
      </c>
      <c r="C19964" t="s">
        <v>3177</v>
      </c>
      <c r="D19964" s="7">
        <f>DATE(2017,7,13)</f>
        <v>42929</v>
      </c>
      <c r="E19964" s="8">
        <f t="shared" si="326"/>
        <v>2017</v>
      </c>
      <c r="F19964" t="s">
        <v>3179</v>
      </c>
      <c r="G19964" s="9">
        <v>5312.5</v>
      </c>
      <c r="H19964" s="8">
        <v>25221</v>
      </c>
    </row>
    <row r="19965" spans="2:8" ht="15" customHeight="1" x14ac:dyDescent="0.4">
      <c r="B19965" t="s">
        <v>7</v>
      </c>
      <c r="C19965" t="s">
        <v>3177</v>
      </c>
      <c r="D19965" s="7">
        <f>DATE(2017,10,4)</f>
        <v>43012</v>
      </c>
      <c r="E19965" s="8">
        <f t="shared" si="326"/>
        <v>2017</v>
      </c>
      <c r="F19965" t="s">
        <v>3179</v>
      </c>
      <c r="G19965" s="9">
        <v>9427.69</v>
      </c>
      <c r="H19965" s="8">
        <v>25664</v>
      </c>
    </row>
    <row r="19966" spans="2:8" ht="15" customHeight="1" x14ac:dyDescent="0.4">
      <c r="B19966" t="s">
        <v>7</v>
      </c>
      <c r="C19966" t="s">
        <v>3177</v>
      </c>
      <c r="D19966" s="7">
        <f>DATE(2017,11,13)</f>
        <v>43052</v>
      </c>
      <c r="E19966" s="8">
        <f t="shared" si="326"/>
        <v>2017</v>
      </c>
      <c r="F19966" t="s">
        <v>3179</v>
      </c>
      <c r="G19966" s="9">
        <v>9990.4500000000007</v>
      </c>
      <c r="H19966" s="8">
        <v>25666</v>
      </c>
    </row>
    <row r="19967" spans="2:8" ht="15" customHeight="1" x14ac:dyDescent="0.4">
      <c r="B19967" t="s">
        <v>7</v>
      </c>
      <c r="C19967" t="s">
        <v>3177</v>
      </c>
      <c r="D19967" s="7">
        <f>DATE(2017,12,18)</f>
        <v>43087</v>
      </c>
      <c r="E19967" s="8">
        <f t="shared" si="326"/>
        <v>2017</v>
      </c>
      <c r="F19967" t="s">
        <v>3179</v>
      </c>
      <c r="G19967" s="9">
        <v>3300</v>
      </c>
      <c r="H19967" s="8">
        <v>25986</v>
      </c>
    </row>
    <row r="19968" spans="2:8" ht="15" customHeight="1" x14ac:dyDescent="0.4">
      <c r="B19968" t="s">
        <v>7</v>
      </c>
      <c r="C19968" t="s">
        <v>3177</v>
      </c>
      <c r="D19968" s="7">
        <f>DATE(2018,2,23)</f>
        <v>43154</v>
      </c>
      <c r="E19968" s="8">
        <f t="shared" si="326"/>
        <v>2018</v>
      </c>
      <c r="F19968" t="s">
        <v>3179</v>
      </c>
      <c r="G19968" s="9">
        <v>2444.38</v>
      </c>
      <c r="H19968" s="8">
        <v>26471</v>
      </c>
    </row>
    <row r="19969" spans="2:8" ht="15" customHeight="1" x14ac:dyDescent="0.4">
      <c r="B19969" t="s">
        <v>7</v>
      </c>
      <c r="C19969" t="s">
        <v>3177</v>
      </c>
      <c r="D19969" s="7">
        <f>DATE(2018,10,12)</f>
        <v>43385</v>
      </c>
      <c r="E19969" s="8">
        <f t="shared" si="326"/>
        <v>2018</v>
      </c>
      <c r="F19969" t="s">
        <v>3179</v>
      </c>
      <c r="G19969" s="9">
        <v>18940.68</v>
      </c>
      <c r="H19969" s="8">
        <v>27793</v>
      </c>
    </row>
    <row r="19970" spans="2:8" ht="15" customHeight="1" x14ac:dyDescent="0.4">
      <c r="B19970" t="s">
        <v>7</v>
      </c>
      <c r="C19970" t="s">
        <v>3180</v>
      </c>
      <c r="D19970" s="7">
        <f>DATE(2019,4,24)</f>
        <v>43579</v>
      </c>
      <c r="E19970" s="8">
        <f t="shared" si="326"/>
        <v>2019</v>
      </c>
      <c r="F19970" t="s">
        <v>3181</v>
      </c>
      <c r="G19970" s="9">
        <v>5490</v>
      </c>
      <c r="H19970" s="8">
        <v>28315</v>
      </c>
    </row>
    <row r="19971" spans="2:8" ht="15" customHeight="1" x14ac:dyDescent="0.4">
      <c r="B19971" t="s">
        <v>7</v>
      </c>
      <c r="C19971" t="s">
        <v>3182</v>
      </c>
      <c r="D19971" s="7">
        <f>DATE(2011,9,20)</f>
        <v>40806</v>
      </c>
      <c r="E19971" s="8">
        <f t="shared" ref="E19971:E20034" si="327">YEAR(D19971)</f>
        <v>2011</v>
      </c>
      <c r="F19971" t="s">
        <v>3183</v>
      </c>
      <c r="G19971" s="9">
        <v>21033.86</v>
      </c>
      <c r="H19971" s="8">
        <v>10891</v>
      </c>
    </row>
    <row r="19972" spans="2:8" ht="15" customHeight="1" x14ac:dyDescent="0.4">
      <c r="B19972" t="s">
        <v>7</v>
      </c>
      <c r="C19972" t="s">
        <v>3182</v>
      </c>
      <c r="D19972" s="7">
        <f>DATE(2004,9,20)</f>
        <v>38250</v>
      </c>
      <c r="E19972" s="8">
        <f t="shared" si="327"/>
        <v>2004</v>
      </c>
      <c r="F19972" t="s">
        <v>3183</v>
      </c>
      <c r="G19972" s="9">
        <v>11167</v>
      </c>
      <c r="H19972" s="8">
        <v>2017</v>
      </c>
    </row>
    <row r="19973" spans="2:8" ht="15" customHeight="1" x14ac:dyDescent="0.4">
      <c r="B19973" s="3" t="s">
        <v>7</v>
      </c>
      <c r="C19973" s="3" t="s">
        <v>3182</v>
      </c>
      <c r="D19973" s="4">
        <f>DATE(2003,3,17)</f>
        <v>37697</v>
      </c>
      <c r="E19973" s="5">
        <f t="shared" si="327"/>
        <v>2003</v>
      </c>
      <c r="F19973" s="3" t="s">
        <v>3183</v>
      </c>
      <c r="G19973" s="6">
        <v>5532.3</v>
      </c>
      <c r="H19973" s="5">
        <v>533</v>
      </c>
    </row>
    <row r="19974" spans="2:8" ht="15" customHeight="1" x14ac:dyDescent="0.4">
      <c r="B19974" s="3" t="s">
        <v>7</v>
      </c>
      <c r="C19974" s="3" t="s">
        <v>3182</v>
      </c>
      <c r="D19974" s="4">
        <f>DATE(2007,6,20)</f>
        <v>39253</v>
      </c>
      <c r="E19974" s="5">
        <f t="shared" si="327"/>
        <v>2007</v>
      </c>
      <c r="F19974" s="3" t="s">
        <v>3183</v>
      </c>
      <c r="G19974" s="6">
        <v>7651.83</v>
      </c>
      <c r="H19974" s="5">
        <v>8755</v>
      </c>
    </row>
    <row r="19975" spans="2:8" ht="15" customHeight="1" x14ac:dyDescent="0.4">
      <c r="B19975" s="3" t="s">
        <v>7</v>
      </c>
      <c r="C19975" s="3" t="s">
        <v>3182</v>
      </c>
      <c r="D19975" s="4">
        <f>DATE(2008,1,3)</f>
        <v>39450</v>
      </c>
      <c r="E19975" s="5">
        <f t="shared" si="327"/>
        <v>2008</v>
      </c>
      <c r="F19975" s="3" t="s">
        <v>3183</v>
      </c>
      <c r="G19975" s="6">
        <v>2781.25</v>
      </c>
      <c r="H19975" s="5">
        <v>9312</v>
      </c>
    </row>
    <row r="19976" spans="2:8" ht="15" customHeight="1" x14ac:dyDescent="0.4">
      <c r="B19976" s="3" t="s">
        <v>7</v>
      </c>
      <c r="C19976" s="3" t="s">
        <v>3182</v>
      </c>
      <c r="D19976" s="4">
        <f>DATE(2008,5,16)</f>
        <v>39584</v>
      </c>
      <c r="E19976" s="5">
        <f t="shared" si="327"/>
        <v>2008</v>
      </c>
      <c r="F19976" s="3" t="s">
        <v>3183</v>
      </c>
      <c r="G19976" s="6">
        <v>7600</v>
      </c>
      <c r="H19976" s="5">
        <v>10673</v>
      </c>
    </row>
    <row r="19977" spans="2:8" ht="15" customHeight="1" x14ac:dyDescent="0.4">
      <c r="B19977" s="3" t="s">
        <v>7</v>
      </c>
      <c r="C19977" s="3" t="s">
        <v>3182</v>
      </c>
      <c r="D19977" s="4">
        <f>DATE(2009,7,7)</f>
        <v>40001</v>
      </c>
      <c r="E19977" s="5">
        <f t="shared" si="327"/>
        <v>2009</v>
      </c>
      <c r="F19977" s="3" t="s">
        <v>3183</v>
      </c>
      <c r="G19977" s="6">
        <v>5700</v>
      </c>
      <c r="H19977" s="5">
        <v>12774</v>
      </c>
    </row>
    <row r="19978" spans="2:8" ht="15" customHeight="1" x14ac:dyDescent="0.4">
      <c r="B19978" s="3" t="s">
        <v>7</v>
      </c>
      <c r="C19978" s="3" t="s">
        <v>3182</v>
      </c>
      <c r="D19978" s="4">
        <f>DATE(2010,8,23)</f>
        <v>40413</v>
      </c>
      <c r="E19978" s="5">
        <f t="shared" si="327"/>
        <v>2010</v>
      </c>
      <c r="F19978" s="3" t="s">
        <v>3183</v>
      </c>
      <c r="G19978" s="6">
        <v>3840.97</v>
      </c>
      <c r="H19978" s="5">
        <v>14408</v>
      </c>
    </row>
    <row r="19979" spans="2:8" ht="15" customHeight="1" x14ac:dyDescent="0.4">
      <c r="B19979" s="3" t="s">
        <v>7</v>
      </c>
      <c r="C19979" s="3" t="s">
        <v>3182</v>
      </c>
      <c r="D19979" s="4">
        <f>DATE(2011,5,2)</f>
        <v>40665</v>
      </c>
      <c r="E19979" s="5">
        <f t="shared" si="327"/>
        <v>2011</v>
      </c>
      <c r="F19979" s="3" t="s">
        <v>3183</v>
      </c>
      <c r="G19979" s="6">
        <v>15336.15</v>
      </c>
      <c r="H19979" s="5">
        <v>15488</v>
      </c>
    </row>
    <row r="19980" spans="2:8" ht="15" customHeight="1" x14ac:dyDescent="0.4">
      <c r="B19980" t="s">
        <v>7</v>
      </c>
      <c r="C19980" t="s">
        <v>3184</v>
      </c>
      <c r="D19980" s="7">
        <f>DATE(2018,10,4)</f>
        <v>43377</v>
      </c>
      <c r="E19980" s="8">
        <f t="shared" si="327"/>
        <v>2018</v>
      </c>
      <c r="F19980" t="s">
        <v>3185</v>
      </c>
      <c r="G19980" s="9">
        <v>13647</v>
      </c>
      <c r="H19980" s="8">
        <v>26771</v>
      </c>
    </row>
    <row r="19981" spans="2:8" ht="15" customHeight="1" x14ac:dyDescent="0.4">
      <c r="B19981" t="s">
        <v>7</v>
      </c>
      <c r="C19981" t="s">
        <v>3184</v>
      </c>
      <c r="D19981" s="7">
        <f>DATE(2018,12,18)</f>
        <v>43452</v>
      </c>
      <c r="E19981" s="8">
        <f t="shared" si="327"/>
        <v>2018</v>
      </c>
      <c r="F19981" t="s">
        <v>3186</v>
      </c>
      <c r="G19981" s="9">
        <v>3926.49</v>
      </c>
      <c r="H19981" s="8">
        <v>27766</v>
      </c>
    </row>
    <row r="19982" spans="2:8" ht="15" customHeight="1" x14ac:dyDescent="0.4">
      <c r="B19982" t="s">
        <v>7</v>
      </c>
      <c r="C19982" t="s">
        <v>3184</v>
      </c>
      <c r="D19982" s="7">
        <f>DATE(2018,11,20)</f>
        <v>43424</v>
      </c>
      <c r="E19982" s="8">
        <f t="shared" si="327"/>
        <v>2018</v>
      </c>
      <c r="F19982" t="s">
        <v>3186</v>
      </c>
      <c r="G19982" s="9">
        <v>46803.64</v>
      </c>
      <c r="H19982" s="8">
        <v>27984</v>
      </c>
    </row>
    <row r="19983" spans="2:8" ht="15" customHeight="1" x14ac:dyDescent="0.4">
      <c r="B19983" t="s">
        <v>7</v>
      </c>
      <c r="C19983" t="s">
        <v>3184</v>
      </c>
      <c r="D19983" s="7">
        <f>DATE(2018,11,29)</f>
        <v>43433</v>
      </c>
      <c r="E19983" s="8">
        <f t="shared" si="327"/>
        <v>2018</v>
      </c>
      <c r="F19983" t="s">
        <v>3186</v>
      </c>
      <c r="G19983" s="9">
        <v>6040.1</v>
      </c>
      <c r="H19983" s="8">
        <v>28025</v>
      </c>
    </row>
    <row r="19984" spans="2:8" ht="15" customHeight="1" x14ac:dyDescent="0.4">
      <c r="B19984" t="s">
        <v>7</v>
      </c>
      <c r="C19984" t="s">
        <v>3184</v>
      </c>
      <c r="D19984" s="7">
        <f>DATE(2018,12,17)</f>
        <v>43451</v>
      </c>
      <c r="E19984" s="8">
        <f t="shared" si="327"/>
        <v>2018</v>
      </c>
      <c r="F19984" t="s">
        <v>3186</v>
      </c>
      <c r="G19984" s="9">
        <v>154229.41</v>
      </c>
      <c r="H19984" s="8">
        <v>27639</v>
      </c>
    </row>
    <row r="19985" spans="2:8" ht="15" customHeight="1" x14ac:dyDescent="0.4">
      <c r="B19985" t="s">
        <v>7</v>
      </c>
      <c r="C19985" t="s">
        <v>3184</v>
      </c>
      <c r="D19985" s="7">
        <f>DATE(2018,12,17)</f>
        <v>43451</v>
      </c>
      <c r="E19985" s="8">
        <f t="shared" si="327"/>
        <v>2018</v>
      </c>
      <c r="F19985" t="s">
        <v>3186</v>
      </c>
      <c r="G19985" s="9">
        <v>12134.24</v>
      </c>
      <c r="H19985" s="8">
        <v>27980</v>
      </c>
    </row>
    <row r="19986" spans="2:8" ht="15" customHeight="1" x14ac:dyDescent="0.4">
      <c r="B19986" t="s">
        <v>7</v>
      </c>
      <c r="C19986" t="s">
        <v>3187</v>
      </c>
      <c r="D19986" s="7">
        <f>DATE(2003,3,23)</f>
        <v>37703</v>
      </c>
      <c r="E19986" s="8">
        <f t="shared" si="327"/>
        <v>2003</v>
      </c>
      <c r="F19986" t="s">
        <v>3188</v>
      </c>
      <c r="G19986" s="9">
        <v>31310.89</v>
      </c>
      <c r="H19986" s="8">
        <v>5</v>
      </c>
    </row>
    <row r="19987" spans="2:8" ht="15" customHeight="1" x14ac:dyDescent="0.4">
      <c r="B19987" t="s">
        <v>7</v>
      </c>
      <c r="C19987" t="s">
        <v>3187</v>
      </c>
      <c r="D19987" s="7">
        <f>DATE(2004,3,18)</f>
        <v>38064</v>
      </c>
      <c r="E19987" s="8">
        <f t="shared" si="327"/>
        <v>2004</v>
      </c>
      <c r="F19987" t="s">
        <v>3188</v>
      </c>
      <c r="G19987" s="9">
        <v>28800</v>
      </c>
      <c r="H19987" s="8">
        <v>19</v>
      </c>
    </row>
    <row r="19988" spans="2:8" ht="15" customHeight="1" x14ac:dyDescent="0.4">
      <c r="B19988" t="s">
        <v>7</v>
      </c>
      <c r="C19988" t="s">
        <v>3187</v>
      </c>
      <c r="D19988" s="7">
        <f>DATE(2004,3,15)</f>
        <v>38061</v>
      </c>
      <c r="E19988" s="8">
        <f t="shared" si="327"/>
        <v>2004</v>
      </c>
      <c r="F19988" t="s">
        <v>3188</v>
      </c>
      <c r="G19988" s="9">
        <v>30360</v>
      </c>
      <c r="H19988" s="8">
        <v>18</v>
      </c>
    </row>
    <row r="19989" spans="2:8" ht="15" customHeight="1" x14ac:dyDescent="0.4">
      <c r="B19989" t="s">
        <v>7</v>
      </c>
      <c r="C19989" t="s">
        <v>3187</v>
      </c>
      <c r="D19989" s="7">
        <f>DATE(2004,4,15)</f>
        <v>38092</v>
      </c>
      <c r="E19989" s="8">
        <f t="shared" si="327"/>
        <v>2004</v>
      </c>
      <c r="F19989" t="s">
        <v>3188</v>
      </c>
      <c r="G19989" s="9">
        <v>17859</v>
      </c>
      <c r="H19989" s="8">
        <v>27</v>
      </c>
    </row>
    <row r="19990" spans="2:8" ht="15" customHeight="1" x14ac:dyDescent="0.4">
      <c r="B19990" t="s">
        <v>7</v>
      </c>
      <c r="C19990" t="s">
        <v>3187</v>
      </c>
      <c r="D19990" s="7">
        <f>DATE(2018,1,15)</f>
        <v>43115</v>
      </c>
      <c r="E19990" s="8">
        <f t="shared" si="327"/>
        <v>2018</v>
      </c>
      <c r="F19990" t="s">
        <v>3189</v>
      </c>
      <c r="G19990" s="9">
        <v>2491.73</v>
      </c>
      <c r="H19990" s="8">
        <v>26177</v>
      </c>
    </row>
    <row r="19991" spans="2:8" ht="15" customHeight="1" x14ac:dyDescent="0.4">
      <c r="B19991" t="s">
        <v>7</v>
      </c>
      <c r="C19991" t="s">
        <v>3187</v>
      </c>
      <c r="D19991" s="7">
        <f>DATE(2018,1,24)</f>
        <v>43124</v>
      </c>
      <c r="E19991" s="8">
        <f t="shared" si="327"/>
        <v>2018</v>
      </c>
      <c r="F19991" t="s">
        <v>3189</v>
      </c>
      <c r="G19991" s="9">
        <v>3679.49</v>
      </c>
      <c r="H19991" s="8">
        <v>26177</v>
      </c>
    </row>
    <row r="19992" spans="2:8" ht="15" customHeight="1" x14ac:dyDescent="0.4">
      <c r="B19992" t="s">
        <v>7</v>
      </c>
      <c r="C19992" t="s">
        <v>3187</v>
      </c>
      <c r="D19992" s="7">
        <f>DATE(2015,3,12)</f>
        <v>42075</v>
      </c>
      <c r="E19992" s="8">
        <f t="shared" si="327"/>
        <v>2015</v>
      </c>
      <c r="F19992" t="s">
        <v>3189</v>
      </c>
      <c r="G19992" s="9">
        <v>10623.51</v>
      </c>
      <c r="H19992" s="8">
        <v>20081</v>
      </c>
    </row>
    <row r="19993" spans="2:8" ht="15" customHeight="1" x14ac:dyDescent="0.4">
      <c r="B19993" t="s">
        <v>7</v>
      </c>
      <c r="C19993" t="s">
        <v>3187</v>
      </c>
      <c r="D19993" s="7">
        <f>DATE(2015,7,22)</f>
        <v>42207</v>
      </c>
      <c r="E19993" s="8">
        <f t="shared" si="327"/>
        <v>2015</v>
      </c>
      <c r="F19993" t="s">
        <v>3189</v>
      </c>
      <c r="G19993" s="9">
        <v>5259.8</v>
      </c>
      <c r="H19993" s="8">
        <v>20908</v>
      </c>
    </row>
    <row r="19994" spans="2:8" ht="15" customHeight="1" x14ac:dyDescent="0.4">
      <c r="B19994" t="s">
        <v>7</v>
      </c>
      <c r="C19994" t="s">
        <v>3187</v>
      </c>
      <c r="D19994" s="7">
        <f>DATE(2015,11,19)</f>
        <v>42327</v>
      </c>
      <c r="E19994" s="8">
        <f t="shared" si="327"/>
        <v>2015</v>
      </c>
      <c r="F19994" t="s">
        <v>3189</v>
      </c>
      <c r="G19994" s="9">
        <v>6669.1</v>
      </c>
      <c r="H19994" s="8">
        <v>21639</v>
      </c>
    </row>
    <row r="19995" spans="2:8" ht="15" customHeight="1" x14ac:dyDescent="0.4">
      <c r="B19995" t="s">
        <v>7</v>
      </c>
      <c r="C19995" t="s">
        <v>3190</v>
      </c>
      <c r="D19995" s="7">
        <f>DATE(2015,3,31)</f>
        <v>42094</v>
      </c>
      <c r="E19995" s="8">
        <f t="shared" si="327"/>
        <v>2015</v>
      </c>
      <c r="F19995" t="s">
        <v>3191</v>
      </c>
      <c r="G19995" s="9">
        <v>41338.230000000003</v>
      </c>
      <c r="H19995" s="8">
        <v>318</v>
      </c>
    </row>
    <row r="19996" spans="2:8" ht="15" customHeight="1" x14ac:dyDescent="0.4">
      <c r="B19996" t="s">
        <v>7</v>
      </c>
      <c r="C19996" t="s">
        <v>3190</v>
      </c>
      <c r="D19996" s="7">
        <f>DATE(2017,3,10)</f>
        <v>42804</v>
      </c>
      <c r="E19996" s="8">
        <f t="shared" si="327"/>
        <v>2017</v>
      </c>
      <c r="F19996" t="s">
        <v>3191</v>
      </c>
      <c r="G19996" s="9">
        <v>33224.86</v>
      </c>
      <c r="H19996" s="8">
        <v>24230</v>
      </c>
    </row>
    <row r="19997" spans="2:8" ht="15" customHeight="1" x14ac:dyDescent="0.4">
      <c r="B19997" t="s">
        <v>7</v>
      </c>
      <c r="C19997" t="s">
        <v>3190</v>
      </c>
      <c r="D19997" s="7">
        <f>DATE(2018,2,20)</f>
        <v>43151</v>
      </c>
      <c r="E19997" s="8">
        <f t="shared" si="327"/>
        <v>2018</v>
      </c>
      <c r="F19997" t="s">
        <v>3191</v>
      </c>
      <c r="G19997" s="9">
        <v>31223.79</v>
      </c>
      <c r="H19997" s="8">
        <v>26424</v>
      </c>
    </row>
    <row r="19998" spans="2:8" ht="15" customHeight="1" x14ac:dyDescent="0.4">
      <c r="B19998" t="s">
        <v>7</v>
      </c>
      <c r="C19998" t="s">
        <v>3190</v>
      </c>
      <c r="D19998" s="7">
        <f>DATE(2018,3,21)</f>
        <v>43180</v>
      </c>
      <c r="E19998" s="8">
        <f t="shared" si="327"/>
        <v>2018</v>
      </c>
      <c r="F19998" t="s">
        <v>3191</v>
      </c>
      <c r="G19998" s="9">
        <v>40046.1</v>
      </c>
      <c r="H19998" s="8">
        <v>26549</v>
      </c>
    </row>
    <row r="19999" spans="2:8" ht="15" customHeight="1" x14ac:dyDescent="0.4">
      <c r="B19999" t="s">
        <v>7</v>
      </c>
      <c r="C19999" t="s">
        <v>3190</v>
      </c>
      <c r="D19999" s="7">
        <f>DATE(2015,2,26)</f>
        <v>42061</v>
      </c>
      <c r="E19999" s="8">
        <f t="shared" si="327"/>
        <v>2015</v>
      </c>
      <c r="F19999" t="s">
        <v>3191</v>
      </c>
      <c r="G19999" s="9">
        <v>7626</v>
      </c>
      <c r="H19999" s="8">
        <v>317</v>
      </c>
    </row>
    <row r="20000" spans="2:8" ht="15" customHeight="1" x14ac:dyDescent="0.4">
      <c r="B20000" t="s">
        <v>7</v>
      </c>
      <c r="C20000" t="s">
        <v>3190</v>
      </c>
      <c r="D20000" s="7">
        <f>DATE(2015,12,10)</f>
        <v>42348</v>
      </c>
      <c r="E20000" s="8">
        <f t="shared" si="327"/>
        <v>2015</v>
      </c>
      <c r="F20000" t="s">
        <v>3191</v>
      </c>
      <c r="G20000" s="9">
        <v>11111.06</v>
      </c>
      <c r="H20000" s="8">
        <v>21495</v>
      </c>
    </row>
    <row r="20001" spans="2:8" ht="15" customHeight="1" x14ac:dyDescent="0.4">
      <c r="B20001" t="s">
        <v>7</v>
      </c>
      <c r="C20001" t="s">
        <v>3190</v>
      </c>
      <c r="D20001" s="7">
        <f>DATE(2016,1,27)</f>
        <v>42396</v>
      </c>
      <c r="E20001" s="8">
        <f t="shared" si="327"/>
        <v>2016</v>
      </c>
      <c r="F20001" t="s">
        <v>3191</v>
      </c>
      <c r="G20001" s="9">
        <v>11806.03</v>
      </c>
      <c r="H20001" s="8">
        <v>21953</v>
      </c>
    </row>
    <row r="20002" spans="2:8" ht="15" customHeight="1" x14ac:dyDescent="0.4">
      <c r="B20002" t="s">
        <v>7</v>
      </c>
      <c r="C20002" t="s">
        <v>3190</v>
      </c>
      <c r="D20002" s="7">
        <f>DATE(2015,3,31)</f>
        <v>42094</v>
      </c>
      <c r="E20002" s="8">
        <f t="shared" si="327"/>
        <v>2015</v>
      </c>
      <c r="F20002" t="s">
        <v>3191</v>
      </c>
      <c r="G20002" s="9">
        <v>22752</v>
      </c>
      <c r="H20002" s="8">
        <v>278</v>
      </c>
    </row>
    <row r="20003" spans="2:8" ht="15" customHeight="1" x14ac:dyDescent="0.4">
      <c r="B20003" t="s">
        <v>7</v>
      </c>
      <c r="C20003" t="s">
        <v>3190</v>
      </c>
      <c r="D20003" s="7">
        <f>DATE(2010,5,7)</f>
        <v>40305</v>
      </c>
      <c r="E20003" s="8">
        <f t="shared" si="327"/>
        <v>2010</v>
      </c>
      <c r="F20003" t="s">
        <v>3191</v>
      </c>
      <c r="G20003" s="9">
        <v>44150.42</v>
      </c>
      <c r="H20003" s="8">
        <v>9769</v>
      </c>
    </row>
    <row r="20004" spans="2:8" ht="15" customHeight="1" x14ac:dyDescent="0.4">
      <c r="B20004" t="s">
        <v>7</v>
      </c>
      <c r="C20004" t="s">
        <v>3190</v>
      </c>
      <c r="D20004" s="7">
        <f>DATE(2011,1,5)</f>
        <v>40548</v>
      </c>
      <c r="E20004" s="8">
        <f t="shared" si="327"/>
        <v>2011</v>
      </c>
      <c r="F20004" t="s">
        <v>3191</v>
      </c>
      <c r="G20004" s="9">
        <v>44195.83</v>
      </c>
      <c r="H20004" s="8">
        <v>10268</v>
      </c>
    </row>
    <row r="20005" spans="2:8" ht="15" customHeight="1" x14ac:dyDescent="0.4">
      <c r="B20005" t="s">
        <v>7</v>
      </c>
      <c r="C20005" t="s">
        <v>3190</v>
      </c>
      <c r="D20005" s="7">
        <f>DATE(2011,3,18)</f>
        <v>40620</v>
      </c>
      <c r="E20005" s="8">
        <f t="shared" si="327"/>
        <v>2011</v>
      </c>
      <c r="F20005" t="s">
        <v>3191</v>
      </c>
      <c r="G20005" s="9">
        <v>75033</v>
      </c>
      <c r="H20005" s="8">
        <v>10513</v>
      </c>
    </row>
    <row r="20006" spans="2:8" ht="15" customHeight="1" x14ac:dyDescent="0.4">
      <c r="B20006" t="s">
        <v>7</v>
      </c>
      <c r="C20006" t="s">
        <v>3190</v>
      </c>
      <c r="D20006" s="7">
        <f>DATE(2012,4,4)</f>
        <v>41003</v>
      </c>
      <c r="E20006" s="8">
        <f t="shared" si="327"/>
        <v>2012</v>
      </c>
      <c r="F20006" t="s">
        <v>3191</v>
      </c>
      <c r="G20006" s="9">
        <v>31982.42</v>
      </c>
      <c r="H20006" s="8">
        <v>11475</v>
      </c>
    </row>
    <row r="20007" spans="2:8" ht="15" customHeight="1" x14ac:dyDescent="0.4">
      <c r="B20007" t="s">
        <v>7</v>
      </c>
      <c r="C20007" t="s">
        <v>3190</v>
      </c>
      <c r="D20007" s="7">
        <f>DATE(2012,5,7)</f>
        <v>41036</v>
      </c>
      <c r="E20007" s="8">
        <f t="shared" si="327"/>
        <v>2012</v>
      </c>
      <c r="F20007" t="s">
        <v>3191</v>
      </c>
      <c r="G20007" s="9">
        <v>30609.74</v>
      </c>
      <c r="H20007" s="8">
        <v>11577</v>
      </c>
    </row>
    <row r="20008" spans="2:8" ht="15" customHeight="1" x14ac:dyDescent="0.4">
      <c r="B20008" t="s">
        <v>7</v>
      </c>
      <c r="C20008" t="s">
        <v>3190</v>
      </c>
      <c r="D20008" s="7">
        <f>DATE(2013,3,28)</f>
        <v>41361</v>
      </c>
      <c r="E20008" s="8">
        <f t="shared" si="327"/>
        <v>2013</v>
      </c>
      <c r="F20008" t="s">
        <v>3191</v>
      </c>
      <c r="G20008" s="9">
        <v>55330.61</v>
      </c>
      <c r="H20008" s="8">
        <v>12155</v>
      </c>
    </row>
    <row r="20009" spans="2:8" ht="15" customHeight="1" x14ac:dyDescent="0.4">
      <c r="B20009" t="s">
        <v>7</v>
      </c>
      <c r="C20009" t="s">
        <v>3190</v>
      </c>
      <c r="D20009" s="7">
        <f>DATE(2014,4,10)</f>
        <v>41739</v>
      </c>
      <c r="E20009" s="8">
        <f t="shared" si="327"/>
        <v>2014</v>
      </c>
      <c r="F20009" t="s">
        <v>3191</v>
      </c>
      <c r="G20009" s="9">
        <v>32660.240000000002</v>
      </c>
      <c r="H20009" s="8">
        <v>12993</v>
      </c>
    </row>
    <row r="20010" spans="2:8" ht="15" customHeight="1" x14ac:dyDescent="0.4">
      <c r="B20010" t="s">
        <v>7</v>
      </c>
      <c r="C20010" t="s">
        <v>3190</v>
      </c>
      <c r="D20010" s="7">
        <f>DATE(2010,11,2)</f>
        <v>40484</v>
      </c>
      <c r="E20010" s="8">
        <f t="shared" si="327"/>
        <v>2010</v>
      </c>
      <c r="F20010" t="s">
        <v>3191</v>
      </c>
      <c r="G20010" s="9">
        <v>12333.66</v>
      </c>
      <c r="H20010" s="8">
        <v>10174</v>
      </c>
    </row>
    <row r="20011" spans="2:8" ht="15" customHeight="1" x14ac:dyDescent="0.4">
      <c r="B20011" t="s">
        <v>7</v>
      </c>
      <c r="C20011" t="s">
        <v>3190</v>
      </c>
      <c r="D20011" s="7">
        <f>DATE(2011,7,22)</f>
        <v>40746</v>
      </c>
      <c r="E20011" s="8">
        <f t="shared" si="327"/>
        <v>2011</v>
      </c>
      <c r="F20011" t="s">
        <v>3191</v>
      </c>
      <c r="G20011" s="9">
        <v>14109.62</v>
      </c>
      <c r="H20011" s="8">
        <v>10841</v>
      </c>
    </row>
    <row r="20012" spans="2:8" ht="15" customHeight="1" x14ac:dyDescent="0.4">
      <c r="B20012" t="s">
        <v>7</v>
      </c>
      <c r="C20012" t="s">
        <v>3190</v>
      </c>
      <c r="D20012" s="7">
        <f>DATE(2012,10,19)</f>
        <v>41201</v>
      </c>
      <c r="E20012" s="8">
        <f t="shared" si="327"/>
        <v>2012</v>
      </c>
      <c r="F20012" t="s">
        <v>3191</v>
      </c>
      <c r="G20012" s="9">
        <v>7754.25</v>
      </c>
      <c r="H20012" s="8">
        <v>11890</v>
      </c>
    </row>
    <row r="20013" spans="2:8" ht="15" customHeight="1" x14ac:dyDescent="0.4">
      <c r="B20013" s="3" t="s">
        <v>7</v>
      </c>
      <c r="C20013" s="3" t="s">
        <v>3190</v>
      </c>
      <c r="D20013" s="4">
        <f>DATE(2012,3,16)</f>
        <v>40984</v>
      </c>
      <c r="E20013" s="5">
        <f t="shared" si="327"/>
        <v>2012</v>
      </c>
      <c r="F20013" s="3" t="s">
        <v>3191</v>
      </c>
      <c r="G20013" s="6">
        <v>15710.45</v>
      </c>
      <c r="H20013" s="5">
        <v>16761</v>
      </c>
    </row>
    <row r="20014" spans="2:8" ht="15" customHeight="1" x14ac:dyDescent="0.4">
      <c r="B20014" s="3" t="s">
        <v>7</v>
      </c>
      <c r="C20014" s="3" t="s">
        <v>3190</v>
      </c>
      <c r="D20014" s="4">
        <f>DATE(2013,2,14)</f>
        <v>41319</v>
      </c>
      <c r="E20014" s="5">
        <f t="shared" si="327"/>
        <v>2013</v>
      </c>
      <c r="F20014" s="3" t="s">
        <v>3191</v>
      </c>
      <c r="G20014" s="6">
        <v>24475</v>
      </c>
      <c r="H20014" s="5">
        <v>18000</v>
      </c>
    </row>
    <row r="20015" spans="2:8" ht="15" customHeight="1" x14ac:dyDescent="0.4">
      <c r="B20015" s="3" t="s">
        <v>7</v>
      </c>
      <c r="C20015" s="3" t="s">
        <v>3190</v>
      </c>
      <c r="D20015" s="4">
        <f>DATE(2014,3,5)</f>
        <v>41703</v>
      </c>
      <c r="E20015" s="5">
        <f t="shared" si="327"/>
        <v>2014</v>
      </c>
      <c r="F20015" s="3" t="s">
        <v>3191</v>
      </c>
      <c r="G20015" s="6">
        <v>7624.5</v>
      </c>
      <c r="H20015" s="5">
        <v>19528</v>
      </c>
    </row>
    <row r="20016" spans="2:8" ht="15" customHeight="1" x14ac:dyDescent="0.4">
      <c r="B20016" t="s">
        <v>7</v>
      </c>
      <c r="C20016" t="s">
        <v>3190</v>
      </c>
      <c r="D20016" s="7">
        <f>DATE(2016,5,6)</f>
        <v>42496</v>
      </c>
      <c r="E20016" s="8">
        <f t="shared" si="327"/>
        <v>2016</v>
      </c>
      <c r="F20016" t="s">
        <v>3192</v>
      </c>
      <c r="G20016" s="9">
        <v>45732.52</v>
      </c>
      <c r="H20016" s="8">
        <v>21944</v>
      </c>
    </row>
    <row r="20017" spans="2:8" ht="15" customHeight="1" x14ac:dyDescent="0.4">
      <c r="B20017" t="s">
        <v>7</v>
      </c>
      <c r="C20017" t="s">
        <v>3190</v>
      </c>
      <c r="D20017" s="7">
        <f>DATE(2016,8,10)</f>
        <v>42592</v>
      </c>
      <c r="E20017" s="8">
        <f t="shared" si="327"/>
        <v>2016</v>
      </c>
      <c r="F20017" t="s">
        <v>3192</v>
      </c>
      <c r="G20017" s="9">
        <v>14642.27</v>
      </c>
      <c r="H20017" s="8">
        <v>23174</v>
      </c>
    </row>
    <row r="20018" spans="2:8" ht="15" customHeight="1" x14ac:dyDescent="0.4">
      <c r="B20018" t="s">
        <v>7</v>
      </c>
      <c r="C20018" t="s">
        <v>821</v>
      </c>
      <c r="D20018" s="7">
        <f>DATE(2017,4,21)</f>
        <v>42846</v>
      </c>
      <c r="E20018" s="8">
        <f t="shared" si="327"/>
        <v>2017</v>
      </c>
      <c r="F20018" t="s">
        <v>3193</v>
      </c>
      <c r="G20018" s="9">
        <v>21207.84</v>
      </c>
      <c r="H20018" s="8">
        <v>24707</v>
      </c>
    </row>
    <row r="20019" spans="2:8" ht="15" customHeight="1" x14ac:dyDescent="0.4">
      <c r="B20019" t="s">
        <v>7</v>
      </c>
      <c r="C20019" t="s">
        <v>3194</v>
      </c>
      <c r="D20019" s="7">
        <f>DATE(2017,3,21)</f>
        <v>42815</v>
      </c>
      <c r="E20019" s="8">
        <f t="shared" si="327"/>
        <v>2017</v>
      </c>
      <c r="F20019" t="s">
        <v>3195</v>
      </c>
      <c r="G20019" s="9">
        <v>198.57</v>
      </c>
      <c r="H20019" s="8">
        <v>24503</v>
      </c>
    </row>
    <row r="20020" spans="2:8" ht="15" customHeight="1" x14ac:dyDescent="0.4">
      <c r="B20020" t="s">
        <v>7</v>
      </c>
      <c r="C20020" t="s">
        <v>3194</v>
      </c>
      <c r="D20020" s="7">
        <f>DATE(2007,3,27)</f>
        <v>39168</v>
      </c>
      <c r="E20020" s="8">
        <f t="shared" si="327"/>
        <v>2007</v>
      </c>
      <c r="F20020" t="s">
        <v>3195</v>
      </c>
      <c r="G20020" s="9">
        <v>1201.33</v>
      </c>
      <c r="H20020" s="8">
        <v>5797</v>
      </c>
    </row>
    <row r="20021" spans="2:8" ht="15" customHeight="1" x14ac:dyDescent="0.4">
      <c r="B20021" t="s">
        <v>7</v>
      </c>
      <c r="C20021" t="s">
        <v>3196</v>
      </c>
      <c r="D20021" s="7">
        <f>DATE(2015,9,17)</f>
        <v>42264</v>
      </c>
      <c r="E20021" s="8">
        <f t="shared" si="327"/>
        <v>2015</v>
      </c>
      <c r="F20021" t="s">
        <v>3197</v>
      </c>
      <c r="G20021" s="9">
        <v>25800</v>
      </c>
      <c r="H20021" s="8">
        <v>20977</v>
      </c>
    </row>
    <row r="20022" spans="2:8" ht="15" customHeight="1" x14ac:dyDescent="0.4">
      <c r="B20022" t="s">
        <v>7</v>
      </c>
      <c r="C20022" t="s">
        <v>3196</v>
      </c>
      <c r="D20022" s="7">
        <f>DATE(2016,4,8)</f>
        <v>42468</v>
      </c>
      <c r="E20022" s="8">
        <f t="shared" si="327"/>
        <v>2016</v>
      </c>
      <c r="F20022" t="s">
        <v>3197</v>
      </c>
      <c r="G20022" s="9">
        <v>12900</v>
      </c>
      <c r="H20022" s="8">
        <v>22123</v>
      </c>
    </row>
    <row r="20023" spans="2:8" ht="15" customHeight="1" x14ac:dyDescent="0.4">
      <c r="B20023" t="s">
        <v>7</v>
      </c>
      <c r="C20023" t="s">
        <v>3196</v>
      </c>
      <c r="D20023" s="7">
        <f>DATE(2016,5,31)</f>
        <v>42521</v>
      </c>
      <c r="E20023" s="8">
        <f t="shared" si="327"/>
        <v>2016</v>
      </c>
      <c r="F20023" t="s">
        <v>3197</v>
      </c>
      <c r="G20023" s="9">
        <v>11856</v>
      </c>
      <c r="H20023" s="8">
        <v>22931</v>
      </c>
    </row>
    <row r="20024" spans="2:8" ht="15" customHeight="1" x14ac:dyDescent="0.4">
      <c r="B20024" t="s">
        <v>7</v>
      </c>
      <c r="C20024" t="s">
        <v>3196</v>
      </c>
      <c r="D20024" s="7">
        <f>DATE(2016,10,26)</f>
        <v>42669</v>
      </c>
      <c r="E20024" s="8">
        <f t="shared" si="327"/>
        <v>2016</v>
      </c>
      <c r="F20024" t="s">
        <v>3197</v>
      </c>
      <c r="G20024" s="9">
        <v>15800</v>
      </c>
      <c r="H20024" s="8">
        <v>23341</v>
      </c>
    </row>
    <row r="20025" spans="2:8" ht="15" customHeight="1" x14ac:dyDescent="0.4">
      <c r="B20025" t="s">
        <v>7</v>
      </c>
      <c r="C20025" t="s">
        <v>3196</v>
      </c>
      <c r="D20025" s="7">
        <f>DATE(2017,3,24)</f>
        <v>42818</v>
      </c>
      <c r="E20025" s="8">
        <f t="shared" si="327"/>
        <v>2017</v>
      </c>
      <c r="F20025" t="s">
        <v>3197</v>
      </c>
      <c r="G20025" s="9">
        <v>12900</v>
      </c>
      <c r="H20025" s="8">
        <v>24111</v>
      </c>
    </row>
    <row r="20026" spans="2:8" ht="15" customHeight="1" x14ac:dyDescent="0.4">
      <c r="B20026" t="s">
        <v>7</v>
      </c>
      <c r="C20026" t="s">
        <v>3196</v>
      </c>
      <c r="D20026" s="7">
        <f>DATE(2018,5,7)</f>
        <v>43227</v>
      </c>
      <c r="E20026" s="8">
        <f t="shared" si="327"/>
        <v>2018</v>
      </c>
      <c r="F20026" t="s">
        <v>3197</v>
      </c>
      <c r="G20026" s="9">
        <v>18636.169999999998</v>
      </c>
      <c r="H20026" s="8">
        <v>26223</v>
      </c>
    </row>
    <row r="20027" spans="2:8" ht="15" customHeight="1" x14ac:dyDescent="0.4">
      <c r="B20027" t="s">
        <v>7</v>
      </c>
      <c r="C20027" t="s">
        <v>3196</v>
      </c>
      <c r="D20027" s="7">
        <f>DATE(2018,11,30)</f>
        <v>43434</v>
      </c>
      <c r="E20027" s="8">
        <f t="shared" si="327"/>
        <v>2018</v>
      </c>
      <c r="F20027" t="s">
        <v>3197</v>
      </c>
      <c r="G20027" s="9">
        <v>17442.48</v>
      </c>
      <c r="H20027" s="8">
        <v>27937</v>
      </c>
    </row>
    <row r="20028" spans="2:8" ht="15" customHeight="1" x14ac:dyDescent="0.4">
      <c r="B20028" t="s">
        <v>7</v>
      </c>
      <c r="C20028" t="s">
        <v>3196</v>
      </c>
      <c r="D20028" s="7">
        <f>DATE(2018,12,12)</f>
        <v>43446</v>
      </c>
      <c r="E20028" s="8">
        <f t="shared" si="327"/>
        <v>2018</v>
      </c>
      <c r="F20028" t="s">
        <v>3197</v>
      </c>
      <c r="G20028" s="9">
        <v>23485</v>
      </c>
      <c r="H20028" s="8">
        <v>27596</v>
      </c>
    </row>
    <row r="20029" spans="2:8" ht="15" customHeight="1" x14ac:dyDescent="0.4">
      <c r="B20029" t="s">
        <v>7</v>
      </c>
      <c r="C20029" t="s">
        <v>3196</v>
      </c>
      <c r="D20029" s="7">
        <f>DATE(2018,11,30)</f>
        <v>43434</v>
      </c>
      <c r="E20029" s="8">
        <f t="shared" si="327"/>
        <v>2018</v>
      </c>
      <c r="F20029" t="s">
        <v>3197</v>
      </c>
      <c r="G20029" s="9">
        <v>58555.23</v>
      </c>
      <c r="H20029" s="8">
        <v>27940</v>
      </c>
    </row>
    <row r="20030" spans="2:8" ht="15" customHeight="1" x14ac:dyDescent="0.4">
      <c r="B20030" t="s">
        <v>7</v>
      </c>
      <c r="C20030" t="s">
        <v>3196</v>
      </c>
      <c r="D20030" s="7">
        <f>DATE(2018,12,12)</f>
        <v>43446</v>
      </c>
      <c r="E20030" s="8">
        <f t="shared" si="327"/>
        <v>2018</v>
      </c>
      <c r="F20030" t="s">
        <v>3197</v>
      </c>
      <c r="G20030" s="9">
        <v>13900</v>
      </c>
      <c r="H20030" s="8">
        <v>27926</v>
      </c>
    </row>
    <row r="20031" spans="2:8" ht="15" customHeight="1" x14ac:dyDescent="0.4">
      <c r="B20031" t="s">
        <v>7</v>
      </c>
      <c r="C20031" t="s">
        <v>3196</v>
      </c>
      <c r="D20031" s="7">
        <f>DATE(2016,5,26)</f>
        <v>42516</v>
      </c>
      <c r="E20031" s="8">
        <f t="shared" si="327"/>
        <v>2016</v>
      </c>
      <c r="F20031" t="s">
        <v>3197</v>
      </c>
      <c r="G20031" s="9">
        <v>12312.02</v>
      </c>
      <c r="H20031" s="8">
        <v>22864</v>
      </c>
    </row>
    <row r="20032" spans="2:8" ht="15" customHeight="1" x14ac:dyDescent="0.4">
      <c r="B20032" t="s">
        <v>7</v>
      </c>
      <c r="C20032" t="s">
        <v>3196</v>
      </c>
      <c r="D20032" s="7">
        <f>DATE(2016,6,7)</f>
        <v>42528</v>
      </c>
      <c r="E20032" s="8">
        <f t="shared" si="327"/>
        <v>2016</v>
      </c>
      <c r="F20032" t="s">
        <v>3197</v>
      </c>
      <c r="G20032" s="9">
        <v>1216.94</v>
      </c>
      <c r="H20032" s="8">
        <v>22928</v>
      </c>
    </row>
    <row r="20033" spans="2:8" ht="15" customHeight="1" x14ac:dyDescent="0.4">
      <c r="B20033" t="s">
        <v>16</v>
      </c>
      <c r="C20033" t="s">
        <v>3196</v>
      </c>
      <c r="D20033" s="7">
        <f>DATE(2016,7,7)</f>
        <v>42558</v>
      </c>
      <c r="E20033" s="8">
        <f t="shared" si="327"/>
        <v>2016</v>
      </c>
      <c r="F20033" t="s">
        <v>3197</v>
      </c>
      <c r="G20033" s="9">
        <v>2626</v>
      </c>
      <c r="H20033" s="8">
        <v>23121</v>
      </c>
    </row>
    <row r="20034" spans="2:8" ht="15" customHeight="1" x14ac:dyDescent="0.4">
      <c r="B20034" t="s">
        <v>7</v>
      </c>
      <c r="C20034" t="s">
        <v>3196</v>
      </c>
      <c r="D20034" s="7">
        <f>DATE(2014,12,10)</f>
        <v>41983</v>
      </c>
      <c r="E20034" s="8">
        <f t="shared" si="327"/>
        <v>2014</v>
      </c>
      <c r="F20034" t="s">
        <v>3197</v>
      </c>
      <c r="G20034" s="9">
        <v>12900</v>
      </c>
      <c r="H20034" s="8">
        <v>13488</v>
      </c>
    </row>
    <row r="20035" spans="2:8" ht="15" customHeight="1" x14ac:dyDescent="0.4">
      <c r="B20035" t="s">
        <v>7</v>
      </c>
      <c r="C20035" t="s">
        <v>3198</v>
      </c>
      <c r="D20035" s="7">
        <f>DATE(2007,10,25)</f>
        <v>39380</v>
      </c>
      <c r="E20035" s="8">
        <f t="shared" ref="E20035:E20098" si="328">YEAR(D20035)</f>
        <v>2007</v>
      </c>
      <c r="F20035" t="s">
        <v>3199</v>
      </c>
      <c r="G20035" s="9">
        <v>5559.62</v>
      </c>
      <c r="H20035" s="8">
        <v>6516</v>
      </c>
    </row>
    <row r="20036" spans="2:8" ht="15" customHeight="1" x14ac:dyDescent="0.4">
      <c r="B20036" s="3" t="s">
        <v>7</v>
      </c>
      <c r="C20036" s="3" t="s">
        <v>3198</v>
      </c>
      <c r="D20036" s="4">
        <f>DATE(2007,7,17)</f>
        <v>39280</v>
      </c>
      <c r="E20036" s="5">
        <f t="shared" si="328"/>
        <v>2007</v>
      </c>
      <c r="F20036" s="3" t="s">
        <v>3199</v>
      </c>
      <c r="G20036" s="6">
        <v>1800</v>
      </c>
      <c r="H20036" s="5">
        <v>8893</v>
      </c>
    </row>
    <row r="20037" spans="2:8" ht="15" customHeight="1" x14ac:dyDescent="0.4">
      <c r="B20037" t="s">
        <v>7</v>
      </c>
      <c r="C20037" t="s">
        <v>3198</v>
      </c>
      <c r="D20037" s="7">
        <f>DATE(2016,5,18)</f>
        <v>42508</v>
      </c>
      <c r="E20037" s="8">
        <f t="shared" si="328"/>
        <v>2016</v>
      </c>
      <c r="F20037" t="s">
        <v>3200</v>
      </c>
      <c r="G20037" s="9">
        <v>1470</v>
      </c>
      <c r="H20037" s="8">
        <v>22814</v>
      </c>
    </row>
    <row r="20038" spans="2:8" ht="15" customHeight="1" x14ac:dyDescent="0.4">
      <c r="B20038" t="s">
        <v>7</v>
      </c>
      <c r="C20038" t="s">
        <v>3198</v>
      </c>
      <c r="D20038" s="7">
        <f>DATE(2017,2,28)</f>
        <v>42794</v>
      </c>
      <c r="E20038" s="8">
        <f t="shared" si="328"/>
        <v>2017</v>
      </c>
      <c r="F20038" t="s">
        <v>3200</v>
      </c>
      <c r="G20038" s="9">
        <v>1225</v>
      </c>
      <c r="H20038" s="8">
        <v>24278</v>
      </c>
    </row>
    <row r="20039" spans="2:8" ht="15" customHeight="1" x14ac:dyDescent="0.4">
      <c r="B20039" t="s">
        <v>7</v>
      </c>
      <c r="C20039" t="s">
        <v>3198</v>
      </c>
      <c r="D20039" s="7">
        <f>DATE(2015,1,22)</f>
        <v>42026</v>
      </c>
      <c r="E20039" s="8">
        <f t="shared" si="328"/>
        <v>2015</v>
      </c>
      <c r="F20039" t="s">
        <v>3200</v>
      </c>
      <c r="G20039" s="9">
        <v>19406.2</v>
      </c>
      <c r="H20039" s="8">
        <v>254</v>
      </c>
    </row>
    <row r="20040" spans="2:8" ht="15" customHeight="1" x14ac:dyDescent="0.4">
      <c r="B20040" t="s">
        <v>7</v>
      </c>
      <c r="C20040" t="s">
        <v>3198</v>
      </c>
      <c r="D20040" s="7">
        <f>DATE(2003,5,6)</f>
        <v>37747</v>
      </c>
      <c r="E20040" s="8">
        <f t="shared" si="328"/>
        <v>2003</v>
      </c>
      <c r="F20040" t="s">
        <v>3200</v>
      </c>
      <c r="G20040" s="9">
        <v>54797.919999999998</v>
      </c>
      <c r="H20040" s="8">
        <v>222</v>
      </c>
    </row>
    <row r="20041" spans="2:8" ht="15" customHeight="1" x14ac:dyDescent="0.4">
      <c r="B20041" t="s">
        <v>7</v>
      </c>
      <c r="C20041" t="s">
        <v>3198</v>
      </c>
      <c r="D20041" s="7">
        <f>DATE(2005,1,28)</f>
        <v>38380</v>
      </c>
      <c r="E20041" s="8">
        <f t="shared" si="328"/>
        <v>2005</v>
      </c>
      <c r="F20041" t="s">
        <v>3200</v>
      </c>
      <c r="G20041" s="9">
        <v>4848.8100000000004</v>
      </c>
      <c r="H20041" s="8">
        <v>2611</v>
      </c>
    </row>
    <row r="20042" spans="2:8" ht="15" customHeight="1" x14ac:dyDescent="0.4">
      <c r="B20042" t="s">
        <v>7</v>
      </c>
      <c r="C20042" t="s">
        <v>3198</v>
      </c>
      <c r="D20042" s="7">
        <f>DATE(2006,10,21)</f>
        <v>39011</v>
      </c>
      <c r="E20042" s="8">
        <f t="shared" si="328"/>
        <v>2006</v>
      </c>
      <c r="F20042" t="s">
        <v>3200</v>
      </c>
      <c r="G20042" s="9">
        <v>70827.73</v>
      </c>
      <c r="H20042" s="8">
        <v>4844</v>
      </c>
    </row>
    <row r="20043" spans="2:8" ht="15" customHeight="1" x14ac:dyDescent="0.4">
      <c r="B20043" t="s">
        <v>7</v>
      </c>
      <c r="C20043" t="s">
        <v>3198</v>
      </c>
      <c r="D20043" s="7">
        <f>DATE(2006,12,15)</f>
        <v>39066</v>
      </c>
      <c r="E20043" s="8">
        <f t="shared" si="328"/>
        <v>2006</v>
      </c>
      <c r="F20043" t="s">
        <v>3200</v>
      </c>
      <c r="G20043" s="9">
        <v>5030.29</v>
      </c>
      <c r="H20043" s="8">
        <v>5273</v>
      </c>
    </row>
    <row r="20044" spans="2:8" ht="15" customHeight="1" x14ac:dyDescent="0.4">
      <c r="B20044" t="s">
        <v>7</v>
      </c>
      <c r="C20044" t="s">
        <v>3198</v>
      </c>
      <c r="D20044" s="7">
        <f>DATE(2008,6,13)</f>
        <v>39612</v>
      </c>
      <c r="E20044" s="8">
        <f t="shared" si="328"/>
        <v>2008</v>
      </c>
      <c r="F20044" t="s">
        <v>3200</v>
      </c>
      <c r="G20044" s="9">
        <v>5337.01</v>
      </c>
      <c r="H20044" s="8">
        <v>7513</v>
      </c>
    </row>
    <row r="20045" spans="2:8" ht="15" customHeight="1" x14ac:dyDescent="0.4">
      <c r="B20045" t="s">
        <v>7</v>
      </c>
      <c r="C20045" t="s">
        <v>3198</v>
      </c>
      <c r="D20045" s="7">
        <f>DATE(2009,6,23)</f>
        <v>39987</v>
      </c>
      <c r="E20045" s="8">
        <f t="shared" si="328"/>
        <v>2009</v>
      </c>
      <c r="F20045" t="s">
        <v>3200</v>
      </c>
      <c r="G20045" s="9">
        <v>7716.04</v>
      </c>
      <c r="H20045" s="8">
        <v>8779</v>
      </c>
    </row>
    <row r="20046" spans="2:8" ht="15" customHeight="1" x14ac:dyDescent="0.4">
      <c r="B20046" t="s">
        <v>7</v>
      </c>
      <c r="C20046" t="s">
        <v>3198</v>
      </c>
      <c r="D20046" s="7">
        <f>DATE(2014,11,25)</f>
        <v>41968</v>
      </c>
      <c r="E20046" s="8">
        <f t="shared" si="328"/>
        <v>2014</v>
      </c>
      <c r="F20046" t="s">
        <v>3200</v>
      </c>
      <c r="G20046" s="9">
        <v>63902.45</v>
      </c>
      <c r="H20046" s="8">
        <v>13509</v>
      </c>
    </row>
    <row r="20047" spans="2:8" ht="15" customHeight="1" x14ac:dyDescent="0.4">
      <c r="B20047" s="3" t="s">
        <v>7</v>
      </c>
      <c r="C20047" s="3" t="s">
        <v>3198</v>
      </c>
      <c r="D20047" s="4">
        <f>DATE(2003,3,17)</f>
        <v>37697</v>
      </c>
      <c r="E20047" s="5">
        <f t="shared" si="328"/>
        <v>2003</v>
      </c>
      <c r="F20047" s="3" t="s">
        <v>3200</v>
      </c>
      <c r="G20047" s="6">
        <v>1017.5</v>
      </c>
      <c r="H20047" s="5">
        <v>534</v>
      </c>
    </row>
    <row r="20048" spans="2:8" ht="15" customHeight="1" x14ac:dyDescent="0.4">
      <c r="B20048" s="3" t="s">
        <v>7</v>
      </c>
      <c r="C20048" s="3" t="s">
        <v>3198</v>
      </c>
      <c r="D20048" s="4">
        <f>DATE(2004,3,12)</f>
        <v>38058</v>
      </c>
      <c r="E20048" s="5">
        <f t="shared" si="328"/>
        <v>2004</v>
      </c>
      <c r="F20048" s="3" t="s">
        <v>3200</v>
      </c>
      <c r="G20048" s="6">
        <v>1812.5</v>
      </c>
      <c r="H20048" s="5">
        <v>2369</v>
      </c>
    </row>
    <row r="20049" spans="2:8" ht="15" customHeight="1" x14ac:dyDescent="0.4">
      <c r="B20049" s="3" t="s">
        <v>7</v>
      </c>
      <c r="C20049" s="3" t="s">
        <v>3198</v>
      </c>
      <c r="D20049" s="4">
        <f>DATE(2004,8,13)</f>
        <v>38212</v>
      </c>
      <c r="E20049" s="5">
        <f t="shared" si="328"/>
        <v>2004</v>
      </c>
      <c r="F20049" s="3" t="s">
        <v>3200</v>
      </c>
      <c r="G20049" s="6">
        <v>1450</v>
      </c>
      <c r="H20049" s="5">
        <v>3274</v>
      </c>
    </row>
    <row r="20050" spans="2:8" ht="15" customHeight="1" x14ac:dyDescent="0.4">
      <c r="B20050" s="3" t="s">
        <v>7</v>
      </c>
      <c r="C20050" s="3" t="s">
        <v>3198</v>
      </c>
      <c r="D20050" s="4">
        <f>DATE(2004,12,2)</f>
        <v>38323</v>
      </c>
      <c r="E20050" s="5">
        <f t="shared" si="328"/>
        <v>2004</v>
      </c>
      <c r="F20050" s="3" t="s">
        <v>3200</v>
      </c>
      <c r="G20050" s="6">
        <v>725</v>
      </c>
      <c r="H20050" s="5">
        <v>3791</v>
      </c>
    </row>
    <row r="20051" spans="2:8" ht="15" customHeight="1" x14ac:dyDescent="0.4">
      <c r="B20051" s="3" t="s">
        <v>7</v>
      </c>
      <c r="C20051" s="3" t="s">
        <v>3198</v>
      </c>
      <c r="D20051" s="4">
        <f>DATE(2005,11,14)</f>
        <v>38670</v>
      </c>
      <c r="E20051" s="5">
        <f t="shared" si="328"/>
        <v>2005</v>
      </c>
      <c r="F20051" s="3" t="s">
        <v>3200</v>
      </c>
      <c r="G20051" s="6">
        <v>750</v>
      </c>
      <c r="H20051" s="5">
        <v>5562</v>
      </c>
    </row>
    <row r="20052" spans="2:8" ht="15" customHeight="1" x14ac:dyDescent="0.4">
      <c r="B20052" s="3" t="s">
        <v>7</v>
      </c>
      <c r="C20052" s="3" t="s">
        <v>3198</v>
      </c>
      <c r="D20052" s="4">
        <f>DATE(2005,11,14)</f>
        <v>38670</v>
      </c>
      <c r="E20052" s="5">
        <f t="shared" si="328"/>
        <v>2005</v>
      </c>
      <c r="F20052" s="3" t="s">
        <v>3200</v>
      </c>
      <c r="G20052" s="6">
        <v>2100</v>
      </c>
      <c r="H20052" s="5">
        <v>5568</v>
      </c>
    </row>
    <row r="20053" spans="2:8" ht="15" customHeight="1" x14ac:dyDescent="0.4">
      <c r="B20053" s="3" t="s">
        <v>7</v>
      </c>
      <c r="C20053" s="3" t="s">
        <v>3198</v>
      </c>
      <c r="D20053" s="4">
        <f>DATE(2006,3,24)</f>
        <v>38800</v>
      </c>
      <c r="E20053" s="5">
        <f t="shared" si="328"/>
        <v>2006</v>
      </c>
      <c r="F20053" s="3" t="s">
        <v>3200</v>
      </c>
      <c r="G20053" s="6">
        <v>11360</v>
      </c>
      <c r="H20053" s="5">
        <v>6359</v>
      </c>
    </row>
    <row r="20054" spans="2:8" ht="15" customHeight="1" x14ac:dyDescent="0.4">
      <c r="B20054" s="3" t="s">
        <v>7</v>
      </c>
      <c r="C20054" s="3" t="s">
        <v>3198</v>
      </c>
      <c r="D20054" s="4">
        <f>DATE(2006,11,8)</f>
        <v>39029</v>
      </c>
      <c r="E20054" s="5">
        <f t="shared" si="328"/>
        <v>2006</v>
      </c>
      <c r="F20054" s="3" t="s">
        <v>3200</v>
      </c>
      <c r="G20054" s="6">
        <v>1500</v>
      </c>
      <c r="H20054" s="5">
        <v>7482</v>
      </c>
    </row>
    <row r="20055" spans="2:8" ht="15" customHeight="1" x14ac:dyDescent="0.4">
      <c r="B20055" s="3" t="s">
        <v>7</v>
      </c>
      <c r="C20055" s="3" t="s">
        <v>3198</v>
      </c>
      <c r="D20055" s="4">
        <f>DATE(2006,11,1)</f>
        <v>39022</v>
      </c>
      <c r="E20055" s="5">
        <f t="shared" si="328"/>
        <v>2006</v>
      </c>
      <c r="F20055" s="3" t="s">
        <v>3200</v>
      </c>
      <c r="G20055" s="6">
        <v>8900</v>
      </c>
      <c r="H20055" s="5">
        <v>7110</v>
      </c>
    </row>
    <row r="20056" spans="2:8" ht="15" customHeight="1" x14ac:dyDescent="0.4">
      <c r="B20056" s="3" t="s">
        <v>7</v>
      </c>
      <c r="C20056" s="3" t="s">
        <v>3198</v>
      </c>
      <c r="D20056" s="4">
        <f>DATE(2007,12,5)</f>
        <v>39421</v>
      </c>
      <c r="E20056" s="5">
        <f t="shared" si="328"/>
        <v>2007</v>
      </c>
      <c r="F20056" s="3" t="s">
        <v>3200</v>
      </c>
      <c r="G20056" s="6">
        <v>3750</v>
      </c>
      <c r="H20056" s="5">
        <v>9573</v>
      </c>
    </row>
    <row r="20057" spans="2:8" ht="15" customHeight="1" x14ac:dyDescent="0.4">
      <c r="B20057" s="3" t="s">
        <v>7</v>
      </c>
      <c r="C20057" s="3" t="s">
        <v>3198</v>
      </c>
      <c r="D20057" s="4">
        <f>DATE(2009,9,18)</f>
        <v>40074</v>
      </c>
      <c r="E20057" s="5">
        <f t="shared" si="328"/>
        <v>2009</v>
      </c>
      <c r="F20057" s="3" t="s">
        <v>3200</v>
      </c>
      <c r="G20057" s="6">
        <v>1050</v>
      </c>
      <c r="H20057" s="5">
        <v>13030</v>
      </c>
    </row>
    <row r="20058" spans="2:8" ht="15" customHeight="1" x14ac:dyDescent="0.4">
      <c r="B20058" s="3" t="s">
        <v>7</v>
      </c>
      <c r="C20058" s="3" t="s">
        <v>3198</v>
      </c>
      <c r="D20058" s="4">
        <f>DATE(2010,2,19)</f>
        <v>40228</v>
      </c>
      <c r="E20058" s="5">
        <f t="shared" si="328"/>
        <v>2010</v>
      </c>
      <c r="F20058" s="3" t="s">
        <v>3200</v>
      </c>
      <c r="G20058" s="6">
        <v>1470</v>
      </c>
      <c r="H20058" s="5">
        <v>13584</v>
      </c>
    </row>
    <row r="20059" spans="2:8" ht="15" customHeight="1" x14ac:dyDescent="0.4">
      <c r="B20059" s="3" t="s">
        <v>7</v>
      </c>
      <c r="C20059" s="3" t="s">
        <v>3198</v>
      </c>
      <c r="D20059" s="4">
        <f>DATE(2010,3,9)</f>
        <v>40246</v>
      </c>
      <c r="E20059" s="5">
        <f t="shared" si="328"/>
        <v>2010</v>
      </c>
      <c r="F20059" s="3" t="s">
        <v>3200</v>
      </c>
      <c r="G20059" s="6">
        <v>2450</v>
      </c>
      <c r="H20059" s="5">
        <v>13651</v>
      </c>
    </row>
    <row r="20060" spans="2:8" ht="15" customHeight="1" x14ac:dyDescent="0.4">
      <c r="B20060" s="3" t="s">
        <v>7</v>
      </c>
      <c r="C20060" s="3" t="s">
        <v>3198</v>
      </c>
      <c r="D20060" s="4">
        <f>DATE(2010,6,24)</f>
        <v>40353</v>
      </c>
      <c r="E20060" s="5">
        <f t="shared" si="328"/>
        <v>2010</v>
      </c>
      <c r="F20060" s="3" t="s">
        <v>3200</v>
      </c>
      <c r="G20060" s="6">
        <v>1024.24</v>
      </c>
      <c r="H20060" s="5">
        <v>14174</v>
      </c>
    </row>
    <row r="20061" spans="2:8" ht="15" customHeight="1" x14ac:dyDescent="0.4">
      <c r="B20061" s="3" t="s">
        <v>7</v>
      </c>
      <c r="C20061" s="3" t="s">
        <v>3198</v>
      </c>
      <c r="D20061" s="4">
        <f>DATE(2013,6,13)</f>
        <v>41438</v>
      </c>
      <c r="E20061" s="5">
        <f t="shared" si="328"/>
        <v>2013</v>
      </c>
      <c r="F20061" s="3" t="s">
        <v>3200</v>
      </c>
      <c r="G20061" s="6">
        <v>92</v>
      </c>
      <c r="H20061" s="5">
        <v>18684</v>
      </c>
    </row>
    <row r="20062" spans="2:8" ht="15" customHeight="1" x14ac:dyDescent="0.4">
      <c r="B20062" s="3" t="s">
        <v>7</v>
      </c>
      <c r="C20062" s="3" t="s">
        <v>3201</v>
      </c>
      <c r="D20062" s="4">
        <f>DATE(2004,6,4)</f>
        <v>38142</v>
      </c>
      <c r="E20062" s="5">
        <f t="shared" si="328"/>
        <v>2004</v>
      </c>
      <c r="F20062" s="3" t="s">
        <v>3202</v>
      </c>
      <c r="G20062" s="6">
        <v>52.74</v>
      </c>
      <c r="H20062" s="5">
        <v>682</v>
      </c>
    </row>
    <row r="20063" spans="2:8" ht="15" customHeight="1" x14ac:dyDescent="0.4">
      <c r="B20063" t="s">
        <v>7</v>
      </c>
      <c r="C20063" t="s">
        <v>3203</v>
      </c>
      <c r="D20063" s="7">
        <f>DATE(2016,4,1)</f>
        <v>42461</v>
      </c>
      <c r="E20063" s="8">
        <f t="shared" si="328"/>
        <v>2016</v>
      </c>
      <c r="F20063" t="s">
        <v>3204</v>
      </c>
      <c r="G20063" s="9">
        <v>36338.639999999999</v>
      </c>
      <c r="H20063" s="8">
        <v>21995</v>
      </c>
    </row>
    <row r="20064" spans="2:8" ht="15" customHeight="1" x14ac:dyDescent="0.4">
      <c r="B20064" t="s">
        <v>7</v>
      </c>
      <c r="C20064" t="s">
        <v>3203</v>
      </c>
      <c r="D20064" s="7">
        <f>DATE(2016,1,27)</f>
        <v>42396</v>
      </c>
      <c r="E20064" s="8">
        <f t="shared" si="328"/>
        <v>2016</v>
      </c>
      <c r="F20064" t="s">
        <v>3204</v>
      </c>
      <c r="G20064" s="9">
        <v>441</v>
      </c>
      <c r="H20064" s="8">
        <v>21988</v>
      </c>
    </row>
    <row r="20065" spans="2:8" ht="15" customHeight="1" x14ac:dyDescent="0.4">
      <c r="B20065" t="s">
        <v>7</v>
      </c>
      <c r="C20065" t="s">
        <v>3203</v>
      </c>
      <c r="D20065" s="7">
        <f>DATE(2017,8,22)</f>
        <v>42969</v>
      </c>
      <c r="E20065" s="8">
        <f t="shared" si="328"/>
        <v>2017</v>
      </c>
      <c r="F20065" t="s">
        <v>3204</v>
      </c>
      <c r="G20065" s="9">
        <v>7320.11</v>
      </c>
      <c r="H20065" s="8">
        <v>25392</v>
      </c>
    </row>
    <row r="20066" spans="2:8" ht="15" customHeight="1" x14ac:dyDescent="0.4">
      <c r="B20066" s="3" t="s">
        <v>7</v>
      </c>
      <c r="C20066" s="3" t="s">
        <v>3203</v>
      </c>
      <c r="D20066" s="4">
        <f>DATE(2003,9,26)</f>
        <v>37890</v>
      </c>
      <c r="E20066" s="5">
        <f t="shared" si="328"/>
        <v>2003</v>
      </c>
      <c r="F20066" s="3" t="s">
        <v>3204</v>
      </c>
      <c r="G20066" s="6">
        <v>367</v>
      </c>
      <c r="H20066" s="5">
        <v>1552</v>
      </c>
    </row>
    <row r="20067" spans="2:8" ht="15" customHeight="1" x14ac:dyDescent="0.4">
      <c r="B20067" s="3" t="s">
        <v>7</v>
      </c>
      <c r="C20067" s="3" t="s">
        <v>3203</v>
      </c>
      <c r="D20067" s="4">
        <f>DATE(2005,3,14)</f>
        <v>38425</v>
      </c>
      <c r="E20067" s="5">
        <f t="shared" si="328"/>
        <v>2005</v>
      </c>
      <c r="F20067" s="3" t="s">
        <v>3204</v>
      </c>
      <c r="G20067" s="6">
        <v>413.75</v>
      </c>
      <c r="H20067" s="5">
        <v>4332</v>
      </c>
    </row>
    <row r="20068" spans="2:8" ht="15" customHeight="1" x14ac:dyDescent="0.4">
      <c r="B20068" s="3" t="s">
        <v>7</v>
      </c>
      <c r="C20068" s="3" t="s">
        <v>3203</v>
      </c>
      <c r="D20068" s="4">
        <f>DATE(2005,3,18)</f>
        <v>38429</v>
      </c>
      <c r="E20068" s="5">
        <f t="shared" si="328"/>
        <v>2005</v>
      </c>
      <c r="F20068" s="3" t="s">
        <v>3204</v>
      </c>
      <c r="G20068" s="6">
        <v>106</v>
      </c>
      <c r="H20068" s="5">
        <v>4365</v>
      </c>
    </row>
    <row r="20069" spans="2:8" ht="15" customHeight="1" x14ac:dyDescent="0.4">
      <c r="B20069" s="3" t="s">
        <v>7</v>
      </c>
      <c r="C20069" s="3" t="s">
        <v>3203</v>
      </c>
      <c r="D20069" s="4">
        <f>DATE(2005,4,22)</f>
        <v>38464</v>
      </c>
      <c r="E20069" s="5">
        <f t="shared" si="328"/>
        <v>2005</v>
      </c>
      <c r="F20069" s="3" t="s">
        <v>3204</v>
      </c>
      <c r="G20069" s="6">
        <v>387</v>
      </c>
      <c r="H20069" s="5">
        <v>4615</v>
      </c>
    </row>
    <row r="20070" spans="2:8" ht="15" customHeight="1" x14ac:dyDescent="0.4">
      <c r="B20070" s="3" t="s">
        <v>7</v>
      </c>
      <c r="C20070" s="3" t="s">
        <v>3203</v>
      </c>
      <c r="D20070" s="4">
        <f>DATE(2008,3,25)</f>
        <v>39532</v>
      </c>
      <c r="E20070" s="5">
        <f t="shared" si="328"/>
        <v>2008</v>
      </c>
      <c r="F20070" s="3" t="s">
        <v>3204</v>
      </c>
      <c r="G20070" s="6">
        <v>409.68</v>
      </c>
      <c r="H20070" s="5">
        <v>10309</v>
      </c>
    </row>
    <row r="20071" spans="2:8" ht="15" customHeight="1" x14ac:dyDescent="0.4">
      <c r="B20071" s="3" t="s">
        <v>7</v>
      </c>
      <c r="C20071" s="3" t="s">
        <v>3203</v>
      </c>
      <c r="D20071" s="4">
        <f>DATE(2012,2,29)</f>
        <v>40968</v>
      </c>
      <c r="E20071" s="5">
        <f t="shared" si="328"/>
        <v>2012</v>
      </c>
      <c r="F20071" s="3" t="s">
        <v>3204</v>
      </c>
      <c r="G20071" s="6">
        <v>480.58</v>
      </c>
      <c r="H20071" s="5">
        <v>16544</v>
      </c>
    </row>
    <row r="20072" spans="2:8" ht="15" customHeight="1" x14ac:dyDescent="0.4">
      <c r="B20072" s="3" t="s">
        <v>7</v>
      </c>
      <c r="C20072" s="3" t="s">
        <v>3203</v>
      </c>
      <c r="D20072" s="4">
        <f>DATE(2012,3,5)</f>
        <v>40973</v>
      </c>
      <c r="E20072" s="5">
        <f t="shared" si="328"/>
        <v>2012</v>
      </c>
      <c r="F20072" s="3" t="s">
        <v>3204</v>
      </c>
      <c r="G20072" s="6">
        <v>771</v>
      </c>
      <c r="H20072" s="5">
        <v>16702</v>
      </c>
    </row>
    <row r="20073" spans="2:8" ht="15" customHeight="1" x14ac:dyDescent="0.4">
      <c r="B20073" s="3" t="s">
        <v>7</v>
      </c>
      <c r="C20073" s="3" t="s">
        <v>3203</v>
      </c>
      <c r="D20073" s="4">
        <f>DATE(2013,3,7)</f>
        <v>41340</v>
      </c>
      <c r="E20073" s="5">
        <f t="shared" si="328"/>
        <v>2013</v>
      </c>
      <c r="F20073" s="3" t="s">
        <v>3204</v>
      </c>
      <c r="G20073" s="6">
        <v>801.76</v>
      </c>
      <c r="H20073" s="5">
        <v>18279</v>
      </c>
    </row>
    <row r="20074" spans="2:8" ht="15" customHeight="1" x14ac:dyDescent="0.4">
      <c r="B20074" s="3" t="s">
        <v>7</v>
      </c>
      <c r="C20074" s="3" t="s">
        <v>3203</v>
      </c>
      <c r="D20074" s="4">
        <f>DATE(2013,9,20)</f>
        <v>41537</v>
      </c>
      <c r="E20074" s="5">
        <f t="shared" si="328"/>
        <v>2013</v>
      </c>
      <c r="F20074" s="3" t="s">
        <v>3204</v>
      </c>
      <c r="G20074" s="6">
        <v>457</v>
      </c>
      <c r="H20074" s="5">
        <v>18989</v>
      </c>
    </row>
    <row r="20075" spans="2:8" ht="15" customHeight="1" x14ac:dyDescent="0.4">
      <c r="B20075" t="s">
        <v>7</v>
      </c>
      <c r="C20075" t="s">
        <v>3205</v>
      </c>
      <c r="D20075" s="7">
        <f>DATE(2005,11,3)</f>
        <v>38659</v>
      </c>
      <c r="E20075" s="8">
        <f t="shared" si="328"/>
        <v>2005</v>
      </c>
      <c r="F20075" t="s">
        <v>3206</v>
      </c>
      <c r="G20075" s="9">
        <v>2326.06</v>
      </c>
      <c r="H20075" s="8">
        <v>3537</v>
      </c>
    </row>
    <row r="20076" spans="2:8" ht="15" customHeight="1" x14ac:dyDescent="0.4">
      <c r="B20076" t="s">
        <v>7</v>
      </c>
      <c r="C20076" t="s">
        <v>3205</v>
      </c>
      <c r="D20076" s="7">
        <f>DATE(2005,11,2)</f>
        <v>38658</v>
      </c>
      <c r="E20076" s="8">
        <f t="shared" si="328"/>
        <v>2005</v>
      </c>
      <c r="F20076" t="s">
        <v>3206</v>
      </c>
      <c r="G20076" s="9">
        <v>3098.21</v>
      </c>
      <c r="H20076" s="8">
        <v>3231</v>
      </c>
    </row>
    <row r="20077" spans="2:8" ht="15" customHeight="1" x14ac:dyDescent="0.4">
      <c r="B20077" s="3" t="s">
        <v>7</v>
      </c>
      <c r="C20077" s="3" t="s">
        <v>3205</v>
      </c>
      <c r="D20077" s="4">
        <f>DATE(2006,3,24)</f>
        <v>38800</v>
      </c>
      <c r="E20077" s="5">
        <f t="shared" si="328"/>
        <v>2006</v>
      </c>
      <c r="F20077" s="3" t="s">
        <v>3206</v>
      </c>
      <c r="G20077" s="6">
        <v>10433.68</v>
      </c>
      <c r="H20077" s="5">
        <v>5979</v>
      </c>
    </row>
    <row r="20078" spans="2:8" ht="15" customHeight="1" x14ac:dyDescent="0.4">
      <c r="B20078" s="3" t="s">
        <v>7</v>
      </c>
      <c r="C20078" s="3" t="s">
        <v>3205</v>
      </c>
      <c r="D20078" s="4">
        <f>DATE(2007,4,2)</f>
        <v>39174</v>
      </c>
      <c r="E20078" s="5">
        <f t="shared" si="328"/>
        <v>2007</v>
      </c>
      <c r="F20078" s="3" t="s">
        <v>3206</v>
      </c>
      <c r="G20078" s="6">
        <v>3085</v>
      </c>
      <c r="H20078" s="5">
        <v>8270</v>
      </c>
    </row>
    <row r="20079" spans="2:8" ht="15" customHeight="1" x14ac:dyDescent="0.4">
      <c r="B20079" s="3" t="s">
        <v>7</v>
      </c>
      <c r="C20079" s="3" t="s">
        <v>3205</v>
      </c>
      <c r="D20079" s="4">
        <f>DATE(2007,12,17)</f>
        <v>39433</v>
      </c>
      <c r="E20079" s="5">
        <f t="shared" si="328"/>
        <v>2007</v>
      </c>
      <c r="F20079" s="3" t="s">
        <v>3206</v>
      </c>
      <c r="G20079" s="6">
        <v>2509</v>
      </c>
      <c r="H20079" s="5">
        <v>9587</v>
      </c>
    </row>
    <row r="20080" spans="2:8" ht="15" customHeight="1" x14ac:dyDescent="0.4">
      <c r="B20080" s="3" t="s">
        <v>7</v>
      </c>
      <c r="C20080" s="3" t="s">
        <v>3205</v>
      </c>
      <c r="D20080" s="4">
        <f>DATE(2010,10,21)</f>
        <v>40472</v>
      </c>
      <c r="E20080" s="5">
        <f t="shared" si="328"/>
        <v>2010</v>
      </c>
      <c r="F20080" s="3" t="s">
        <v>3206</v>
      </c>
      <c r="G20080" s="6">
        <v>2512</v>
      </c>
      <c r="H20080" s="5">
        <v>14593</v>
      </c>
    </row>
    <row r="20081" spans="2:8" ht="15" customHeight="1" x14ac:dyDescent="0.4">
      <c r="B20081" s="3" t="s">
        <v>7</v>
      </c>
      <c r="C20081" s="3" t="s">
        <v>3205</v>
      </c>
      <c r="D20081" s="4">
        <f>DATE(2010,12,21)</f>
        <v>40533</v>
      </c>
      <c r="E20081" s="5">
        <f t="shared" si="328"/>
        <v>2010</v>
      </c>
      <c r="F20081" s="3" t="s">
        <v>3206</v>
      </c>
      <c r="G20081" s="6">
        <v>2510</v>
      </c>
      <c r="H20081" s="5">
        <v>14830</v>
      </c>
    </row>
    <row r="20082" spans="2:8" ht="15" customHeight="1" x14ac:dyDescent="0.4">
      <c r="B20082" s="3" t="s">
        <v>7</v>
      </c>
      <c r="C20082" s="3" t="s">
        <v>3205</v>
      </c>
      <c r="D20082" s="4">
        <f>DATE(2011,11,18)</f>
        <v>40865</v>
      </c>
      <c r="E20082" s="5">
        <f t="shared" si="328"/>
        <v>2011</v>
      </c>
      <c r="F20082" s="3" t="s">
        <v>3206</v>
      </c>
      <c r="G20082" s="6">
        <v>3565</v>
      </c>
      <c r="H20082" s="5">
        <v>16182</v>
      </c>
    </row>
    <row r="20083" spans="2:8" ht="15" customHeight="1" x14ac:dyDescent="0.4">
      <c r="B20083" s="3" t="s">
        <v>7</v>
      </c>
      <c r="C20083" s="3" t="s">
        <v>3205</v>
      </c>
      <c r="D20083" s="4">
        <f>DATE(2012,1,3)</f>
        <v>40911</v>
      </c>
      <c r="E20083" s="5">
        <f t="shared" si="328"/>
        <v>2012</v>
      </c>
      <c r="F20083" s="3" t="s">
        <v>3206</v>
      </c>
      <c r="G20083" s="6">
        <v>177</v>
      </c>
      <c r="H20083" s="5">
        <v>16314</v>
      </c>
    </row>
    <row r="20084" spans="2:8" ht="15" customHeight="1" x14ac:dyDescent="0.4">
      <c r="B20084" s="3" t="s">
        <v>16</v>
      </c>
      <c r="C20084" s="3" t="s">
        <v>3205</v>
      </c>
      <c r="D20084" s="4">
        <f>DATE(2010,11,24)</f>
        <v>40506</v>
      </c>
      <c r="E20084" s="5">
        <f t="shared" si="328"/>
        <v>2010</v>
      </c>
      <c r="F20084" s="3" t="s">
        <v>3206</v>
      </c>
      <c r="G20084" s="6">
        <v>2500</v>
      </c>
      <c r="H20084" s="5">
        <v>14776</v>
      </c>
    </row>
    <row r="20085" spans="2:8" ht="15" customHeight="1" x14ac:dyDescent="0.4">
      <c r="B20085" s="3" t="s">
        <v>16</v>
      </c>
      <c r="C20085" s="3" t="s">
        <v>3205</v>
      </c>
      <c r="D20085" s="4">
        <f>DATE(2011,11,18)</f>
        <v>40865</v>
      </c>
      <c r="E20085" s="5">
        <f t="shared" si="328"/>
        <v>2011</v>
      </c>
      <c r="F20085" s="3" t="s">
        <v>3206</v>
      </c>
      <c r="G20085" s="6">
        <v>1500</v>
      </c>
      <c r="H20085" s="5">
        <v>16391</v>
      </c>
    </row>
    <row r="20086" spans="2:8" ht="15" customHeight="1" x14ac:dyDescent="0.4">
      <c r="B20086" t="s">
        <v>7</v>
      </c>
      <c r="C20086" t="s">
        <v>3207</v>
      </c>
      <c r="D20086" s="7">
        <f>DATE(2006,12,8)</f>
        <v>39059</v>
      </c>
      <c r="E20086" s="8">
        <f t="shared" si="328"/>
        <v>2006</v>
      </c>
      <c r="F20086" t="s">
        <v>3208</v>
      </c>
      <c r="G20086" s="9">
        <v>15780</v>
      </c>
      <c r="H20086" s="8">
        <v>5166</v>
      </c>
    </row>
    <row r="20087" spans="2:8" ht="15" customHeight="1" x14ac:dyDescent="0.4">
      <c r="B20087" t="s">
        <v>16</v>
      </c>
      <c r="C20087" t="s">
        <v>3207</v>
      </c>
      <c r="D20087" s="7">
        <f>DATE(2007,4,1)</f>
        <v>39173</v>
      </c>
      <c r="E20087" s="8">
        <f t="shared" si="328"/>
        <v>2007</v>
      </c>
      <c r="F20087" t="s">
        <v>3208</v>
      </c>
      <c r="G20087" s="9">
        <v>7890</v>
      </c>
      <c r="H20087" s="8">
        <v>5906</v>
      </c>
    </row>
    <row r="20088" spans="2:8" ht="15" customHeight="1" x14ac:dyDescent="0.4">
      <c r="B20088" s="3" t="s">
        <v>7</v>
      </c>
      <c r="C20088" s="3" t="s">
        <v>3209</v>
      </c>
      <c r="D20088" s="4">
        <f>DATE(2003,2,20)</f>
        <v>37672</v>
      </c>
      <c r="E20088" s="5">
        <f t="shared" si="328"/>
        <v>2003</v>
      </c>
      <c r="F20088" s="3" t="s">
        <v>3210</v>
      </c>
      <c r="G20088" s="6">
        <v>103.27</v>
      </c>
      <c r="H20088" s="5">
        <v>36</v>
      </c>
    </row>
    <row r="20089" spans="2:8" ht="15" customHeight="1" x14ac:dyDescent="0.4">
      <c r="B20089" s="3" t="s">
        <v>7</v>
      </c>
      <c r="C20089" s="3" t="s">
        <v>3209</v>
      </c>
      <c r="D20089" s="4">
        <f>DATE(2003,3,7)</f>
        <v>37687</v>
      </c>
      <c r="E20089" s="5">
        <f t="shared" si="328"/>
        <v>2003</v>
      </c>
      <c r="F20089" s="3" t="s">
        <v>3210</v>
      </c>
      <c r="G20089" s="6">
        <v>206.54</v>
      </c>
      <c r="H20089" s="5">
        <v>57</v>
      </c>
    </row>
    <row r="20090" spans="2:8" ht="15" customHeight="1" x14ac:dyDescent="0.4">
      <c r="B20090" s="3" t="s">
        <v>7</v>
      </c>
      <c r="C20090" s="3" t="s">
        <v>3209</v>
      </c>
      <c r="D20090" s="4">
        <f>DATE(2003,11,19)</f>
        <v>37944</v>
      </c>
      <c r="E20090" s="5">
        <f t="shared" si="328"/>
        <v>2003</v>
      </c>
      <c r="F20090" s="3" t="s">
        <v>3210</v>
      </c>
      <c r="G20090" s="6">
        <v>486.58</v>
      </c>
      <c r="H20090" s="5">
        <v>427</v>
      </c>
    </row>
    <row r="20091" spans="2:8" ht="15" customHeight="1" x14ac:dyDescent="0.4">
      <c r="B20091" s="3" t="s">
        <v>7</v>
      </c>
      <c r="C20091" s="3" t="s">
        <v>3209</v>
      </c>
      <c r="D20091" s="4">
        <f>DATE(2003,12,8)</f>
        <v>37963</v>
      </c>
      <c r="E20091" s="5">
        <f t="shared" si="328"/>
        <v>2003</v>
      </c>
      <c r="F20091" s="3" t="s">
        <v>3210</v>
      </c>
      <c r="G20091" s="6">
        <v>486.58</v>
      </c>
      <c r="H20091" s="5">
        <v>455</v>
      </c>
    </row>
    <row r="20092" spans="2:8" ht="15" customHeight="1" x14ac:dyDescent="0.4">
      <c r="B20092" s="3" t="s">
        <v>7</v>
      </c>
      <c r="C20092" s="3" t="s">
        <v>3209</v>
      </c>
      <c r="D20092" s="4">
        <f>DATE(2004,3,25)</f>
        <v>38071</v>
      </c>
      <c r="E20092" s="5">
        <f t="shared" si="328"/>
        <v>2004</v>
      </c>
      <c r="F20092" s="3" t="s">
        <v>3210</v>
      </c>
      <c r="G20092" s="6">
        <v>168.22</v>
      </c>
      <c r="H20092" s="5">
        <v>581</v>
      </c>
    </row>
    <row r="20093" spans="2:8" ht="15" customHeight="1" x14ac:dyDescent="0.4">
      <c r="B20093" s="3" t="s">
        <v>16</v>
      </c>
      <c r="C20093" s="3" t="s">
        <v>3209</v>
      </c>
      <c r="D20093" s="4">
        <f>DATE(2004,3,25)</f>
        <v>38071</v>
      </c>
      <c r="E20093" s="5">
        <f t="shared" si="328"/>
        <v>2004</v>
      </c>
      <c r="F20093" s="3" t="s">
        <v>3210</v>
      </c>
      <c r="G20093" s="6">
        <v>12.82</v>
      </c>
      <c r="H20093" s="5">
        <v>663</v>
      </c>
    </row>
    <row r="20094" spans="2:8" ht="15" customHeight="1" x14ac:dyDescent="0.4">
      <c r="B20094" s="3" t="s">
        <v>7</v>
      </c>
      <c r="C20094" s="3" t="s">
        <v>3211</v>
      </c>
      <c r="D20094" s="4">
        <f>DATE(2013,12,19)</f>
        <v>41627</v>
      </c>
      <c r="E20094" s="5">
        <f t="shared" si="328"/>
        <v>2013</v>
      </c>
      <c r="F20094" s="3" t="s">
        <v>3212</v>
      </c>
      <c r="G20094" s="6">
        <v>29300</v>
      </c>
      <c r="H20094" s="5">
        <v>5880</v>
      </c>
    </row>
    <row r="20095" spans="2:8" ht="15" customHeight="1" x14ac:dyDescent="0.4">
      <c r="B20095" s="3" t="s">
        <v>7</v>
      </c>
      <c r="C20095" s="3" t="s">
        <v>3213</v>
      </c>
      <c r="D20095" s="4">
        <f>DATE(2013,5,20)</f>
        <v>41414</v>
      </c>
      <c r="E20095" s="5">
        <f t="shared" si="328"/>
        <v>2013</v>
      </c>
      <c r="F20095" s="3" t="s">
        <v>3214</v>
      </c>
      <c r="G20095" s="6">
        <v>4807</v>
      </c>
      <c r="H20095" s="5">
        <v>5556</v>
      </c>
    </row>
    <row r="20096" spans="2:8" ht="15" customHeight="1" x14ac:dyDescent="0.4">
      <c r="B20096" t="s">
        <v>7</v>
      </c>
      <c r="C20096" t="s">
        <v>3215</v>
      </c>
      <c r="D20096" s="7">
        <f>DATE(2006,12,1)</f>
        <v>39052</v>
      </c>
      <c r="E20096" s="8">
        <f t="shared" si="328"/>
        <v>2006</v>
      </c>
      <c r="F20096" t="s">
        <v>3216</v>
      </c>
      <c r="G20096" s="9">
        <v>1785.39</v>
      </c>
      <c r="H20096" s="8">
        <v>5234</v>
      </c>
    </row>
    <row r="20097" spans="2:8" ht="15" customHeight="1" x14ac:dyDescent="0.4">
      <c r="B20097" t="s">
        <v>7</v>
      </c>
      <c r="C20097" t="s">
        <v>3215</v>
      </c>
      <c r="D20097" s="7">
        <f>DATE(2006,1,11)</f>
        <v>38728</v>
      </c>
      <c r="E20097" s="8">
        <f t="shared" si="328"/>
        <v>2006</v>
      </c>
      <c r="F20097" t="s">
        <v>3216</v>
      </c>
      <c r="G20097" s="9">
        <v>7625.3</v>
      </c>
      <c r="H20097" s="8">
        <v>3913</v>
      </c>
    </row>
    <row r="20098" spans="2:8" ht="15" customHeight="1" x14ac:dyDescent="0.4">
      <c r="B20098" t="s">
        <v>7</v>
      </c>
      <c r="C20098" t="s">
        <v>3215</v>
      </c>
      <c r="D20098" s="7">
        <f>DATE(2006,2,2)</f>
        <v>38750</v>
      </c>
      <c r="E20098" s="8">
        <f t="shared" si="328"/>
        <v>2006</v>
      </c>
      <c r="F20098" t="s">
        <v>3216</v>
      </c>
      <c r="G20098" s="9">
        <v>9412.65</v>
      </c>
      <c r="H20098" s="8">
        <v>4014</v>
      </c>
    </row>
    <row r="20099" spans="2:8" ht="15" customHeight="1" x14ac:dyDescent="0.4">
      <c r="B20099" t="s">
        <v>7</v>
      </c>
      <c r="C20099" t="s">
        <v>3215</v>
      </c>
      <c r="D20099" s="7">
        <f>DATE(2006,2,16)</f>
        <v>38764</v>
      </c>
      <c r="E20099" s="8">
        <f t="shared" ref="E20099:E20162" si="329">YEAR(D20099)</f>
        <v>2006</v>
      </c>
      <c r="F20099" t="s">
        <v>3216</v>
      </c>
      <c r="G20099" s="9">
        <v>5741.8</v>
      </c>
      <c r="H20099" s="8">
        <v>4134</v>
      </c>
    </row>
    <row r="20100" spans="2:8" ht="15" customHeight="1" x14ac:dyDescent="0.4">
      <c r="B20100" t="s">
        <v>7</v>
      </c>
      <c r="C20100" t="s">
        <v>3215</v>
      </c>
      <c r="D20100" s="7">
        <f>DATE(2006,2,21)</f>
        <v>38769</v>
      </c>
      <c r="E20100" s="8">
        <f t="shared" si="329"/>
        <v>2006</v>
      </c>
      <c r="F20100" t="s">
        <v>3216</v>
      </c>
      <c r="G20100" s="9">
        <v>5146.72</v>
      </c>
      <c r="H20100" s="8">
        <v>4174</v>
      </c>
    </row>
    <row r="20101" spans="2:8" ht="15" customHeight="1" x14ac:dyDescent="0.4">
      <c r="B20101" t="s">
        <v>7</v>
      </c>
      <c r="C20101" t="s">
        <v>3215</v>
      </c>
      <c r="D20101" s="7">
        <f>DATE(2006,3,14)</f>
        <v>38790</v>
      </c>
      <c r="E20101" s="8">
        <f t="shared" si="329"/>
        <v>2006</v>
      </c>
      <c r="F20101" t="s">
        <v>3216</v>
      </c>
      <c r="G20101" s="9">
        <v>4897.13</v>
      </c>
      <c r="H20101" s="8">
        <v>4323</v>
      </c>
    </row>
    <row r="20102" spans="2:8" ht="15" customHeight="1" x14ac:dyDescent="0.4">
      <c r="B20102" t="s">
        <v>7</v>
      </c>
      <c r="C20102" t="s">
        <v>3215</v>
      </c>
      <c r="D20102" s="7">
        <f>DATE(2006,8,17)</f>
        <v>38946</v>
      </c>
      <c r="E20102" s="8">
        <f t="shared" si="329"/>
        <v>2006</v>
      </c>
      <c r="F20102" t="s">
        <v>3216</v>
      </c>
      <c r="G20102" s="9">
        <v>4196.59</v>
      </c>
      <c r="H20102" s="8">
        <v>4912</v>
      </c>
    </row>
    <row r="20103" spans="2:8" ht="15" customHeight="1" x14ac:dyDescent="0.4">
      <c r="B20103" t="s">
        <v>7</v>
      </c>
      <c r="C20103" t="s">
        <v>3215</v>
      </c>
      <c r="D20103" s="7">
        <f>DATE(2006,9,21)</f>
        <v>38981</v>
      </c>
      <c r="E20103" s="8">
        <f t="shared" si="329"/>
        <v>2006</v>
      </c>
      <c r="F20103" t="s">
        <v>3216</v>
      </c>
      <c r="G20103" s="9">
        <v>4427.62</v>
      </c>
      <c r="H20103" s="8">
        <v>5014</v>
      </c>
    </row>
    <row r="20104" spans="2:8" ht="15" customHeight="1" x14ac:dyDescent="0.4">
      <c r="B20104" t="s">
        <v>7</v>
      </c>
      <c r="C20104" t="s">
        <v>3215</v>
      </c>
      <c r="D20104" s="7">
        <f>DATE(2006,10,24)</f>
        <v>39014</v>
      </c>
      <c r="E20104" s="8">
        <f t="shared" si="329"/>
        <v>2006</v>
      </c>
      <c r="F20104" t="s">
        <v>3216</v>
      </c>
      <c r="G20104" s="9">
        <v>12365.29</v>
      </c>
      <c r="H20104" s="8">
        <v>5089</v>
      </c>
    </row>
    <row r="20105" spans="2:8" ht="15" customHeight="1" x14ac:dyDescent="0.4">
      <c r="B20105" t="s">
        <v>7</v>
      </c>
      <c r="C20105" t="s">
        <v>3215</v>
      </c>
      <c r="D20105" s="7">
        <f>DATE(2006,12,6)</f>
        <v>39057</v>
      </c>
      <c r="E20105" s="8">
        <f t="shared" si="329"/>
        <v>2006</v>
      </c>
      <c r="F20105" t="s">
        <v>3216</v>
      </c>
      <c r="G20105" s="9">
        <v>4483.21</v>
      </c>
      <c r="H20105" s="8">
        <v>5251</v>
      </c>
    </row>
    <row r="20106" spans="2:8" ht="15" customHeight="1" x14ac:dyDescent="0.4">
      <c r="B20106" t="s">
        <v>7</v>
      </c>
      <c r="C20106" t="s">
        <v>3215</v>
      </c>
      <c r="D20106" s="7">
        <f>DATE(2007,10,31)</f>
        <v>39386</v>
      </c>
      <c r="E20106" s="8">
        <f t="shared" si="329"/>
        <v>2007</v>
      </c>
      <c r="F20106" t="s">
        <v>3216</v>
      </c>
      <c r="G20106" s="9">
        <v>6685.14</v>
      </c>
      <c r="H20106" s="8">
        <v>6555</v>
      </c>
    </row>
    <row r="20107" spans="2:8" ht="15" customHeight="1" x14ac:dyDescent="0.4">
      <c r="B20107" t="s">
        <v>7</v>
      </c>
      <c r="C20107" t="s">
        <v>3215</v>
      </c>
      <c r="D20107" s="7">
        <f>DATE(2008,2,1)</f>
        <v>39479</v>
      </c>
      <c r="E20107" s="8">
        <f t="shared" si="329"/>
        <v>2008</v>
      </c>
      <c r="F20107" t="s">
        <v>3216</v>
      </c>
      <c r="G20107" s="9">
        <v>5072.83</v>
      </c>
      <c r="H20107" s="8">
        <v>6887</v>
      </c>
    </row>
    <row r="20108" spans="2:8" ht="15" customHeight="1" x14ac:dyDescent="0.4">
      <c r="B20108" t="s">
        <v>7</v>
      </c>
      <c r="C20108" t="s">
        <v>3215</v>
      </c>
      <c r="D20108" s="7">
        <f>DATE(2008,12,16)</f>
        <v>39798</v>
      </c>
      <c r="E20108" s="8">
        <f t="shared" si="329"/>
        <v>2008</v>
      </c>
      <c r="F20108" t="s">
        <v>3216</v>
      </c>
      <c r="G20108" s="9">
        <v>4702.67</v>
      </c>
      <c r="H20108" s="8">
        <v>8101</v>
      </c>
    </row>
    <row r="20109" spans="2:8" ht="15" customHeight="1" x14ac:dyDescent="0.4">
      <c r="B20109" t="s">
        <v>7</v>
      </c>
      <c r="C20109" t="s">
        <v>3215</v>
      </c>
      <c r="D20109" s="7">
        <f>DATE(2009,5,8)</f>
        <v>39941</v>
      </c>
      <c r="E20109" s="8">
        <f t="shared" si="329"/>
        <v>2009</v>
      </c>
      <c r="F20109" t="s">
        <v>3216</v>
      </c>
      <c r="G20109" s="9">
        <v>8969.6299999999992</v>
      </c>
      <c r="H20109" s="8">
        <v>8689</v>
      </c>
    </row>
    <row r="20110" spans="2:8" ht="15" customHeight="1" x14ac:dyDescent="0.4">
      <c r="B20110" t="s">
        <v>7</v>
      </c>
      <c r="C20110" t="s">
        <v>3215</v>
      </c>
      <c r="D20110" s="7">
        <f>DATE(2010,1,13)</f>
        <v>40191</v>
      </c>
      <c r="E20110" s="8">
        <f t="shared" si="329"/>
        <v>2010</v>
      </c>
      <c r="F20110" t="s">
        <v>3216</v>
      </c>
      <c r="G20110" s="9">
        <v>9615.52</v>
      </c>
      <c r="H20110" s="8">
        <v>9357</v>
      </c>
    </row>
    <row r="20111" spans="2:8" ht="15" customHeight="1" x14ac:dyDescent="0.4">
      <c r="B20111" s="3" t="s">
        <v>7</v>
      </c>
      <c r="C20111" s="3" t="s">
        <v>3215</v>
      </c>
      <c r="D20111" s="4">
        <f>DATE(2008,2,18)</f>
        <v>39496</v>
      </c>
      <c r="E20111" s="5">
        <f t="shared" si="329"/>
        <v>2008</v>
      </c>
      <c r="F20111" s="3" t="s">
        <v>3216</v>
      </c>
      <c r="G20111" s="6">
        <v>2026.56</v>
      </c>
      <c r="H20111" s="5">
        <v>9973</v>
      </c>
    </row>
    <row r="20112" spans="2:8" ht="15" customHeight="1" x14ac:dyDescent="0.4">
      <c r="B20112" t="s">
        <v>7</v>
      </c>
      <c r="C20112" t="s">
        <v>3217</v>
      </c>
      <c r="D20112" s="7">
        <f>DATE(2019,5,6)</f>
        <v>43591</v>
      </c>
      <c r="E20112" s="8">
        <f t="shared" si="329"/>
        <v>2019</v>
      </c>
      <c r="F20112" t="s">
        <v>3218</v>
      </c>
      <c r="G20112" s="9">
        <v>8335.2000000000007</v>
      </c>
      <c r="H20112" s="8">
        <v>28871</v>
      </c>
    </row>
    <row r="20113" spans="2:8" ht="15" customHeight="1" x14ac:dyDescent="0.4">
      <c r="B20113" t="s">
        <v>7</v>
      </c>
      <c r="C20113" t="s">
        <v>3219</v>
      </c>
      <c r="D20113" s="7">
        <f>DATE(2016,2,10)</f>
        <v>42410</v>
      </c>
      <c r="E20113" s="8">
        <f t="shared" si="329"/>
        <v>2016</v>
      </c>
      <c r="F20113" t="s">
        <v>3220</v>
      </c>
      <c r="G20113" s="9">
        <v>84580.77</v>
      </c>
      <c r="H20113" s="8">
        <v>21602</v>
      </c>
    </row>
    <row r="20114" spans="2:8" ht="15" customHeight="1" x14ac:dyDescent="0.4">
      <c r="B20114" t="s">
        <v>7</v>
      </c>
      <c r="C20114" t="s">
        <v>3219</v>
      </c>
      <c r="D20114" s="7">
        <f>DATE(2016,2,10)</f>
        <v>42410</v>
      </c>
      <c r="E20114" s="8">
        <f t="shared" si="329"/>
        <v>2016</v>
      </c>
      <c r="F20114" t="s">
        <v>3220</v>
      </c>
      <c r="G20114" s="9">
        <v>51913.07</v>
      </c>
      <c r="H20114" s="8">
        <v>22089</v>
      </c>
    </row>
    <row r="20115" spans="2:8" ht="15" customHeight="1" x14ac:dyDescent="0.4">
      <c r="B20115" t="s">
        <v>7</v>
      </c>
      <c r="C20115" t="s">
        <v>3219</v>
      </c>
      <c r="D20115" s="7">
        <f>DATE(2016,2,11)</f>
        <v>42411</v>
      </c>
      <c r="E20115" s="8">
        <f t="shared" si="329"/>
        <v>2016</v>
      </c>
      <c r="F20115" t="s">
        <v>3220</v>
      </c>
      <c r="G20115" s="9">
        <v>13469.35</v>
      </c>
      <c r="H20115" s="8">
        <v>22174</v>
      </c>
    </row>
    <row r="20116" spans="2:8" ht="15" customHeight="1" x14ac:dyDescent="0.4">
      <c r="B20116" t="s">
        <v>7</v>
      </c>
      <c r="C20116" t="s">
        <v>3219</v>
      </c>
      <c r="D20116" s="7">
        <f>DATE(2016,5,13)</f>
        <v>42503</v>
      </c>
      <c r="E20116" s="8">
        <f t="shared" si="329"/>
        <v>2016</v>
      </c>
      <c r="F20116" t="s">
        <v>3220</v>
      </c>
      <c r="G20116" s="9">
        <v>328023.59999999998</v>
      </c>
      <c r="H20116" s="8">
        <v>22482</v>
      </c>
    </row>
    <row r="20117" spans="2:8" ht="15" customHeight="1" x14ac:dyDescent="0.4">
      <c r="B20117" t="s">
        <v>7</v>
      </c>
      <c r="C20117" t="s">
        <v>3219</v>
      </c>
      <c r="D20117" s="7">
        <f>DATE(2016,11,10)</f>
        <v>42684</v>
      </c>
      <c r="E20117" s="8">
        <f t="shared" si="329"/>
        <v>2016</v>
      </c>
      <c r="F20117" t="s">
        <v>3220</v>
      </c>
      <c r="G20117" s="9">
        <v>18750.740000000002</v>
      </c>
      <c r="H20117" s="8">
        <v>23318</v>
      </c>
    </row>
    <row r="20118" spans="2:8" ht="15" customHeight="1" x14ac:dyDescent="0.4">
      <c r="B20118" t="s">
        <v>7</v>
      </c>
      <c r="C20118" t="s">
        <v>3219</v>
      </c>
      <c r="D20118" s="7">
        <f>DATE(2016,12,15)</f>
        <v>42719</v>
      </c>
      <c r="E20118" s="8">
        <f t="shared" si="329"/>
        <v>2016</v>
      </c>
      <c r="F20118" t="s">
        <v>3220</v>
      </c>
      <c r="G20118" s="9">
        <v>45407.57</v>
      </c>
      <c r="H20118" s="8">
        <v>23757</v>
      </c>
    </row>
    <row r="20119" spans="2:8" ht="15" customHeight="1" x14ac:dyDescent="0.4">
      <c r="B20119" t="s">
        <v>7</v>
      </c>
      <c r="C20119" t="s">
        <v>3219</v>
      </c>
      <c r="D20119" s="7">
        <f>DATE(2017,4,13)</f>
        <v>42838</v>
      </c>
      <c r="E20119" s="8">
        <f t="shared" si="329"/>
        <v>2017</v>
      </c>
      <c r="F20119" t="s">
        <v>3220</v>
      </c>
      <c r="G20119" s="9">
        <v>7482.41</v>
      </c>
      <c r="H20119" s="8">
        <v>24689</v>
      </c>
    </row>
    <row r="20120" spans="2:8" ht="15" customHeight="1" x14ac:dyDescent="0.4">
      <c r="B20120" t="s">
        <v>7</v>
      </c>
      <c r="C20120" t="s">
        <v>3219</v>
      </c>
      <c r="D20120" s="7">
        <f>DATE(2017,4,14)</f>
        <v>42839</v>
      </c>
      <c r="E20120" s="8">
        <f t="shared" si="329"/>
        <v>2017</v>
      </c>
      <c r="F20120" t="s">
        <v>3220</v>
      </c>
      <c r="G20120" s="9">
        <v>41406.21</v>
      </c>
      <c r="H20120" s="8">
        <v>24463</v>
      </c>
    </row>
    <row r="20121" spans="2:8" ht="15" customHeight="1" x14ac:dyDescent="0.4">
      <c r="B20121" t="s">
        <v>7</v>
      </c>
      <c r="C20121" t="s">
        <v>3219</v>
      </c>
      <c r="D20121" s="7">
        <f>DATE(2017,4,18)</f>
        <v>42843</v>
      </c>
      <c r="E20121" s="8">
        <f t="shared" si="329"/>
        <v>2017</v>
      </c>
      <c r="F20121" t="s">
        <v>3220</v>
      </c>
      <c r="G20121" s="9">
        <v>210265.16</v>
      </c>
      <c r="H20121" s="8">
        <v>24309</v>
      </c>
    </row>
    <row r="20122" spans="2:8" ht="15" customHeight="1" x14ac:dyDescent="0.4">
      <c r="B20122" t="s">
        <v>7</v>
      </c>
      <c r="C20122" t="s">
        <v>3219</v>
      </c>
      <c r="D20122" s="7">
        <f>DATE(2017,5,1)</f>
        <v>42856</v>
      </c>
      <c r="E20122" s="8">
        <f t="shared" si="329"/>
        <v>2017</v>
      </c>
      <c r="F20122" t="s">
        <v>3220</v>
      </c>
      <c r="G20122" s="9">
        <v>15847.22</v>
      </c>
      <c r="H20122" s="8">
        <v>24778</v>
      </c>
    </row>
    <row r="20123" spans="2:8" ht="15" customHeight="1" x14ac:dyDescent="0.4">
      <c r="B20123" t="s">
        <v>7</v>
      </c>
      <c r="C20123" t="s">
        <v>3219</v>
      </c>
      <c r="D20123" s="7">
        <f>DATE(2017,4,26)</f>
        <v>42851</v>
      </c>
      <c r="E20123" s="8">
        <f t="shared" si="329"/>
        <v>2017</v>
      </c>
      <c r="F20123" t="s">
        <v>3220</v>
      </c>
      <c r="G20123" s="9">
        <v>7933.65</v>
      </c>
      <c r="H20123" s="8">
        <v>24688</v>
      </c>
    </row>
    <row r="20124" spans="2:8" ht="15" customHeight="1" x14ac:dyDescent="0.4">
      <c r="B20124" t="s">
        <v>7</v>
      </c>
      <c r="C20124" t="s">
        <v>3219</v>
      </c>
      <c r="D20124" s="7">
        <f>DATE(2017,5,11)</f>
        <v>42866</v>
      </c>
      <c r="E20124" s="8">
        <f t="shared" si="329"/>
        <v>2017</v>
      </c>
      <c r="F20124" t="s">
        <v>3220</v>
      </c>
      <c r="G20124" s="9">
        <v>7061.57</v>
      </c>
      <c r="H20124" s="8">
        <v>24677</v>
      </c>
    </row>
    <row r="20125" spans="2:8" ht="15" customHeight="1" x14ac:dyDescent="0.4">
      <c r="B20125" t="s">
        <v>7</v>
      </c>
      <c r="C20125" t="s">
        <v>3219</v>
      </c>
      <c r="D20125" s="7">
        <f>DATE(2017,5,1)</f>
        <v>42856</v>
      </c>
      <c r="E20125" s="8">
        <f t="shared" si="329"/>
        <v>2017</v>
      </c>
      <c r="F20125" t="s">
        <v>3220</v>
      </c>
      <c r="G20125" s="9">
        <v>27879.84</v>
      </c>
      <c r="H20125" s="8">
        <v>24467</v>
      </c>
    </row>
    <row r="20126" spans="2:8" ht="15" customHeight="1" x14ac:dyDescent="0.4">
      <c r="B20126" t="s">
        <v>7</v>
      </c>
      <c r="C20126" t="s">
        <v>3219</v>
      </c>
      <c r="D20126" s="7">
        <f>DATE(2017,5,11)</f>
        <v>42866</v>
      </c>
      <c r="E20126" s="8">
        <f t="shared" si="329"/>
        <v>2017</v>
      </c>
      <c r="F20126" t="s">
        <v>3220</v>
      </c>
      <c r="G20126" s="9">
        <v>16709.88</v>
      </c>
      <c r="H20126" s="8">
        <v>24678</v>
      </c>
    </row>
    <row r="20127" spans="2:8" ht="15" customHeight="1" x14ac:dyDescent="0.4">
      <c r="B20127" t="s">
        <v>7</v>
      </c>
      <c r="C20127" t="s">
        <v>3219</v>
      </c>
      <c r="D20127" s="7">
        <f>DATE(2017,5,11)</f>
        <v>42866</v>
      </c>
      <c r="E20127" s="8">
        <f t="shared" si="329"/>
        <v>2017</v>
      </c>
      <c r="F20127" t="s">
        <v>3220</v>
      </c>
      <c r="G20127" s="9">
        <v>4673.3500000000004</v>
      </c>
      <c r="H20127" s="8">
        <v>24679</v>
      </c>
    </row>
    <row r="20128" spans="2:8" ht="15" customHeight="1" x14ac:dyDescent="0.4">
      <c r="B20128" t="s">
        <v>7</v>
      </c>
      <c r="C20128" t="s">
        <v>3219</v>
      </c>
      <c r="D20128" s="7">
        <f>DATE(2017,5,11)</f>
        <v>42866</v>
      </c>
      <c r="E20128" s="8">
        <f t="shared" si="329"/>
        <v>2017</v>
      </c>
      <c r="F20128" t="s">
        <v>3220</v>
      </c>
      <c r="G20128" s="9">
        <v>5346.39</v>
      </c>
      <c r="H20128" s="8">
        <v>24680</v>
      </c>
    </row>
    <row r="20129" spans="2:8" ht="15" customHeight="1" x14ac:dyDescent="0.4">
      <c r="B20129" t="s">
        <v>7</v>
      </c>
      <c r="C20129" t="s">
        <v>3219</v>
      </c>
      <c r="D20129" s="7">
        <f>DATE(2017,11,8)</f>
        <v>43047</v>
      </c>
      <c r="E20129" s="8">
        <f t="shared" si="329"/>
        <v>2017</v>
      </c>
      <c r="F20129" t="s">
        <v>3221</v>
      </c>
      <c r="G20129" s="9">
        <v>12774.73</v>
      </c>
      <c r="H20129" s="8">
        <v>25558</v>
      </c>
    </row>
    <row r="20130" spans="2:8" ht="15" customHeight="1" x14ac:dyDescent="0.4">
      <c r="B20130" t="s">
        <v>7</v>
      </c>
      <c r="C20130" t="s">
        <v>3219</v>
      </c>
      <c r="D20130" s="7">
        <f>DATE(2017,9,26)</f>
        <v>43004</v>
      </c>
      <c r="E20130" s="8">
        <f t="shared" si="329"/>
        <v>2017</v>
      </c>
      <c r="F20130" t="s">
        <v>3221</v>
      </c>
      <c r="G20130" s="9">
        <v>27355.18</v>
      </c>
      <c r="H20130" s="8">
        <v>25568</v>
      </c>
    </row>
    <row r="20131" spans="2:8" ht="15" customHeight="1" x14ac:dyDescent="0.4">
      <c r="B20131" t="s">
        <v>7</v>
      </c>
      <c r="C20131" t="s">
        <v>3219</v>
      </c>
      <c r="D20131" s="7">
        <f>DATE(2017,10,20)</f>
        <v>43028</v>
      </c>
      <c r="E20131" s="8">
        <f t="shared" si="329"/>
        <v>2017</v>
      </c>
      <c r="F20131" t="s">
        <v>3221</v>
      </c>
      <c r="G20131" s="9">
        <v>7515.94</v>
      </c>
      <c r="H20131" s="8">
        <v>25589</v>
      </c>
    </row>
    <row r="20132" spans="2:8" ht="15" customHeight="1" x14ac:dyDescent="0.4">
      <c r="B20132" t="s">
        <v>7</v>
      </c>
      <c r="C20132" t="s">
        <v>3219</v>
      </c>
      <c r="D20132" s="7">
        <f>DATE(2018,4,17)</f>
        <v>43207</v>
      </c>
      <c r="E20132" s="8">
        <f t="shared" si="329"/>
        <v>2018</v>
      </c>
      <c r="F20132" t="s">
        <v>3221</v>
      </c>
      <c r="G20132" s="9">
        <v>414767.63</v>
      </c>
      <c r="H20132" s="8">
        <v>26128</v>
      </c>
    </row>
    <row r="20133" spans="2:8" ht="15" customHeight="1" x14ac:dyDescent="0.4">
      <c r="B20133" t="s">
        <v>7</v>
      </c>
      <c r="C20133" t="s">
        <v>3219</v>
      </c>
      <c r="D20133" s="7">
        <f t="shared" ref="D20133:D20140" si="330">DATE(2018,5,11)</f>
        <v>43231</v>
      </c>
      <c r="E20133" s="8">
        <f t="shared" si="329"/>
        <v>2018</v>
      </c>
      <c r="F20133" t="s">
        <v>3221</v>
      </c>
      <c r="G20133" s="9">
        <v>4307.8999999999996</v>
      </c>
      <c r="H20133" s="8">
        <v>26892</v>
      </c>
    </row>
    <row r="20134" spans="2:8" ht="15" customHeight="1" x14ac:dyDescent="0.4">
      <c r="B20134" t="s">
        <v>7</v>
      </c>
      <c r="C20134" t="s">
        <v>3219</v>
      </c>
      <c r="D20134" s="7">
        <f t="shared" si="330"/>
        <v>43231</v>
      </c>
      <c r="E20134" s="8">
        <f t="shared" si="329"/>
        <v>2018</v>
      </c>
      <c r="F20134" t="s">
        <v>3221</v>
      </c>
      <c r="G20134" s="9">
        <v>1476.99</v>
      </c>
      <c r="H20134" s="8">
        <v>26905</v>
      </c>
    </row>
    <row r="20135" spans="2:8" ht="15" customHeight="1" x14ac:dyDescent="0.4">
      <c r="B20135" t="s">
        <v>7</v>
      </c>
      <c r="C20135" t="s">
        <v>3219</v>
      </c>
      <c r="D20135" s="7">
        <f t="shared" si="330"/>
        <v>43231</v>
      </c>
      <c r="E20135" s="8">
        <f t="shared" si="329"/>
        <v>2018</v>
      </c>
      <c r="F20135" t="s">
        <v>3221</v>
      </c>
      <c r="G20135" s="9">
        <v>1641.11</v>
      </c>
      <c r="H20135" s="8">
        <v>26906</v>
      </c>
    </row>
    <row r="20136" spans="2:8" ht="15" customHeight="1" x14ac:dyDescent="0.4">
      <c r="B20136" t="s">
        <v>7</v>
      </c>
      <c r="C20136" t="s">
        <v>3219</v>
      </c>
      <c r="D20136" s="7">
        <f t="shared" si="330"/>
        <v>43231</v>
      </c>
      <c r="E20136" s="8">
        <f t="shared" si="329"/>
        <v>2018</v>
      </c>
      <c r="F20136" t="s">
        <v>3221</v>
      </c>
      <c r="G20136" s="9">
        <v>18462.43</v>
      </c>
      <c r="H20136" s="8">
        <v>26927</v>
      </c>
    </row>
    <row r="20137" spans="2:8" ht="15" customHeight="1" x14ac:dyDescent="0.4">
      <c r="B20137" t="s">
        <v>7</v>
      </c>
      <c r="C20137" t="s">
        <v>3219</v>
      </c>
      <c r="D20137" s="7">
        <f t="shared" si="330"/>
        <v>43231</v>
      </c>
      <c r="E20137" s="8">
        <f t="shared" si="329"/>
        <v>2018</v>
      </c>
      <c r="F20137" t="s">
        <v>3221</v>
      </c>
      <c r="G20137" s="9">
        <v>25962.16</v>
      </c>
      <c r="H20137" s="8">
        <v>26932</v>
      </c>
    </row>
    <row r="20138" spans="2:8" ht="15" customHeight="1" x14ac:dyDescent="0.4">
      <c r="B20138" t="s">
        <v>7</v>
      </c>
      <c r="C20138" t="s">
        <v>3219</v>
      </c>
      <c r="D20138" s="7">
        <f t="shared" si="330"/>
        <v>43231</v>
      </c>
      <c r="E20138" s="8">
        <f t="shared" si="329"/>
        <v>2018</v>
      </c>
      <c r="F20138" t="s">
        <v>3221</v>
      </c>
      <c r="G20138" s="9">
        <v>5480.7</v>
      </c>
      <c r="H20138" s="8">
        <v>26933</v>
      </c>
    </row>
    <row r="20139" spans="2:8" ht="15" customHeight="1" x14ac:dyDescent="0.4">
      <c r="B20139" t="s">
        <v>7</v>
      </c>
      <c r="C20139" t="s">
        <v>3219</v>
      </c>
      <c r="D20139" s="7">
        <f t="shared" si="330"/>
        <v>43231</v>
      </c>
      <c r="E20139" s="8">
        <f t="shared" si="329"/>
        <v>2018</v>
      </c>
      <c r="F20139" t="s">
        <v>3221</v>
      </c>
      <c r="G20139" s="9">
        <v>30770.71</v>
      </c>
      <c r="H20139" s="8">
        <v>26245</v>
      </c>
    </row>
    <row r="20140" spans="2:8" ht="15" customHeight="1" x14ac:dyDescent="0.4">
      <c r="B20140" t="s">
        <v>7</v>
      </c>
      <c r="C20140" t="s">
        <v>3219</v>
      </c>
      <c r="D20140" s="7">
        <f t="shared" si="330"/>
        <v>43231</v>
      </c>
      <c r="E20140" s="8">
        <f t="shared" si="329"/>
        <v>2018</v>
      </c>
      <c r="F20140" t="s">
        <v>3221</v>
      </c>
      <c r="G20140" s="9">
        <v>11898</v>
      </c>
      <c r="H20140" s="8">
        <v>26934</v>
      </c>
    </row>
    <row r="20141" spans="2:8" ht="15" customHeight="1" x14ac:dyDescent="0.4">
      <c r="B20141" t="s">
        <v>7</v>
      </c>
      <c r="C20141" t="s">
        <v>3219</v>
      </c>
      <c r="D20141" s="7">
        <f>DATE(2018,6,1)</f>
        <v>43252</v>
      </c>
      <c r="E20141" s="8">
        <f t="shared" si="329"/>
        <v>2018</v>
      </c>
      <c r="F20141" t="s">
        <v>3221</v>
      </c>
      <c r="G20141" s="9">
        <v>214272.69</v>
      </c>
      <c r="H20141" s="8">
        <v>26203</v>
      </c>
    </row>
    <row r="20142" spans="2:8" ht="15" customHeight="1" x14ac:dyDescent="0.4">
      <c r="B20142" t="s">
        <v>7</v>
      </c>
      <c r="C20142" t="s">
        <v>3219</v>
      </c>
      <c r="D20142" s="7">
        <f>DATE(2019,3,8)</f>
        <v>43532</v>
      </c>
      <c r="E20142" s="8">
        <f t="shared" si="329"/>
        <v>2019</v>
      </c>
      <c r="F20142" t="s">
        <v>3221</v>
      </c>
      <c r="G20142" s="9">
        <v>10457.66</v>
      </c>
      <c r="H20142" s="8">
        <v>28473</v>
      </c>
    </row>
    <row r="20143" spans="2:8" ht="15" customHeight="1" x14ac:dyDescent="0.4">
      <c r="B20143" t="s">
        <v>7</v>
      </c>
      <c r="C20143" t="s">
        <v>3219</v>
      </c>
      <c r="D20143" s="7">
        <f>DATE(2019,3,11)</f>
        <v>43535</v>
      </c>
      <c r="E20143" s="8">
        <f t="shared" si="329"/>
        <v>2019</v>
      </c>
      <c r="F20143" t="s">
        <v>3221</v>
      </c>
      <c r="G20143" s="9">
        <v>5795.04</v>
      </c>
      <c r="H20143" s="8">
        <v>28599</v>
      </c>
    </row>
    <row r="20144" spans="2:8" ht="15" customHeight="1" x14ac:dyDescent="0.4">
      <c r="B20144" t="s">
        <v>7</v>
      </c>
      <c r="C20144" t="s">
        <v>3219</v>
      </c>
      <c r="D20144" s="7">
        <f>DATE(2019,3,11)</f>
        <v>43535</v>
      </c>
      <c r="E20144" s="8">
        <f t="shared" si="329"/>
        <v>2019</v>
      </c>
      <c r="F20144" t="s">
        <v>3221</v>
      </c>
      <c r="G20144" s="9">
        <v>25844.21</v>
      </c>
      <c r="H20144" s="8">
        <v>28050</v>
      </c>
    </row>
    <row r="20145" spans="2:8" ht="15" customHeight="1" x14ac:dyDescent="0.4">
      <c r="B20145" t="s">
        <v>7</v>
      </c>
      <c r="C20145" t="s">
        <v>3219</v>
      </c>
      <c r="D20145" s="7">
        <f>DATE(2019,3,26)</f>
        <v>43550</v>
      </c>
      <c r="E20145" s="8">
        <f t="shared" si="329"/>
        <v>2019</v>
      </c>
      <c r="F20145" t="s">
        <v>3221</v>
      </c>
      <c r="G20145" s="9">
        <v>5207.6099999999997</v>
      </c>
      <c r="H20145" s="8">
        <v>28664</v>
      </c>
    </row>
    <row r="20146" spans="2:8" ht="15" customHeight="1" x14ac:dyDescent="0.4">
      <c r="B20146" t="s">
        <v>7</v>
      </c>
      <c r="C20146" t="s">
        <v>3219</v>
      </c>
      <c r="D20146" s="7">
        <f>DATE(2019,5,16)</f>
        <v>43601</v>
      </c>
      <c r="E20146" s="8">
        <f t="shared" si="329"/>
        <v>2019</v>
      </c>
      <c r="F20146" t="s">
        <v>3221</v>
      </c>
      <c r="G20146" s="9">
        <v>104633.44</v>
      </c>
      <c r="H20146" s="8">
        <v>28375</v>
      </c>
    </row>
    <row r="20147" spans="2:8" ht="15" customHeight="1" x14ac:dyDescent="0.4">
      <c r="B20147" t="s">
        <v>7</v>
      </c>
      <c r="C20147" t="s">
        <v>3222</v>
      </c>
      <c r="D20147" s="7">
        <f>DATE(2018,4,2)</f>
        <v>43192</v>
      </c>
      <c r="E20147" s="8">
        <f t="shared" si="329"/>
        <v>2018</v>
      </c>
      <c r="F20147" t="s">
        <v>3223</v>
      </c>
      <c r="G20147" s="9">
        <v>143376.10999999999</v>
      </c>
      <c r="H20147" s="8">
        <v>26106</v>
      </c>
    </row>
    <row r="20148" spans="2:8" ht="15" customHeight="1" x14ac:dyDescent="0.4">
      <c r="B20148" t="s">
        <v>7</v>
      </c>
      <c r="C20148" t="s">
        <v>3222</v>
      </c>
      <c r="D20148" s="7">
        <f>DATE(2018,4,2)</f>
        <v>43192</v>
      </c>
      <c r="E20148" s="8">
        <f t="shared" si="329"/>
        <v>2018</v>
      </c>
      <c r="F20148" t="s">
        <v>3223</v>
      </c>
      <c r="G20148" s="9">
        <v>158716.25</v>
      </c>
      <c r="H20148" s="8">
        <v>26109</v>
      </c>
    </row>
    <row r="20149" spans="2:8" ht="15" customHeight="1" x14ac:dyDescent="0.4">
      <c r="B20149" t="s">
        <v>7</v>
      </c>
      <c r="C20149" t="s">
        <v>3222</v>
      </c>
      <c r="D20149" s="7">
        <f>DATE(2018,7,2)</f>
        <v>43283</v>
      </c>
      <c r="E20149" s="8">
        <f t="shared" si="329"/>
        <v>2018</v>
      </c>
      <c r="F20149" t="s">
        <v>3223</v>
      </c>
      <c r="G20149" s="9">
        <v>3078.18</v>
      </c>
      <c r="H20149" s="8">
        <v>27205</v>
      </c>
    </row>
    <row r="20150" spans="2:8" ht="15" customHeight="1" x14ac:dyDescent="0.4">
      <c r="B20150" t="s">
        <v>7</v>
      </c>
      <c r="C20150" t="s">
        <v>3222</v>
      </c>
      <c r="D20150" s="7">
        <f>DATE(2018,7,2)</f>
        <v>43283</v>
      </c>
      <c r="E20150" s="8">
        <f t="shared" si="329"/>
        <v>2018</v>
      </c>
      <c r="F20150" t="s">
        <v>3223</v>
      </c>
      <c r="G20150" s="9">
        <v>2028.93</v>
      </c>
      <c r="H20150" s="8">
        <v>27294</v>
      </c>
    </row>
    <row r="20151" spans="2:8" ht="15" customHeight="1" x14ac:dyDescent="0.4">
      <c r="B20151" t="s">
        <v>7</v>
      </c>
      <c r="C20151" t="s">
        <v>3222</v>
      </c>
      <c r="D20151" s="7">
        <f>DATE(2018,7,2)</f>
        <v>43283</v>
      </c>
      <c r="E20151" s="8">
        <f t="shared" si="329"/>
        <v>2018</v>
      </c>
      <c r="F20151" t="s">
        <v>3223</v>
      </c>
      <c r="G20151" s="9">
        <v>2362.36</v>
      </c>
      <c r="H20151" s="8">
        <v>27297</v>
      </c>
    </row>
    <row r="20152" spans="2:8" ht="15" customHeight="1" x14ac:dyDescent="0.4">
      <c r="B20152" t="s">
        <v>7</v>
      </c>
      <c r="C20152" t="s">
        <v>3222</v>
      </c>
      <c r="D20152" s="7">
        <f>DATE(2018,7,10)</f>
        <v>43291</v>
      </c>
      <c r="E20152" s="8">
        <f t="shared" si="329"/>
        <v>2018</v>
      </c>
      <c r="F20152" t="s">
        <v>3223</v>
      </c>
      <c r="G20152" s="9">
        <v>2885.09</v>
      </c>
      <c r="H20152" s="8">
        <v>27280</v>
      </c>
    </row>
    <row r="20153" spans="2:8" ht="15" customHeight="1" x14ac:dyDescent="0.4">
      <c r="B20153" t="s">
        <v>7</v>
      </c>
      <c r="C20153" t="s">
        <v>3222</v>
      </c>
      <c r="D20153" s="7">
        <f>DATE(2018,7,10)</f>
        <v>43291</v>
      </c>
      <c r="E20153" s="8">
        <f t="shared" si="329"/>
        <v>2018</v>
      </c>
      <c r="F20153" t="s">
        <v>3223</v>
      </c>
      <c r="G20153" s="9">
        <v>1532.56</v>
      </c>
      <c r="H20153" s="8">
        <v>27335</v>
      </c>
    </row>
    <row r="20154" spans="2:8" ht="15" customHeight="1" x14ac:dyDescent="0.4">
      <c r="B20154" t="s">
        <v>7</v>
      </c>
      <c r="C20154" t="s">
        <v>3222</v>
      </c>
      <c r="D20154" s="7">
        <f>DATE(2018,7,10)</f>
        <v>43291</v>
      </c>
      <c r="E20154" s="8">
        <f t="shared" si="329"/>
        <v>2018</v>
      </c>
      <c r="F20154" t="s">
        <v>3223</v>
      </c>
      <c r="G20154" s="9">
        <v>1179.45</v>
      </c>
      <c r="H20154" s="8">
        <v>27354</v>
      </c>
    </row>
    <row r="20155" spans="2:8" ht="15" customHeight="1" x14ac:dyDescent="0.4">
      <c r="B20155" t="s">
        <v>7</v>
      </c>
      <c r="C20155" t="s">
        <v>3222</v>
      </c>
      <c r="D20155" s="7">
        <f>DATE(2018,10,5)</f>
        <v>43378</v>
      </c>
      <c r="E20155" s="8">
        <f t="shared" si="329"/>
        <v>2018</v>
      </c>
      <c r="F20155" t="s">
        <v>3223</v>
      </c>
      <c r="G20155" s="9">
        <v>2460.44</v>
      </c>
      <c r="H20155" s="8">
        <v>27586</v>
      </c>
    </row>
    <row r="20156" spans="2:8" ht="15" customHeight="1" x14ac:dyDescent="0.4">
      <c r="B20156" t="s">
        <v>7</v>
      </c>
      <c r="C20156" t="s">
        <v>3222</v>
      </c>
      <c r="D20156" s="7">
        <f>DATE(2018,10,5)</f>
        <v>43378</v>
      </c>
      <c r="E20156" s="8">
        <f t="shared" si="329"/>
        <v>2018</v>
      </c>
      <c r="F20156" t="s">
        <v>3223</v>
      </c>
      <c r="G20156" s="9">
        <v>3896.14</v>
      </c>
      <c r="H20156" s="8">
        <v>27553</v>
      </c>
    </row>
    <row r="20157" spans="2:8" ht="15" customHeight="1" x14ac:dyDescent="0.4">
      <c r="B20157" t="s">
        <v>7</v>
      </c>
      <c r="C20157" t="s">
        <v>3222</v>
      </c>
      <c r="D20157" s="7">
        <f>DATE(2018,10,5)</f>
        <v>43378</v>
      </c>
      <c r="E20157" s="8">
        <f t="shared" si="329"/>
        <v>2018</v>
      </c>
      <c r="F20157" t="s">
        <v>3223</v>
      </c>
      <c r="G20157" s="9">
        <v>4925.33</v>
      </c>
      <c r="H20157" s="8">
        <v>27554</v>
      </c>
    </row>
    <row r="20158" spans="2:8" ht="15" customHeight="1" x14ac:dyDescent="0.4">
      <c r="B20158" t="s">
        <v>7</v>
      </c>
      <c r="C20158" t="s">
        <v>3222</v>
      </c>
      <c r="D20158" s="7">
        <f>DATE(2018,10,5)</f>
        <v>43378</v>
      </c>
      <c r="E20158" s="8">
        <f t="shared" si="329"/>
        <v>2018</v>
      </c>
      <c r="F20158" t="s">
        <v>3223</v>
      </c>
      <c r="G20158" s="9">
        <v>924.3</v>
      </c>
      <c r="H20158" s="8">
        <v>27585</v>
      </c>
    </row>
    <row r="20159" spans="2:8" ht="15" customHeight="1" x14ac:dyDescent="0.4">
      <c r="B20159" t="s">
        <v>7</v>
      </c>
      <c r="C20159" t="s">
        <v>3222</v>
      </c>
      <c r="D20159" s="7">
        <f>DATE(2019,2,22)</f>
        <v>43518</v>
      </c>
      <c r="E20159" s="8">
        <f t="shared" si="329"/>
        <v>2019</v>
      </c>
      <c r="F20159" t="s">
        <v>3223</v>
      </c>
      <c r="G20159" s="9">
        <v>8632.19</v>
      </c>
      <c r="H20159" s="8">
        <v>28379</v>
      </c>
    </row>
    <row r="20160" spans="2:8" ht="15" customHeight="1" x14ac:dyDescent="0.4">
      <c r="B20160" t="s">
        <v>7</v>
      </c>
      <c r="C20160" t="s">
        <v>3222</v>
      </c>
      <c r="D20160" s="7">
        <f>DATE(2019,5,13)</f>
        <v>43598</v>
      </c>
      <c r="E20160" s="8">
        <f t="shared" si="329"/>
        <v>2019</v>
      </c>
      <c r="F20160" t="s">
        <v>3223</v>
      </c>
      <c r="G20160" s="9">
        <v>2213.9499999999998</v>
      </c>
      <c r="H20160" s="8">
        <v>28969</v>
      </c>
    </row>
    <row r="20161" spans="2:8" ht="15" customHeight="1" x14ac:dyDescent="0.4">
      <c r="B20161" t="s">
        <v>7</v>
      </c>
      <c r="C20161" t="s">
        <v>3222</v>
      </c>
      <c r="D20161" s="7">
        <f>DATE(2019,5,13)</f>
        <v>43598</v>
      </c>
      <c r="E20161" s="8">
        <f t="shared" si="329"/>
        <v>2019</v>
      </c>
      <c r="F20161" t="s">
        <v>3223</v>
      </c>
      <c r="G20161" s="9">
        <v>2051.11</v>
      </c>
      <c r="H20161" s="8">
        <v>29002</v>
      </c>
    </row>
    <row r="20162" spans="2:8" ht="15" customHeight="1" x14ac:dyDescent="0.4">
      <c r="B20162" t="s">
        <v>16</v>
      </c>
      <c r="C20162" t="s">
        <v>3222</v>
      </c>
      <c r="D20162" s="7">
        <f>DATE(2019,5,14)</f>
        <v>43599</v>
      </c>
      <c r="E20162" s="8">
        <f t="shared" si="329"/>
        <v>2019</v>
      </c>
      <c r="F20162" t="s">
        <v>3223</v>
      </c>
      <c r="G20162" s="9">
        <v>602.34</v>
      </c>
      <c r="H20162" s="8">
        <v>29024</v>
      </c>
    </row>
    <row r="20163" spans="2:8" ht="15" customHeight="1" x14ac:dyDescent="0.4">
      <c r="B20163" t="s">
        <v>7</v>
      </c>
      <c r="C20163" t="s">
        <v>3222</v>
      </c>
      <c r="D20163" s="7">
        <f>DATE(2017,3,1)</f>
        <v>42795</v>
      </c>
      <c r="E20163" s="8">
        <f t="shared" ref="E20163:E20226" si="331">YEAR(D20163)</f>
        <v>2017</v>
      </c>
      <c r="F20163" t="s">
        <v>3224</v>
      </c>
      <c r="G20163" s="9">
        <v>69175.7</v>
      </c>
      <c r="H20163" s="8">
        <v>24215</v>
      </c>
    </row>
    <row r="20164" spans="2:8" ht="15" customHeight="1" x14ac:dyDescent="0.4">
      <c r="B20164" t="s">
        <v>7</v>
      </c>
      <c r="C20164" t="s">
        <v>3222</v>
      </c>
      <c r="D20164" s="7">
        <f>DATE(2017,8,1)</f>
        <v>42948</v>
      </c>
      <c r="E20164" s="8">
        <f t="shared" si="331"/>
        <v>2017</v>
      </c>
      <c r="F20164" t="s">
        <v>3224</v>
      </c>
      <c r="G20164" s="9">
        <v>5747.81</v>
      </c>
      <c r="H20164" s="8">
        <v>25038</v>
      </c>
    </row>
    <row r="20165" spans="2:8" ht="15" customHeight="1" x14ac:dyDescent="0.4">
      <c r="B20165" t="s">
        <v>7</v>
      </c>
      <c r="C20165" t="s">
        <v>3222</v>
      </c>
      <c r="D20165" s="7">
        <f>DATE(2017,8,1)</f>
        <v>42948</v>
      </c>
      <c r="E20165" s="8">
        <f t="shared" si="331"/>
        <v>2017</v>
      </c>
      <c r="F20165" t="s">
        <v>3224</v>
      </c>
      <c r="G20165" s="9">
        <v>9760.7099999999991</v>
      </c>
      <c r="H20165" s="8">
        <v>25165</v>
      </c>
    </row>
    <row r="20166" spans="2:8" ht="15" customHeight="1" x14ac:dyDescent="0.4">
      <c r="B20166" t="s">
        <v>7</v>
      </c>
      <c r="C20166" t="s">
        <v>3225</v>
      </c>
      <c r="D20166" s="7">
        <f>DATE(2016,2,5)</f>
        <v>42405</v>
      </c>
      <c r="E20166" s="8">
        <f t="shared" si="331"/>
        <v>2016</v>
      </c>
      <c r="F20166" t="s">
        <v>3226</v>
      </c>
      <c r="G20166" s="9">
        <v>7830.25</v>
      </c>
      <c r="H20166" s="8">
        <v>22064</v>
      </c>
    </row>
    <row r="20167" spans="2:8" ht="15" customHeight="1" x14ac:dyDescent="0.4">
      <c r="B20167" t="s">
        <v>7</v>
      </c>
      <c r="C20167" t="s">
        <v>3227</v>
      </c>
      <c r="D20167" s="7">
        <f>DATE(2016,8,19)</f>
        <v>42601</v>
      </c>
      <c r="E20167" s="8">
        <f t="shared" si="331"/>
        <v>2016</v>
      </c>
      <c r="F20167" t="s">
        <v>3228</v>
      </c>
      <c r="G20167" s="9">
        <v>16115.2</v>
      </c>
      <c r="H20167" s="8">
        <v>23285</v>
      </c>
    </row>
    <row r="20168" spans="2:8" ht="15" customHeight="1" x14ac:dyDescent="0.4">
      <c r="B20168" t="s">
        <v>7</v>
      </c>
      <c r="C20168" t="s">
        <v>3227</v>
      </c>
      <c r="D20168" s="7">
        <f>DATE(2016,9,20)</f>
        <v>42633</v>
      </c>
      <c r="E20168" s="8">
        <f t="shared" si="331"/>
        <v>2016</v>
      </c>
      <c r="F20168" t="s">
        <v>3228</v>
      </c>
      <c r="G20168" s="9">
        <v>3446.35</v>
      </c>
      <c r="H20168" s="8">
        <v>23463</v>
      </c>
    </row>
    <row r="20169" spans="2:8" ht="15" customHeight="1" x14ac:dyDescent="0.4">
      <c r="B20169" s="3" t="s">
        <v>7</v>
      </c>
      <c r="C20169" s="3" t="s">
        <v>3229</v>
      </c>
      <c r="D20169" s="4">
        <f>DATE(2007,5,1)</f>
        <v>39203</v>
      </c>
      <c r="E20169" s="5">
        <f t="shared" si="331"/>
        <v>2007</v>
      </c>
      <c r="F20169" s="3" t="s">
        <v>3230</v>
      </c>
      <c r="G20169" s="6">
        <v>500</v>
      </c>
      <c r="H20169" s="5">
        <v>2220</v>
      </c>
    </row>
    <row r="20170" spans="2:8" ht="15" customHeight="1" x14ac:dyDescent="0.4">
      <c r="B20170" s="3" t="s">
        <v>7</v>
      </c>
      <c r="C20170" s="3" t="s">
        <v>3229</v>
      </c>
      <c r="D20170" s="4">
        <f>DATE(2007,4,1)</f>
        <v>39173</v>
      </c>
      <c r="E20170" s="5">
        <f t="shared" si="331"/>
        <v>2007</v>
      </c>
      <c r="F20170" s="3" t="s">
        <v>3230</v>
      </c>
      <c r="G20170" s="6">
        <v>56032.35</v>
      </c>
      <c r="H20170" s="5">
        <v>2115</v>
      </c>
    </row>
    <row r="20171" spans="2:8" ht="15" customHeight="1" x14ac:dyDescent="0.4">
      <c r="B20171" s="3" t="s">
        <v>7</v>
      </c>
      <c r="C20171" s="3" t="s">
        <v>3229</v>
      </c>
      <c r="D20171" s="4">
        <f>DATE(2007,5,1)</f>
        <v>39203</v>
      </c>
      <c r="E20171" s="5">
        <f t="shared" si="331"/>
        <v>2007</v>
      </c>
      <c r="F20171" s="3" t="s">
        <v>3230</v>
      </c>
      <c r="G20171" s="6">
        <v>9397.5</v>
      </c>
      <c r="H20171" s="5">
        <v>2195</v>
      </c>
    </row>
    <row r="20172" spans="2:8" ht="15" customHeight="1" x14ac:dyDescent="0.4">
      <c r="B20172" s="3" t="s">
        <v>16</v>
      </c>
      <c r="C20172" s="3" t="s">
        <v>3229</v>
      </c>
      <c r="D20172" s="4">
        <f>DATE(2007,4,27)</f>
        <v>39199</v>
      </c>
      <c r="E20172" s="5">
        <f t="shared" si="331"/>
        <v>2007</v>
      </c>
      <c r="F20172" s="3" t="s">
        <v>3230</v>
      </c>
      <c r="G20172" s="6">
        <v>4662</v>
      </c>
      <c r="H20172" s="5">
        <v>2242</v>
      </c>
    </row>
    <row r="20173" spans="2:8" ht="15" customHeight="1" x14ac:dyDescent="0.4">
      <c r="B20173" t="s">
        <v>7</v>
      </c>
      <c r="C20173" t="s">
        <v>3231</v>
      </c>
      <c r="D20173" s="7">
        <f>DATE(2009,12,10)</f>
        <v>40157</v>
      </c>
      <c r="E20173" s="8">
        <f t="shared" si="331"/>
        <v>2009</v>
      </c>
      <c r="F20173" t="s">
        <v>3232</v>
      </c>
      <c r="G20173" s="9">
        <v>255</v>
      </c>
      <c r="H20173" s="8">
        <v>9287</v>
      </c>
    </row>
    <row r="20174" spans="2:8" ht="15" customHeight="1" x14ac:dyDescent="0.4">
      <c r="B20174" t="s">
        <v>7</v>
      </c>
      <c r="C20174" t="s">
        <v>3231</v>
      </c>
      <c r="D20174" s="7">
        <f>DATE(2003,10,23)</f>
        <v>37917</v>
      </c>
      <c r="E20174" s="8">
        <f t="shared" si="331"/>
        <v>2003</v>
      </c>
      <c r="F20174" t="s">
        <v>3232</v>
      </c>
      <c r="G20174" s="9">
        <v>60</v>
      </c>
      <c r="H20174" s="8">
        <v>924</v>
      </c>
    </row>
    <row r="20175" spans="2:8" ht="15" customHeight="1" x14ac:dyDescent="0.4">
      <c r="B20175" t="s">
        <v>7</v>
      </c>
      <c r="C20175" t="s">
        <v>3231</v>
      </c>
      <c r="D20175" s="7">
        <f>DATE(2015,1,8)</f>
        <v>42012</v>
      </c>
      <c r="E20175" s="8">
        <f t="shared" si="331"/>
        <v>2015</v>
      </c>
      <c r="F20175" t="s">
        <v>3232</v>
      </c>
      <c r="G20175" s="9">
        <v>19407.89</v>
      </c>
      <c r="H20175" s="8">
        <v>13627</v>
      </c>
    </row>
    <row r="20176" spans="2:8" ht="15" customHeight="1" x14ac:dyDescent="0.4">
      <c r="B20176" s="3" t="s">
        <v>7</v>
      </c>
      <c r="C20176" s="3" t="s">
        <v>3231</v>
      </c>
      <c r="D20176" s="4">
        <f>DATE(2008,3,12)</f>
        <v>39519</v>
      </c>
      <c r="E20176" s="5">
        <f t="shared" si="331"/>
        <v>2008</v>
      </c>
      <c r="F20176" s="3" t="s">
        <v>3232</v>
      </c>
      <c r="G20176" s="6">
        <v>5094.0200000000004</v>
      </c>
      <c r="H20176" s="5">
        <v>10173</v>
      </c>
    </row>
    <row r="20177" spans="2:8" ht="15" customHeight="1" x14ac:dyDescent="0.4">
      <c r="B20177" s="3" t="s">
        <v>7</v>
      </c>
      <c r="C20177" s="3" t="s">
        <v>3231</v>
      </c>
      <c r="D20177" s="4">
        <f>DATE(2008,3,14)</f>
        <v>39521</v>
      </c>
      <c r="E20177" s="5">
        <f t="shared" si="331"/>
        <v>2008</v>
      </c>
      <c r="F20177" s="3" t="s">
        <v>3232</v>
      </c>
      <c r="G20177" s="6">
        <v>2917</v>
      </c>
      <c r="H20177" s="5">
        <v>10205</v>
      </c>
    </row>
    <row r="20178" spans="2:8" ht="15" customHeight="1" x14ac:dyDescent="0.4">
      <c r="B20178" s="3" t="s">
        <v>7</v>
      </c>
      <c r="C20178" s="3" t="s">
        <v>3231</v>
      </c>
      <c r="D20178" s="4">
        <f>DATE(2008,4,3)</f>
        <v>39541</v>
      </c>
      <c r="E20178" s="5">
        <f t="shared" si="331"/>
        <v>2008</v>
      </c>
      <c r="F20178" s="3" t="s">
        <v>3232</v>
      </c>
      <c r="G20178" s="6">
        <v>938</v>
      </c>
      <c r="H20178" s="5">
        <v>10338</v>
      </c>
    </row>
    <row r="20179" spans="2:8" ht="15" customHeight="1" x14ac:dyDescent="0.4">
      <c r="B20179" s="3" t="s">
        <v>7</v>
      </c>
      <c r="C20179" s="3" t="s">
        <v>3231</v>
      </c>
      <c r="D20179" s="4">
        <f>DATE(2008,4,11)</f>
        <v>39549</v>
      </c>
      <c r="E20179" s="5">
        <f t="shared" si="331"/>
        <v>2008</v>
      </c>
      <c r="F20179" s="3" t="s">
        <v>3232</v>
      </c>
      <c r="G20179" s="6">
        <v>4900</v>
      </c>
      <c r="H20179" s="5">
        <v>10372</v>
      </c>
    </row>
    <row r="20180" spans="2:8" ht="15" customHeight="1" x14ac:dyDescent="0.4">
      <c r="B20180" s="3" t="s">
        <v>7</v>
      </c>
      <c r="C20180" s="3" t="s">
        <v>3231</v>
      </c>
      <c r="D20180" s="4">
        <f>DATE(2008,4,16)</f>
        <v>39554</v>
      </c>
      <c r="E20180" s="5">
        <f t="shared" si="331"/>
        <v>2008</v>
      </c>
      <c r="F20180" s="3" t="s">
        <v>3232</v>
      </c>
      <c r="G20180" s="6">
        <v>925</v>
      </c>
      <c r="H20180" s="5">
        <v>10416</v>
      </c>
    </row>
    <row r="20181" spans="2:8" ht="15" customHeight="1" x14ac:dyDescent="0.4">
      <c r="B20181" s="3" t="s">
        <v>7</v>
      </c>
      <c r="C20181" s="3" t="s">
        <v>3231</v>
      </c>
      <c r="D20181" s="4">
        <f>DATE(2008,5,1)</f>
        <v>39569</v>
      </c>
      <c r="E20181" s="5">
        <f t="shared" si="331"/>
        <v>2008</v>
      </c>
      <c r="F20181" s="3" t="s">
        <v>3232</v>
      </c>
      <c r="G20181" s="6">
        <v>2092</v>
      </c>
      <c r="H20181" s="5">
        <v>10562</v>
      </c>
    </row>
    <row r="20182" spans="2:8" ht="15" customHeight="1" x14ac:dyDescent="0.4">
      <c r="B20182" s="3" t="s">
        <v>7</v>
      </c>
      <c r="C20182" s="3" t="s">
        <v>3231</v>
      </c>
      <c r="D20182" s="4">
        <f>DATE(2008,5,9)</f>
        <v>39577</v>
      </c>
      <c r="E20182" s="5">
        <f t="shared" si="331"/>
        <v>2008</v>
      </c>
      <c r="F20182" s="3" t="s">
        <v>3232</v>
      </c>
      <c r="G20182" s="6">
        <v>938</v>
      </c>
      <c r="H20182" s="5">
        <v>10616</v>
      </c>
    </row>
    <row r="20183" spans="2:8" ht="15" customHeight="1" x14ac:dyDescent="0.4">
      <c r="B20183" s="3" t="s">
        <v>7</v>
      </c>
      <c r="C20183" s="3" t="s">
        <v>3231</v>
      </c>
      <c r="D20183" s="4">
        <f>DATE(2011,5,25)</f>
        <v>40688</v>
      </c>
      <c r="E20183" s="5">
        <f t="shared" si="331"/>
        <v>2011</v>
      </c>
      <c r="F20183" s="3" t="s">
        <v>3232</v>
      </c>
      <c r="G20183" s="6">
        <v>3000</v>
      </c>
      <c r="H20183" s="5">
        <v>15620</v>
      </c>
    </row>
    <row r="20184" spans="2:8" ht="15" customHeight="1" x14ac:dyDescent="0.4">
      <c r="B20184" t="s">
        <v>7</v>
      </c>
      <c r="C20184" t="s">
        <v>623</v>
      </c>
      <c r="D20184" s="7">
        <f>DATE(2016,5,12)</f>
        <v>42502</v>
      </c>
      <c r="E20184" s="8">
        <f t="shared" si="331"/>
        <v>2016</v>
      </c>
      <c r="F20184" t="s">
        <v>3233</v>
      </c>
      <c r="G20184" s="9">
        <v>20880.79</v>
      </c>
      <c r="H20184" s="8">
        <v>22058</v>
      </c>
    </row>
    <row r="20185" spans="2:8" ht="15" customHeight="1" x14ac:dyDescent="0.4">
      <c r="B20185" t="s">
        <v>7</v>
      </c>
      <c r="C20185" t="s">
        <v>623</v>
      </c>
      <c r="D20185" s="7">
        <f>DATE(2016,2,23)</f>
        <v>42423</v>
      </c>
      <c r="E20185" s="8">
        <f t="shared" si="331"/>
        <v>2016</v>
      </c>
      <c r="F20185" t="s">
        <v>3233</v>
      </c>
      <c r="G20185" s="9">
        <v>3712.89</v>
      </c>
      <c r="H20185" s="8">
        <v>21980</v>
      </c>
    </row>
    <row r="20186" spans="2:8" ht="15" customHeight="1" x14ac:dyDescent="0.4">
      <c r="B20186" t="s">
        <v>7</v>
      </c>
      <c r="C20186" t="s">
        <v>623</v>
      </c>
      <c r="D20186" s="7">
        <f>DATE(2016,5,23)</f>
        <v>42513</v>
      </c>
      <c r="E20186" s="8">
        <f t="shared" si="331"/>
        <v>2016</v>
      </c>
      <c r="F20186" t="s">
        <v>3233</v>
      </c>
      <c r="G20186" s="9">
        <v>6540.45</v>
      </c>
      <c r="H20186" s="8">
        <v>22545</v>
      </c>
    </row>
    <row r="20187" spans="2:8" ht="15" customHeight="1" x14ac:dyDescent="0.4">
      <c r="B20187" t="s">
        <v>7</v>
      </c>
      <c r="C20187" t="s">
        <v>623</v>
      </c>
      <c r="D20187" s="7">
        <f>DATE(2017,3,29)</f>
        <v>42823</v>
      </c>
      <c r="E20187" s="8">
        <f t="shared" si="331"/>
        <v>2017</v>
      </c>
      <c r="F20187" t="s">
        <v>3233</v>
      </c>
      <c r="G20187" s="9">
        <v>4075.01</v>
      </c>
      <c r="H20187" s="8">
        <v>24500</v>
      </c>
    </row>
    <row r="20188" spans="2:8" ht="15" customHeight="1" x14ac:dyDescent="0.4">
      <c r="B20188" t="s">
        <v>7</v>
      </c>
      <c r="C20188" t="s">
        <v>623</v>
      </c>
      <c r="D20188" s="7">
        <f>DATE(2018,3,12)</f>
        <v>43171</v>
      </c>
      <c r="E20188" s="8">
        <f t="shared" si="331"/>
        <v>2018</v>
      </c>
      <c r="F20188" t="s">
        <v>3233</v>
      </c>
      <c r="G20188" s="9">
        <v>4858.78</v>
      </c>
      <c r="H20188" s="8">
        <v>26525</v>
      </c>
    </row>
    <row r="20189" spans="2:8" ht="15" customHeight="1" x14ac:dyDescent="0.4">
      <c r="B20189" t="s">
        <v>7</v>
      </c>
      <c r="C20189" t="s">
        <v>623</v>
      </c>
      <c r="D20189" s="7">
        <f>DATE(2018,10,5)</f>
        <v>43378</v>
      </c>
      <c r="E20189" s="8">
        <f t="shared" si="331"/>
        <v>2018</v>
      </c>
      <c r="F20189" t="s">
        <v>3233</v>
      </c>
      <c r="G20189" s="9">
        <v>1917.05</v>
      </c>
      <c r="H20189" s="8">
        <v>27684</v>
      </c>
    </row>
    <row r="20190" spans="2:8" ht="15" customHeight="1" x14ac:dyDescent="0.4">
      <c r="B20190" t="s">
        <v>7</v>
      </c>
      <c r="C20190" t="s">
        <v>623</v>
      </c>
      <c r="D20190" s="7">
        <f>DATE(2003,9,30)</f>
        <v>37894</v>
      </c>
      <c r="E20190" s="8">
        <f t="shared" si="331"/>
        <v>2003</v>
      </c>
      <c r="F20190" t="s">
        <v>3233</v>
      </c>
      <c r="G20190" s="9">
        <v>1679.67</v>
      </c>
      <c r="H20190" s="8">
        <v>919</v>
      </c>
    </row>
    <row r="20191" spans="2:8" ht="15" customHeight="1" x14ac:dyDescent="0.4">
      <c r="B20191" t="s">
        <v>7</v>
      </c>
      <c r="C20191" t="s">
        <v>623</v>
      </c>
      <c r="D20191" s="7">
        <f>DATE(2004,5,20)</f>
        <v>38127</v>
      </c>
      <c r="E20191" s="8">
        <f t="shared" si="331"/>
        <v>2004</v>
      </c>
      <c r="F20191" t="s">
        <v>3233</v>
      </c>
      <c r="G20191" s="9">
        <v>2024.31</v>
      </c>
      <c r="H20191" s="8">
        <v>1788</v>
      </c>
    </row>
    <row r="20192" spans="2:8" ht="15" customHeight="1" x14ac:dyDescent="0.4">
      <c r="B20192" t="s">
        <v>7</v>
      </c>
      <c r="C20192" t="s">
        <v>623</v>
      </c>
      <c r="D20192" s="7">
        <f>DATE(2005,5,23)</f>
        <v>38495</v>
      </c>
      <c r="E20192" s="8">
        <f t="shared" si="331"/>
        <v>2005</v>
      </c>
      <c r="F20192" t="s">
        <v>3233</v>
      </c>
      <c r="G20192" s="9">
        <v>2335.2600000000002</v>
      </c>
      <c r="H20192" s="8">
        <v>3222</v>
      </c>
    </row>
    <row r="20193" spans="2:8" ht="15" customHeight="1" x14ac:dyDescent="0.4">
      <c r="B20193" t="s">
        <v>7</v>
      </c>
      <c r="C20193" t="s">
        <v>623</v>
      </c>
      <c r="D20193" s="7">
        <f>DATE(2005,6,14)</f>
        <v>38517</v>
      </c>
      <c r="E20193" s="8">
        <f t="shared" si="331"/>
        <v>2005</v>
      </c>
      <c r="F20193" t="s">
        <v>3233</v>
      </c>
      <c r="G20193" s="9">
        <v>2798.5</v>
      </c>
      <c r="H20193" s="8">
        <v>3285</v>
      </c>
    </row>
    <row r="20194" spans="2:8" ht="15" customHeight="1" x14ac:dyDescent="0.4">
      <c r="B20194" t="s">
        <v>7</v>
      </c>
      <c r="C20194" t="s">
        <v>623</v>
      </c>
      <c r="D20194" s="7">
        <f>DATE(2006,5,31)</f>
        <v>38868</v>
      </c>
      <c r="E20194" s="8">
        <f t="shared" si="331"/>
        <v>2006</v>
      </c>
      <c r="F20194" t="s">
        <v>3233</v>
      </c>
      <c r="G20194" s="9">
        <v>1611.58</v>
      </c>
      <c r="H20194" s="8">
        <v>4662</v>
      </c>
    </row>
    <row r="20195" spans="2:8" ht="15" customHeight="1" x14ac:dyDescent="0.4">
      <c r="B20195" t="s">
        <v>7</v>
      </c>
      <c r="C20195" t="s">
        <v>623</v>
      </c>
      <c r="D20195" s="7">
        <f>DATE(2007,8,29)</f>
        <v>39323</v>
      </c>
      <c r="E20195" s="8">
        <f t="shared" si="331"/>
        <v>2007</v>
      </c>
      <c r="F20195" t="s">
        <v>3233</v>
      </c>
      <c r="G20195" s="9">
        <v>2226.14</v>
      </c>
      <c r="H20195" s="8">
        <v>6332</v>
      </c>
    </row>
    <row r="20196" spans="2:8" ht="15" customHeight="1" x14ac:dyDescent="0.4">
      <c r="B20196" t="s">
        <v>7</v>
      </c>
      <c r="C20196" t="s">
        <v>623</v>
      </c>
      <c r="D20196" s="7">
        <f>DATE(2008,6,16)</f>
        <v>39615</v>
      </c>
      <c r="E20196" s="8">
        <f t="shared" si="331"/>
        <v>2008</v>
      </c>
      <c r="F20196" t="s">
        <v>3233</v>
      </c>
      <c r="G20196" s="9">
        <v>3071.26</v>
      </c>
      <c r="H20196" s="8">
        <v>7530</v>
      </c>
    </row>
    <row r="20197" spans="2:8" ht="15" customHeight="1" x14ac:dyDescent="0.4">
      <c r="B20197" t="s">
        <v>7</v>
      </c>
      <c r="C20197" t="s">
        <v>623</v>
      </c>
      <c r="D20197" s="7">
        <f>DATE(2010,6,2)</f>
        <v>40331</v>
      </c>
      <c r="E20197" s="8">
        <f t="shared" si="331"/>
        <v>2010</v>
      </c>
      <c r="F20197" t="s">
        <v>3233</v>
      </c>
      <c r="G20197" s="9">
        <v>3699.02</v>
      </c>
      <c r="H20197" s="8">
        <v>9886</v>
      </c>
    </row>
    <row r="20198" spans="2:8" ht="15" customHeight="1" x14ac:dyDescent="0.4">
      <c r="B20198" t="s">
        <v>7</v>
      </c>
      <c r="C20198" t="s">
        <v>623</v>
      </c>
      <c r="D20198" s="7">
        <f>DATE(2012,6,6)</f>
        <v>41066</v>
      </c>
      <c r="E20198" s="8">
        <f t="shared" si="331"/>
        <v>2012</v>
      </c>
      <c r="F20198" t="s">
        <v>3233</v>
      </c>
      <c r="G20198" s="9">
        <v>4131.3599999999997</v>
      </c>
      <c r="H20198" s="8">
        <v>11675</v>
      </c>
    </row>
    <row r="20199" spans="2:8" ht="15" customHeight="1" x14ac:dyDescent="0.4">
      <c r="B20199" s="3" t="s">
        <v>7</v>
      </c>
      <c r="C20199" s="3" t="s">
        <v>3234</v>
      </c>
      <c r="D20199" s="4">
        <f>DATE(2003,4,21)</f>
        <v>37732</v>
      </c>
      <c r="E20199" s="5">
        <f t="shared" si="331"/>
        <v>2003</v>
      </c>
      <c r="F20199" s="3" t="s">
        <v>3235</v>
      </c>
      <c r="G20199" s="6">
        <v>7475</v>
      </c>
      <c r="H20199" s="5">
        <v>102</v>
      </c>
    </row>
    <row r="20200" spans="2:8" ht="15" customHeight="1" x14ac:dyDescent="0.4">
      <c r="B20200" s="3" t="s">
        <v>7</v>
      </c>
      <c r="C20200" s="3" t="s">
        <v>3234</v>
      </c>
      <c r="D20200" s="4">
        <f>DATE(2006,3,17)</f>
        <v>38793</v>
      </c>
      <c r="E20200" s="5">
        <f t="shared" si="331"/>
        <v>2006</v>
      </c>
      <c r="F20200" s="3" t="s">
        <v>3235</v>
      </c>
      <c r="G20200" s="6">
        <v>1843.07</v>
      </c>
      <c r="H20200" s="5">
        <v>1559</v>
      </c>
    </row>
    <row r="20201" spans="2:8" ht="15" customHeight="1" x14ac:dyDescent="0.4">
      <c r="B20201" s="3" t="s">
        <v>7</v>
      </c>
      <c r="C20201" s="3" t="s">
        <v>3236</v>
      </c>
      <c r="D20201" s="4">
        <f>DATE(2006,10,10)</f>
        <v>39000</v>
      </c>
      <c r="E20201" s="5">
        <f t="shared" si="331"/>
        <v>2006</v>
      </c>
      <c r="F20201" s="3" t="s">
        <v>3237</v>
      </c>
      <c r="G20201" s="6">
        <v>2998.19</v>
      </c>
      <c r="H20201" s="5">
        <v>1778</v>
      </c>
    </row>
    <row r="20202" spans="2:8" ht="15" customHeight="1" x14ac:dyDescent="0.4">
      <c r="B20202" s="3" t="s">
        <v>7</v>
      </c>
      <c r="C20202" s="3" t="s">
        <v>3236</v>
      </c>
      <c r="D20202" s="4">
        <f>DATE(2007,12,10)</f>
        <v>39426</v>
      </c>
      <c r="E20202" s="5">
        <f t="shared" si="331"/>
        <v>2007</v>
      </c>
      <c r="F20202" s="3" t="s">
        <v>3237</v>
      </c>
      <c r="G20202" s="6">
        <v>2216.13</v>
      </c>
      <c r="H20202" s="5">
        <v>2531</v>
      </c>
    </row>
    <row r="20203" spans="2:8" ht="15" customHeight="1" x14ac:dyDescent="0.4">
      <c r="B20203" s="3" t="s">
        <v>7</v>
      </c>
      <c r="C20203" s="3" t="s">
        <v>3238</v>
      </c>
      <c r="D20203" s="4">
        <f>DATE(2005,12,16)</f>
        <v>38702</v>
      </c>
      <c r="E20203" s="5">
        <f t="shared" si="331"/>
        <v>2005</v>
      </c>
      <c r="F20203" s="3" t="s">
        <v>3239</v>
      </c>
      <c r="G20203" s="6">
        <v>2437.13</v>
      </c>
      <c r="H20203" s="5">
        <v>1380</v>
      </c>
    </row>
    <row r="20204" spans="2:8" ht="15" customHeight="1" x14ac:dyDescent="0.4">
      <c r="B20204" s="3" t="s">
        <v>7</v>
      </c>
      <c r="C20204" s="3" t="s">
        <v>3238</v>
      </c>
      <c r="D20204" s="4">
        <f>DATE(2006,2,23)</f>
        <v>38771</v>
      </c>
      <c r="E20204" s="5">
        <f t="shared" si="331"/>
        <v>2006</v>
      </c>
      <c r="F20204" s="3" t="s">
        <v>3239</v>
      </c>
      <c r="G20204" s="6">
        <v>534</v>
      </c>
      <c r="H20204" s="5">
        <v>1467</v>
      </c>
    </row>
    <row r="20205" spans="2:8" ht="15" customHeight="1" x14ac:dyDescent="0.4">
      <c r="B20205" s="3" t="s">
        <v>7</v>
      </c>
      <c r="C20205" s="3" t="s">
        <v>3238</v>
      </c>
      <c r="D20205" s="4">
        <f>DATE(2006,5,4)</f>
        <v>38841</v>
      </c>
      <c r="E20205" s="5">
        <f t="shared" si="331"/>
        <v>2006</v>
      </c>
      <c r="F20205" s="3" t="s">
        <v>3239</v>
      </c>
      <c r="G20205" s="6">
        <v>1018.88</v>
      </c>
      <c r="H20205" s="5">
        <v>1560</v>
      </c>
    </row>
    <row r="20206" spans="2:8" ht="15" customHeight="1" x14ac:dyDescent="0.4">
      <c r="B20206" t="s">
        <v>7</v>
      </c>
      <c r="C20206" t="s">
        <v>3240</v>
      </c>
      <c r="D20206" s="7">
        <f>DATE(2006,4,25)</f>
        <v>38832</v>
      </c>
      <c r="E20206" s="8">
        <f t="shared" si="331"/>
        <v>2006</v>
      </c>
      <c r="F20206" t="s">
        <v>3241</v>
      </c>
      <c r="G20206" s="9">
        <v>35390</v>
      </c>
      <c r="H20206" s="8">
        <v>4177</v>
      </c>
    </row>
    <row r="20207" spans="2:8" ht="15" customHeight="1" x14ac:dyDescent="0.4">
      <c r="B20207" s="3" t="s">
        <v>7</v>
      </c>
      <c r="C20207" s="3" t="s">
        <v>3242</v>
      </c>
      <c r="D20207" s="4">
        <f>DATE(2005,6,27)</f>
        <v>38530</v>
      </c>
      <c r="E20207" s="5">
        <f t="shared" si="331"/>
        <v>2005</v>
      </c>
      <c r="F20207" s="3" t="s">
        <v>3241</v>
      </c>
      <c r="G20207" s="6">
        <v>5623.13</v>
      </c>
      <c r="H20207" s="5">
        <v>4926</v>
      </c>
    </row>
    <row r="20208" spans="2:8" ht="15" customHeight="1" x14ac:dyDescent="0.4">
      <c r="B20208" s="3" t="s">
        <v>7</v>
      </c>
      <c r="C20208" s="3" t="s">
        <v>3242</v>
      </c>
      <c r="D20208" s="4">
        <f>DATE(2005,6,27)</f>
        <v>38530</v>
      </c>
      <c r="E20208" s="5">
        <f t="shared" si="331"/>
        <v>2005</v>
      </c>
      <c r="F20208" s="3" t="s">
        <v>3243</v>
      </c>
      <c r="G20208" s="6">
        <v>5623.13</v>
      </c>
      <c r="H20208" s="5">
        <v>1149</v>
      </c>
    </row>
    <row r="20209" spans="2:8" ht="15" customHeight="1" x14ac:dyDescent="0.4">
      <c r="B20209" s="3" t="s">
        <v>7</v>
      </c>
      <c r="C20209" s="3" t="s">
        <v>3242</v>
      </c>
      <c r="D20209" s="4">
        <f>DATE(2006,5,3)</f>
        <v>38840</v>
      </c>
      <c r="E20209" s="5">
        <f t="shared" si="331"/>
        <v>2006</v>
      </c>
      <c r="F20209" s="3" t="s">
        <v>3243</v>
      </c>
      <c r="G20209" s="6">
        <v>94.1</v>
      </c>
      <c r="H20209" s="5">
        <v>6646</v>
      </c>
    </row>
    <row r="20210" spans="2:8" ht="15" customHeight="1" x14ac:dyDescent="0.4">
      <c r="B20210" s="3" t="s">
        <v>16</v>
      </c>
      <c r="C20210" s="3" t="s">
        <v>3242</v>
      </c>
      <c r="D20210" s="4">
        <f>DATE(2005,7,18)</f>
        <v>38551</v>
      </c>
      <c r="E20210" s="5">
        <f t="shared" si="331"/>
        <v>2005</v>
      </c>
      <c r="F20210" s="3" t="s">
        <v>3243</v>
      </c>
      <c r="G20210" s="6">
        <v>5623.13</v>
      </c>
      <c r="H20210" s="5">
        <v>4996</v>
      </c>
    </row>
    <row r="20211" spans="2:8" ht="15" customHeight="1" x14ac:dyDescent="0.4">
      <c r="B20211" s="3" t="s">
        <v>7</v>
      </c>
      <c r="C20211" s="3" t="s">
        <v>3244</v>
      </c>
      <c r="D20211" s="4">
        <f>DATE(2004,3,24)</f>
        <v>38070</v>
      </c>
      <c r="E20211" s="5">
        <f t="shared" si="331"/>
        <v>2004</v>
      </c>
      <c r="F20211" s="3" t="s">
        <v>3245</v>
      </c>
      <c r="G20211" s="6">
        <v>418.32</v>
      </c>
      <c r="H20211" s="5">
        <v>580</v>
      </c>
    </row>
    <row r="20212" spans="2:8" ht="15" customHeight="1" x14ac:dyDescent="0.4">
      <c r="B20212" s="3" t="s">
        <v>7</v>
      </c>
      <c r="C20212" s="3" t="s">
        <v>3244</v>
      </c>
      <c r="D20212" s="4">
        <f>DATE(2004,11,5)</f>
        <v>38296</v>
      </c>
      <c r="E20212" s="5">
        <f t="shared" si="331"/>
        <v>2004</v>
      </c>
      <c r="F20212" s="3" t="s">
        <v>3245</v>
      </c>
      <c r="G20212" s="6">
        <v>3665</v>
      </c>
      <c r="H20212" s="5">
        <v>840</v>
      </c>
    </row>
    <row r="20213" spans="2:8" ht="15" customHeight="1" x14ac:dyDescent="0.4">
      <c r="B20213" s="3" t="s">
        <v>7</v>
      </c>
      <c r="C20213" s="3" t="s">
        <v>3244</v>
      </c>
      <c r="D20213" s="4">
        <f>DATE(2004,11,5)</f>
        <v>38296</v>
      </c>
      <c r="E20213" s="5">
        <f t="shared" si="331"/>
        <v>2004</v>
      </c>
      <c r="F20213" s="3" t="s">
        <v>3245</v>
      </c>
      <c r="G20213" s="6">
        <v>3962.83</v>
      </c>
      <c r="H20213" s="5">
        <v>906</v>
      </c>
    </row>
    <row r="20214" spans="2:8" ht="15" customHeight="1" x14ac:dyDescent="0.4">
      <c r="B20214" s="3" t="s">
        <v>7</v>
      </c>
      <c r="C20214" s="3" t="s">
        <v>3244</v>
      </c>
      <c r="D20214" s="4">
        <f>DATE(2005,4,4)</f>
        <v>38446</v>
      </c>
      <c r="E20214" s="5">
        <f t="shared" si="331"/>
        <v>2005</v>
      </c>
      <c r="F20214" s="3" t="s">
        <v>3245</v>
      </c>
      <c r="G20214" s="6">
        <v>186.8</v>
      </c>
      <c r="H20214" s="5">
        <v>1019</v>
      </c>
    </row>
    <row r="20215" spans="2:8" ht="15" customHeight="1" x14ac:dyDescent="0.4">
      <c r="B20215" s="3" t="s">
        <v>7</v>
      </c>
      <c r="C20215" s="3" t="s">
        <v>3244</v>
      </c>
      <c r="D20215" s="4">
        <f>DATE(2005,5,11)</f>
        <v>38483</v>
      </c>
      <c r="E20215" s="5">
        <f t="shared" si="331"/>
        <v>2005</v>
      </c>
      <c r="F20215" s="3" t="s">
        <v>3245</v>
      </c>
      <c r="G20215" s="6">
        <v>168.22</v>
      </c>
      <c r="H20215" s="5">
        <v>1067</v>
      </c>
    </row>
    <row r="20216" spans="2:8" ht="15" customHeight="1" x14ac:dyDescent="0.4">
      <c r="B20216" s="3" t="s">
        <v>7</v>
      </c>
      <c r="C20216" s="3" t="s">
        <v>3244</v>
      </c>
      <c r="D20216" s="4">
        <f>DATE(2004,5,7)</f>
        <v>38114</v>
      </c>
      <c r="E20216" s="5">
        <f t="shared" si="331"/>
        <v>2004</v>
      </c>
      <c r="F20216" s="3" t="s">
        <v>3245</v>
      </c>
      <c r="G20216" s="6">
        <v>14681.41</v>
      </c>
      <c r="H20216" s="5">
        <v>637</v>
      </c>
    </row>
    <row r="20217" spans="2:8" ht="15" customHeight="1" x14ac:dyDescent="0.4">
      <c r="B20217" s="3" t="s">
        <v>16</v>
      </c>
      <c r="C20217" s="3" t="s">
        <v>3244</v>
      </c>
      <c r="D20217" s="4">
        <f>DATE(2004,11,5)</f>
        <v>38296</v>
      </c>
      <c r="E20217" s="5">
        <f t="shared" si="331"/>
        <v>2004</v>
      </c>
      <c r="F20217" s="3" t="s">
        <v>3245</v>
      </c>
      <c r="G20217" s="6">
        <v>3665</v>
      </c>
      <c r="H20217" s="5">
        <v>905</v>
      </c>
    </row>
    <row r="20218" spans="2:8" ht="15" customHeight="1" x14ac:dyDescent="0.4">
      <c r="B20218" t="s">
        <v>7</v>
      </c>
      <c r="C20218" t="s">
        <v>3246</v>
      </c>
      <c r="D20218" s="7">
        <f>DATE(2012,5,9)</f>
        <v>41038</v>
      </c>
      <c r="E20218" s="8">
        <f t="shared" si="331"/>
        <v>2012</v>
      </c>
      <c r="F20218" t="s">
        <v>3247</v>
      </c>
      <c r="G20218" s="9">
        <v>4300</v>
      </c>
      <c r="H20218" s="8">
        <v>11348</v>
      </c>
    </row>
    <row r="20219" spans="2:8" ht="15" customHeight="1" x14ac:dyDescent="0.4">
      <c r="B20219" t="s">
        <v>7</v>
      </c>
      <c r="C20219" t="s">
        <v>3246</v>
      </c>
      <c r="D20219" s="7">
        <f>DATE(2012,4,26)</f>
        <v>41025</v>
      </c>
      <c r="E20219" s="8">
        <f t="shared" si="331"/>
        <v>2012</v>
      </c>
      <c r="F20219" t="s">
        <v>3247</v>
      </c>
      <c r="G20219" s="9">
        <v>52918.95</v>
      </c>
      <c r="H20219" s="8">
        <v>11292</v>
      </c>
    </row>
    <row r="20220" spans="2:8" ht="15" customHeight="1" x14ac:dyDescent="0.4">
      <c r="B20220" t="s">
        <v>7</v>
      </c>
      <c r="C20220" t="s">
        <v>3246</v>
      </c>
      <c r="D20220" s="7">
        <f>DATE(2012,4,12)</f>
        <v>41011</v>
      </c>
      <c r="E20220" s="8">
        <f t="shared" si="331"/>
        <v>2012</v>
      </c>
      <c r="F20220" t="s">
        <v>3247</v>
      </c>
      <c r="G20220" s="9">
        <v>55898.71</v>
      </c>
      <c r="H20220" s="8">
        <v>11291</v>
      </c>
    </row>
    <row r="20221" spans="2:8" ht="15" customHeight="1" x14ac:dyDescent="0.4">
      <c r="B20221" t="s">
        <v>7</v>
      </c>
      <c r="C20221" t="s">
        <v>3246</v>
      </c>
      <c r="D20221" s="7">
        <f>DATE(2012,5,1)</f>
        <v>41030</v>
      </c>
      <c r="E20221" s="8">
        <f t="shared" si="331"/>
        <v>2012</v>
      </c>
      <c r="F20221" t="s">
        <v>3247</v>
      </c>
      <c r="G20221" s="9">
        <v>3055.58</v>
      </c>
      <c r="H20221" s="8">
        <v>11570</v>
      </c>
    </row>
    <row r="20222" spans="2:8" ht="15" customHeight="1" x14ac:dyDescent="0.4">
      <c r="B20222" t="s">
        <v>7</v>
      </c>
      <c r="C20222" t="s">
        <v>3246</v>
      </c>
      <c r="D20222" s="7">
        <f>DATE(2012,9,18)</f>
        <v>41170</v>
      </c>
      <c r="E20222" s="8">
        <f t="shared" si="331"/>
        <v>2012</v>
      </c>
      <c r="F20222" t="s">
        <v>3247</v>
      </c>
      <c r="G20222" s="9">
        <v>19079.810000000001</v>
      </c>
      <c r="H20222" s="8">
        <v>11841</v>
      </c>
    </row>
    <row r="20223" spans="2:8" ht="15" customHeight="1" x14ac:dyDescent="0.4">
      <c r="B20223" t="s">
        <v>7</v>
      </c>
      <c r="C20223" t="s">
        <v>3246</v>
      </c>
      <c r="D20223" s="7">
        <f>DATE(2013,4,1)</f>
        <v>41365</v>
      </c>
      <c r="E20223" s="8">
        <f t="shared" si="331"/>
        <v>2013</v>
      </c>
      <c r="F20223" t="s">
        <v>3247</v>
      </c>
      <c r="G20223" s="9">
        <v>17248.240000000002</v>
      </c>
      <c r="H20223" s="8">
        <v>12325</v>
      </c>
    </row>
    <row r="20224" spans="2:8" ht="15" customHeight="1" x14ac:dyDescent="0.4">
      <c r="B20224" t="s">
        <v>7</v>
      </c>
      <c r="C20224" t="s">
        <v>3246</v>
      </c>
      <c r="D20224" s="7">
        <f>DATE(2013,5,17)</f>
        <v>41411</v>
      </c>
      <c r="E20224" s="8">
        <f t="shared" si="331"/>
        <v>2013</v>
      </c>
      <c r="F20224" t="s">
        <v>3247</v>
      </c>
      <c r="G20224" s="9">
        <v>14158.81</v>
      </c>
      <c r="H20224" s="8">
        <v>12448</v>
      </c>
    </row>
    <row r="20225" spans="2:8" ht="15" customHeight="1" x14ac:dyDescent="0.4">
      <c r="B20225" t="s">
        <v>7</v>
      </c>
      <c r="C20225" t="s">
        <v>3246</v>
      </c>
      <c r="D20225" s="7">
        <f>DATE(2013,8,22)</f>
        <v>41508</v>
      </c>
      <c r="E20225" s="8">
        <f t="shared" si="331"/>
        <v>2013</v>
      </c>
      <c r="F20225" t="s">
        <v>3247</v>
      </c>
      <c r="G20225" s="9">
        <v>12443.75</v>
      </c>
      <c r="H20225" s="8">
        <v>12614</v>
      </c>
    </row>
    <row r="20226" spans="2:8" ht="15" customHeight="1" x14ac:dyDescent="0.4">
      <c r="B20226" t="s">
        <v>7</v>
      </c>
      <c r="C20226" t="s">
        <v>3246</v>
      </c>
      <c r="D20226" s="7">
        <f>DATE(2013,9,19)</f>
        <v>41536</v>
      </c>
      <c r="E20226" s="8">
        <f t="shared" si="331"/>
        <v>2013</v>
      </c>
      <c r="F20226" t="s">
        <v>3247</v>
      </c>
      <c r="G20226" s="9">
        <v>12875.28</v>
      </c>
      <c r="H20226" s="8">
        <v>12663</v>
      </c>
    </row>
    <row r="20227" spans="2:8" ht="15" customHeight="1" x14ac:dyDescent="0.4">
      <c r="B20227" s="3" t="s">
        <v>7</v>
      </c>
      <c r="C20227" s="3" t="s">
        <v>3246</v>
      </c>
      <c r="D20227" s="4">
        <f>DATE(2012,2,6)</f>
        <v>40945</v>
      </c>
      <c r="E20227" s="5">
        <f t="shared" ref="E20227:E20290" si="332">YEAR(D20227)</f>
        <v>2012</v>
      </c>
      <c r="F20227" s="3" t="s">
        <v>3247</v>
      </c>
      <c r="G20227" s="6">
        <v>1875</v>
      </c>
      <c r="H20227" s="5">
        <v>16457</v>
      </c>
    </row>
    <row r="20228" spans="2:8" ht="15" customHeight="1" x14ac:dyDescent="0.4">
      <c r="B20228" s="3" t="s">
        <v>7</v>
      </c>
      <c r="C20228" s="3" t="s">
        <v>3246</v>
      </c>
      <c r="D20228" s="4">
        <f>DATE(2012,2,6)</f>
        <v>40945</v>
      </c>
      <c r="E20228" s="5">
        <f t="shared" si="332"/>
        <v>2012</v>
      </c>
      <c r="F20228" s="3" t="s">
        <v>3247</v>
      </c>
      <c r="G20228" s="6">
        <v>65275</v>
      </c>
      <c r="H20228" s="5">
        <v>16450</v>
      </c>
    </row>
    <row r="20229" spans="2:8" ht="15" customHeight="1" x14ac:dyDescent="0.4">
      <c r="B20229" s="3" t="s">
        <v>7</v>
      </c>
      <c r="C20229" s="3" t="s">
        <v>3246</v>
      </c>
      <c r="D20229" s="4">
        <f>DATE(2012,4,12)</f>
        <v>41011</v>
      </c>
      <c r="E20229" s="5">
        <f t="shared" si="332"/>
        <v>2012</v>
      </c>
      <c r="F20229" s="3" t="s">
        <v>3247</v>
      </c>
      <c r="G20229" s="6">
        <v>938</v>
      </c>
      <c r="H20229" s="5">
        <v>16971</v>
      </c>
    </row>
    <row r="20230" spans="2:8" ht="15" customHeight="1" x14ac:dyDescent="0.4">
      <c r="B20230" s="3" t="s">
        <v>7</v>
      </c>
      <c r="C20230" s="3" t="s">
        <v>3246</v>
      </c>
      <c r="D20230" s="4">
        <f>DATE(2012,4,30)</f>
        <v>41029</v>
      </c>
      <c r="E20230" s="5">
        <f t="shared" si="332"/>
        <v>2012</v>
      </c>
      <c r="F20230" s="3" t="s">
        <v>3247</v>
      </c>
      <c r="G20230" s="6">
        <v>281.39999999999998</v>
      </c>
      <c r="H20230" s="5">
        <v>17052</v>
      </c>
    </row>
    <row r="20231" spans="2:8" ht="15" customHeight="1" x14ac:dyDescent="0.4">
      <c r="B20231" s="3" t="s">
        <v>7</v>
      </c>
      <c r="C20231" s="3" t="s">
        <v>3246</v>
      </c>
      <c r="D20231" s="4">
        <f>DATE(2012,5,23)</f>
        <v>41052</v>
      </c>
      <c r="E20231" s="5">
        <f t="shared" si="332"/>
        <v>2012</v>
      </c>
      <c r="F20231" s="3" t="s">
        <v>3247</v>
      </c>
      <c r="G20231" s="6">
        <v>984.9</v>
      </c>
      <c r="H20231" s="5">
        <v>17180</v>
      </c>
    </row>
    <row r="20232" spans="2:8" ht="15" customHeight="1" x14ac:dyDescent="0.4">
      <c r="B20232" s="3" t="s">
        <v>7</v>
      </c>
      <c r="C20232" s="3" t="s">
        <v>3246</v>
      </c>
      <c r="D20232" s="4">
        <f>DATE(2012,7,2)</f>
        <v>41092</v>
      </c>
      <c r="E20232" s="5">
        <f t="shared" si="332"/>
        <v>2012</v>
      </c>
      <c r="F20232" s="3" t="s">
        <v>3247</v>
      </c>
      <c r="G20232" s="6">
        <v>4500</v>
      </c>
      <c r="H20232" s="5">
        <v>17315</v>
      </c>
    </row>
    <row r="20233" spans="2:8" ht="15" customHeight="1" x14ac:dyDescent="0.4">
      <c r="B20233" s="3" t="s">
        <v>7</v>
      </c>
      <c r="C20233" s="3" t="s">
        <v>3246</v>
      </c>
      <c r="D20233" s="4">
        <f>DATE(2013,5,2)</f>
        <v>41396</v>
      </c>
      <c r="E20233" s="5">
        <f t="shared" si="332"/>
        <v>2013</v>
      </c>
      <c r="F20233" s="3" t="s">
        <v>3247</v>
      </c>
      <c r="G20233" s="6">
        <v>534.17999999999995</v>
      </c>
      <c r="H20233" s="5">
        <v>18546</v>
      </c>
    </row>
    <row r="20234" spans="2:8" ht="15" customHeight="1" x14ac:dyDescent="0.4">
      <c r="B20234" s="3" t="s">
        <v>7</v>
      </c>
      <c r="C20234" s="3" t="s">
        <v>3246</v>
      </c>
      <c r="D20234" s="4">
        <f>DATE(2013,9,9)</f>
        <v>41526</v>
      </c>
      <c r="E20234" s="5">
        <f t="shared" si="332"/>
        <v>2013</v>
      </c>
      <c r="F20234" s="3" t="s">
        <v>3247</v>
      </c>
      <c r="G20234" s="6">
        <v>3284</v>
      </c>
      <c r="H20234" s="5">
        <v>18957</v>
      </c>
    </row>
    <row r="20235" spans="2:8" ht="15" customHeight="1" x14ac:dyDescent="0.4">
      <c r="B20235" s="3" t="s">
        <v>7</v>
      </c>
      <c r="C20235" s="3" t="s">
        <v>3246</v>
      </c>
      <c r="D20235" s="4">
        <f>DATE(2014,3,7)</f>
        <v>41705</v>
      </c>
      <c r="E20235" s="5">
        <f t="shared" si="332"/>
        <v>2014</v>
      </c>
      <c r="F20235" s="3" t="s">
        <v>3247</v>
      </c>
      <c r="G20235" s="6">
        <v>3284</v>
      </c>
      <c r="H20235" s="5">
        <v>19487</v>
      </c>
    </row>
    <row r="20236" spans="2:8" ht="15" customHeight="1" x14ac:dyDescent="0.4">
      <c r="B20236" s="3" t="s">
        <v>7</v>
      </c>
      <c r="C20236" s="3" t="s">
        <v>3246</v>
      </c>
      <c r="D20236" s="4">
        <f>DATE(2014,5,6)</f>
        <v>41765</v>
      </c>
      <c r="E20236" s="5">
        <f t="shared" si="332"/>
        <v>2014</v>
      </c>
      <c r="F20236" s="3" t="s">
        <v>3247</v>
      </c>
      <c r="G20236" s="6">
        <v>16275.5</v>
      </c>
      <c r="H20236" s="5">
        <v>19477</v>
      </c>
    </row>
    <row r="20237" spans="2:8" ht="15" customHeight="1" x14ac:dyDescent="0.4">
      <c r="B20237" s="3" t="s">
        <v>7</v>
      </c>
      <c r="C20237" s="3" t="s">
        <v>3246</v>
      </c>
      <c r="D20237" s="4">
        <f>DATE(2014,11,10)</f>
        <v>41953</v>
      </c>
      <c r="E20237" s="5">
        <f t="shared" si="332"/>
        <v>2014</v>
      </c>
      <c r="F20237" s="3" t="s">
        <v>3247</v>
      </c>
      <c r="G20237" s="6">
        <v>6000</v>
      </c>
      <c r="H20237" s="5">
        <v>20493</v>
      </c>
    </row>
    <row r="20238" spans="2:8" ht="15" customHeight="1" x14ac:dyDescent="0.4">
      <c r="B20238" s="3" t="s">
        <v>16</v>
      </c>
      <c r="C20238" s="3" t="s">
        <v>3246</v>
      </c>
      <c r="D20238" s="4">
        <f>DATE(2012,5,22)</f>
        <v>41051</v>
      </c>
      <c r="E20238" s="5">
        <f t="shared" si="332"/>
        <v>2012</v>
      </c>
      <c r="F20238" s="3" t="s">
        <v>3247</v>
      </c>
      <c r="G20238" s="6">
        <v>50055</v>
      </c>
      <c r="H20238" s="5">
        <v>16900</v>
      </c>
    </row>
    <row r="20239" spans="2:8" ht="15" customHeight="1" x14ac:dyDescent="0.4">
      <c r="B20239" t="s">
        <v>7</v>
      </c>
      <c r="C20239" t="s">
        <v>3248</v>
      </c>
      <c r="D20239" s="7">
        <f>DATE(2016,5,3)</f>
        <v>42493</v>
      </c>
      <c r="E20239" s="8">
        <f t="shared" si="332"/>
        <v>2016</v>
      </c>
      <c r="F20239" t="s">
        <v>3249</v>
      </c>
      <c r="G20239" s="9">
        <v>2694.82</v>
      </c>
      <c r="H20239" s="8">
        <v>22197</v>
      </c>
    </row>
    <row r="20240" spans="2:8" ht="15" customHeight="1" x14ac:dyDescent="0.4">
      <c r="B20240" t="s">
        <v>7</v>
      </c>
      <c r="C20240" t="s">
        <v>3248</v>
      </c>
      <c r="D20240" s="7">
        <f>DATE(2016,9,6)</f>
        <v>42619</v>
      </c>
      <c r="E20240" s="8">
        <f t="shared" si="332"/>
        <v>2016</v>
      </c>
      <c r="F20240" t="s">
        <v>3249</v>
      </c>
      <c r="G20240" s="9">
        <v>2764.66</v>
      </c>
      <c r="H20240" s="8">
        <v>23401</v>
      </c>
    </row>
    <row r="20241" spans="2:8" ht="15" customHeight="1" x14ac:dyDescent="0.4">
      <c r="B20241" s="3" t="s">
        <v>7</v>
      </c>
      <c r="C20241" s="3" t="s">
        <v>3248</v>
      </c>
      <c r="D20241" s="4">
        <f>DATE(2009,2,27)</f>
        <v>39871</v>
      </c>
      <c r="E20241" s="5">
        <f t="shared" si="332"/>
        <v>2009</v>
      </c>
      <c r="F20241" s="3" t="s">
        <v>3249</v>
      </c>
      <c r="G20241" s="6">
        <v>3269</v>
      </c>
      <c r="H20241" s="5">
        <v>11909</v>
      </c>
    </row>
    <row r="20242" spans="2:8" ht="15" customHeight="1" x14ac:dyDescent="0.4">
      <c r="B20242" s="3" t="s">
        <v>7</v>
      </c>
      <c r="C20242" s="3" t="s">
        <v>3248</v>
      </c>
      <c r="D20242" s="4">
        <f>DATE(2009,4,6)</f>
        <v>39909</v>
      </c>
      <c r="E20242" s="5">
        <f t="shared" si="332"/>
        <v>2009</v>
      </c>
      <c r="F20242" s="3" t="s">
        <v>3249</v>
      </c>
      <c r="G20242" s="6">
        <v>490.35</v>
      </c>
      <c r="H20242" s="5">
        <v>12302</v>
      </c>
    </row>
    <row r="20243" spans="2:8" ht="15" customHeight="1" x14ac:dyDescent="0.4">
      <c r="B20243" s="3" t="s">
        <v>7</v>
      </c>
      <c r="C20243" s="3" t="s">
        <v>3248</v>
      </c>
      <c r="D20243" s="4">
        <f>DATE(2012,10,10)</f>
        <v>41192</v>
      </c>
      <c r="E20243" s="5">
        <f t="shared" si="332"/>
        <v>2012</v>
      </c>
      <c r="F20243" s="3" t="s">
        <v>3249</v>
      </c>
      <c r="G20243" s="6">
        <v>1120.8</v>
      </c>
      <c r="H20243" s="5">
        <v>17690</v>
      </c>
    </row>
    <row r="20244" spans="2:8" ht="15" customHeight="1" x14ac:dyDescent="0.4">
      <c r="B20244" s="3" t="s">
        <v>7</v>
      </c>
      <c r="C20244" s="3" t="s">
        <v>3248</v>
      </c>
      <c r="D20244" s="4">
        <f>DATE(2012,10,12)</f>
        <v>41194</v>
      </c>
      <c r="E20244" s="5">
        <f t="shared" si="332"/>
        <v>2012</v>
      </c>
      <c r="F20244" s="3" t="s">
        <v>3249</v>
      </c>
      <c r="G20244" s="6">
        <v>1166.4000000000001</v>
      </c>
      <c r="H20244" s="5">
        <v>17719</v>
      </c>
    </row>
    <row r="20245" spans="2:8" ht="15" customHeight="1" x14ac:dyDescent="0.4">
      <c r="B20245" s="3" t="s">
        <v>16</v>
      </c>
      <c r="C20245" s="3" t="s">
        <v>3248</v>
      </c>
      <c r="D20245" s="4">
        <f>DATE(2009,3,22)</f>
        <v>39894</v>
      </c>
      <c r="E20245" s="5">
        <f t="shared" si="332"/>
        <v>2009</v>
      </c>
      <c r="F20245" s="3" t="s">
        <v>3249</v>
      </c>
      <c r="G20245" s="6">
        <v>3269</v>
      </c>
      <c r="H20245" s="5">
        <v>12221</v>
      </c>
    </row>
    <row r="20246" spans="2:8" ht="15" customHeight="1" x14ac:dyDescent="0.4">
      <c r="B20246" s="3" t="s">
        <v>16</v>
      </c>
      <c r="C20246" s="3" t="s">
        <v>3248</v>
      </c>
      <c r="D20246" s="4">
        <f>DATE(2012,10,10)</f>
        <v>41192</v>
      </c>
      <c r="E20246" s="5">
        <f t="shared" si="332"/>
        <v>2012</v>
      </c>
      <c r="F20246" s="3" t="s">
        <v>3249</v>
      </c>
      <c r="G20246" s="6">
        <v>1120.8</v>
      </c>
      <c r="H20246" s="5">
        <v>17754</v>
      </c>
    </row>
    <row r="20247" spans="2:8" ht="15" customHeight="1" x14ac:dyDescent="0.4">
      <c r="B20247" t="s">
        <v>7</v>
      </c>
      <c r="C20247" t="s">
        <v>3250</v>
      </c>
      <c r="D20247" s="7">
        <f>DATE(2016,6,15)</f>
        <v>42536</v>
      </c>
      <c r="E20247" s="8">
        <f t="shared" si="332"/>
        <v>2016</v>
      </c>
      <c r="F20247" t="s">
        <v>3251</v>
      </c>
      <c r="G20247" s="9">
        <v>4956.6400000000003</v>
      </c>
      <c r="H20247" s="8">
        <v>22868</v>
      </c>
    </row>
    <row r="20248" spans="2:8" ht="15" customHeight="1" x14ac:dyDescent="0.4">
      <c r="B20248" t="s">
        <v>7</v>
      </c>
      <c r="C20248" t="s">
        <v>3250</v>
      </c>
      <c r="D20248" s="7">
        <f>DATE(2017,5,31)</f>
        <v>42886</v>
      </c>
      <c r="E20248" s="8">
        <f t="shared" si="332"/>
        <v>2017</v>
      </c>
      <c r="F20248" t="s">
        <v>3251</v>
      </c>
      <c r="G20248" s="9">
        <v>4588.3100000000004</v>
      </c>
      <c r="H20248" s="8">
        <v>24983</v>
      </c>
    </row>
    <row r="20249" spans="2:8" ht="15" customHeight="1" x14ac:dyDescent="0.4">
      <c r="B20249" t="s">
        <v>7</v>
      </c>
      <c r="C20249" t="s">
        <v>3250</v>
      </c>
      <c r="D20249" s="7">
        <f>DATE(2018,10,10)</f>
        <v>43383</v>
      </c>
      <c r="E20249" s="8">
        <f t="shared" si="332"/>
        <v>2018</v>
      </c>
      <c r="F20249" t="s">
        <v>3251</v>
      </c>
      <c r="G20249" s="9">
        <v>4186.62</v>
      </c>
      <c r="H20249" s="8">
        <v>27708</v>
      </c>
    </row>
    <row r="20250" spans="2:8" ht="15" customHeight="1" x14ac:dyDescent="0.4">
      <c r="B20250" t="s">
        <v>7</v>
      </c>
      <c r="C20250" t="s">
        <v>3250</v>
      </c>
      <c r="D20250" s="7">
        <f>DATE(2017,10,2)</f>
        <v>43010</v>
      </c>
      <c r="E20250" s="8">
        <f t="shared" si="332"/>
        <v>2017</v>
      </c>
      <c r="F20250" t="s">
        <v>3251</v>
      </c>
      <c r="G20250" s="9">
        <v>29480.16</v>
      </c>
      <c r="H20250" s="8">
        <v>25465</v>
      </c>
    </row>
    <row r="20251" spans="2:8" ht="15" customHeight="1" x14ac:dyDescent="0.4">
      <c r="B20251" s="3" t="s">
        <v>7</v>
      </c>
      <c r="C20251" s="3" t="s">
        <v>3252</v>
      </c>
      <c r="D20251" s="4">
        <f>DATE(2008,12,22)</f>
        <v>39804</v>
      </c>
      <c r="E20251" s="5">
        <f t="shared" si="332"/>
        <v>2008</v>
      </c>
      <c r="F20251" s="3" t="s">
        <v>3253</v>
      </c>
      <c r="G20251" s="6">
        <v>1779.8</v>
      </c>
      <c r="H20251" s="5">
        <v>3186</v>
      </c>
    </row>
    <row r="20252" spans="2:8" ht="15" customHeight="1" x14ac:dyDescent="0.4">
      <c r="B20252" s="3" t="s">
        <v>7</v>
      </c>
      <c r="C20252" s="3" t="s">
        <v>3252</v>
      </c>
      <c r="D20252" s="4">
        <f>DATE(2008,12,29)</f>
        <v>39811</v>
      </c>
      <c r="E20252" s="5">
        <f t="shared" si="332"/>
        <v>2008</v>
      </c>
      <c r="F20252" s="3" t="s">
        <v>3253</v>
      </c>
      <c r="G20252" s="6">
        <v>3378.59</v>
      </c>
      <c r="H20252" s="5">
        <v>3193</v>
      </c>
    </row>
    <row r="20253" spans="2:8" ht="15" customHeight="1" x14ac:dyDescent="0.4">
      <c r="B20253" s="3" t="s">
        <v>7</v>
      </c>
      <c r="C20253" s="3" t="s">
        <v>3252</v>
      </c>
      <c r="D20253" s="4">
        <f>DATE(2008,12,22)</f>
        <v>39804</v>
      </c>
      <c r="E20253" s="5">
        <f t="shared" si="332"/>
        <v>2008</v>
      </c>
      <c r="F20253" s="3" t="s">
        <v>3253</v>
      </c>
      <c r="G20253" s="6">
        <v>129.04</v>
      </c>
      <c r="H20253" s="5">
        <v>3203</v>
      </c>
    </row>
    <row r="20254" spans="2:8" ht="15" customHeight="1" x14ac:dyDescent="0.4">
      <c r="B20254" s="3" t="s">
        <v>7</v>
      </c>
      <c r="C20254" s="3" t="s">
        <v>3252</v>
      </c>
      <c r="D20254" s="4">
        <f>DATE(2009,1,13)</f>
        <v>39826</v>
      </c>
      <c r="E20254" s="5">
        <f t="shared" si="332"/>
        <v>2009</v>
      </c>
      <c r="F20254" s="3" t="s">
        <v>3253</v>
      </c>
      <c r="G20254" s="6">
        <v>1918.63</v>
      </c>
      <c r="H20254" s="5">
        <v>3206</v>
      </c>
    </row>
    <row r="20255" spans="2:8" ht="15" customHeight="1" x14ac:dyDescent="0.4">
      <c r="B20255" s="3" t="s">
        <v>7</v>
      </c>
      <c r="C20255" s="3" t="s">
        <v>3252</v>
      </c>
      <c r="D20255" s="4">
        <f>DATE(2009,2,3)</f>
        <v>39847</v>
      </c>
      <c r="E20255" s="5">
        <f t="shared" si="332"/>
        <v>2009</v>
      </c>
      <c r="F20255" s="3" t="s">
        <v>3253</v>
      </c>
      <c r="G20255" s="6">
        <v>1285.7</v>
      </c>
      <c r="H20255" s="5">
        <v>3241</v>
      </c>
    </row>
    <row r="20256" spans="2:8" ht="15" customHeight="1" x14ac:dyDescent="0.4">
      <c r="B20256" s="3" t="s">
        <v>7</v>
      </c>
      <c r="C20256" s="3" t="s">
        <v>3252</v>
      </c>
      <c r="D20256" s="4">
        <f>DATE(2009,4,22)</f>
        <v>39925</v>
      </c>
      <c r="E20256" s="5">
        <f t="shared" si="332"/>
        <v>2009</v>
      </c>
      <c r="F20256" s="3" t="s">
        <v>3253</v>
      </c>
      <c r="G20256" s="6">
        <v>5018.78</v>
      </c>
      <c r="H20256" s="5">
        <v>3386</v>
      </c>
    </row>
    <row r="20257" spans="2:8" ht="15" customHeight="1" x14ac:dyDescent="0.4">
      <c r="B20257" s="3" t="s">
        <v>7</v>
      </c>
      <c r="C20257" s="3" t="s">
        <v>3252</v>
      </c>
      <c r="D20257" s="4">
        <f>DATE(2009,5,1)</f>
        <v>39934</v>
      </c>
      <c r="E20257" s="5">
        <f t="shared" si="332"/>
        <v>2009</v>
      </c>
      <c r="F20257" s="3" t="s">
        <v>3253</v>
      </c>
      <c r="G20257" s="6">
        <v>1348.39</v>
      </c>
      <c r="H20257" s="5">
        <v>3405</v>
      </c>
    </row>
    <row r="20258" spans="2:8" ht="15" customHeight="1" x14ac:dyDescent="0.4">
      <c r="B20258" s="3" t="s">
        <v>7</v>
      </c>
      <c r="C20258" s="3" t="s">
        <v>3252</v>
      </c>
      <c r="D20258" s="4">
        <f>DATE(2008,8,29)</f>
        <v>39689</v>
      </c>
      <c r="E20258" s="5">
        <f t="shared" si="332"/>
        <v>2008</v>
      </c>
      <c r="F20258" s="3" t="s">
        <v>3254</v>
      </c>
      <c r="G20258" s="6">
        <v>9584.4</v>
      </c>
      <c r="H20258" s="5">
        <v>3004</v>
      </c>
    </row>
    <row r="20259" spans="2:8" ht="15" customHeight="1" x14ac:dyDescent="0.4">
      <c r="B20259" s="3" t="s">
        <v>7</v>
      </c>
      <c r="C20259" s="3" t="s">
        <v>3252</v>
      </c>
      <c r="D20259" s="4">
        <f>DATE(2008,10,10)</f>
        <v>39731</v>
      </c>
      <c r="E20259" s="5">
        <f t="shared" si="332"/>
        <v>2008</v>
      </c>
      <c r="F20259" s="3" t="s">
        <v>3254</v>
      </c>
      <c r="G20259" s="6">
        <v>11460.7</v>
      </c>
      <c r="H20259" s="5">
        <v>3102</v>
      </c>
    </row>
    <row r="20260" spans="2:8" ht="15" customHeight="1" x14ac:dyDescent="0.4">
      <c r="B20260" s="3" t="s">
        <v>7</v>
      </c>
      <c r="C20260" s="3" t="s">
        <v>3252</v>
      </c>
      <c r="D20260" s="4">
        <f>DATE(2008,10,15)</f>
        <v>39736</v>
      </c>
      <c r="E20260" s="5">
        <f t="shared" si="332"/>
        <v>2008</v>
      </c>
      <c r="F20260" s="3" t="s">
        <v>3254</v>
      </c>
      <c r="G20260" s="6">
        <v>1337.81</v>
      </c>
      <c r="H20260" s="5">
        <v>3111</v>
      </c>
    </row>
    <row r="20261" spans="2:8" ht="15" customHeight="1" x14ac:dyDescent="0.4">
      <c r="B20261" s="3" t="s">
        <v>7</v>
      </c>
      <c r="C20261" s="3" t="s">
        <v>3252</v>
      </c>
      <c r="D20261" s="4">
        <f>DATE(2008,11,12)</f>
        <v>39764</v>
      </c>
      <c r="E20261" s="5">
        <f t="shared" si="332"/>
        <v>2008</v>
      </c>
      <c r="F20261" s="3" t="s">
        <v>3254</v>
      </c>
      <c r="G20261" s="6">
        <v>6107</v>
      </c>
      <c r="H20261" s="5">
        <v>3151</v>
      </c>
    </row>
    <row r="20262" spans="2:8" ht="15" customHeight="1" x14ac:dyDescent="0.4">
      <c r="B20262" s="3" t="s">
        <v>7</v>
      </c>
      <c r="C20262" s="3" t="s">
        <v>3252</v>
      </c>
      <c r="D20262" s="4">
        <f>DATE(2008,12,9)</f>
        <v>39791</v>
      </c>
      <c r="E20262" s="5">
        <f t="shared" si="332"/>
        <v>2008</v>
      </c>
      <c r="F20262" s="3" t="s">
        <v>3254</v>
      </c>
      <c r="G20262" s="6">
        <v>3793.57</v>
      </c>
      <c r="H20262" s="5">
        <v>3174</v>
      </c>
    </row>
    <row r="20263" spans="2:8" ht="15" customHeight="1" x14ac:dyDescent="0.4">
      <c r="B20263" t="s">
        <v>7</v>
      </c>
      <c r="C20263" t="s">
        <v>3255</v>
      </c>
      <c r="D20263" s="7">
        <f>DATE(2004,1,29)</f>
        <v>38015</v>
      </c>
      <c r="E20263" s="8">
        <f t="shared" si="332"/>
        <v>2004</v>
      </c>
      <c r="F20263" t="s">
        <v>3256</v>
      </c>
      <c r="G20263" s="9">
        <v>8984.49</v>
      </c>
      <c r="H20263" s="8">
        <v>1189</v>
      </c>
    </row>
    <row r="20264" spans="2:8" ht="15" customHeight="1" x14ac:dyDescent="0.4">
      <c r="B20264" t="s">
        <v>7</v>
      </c>
      <c r="C20264" t="s">
        <v>3255</v>
      </c>
      <c r="D20264" s="7">
        <f>DATE(2017,4,3)</f>
        <v>42828</v>
      </c>
      <c r="E20264" s="8">
        <f t="shared" si="332"/>
        <v>2017</v>
      </c>
      <c r="F20264" t="s">
        <v>3257</v>
      </c>
      <c r="G20264" s="9">
        <v>26458.959999999999</v>
      </c>
      <c r="H20264" s="8">
        <v>23384</v>
      </c>
    </row>
    <row r="20265" spans="2:8" ht="15" customHeight="1" x14ac:dyDescent="0.4">
      <c r="B20265" t="s">
        <v>7</v>
      </c>
      <c r="C20265" t="s">
        <v>3255</v>
      </c>
      <c r="D20265" s="7">
        <f>DATE(2017,4,10)</f>
        <v>42835</v>
      </c>
      <c r="E20265" s="8">
        <f t="shared" si="332"/>
        <v>2017</v>
      </c>
      <c r="F20265" t="s">
        <v>3257</v>
      </c>
      <c r="G20265" s="9">
        <v>792.5</v>
      </c>
      <c r="H20265" s="8">
        <v>24716</v>
      </c>
    </row>
    <row r="20266" spans="2:8" ht="15" customHeight="1" x14ac:dyDescent="0.4">
      <c r="B20266" t="s">
        <v>7</v>
      </c>
      <c r="C20266" t="s">
        <v>3255</v>
      </c>
      <c r="D20266" s="7">
        <f>DATE(2017,11,30)</f>
        <v>43069</v>
      </c>
      <c r="E20266" s="8">
        <f t="shared" si="332"/>
        <v>2017</v>
      </c>
      <c r="F20266" t="s">
        <v>3257</v>
      </c>
      <c r="G20266" s="9">
        <v>417.46</v>
      </c>
      <c r="H20266" s="8">
        <v>25967</v>
      </c>
    </row>
    <row r="20267" spans="2:8" ht="15" customHeight="1" x14ac:dyDescent="0.4">
      <c r="B20267" t="s">
        <v>7</v>
      </c>
      <c r="C20267" t="s">
        <v>3255</v>
      </c>
      <c r="D20267" s="7">
        <f>DATE(2016,3,15)</f>
        <v>42444</v>
      </c>
      <c r="E20267" s="8">
        <f t="shared" si="332"/>
        <v>2016</v>
      </c>
      <c r="F20267" t="s">
        <v>3257</v>
      </c>
      <c r="G20267" s="9">
        <v>5393.43</v>
      </c>
      <c r="H20267" s="8">
        <v>22334</v>
      </c>
    </row>
    <row r="20268" spans="2:8" ht="15" customHeight="1" x14ac:dyDescent="0.4">
      <c r="B20268" t="s">
        <v>7</v>
      </c>
      <c r="C20268" t="s">
        <v>3255</v>
      </c>
      <c r="D20268" s="7">
        <f>DATE(2017,12,5)</f>
        <v>43074</v>
      </c>
      <c r="E20268" s="8">
        <f t="shared" si="332"/>
        <v>2017</v>
      </c>
      <c r="F20268" t="s">
        <v>3257</v>
      </c>
      <c r="G20268" s="9">
        <v>9552.52</v>
      </c>
      <c r="H20268" s="8">
        <v>25834</v>
      </c>
    </row>
    <row r="20269" spans="2:8" ht="15" customHeight="1" x14ac:dyDescent="0.4">
      <c r="B20269" t="s">
        <v>7</v>
      </c>
      <c r="C20269" t="s">
        <v>3255</v>
      </c>
      <c r="D20269" s="7">
        <f>DATE(2005,5,7)</f>
        <v>38479</v>
      </c>
      <c r="E20269" s="8">
        <f t="shared" si="332"/>
        <v>2005</v>
      </c>
      <c r="F20269" t="s">
        <v>3257</v>
      </c>
      <c r="G20269" s="9">
        <v>16509.84</v>
      </c>
      <c r="H20269" s="8">
        <v>2486</v>
      </c>
    </row>
    <row r="20270" spans="2:8" ht="15" customHeight="1" x14ac:dyDescent="0.4">
      <c r="B20270" t="s">
        <v>7</v>
      </c>
      <c r="C20270" t="s">
        <v>3255</v>
      </c>
      <c r="D20270" s="7">
        <f>DATE(2006,3,8)</f>
        <v>38784</v>
      </c>
      <c r="E20270" s="8">
        <f t="shared" si="332"/>
        <v>2006</v>
      </c>
      <c r="F20270" t="s">
        <v>3257</v>
      </c>
      <c r="G20270" s="9">
        <v>10900</v>
      </c>
      <c r="H20270" s="8">
        <v>4096</v>
      </c>
    </row>
    <row r="20271" spans="2:8" ht="15" customHeight="1" x14ac:dyDescent="0.4">
      <c r="B20271" t="s">
        <v>7</v>
      </c>
      <c r="C20271" t="s">
        <v>3255</v>
      </c>
      <c r="D20271" s="7">
        <f>DATE(2007,3,8)</f>
        <v>39149</v>
      </c>
      <c r="E20271" s="8">
        <f t="shared" si="332"/>
        <v>2007</v>
      </c>
      <c r="F20271" t="s">
        <v>3257</v>
      </c>
      <c r="G20271" s="9">
        <v>11450</v>
      </c>
      <c r="H20271" s="8">
        <v>5384</v>
      </c>
    </row>
    <row r="20272" spans="2:8" ht="15" customHeight="1" x14ac:dyDescent="0.4">
      <c r="B20272" t="s">
        <v>7</v>
      </c>
      <c r="C20272" t="s">
        <v>3255</v>
      </c>
      <c r="D20272" s="7">
        <f>DATE(2008,2,15)</f>
        <v>39493</v>
      </c>
      <c r="E20272" s="8">
        <f t="shared" si="332"/>
        <v>2008</v>
      </c>
      <c r="F20272" t="s">
        <v>3257</v>
      </c>
      <c r="G20272" s="9">
        <v>14500</v>
      </c>
      <c r="H20272" s="8">
        <v>6343</v>
      </c>
    </row>
    <row r="20273" spans="2:8" ht="15" customHeight="1" x14ac:dyDescent="0.4">
      <c r="B20273" t="s">
        <v>7</v>
      </c>
      <c r="C20273" t="s">
        <v>3255</v>
      </c>
      <c r="D20273" s="7">
        <f>DATE(2009,5,4)</f>
        <v>39937</v>
      </c>
      <c r="E20273" s="8">
        <f t="shared" si="332"/>
        <v>2009</v>
      </c>
      <c r="F20273" t="s">
        <v>3257</v>
      </c>
      <c r="G20273" s="9">
        <v>15140</v>
      </c>
      <c r="H20273" s="8">
        <v>8176</v>
      </c>
    </row>
    <row r="20274" spans="2:8" ht="15" customHeight="1" x14ac:dyDescent="0.4">
      <c r="B20274" t="s">
        <v>7</v>
      </c>
      <c r="C20274" t="s">
        <v>3255</v>
      </c>
      <c r="D20274" s="7">
        <f>DATE(2011,3,31)</f>
        <v>40633</v>
      </c>
      <c r="E20274" s="8">
        <f t="shared" si="332"/>
        <v>2011</v>
      </c>
      <c r="F20274" t="s">
        <v>3257</v>
      </c>
      <c r="G20274" s="9">
        <v>21950</v>
      </c>
      <c r="H20274" s="8">
        <v>10349</v>
      </c>
    </row>
    <row r="20275" spans="2:8" ht="15" customHeight="1" x14ac:dyDescent="0.4">
      <c r="B20275" t="s">
        <v>7</v>
      </c>
      <c r="C20275" t="s">
        <v>3255</v>
      </c>
      <c r="D20275" s="7">
        <f>DATE(2011,3,31)</f>
        <v>40633</v>
      </c>
      <c r="E20275" s="8">
        <f t="shared" si="332"/>
        <v>2011</v>
      </c>
      <c r="F20275" t="s">
        <v>3257</v>
      </c>
      <c r="G20275" s="9">
        <v>1426.75</v>
      </c>
      <c r="H20275" s="8">
        <v>10695</v>
      </c>
    </row>
    <row r="20276" spans="2:8" ht="15" customHeight="1" x14ac:dyDescent="0.4">
      <c r="B20276" t="s">
        <v>7</v>
      </c>
      <c r="C20276" t="s">
        <v>3255</v>
      </c>
      <c r="D20276" s="7">
        <f>DATE(2014,5,1)</f>
        <v>41760</v>
      </c>
      <c r="E20276" s="8">
        <f t="shared" si="332"/>
        <v>2014</v>
      </c>
      <c r="F20276" t="s">
        <v>3257</v>
      </c>
      <c r="G20276" s="9">
        <v>23700</v>
      </c>
      <c r="H20276" s="8">
        <v>12859</v>
      </c>
    </row>
    <row r="20277" spans="2:8" ht="15" customHeight="1" x14ac:dyDescent="0.4">
      <c r="B20277" s="3" t="s">
        <v>7</v>
      </c>
      <c r="C20277" s="3" t="s">
        <v>3255</v>
      </c>
      <c r="D20277" s="4">
        <f>DATE(2005,5,12)</f>
        <v>38484</v>
      </c>
      <c r="E20277" s="5">
        <f t="shared" si="332"/>
        <v>2005</v>
      </c>
      <c r="F20277" s="3" t="s">
        <v>3257</v>
      </c>
      <c r="G20277" s="6">
        <v>394.25</v>
      </c>
      <c r="H20277" s="5">
        <v>4724</v>
      </c>
    </row>
    <row r="20278" spans="2:8" ht="15" customHeight="1" x14ac:dyDescent="0.4">
      <c r="B20278" s="3" t="s">
        <v>7</v>
      </c>
      <c r="C20278" s="3" t="s">
        <v>3255</v>
      </c>
      <c r="D20278" s="4">
        <f>DATE(2005,5,11)</f>
        <v>38483</v>
      </c>
      <c r="E20278" s="5">
        <f t="shared" si="332"/>
        <v>2005</v>
      </c>
      <c r="F20278" s="3" t="s">
        <v>3257</v>
      </c>
      <c r="G20278" s="6">
        <v>684.73</v>
      </c>
      <c r="H20278" s="5">
        <v>4724</v>
      </c>
    </row>
    <row r="20279" spans="2:8" ht="15" customHeight="1" x14ac:dyDescent="0.4">
      <c r="B20279" s="3" t="s">
        <v>7</v>
      </c>
      <c r="C20279" s="3" t="s">
        <v>3255</v>
      </c>
      <c r="D20279" s="4">
        <f>DATE(2005,5,25)</f>
        <v>38497</v>
      </c>
      <c r="E20279" s="5">
        <f t="shared" si="332"/>
        <v>2005</v>
      </c>
      <c r="F20279" s="3" t="s">
        <v>3257</v>
      </c>
      <c r="G20279" s="6">
        <v>567</v>
      </c>
      <c r="H20279" s="5">
        <v>4783</v>
      </c>
    </row>
    <row r="20280" spans="2:8" ht="15" customHeight="1" x14ac:dyDescent="0.4">
      <c r="B20280" s="3" t="s">
        <v>7</v>
      </c>
      <c r="C20280" s="3" t="s">
        <v>3255</v>
      </c>
      <c r="D20280" s="4">
        <f>DATE(2005,5,13)</f>
        <v>38485</v>
      </c>
      <c r="E20280" s="5">
        <f t="shared" si="332"/>
        <v>2005</v>
      </c>
      <c r="F20280" s="3" t="s">
        <v>3257</v>
      </c>
      <c r="G20280" s="6">
        <v>449.2</v>
      </c>
      <c r="H20280" s="5">
        <v>4754</v>
      </c>
    </row>
    <row r="20281" spans="2:8" ht="15" customHeight="1" x14ac:dyDescent="0.4">
      <c r="B20281" s="3" t="s">
        <v>7</v>
      </c>
      <c r="C20281" s="3" t="s">
        <v>3255</v>
      </c>
      <c r="D20281" s="4">
        <f>DATE(2008,2,27)</f>
        <v>39505</v>
      </c>
      <c r="E20281" s="5">
        <f t="shared" si="332"/>
        <v>2008</v>
      </c>
      <c r="F20281" s="3" t="s">
        <v>3257</v>
      </c>
      <c r="G20281" s="6">
        <v>504.26</v>
      </c>
      <c r="H20281" s="5">
        <v>10027</v>
      </c>
    </row>
    <row r="20282" spans="2:8" ht="15" customHeight="1" x14ac:dyDescent="0.4">
      <c r="B20282" s="3" t="s">
        <v>7</v>
      </c>
      <c r="C20282" s="3" t="s">
        <v>3255</v>
      </c>
      <c r="D20282" s="4">
        <f>DATE(2011,4,11)</f>
        <v>40644</v>
      </c>
      <c r="E20282" s="5">
        <f t="shared" si="332"/>
        <v>2011</v>
      </c>
      <c r="F20282" s="3" t="s">
        <v>3257</v>
      </c>
      <c r="G20282" s="6">
        <v>1169.28</v>
      </c>
      <c r="H20282" s="5">
        <v>15409</v>
      </c>
    </row>
    <row r="20283" spans="2:8" ht="15" customHeight="1" x14ac:dyDescent="0.4">
      <c r="B20283" t="s">
        <v>7</v>
      </c>
      <c r="C20283" t="s">
        <v>3258</v>
      </c>
      <c r="D20283" s="7">
        <f>DATE(2018,12,17)</f>
        <v>43451</v>
      </c>
      <c r="E20283" s="8">
        <f t="shared" si="332"/>
        <v>2018</v>
      </c>
      <c r="F20283" t="s">
        <v>3259</v>
      </c>
      <c r="G20283" s="9">
        <v>28183.78</v>
      </c>
      <c r="H20283" s="8">
        <v>27832</v>
      </c>
    </row>
    <row r="20284" spans="2:8" ht="15" customHeight="1" x14ac:dyDescent="0.4">
      <c r="B20284" t="s">
        <v>7</v>
      </c>
      <c r="C20284" t="s">
        <v>3260</v>
      </c>
      <c r="D20284" s="7">
        <f>DATE(2004,10,28)</f>
        <v>38288</v>
      </c>
      <c r="E20284" s="8">
        <f t="shared" si="332"/>
        <v>2004</v>
      </c>
      <c r="F20284" t="s">
        <v>3261</v>
      </c>
      <c r="G20284" s="9">
        <v>7917.55</v>
      </c>
      <c r="H20284" s="8">
        <v>2328</v>
      </c>
    </row>
    <row r="20285" spans="2:8" ht="15" customHeight="1" x14ac:dyDescent="0.4">
      <c r="B20285" t="s">
        <v>7</v>
      </c>
      <c r="C20285" t="s">
        <v>3260</v>
      </c>
      <c r="D20285" s="7">
        <f>DATE(2012,4,12)</f>
        <v>41011</v>
      </c>
      <c r="E20285" s="8">
        <f t="shared" si="332"/>
        <v>2012</v>
      </c>
      <c r="F20285" t="s">
        <v>3261</v>
      </c>
      <c r="G20285" s="9">
        <v>8031.74</v>
      </c>
      <c r="H20285" s="8">
        <v>11468</v>
      </c>
    </row>
    <row r="20286" spans="2:8" ht="15" customHeight="1" x14ac:dyDescent="0.4">
      <c r="B20286" t="s">
        <v>7</v>
      </c>
      <c r="C20286" t="s">
        <v>3260</v>
      </c>
      <c r="D20286" s="7">
        <f>DATE(2013,11,20)</f>
        <v>41598</v>
      </c>
      <c r="E20286" s="8">
        <f t="shared" si="332"/>
        <v>2013</v>
      </c>
      <c r="F20286" t="s">
        <v>3261</v>
      </c>
      <c r="G20286" s="9">
        <v>7794.14</v>
      </c>
      <c r="H20286" s="8">
        <v>12785</v>
      </c>
    </row>
    <row r="20287" spans="2:8" ht="15" customHeight="1" x14ac:dyDescent="0.4">
      <c r="B20287" s="3" t="s">
        <v>7</v>
      </c>
      <c r="C20287" s="3" t="s">
        <v>3260</v>
      </c>
      <c r="D20287" s="4">
        <f>DATE(2007,3,13)</f>
        <v>39154</v>
      </c>
      <c r="E20287" s="5">
        <f t="shared" si="332"/>
        <v>2007</v>
      </c>
      <c r="F20287" s="3" t="s">
        <v>3261</v>
      </c>
      <c r="G20287" s="6">
        <v>422.29</v>
      </c>
      <c r="H20287" s="5">
        <v>8110</v>
      </c>
    </row>
    <row r="20288" spans="2:8" ht="15" customHeight="1" x14ac:dyDescent="0.4">
      <c r="B20288" t="s">
        <v>7</v>
      </c>
      <c r="C20288" t="s">
        <v>3262</v>
      </c>
      <c r="D20288" s="7">
        <f>DATE(2003,4,30)</f>
        <v>37741</v>
      </c>
      <c r="E20288" s="8">
        <f t="shared" si="332"/>
        <v>2003</v>
      </c>
      <c r="F20288" t="s">
        <v>3263</v>
      </c>
      <c r="G20288" s="9">
        <v>9469.1</v>
      </c>
      <c r="H20288" s="8">
        <v>533</v>
      </c>
    </row>
    <row r="20289" spans="2:8" ht="15" customHeight="1" x14ac:dyDescent="0.4">
      <c r="B20289" t="s">
        <v>7</v>
      </c>
      <c r="C20289" t="s">
        <v>3264</v>
      </c>
      <c r="D20289" s="7">
        <f>DATE(2004,12,9)</f>
        <v>38330</v>
      </c>
      <c r="E20289" s="8">
        <f t="shared" si="332"/>
        <v>2004</v>
      </c>
      <c r="F20289" t="s">
        <v>3265</v>
      </c>
      <c r="G20289" s="9">
        <v>4256.2299999999996</v>
      </c>
      <c r="H20289" s="8">
        <v>2411</v>
      </c>
    </row>
    <row r="20290" spans="2:8" ht="15" customHeight="1" x14ac:dyDescent="0.4">
      <c r="B20290" t="s">
        <v>7</v>
      </c>
      <c r="C20290" t="s">
        <v>3264</v>
      </c>
      <c r="D20290" s="7">
        <f>DATE(2010,4,29)</f>
        <v>40297</v>
      </c>
      <c r="E20290" s="8">
        <f t="shared" si="332"/>
        <v>2010</v>
      </c>
      <c r="F20290" t="s">
        <v>3266</v>
      </c>
      <c r="G20290" s="9">
        <v>4655.7299999999996</v>
      </c>
      <c r="H20290" s="8">
        <v>9752</v>
      </c>
    </row>
    <row r="20291" spans="2:8" ht="15" customHeight="1" x14ac:dyDescent="0.4">
      <c r="B20291" t="s">
        <v>7</v>
      </c>
      <c r="C20291" t="s">
        <v>3267</v>
      </c>
      <c r="D20291" s="7">
        <f>DATE(2015,6,9)</f>
        <v>42164</v>
      </c>
      <c r="E20291" s="8">
        <f t="shared" ref="E20291:E20354" si="333">YEAR(D20291)</f>
        <v>2015</v>
      </c>
      <c r="F20291" t="s">
        <v>3268</v>
      </c>
      <c r="G20291" s="9">
        <v>7569.85</v>
      </c>
      <c r="H20291" s="8">
        <v>20623</v>
      </c>
    </row>
    <row r="20292" spans="2:8" ht="15" customHeight="1" x14ac:dyDescent="0.4">
      <c r="B20292" t="s">
        <v>7</v>
      </c>
      <c r="C20292" t="s">
        <v>3267</v>
      </c>
      <c r="D20292" s="7">
        <f>DATE(2014,12,12)</f>
        <v>41985</v>
      </c>
      <c r="E20292" s="8">
        <f t="shared" si="333"/>
        <v>2014</v>
      </c>
      <c r="F20292" t="s">
        <v>3268</v>
      </c>
      <c r="G20292" s="9">
        <v>7321.01</v>
      </c>
      <c r="H20292" s="8">
        <v>13632</v>
      </c>
    </row>
    <row r="20293" spans="2:8" ht="15" customHeight="1" x14ac:dyDescent="0.4">
      <c r="B20293" t="s">
        <v>7</v>
      </c>
      <c r="C20293" t="s">
        <v>3269</v>
      </c>
      <c r="D20293" s="7">
        <f>DATE(2018,10,25)</f>
        <v>43398</v>
      </c>
      <c r="E20293" s="8">
        <f t="shared" si="333"/>
        <v>2018</v>
      </c>
      <c r="F20293" t="s">
        <v>3270</v>
      </c>
      <c r="G20293" s="9">
        <v>19152</v>
      </c>
      <c r="H20293" s="8">
        <v>27745</v>
      </c>
    </row>
    <row r="20294" spans="2:8" ht="15" customHeight="1" x14ac:dyDescent="0.4">
      <c r="B20294" t="s">
        <v>7</v>
      </c>
      <c r="C20294" t="s">
        <v>3269</v>
      </c>
      <c r="D20294" s="7">
        <f>DATE(2011,7,22)</f>
        <v>40746</v>
      </c>
      <c r="E20294" s="8">
        <f t="shared" si="333"/>
        <v>2011</v>
      </c>
      <c r="F20294" t="s">
        <v>3270</v>
      </c>
      <c r="G20294" s="9">
        <v>4742.2299999999996</v>
      </c>
      <c r="H20294" s="8">
        <v>10876</v>
      </c>
    </row>
    <row r="20295" spans="2:8" ht="15" customHeight="1" x14ac:dyDescent="0.4">
      <c r="B20295" t="s">
        <v>7</v>
      </c>
      <c r="C20295" t="s">
        <v>3271</v>
      </c>
      <c r="D20295" s="7">
        <f>DATE(2018,12,19)</f>
        <v>43453</v>
      </c>
      <c r="E20295" s="8">
        <f t="shared" si="333"/>
        <v>2018</v>
      </c>
      <c r="F20295" t="s">
        <v>3272</v>
      </c>
      <c r="G20295" s="9">
        <v>22571.08</v>
      </c>
      <c r="H20295" s="8">
        <v>27508</v>
      </c>
    </row>
    <row r="20296" spans="2:8" ht="15" customHeight="1" x14ac:dyDescent="0.4">
      <c r="B20296" t="s">
        <v>7</v>
      </c>
      <c r="C20296" t="s">
        <v>3271</v>
      </c>
      <c r="D20296" s="7">
        <f>DATE(2004,6,16)</f>
        <v>38154</v>
      </c>
      <c r="E20296" s="8">
        <f t="shared" si="333"/>
        <v>2004</v>
      </c>
      <c r="F20296" t="s">
        <v>3272</v>
      </c>
      <c r="G20296" s="9">
        <v>16500</v>
      </c>
      <c r="H20296" s="8">
        <v>1858</v>
      </c>
    </row>
    <row r="20297" spans="2:8" ht="15" customHeight="1" x14ac:dyDescent="0.4">
      <c r="B20297" t="s">
        <v>7</v>
      </c>
      <c r="C20297" t="s">
        <v>3271</v>
      </c>
      <c r="D20297" s="7">
        <f>DATE(2006,7,9)</f>
        <v>38907</v>
      </c>
      <c r="E20297" s="8">
        <f t="shared" si="333"/>
        <v>2006</v>
      </c>
      <c r="F20297" t="s">
        <v>3272</v>
      </c>
      <c r="G20297" s="9">
        <v>21551</v>
      </c>
      <c r="H20297" s="8">
        <v>4741</v>
      </c>
    </row>
    <row r="20298" spans="2:8" ht="15" customHeight="1" x14ac:dyDescent="0.4">
      <c r="B20298" t="s">
        <v>7</v>
      </c>
      <c r="C20298" t="s">
        <v>3271</v>
      </c>
      <c r="D20298" s="7">
        <f>DATE(2013,7,29)</f>
        <v>41484</v>
      </c>
      <c r="E20298" s="8">
        <f t="shared" si="333"/>
        <v>2013</v>
      </c>
      <c r="F20298" t="s">
        <v>3272</v>
      </c>
      <c r="G20298" s="9">
        <v>24100</v>
      </c>
      <c r="H20298" s="8">
        <v>12576</v>
      </c>
    </row>
    <row r="20299" spans="2:8" ht="15" customHeight="1" x14ac:dyDescent="0.4">
      <c r="B20299" t="s">
        <v>7</v>
      </c>
      <c r="C20299" t="s">
        <v>3271</v>
      </c>
      <c r="D20299" s="7">
        <f>DATE(2013,8,14)</f>
        <v>41500</v>
      </c>
      <c r="E20299" s="8">
        <f t="shared" si="333"/>
        <v>2013</v>
      </c>
      <c r="F20299" t="s">
        <v>3272</v>
      </c>
      <c r="G20299" s="9">
        <v>24252.880000000001</v>
      </c>
      <c r="H20299" s="8">
        <v>12607</v>
      </c>
    </row>
    <row r="20300" spans="2:8" ht="15" customHeight="1" x14ac:dyDescent="0.4">
      <c r="B20300" s="3" t="s">
        <v>7</v>
      </c>
      <c r="C20300" s="3" t="s">
        <v>3271</v>
      </c>
      <c r="D20300" s="4">
        <f>DATE(2004,6,30)</f>
        <v>38168</v>
      </c>
      <c r="E20300" s="5">
        <f t="shared" si="333"/>
        <v>2004</v>
      </c>
      <c r="F20300" s="3" t="s">
        <v>3272</v>
      </c>
      <c r="G20300" s="6">
        <v>4820</v>
      </c>
      <c r="H20300" s="5">
        <v>3067</v>
      </c>
    </row>
    <row r="20301" spans="2:8" ht="15" customHeight="1" x14ac:dyDescent="0.4">
      <c r="B20301" s="3" t="s">
        <v>7</v>
      </c>
      <c r="C20301" s="3" t="s">
        <v>3271</v>
      </c>
      <c r="D20301" s="4">
        <f>DATE(2004,6,30)</f>
        <v>38168</v>
      </c>
      <c r="E20301" s="5">
        <f t="shared" si="333"/>
        <v>2004</v>
      </c>
      <c r="F20301" s="3" t="s">
        <v>3272</v>
      </c>
      <c r="G20301" s="6">
        <v>7230</v>
      </c>
      <c r="H20301" s="5">
        <v>3083</v>
      </c>
    </row>
    <row r="20302" spans="2:8" ht="15" customHeight="1" x14ac:dyDescent="0.4">
      <c r="B20302" s="3" t="s">
        <v>7</v>
      </c>
      <c r="C20302" s="3" t="s">
        <v>3271</v>
      </c>
      <c r="D20302" s="4">
        <f>DATE(2005,9,28)</f>
        <v>38623</v>
      </c>
      <c r="E20302" s="5">
        <f t="shared" si="333"/>
        <v>2005</v>
      </c>
      <c r="F20302" s="3" t="s">
        <v>3272</v>
      </c>
      <c r="G20302" s="6">
        <v>3800</v>
      </c>
      <c r="H20302" s="5">
        <v>5337</v>
      </c>
    </row>
    <row r="20303" spans="2:8" ht="15" customHeight="1" x14ac:dyDescent="0.4">
      <c r="B20303" s="3" t="s">
        <v>7</v>
      </c>
      <c r="C20303" s="3" t="s">
        <v>3271</v>
      </c>
      <c r="D20303" s="4">
        <f>DATE(2010,5,13)</f>
        <v>40311</v>
      </c>
      <c r="E20303" s="5">
        <f t="shared" si="333"/>
        <v>2010</v>
      </c>
      <c r="F20303" s="3" t="s">
        <v>3272</v>
      </c>
      <c r="G20303" s="6">
        <v>3040</v>
      </c>
      <c r="H20303" s="5">
        <v>14054</v>
      </c>
    </row>
    <row r="20304" spans="2:8" ht="15" customHeight="1" x14ac:dyDescent="0.4">
      <c r="B20304" s="3" t="s">
        <v>7</v>
      </c>
      <c r="C20304" s="3" t="s">
        <v>3271</v>
      </c>
      <c r="D20304" s="4">
        <f>DATE(2013,7,31)</f>
        <v>41486</v>
      </c>
      <c r="E20304" s="5">
        <f t="shared" si="333"/>
        <v>2013</v>
      </c>
      <c r="F20304" s="3" t="s">
        <v>3272</v>
      </c>
      <c r="G20304" s="6">
        <v>1200</v>
      </c>
      <c r="H20304" s="5">
        <v>18809</v>
      </c>
    </row>
    <row r="20305" spans="2:8" ht="15" customHeight="1" x14ac:dyDescent="0.4">
      <c r="B20305" t="s">
        <v>7</v>
      </c>
      <c r="C20305" t="s">
        <v>3273</v>
      </c>
      <c r="D20305" s="7">
        <f>DATE(2012,5,17)</f>
        <v>41046</v>
      </c>
      <c r="E20305" s="8">
        <f t="shared" si="333"/>
        <v>2012</v>
      </c>
      <c r="F20305" t="s">
        <v>3274</v>
      </c>
      <c r="G20305" s="9">
        <v>12325.63</v>
      </c>
      <c r="H20305" s="8">
        <v>11631</v>
      </c>
    </row>
    <row r="20306" spans="2:8" ht="15" customHeight="1" x14ac:dyDescent="0.4">
      <c r="B20306" t="s">
        <v>7</v>
      </c>
      <c r="C20306" t="s">
        <v>3273</v>
      </c>
      <c r="D20306" s="7">
        <f>DATE(2018,10,11)</f>
        <v>43384</v>
      </c>
      <c r="E20306" s="8">
        <f t="shared" si="333"/>
        <v>2018</v>
      </c>
      <c r="F20306" t="s">
        <v>3275</v>
      </c>
      <c r="G20306" s="9">
        <v>13701.03</v>
      </c>
      <c r="H20306" s="8">
        <v>27627</v>
      </c>
    </row>
    <row r="20307" spans="2:8" ht="15" customHeight="1" x14ac:dyDescent="0.4">
      <c r="B20307" t="s">
        <v>7</v>
      </c>
      <c r="C20307" t="s">
        <v>3273</v>
      </c>
      <c r="D20307" s="7">
        <f>DATE(2010,4,7)</f>
        <v>40275</v>
      </c>
      <c r="E20307" s="8">
        <f t="shared" si="333"/>
        <v>2010</v>
      </c>
      <c r="F20307" t="s">
        <v>3276</v>
      </c>
      <c r="G20307" s="9">
        <v>9474.14</v>
      </c>
      <c r="H20307" s="8">
        <v>9714</v>
      </c>
    </row>
    <row r="20308" spans="2:8" ht="15" customHeight="1" x14ac:dyDescent="0.4">
      <c r="B20308" t="s">
        <v>7</v>
      </c>
      <c r="C20308" t="s">
        <v>3277</v>
      </c>
      <c r="D20308" s="7">
        <f>DATE(2009,5,27)</f>
        <v>39960</v>
      </c>
      <c r="E20308" s="8">
        <f t="shared" si="333"/>
        <v>2009</v>
      </c>
      <c r="F20308" t="s">
        <v>3278</v>
      </c>
      <c r="G20308" s="9">
        <v>36148</v>
      </c>
      <c r="H20308" s="8">
        <v>8733</v>
      </c>
    </row>
    <row r="20309" spans="2:8" ht="15" customHeight="1" x14ac:dyDescent="0.4">
      <c r="B20309" t="s">
        <v>7</v>
      </c>
      <c r="C20309" t="s">
        <v>3277</v>
      </c>
      <c r="D20309" s="7">
        <f>DATE(2014,6,19)</f>
        <v>41809</v>
      </c>
      <c r="E20309" s="8">
        <f t="shared" si="333"/>
        <v>2014</v>
      </c>
      <c r="F20309" t="s">
        <v>3278</v>
      </c>
      <c r="G20309" s="9">
        <v>8657.73</v>
      </c>
      <c r="H20309" s="8">
        <v>13249</v>
      </c>
    </row>
    <row r="20310" spans="2:8" ht="15" customHeight="1" x14ac:dyDescent="0.4">
      <c r="B20310" t="s">
        <v>7</v>
      </c>
      <c r="C20310" t="s">
        <v>3279</v>
      </c>
      <c r="D20310" s="7">
        <f>DATE(2019,4,4)</f>
        <v>43559</v>
      </c>
      <c r="E20310" s="8">
        <f t="shared" si="333"/>
        <v>2019</v>
      </c>
      <c r="F20310" t="s">
        <v>3280</v>
      </c>
      <c r="G20310" s="9">
        <v>9488</v>
      </c>
      <c r="H20310" s="8">
        <v>28314</v>
      </c>
    </row>
    <row r="20311" spans="2:8" ht="15" customHeight="1" x14ac:dyDescent="0.4">
      <c r="B20311" t="s">
        <v>7</v>
      </c>
      <c r="C20311" t="s">
        <v>3279</v>
      </c>
      <c r="D20311" s="7">
        <f>DATE(2019,4,4)</f>
        <v>43559</v>
      </c>
      <c r="E20311" s="8">
        <f t="shared" si="333"/>
        <v>2019</v>
      </c>
      <c r="F20311" t="s">
        <v>3280</v>
      </c>
      <c r="G20311" s="9">
        <v>25184.55</v>
      </c>
      <c r="H20311" s="8">
        <v>28313</v>
      </c>
    </row>
    <row r="20312" spans="2:8" ht="15" customHeight="1" x14ac:dyDescent="0.4">
      <c r="B20312" t="s">
        <v>7</v>
      </c>
      <c r="C20312" t="s">
        <v>3279</v>
      </c>
      <c r="D20312" s="7">
        <f>DATE(2009,5,4)</f>
        <v>39937</v>
      </c>
      <c r="E20312" s="8">
        <f t="shared" si="333"/>
        <v>2009</v>
      </c>
      <c r="F20312" t="s">
        <v>3280</v>
      </c>
      <c r="G20312" s="9">
        <v>36205</v>
      </c>
      <c r="H20312" s="8">
        <v>8654</v>
      </c>
    </row>
    <row r="20313" spans="2:8" ht="15" customHeight="1" x14ac:dyDescent="0.4">
      <c r="B20313" t="s">
        <v>7</v>
      </c>
      <c r="C20313" t="s">
        <v>3279</v>
      </c>
      <c r="D20313" s="7">
        <f>DATE(2011,5,16)</f>
        <v>40679</v>
      </c>
      <c r="E20313" s="8">
        <f t="shared" si="333"/>
        <v>2011</v>
      </c>
      <c r="F20313" t="s">
        <v>3280</v>
      </c>
      <c r="G20313" s="9">
        <v>22535.71</v>
      </c>
      <c r="H20313" s="8">
        <v>10735</v>
      </c>
    </row>
    <row r="20314" spans="2:8" ht="15" customHeight="1" x14ac:dyDescent="0.4">
      <c r="B20314" t="s">
        <v>7</v>
      </c>
      <c r="C20314" t="s">
        <v>3279</v>
      </c>
      <c r="D20314" s="7">
        <f>DATE(2012,3,14)</f>
        <v>40982</v>
      </c>
      <c r="E20314" s="8">
        <f t="shared" si="333"/>
        <v>2012</v>
      </c>
      <c r="F20314" t="s">
        <v>3280</v>
      </c>
      <c r="G20314" s="9">
        <v>21075</v>
      </c>
      <c r="H20314" s="8">
        <v>11407</v>
      </c>
    </row>
    <row r="20315" spans="2:8" ht="15" customHeight="1" x14ac:dyDescent="0.4">
      <c r="B20315" t="s">
        <v>7</v>
      </c>
      <c r="C20315" t="s">
        <v>3281</v>
      </c>
      <c r="D20315" s="7">
        <f>DATE(2007,11,17)</f>
        <v>39403</v>
      </c>
      <c r="E20315" s="8">
        <f t="shared" si="333"/>
        <v>2007</v>
      </c>
      <c r="F20315" t="s">
        <v>3282</v>
      </c>
      <c r="G20315" s="9">
        <v>8931.11</v>
      </c>
      <c r="H20315" s="8">
        <v>6591</v>
      </c>
    </row>
    <row r="20316" spans="2:8" ht="15" customHeight="1" x14ac:dyDescent="0.4">
      <c r="B20316" t="s">
        <v>7</v>
      </c>
      <c r="C20316" t="s">
        <v>3281</v>
      </c>
      <c r="D20316" s="7">
        <f>DATE(2008,1,19)</f>
        <v>39466</v>
      </c>
      <c r="E20316" s="8">
        <f t="shared" si="333"/>
        <v>2008</v>
      </c>
      <c r="F20316" t="s">
        <v>3282</v>
      </c>
      <c r="G20316" s="9">
        <v>7801.75</v>
      </c>
      <c r="H20316" s="8">
        <v>6775</v>
      </c>
    </row>
    <row r="20317" spans="2:8" ht="15" customHeight="1" x14ac:dyDescent="0.4">
      <c r="B20317" t="s">
        <v>7</v>
      </c>
      <c r="C20317" t="s">
        <v>3281</v>
      </c>
      <c r="D20317" s="7">
        <f>DATE(2008,3,14)</f>
        <v>39521</v>
      </c>
      <c r="E20317" s="8">
        <f t="shared" si="333"/>
        <v>2008</v>
      </c>
      <c r="F20317" t="s">
        <v>3282</v>
      </c>
      <c r="G20317" s="9">
        <v>4374.01</v>
      </c>
      <c r="H20317" s="8">
        <v>7159</v>
      </c>
    </row>
    <row r="20318" spans="2:8" ht="15" customHeight="1" x14ac:dyDescent="0.4">
      <c r="B20318" t="s">
        <v>7</v>
      </c>
      <c r="C20318" t="s">
        <v>3281</v>
      </c>
      <c r="D20318" s="7">
        <f>DATE(2008,5,20)</f>
        <v>39588</v>
      </c>
      <c r="E20318" s="8">
        <f t="shared" si="333"/>
        <v>2008</v>
      </c>
      <c r="F20318" t="s">
        <v>3282</v>
      </c>
      <c r="G20318" s="9">
        <v>4532.97</v>
      </c>
      <c r="H20318" s="8">
        <v>7461</v>
      </c>
    </row>
    <row r="20319" spans="2:8" ht="15" customHeight="1" x14ac:dyDescent="0.4">
      <c r="B20319" s="3" t="s">
        <v>7</v>
      </c>
      <c r="C20319" s="3" t="s">
        <v>3283</v>
      </c>
      <c r="D20319" s="4">
        <f>DATE(2007,1,19)</f>
        <v>39101</v>
      </c>
      <c r="E20319" s="5">
        <f t="shared" si="333"/>
        <v>2007</v>
      </c>
      <c r="F20319" s="3" t="s">
        <v>3284</v>
      </c>
      <c r="G20319" s="6">
        <v>17496.259999999998</v>
      </c>
      <c r="H20319" s="5">
        <v>1945</v>
      </c>
    </row>
    <row r="20320" spans="2:8" ht="15" customHeight="1" x14ac:dyDescent="0.4">
      <c r="B20320" s="3" t="s">
        <v>7</v>
      </c>
      <c r="C20320" s="3" t="s">
        <v>3283</v>
      </c>
      <c r="D20320" s="4">
        <f>DATE(2013,6,6)</f>
        <v>41431</v>
      </c>
      <c r="E20320" s="5">
        <f t="shared" si="333"/>
        <v>2013</v>
      </c>
      <c r="F20320" s="3" t="s">
        <v>3284</v>
      </c>
      <c r="G20320" s="6">
        <v>19245.66</v>
      </c>
      <c r="H20320" s="5">
        <v>5520</v>
      </c>
    </row>
    <row r="20321" spans="2:8" ht="15" customHeight="1" x14ac:dyDescent="0.4">
      <c r="B20321" t="s">
        <v>7</v>
      </c>
      <c r="C20321" t="s">
        <v>3285</v>
      </c>
      <c r="D20321" s="7">
        <f>DATE(2015,3,2)</f>
        <v>42065</v>
      </c>
      <c r="E20321" s="8">
        <f t="shared" si="333"/>
        <v>2015</v>
      </c>
      <c r="F20321" t="s">
        <v>3286</v>
      </c>
      <c r="G20321" s="9">
        <v>21364.53</v>
      </c>
      <c r="H20321" s="8">
        <v>384</v>
      </c>
    </row>
    <row r="20322" spans="2:8" ht="15" customHeight="1" x14ac:dyDescent="0.4">
      <c r="B20322" s="3" t="s">
        <v>7</v>
      </c>
      <c r="C20322" s="3" t="s">
        <v>3287</v>
      </c>
      <c r="D20322" s="4">
        <f>DATE(2007,3,7)</f>
        <v>39148</v>
      </c>
      <c r="E20322" s="5">
        <f t="shared" si="333"/>
        <v>2007</v>
      </c>
      <c r="F20322" s="3" t="s">
        <v>3288</v>
      </c>
      <c r="G20322" s="6">
        <v>4196.12</v>
      </c>
      <c r="H20322" s="5">
        <v>2109</v>
      </c>
    </row>
    <row r="20323" spans="2:8" ht="15" customHeight="1" x14ac:dyDescent="0.4">
      <c r="B20323" s="3" t="s">
        <v>7</v>
      </c>
      <c r="C20323" s="3" t="s">
        <v>3287</v>
      </c>
      <c r="D20323" s="4">
        <f>DATE(2007,5,2)</f>
        <v>39204</v>
      </c>
      <c r="E20323" s="5">
        <f t="shared" si="333"/>
        <v>2007</v>
      </c>
      <c r="F20323" s="3" t="s">
        <v>3288</v>
      </c>
      <c r="G20323" s="6">
        <v>5412.5</v>
      </c>
      <c r="H20323" s="5">
        <v>2232</v>
      </c>
    </row>
    <row r="20324" spans="2:8" ht="15" customHeight="1" x14ac:dyDescent="0.4">
      <c r="B20324" t="s">
        <v>7</v>
      </c>
      <c r="C20324" t="s">
        <v>3289</v>
      </c>
      <c r="D20324" s="7">
        <f>DATE(2018,6,1)</f>
        <v>43252</v>
      </c>
      <c r="E20324" s="8">
        <f t="shared" si="333"/>
        <v>2018</v>
      </c>
      <c r="F20324" t="s">
        <v>3290</v>
      </c>
      <c r="G20324" s="9">
        <v>6810</v>
      </c>
      <c r="H20324" s="8">
        <v>27099</v>
      </c>
    </row>
    <row r="20325" spans="2:8" ht="15" customHeight="1" x14ac:dyDescent="0.4">
      <c r="B20325" t="s">
        <v>7</v>
      </c>
      <c r="C20325" t="s">
        <v>3289</v>
      </c>
      <c r="D20325" s="7">
        <f>DATE(2018,6,28)</f>
        <v>43279</v>
      </c>
      <c r="E20325" s="8">
        <f t="shared" si="333"/>
        <v>2018</v>
      </c>
      <c r="F20325" t="s">
        <v>3290</v>
      </c>
      <c r="G20325" s="9">
        <v>20761.25</v>
      </c>
      <c r="H20325" s="8">
        <v>27197</v>
      </c>
    </row>
    <row r="20326" spans="2:8" ht="15" customHeight="1" x14ac:dyDescent="0.4">
      <c r="B20326" t="s">
        <v>7</v>
      </c>
      <c r="C20326" t="s">
        <v>3289</v>
      </c>
      <c r="D20326" s="7">
        <f>DATE(2019,2,12)</f>
        <v>43508</v>
      </c>
      <c r="E20326" s="8">
        <f t="shared" si="333"/>
        <v>2019</v>
      </c>
      <c r="F20326" t="s">
        <v>3290</v>
      </c>
      <c r="G20326" s="9">
        <v>7150.28</v>
      </c>
      <c r="H20326" s="8">
        <v>28371</v>
      </c>
    </row>
    <row r="20327" spans="2:8" ht="15" customHeight="1" x14ac:dyDescent="0.4">
      <c r="B20327" t="s">
        <v>7</v>
      </c>
      <c r="C20327" t="s">
        <v>3289</v>
      </c>
      <c r="D20327" s="7">
        <f>DATE(2019,2,12)</f>
        <v>43508</v>
      </c>
      <c r="E20327" s="8">
        <f t="shared" si="333"/>
        <v>2019</v>
      </c>
      <c r="F20327" t="s">
        <v>3290</v>
      </c>
      <c r="G20327" s="9">
        <v>2992.58</v>
      </c>
      <c r="H20327" s="8">
        <v>28408</v>
      </c>
    </row>
    <row r="20328" spans="2:8" ht="15" customHeight="1" x14ac:dyDescent="0.4">
      <c r="B20328" t="s">
        <v>16</v>
      </c>
      <c r="C20328" t="s">
        <v>3289</v>
      </c>
      <c r="D20328" s="7">
        <f>DATE(2019,1,31)</f>
        <v>43496</v>
      </c>
      <c r="E20328" s="8">
        <f t="shared" si="333"/>
        <v>2019</v>
      </c>
      <c r="F20328" t="s">
        <v>3290</v>
      </c>
      <c r="G20328" s="9">
        <v>5000</v>
      </c>
      <c r="H20328" s="8">
        <v>28353</v>
      </c>
    </row>
    <row r="20329" spans="2:8" ht="15" customHeight="1" x14ac:dyDescent="0.4">
      <c r="B20329" t="s">
        <v>16</v>
      </c>
      <c r="C20329" t="s">
        <v>3289</v>
      </c>
      <c r="D20329" s="7">
        <f>DATE(2019,3,22)</f>
        <v>43546</v>
      </c>
      <c r="E20329" s="8">
        <f t="shared" si="333"/>
        <v>2019</v>
      </c>
      <c r="F20329" t="s">
        <v>3290</v>
      </c>
      <c r="G20329" s="9">
        <v>5380.63</v>
      </c>
      <c r="H20329" s="8">
        <v>28696</v>
      </c>
    </row>
    <row r="20330" spans="2:8" ht="15" customHeight="1" x14ac:dyDescent="0.4">
      <c r="B20330" t="s">
        <v>7</v>
      </c>
      <c r="C20330" t="s">
        <v>3291</v>
      </c>
      <c r="D20330" s="7">
        <f>DATE(2016,10,10)</f>
        <v>42653</v>
      </c>
      <c r="E20330" s="8">
        <f t="shared" si="333"/>
        <v>2016</v>
      </c>
      <c r="F20330" t="s">
        <v>3292</v>
      </c>
      <c r="G20330" s="9">
        <v>333053.19</v>
      </c>
      <c r="H20330" s="8">
        <v>23123</v>
      </c>
    </row>
    <row r="20331" spans="2:8" ht="15" customHeight="1" x14ac:dyDescent="0.4">
      <c r="B20331" t="s">
        <v>7</v>
      </c>
      <c r="C20331" t="s">
        <v>3291</v>
      </c>
      <c r="D20331" s="7">
        <f>DATE(2016,10,24)</f>
        <v>42667</v>
      </c>
      <c r="E20331" s="8">
        <f t="shared" si="333"/>
        <v>2016</v>
      </c>
      <c r="F20331" t="s">
        <v>3292</v>
      </c>
      <c r="G20331" s="9">
        <v>25337.69</v>
      </c>
      <c r="H20331" s="8">
        <v>22869</v>
      </c>
    </row>
    <row r="20332" spans="2:8" ht="15" customHeight="1" x14ac:dyDescent="0.4">
      <c r="B20332" t="s">
        <v>7</v>
      </c>
      <c r="C20332" t="s">
        <v>3291</v>
      </c>
      <c r="D20332" s="7">
        <f>DATE(2016,10,20)</f>
        <v>42663</v>
      </c>
      <c r="E20332" s="8">
        <f t="shared" si="333"/>
        <v>2016</v>
      </c>
      <c r="F20332" t="s">
        <v>3292</v>
      </c>
      <c r="G20332" s="9">
        <v>13725.93</v>
      </c>
      <c r="H20332" s="8">
        <v>23660</v>
      </c>
    </row>
    <row r="20333" spans="2:8" ht="15" customHeight="1" x14ac:dyDescent="0.4">
      <c r="B20333" t="s">
        <v>7</v>
      </c>
      <c r="C20333" t="s">
        <v>3291</v>
      </c>
      <c r="D20333" s="7">
        <f>DATE(2010,12,16)</f>
        <v>40528</v>
      </c>
      <c r="E20333" s="8">
        <f t="shared" si="333"/>
        <v>2010</v>
      </c>
      <c r="F20333" t="s">
        <v>3292</v>
      </c>
      <c r="G20333" s="9">
        <v>45991.38</v>
      </c>
      <c r="H20333" s="8">
        <v>10237</v>
      </c>
    </row>
    <row r="20334" spans="2:8" ht="15" customHeight="1" x14ac:dyDescent="0.4">
      <c r="B20334" t="s">
        <v>7</v>
      </c>
      <c r="C20334" t="s">
        <v>3291</v>
      </c>
      <c r="D20334" s="7">
        <f>DATE(2012,12,18)</f>
        <v>41261</v>
      </c>
      <c r="E20334" s="8">
        <f t="shared" si="333"/>
        <v>2012</v>
      </c>
      <c r="F20334" t="s">
        <v>3292</v>
      </c>
      <c r="G20334" s="9">
        <v>31000</v>
      </c>
      <c r="H20334" s="8">
        <v>11641</v>
      </c>
    </row>
    <row r="20335" spans="2:8" ht="15" customHeight="1" x14ac:dyDescent="0.4">
      <c r="B20335" t="s">
        <v>7</v>
      </c>
      <c r="C20335" t="s">
        <v>3291</v>
      </c>
      <c r="D20335" s="7">
        <f>DATE(2014,10,16)</f>
        <v>41928</v>
      </c>
      <c r="E20335" s="8">
        <f t="shared" si="333"/>
        <v>2014</v>
      </c>
      <c r="F20335" t="s">
        <v>3292</v>
      </c>
      <c r="G20335" s="9">
        <v>23461.95</v>
      </c>
      <c r="H20335" s="8">
        <v>13111</v>
      </c>
    </row>
    <row r="20336" spans="2:8" ht="15" customHeight="1" x14ac:dyDescent="0.4">
      <c r="B20336" t="s">
        <v>7</v>
      </c>
      <c r="C20336" t="s">
        <v>3291</v>
      </c>
      <c r="D20336" s="7">
        <f>DATE(2008,11,1)</f>
        <v>39753</v>
      </c>
      <c r="E20336" s="8">
        <f t="shared" si="333"/>
        <v>2008</v>
      </c>
      <c r="F20336" t="s">
        <v>3292</v>
      </c>
      <c r="G20336" s="9">
        <v>129851.58</v>
      </c>
      <c r="H20336" s="8">
        <v>7936</v>
      </c>
    </row>
    <row r="20337" spans="2:8" ht="15" customHeight="1" x14ac:dyDescent="0.4">
      <c r="B20337" t="s">
        <v>7</v>
      </c>
      <c r="C20337" t="s">
        <v>3291</v>
      </c>
      <c r="D20337" s="7">
        <f>DATE(2010,10,15)</f>
        <v>40466</v>
      </c>
      <c r="E20337" s="8">
        <f t="shared" si="333"/>
        <v>2010</v>
      </c>
      <c r="F20337" t="s">
        <v>3292</v>
      </c>
      <c r="G20337" s="9">
        <v>24257.97</v>
      </c>
      <c r="H20337" s="8">
        <v>9930</v>
      </c>
    </row>
    <row r="20338" spans="2:8" ht="15" customHeight="1" x14ac:dyDescent="0.4">
      <c r="B20338" t="s">
        <v>7</v>
      </c>
      <c r="C20338" t="s">
        <v>3291</v>
      </c>
      <c r="D20338" s="7">
        <f>DATE(2010,12,16)</f>
        <v>40528</v>
      </c>
      <c r="E20338" s="8">
        <f t="shared" si="333"/>
        <v>2010</v>
      </c>
      <c r="F20338" t="s">
        <v>3292</v>
      </c>
      <c r="G20338" s="9">
        <v>175943.94</v>
      </c>
      <c r="H20338" s="8">
        <v>10216</v>
      </c>
    </row>
    <row r="20339" spans="2:8" ht="15" customHeight="1" x14ac:dyDescent="0.4">
      <c r="B20339" t="s">
        <v>7</v>
      </c>
      <c r="C20339" t="s">
        <v>3291</v>
      </c>
      <c r="D20339" s="7">
        <f>DATE(2012,12,2)</f>
        <v>41245</v>
      </c>
      <c r="E20339" s="8">
        <f t="shared" si="333"/>
        <v>2012</v>
      </c>
      <c r="F20339" t="s">
        <v>3292</v>
      </c>
      <c r="G20339" s="9">
        <v>158941.32999999999</v>
      </c>
      <c r="H20339" s="8">
        <v>11882</v>
      </c>
    </row>
    <row r="20340" spans="2:8" ht="15" customHeight="1" x14ac:dyDescent="0.4">
      <c r="B20340" t="s">
        <v>7</v>
      </c>
      <c r="C20340" t="s">
        <v>3291</v>
      </c>
      <c r="D20340" s="7">
        <f>DATE(2014,10,8)</f>
        <v>41920</v>
      </c>
      <c r="E20340" s="8">
        <f t="shared" si="333"/>
        <v>2014</v>
      </c>
      <c r="F20340" t="s">
        <v>3292</v>
      </c>
      <c r="G20340" s="9">
        <v>246573.74</v>
      </c>
      <c r="H20340" s="8">
        <v>13248</v>
      </c>
    </row>
    <row r="20341" spans="2:8" ht="15" customHeight="1" x14ac:dyDescent="0.4">
      <c r="B20341" t="s">
        <v>7</v>
      </c>
      <c r="C20341" t="s">
        <v>3291</v>
      </c>
      <c r="D20341" s="7">
        <f>DATE(2011,1,11)</f>
        <v>40554</v>
      </c>
      <c r="E20341" s="8">
        <f t="shared" si="333"/>
        <v>2011</v>
      </c>
      <c r="F20341" t="s">
        <v>3292</v>
      </c>
      <c r="G20341" s="9">
        <v>21110.13</v>
      </c>
      <c r="H20341" s="8">
        <v>10330</v>
      </c>
    </row>
    <row r="20342" spans="2:8" ht="15" customHeight="1" x14ac:dyDescent="0.4">
      <c r="B20342" t="s">
        <v>7</v>
      </c>
      <c r="C20342" t="s">
        <v>3291</v>
      </c>
      <c r="D20342" s="7">
        <f>DATE(2011,1,27)</f>
        <v>40570</v>
      </c>
      <c r="E20342" s="8">
        <f t="shared" si="333"/>
        <v>2011</v>
      </c>
      <c r="F20342" t="s">
        <v>3292</v>
      </c>
      <c r="G20342" s="9">
        <v>10957.65</v>
      </c>
      <c r="H20342" s="8">
        <v>10342</v>
      </c>
    </row>
    <row r="20343" spans="2:8" ht="15" customHeight="1" x14ac:dyDescent="0.4">
      <c r="B20343" t="s">
        <v>7</v>
      </c>
      <c r="C20343" t="s">
        <v>3291</v>
      </c>
      <c r="D20343" s="7">
        <f>DATE(2011,3,2)</f>
        <v>40604</v>
      </c>
      <c r="E20343" s="8">
        <f t="shared" si="333"/>
        <v>2011</v>
      </c>
      <c r="F20343" t="s">
        <v>3292</v>
      </c>
      <c r="G20343" s="9">
        <v>15631.84</v>
      </c>
      <c r="H20343" s="8">
        <v>10477</v>
      </c>
    </row>
    <row r="20344" spans="2:8" ht="15" customHeight="1" x14ac:dyDescent="0.4">
      <c r="B20344" t="s">
        <v>7</v>
      </c>
      <c r="C20344" t="s">
        <v>3291</v>
      </c>
      <c r="D20344" s="7">
        <f>DATE(2013,1,7)</f>
        <v>41281</v>
      </c>
      <c r="E20344" s="8">
        <f t="shared" si="333"/>
        <v>2013</v>
      </c>
      <c r="F20344" t="s">
        <v>3292</v>
      </c>
      <c r="G20344" s="9">
        <v>7052.99</v>
      </c>
      <c r="H20344" s="8">
        <v>12061</v>
      </c>
    </row>
    <row r="20345" spans="2:8" ht="15" customHeight="1" x14ac:dyDescent="0.4">
      <c r="B20345" t="s">
        <v>7</v>
      </c>
      <c r="C20345" t="s">
        <v>3291</v>
      </c>
      <c r="D20345" s="7">
        <f>DATE(2013,1,7)</f>
        <v>41281</v>
      </c>
      <c r="E20345" s="8">
        <f t="shared" si="333"/>
        <v>2013</v>
      </c>
      <c r="F20345" t="s">
        <v>3292</v>
      </c>
      <c r="G20345" s="9">
        <v>57217.58</v>
      </c>
      <c r="H20345" s="8">
        <v>12040</v>
      </c>
    </row>
    <row r="20346" spans="2:8" ht="15" customHeight="1" x14ac:dyDescent="0.4">
      <c r="B20346" t="s">
        <v>7</v>
      </c>
      <c r="C20346" t="s">
        <v>3291</v>
      </c>
      <c r="D20346" s="7">
        <f>DATE(2013,1,16)</f>
        <v>41290</v>
      </c>
      <c r="E20346" s="8">
        <f t="shared" si="333"/>
        <v>2013</v>
      </c>
      <c r="F20346" t="s">
        <v>3292</v>
      </c>
      <c r="G20346" s="9">
        <v>8825.8799999999992</v>
      </c>
      <c r="H20346" s="8">
        <v>12091</v>
      </c>
    </row>
    <row r="20347" spans="2:8" ht="15" customHeight="1" x14ac:dyDescent="0.4">
      <c r="B20347" t="s">
        <v>7</v>
      </c>
      <c r="C20347" t="s">
        <v>3291</v>
      </c>
      <c r="D20347" s="7">
        <f>DATE(2013,3,13)</f>
        <v>41346</v>
      </c>
      <c r="E20347" s="8">
        <f t="shared" si="333"/>
        <v>2013</v>
      </c>
      <c r="F20347" t="s">
        <v>3292</v>
      </c>
      <c r="G20347" s="9">
        <v>54415.49</v>
      </c>
      <c r="H20347" s="8">
        <v>12182</v>
      </c>
    </row>
    <row r="20348" spans="2:8" ht="15" customHeight="1" x14ac:dyDescent="0.4">
      <c r="B20348" t="s">
        <v>7</v>
      </c>
      <c r="C20348" t="s">
        <v>3291</v>
      </c>
      <c r="D20348" s="7">
        <f>DATE(2013,11,8)</f>
        <v>41586</v>
      </c>
      <c r="E20348" s="8">
        <f t="shared" si="333"/>
        <v>2013</v>
      </c>
      <c r="F20348" t="s">
        <v>3292</v>
      </c>
      <c r="G20348" s="9">
        <v>12635.5</v>
      </c>
      <c r="H20348" s="8">
        <v>12715</v>
      </c>
    </row>
    <row r="20349" spans="2:8" ht="15" customHeight="1" x14ac:dyDescent="0.4">
      <c r="B20349" t="s">
        <v>7</v>
      </c>
      <c r="C20349" t="s">
        <v>3291</v>
      </c>
      <c r="D20349" s="7">
        <f>DATE(2013,12,9)</f>
        <v>41617</v>
      </c>
      <c r="E20349" s="8">
        <f t="shared" si="333"/>
        <v>2013</v>
      </c>
      <c r="F20349" t="s">
        <v>3292</v>
      </c>
      <c r="G20349" s="9">
        <v>28419.75</v>
      </c>
      <c r="H20349" s="8">
        <v>12804</v>
      </c>
    </row>
    <row r="20350" spans="2:8" ht="15" customHeight="1" x14ac:dyDescent="0.4">
      <c r="B20350" t="s">
        <v>7</v>
      </c>
      <c r="C20350" t="s">
        <v>3291</v>
      </c>
      <c r="D20350" s="7">
        <f>DATE(2014,1,7)</f>
        <v>41646</v>
      </c>
      <c r="E20350" s="8">
        <f t="shared" si="333"/>
        <v>2014</v>
      </c>
      <c r="F20350" t="s">
        <v>3292</v>
      </c>
      <c r="G20350" s="9">
        <v>12064.16</v>
      </c>
      <c r="H20350" s="8">
        <v>12845</v>
      </c>
    </row>
    <row r="20351" spans="2:8" ht="15" customHeight="1" x14ac:dyDescent="0.4">
      <c r="B20351" t="s">
        <v>7</v>
      </c>
      <c r="C20351" t="s">
        <v>3291</v>
      </c>
      <c r="D20351" s="7">
        <f>DATE(2014,8,8)</f>
        <v>41859</v>
      </c>
      <c r="E20351" s="8">
        <f t="shared" si="333"/>
        <v>2014</v>
      </c>
      <c r="F20351" t="s">
        <v>3292</v>
      </c>
      <c r="G20351" s="9">
        <v>4020.72</v>
      </c>
      <c r="H20351" s="8">
        <v>13332</v>
      </c>
    </row>
    <row r="20352" spans="2:8" ht="15" customHeight="1" x14ac:dyDescent="0.4">
      <c r="B20352" t="s">
        <v>7</v>
      </c>
      <c r="C20352" t="s">
        <v>3291</v>
      </c>
      <c r="D20352" s="7">
        <f>DATE(2014,11,5)</f>
        <v>41948</v>
      </c>
      <c r="E20352" s="8">
        <f t="shared" si="333"/>
        <v>2014</v>
      </c>
      <c r="F20352" t="s">
        <v>3292</v>
      </c>
      <c r="G20352" s="9">
        <v>2686.12</v>
      </c>
      <c r="H20352" s="8">
        <v>13462</v>
      </c>
    </row>
    <row r="20353" spans="2:8" ht="15" customHeight="1" x14ac:dyDescent="0.4">
      <c r="B20353" s="3" t="s">
        <v>7</v>
      </c>
      <c r="C20353" s="3" t="s">
        <v>3291</v>
      </c>
      <c r="D20353" s="4">
        <f>DATE(2008,11,1)</f>
        <v>39753</v>
      </c>
      <c r="E20353" s="5">
        <f t="shared" si="333"/>
        <v>2008</v>
      </c>
      <c r="F20353" s="3" t="s">
        <v>3292</v>
      </c>
      <c r="G20353" s="6">
        <v>30733</v>
      </c>
      <c r="H20353" s="5">
        <v>11378</v>
      </c>
    </row>
    <row r="20354" spans="2:8" ht="15" customHeight="1" x14ac:dyDescent="0.4">
      <c r="B20354" s="3" t="s">
        <v>7</v>
      </c>
      <c r="C20354" s="3" t="s">
        <v>3291</v>
      </c>
      <c r="D20354" s="4">
        <f>DATE(2010,12,16)</f>
        <v>40528</v>
      </c>
      <c r="E20354" s="5">
        <f t="shared" si="333"/>
        <v>2010</v>
      </c>
      <c r="F20354" s="3" t="s">
        <v>3292</v>
      </c>
      <c r="G20354" s="6">
        <v>31575</v>
      </c>
      <c r="H20354" s="5">
        <v>14770</v>
      </c>
    </row>
    <row r="20355" spans="2:8" ht="15" customHeight="1" x14ac:dyDescent="0.4">
      <c r="B20355" s="3" t="s">
        <v>7</v>
      </c>
      <c r="C20355" s="3" t="s">
        <v>3291</v>
      </c>
      <c r="D20355" s="4">
        <f>DATE(2012,11,13)</f>
        <v>41226</v>
      </c>
      <c r="E20355" s="5">
        <f t="shared" ref="E20355:E20418" si="334">YEAR(D20355)</f>
        <v>2012</v>
      </c>
      <c r="F20355" s="3" t="s">
        <v>3292</v>
      </c>
      <c r="G20355" s="6">
        <v>33375</v>
      </c>
      <c r="H20355" s="5">
        <v>17627</v>
      </c>
    </row>
    <row r="20356" spans="2:8" ht="15" customHeight="1" x14ac:dyDescent="0.4">
      <c r="B20356" s="3" t="s">
        <v>7</v>
      </c>
      <c r="C20356" s="3" t="s">
        <v>3291</v>
      </c>
      <c r="D20356" s="4">
        <f>DATE(2014,10,8)</f>
        <v>41920</v>
      </c>
      <c r="E20356" s="5">
        <f t="shared" si="334"/>
        <v>2014</v>
      </c>
      <c r="F20356" s="3" t="s">
        <v>3292</v>
      </c>
      <c r="G20356" s="6">
        <v>35785</v>
      </c>
      <c r="H20356" s="5">
        <v>20313</v>
      </c>
    </row>
    <row r="20357" spans="2:8" ht="15" customHeight="1" x14ac:dyDescent="0.4">
      <c r="B20357" t="s">
        <v>7</v>
      </c>
      <c r="C20357" t="s">
        <v>3291</v>
      </c>
      <c r="D20357" s="7">
        <f>DATE(2003,3,30)</f>
        <v>37710</v>
      </c>
      <c r="E20357" s="8">
        <f t="shared" si="334"/>
        <v>2003</v>
      </c>
      <c r="F20357" t="s">
        <v>3293</v>
      </c>
      <c r="G20357" s="9">
        <v>30122.959999999999</v>
      </c>
      <c r="H20357" s="8">
        <v>345</v>
      </c>
    </row>
    <row r="20358" spans="2:8" ht="15" customHeight="1" x14ac:dyDescent="0.4">
      <c r="B20358" t="s">
        <v>7</v>
      </c>
      <c r="C20358" t="s">
        <v>3291</v>
      </c>
      <c r="D20358" s="7">
        <f>DATE(2006,11,1)</f>
        <v>39022</v>
      </c>
      <c r="E20358" s="8">
        <f t="shared" si="334"/>
        <v>2006</v>
      </c>
      <c r="F20358" t="s">
        <v>3293</v>
      </c>
      <c r="G20358" s="9">
        <v>182807.45</v>
      </c>
      <c r="H20358" s="8">
        <v>4692</v>
      </c>
    </row>
    <row r="20359" spans="2:8" ht="15" customHeight="1" x14ac:dyDescent="0.4">
      <c r="B20359" t="s">
        <v>7</v>
      </c>
      <c r="C20359" t="s">
        <v>3291</v>
      </c>
      <c r="D20359" s="7">
        <f>DATE(2014,7,22)</f>
        <v>41842</v>
      </c>
      <c r="E20359" s="8">
        <f t="shared" si="334"/>
        <v>2014</v>
      </c>
      <c r="F20359" t="s">
        <v>3293</v>
      </c>
      <c r="G20359" s="9">
        <v>5994.05</v>
      </c>
      <c r="H20359" s="8">
        <v>13338</v>
      </c>
    </row>
    <row r="20360" spans="2:8" ht="15" customHeight="1" x14ac:dyDescent="0.4">
      <c r="B20360" s="3" t="s">
        <v>7</v>
      </c>
      <c r="C20360" s="3" t="s">
        <v>3291</v>
      </c>
      <c r="D20360" s="4">
        <f>DATE(2006,9,18)</f>
        <v>38978</v>
      </c>
      <c r="E20360" s="5">
        <f t="shared" si="334"/>
        <v>2006</v>
      </c>
      <c r="F20360" s="3" t="s">
        <v>3293</v>
      </c>
      <c r="G20360" s="6">
        <v>31678.12</v>
      </c>
      <c r="H20360" s="5">
        <v>7069</v>
      </c>
    </row>
    <row r="20361" spans="2:8" ht="15" customHeight="1" x14ac:dyDescent="0.4">
      <c r="B20361" s="3" t="s">
        <v>7</v>
      </c>
      <c r="C20361" s="3" t="s">
        <v>3294</v>
      </c>
      <c r="D20361" s="4">
        <f>DATE(2003,4,4)</f>
        <v>37715</v>
      </c>
      <c r="E20361" s="5">
        <f t="shared" si="334"/>
        <v>2003</v>
      </c>
      <c r="F20361" s="3" t="s">
        <v>3295</v>
      </c>
      <c r="G20361" s="6">
        <v>362</v>
      </c>
      <c r="H20361" s="5">
        <v>690</v>
      </c>
    </row>
    <row r="20362" spans="2:8" ht="15" customHeight="1" x14ac:dyDescent="0.4">
      <c r="B20362" s="3" t="s">
        <v>7</v>
      </c>
      <c r="C20362" s="3" t="s">
        <v>3294</v>
      </c>
      <c r="D20362" s="4">
        <f>DATE(2003,6,17)</f>
        <v>37789</v>
      </c>
      <c r="E20362" s="5">
        <f t="shared" si="334"/>
        <v>2003</v>
      </c>
      <c r="F20362" s="3" t="s">
        <v>3295</v>
      </c>
      <c r="G20362" s="6">
        <v>9000</v>
      </c>
      <c r="H20362" s="5">
        <v>1064</v>
      </c>
    </row>
    <row r="20363" spans="2:8" ht="15" customHeight="1" x14ac:dyDescent="0.4">
      <c r="B20363" s="3" t="s">
        <v>7</v>
      </c>
      <c r="C20363" s="3" t="s">
        <v>3294</v>
      </c>
      <c r="D20363" s="4">
        <f>DATE(2003,10,9)</f>
        <v>37903</v>
      </c>
      <c r="E20363" s="5">
        <f t="shared" si="334"/>
        <v>2003</v>
      </c>
      <c r="F20363" s="3" t="s">
        <v>3295</v>
      </c>
      <c r="G20363" s="6">
        <v>6480</v>
      </c>
      <c r="H20363" s="5">
        <v>1630</v>
      </c>
    </row>
    <row r="20364" spans="2:8" ht="15" customHeight="1" x14ac:dyDescent="0.4">
      <c r="B20364" s="3" t="s">
        <v>7</v>
      </c>
      <c r="C20364" s="3" t="s">
        <v>3294</v>
      </c>
      <c r="D20364" s="4">
        <f>DATE(2003,10,13)</f>
        <v>37907</v>
      </c>
      <c r="E20364" s="5">
        <f t="shared" si="334"/>
        <v>2003</v>
      </c>
      <c r="F20364" s="3" t="s">
        <v>3295</v>
      </c>
      <c r="G20364" s="6">
        <v>1086</v>
      </c>
      <c r="H20364" s="5">
        <v>1639</v>
      </c>
    </row>
    <row r="20365" spans="2:8" ht="15" customHeight="1" x14ac:dyDescent="0.4">
      <c r="B20365" s="3" t="s">
        <v>7</v>
      </c>
      <c r="C20365" s="3" t="s">
        <v>3294</v>
      </c>
      <c r="D20365" s="4">
        <f>DATE(2003,10,22)</f>
        <v>37916</v>
      </c>
      <c r="E20365" s="5">
        <f t="shared" si="334"/>
        <v>2003</v>
      </c>
      <c r="F20365" s="3" t="s">
        <v>3295</v>
      </c>
      <c r="G20365" s="6">
        <v>3620</v>
      </c>
      <c r="H20365" s="5">
        <v>1671</v>
      </c>
    </row>
    <row r="20366" spans="2:8" ht="15" customHeight="1" x14ac:dyDescent="0.4">
      <c r="B20366" s="3" t="s">
        <v>7</v>
      </c>
      <c r="C20366" s="3" t="s">
        <v>3294</v>
      </c>
      <c r="D20366" s="4">
        <f>DATE(2003,12,22)</f>
        <v>37977</v>
      </c>
      <c r="E20366" s="5">
        <f t="shared" si="334"/>
        <v>2003</v>
      </c>
      <c r="F20366" s="3" t="s">
        <v>3295</v>
      </c>
      <c r="G20366" s="6">
        <v>362</v>
      </c>
      <c r="H20366" s="5">
        <v>1919</v>
      </c>
    </row>
    <row r="20367" spans="2:8" ht="15" customHeight="1" x14ac:dyDescent="0.4">
      <c r="B20367" s="3" t="s">
        <v>7</v>
      </c>
      <c r="C20367" s="3" t="s">
        <v>3296</v>
      </c>
      <c r="D20367" s="4">
        <f>DATE(2008,4,14)</f>
        <v>39552</v>
      </c>
      <c r="E20367" s="5">
        <f t="shared" si="334"/>
        <v>2008</v>
      </c>
      <c r="F20367" s="3" t="s">
        <v>3297</v>
      </c>
      <c r="G20367" s="6">
        <v>375.2</v>
      </c>
      <c r="H20367" s="5">
        <v>10274</v>
      </c>
    </row>
    <row r="20368" spans="2:8" ht="15" customHeight="1" x14ac:dyDescent="0.4">
      <c r="B20368" t="s">
        <v>7</v>
      </c>
      <c r="C20368" t="s">
        <v>3298</v>
      </c>
      <c r="D20368" s="7">
        <f>DATE(2015,6,17)</f>
        <v>42172</v>
      </c>
      <c r="E20368" s="8">
        <f t="shared" si="334"/>
        <v>2015</v>
      </c>
      <c r="F20368" t="s">
        <v>3299</v>
      </c>
      <c r="G20368" s="9">
        <v>241.5</v>
      </c>
      <c r="H20368" s="8">
        <v>20741</v>
      </c>
    </row>
    <row r="20369" spans="2:8" ht="15" customHeight="1" x14ac:dyDescent="0.4">
      <c r="B20369" t="s">
        <v>7</v>
      </c>
      <c r="C20369" t="s">
        <v>3298</v>
      </c>
      <c r="D20369" s="7">
        <f>DATE(2015,6,17)</f>
        <v>42172</v>
      </c>
      <c r="E20369" s="8">
        <f t="shared" si="334"/>
        <v>2015</v>
      </c>
      <c r="F20369" t="s">
        <v>3299</v>
      </c>
      <c r="G20369" s="9">
        <v>22350</v>
      </c>
      <c r="H20369" s="8">
        <v>20659</v>
      </c>
    </row>
    <row r="20370" spans="2:8" ht="15" customHeight="1" x14ac:dyDescent="0.4">
      <c r="B20370" t="s">
        <v>7</v>
      </c>
      <c r="C20370" t="s">
        <v>3298</v>
      </c>
      <c r="D20370" s="7">
        <f>DATE(2015,10,20)</f>
        <v>42297</v>
      </c>
      <c r="E20370" s="8">
        <f t="shared" si="334"/>
        <v>2015</v>
      </c>
      <c r="F20370" t="s">
        <v>3299</v>
      </c>
      <c r="G20370" s="9">
        <v>217.32</v>
      </c>
      <c r="H20370" s="8">
        <v>21444</v>
      </c>
    </row>
    <row r="20371" spans="2:8" ht="15" customHeight="1" x14ac:dyDescent="0.4">
      <c r="B20371" t="s">
        <v>7</v>
      </c>
      <c r="C20371" t="s">
        <v>1132</v>
      </c>
      <c r="D20371" s="7">
        <f>DATE(2017,10,2)</f>
        <v>43010</v>
      </c>
      <c r="E20371" s="8">
        <f t="shared" si="334"/>
        <v>2017</v>
      </c>
      <c r="F20371" t="s">
        <v>3300</v>
      </c>
      <c r="G20371" s="9">
        <v>13010.46</v>
      </c>
      <c r="H20371" s="8">
        <v>25631</v>
      </c>
    </row>
    <row r="20372" spans="2:8" ht="15" customHeight="1" x14ac:dyDescent="0.4">
      <c r="B20372" t="s">
        <v>7</v>
      </c>
      <c r="C20372" t="s">
        <v>1132</v>
      </c>
      <c r="D20372" s="7">
        <f>DATE(2017,10,29)</f>
        <v>43037</v>
      </c>
      <c r="E20372" s="8">
        <f t="shared" si="334"/>
        <v>2017</v>
      </c>
      <c r="F20372" t="s">
        <v>3300</v>
      </c>
      <c r="G20372" s="9">
        <v>13010.46</v>
      </c>
      <c r="H20372" s="8">
        <v>25665</v>
      </c>
    </row>
    <row r="20373" spans="2:8" ht="15" customHeight="1" x14ac:dyDescent="0.4">
      <c r="B20373" t="s">
        <v>7</v>
      </c>
      <c r="C20373" t="s">
        <v>3301</v>
      </c>
      <c r="D20373" s="7">
        <f>DATE(2007,1,24)</f>
        <v>39106</v>
      </c>
      <c r="E20373" s="8">
        <f t="shared" si="334"/>
        <v>2007</v>
      </c>
      <c r="F20373" t="s">
        <v>3302</v>
      </c>
      <c r="G20373" s="9">
        <v>5500</v>
      </c>
      <c r="H20373" s="8">
        <v>5412</v>
      </c>
    </row>
    <row r="20374" spans="2:8" ht="15" customHeight="1" x14ac:dyDescent="0.4">
      <c r="B20374" t="s">
        <v>7</v>
      </c>
      <c r="C20374" t="s">
        <v>3301</v>
      </c>
      <c r="D20374" s="7">
        <f>DATE(2007,1,22)</f>
        <v>39104</v>
      </c>
      <c r="E20374" s="8">
        <f t="shared" si="334"/>
        <v>2007</v>
      </c>
      <c r="F20374" t="s">
        <v>3302</v>
      </c>
      <c r="G20374" s="9">
        <v>5500</v>
      </c>
      <c r="H20374" s="8">
        <v>5411</v>
      </c>
    </row>
    <row r="20375" spans="2:8" ht="15" customHeight="1" x14ac:dyDescent="0.4">
      <c r="B20375" t="s">
        <v>7</v>
      </c>
      <c r="C20375" t="s">
        <v>3303</v>
      </c>
      <c r="D20375" s="7">
        <f>DATE(2005,3,11)</f>
        <v>38422</v>
      </c>
      <c r="E20375" s="8">
        <f t="shared" si="334"/>
        <v>2005</v>
      </c>
      <c r="F20375" t="s">
        <v>3304</v>
      </c>
      <c r="G20375" s="9">
        <v>6153.73</v>
      </c>
      <c r="H20375" s="8">
        <v>2971</v>
      </c>
    </row>
    <row r="20376" spans="2:8" ht="15" customHeight="1" x14ac:dyDescent="0.4">
      <c r="B20376" s="3" t="s">
        <v>7</v>
      </c>
      <c r="C20376" s="3" t="s">
        <v>3303</v>
      </c>
      <c r="D20376" s="4">
        <f>DATE(2003,2,28)</f>
        <v>37680</v>
      </c>
      <c r="E20376" s="5">
        <f t="shared" si="334"/>
        <v>2003</v>
      </c>
      <c r="F20376" s="3" t="s">
        <v>3304</v>
      </c>
      <c r="G20376" s="6">
        <v>3682.13</v>
      </c>
      <c r="H20376" s="5">
        <v>302</v>
      </c>
    </row>
    <row r="20377" spans="2:8" ht="15" customHeight="1" x14ac:dyDescent="0.4">
      <c r="B20377" s="3" t="s">
        <v>7</v>
      </c>
      <c r="C20377" s="3" t="s">
        <v>3303</v>
      </c>
      <c r="D20377" s="4">
        <f>DATE(2004,3,23)</f>
        <v>38069</v>
      </c>
      <c r="E20377" s="5">
        <f t="shared" si="334"/>
        <v>2004</v>
      </c>
      <c r="F20377" s="3" t="s">
        <v>3304</v>
      </c>
      <c r="G20377" s="6">
        <v>86</v>
      </c>
      <c r="H20377" s="5">
        <v>2458</v>
      </c>
    </row>
    <row r="20378" spans="2:8" ht="15" customHeight="1" x14ac:dyDescent="0.4">
      <c r="B20378" s="3" t="s">
        <v>7</v>
      </c>
      <c r="C20378" s="3" t="s">
        <v>3305</v>
      </c>
      <c r="D20378" s="4">
        <f>DATE(2003,3,19)</f>
        <v>37699</v>
      </c>
      <c r="E20378" s="5">
        <f t="shared" si="334"/>
        <v>2003</v>
      </c>
      <c r="F20378" s="3" t="s">
        <v>3306</v>
      </c>
      <c r="G20378" s="6">
        <v>273</v>
      </c>
      <c r="H20378" s="5">
        <v>506</v>
      </c>
    </row>
    <row r="20379" spans="2:8" ht="15" customHeight="1" x14ac:dyDescent="0.4">
      <c r="B20379" t="s">
        <v>7</v>
      </c>
      <c r="C20379" t="s">
        <v>3305</v>
      </c>
      <c r="D20379" s="7">
        <f>DATE(2018,2,23)</f>
        <v>43154</v>
      </c>
      <c r="E20379" s="8">
        <f t="shared" si="334"/>
        <v>2018</v>
      </c>
      <c r="F20379" t="s">
        <v>3307</v>
      </c>
      <c r="G20379" s="9">
        <v>13851.96</v>
      </c>
      <c r="H20379" s="8">
        <v>26062</v>
      </c>
    </row>
    <row r="20380" spans="2:8" ht="15" customHeight="1" x14ac:dyDescent="0.4">
      <c r="B20380" t="s">
        <v>7</v>
      </c>
      <c r="C20380" t="s">
        <v>3305</v>
      </c>
      <c r="D20380" s="7">
        <f>DATE(2017,11,1)</f>
        <v>43040</v>
      </c>
      <c r="E20380" s="8">
        <f t="shared" si="334"/>
        <v>2017</v>
      </c>
      <c r="F20380" t="s">
        <v>3307</v>
      </c>
      <c r="G20380" s="9">
        <v>11034.7</v>
      </c>
      <c r="H20380" s="8">
        <v>25743</v>
      </c>
    </row>
    <row r="20381" spans="2:8" ht="15" customHeight="1" x14ac:dyDescent="0.4">
      <c r="B20381" t="s">
        <v>7</v>
      </c>
      <c r="C20381" t="s">
        <v>3305</v>
      </c>
      <c r="D20381" s="7">
        <f>DATE(2018,10,5)</f>
        <v>43378</v>
      </c>
      <c r="E20381" s="8">
        <f t="shared" si="334"/>
        <v>2018</v>
      </c>
      <c r="F20381" t="s">
        <v>3307</v>
      </c>
      <c r="G20381" s="9">
        <v>5793.01</v>
      </c>
      <c r="H20381" s="8">
        <v>27686</v>
      </c>
    </row>
    <row r="20382" spans="2:8" ht="15" customHeight="1" x14ac:dyDescent="0.4">
      <c r="B20382" t="s">
        <v>7</v>
      </c>
      <c r="C20382" t="s">
        <v>3305</v>
      </c>
      <c r="D20382" s="7">
        <f>DATE(2011,11,21)</f>
        <v>40868</v>
      </c>
      <c r="E20382" s="8">
        <f t="shared" si="334"/>
        <v>2011</v>
      </c>
      <c r="F20382" t="s">
        <v>3307</v>
      </c>
      <c r="G20382" s="9">
        <v>1064</v>
      </c>
      <c r="H20382" s="8">
        <v>11103</v>
      </c>
    </row>
    <row r="20383" spans="2:8" ht="15" customHeight="1" x14ac:dyDescent="0.4">
      <c r="B20383" t="s">
        <v>7</v>
      </c>
      <c r="C20383" t="s">
        <v>3305</v>
      </c>
      <c r="D20383" s="7">
        <f>DATE(2007,11,9)</f>
        <v>39395</v>
      </c>
      <c r="E20383" s="8">
        <f t="shared" si="334"/>
        <v>2007</v>
      </c>
      <c r="F20383" t="s">
        <v>3307</v>
      </c>
      <c r="G20383" s="9">
        <v>9609.86</v>
      </c>
      <c r="H20383" s="8">
        <v>6570</v>
      </c>
    </row>
    <row r="20384" spans="2:8" ht="15" customHeight="1" x14ac:dyDescent="0.4">
      <c r="B20384" t="s">
        <v>7</v>
      </c>
      <c r="C20384" t="s">
        <v>3305</v>
      </c>
      <c r="D20384" s="7">
        <f>DATE(2007,11,21)</f>
        <v>39407</v>
      </c>
      <c r="E20384" s="8">
        <f t="shared" si="334"/>
        <v>2007</v>
      </c>
      <c r="F20384" t="s">
        <v>3307</v>
      </c>
      <c r="G20384" s="9">
        <v>5861.68</v>
      </c>
      <c r="H20384" s="8">
        <v>6606</v>
      </c>
    </row>
    <row r="20385" spans="2:8" ht="15" customHeight="1" x14ac:dyDescent="0.4">
      <c r="B20385" t="s">
        <v>7</v>
      </c>
      <c r="C20385" t="s">
        <v>3305</v>
      </c>
      <c r="D20385" s="7">
        <f>DATE(2007,12,5)</f>
        <v>39421</v>
      </c>
      <c r="E20385" s="8">
        <f t="shared" si="334"/>
        <v>2007</v>
      </c>
      <c r="F20385" t="s">
        <v>3307</v>
      </c>
      <c r="G20385" s="9">
        <v>5377.66</v>
      </c>
      <c r="H20385" s="8">
        <v>6656</v>
      </c>
    </row>
    <row r="20386" spans="2:8" ht="15" customHeight="1" x14ac:dyDescent="0.4">
      <c r="B20386" t="s">
        <v>7</v>
      </c>
      <c r="C20386" t="s">
        <v>3305</v>
      </c>
      <c r="D20386" s="7">
        <f>DATE(2009,8,27)</f>
        <v>40052</v>
      </c>
      <c r="E20386" s="8">
        <f t="shared" si="334"/>
        <v>2009</v>
      </c>
      <c r="F20386" t="s">
        <v>3307</v>
      </c>
      <c r="G20386" s="9">
        <v>5082.66</v>
      </c>
      <c r="H20386" s="8">
        <v>8963</v>
      </c>
    </row>
    <row r="20387" spans="2:8" ht="15" customHeight="1" x14ac:dyDescent="0.4">
      <c r="B20387" t="s">
        <v>7</v>
      </c>
      <c r="C20387" t="s">
        <v>3305</v>
      </c>
      <c r="D20387" s="7">
        <f>DATE(2010,12,9)</f>
        <v>40521</v>
      </c>
      <c r="E20387" s="8">
        <f t="shared" si="334"/>
        <v>2010</v>
      </c>
      <c r="F20387" t="s">
        <v>3307</v>
      </c>
      <c r="G20387" s="9">
        <v>5689.99</v>
      </c>
      <c r="H20387" s="8">
        <v>10177</v>
      </c>
    </row>
    <row r="20388" spans="2:8" ht="15" customHeight="1" x14ac:dyDescent="0.4">
      <c r="B20388" t="s">
        <v>7</v>
      </c>
      <c r="C20388" t="s">
        <v>3305</v>
      </c>
      <c r="D20388" s="7">
        <f>DATE(2011,7,26)</f>
        <v>40750</v>
      </c>
      <c r="E20388" s="8">
        <f t="shared" si="334"/>
        <v>2011</v>
      </c>
      <c r="F20388" t="s">
        <v>3307</v>
      </c>
      <c r="G20388" s="9">
        <v>5141.63</v>
      </c>
      <c r="H20388" s="8">
        <v>10889</v>
      </c>
    </row>
    <row r="20389" spans="2:8" ht="15" customHeight="1" x14ac:dyDescent="0.4">
      <c r="B20389" t="s">
        <v>7</v>
      </c>
      <c r="C20389" t="s">
        <v>3305</v>
      </c>
      <c r="D20389" s="7">
        <f>DATE(2011,9,28)</f>
        <v>40814</v>
      </c>
      <c r="E20389" s="8">
        <f t="shared" si="334"/>
        <v>2011</v>
      </c>
      <c r="F20389" t="s">
        <v>3307</v>
      </c>
      <c r="G20389" s="9">
        <v>4651.3999999999996</v>
      </c>
      <c r="H20389" s="8">
        <v>11037</v>
      </c>
    </row>
    <row r="20390" spans="2:8" ht="15" customHeight="1" x14ac:dyDescent="0.4">
      <c r="B20390" t="s">
        <v>7</v>
      </c>
      <c r="C20390" t="s">
        <v>3305</v>
      </c>
      <c r="D20390" s="7">
        <f>DATE(2011,10,6)</f>
        <v>40822</v>
      </c>
      <c r="E20390" s="8">
        <f t="shared" si="334"/>
        <v>2011</v>
      </c>
      <c r="F20390" t="s">
        <v>3307</v>
      </c>
      <c r="G20390" s="9">
        <v>3521.07</v>
      </c>
      <c r="H20390" s="8">
        <v>11060</v>
      </c>
    </row>
    <row r="20391" spans="2:8" ht="15" customHeight="1" x14ac:dyDescent="0.4">
      <c r="B20391" t="s">
        <v>7</v>
      </c>
      <c r="C20391" t="s">
        <v>3305</v>
      </c>
      <c r="D20391" s="7">
        <f>DATE(2012,2,29)</f>
        <v>40968</v>
      </c>
      <c r="E20391" s="8">
        <f t="shared" si="334"/>
        <v>2012</v>
      </c>
      <c r="F20391" t="s">
        <v>3307</v>
      </c>
      <c r="G20391" s="9">
        <v>4952.66</v>
      </c>
      <c r="H20391" s="8">
        <v>11379</v>
      </c>
    </row>
    <row r="20392" spans="2:8" ht="15" customHeight="1" x14ac:dyDescent="0.4">
      <c r="B20392" s="3" t="s">
        <v>7</v>
      </c>
      <c r="C20392" s="3" t="s">
        <v>3305</v>
      </c>
      <c r="D20392" s="4">
        <f>DATE(2013,4,11)</f>
        <v>41375</v>
      </c>
      <c r="E20392" s="5">
        <f t="shared" si="334"/>
        <v>2013</v>
      </c>
      <c r="F20392" s="3" t="s">
        <v>3307</v>
      </c>
      <c r="G20392" s="6">
        <v>361.14</v>
      </c>
      <c r="H20392" s="5">
        <v>18406</v>
      </c>
    </row>
    <row r="20393" spans="2:8" ht="15" customHeight="1" x14ac:dyDescent="0.4">
      <c r="B20393" t="s">
        <v>7</v>
      </c>
      <c r="C20393" t="s">
        <v>3305</v>
      </c>
      <c r="D20393" s="7">
        <f>DATE(2003,4,22)</f>
        <v>37733</v>
      </c>
      <c r="E20393" s="8">
        <f t="shared" si="334"/>
        <v>2003</v>
      </c>
      <c r="F20393" t="s">
        <v>3308</v>
      </c>
      <c r="G20393" s="9">
        <v>8303.89</v>
      </c>
      <c r="H20393" s="8">
        <v>498</v>
      </c>
    </row>
    <row r="20394" spans="2:8" ht="15" customHeight="1" x14ac:dyDescent="0.4">
      <c r="B20394" t="s">
        <v>7</v>
      </c>
      <c r="C20394" t="s">
        <v>3305</v>
      </c>
      <c r="D20394" s="7">
        <f>DATE(2003,5,8)</f>
        <v>37749</v>
      </c>
      <c r="E20394" s="8">
        <f t="shared" si="334"/>
        <v>2003</v>
      </c>
      <c r="F20394" t="s">
        <v>3308</v>
      </c>
      <c r="G20394" s="9">
        <v>5794.61</v>
      </c>
      <c r="H20394" s="8">
        <v>550</v>
      </c>
    </row>
    <row r="20395" spans="2:8" ht="15" customHeight="1" x14ac:dyDescent="0.4">
      <c r="B20395" t="s">
        <v>7</v>
      </c>
      <c r="C20395" t="s">
        <v>3305</v>
      </c>
      <c r="D20395" s="7">
        <f>DATE(2003,6,3)</f>
        <v>37775</v>
      </c>
      <c r="E20395" s="8">
        <f t="shared" si="334"/>
        <v>2003</v>
      </c>
      <c r="F20395" t="s">
        <v>3308</v>
      </c>
      <c r="G20395" s="9">
        <v>8410.2000000000007</v>
      </c>
      <c r="H20395" s="8">
        <v>640</v>
      </c>
    </row>
    <row r="20396" spans="2:8" ht="15" customHeight="1" x14ac:dyDescent="0.4">
      <c r="B20396" t="s">
        <v>7</v>
      </c>
      <c r="C20396" t="s">
        <v>3305</v>
      </c>
      <c r="D20396" s="7">
        <f>DATE(2003,12,15)</f>
        <v>37970</v>
      </c>
      <c r="E20396" s="8">
        <f t="shared" si="334"/>
        <v>2003</v>
      </c>
      <c r="F20396" t="s">
        <v>3308</v>
      </c>
      <c r="G20396" s="9">
        <v>3982.47</v>
      </c>
      <c r="H20396" s="8">
        <v>1088</v>
      </c>
    </row>
    <row r="20397" spans="2:8" ht="15" customHeight="1" x14ac:dyDescent="0.4">
      <c r="B20397" t="s">
        <v>7</v>
      </c>
      <c r="C20397" t="s">
        <v>3305</v>
      </c>
      <c r="D20397" s="7">
        <f>DATE(2004,7,27)</f>
        <v>38195</v>
      </c>
      <c r="E20397" s="8">
        <f t="shared" si="334"/>
        <v>2004</v>
      </c>
      <c r="F20397" t="s">
        <v>3308</v>
      </c>
      <c r="G20397" s="9">
        <v>9834.57</v>
      </c>
      <c r="H20397" s="8">
        <v>2011</v>
      </c>
    </row>
    <row r="20398" spans="2:8" ht="15" customHeight="1" x14ac:dyDescent="0.4">
      <c r="B20398" t="s">
        <v>7</v>
      </c>
      <c r="C20398" t="s">
        <v>3305</v>
      </c>
      <c r="D20398" s="7">
        <f>DATE(2004,9,30)</f>
        <v>38260</v>
      </c>
      <c r="E20398" s="8">
        <f t="shared" si="334"/>
        <v>2004</v>
      </c>
      <c r="F20398" t="s">
        <v>3308</v>
      </c>
      <c r="G20398" s="9">
        <v>78965</v>
      </c>
      <c r="H20398" s="8">
        <v>2170</v>
      </c>
    </row>
    <row r="20399" spans="2:8" ht="15" customHeight="1" x14ac:dyDescent="0.4">
      <c r="B20399" t="s">
        <v>7</v>
      </c>
      <c r="C20399" t="s">
        <v>3305</v>
      </c>
      <c r="D20399" s="7">
        <f>DATE(2005,1,14)</f>
        <v>38366</v>
      </c>
      <c r="E20399" s="8">
        <f t="shared" si="334"/>
        <v>2005</v>
      </c>
      <c r="F20399" t="s">
        <v>3308</v>
      </c>
      <c r="G20399" s="9">
        <v>21114.880000000001</v>
      </c>
      <c r="H20399" s="8">
        <v>2554</v>
      </c>
    </row>
    <row r="20400" spans="2:8" ht="15" customHeight="1" x14ac:dyDescent="0.4">
      <c r="B20400" t="s">
        <v>7</v>
      </c>
      <c r="C20400" t="s">
        <v>3305</v>
      </c>
      <c r="D20400" s="7">
        <f>DATE(2005,8,8)</f>
        <v>38572</v>
      </c>
      <c r="E20400" s="8">
        <f t="shared" si="334"/>
        <v>2005</v>
      </c>
      <c r="F20400" t="s">
        <v>3308</v>
      </c>
      <c r="G20400" s="9">
        <v>3272.42</v>
      </c>
      <c r="H20400" s="8">
        <v>3440</v>
      </c>
    </row>
    <row r="20401" spans="2:8" ht="15" customHeight="1" x14ac:dyDescent="0.4">
      <c r="B20401" t="s">
        <v>7</v>
      </c>
      <c r="C20401" t="s">
        <v>3305</v>
      </c>
      <c r="D20401" s="7">
        <f>DATE(2005,9,5)</f>
        <v>38600</v>
      </c>
      <c r="E20401" s="8">
        <f t="shared" si="334"/>
        <v>2005</v>
      </c>
      <c r="F20401" t="s">
        <v>3308</v>
      </c>
      <c r="G20401" s="9">
        <v>17879.98</v>
      </c>
      <c r="H20401" s="8">
        <v>3515</v>
      </c>
    </row>
    <row r="20402" spans="2:8" ht="15" customHeight="1" x14ac:dyDescent="0.4">
      <c r="B20402" t="s">
        <v>7</v>
      </c>
      <c r="C20402" t="s">
        <v>3305</v>
      </c>
      <c r="D20402" s="7">
        <f>DATE(2006,5,31)</f>
        <v>38868</v>
      </c>
      <c r="E20402" s="8">
        <f t="shared" si="334"/>
        <v>2006</v>
      </c>
      <c r="F20402" t="s">
        <v>3308</v>
      </c>
      <c r="G20402" s="9">
        <v>6189.99</v>
      </c>
      <c r="H20402" s="8">
        <v>4648</v>
      </c>
    </row>
    <row r="20403" spans="2:8" ht="15" customHeight="1" x14ac:dyDescent="0.4">
      <c r="B20403" s="3" t="s">
        <v>7</v>
      </c>
      <c r="C20403" s="3" t="s">
        <v>3305</v>
      </c>
      <c r="D20403" s="4">
        <f>DATE(2003,11,21)</f>
        <v>37946</v>
      </c>
      <c r="E20403" s="5">
        <f t="shared" si="334"/>
        <v>2003</v>
      </c>
      <c r="F20403" s="3" t="s">
        <v>3308</v>
      </c>
      <c r="G20403" s="6">
        <v>5947.5</v>
      </c>
      <c r="H20403" s="5">
        <v>1722</v>
      </c>
    </row>
    <row r="20404" spans="2:8" ht="15" customHeight="1" x14ac:dyDescent="0.4">
      <c r="B20404" s="3" t="s">
        <v>7</v>
      </c>
      <c r="C20404" s="3" t="s">
        <v>3305</v>
      </c>
      <c r="D20404" s="4">
        <f>DATE(2004,1,27)</f>
        <v>38013</v>
      </c>
      <c r="E20404" s="5">
        <f t="shared" si="334"/>
        <v>2004</v>
      </c>
      <c r="F20404" s="3" t="s">
        <v>3308</v>
      </c>
      <c r="G20404" s="6">
        <v>8952.5</v>
      </c>
      <c r="H20404" s="5">
        <v>1978</v>
      </c>
    </row>
    <row r="20405" spans="2:8" ht="15" customHeight="1" x14ac:dyDescent="0.4">
      <c r="B20405" s="3" t="s">
        <v>7</v>
      </c>
      <c r="C20405" s="3" t="s">
        <v>3305</v>
      </c>
      <c r="D20405" s="4">
        <f>DATE(2004,3,30)</f>
        <v>38076</v>
      </c>
      <c r="E20405" s="5">
        <f t="shared" si="334"/>
        <v>2004</v>
      </c>
      <c r="F20405" s="3" t="s">
        <v>3308</v>
      </c>
      <c r="G20405" s="6">
        <v>81.760000000000005</v>
      </c>
      <c r="H20405" s="5">
        <v>2485</v>
      </c>
    </row>
    <row r="20406" spans="2:8" ht="15" customHeight="1" x14ac:dyDescent="0.4">
      <c r="B20406" s="3" t="s">
        <v>7</v>
      </c>
      <c r="C20406" s="3" t="s">
        <v>3305</v>
      </c>
      <c r="D20406" s="4">
        <f>DATE(2004,9,23)</f>
        <v>38253</v>
      </c>
      <c r="E20406" s="5">
        <f t="shared" si="334"/>
        <v>2004</v>
      </c>
      <c r="F20406" s="3" t="s">
        <v>3308</v>
      </c>
      <c r="G20406" s="6">
        <v>91035</v>
      </c>
      <c r="H20406" s="5">
        <v>3291</v>
      </c>
    </row>
    <row r="20407" spans="2:8" ht="15" customHeight="1" x14ac:dyDescent="0.4">
      <c r="B20407" s="3" t="s">
        <v>7</v>
      </c>
      <c r="C20407" s="3" t="s">
        <v>3305</v>
      </c>
      <c r="D20407" s="4">
        <f>DATE(2005,7,12)</f>
        <v>38545</v>
      </c>
      <c r="E20407" s="5">
        <f t="shared" si="334"/>
        <v>2005</v>
      </c>
      <c r="F20407" s="3" t="s">
        <v>3308</v>
      </c>
      <c r="G20407" s="6">
        <v>7112</v>
      </c>
      <c r="H20407" s="5">
        <v>4877</v>
      </c>
    </row>
    <row r="20408" spans="2:8" ht="15" customHeight="1" x14ac:dyDescent="0.4">
      <c r="B20408" s="3" t="s">
        <v>7</v>
      </c>
      <c r="C20408" s="3" t="s">
        <v>3305</v>
      </c>
      <c r="D20408" s="4">
        <f>DATE(2006,10,30)</f>
        <v>39020</v>
      </c>
      <c r="E20408" s="5">
        <f t="shared" si="334"/>
        <v>2006</v>
      </c>
      <c r="F20408" s="3" t="s">
        <v>3308</v>
      </c>
      <c r="G20408" s="6">
        <v>3987</v>
      </c>
      <c r="H20408" s="5">
        <v>7363</v>
      </c>
    </row>
    <row r="20409" spans="2:8" ht="15" customHeight="1" x14ac:dyDescent="0.4">
      <c r="B20409" s="3" t="s">
        <v>7</v>
      </c>
      <c r="C20409" s="3" t="s">
        <v>3305</v>
      </c>
      <c r="D20409" s="4">
        <f>DATE(2007,2,26)</f>
        <v>39139</v>
      </c>
      <c r="E20409" s="5">
        <f t="shared" si="334"/>
        <v>2007</v>
      </c>
      <c r="F20409" s="3" t="s">
        <v>3308</v>
      </c>
      <c r="G20409" s="6">
        <v>7291.25</v>
      </c>
      <c r="H20409" s="5">
        <v>7878</v>
      </c>
    </row>
    <row r="20410" spans="2:8" ht="15" customHeight="1" x14ac:dyDescent="0.4">
      <c r="B20410" t="s">
        <v>7</v>
      </c>
      <c r="C20410" t="s">
        <v>3309</v>
      </c>
      <c r="D20410" s="7">
        <f>DATE(2015,10,27)</f>
        <v>42304</v>
      </c>
      <c r="E20410" s="8">
        <f t="shared" si="334"/>
        <v>2015</v>
      </c>
      <c r="F20410" t="s">
        <v>3310</v>
      </c>
      <c r="G20410" s="9">
        <v>15425</v>
      </c>
      <c r="H20410" s="8">
        <v>21000</v>
      </c>
    </row>
    <row r="20411" spans="2:8" ht="15" customHeight="1" x14ac:dyDescent="0.4">
      <c r="B20411" t="s">
        <v>7</v>
      </c>
      <c r="C20411" t="s">
        <v>3309</v>
      </c>
      <c r="D20411" s="7">
        <f>DATE(2015,10,27)</f>
        <v>42304</v>
      </c>
      <c r="E20411" s="8">
        <f t="shared" si="334"/>
        <v>2015</v>
      </c>
      <c r="F20411" t="s">
        <v>3310</v>
      </c>
      <c r="G20411" s="9">
        <v>6350</v>
      </c>
      <c r="H20411" s="8">
        <v>20998</v>
      </c>
    </row>
    <row r="20412" spans="2:8" ht="15" customHeight="1" x14ac:dyDescent="0.4">
      <c r="B20412" t="s">
        <v>7</v>
      </c>
      <c r="C20412" t="s">
        <v>3309</v>
      </c>
      <c r="D20412" s="7">
        <f>DATE(2017,12,6)</f>
        <v>43075</v>
      </c>
      <c r="E20412" s="8">
        <f t="shared" si="334"/>
        <v>2017</v>
      </c>
      <c r="F20412" t="s">
        <v>3310</v>
      </c>
      <c r="G20412" s="9">
        <v>15294.94</v>
      </c>
      <c r="H20412" s="8">
        <v>25993</v>
      </c>
    </row>
    <row r="20413" spans="2:8" ht="15" customHeight="1" x14ac:dyDescent="0.4">
      <c r="B20413" t="s">
        <v>7</v>
      </c>
      <c r="C20413" t="s">
        <v>3309</v>
      </c>
      <c r="D20413" s="7">
        <f>DATE(2018,3,7)</f>
        <v>43166</v>
      </c>
      <c r="E20413" s="8">
        <f t="shared" si="334"/>
        <v>2018</v>
      </c>
      <c r="F20413" t="s">
        <v>3310</v>
      </c>
      <c r="G20413" s="9">
        <v>19738.41</v>
      </c>
      <c r="H20413" s="8">
        <v>26296</v>
      </c>
    </row>
    <row r="20414" spans="2:8" ht="15" customHeight="1" x14ac:dyDescent="0.4">
      <c r="B20414" t="s">
        <v>7</v>
      </c>
      <c r="C20414" t="s">
        <v>3309</v>
      </c>
      <c r="D20414" s="7">
        <f>DATE(2018,3,7)</f>
        <v>43166</v>
      </c>
      <c r="E20414" s="8">
        <f t="shared" si="334"/>
        <v>2018</v>
      </c>
      <c r="F20414" t="s">
        <v>3310</v>
      </c>
      <c r="G20414" s="9">
        <v>2000</v>
      </c>
      <c r="H20414" s="8">
        <v>26619</v>
      </c>
    </row>
    <row r="20415" spans="2:8" ht="15" customHeight="1" x14ac:dyDescent="0.4">
      <c r="B20415" t="s">
        <v>7</v>
      </c>
      <c r="C20415" t="s">
        <v>3309</v>
      </c>
      <c r="D20415" s="7">
        <f>DATE(2015,10,13)</f>
        <v>42290</v>
      </c>
      <c r="E20415" s="8">
        <f t="shared" si="334"/>
        <v>2015</v>
      </c>
      <c r="F20415" t="s">
        <v>3310</v>
      </c>
      <c r="G20415" s="9">
        <v>1392.5</v>
      </c>
      <c r="H20415" s="8">
        <v>21395</v>
      </c>
    </row>
    <row r="20416" spans="2:8" ht="15" customHeight="1" x14ac:dyDescent="0.4">
      <c r="B20416" t="s">
        <v>7</v>
      </c>
      <c r="C20416" t="s">
        <v>3309</v>
      </c>
      <c r="D20416" s="7">
        <f>DATE(2015,10,20)</f>
        <v>42297</v>
      </c>
      <c r="E20416" s="8">
        <f t="shared" si="334"/>
        <v>2015</v>
      </c>
      <c r="F20416" t="s">
        <v>3310</v>
      </c>
      <c r="G20416" s="9">
        <v>132.25</v>
      </c>
      <c r="H20416" s="8">
        <v>21406</v>
      </c>
    </row>
    <row r="20417" spans="2:8" ht="15" customHeight="1" x14ac:dyDescent="0.4">
      <c r="B20417" t="s">
        <v>7</v>
      </c>
      <c r="C20417" t="s">
        <v>3309</v>
      </c>
      <c r="D20417" s="7">
        <f>DATE(2015,10,20)</f>
        <v>42297</v>
      </c>
      <c r="E20417" s="8">
        <f t="shared" si="334"/>
        <v>2015</v>
      </c>
      <c r="F20417" t="s">
        <v>3310</v>
      </c>
      <c r="G20417" s="9">
        <v>132.25</v>
      </c>
      <c r="H20417" s="8">
        <v>21406</v>
      </c>
    </row>
    <row r="20418" spans="2:8" ht="15" customHeight="1" x14ac:dyDescent="0.4">
      <c r="B20418" t="s">
        <v>7</v>
      </c>
      <c r="C20418" t="s">
        <v>3309</v>
      </c>
      <c r="D20418" s="7">
        <f>DATE(2016,3,30)</f>
        <v>42459</v>
      </c>
      <c r="E20418" s="8">
        <f t="shared" si="334"/>
        <v>2016</v>
      </c>
      <c r="F20418" t="s">
        <v>3310</v>
      </c>
      <c r="G20418" s="9">
        <v>12100.74</v>
      </c>
      <c r="H20418" s="8">
        <v>22409</v>
      </c>
    </row>
    <row r="20419" spans="2:8" ht="15" customHeight="1" x14ac:dyDescent="0.4">
      <c r="B20419" t="s">
        <v>7</v>
      </c>
      <c r="C20419" t="s">
        <v>3309</v>
      </c>
      <c r="D20419" s="7">
        <f>DATE(2013,2,8)</f>
        <v>41313</v>
      </c>
      <c r="E20419" s="8">
        <f t="shared" ref="E20419:E20482" si="335">YEAR(D20419)</f>
        <v>2013</v>
      </c>
      <c r="F20419" t="s">
        <v>3310</v>
      </c>
      <c r="G20419" s="9">
        <v>7795</v>
      </c>
      <c r="H20419" s="8">
        <v>12154</v>
      </c>
    </row>
    <row r="20420" spans="2:8" ht="15" customHeight="1" x14ac:dyDescent="0.4">
      <c r="B20420" t="s">
        <v>7</v>
      </c>
      <c r="C20420" t="s">
        <v>3309</v>
      </c>
      <c r="D20420" s="7">
        <f>DATE(2013,2,22)</f>
        <v>41327</v>
      </c>
      <c r="E20420" s="8">
        <f t="shared" si="335"/>
        <v>2013</v>
      </c>
      <c r="F20420" t="s">
        <v>3310</v>
      </c>
      <c r="G20420" s="9">
        <v>11250</v>
      </c>
      <c r="H20420" s="8">
        <v>12190</v>
      </c>
    </row>
    <row r="20421" spans="2:8" ht="15" customHeight="1" x14ac:dyDescent="0.4">
      <c r="B20421" t="s">
        <v>7</v>
      </c>
      <c r="C20421" t="s">
        <v>3309</v>
      </c>
      <c r="D20421" s="7">
        <f>DATE(2013,8,27)</f>
        <v>41513</v>
      </c>
      <c r="E20421" s="8">
        <f t="shared" si="335"/>
        <v>2013</v>
      </c>
      <c r="F20421" t="s">
        <v>3310</v>
      </c>
      <c r="G20421" s="9">
        <v>3484.92</v>
      </c>
      <c r="H20421" s="8">
        <v>12638</v>
      </c>
    </row>
    <row r="20422" spans="2:8" ht="15" customHeight="1" x14ac:dyDescent="0.4">
      <c r="B20422" t="s">
        <v>7</v>
      </c>
      <c r="C20422" t="s">
        <v>3309</v>
      </c>
      <c r="D20422" s="7">
        <f>DATE(2013,10,11)</f>
        <v>41558</v>
      </c>
      <c r="E20422" s="8">
        <f t="shared" si="335"/>
        <v>2013</v>
      </c>
      <c r="F20422" t="s">
        <v>3310</v>
      </c>
      <c r="G20422" s="9">
        <v>7795</v>
      </c>
      <c r="H20422" s="8">
        <v>12595</v>
      </c>
    </row>
    <row r="20423" spans="2:8" ht="15" customHeight="1" x14ac:dyDescent="0.4">
      <c r="B20423" t="s">
        <v>7</v>
      </c>
      <c r="C20423" t="s">
        <v>3311</v>
      </c>
      <c r="D20423" s="7">
        <f>DATE(2007,12,18)</f>
        <v>39434</v>
      </c>
      <c r="E20423" s="8">
        <f t="shared" si="335"/>
        <v>2007</v>
      </c>
      <c r="F20423" t="s">
        <v>3312</v>
      </c>
      <c r="G20423" s="9">
        <v>363</v>
      </c>
      <c r="H20423" s="8">
        <v>6699</v>
      </c>
    </row>
    <row r="20424" spans="2:8" ht="15" customHeight="1" x14ac:dyDescent="0.4">
      <c r="B20424" t="s">
        <v>7</v>
      </c>
      <c r="C20424" t="s">
        <v>3311</v>
      </c>
      <c r="D20424" s="7">
        <f>DATE(2014,5,30)</f>
        <v>41789</v>
      </c>
      <c r="E20424" s="8">
        <f t="shared" si="335"/>
        <v>2014</v>
      </c>
      <c r="F20424" t="s">
        <v>3312</v>
      </c>
      <c r="G20424" s="9">
        <v>23218.34</v>
      </c>
      <c r="H20424" s="8">
        <v>13001</v>
      </c>
    </row>
    <row r="20425" spans="2:8" ht="15" customHeight="1" x14ac:dyDescent="0.4">
      <c r="B20425" t="s">
        <v>7</v>
      </c>
      <c r="C20425" t="s">
        <v>3311</v>
      </c>
      <c r="D20425" s="7">
        <f>DATE(2007,6,2)</f>
        <v>39235</v>
      </c>
      <c r="E20425" s="8">
        <f t="shared" si="335"/>
        <v>2007</v>
      </c>
      <c r="F20425" t="s">
        <v>3312</v>
      </c>
      <c r="G20425" s="9">
        <v>13026.56</v>
      </c>
      <c r="H20425" s="8">
        <v>6046</v>
      </c>
    </row>
    <row r="20426" spans="2:8" ht="15" customHeight="1" x14ac:dyDescent="0.4">
      <c r="B20426" t="s">
        <v>7</v>
      </c>
      <c r="C20426" t="s">
        <v>3311</v>
      </c>
      <c r="D20426" s="7">
        <f>DATE(2007,7,5)</f>
        <v>39268</v>
      </c>
      <c r="E20426" s="8">
        <f t="shared" si="335"/>
        <v>2007</v>
      </c>
      <c r="F20426" t="s">
        <v>3312</v>
      </c>
      <c r="G20426" s="9">
        <v>7214.92</v>
      </c>
      <c r="H20426" s="8">
        <v>6134</v>
      </c>
    </row>
    <row r="20427" spans="2:8" ht="15" customHeight="1" x14ac:dyDescent="0.4">
      <c r="B20427" t="s">
        <v>7</v>
      </c>
      <c r="C20427" t="s">
        <v>3311</v>
      </c>
      <c r="D20427" s="7">
        <f>DATE(2007,7,28)</f>
        <v>39291</v>
      </c>
      <c r="E20427" s="8">
        <f t="shared" si="335"/>
        <v>2007</v>
      </c>
      <c r="F20427" t="s">
        <v>3312</v>
      </c>
      <c r="G20427" s="9">
        <v>15205.56</v>
      </c>
      <c r="H20427" s="8">
        <v>6221</v>
      </c>
    </row>
    <row r="20428" spans="2:8" ht="15" customHeight="1" x14ac:dyDescent="0.4">
      <c r="B20428" t="s">
        <v>7</v>
      </c>
      <c r="C20428" t="s">
        <v>3311</v>
      </c>
      <c r="D20428" s="7">
        <f>DATE(2007,9,28)</f>
        <v>39353</v>
      </c>
      <c r="E20428" s="8">
        <f t="shared" si="335"/>
        <v>2007</v>
      </c>
      <c r="F20428" t="s">
        <v>3312</v>
      </c>
      <c r="G20428" s="9">
        <v>14453.86</v>
      </c>
      <c r="H20428" s="8">
        <v>6408</v>
      </c>
    </row>
    <row r="20429" spans="2:8" ht="15" customHeight="1" x14ac:dyDescent="0.4">
      <c r="B20429" t="s">
        <v>7</v>
      </c>
      <c r="C20429" t="s">
        <v>3311</v>
      </c>
      <c r="D20429" s="7">
        <f>DATE(2008,6,10)</f>
        <v>39609</v>
      </c>
      <c r="E20429" s="8">
        <f t="shared" si="335"/>
        <v>2008</v>
      </c>
      <c r="F20429" t="s">
        <v>3312</v>
      </c>
      <c r="G20429" s="9">
        <v>8800.23</v>
      </c>
      <c r="H20429" s="8">
        <v>7516</v>
      </c>
    </row>
    <row r="20430" spans="2:8" ht="15" customHeight="1" x14ac:dyDescent="0.4">
      <c r="B20430" t="s">
        <v>7</v>
      </c>
      <c r="C20430" t="s">
        <v>3311</v>
      </c>
      <c r="D20430" s="7">
        <f>DATE(2009,4,3)</f>
        <v>39906</v>
      </c>
      <c r="E20430" s="8">
        <f t="shared" si="335"/>
        <v>2009</v>
      </c>
      <c r="F20430" t="s">
        <v>3312</v>
      </c>
      <c r="G20430" s="9">
        <v>16203.54</v>
      </c>
      <c r="H20430" s="8">
        <v>8445</v>
      </c>
    </row>
    <row r="20431" spans="2:8" ht="15" customHeight="1" x14ac:dyDescent="0.4">
      <c r="B20431" t="s">
        <v>7</v>
      </c>
      <c r="C20431" t="s">
        <v>3311</v>
      </c>
      <c r="D20431" s="7">
        <f>DATE(2010,5,21)</f>
        <v>40319</v>
      </c>
      <c r="E20431" s="8">
        <f t="shared" si="335"/>
        <v>2010</v>
      </c>
      <c r="F20431" t="s">
        <v>3312</v>
      </c>
      <c r="G20431" s="9">
        <v>27306.05</v>
      </c>
      <c r="H20431" s="8">
        <v>9855</v>
      </c>
    </row>
    <row r="20432" spans="2:8" ht="15" customHeight="1" x14ac:dyDescent="0.4">
      <c r="B20432" t="s">
        <v>7</v>
      </c>
      <c r="C20432" t="s">
        <v>3311</v>
      </c>
      <c r="D20432" s="7">
        <f>DATE(2011,2,16)</f>
        <v>40590</v>
      </c>
      <c r="E20432" s="8">
        <f t="shared" si="335"/>
        <v>2011</v>
      </c>
      <c r="F20432" t="s">
        <v>3312</v>
      </c>
      <c r="G20432" s="9">
        <v>10586.9</v>
      </c>
      <c r="H20432" s="8">
        <v>10394</v>
      </c>
    </row>
    <row r="20433" spans="2:8" ht="15" customHeight="1" x14ac:dyDescent="0.4">
      <c r="B20433" t="s">
        <v>7</v>
      </c>
      <c r="C20433" t="s">
        <v>3311</v>
      </c>
      <c r="D20433" s="7">
        <f>DATE(2011,2,16)</f>
        <v>40590</v>
      </c>
      <c r="E20433" s="8">
        <f t="shared" si="335"/>
        <v>2011</v>
      </c>
      <c r="F20433" t="s">
        <v>3312</v>
      </c>
      <c r="G20433" s="9">
        <v>9855.1200000000008</v>
      </c>
      <c r="H20433" s="8">
        <v>10370</v>
      </c>
    </row>
    <row r="20434" spans="2:8" ht="15" customHeight="1" x14ac:dyDescent="0.4">
      <c r="B20434" t="s">
        <v>7</v>
      </c>
      <c r="C20434" t="s">
        <v>3311</v>
      </c>
      <c r="D20434" s="7">
        <f>DATE(2011,3,21)</f>
        <v>40623</v>
      </c>
      <c r="E20434" s="8">
        <f t="shared" si="335"/>
        <v>2011</v>
      </c>
      <c r="F20434" t="s">
        <v>3312</v>
      </c>
      <c r="G20434" s="9">
        <v>13789.8</v>
      </c>
      <c r="H20434" s="8">
        <v>10571</v>
      </c>
    </row>
    <row r="20435" spans="2:8" ht="15" customHeight="1" x14ac:dyDescent="0.4">
      <c r="B20435" t="s">
        <v>7</v>
      </c>
      <c r="C20435" t="s">
        <v>3311</v>
      </c>
      <c r="D20435" s="7">
        <f>DATE(2011,10,6)</f>
        <v>40822</v>
      </c>
      <c r="E20435" s="8">
        <f t="shared" si="335"/>
        <v>2011</v>
      </c>
      <c r="F20435" t="s">
        <v>3312</v>
      </c>
      <c r="G20435" s="9">
        <v>16656.11</v>
      </c>
      <c r="H20435" s="8">
        <v>11063</v>
      </c>
    </row>
    <row r="20436" spans="2:8" ht="15" customHeight="1" x14ac:dyDescent="0.4">
      <c r="B20436" t="s">
        <v>7</v>
      </c>
      <c r="C20436" t="s">
        <v>3311</v>
      </c>
      <c r="D20436" s="7">
        <f>DATE(2012,3,6)</f>
        <v>40974</v>
      </c>
      <c r="E20436" s="8">
        <f t="shared" si="335"/>
        <v>2012</v>
      </c>
      <c r="F20436" t="s">
        <v>3312</v>
      </c>
      <c r="G20436" s="9">
        <v>16554.16</v>
      </c>
      <c r="H20436" s="8">
        <v>11403</v>
      </c>
    </row>
    <row r="20437" spans="2:8" ht="15" customHeight="1" x14ac:dyDescent="0.4">
      <c r="B20437" t="s">
        <v>7</v>
      </c>
      <c r="C20437" t="s">
        <v>3311</v>
      </c>
      <c r="D20437" s="7">
        <f>DATE(2012,4,13)</f>
        <v>41012</v>
      </c>
      <c r="E20437" s="8">
        <f t="shared" si="335"/>
        <v>2012</v>
      </c>
      <c r="F20437" t="s">
        <v>3312</v>
      </c>
      <c r="G20437" s="9">
        <v>7670.89</v>
      </c>
      <c r="H20437" s="8">
        <v>11549</v>
      </c>
    </row>
    <row r="20438" spans="2:8" ht="15" customHeight="1" x14ac:dyDescent="0.4">
      <c r="B20438" t="s">
        <v>7</v>
      </c>
      <c r="C20438" t="s">
        <v>3311</v>
      </c>
      <c r="D20438" s="7">
        <f>DATE(2012,10,2)</f>
        <v>41184</v>
      </c>
      <c r="E20438" s="8">
        <f t="shared" si="335"/>
        <v>2012</v>
      </c>
      <c r="F20438" t="s">
        <v>3312</v>
      </c>
      <c r="G20438" s="9">
        <v>21374.15</v>
      </c>
      <c r="H20438" s="8">
        <v>11863</v>
      </c>
    </row>
    <row r="20439" spans="2:8" ht="15" customHeight="1" x14ac:dyDescent="0.4">
      <c r="B20439" t="s">
        <v>7</v>
      </c>
      <c r="C20439" t="s">
        <v>3311</v>
      </c>
      <c r="D20439" s="7">
        <f>DATE(2012,11,7)</f>
        <v>41220</v>
      </c>
      <c r="E20439" s="8">
        <f t="shared" si="335"/>
        <v>2012</v>
      </c>
      <c r="F20439" t="s">
        <v>3312</v>
      </c>
      <c r="G20439" s="9">
        <v>23974.18</v>
      </c>
      <c r="H20439" s="8">
        <v>11962</v>
      </c>
    </row>
    <row r="20440" spans="2:8" ht="15" customHeight="1" x14ac:dyDescent="0.4">
      <c r="B20440" t="s">
        <v>7</v>
      </c>
      <c r="C20440" t="s">
        <v>3311</v>
      </c>
      <c r="D20440" s="7">
        <f>DATE(2013,1,17)</f>
        <v>41291</v>
      </c>
      <c r="E20440" s="8">
        <f t="shared" si="335"/>
        <v>2013</v>
      </c>
      <c r="F20440" t="s">
        <v>3312</v>
      </c>
      <c r="G20440" s="9">
        <v>20069.86</v>
      </c>
      <c r="H20440" s="8">
        <v>12087</v>
      </c>
    </row>
    <row r="20441" spans="2:8" ht="15" customHeight="1" x14ac:dyDescent="0.4">
      <c r="B20441" s="3" t="s">
        <v>7</v>
      </c>
      <c r="C20441" s="3" t="s">
        <v>3311</v>
      </c>
      <c r="D20441" s="4">
        <f>DATE(2005,1,26)</f>
        <v>38378</v>
      </c>
      <c r="E20441" s="5">
        <f t="shared" si="335"/>
        <v>2005</v>
      </c>
      <c r="F20441" s="3" t="s">
        <v>3312</v>
      </c>
      <c r="G20441" s="6">
        <v>1200</v>
      </c>
      <c r="H20441" s="5">
        <v>3972</v>
      </c>
    </row>
    <row r="20442" spans="2:8" ht="15" customHeight="1" x14ac:dyDescent="0.4">
      <c r="B20442" t="s">
        <v>7</v>
      </c>
      <c r="C20442" t="s">
        <v>3313</v>
      </c>
      <c r="D20442" s="7">
        <f>DATE(2018,6,11)</f>
        <v>43262</v>
      </c>
      <c r="E20442" s="8">
        <f t="shared" si="335"/>
        <v>2018</v>
      </c>
      <c r="F20442" t="s">
        <v>3314</v>
      </c>
      <c r="G20442" s="9">
        <v>9743.52</v>
      </c>
      <c r="H20442" s="8">
        <v>27026</v>
      </c>
    </row>
    <row r="20443" spans="2:8" ht="15" customHeight="1" x14ac:dyDescent="0.4">
      <c r="B20443" t="s">
        <v>7</v>
      </c>
      <c r="C20443" t="s">
        <v>3315</v>
      </c>
      <c r="D20443" s="7">
        <f>DATE(2018,8,29)</f>
        <v>43341</v>
      </c>
      <c r="E20443" s="8">
        <f t="shared" si="335"/>
        <v>2018</v>
      </c>
      <c r="F20443" t="s">
        <v>3316</v>
      </c>
      <c r="G20443" s="9">
        <v>121516</v>
      </c>
      <c r="H20443" s="8">
        <v>27316</v>
      </c>
    </row>
    <row r="20444" spans="2:8" ht="15" customHeight="1" x14ac:dyDescent="0.4">
      <c r="B20444" t="s">
        <v>7</v>
      </c>
      <c r="C20444" t="s">
        <v>3317</v>
      </c>
      <c r="D20444" s="7">
        <f>DATE(2013,4,19)</f>
        <v>41383</v>
      </c>
      <c r="E20444" s="8">
        <f t="shared" si="335"/>
        <v>2013</v>
      </c>
      <c r="F20444" t="s">
        <v>3318</v>
      </c>
      <c r="G20444" s="9">
        <v>15394</v>
      </c>
      <c r="H20444" s="8">
        <v>12049</v>
      </c>
    </row>
    <row r="20445" spans="2:8" ht="15" customHeight="1" x14ac:dyDescent="0.4">
      <c r="B20445" t="s">
        <v>7</v>
      </c>
      <c r="C20445" t="s">
        <v>3317</v>
      </c>
      <c r="D20445" s="7">
        <f>DATE(2013,4,19)</f>
        <v>41383</v>
      </c>
      <c r="E20445" s="8">
        <f t="shared" si="335"/>
        <v>2013</v>
      </c>
      <c r="F20445" t="s">
        <v>3318</v>
      </c>
      <c r="G20445" s="9">
        <v>4988</v>
      </c>
      <c r="H20445" s="8">
        <v>12269</v>
      </c>
    </row>
    <row r="20446" spans="2:8" ht="15" customHeight="1" x14ac:dyDescent="0.4">
      <c r="B20446" t="s">
        <v>7</v>
      </c>
      <c r="C20446" t="s">
        <v>3317</v>
      </c>
      <c r="D20446" s="7">
        <f>DATE(2007,3,14)</f>
        <v>39155</v>
      </c>
      <c r="E20446" s="8">
        <f t="shared" si="335"/>
        <v>2007</v>
      </c>
      <c r="F20446" t="s">
        <v>3318</v>
      </c>
      <c r="G20446" s="9">
        <v>11199.45</v>
      </c>
      <c r="H20446" s="8">
        <v>5208</v>
      </c>
    </row>
    <row r="20447" spans="2:8" ht="15" customHeight="1" x14ac:dyDescent="0.4">
      <c r="B20447" t="s">
        <v>7</v>
      </c>
      <c r="C20447" t="s">
        <v>3317</v>
      </c>
      <c r="D20447" s="7">
        <f>DATE(2010,11,1)</f>
        <v>40483</v>
      </c>
      <c r="E20447" s="8">
        <f t="shared" si="335"/>
        <v>2010</v>
      </c>
      <c r="F20447" t="s">
        <v>3318</v>
      </c>
      <c r="G20447" s="9">
        <v>11987.14</v>
      </c>
      <c r="H20447" s="8">
        <v>10119</v>
      </c>
    </row>
    <row r="20448" spans="2:8" ht="15" customHeight="1" x14ac:dyDescent="0.4">
      <c r="B20448" t="s">
        <v>7</v>
      </c>
      <c r="C20448" t="s">
        <v>3317</v>
      </c>
      <c r="D20448" s="7">
        <f>DATE(2013,4,19)</f>
        <v>41383</v>
      </c>
      <c r="E20448" s="8">
        <f t="shared" si="335"/>
        <v>2013</v>
      </c>
      <c r="F20448" t="s">
        <v>3318</v>
      </c>
      <c r="G20448" s="9">
        <v>13260</v>
      </c>
      <c r="H20448" s="8">
        <v>12050</v>
      </c>
    </row>
    <row r="20449" spans="2:8" ht="15" customHeight="1" x14ac:dyDescent="0.4">
      <c r="B20449" t="s">
        <v>7</v>
      </c>
      <c r="C20449" t="s">
        <v>3317</v>
      </c>
      <c r="D20449" s="7">
        <f>DATE(2013,4,19)</f>
        <v>41383</v>
      </c>
      <c r="E20449" s="8">
        <f t="shared" si="335"/>
        <v>2013</v>
      </c>
      <c r="F20449" t="s">
        <v>3318</v>
      </c>
      <c r="G20449" s="9">
        <v>2274.83</v>
      </c>
      <c r="H20449" s="8">
        <v>12268</v>
      </c>
    </row>
    <row r="20450" spans="2:8" ht="15" customHeight="1" x14ac:dyDescent="0.4">
      <c r="B20450" t="s">
        <v>7</v>
      </c>
      <c r="C20450" t="s">
        <v>3317</v>
      </c>
      <c r="D20450" s="7">
        <f>DATE(2013,4,30)</f>
        <v>41394</v>
      </c>
      <c r="E20450" s="8">
        <f t="shared" si="335"/>
        <v>2013</v>
      </c>
      <c r="F20450" t="s">
        <v>3318</v>
      </c>
      <c r="G20450" s="9">
        <v>7757.95</v>
      </c>
      <c r="H20450" s="8">
        <v>12424</v>
      </c>
    </row>
    <row r="20451" spans="2:8" ht="15" customHeight="1" x14ac:dyDescent="0.4">
      <c r="B20451" s="3" t="s">
        <v>7</v>
      </c>
      <c r="C20451" s="3" t="s">
        <v>3317</v>
      </c>
      <c r="D20451" s="4">
        <f>DATE(2013,4,29)</f>
        <v>41393</v>
      </c>
      <c r="E20451" s="5">
        <f t="shared" si="335"/>
        <v>2013</v>
      </c>
      <c r="F20451" s="3" t="s">
        <v>3318</v>
      </c>
      <c r="G20451" s="6">
        <v>1543.5</v>
      </c>
      <c r="H20451" s="5">
        <v>18454</v>
      </c>
    </row>
    <row r="20452" spans="2:8" ht="15" customHeight="1" x14ac:dyDescent="0.4">
      <c r="B20452" t="s">
        <v>7</v>
      </c>
      <c r="C20452" t="s">
        <v>3319</v>
      </c>
      <c r="D20452" s="7">
        <f>DATE(2015,1,28)</f>
        <v>42032</v>
      </c>
      <c r="E20452" s="8">
        <f t="shared" si="335"/>
        <v>2015</v>
      </c>
      <c r="F20452" t="s">
        <v>3320</v>
      </c>
      <c r="G20452" s="9">
        <v>28800</v>
      </c>
      <c r="H20452" s="8">
        <v>115</v>
      </c>
    </row>
    <row r="20453" spans="2:8" ht="15" customHeight="1" x14ac:dyDescent="0.4">
      <c r="B20453" t="s">
        <v>7</v>
      </c>
      <c r="C20453" t="s">
        <v>3319</v>
      </c>
      <c r="D20453" s="7">
        <f>DATE(2017,9,27)</f>
        <v>43005</v>
      </c>
      <c r="E20453" s="8">
        <f t="shared" si="335"/>
        <v>2017</v>
      </c>
      <c r="F20453" t="s">
        <v>3320</v>
      </c>
      <c r="G20453" s="9">
        <v>28800</v>
      </c>
      <c r="H20453" s="8">
        <v>25445</v>
      </c>
    </row>
    <row r="20454" spans="2:8" ht="15" customHeight="1" x14ac:dyDescent="0.4">
      <c r="B20454" t="s">
        <v>7</v>
      </c>
      <c r="C20454" t="s">
        <v>3319</v>
      </c>
      <c r="D20454" s="7">
        <f>DATE(2004,1,30)</f>
        <v>38016</v>
      </c>
      <c r="E20454" s="8">
        <f t="shared" si="335"/>
        <v>2004</v>
      </c>
      <c r="F20454" t="s">
        <v>3320</v>
      </c>
      <c r="G20454" s="9">
        <v>986</v>
      </c>
      <c r="H20454" s="8">
        <v>1280</v>
      </c>
    </row>
    <row r="20455" spans="2:8" ht="15" customHeight="1" x14ac:dyDescent="0.4">
      <c r="B20455" t="s">
        <v>7</v>
      </c>
      <c r="C20455" t="s">
        <v>3319</v>
      </c>
      <c r="D20455" s="7">
        <f>DATE(2004,4,13)</f>
        <v>38090</v>
      </c>
      <c r="E20455" s="8">
        <f t="shared" si="335"/>
        <v>2004</v>
      </c>
      <c r="F20455" t="s">
        <v>3320</v>
      </c>
      <c r="G20455" s="9">
        <v>4000</v>
      </c>
      <c r="H20455" s="8">
        <v>1610</v>
      </c>
    </row>
    <row r="20456" spans="2:8" ht="15" customHeight="1" x14ac:dyDescent="0.4">
      <c r="B20456" t="s">
        <v>7</v>
      </c>
      <c r="C20456" t="s">
        <v>3319</v>
      </c>
      <c r="D20456" s="7">
        <f>DATE(2005,3,18)</f>
        <v>38429</v>
      </c>
      <c r="E20456" s="8">
        <f t="shared" si="335"/>
        <v>2005</v>
      </c>
      <c r="F20456" t="s">
        <v>3320</v>
      </c>
      <c r="G20456" s="9">
        <v>32</v>
      </c>
      <c r="H20456" s="8">
        <v>2960</v>
      </c>
    </row>
    <row r="20457" spans="2:8" ht="15" customHeight="1" x14ac:dyDescent="0.4">
      <c r="B20457" t="s">
        <v>7</v>
      </c>
      <c r="C20457" t="s">
        <v>3319</v>
      </c>
      <c r="D20457" s="7">
        <f>DATE(2005,8,29)</f>
        <v>38593</v>
      </c>
      <c r="E20457" s="8">
        <f t="shared" si="335"/>
        <v>2005</v>
      </c>
      <c r="F20457" t="s">
        <v>3320</v>
      </c>
      <c r="G20457" s="9">
        <v>350</v>
      </c>
      <c r="H20457" s="8">
        <v>3488</v>
      </c>
    </row>
    <row r="20458" spans="2:8" ht="15" customHeight="1" x14ac:dyDescent="0.4">
      <c r="B20458" t="s">
        <v>7</v>
      </c>
      <c r="C20458" t="s">
        <v>3319</v>
      </c>
      <c r="D20458" s="7">
        <f>DATE(2005,12,5)</f>
        <v>38691</v>
      </c>
      <c r="E20458" s="8">
        <f t="shared" si="335"/>
        <v>2005</v>
      </c>
      <c r="F20458" t="s">
        <v>3320</v>
      </c>
      <c r="G20458" s="9">
        <v>350</v>
      </c>
      <c r="H20458" s="8">
        <v>3811</v>
      </c>
    </row>
    <row r="20459" spans="2:8" ht="15" customHeight="1" x14ac:dyDescent="0.4">
      <c r="B20459" t="s">
        <v>7</v>
      </c>
      <c r="C20459" t="s">
        <v>3319</v>
      </c>
      <c r="D20459" s="7">
        <f>DATE(2006,3,31)</f>
        <v>38807</v>
      </c>
      <c r="E20459" s="8">
        <f t="shared" si="335"/>
        <v>2006</v>
      </c>
      <c r="F20459" t="s">
        <v>3320</v>
      </c>
      <c r="G20459" s="9">
        <v>50</v>
      </c>
      <c r="H20459" s="8">
        <v>4400</v>
      </c>
    </row>
    <row r="20460" spans="2:8" ht="15" customHeight="1" x14ac:dyDescent="0.4">
      <c r="B20460" t="s">
        <v>7</v>
      </c>
      <c r="C20460" t="s">
        <v>3319</v>
      </c>
      <c r="D20460" s="7">
        <f>DATE(2009,10,30)</f>
        <v>40116</v>
      </c>
      <c r="E20460" s="8">
        <f t="shared" si="335"/>
        <v>2009</v>
      </c>
      <c r="F20460" t="s">
        <v>3320</v>
      </c>
      <c r="G20460" s="9">
        <v>1700</v>
      </c>
      <c r="H20460" s="8">
        <v>9192</v>
      </c>
    </row>
    <row r="20461" spans="2:8" ht="15" customHeight="1" x14ac:dyDescent="0.4">
      <c r="B20461" t="s">
        <v>7</v>
      </c>
      <c r="C20461" t="s">
        <v>3319</v>
      </c>
      <c r="D20461" s="7">
        <f>DATE(2009,11,11)</f>
        <v>40128</v>
      </c>
      <c r="E20461" s="8">
        <f t="shared" si="335"/>
        <v>2009</v>
      </c>
      <c r="F20461" t="s">
        <v>3320</v>
      </c>
      <c r="G20461" s="9">
        <v>210</v>
      </c>
      <c r="H20461" s="8">
        <v>9228</v>
      </c>
    </row>
    <row r="20462" spans="2:8" ht="15" customHeight="1" x14ac:dyDescent="0.4">
      <c r="B20462" t="s">
        <v>7</v>
      </c>
      <c r="C20462" t="s">
        <v>3319</v>
      </c>
      <c r="D20462" s="7">
        <f>DATE(2009,11,12)</f>
        <v>40129</v>
      </c>
      <c r="E20462" s="8">
        <f t="shared" si="335"/>
        <v>2009</v>
      </c>
      <c r="F20462" t="s">
        <v>3320</v>
      </c>
      <c r="G20462" s="9">
        <v>40</v>
      </c>
      <c r="H20462" s="8">
        <v>9235</v>
      </c>
    </row>
    <row r="20463" spans="2:8" ht="15" customHeight="1" x14ac:dyDescent="0.4">
      <c r="B20463" t="s">
        <v>7</v>
      </c>
      <c r="C20463" t="s">
        <v>3319</v>
      </c>
      <c r="D20463" s="7">
        <f>DATE(2010,3,10)</f>
        <v>40247</v>
      </c>
      <c r="E20463" s="8">
        <f t="shared" si="335"/>
        <v>2010</v>
      </c>
      <c r="F20463" t="s">
        <v>3320</v>
      </c>
      <c r="G20463" s="9">
        <v>1355</v>
      </c>
      <c r="H20463" s="8">
        <v>9543</v>
      </c>
    </row>
    <row r="20464" spans="2:8" ht="15" customHeight="1" x14ac:dyDescent="0.4">
      <c r="B20464" t="s">
        <v>7</v>
      </c>
      <c r="C20464" t="s">
        <v>3319</v>
      </c>
      <c r="D20464" s="7">
        <f>DATE(2011,9,27)</f>
        <v>40813</v>
      </c>
      <c r="E20464" s="8">
        <f t="shared" si="335"/>
        <v>2011</v>
      </c>
      <c r="F20464" t="s">
        <v>3320</v>
      </c>
      <c r="G20464" s="9">
        <v>46280</v>
      </c>
      <c r="H20464" s="8">
        <v>11032</v>
      </c>
    </row>
    <row r="20465" spans="2:8" ht="15" customHeight="1" x14ac:dyDescent="0.4">
      <c r="B20465" t="s">
        <v>7</v>
      </c>
      <c r="C20465" t="s">
        <v>3319</v>
      </c>
      <c r="D20465" s="7">
        <f>DATE(2011,12,21)</f>
        <v>40898</v>
      </c>
      <c r="E20465" s="8">
        <f t="shared" si="335"/>
        <v>2011</v>
      </c>
      <c r="F20465" t="s">
        <v>3320</v>
      </c>
      <c r="G20465" s="9">
        <v>1235</v>
      </c>
      <c r="H20465" s="8">
        <v>11158</v>
      </c>
    </row>
    <row r="20466" spans="2:8" ht="15" customHeight="1" x14ac:dyDescent="0.4">
      <c r="B20466" t="s">
        <v>7</v>
      </c>
      <c r="C20466" t="s">
        <v>3319</v>
      </c>
      <c r="D20466" s="7">
        <f>DATE(2003,12,1)</f>
        <v>37956</v>
      </c>
      <c r="E20466" s="8">
        <f t="shared" si="335"/>
        <v>2003</v>
      </c>
      <c r="F20466" t="s">
        <v>3320</v>
      </c>
      <c r="G20466" s="9">
        <v>8273.8799999999992</v>
      </c>
      <c r="H20466" s="8">
        <v>1020</v>
      </c>
    </row>
    <row r="20467" spans="2:8" ht="15" customHeight="1" x14ac:dyDescent="0.4">
      <c r="B20467" t="s">
        <v>7</v>
      </c>
      <c r="C20467" t="s">
        <v>3319</v>
      </c>
      <c r="D20467" s="7">
        <f>DATE(2007,4,21)</f>
        <v>39193</v>
      </c>
      <c r="E20467" s="8">
        <f t="shared" si="335"/>
        <v>2007</v>
      </c>
      <c r="F20467" t="s">
        <v>3320</v>
      </c>
      <c r="G20467" s="9">
        <v>9435.0400000000009</v>
      </c>
      <c r="H20467" s="8">
        <v>5880</v>
      </c>
    </row>
    <row r="20468" spans="2:8" ht="15" customHeight="1" x14ac:dyDescent="0.4">
      <c r="B20468" t="s">
        <v>7</v>
      </c>
      <c r="C20468" t="s">
        <v>3319</v>
      </c>
      <c r="D20468" s="7">
        <f>DATE(2007,6,14)</f>
        <v>39247</v>
      </c>
      <c r="E20468" s="8">
        <f t="shared" si="335"/>
        <v>2007</v>
      </c>
      <c r="F20468" t="s">
        <v>3320</v>
      </c>
      <c r="G20468" s="9">
        <v>8435.2999999999993</v>
      </c>
      <c r="H20468" s="8">
        <v>6040</v>
      </c>
    </row>
    <row r="20469" spans="2:8" ht="15" customHeight="1" x14ac:dyDescent="0.4">
      <c r="B20469" t="s">
        <v>7</v>
      </c>
      <c r="C20469" t="s">
        <v>3319</v>
      </c>
      <c r="D20469" s="7">
        <f>DATE(2008,3,19)</f>
        <v>39526</v>
      </c>
      <c r="E20469" s="8">
        <f t="shared" si="335"/>
        <v>2008</v>
      </c>
      <c r="F20469" t="s">
        <v>3320</v>
      </c>
      <c r="G20469" s="9">
        <v>8664.7000000000007</v>
      </c>
      <c r="H20469" s="8">
        <v>7212</v>
      </c>
    </row>
    <row r="20470" spans="2:8" ht="15" customHeight="1" x14ac:dyDescent="0.4">
      <c r="B20470" t="s">
        <v>7</v>
      </c>
      <c r="C20470" t="s">
        <v>3319</v>
      </c>
      <c r="D20470" s="7">
        <f>DATE(2008,4,18)</f>
        <v>39556</v>
      </c>
      <c r="E20470" s="8">
        <f t="shared" si="335"/>
        <v>2008</v>
      </c>
      <c r="F20470" t="s">
        <v>3320</v>
      </c>
      <c r="G20470" s="9">
        <v>3668.03</v>
      </c>
      <c r="H20470" s="8">
        <v>7335</v>
      </c>
    </row>
    <row r="20471" spans="2:8" ht="15" customHeight="1" x14ac:dyDescent="0.4">
      <c r="B20471" t="s">
        <v>7</v>
      </c>
      <c r="C20471" t="s">
        <v>3319</v>
      </c>
      <c r="D20471" s="7">
        <f>DATE(2008,7,11)</f>
        <v>39640</v>
      </c>
      <c r="E20471" s="8">
        <f t="shared" si="335"/>
        <v>2008</v>
      </c>
      <c r="F20471" t="s">
        <v>3320</v>
      </c>
      <c r="G20471" s="9">
        <v>11352.09</v>
      </c>
      <c r="H20471" s="8">
        <v>7585</v>
      </c>
    </row>
    <row r="20472" spans="2:8" ht="15" customHeight="1" x14ac:dyDescent="0.4">
      <c r="B20472" t="s">
        <v>7</v>
      </c>
      <c r="C20472" t="s">
        <v>3319</v>
      </c>
      <c r="D20472" s="7">
        <f>DATE(2010,10,18)</f>
        <v>40469</v>
      </c>
      <c r="E20472" s="8">
        <f t="shared" si="335"/>
        <v>2010</v>
      </c>
      <c r="F20472" t="s">
        <v>3320</v>
      </c>
      <c r="G20472" s="9">
        <v>12184.01</v>
      </c>
      <c r="H20472" s="8">
        <v>10188</v>
      </c>
    </row>
    <row r="20473" spans="2:8" ht="15" customHeight="1" x14ac:dyDescent="0.4">
      <c r="B20473" t="s">
        <v>7</v>
      </c>
      <c r="C20473" t="s">
        <v>3319</v>
      </c>
      <c r="D20473" s="7">
        <f>DATE(2010,11,5)</f>
        <v>40487</v>
      </c>
      <c r="E20473" s="8">
        <f t="shared" si="335"/>
        <v>2010</v>
      </c>
      <c r="F20473" t="s">
        <v>3320</v>
      </c>
      <c r="G20473" s="9">
        <v>11764.21</v>
      </c>
      <c r="H20473" s="8">
        <v>10243</v>
      </c>
    </row>
    <row r="20474" spans="2:8" ht="15" customHeight="1" x14ac:dyDescent="0.4">
      <c r="B20474" t="s">
        <v>7</v>
      </c>
      <c r="C20474" t="s">
        <v>3319</v>
      </c>
      <c r="D20474" s="7">
        <f>DATE(2011,2,10)</f>
        <v>40584</v>
      </c>
      <c r="E20474" s="8">
        <f t="shared" si="335"/>
        <v>2011</v>
      </c>
      <c r="F20474" t="s">
        <v>3320</v>
      </c>
      <c r="G20474" s="9">
        <v>22547.7</v>
      </c>
      <c r="H20474" s="8">
        <v>10456</v>
      </c>
    </row>
    <row r="20475" spans="2:8" ht="15" customHeight="1" x14ac:dyDescent="0.4">
      <c r="B20475" t="s">
        <v>7</v>
      </c>
      <c r="C20475" t="s">
        <v>3319</v>
      </c>
      <c r="D20475" s="7">
        <f>DATE(2011,8,17)</f>
        <v>40772</v>
      </c>
      <c r="E20475" s="8">
        <f t="shared" si="335"/>
        <v>2011</v>
      </c>
      <c r="F20475" t="s">
        <v>3320</v>
      </c>
      <c r="G20475" s="9">
        <v>31222.33</v>
      </c>
      <c r="H20475" s="8">
        <v>10931</v>
      </c>
    </row>
    <row r="20476" spans="2:8" ht="15" customHeight="1" x14ac:dyDescent="0.4">
      <c r="B20476" t="s">
        <v>7</v>
      </c>
      <c r="C20476" t="s">
        <v>3319</v>
      </c>
      <c r="D20476" s="7">
        <f>DATE(2011,9,6)</f>
        <v>40792</v>
      </c>
      <c r="E20476" s="8">
        <f t="shared" si="335"/>
        <v>2011</v>
      </c>
      <c r="F20476" t="s">
        <v>3320</v>
      </c>
      <c r="G20476" s="9">
        <v>14466.45</v>
      </c>
      <c r="H20476" s="8">
        <v>10965</v>
      </c>
    </row>
    <row r="20477" spans="2:8" ht="15" customHeight="1" x14ac:dyDescent="0.4">
      <c r="B20477" t="s">
        <v>7</v>
      </c>
      <c r="C20477" t="s">
        <v>3319</v>
      </c>
      <c r="D20477" s="7">
        <f>DATE(2011,11,9)</f>
        <v>40856</v>
      </c>
      <c r="E20477" s="8">
        <f t="shared" si="335"/>
        <v>2011</v>
      </c>
      <c r="F20477" t="s">
        <v>3320</v>
      </c>
      <c r="G20477" s="9">
        <v>11897.8</v>
      </c>
      <c r="H20477" s="8">
        <v>11090</v>
      </c>
    </row>
    <row r="20478" spans="2:8" ht="15" customHeight="1" x14ac:dyDescent="0.4">
      <c r="B20478" t="s">
        <v>7</v>
      </c>
      <c r="C20478" t="s">
        <v>3319</v>
      </c>
      <c r="D20478" s="7">
        <f>DATE(2014,3,3)</f>
        <v>41701</v>
      </c>
      <c r="E20478" s="8">
        <f t="shared" si="335"/>
        <v>2014</v>
      </c>
      <c r="F20478" t="s">
        <v>3320</v>
      </c>
      <c r="G20478" s="9">
        <v>11174.11</v>
      </c>
      <c r="H20478" s="8">
        <v>13012</v>
      </c>
    </row>
    <row r="20479" spans="2:8" ht="15" customHeight="1" x14ac:dyDescent="0.4">
      <c r="B20479" s="3" t="s">
        <v>7</v>
      </c>
      <c r="C20479" s="3" t="s">
        <v>3319</v>
      </c>
      <c r="D20479" s="4">
        <f>DATE(2004,3,29)</f>
        <v>38075</v>
      </c>
      <c r="E20479" s="5">
        <f t="shared" si="335"/>
        <v>2004</v>
      </c>
      <c r="F20479" s="3" t="s">
        <v>3320</v>
      </c>
      <c r="G20479" s="6">
        <v>1800</v>
      </c>
      <c r="H20479" s="5">
        <v>2515</v>
      </c>
    </row>
    <row r="20480" spans="2:8" ht="15" customHeight="1" x14ac:dyDescent="0.4">
      <c r="B20480" s="3" t="s">
        <v>7</v>
      </c>
      <c r="C20480" s="3" t="s">
        <v>3319</v>
      </c>
      <c r="D20480" s="4">
        <f>DATE(2010,11,22)</f>
        <v>40504</v>
      </c>
      <c r="E20480" s="5">
        <f t="shared" si="335"/>
        <v>2010</v>
      </c>
      <c r="F20480" s="3" t="s">
        <v>3320</v>
      </c>
      <c r="G20480" s="6">
        <v>846</v>
      </c>
      <c r="H20480" s="5">
        <v>14761</v>
      </c>
    </row>
    <row r="20481" spans="2:8" ht="15" customHeight="1" x14ac:dyDescent="0.4">
      <c r="B20481" s="3" t="s">
        <v>7</v>
      </c>
      <c r="C20481" s="3" t="s">
        <v>3319</v>
      </c>
      <c r="D20481" s="4">
        <f>DATE(2010,11,24)</f>
        <v>40506</v>
      </c>
      <c r="E20481" s="5">
        <f t="shared" si="335"/>
        <v>2010</v>
      </c>
      <c r="F20481" s="3" t="s">
        <v>3320</v>
      </c>
      <c r="G20481" s="6">
        <v>4601.3999999999996</v>
      </c>
      <c r="H20481" s="5">
        <v>14763</v>
      </c>
    </row>
    <row r="20482" spans="2:8" ht="15" customHeight="1" x14ac:dyDescent="0.4">
      <c r="B20482" s="3" t="s">
        <v>7</v>
      </c>
      <c r="C20482" s="3" t="s">
        <v>3319</v>
      </c>
      <c r="D20482" s="4">
        <f>DATE(2012,4,23)</f>
        <v>41022</v>
      </c>
      <c r="E20482" s="5">
        <f t="shared" si="335"/>
        <v>2012</v>
      </c>
      <c r="F20482" s="3" t="s">
        <v>3320</v>
      </c>
      <c r="G20482" s="6">
        <v>1520</v>
      </c>
      <c r="H20482" s="5">
        <v>17023</v>
      </c>
    </row>
    <row r="20483" spans="2:8" ht="15" customHeight="1" x14ac:dyDescent="0.4">
      <c r="B20483" s="3" t="s">
        <v>7</v>
      </c>
      <c r="C20483" s="3" t="s">
        <v>3319</v>
      </c>
      <c r="D20483" s="4">
        <f>DATE(2012,8,13)</f>
        <v>41134</v>
      </c>
      <c r="E20483" s="5">
        <f t="shared" ref="E20483:E20546" si="336">YEAR(D20483)</f>
        <v>2012</v>
      </c>
      <c r="F20483" s="3" t="s">
        <v>3320</v>
      </c>
      <c r="G20483" s="6">
        <v>36832.300000000003</v>
      </c>
      <c r="H20483" s="5">
        <v>17438</v>
      </c>
    </row>
    <row r="20484" spans="2:8" ht="15" customHeight="1" x14ac:dyDescent="0.4">
      <c r="B20484" s="3" t="s">
        <v>7</v>
      </c>
      <c r="C20484" s="3" t="s">
        <v>3319</v>
      </c>
      <c r="D20484" s="4">
        <f>DATE(2013,7,18)</f>
        <v>41473</v>
      </c>
      <c r="E20484" s="5">
        <f t="shared" si="336"/>
        <v>2013</v>
      </c>
      <c r="F20484" s="3" t="s">
        <v>3320</v>
      </c>
      <c r="G20484" s="6">
        <v>4100</v>
      </c>
      <c r="H20484" s="5">
        <v>18735</v>
      </c>
    </row>
    <row r="20485" spans="2:8" ht="15" customHeight="1" x14ac:dyDescent="0.4">
      <c r="B20485" s="3" t="s">
        <v>7</v>
      </c>
      <c r="C20485" s="3" t="s">
        <v>3321</v>
      </c>
      <c r="D20485" s="4">
        <f>DATE(2003,9,4)</f>
        <v>37868</v>
      </c>
      <c r="E20485" s="5">
        <f t="shared" si="336"/>
        <v>2003</v>
      </c>
      <c r="F20485" s="3" t="s">
        <v>3322</v>
      </c>
      <c r="G20485" s="6">
        <v>830</v>
      </c>
      <c r="H20485" s="5">
        <v>1468</v>
      </c>
    </row>
    <row r="20486" spans="2:8" ht="15" customHeight="1" x14ac:dyDescent="0.4">
      <c r="B20486" t="s">
        <v>7</v>
      </c>
      <c r="C20486" t="s">
        <v>3323</v>
      </c>
      <c r="D20486" s="7">
        <f>DATE(2016,4,6)</f>
        <v>42466</v>
      </c>
      <c r="E20486" s="8">
        <f t="shared" si="336"/>
        <v>2016</v>
      </c>
      <c r="F20486" t="s">
        <v>3324</v>
      </c>
      <c r="G20486" s="9">
        <v>737.2</v>
      </c>
      <c r="H20486" s="8">
        <v>22530</v>
      </c>
    </row>
    <row r="20487" spans="2:8" ht="15" customHeight="1" x14ac:dyDescent="0.4">
      <c r="B20487" t="s">
        <v>7</v>
      </c>
      <c r="C20487" t="s">
        <v>3323</v>
      </c>
      <c r="D20487" s="7">
        <f>DATE(2004,1,11)</f>
        <v>37997</v>
      </c>
      <c r="E20487" s="8">
        <f t="shared" si="336"/>
        <v>2004</v>
      </c>
      <c r="F20487" t="s">
        <v>3324</v>
      </c>
      <c r="G20487" s="9">
        <v>12307.39</v>
      </c>
      <c r="H20487" s="8">
        <v>1118</v>
      </c>
    </row>
    <row r="20488" spans="2:8" ht="15" customHeight="1" x14ac:dyDescent="0.4">
      <c r="B20488" t="s">
        <v>7</v>
      </c>
      <c r="C20488" t="s">
        <v>3323</v>
      </c>
      <c r="D20488" s="7">
        <f>DATE(2006,12,1)</f>
        <v>39052</v>
      </c>
      <c r="E20488" s="8">
        <f t="shared" si="336"/>
        <v>2006</v>
      </c>
      <c r="F20488" t="s">
        <v>3324</v>
      </c>
      <c r="G20488" s="9">
        <v>8713.27</v>
      </c>
      <c r="H20488" s="8">
        <v>5231</v>
      </c>
    </row>
    <row r="20489" spans="2:8" ht="15" customHeight="1" x14ac:dyDescent="0.4">
      <c r="B20489" t="s">
        <v>7</v>
      </c>
      <c r="C20489" t="s">
        <v>3323</v>
      </c>
      <c r="D20489" s="7">
        <f>DATE(2008,3,25)</f>
        <v>39532</v>
      </c>
      <c r="E20489" s="8">
        <f t="shared" si="336"/>
        <v>2008</v>
      </c>
      <c r="F20489" t="s">
        <v>3324</v>
      </c>
      <c r="G20489" s="9">
        <v>31997.5</v>
      </c>
      <c r="H20489" s="8">
        <v>7051</v>
      </c>
    </row>
    <row r="20490" spans="2:8" ht="15" customHeight="1" x14ac:dyDescent="0.4">
      <c r="B20490" t="s">
        <v>7</v>
      </c>
      <c r="C20490" t="s">
        <v>3323</v>
      </c>
      <c r="D20490" s="7">
        <f>DATE(2008,3,27)</f>
        <v>39534</v>
      </c>
      <c r="E20490" s="8">
        <f t="shared" si="336"/>
        <v>2008</v>
      </c>
      <c r="F20490" t="s">
        <v>3324</v>
      </c>
      <c r="G20490" s="9">
        <v>41866.25</v>
      </c>
      <c r="H20490" s="8">
        <v>7053</v>
      </c>
    </row>
    <row r="20491" spans="2:8" ht="15" customHeight="1" x14ac:dyDescent="0.4">
      <c r="B20491" t="s">
        <v>7</v>
      </c>
      <c r="C20491" t="s">
        <v>3323</v>
      </c>
      <c r="D20491" s="7">
        <f>DATE(2009,5,7)</f>
        <v>39940</v>
      </c>
      <c r="E20491" s="8">
        <f t="shared" si="336"/>
        <v>2009</v>
      </c>
      <c r="F20491" t="s">
        <v>3324</v>
      </c>
      <c r="G20491" s="9">
        <v>46776.639999999999</v>
      </c>
      <c r="H20491" s="8">
        <v>8280</v>
      </c>
    </row>
    <row r="20492" spans="2:8" ht="15" customHeight="1" x14ac:dyDescent="0.4">
      <c r="B20492" t="s">
        <v>7</v>
      </c>
      <c r="C20492" t="s">
        <v>3323</v>
      </c>
      <c r="D20492" s="7">
        <f>DATE(2009,5,7)</f>
        <v>39940</v>
      </c>
      <c r="E20492" s="8">
        <f t="shared" si="336"/>
        <v>2009</v>
      </c>
      <c r="F20492" t="s">
        <v>3324</v>
      </c>
      <c r="G20492" s="9">
        <v>60050.52</v>
      </c>
      <c r="H20492" s="8">
        <v>8280</v>
      </c>
    </row>
    <row r="20493" spans="2:8" ht="15" customHeight="1" x14ac:dyDescent="0.4">
      <c r="B20493" t="s">
        <v>7</v>
      </c>
      <c r="C20493" t="s">
        <v>3323</v>
      </c>
      <c r="D20493" s="7">
        <f>DATE(2009,12,15)</f>
        <v>40162</v>
      </c>
      <c r="E20493" s="8">
        <f t="shared" si="336"/>
        <v>2009</v>
      </c>
      <c r="F20493" t="s">
        <v>3324</v>
      </c>
      <c r="G20493" s="9">
        <v>124732.71</v>
      </c>
      <c r="H20493" s="8">
        <v>9243</v>
      </c>
    </row>
    <row r="20494" spans="2:8" ht="15" customHeight="1" x14ac:dyDescent="0.4">
      <c r="B20494" t="s">
        <v>7</v>
      </c>
      <c r="C20494" t="s">
        <v>3323</v>
      </c>
      <c r="D20494" s="7">
        <f>DATE(2009,12,21)</f>
        <v>40168</v>
      </c>
      <c r="E20494" s="8">
        <f t="shared" si="336"/>
        <v>2009</v>
      </c>
      <c r="F20494" t="s">
        <v>3324</v>
      </c>
      <c r="G20494" s="9">
        <v>568.69000000000005</v>
      </c>
      <c r="H20494" s="8">
        <v>9341</v>
      </c>
    </row>
    <row r="20495" spans="2:8" ht="15" customHeight="1" x14ac:dyDescent="0.4">
      <c r="B20495" t="s">
        <v>7</v>
      </c>
      <c r="C20495" t="s">
        <v>3323</v>
      </c>
      <c r="D20495" s="7">
        <f>DATE(2010,3,8)</f>
        <v>40245</v>
      </c>
      <c r="E20495" s="8">
        <f t="shared" si="336"/>
        <v>2010</v>
      </c>
      <c r="F20495" t="s">
        <v>3324</v>
      </c>
      <c r="G20495" s="9">
        <v>9575.5</v>
      </c>
      <c r="H20495" s="8">
        <v>9588</v>
      </c>
    </row>
    <row r="20496" spans="2:8" ht="15" customHeight="1" x14ac:dyDescent="0.4">
      <c r="B20496" t="s">
        <v>7</v>
      </c>
      <c r="C20496" t="s">
        <v>3323</v>
      </c>
      <c r="D20496" s="7">
        <f>DATE(2011,3,28)</f>
        <v>40630</v>
      </c>
      <c r="E20496" s="8">
        <f t="shared" si="336"/>
        <v>2011</v>
      </c>
      <c r="F20496" t="s">
        <v>3324</v>
      </c>
      <c r="G20496" s="9">
        <v>50437.09</v>
      </c>
      <c r="H20496" s="8">
        <v>10489</v>
      </c>
    </row>
    <row r="20497" spans="2:8" ht="15" customHeight="1" x14ac:dyDescent="0.4">
      <c r="B20497" t="s">
        <v>7</v>
      </c>
      <c r="C20497" t="s">
        <v>3323</v>
      </c>
      <c r="D20497" s="7">
        <f>DATE(2012,3,8)</f>
        <v>40976</v>
      </c>
      <c r="E20497" s="8">
        <f t="shared" si="336"/>
        <v>2012</v>
      </c>
      <c r="F20497" t="s">
        <v>3324</v>
      </c>
      <c r="G20497" s="9">
        <v>53832.44</v>
      </c>
      <c r="H20497" s="8">
        <v>11230</v>
      </c>
    </row>
    <row r="20498" spans="2:8" ht="15" customHeight="1" x14ac:dyDescent="0.4">
      <c r="B20498" t="s">
        <v>7</v>
      </c>
      <c r="C20498" t="s">
        <v>3323</v>
      </c>
      <c r="D20498" s="7">
        <f>DATE(2012,4,27)</f>
        <v>41026</v>
      </c>
      <c r="E20498" s="8">
        <f t="shared" si="336"/>
        <v>2012</v>
      </c>
      <c r="F20498" t="s">
        <v>3324</v>
      </c>
      <c r="G20498" s="9">
        <v>40008.18</v>
      </c>
      <c r="H20498" s="8">
        <v>11414</v>
      </c>
    </row>
    <row r="20499" spans="2:8" ht="15" customHeight="1" x14ac:dyDescent="0.4">
      <c r="B20499" t="s">
        <v>7</v>
      </c>
      <c r="C20499" t="s">
        <v>3323</v>
      </c>
      <c r="D20499" s="7">
        <f>DATE(2012,5,8)</f>
        <v>41037</v>
      </c>
      <c r="E20499" s="8">
        <f t="shared" si="336"/>
        <v>2012</v>
      </c>
      <c r="F20499" t="s">
        <v>3324</v>
      </c>
      <c r="G20499" s="9">
        <v>28968.16</v>
      </c>
      <c r="H20499" s="8">
        <v>11504</v>
      </c>
    </row>
    <row r="20500" spans="2:8" ht="15" customHeight="1" x14ac:dyDescent="0.4">
      <c r="B20500" t="s">
        <v>7</v>
      </c>
      <c r="C20500" t="s">
        <v>3323</v>
      </c>
      <c r="D20500" s="7">
        <f>DATE(2012,5,8)</f>
        <v>41037</v>
      </c>
      <c r="E20500" s="8">
        <f t="shared" si="336"/>
        <v>2012</v>
      </c>
      <c r="F20500" t="s">
        <v>3324</v>
      </c>
      <c r="G20500" s="9">
        <v>14596</v>
      </c>
      <c r="H20500" s="8">
        <v>11504</v>
      </c>
    </row>
    <row r="20501" spans="2:8" ht="15" customHeight="1" x14ac:dyDescent="0.4">
      <c r="B20501" t="s">
        <v>7</v>
      </c>
      <c r="C20501" t="s">
        <v>3323</v>
      </c>
      <c r="D20501" s="7">
        <f>DATE(2012,5,10)</f>
        <v>41039</v>
      </c>
      <c r="E20501" s="8">
        <f t="shared" si="336"/>
        <v>2012</v>
      </c>
      <c r="F20501" t="s">
        <v>3324</v>
      </c>
      <c r="G20501" s="9">
        <v>33624</v>
      </c>
      <c r="H20501" s="8">
        <v>11585</v>
      </c>
    </row>
    <row r="20502" spans="2:8" ht="15" customHeight="1" x14ac:dyDescent="0.4">
      <c r="B20502" t="s">
        <v>7</v>
      </c>
      <c r="C20502" t="s">
        <v>3323</v>
      </c>
      <c r="D20502" s="7">
        <f>DATE(2012,5,15)</f>
        <v>41044</v>
      </c>
      <c r="E20502" s="8">
        <f t="shared" si="336"/>
        <v>2012</v>
      </c>
      <c r="F20502" t="s">
        <v>3324</v>
      </c>
      <c r="G20502" s="9">
        <v>29643.84</v>
      </c>
      <c r="H20502" s="8">
        <v>11606</v>
      </c>
    </row>
    <row r="20503" spans="2:8" ht="15" customHeight="1" x14ac:dyDescent="0.4">
      <c r="B20503" t="s">
        <v>7</v>
      </c>
      <c r="C20503" t="s">
        <v>3323</v>
      </c>
      <c r="D20503" s="7">
        <f>DATE(2010,5,13)</f>
        <v>40311</v>
      </c>
      <c r="E20503" s="8">
        <f t="shared" si="336"/>
        <v>2010</v>
      </c>
      <c r="F20503" t="s">
        <v>3324</v>
      </c>
      <c r="G20503" s="9">
        <v>3123.89</v>
      </c>
      <c r="H20503" s="8">
        <v>9793</v>
      </c>
    </row>
    <row r="20504" spans="2:8" ht="15" customHeight="1" x14ac:dyDescent="0.4">
      <c r="B20504" t="s">
        <v>7</v>
      </c>
      <c r="C20504" t="s">
        <v>3323</v>
      </c>
      <c r="D20504" s="7">
        <f>DATE(2010,5,20)</f>
        <v>40318</v>
      </c>
      <c r="E20504" s="8">
        <f t="shared" si="336"/>
        <v>2010</v>
      </c>
      <c r="F20504" t="s">
        <v>3324</v>
      </c>
      <c r="G20504" s="9">
        <v>11650.17</v>
      </c>
      <c r="H20504" s="8">
        <v>9845</v>
      </c>
    </row>
    <row r="20505" spans="2:8" ht="15" customHeight="1" x14ac:dyDescent="0.4">
      <c r="B20505" t="s">
        <v>7</v>
      </c>
      <c r="C20505" t="s">
        <v>3323</v>
      </c>
      <c r="D20505" s="7">
        <f>DATE(2010,6,3)</f>
        <v>40332</v>
      </c>
      <c r="E20505" s="8">
        <f t="shared" si="336"/>
        <v>2010</v>
      </c>
      <c r="F20505" t="s">
        <v>3324</v>
      </c>
      <c r="G20505" s="9">
        <v>31387.85</v>
      </c>
      <c r="H20505" s="8">
        <v>9869</v>
      </c>
    </row>
    <row r="20506" spans="2:8" ht="15" customHeight="1" x14ac:dyDescent="0.4">
      <c r="B20506" t="s">
        <v>7</v>
      </c>
      <c r="C20506" t="s">
        <v>3323</v>
      </c>
      <c r="D20506" s="7">
        <f>DATE(2011,2,2)</f>
        <v>40576</v>
      </c>
      <c r="E20506" s="8">
        <f t="shared" si="336"/>
        <v>2011</v>
      </c>
      <c r="F20506" t="s">
        <v>3324</v>
      </c>
      <c r="G20506" s="9">
        <v>10803.56</v>
      </c>
      <c r="H20506" s="8">
        <v>10378</v>
      </c>
    </row>
    <row r="20507" spans="2:8" ht="15" customHeight="1" x14ac:dyDescent="0.4">
      <c r="B20507" t="s">
        <v>7</v>
      </c>
      <c r="C20507" t="s">
        <v>3323</v>
      </c>
      <c r="D20507" s="7">
        <f>DATE(2011,6,23)</f>
        <v>40717</v>
      </c>
      <c r="E20507" s="8">
        <f t="shared" si="336"/>
        <v>2011</v>
      </c>
      <c r="F20507" t="s">
        <v>3324</v>
      </c>
      <c r="G20507" s="9">
        <v>9902.16</v>
      </c>
      <c r="H20507" s="8">
        <v>10806</v>
      </c>
    </row>
    <row r="20508" spans="2:8" ht="15" customHeight="1" x14ac:dyDescent="0.4">
      <c r="B20508" t="s">
        <v>7</v>
      </c>
      <c r="C20508" t="s">
        <v>3323</v>
      </c>
      <c r="D20508" s="7">
        <f>DATE(2012,1,20)</f>
        <v>40928</v>
      </c>
      <c r="E20508" s="8">
        <f t="shared" si="336"/>
        <v>2012</v>
      </c>
      <c r="F20508" t="s">
        <v>3324</v>
      </c>
      <c r="G20508" s="9">
        <v>12494.81</v>
      </c>
      <c r="H20508" s="8">
        <v>11236</v>
      </c>
    </row>
    <row r="20509" spans="2:8" ht="15" customHeight="1" x14ac:dyDescent="0.4">
      <c r="B20509" t="s">
        <v>16</v>
      </c>
      <c r="C20509" t="s">
        <v>3323</v>
      </c>
      <c r="D20509" s="7">
        <f>DATE(2009,12,15)</f>
        <v>40162</v>
      </c>
      <c r="E20509" s="8">
        <f t="shared" si="336"/>
        <v>2009</v>
      </c>
      <c r="F20509" t="s">
        <v>3324</v>
      </c>
      <c r="G20509" s="9">
        <v>1295.9000000000001</v>
      </c>
      <c r="H20509" s="8">
        <v>9643</v>
      </c>
    </row>
    <row r="20510" spans="2:8" ht="15" customHeight="1" x14ac:dyDescent="0.4">
      <c r="B20510" t="s">
        <v>16</v>
      </c>
      <c r="C20510" t="s">
        <v>3323</v>
      </c>
      <c r="D20510" s="7">
        <f>DATE(2009,12,21)</f>
        <v>40168</v>
      </c>
      <c r="E20510" s="8">
        <f t="shared" si="336"/>
        <v>2009</v>
      </c>
      <c r="F20510" t="s">
        <v>3324</v>
      </c>
      <c r="G20510" s="9">
        <v>568.69000000000005</v>
      </c>
      <c r="H20510" s="8">
        <v>11173</v>
      </c>
    </row>
    <row r="20511" spans="2:8" ht="15" customHeight="1" x14ac:dyDescent="0.4">
      <c r="B20511" t="s">
        <v>16</v>
      </c>
      <c r="C20511" t="s">
        <v>3323</v>
      </c>
      <c r="D20511" s="7">
        <f>DATE(2012,10,1)</f>
        <v>41183</v>
      </c>
      <c r="E20511" s="8">
        <f t="shared" si="336"/>
        <v>2012</v>
      </c>
      <c r="F20511" t="s">
        <v>3324</v>
      </c>
      <c r="G20511" s="9">
        <v>464</v>
      </c>
      <c r="H20511" s="8">
        <v>11967</v>
      </c>
    </row>
    <row r="20512" spans="2:8" ht="15" customHeight="1" x14ac:dyDescent="0.4">
      <c r="B20512" s="3" t="s">
        <v>7</v>
      </c>
      <c r="C20512" s="3" t="s">
        <v>3323</v>
      </c>
      <c r="D20512" s="4">
        <f>DATE(2003,3,19)</f>
        <v>37699</v>
      </c>
      <c r="E20512" s="5">
        <f t="shared" si="336"/>
        <v>2003</v>
      </c>
      <c r="F20512" s="3" t="s">
        <v>3324</v>
      </c>
      <c r="G20512" s="6">
        <v>325</v>
      </c>
      <c r="H20512" s="5">
        <v>458</v>
      </c>
    </row>
    <row r="20513" spans="2:8" ht="15" customHeight="1" x14ac:dyDescent="0.4">
      <c r="B20513" s="3" t="s">
        <v>7</v>
      </c>
      <c r="C20513" s="3" t="s">
        <v>3323</v>
      </c>
      <c r="D20513" s="4">
        <f>DATE(2003,3,19)</f>
        <v>37699</v>
      </c>
      <c r="E20513" s="5">
        <f t="shared" si="336"/>
        <v>2003</v>
      </c>
      <c r="F20513" s="3" t="s">
        <v>3324</v>
      </c>
      <c r="G20513" s="6">
        <v>7200</v>
      </c>
      <c r="H20513" s="5">
        <v>550</v>
      </c>
    </row>
    <row r="20514" spans="2:8" ht="15" customHeight="1" x14ac:dyDescent="0.4">
      <c r="B20514" s="3" t="s">
        <v>7</v>
      </c>
      <c r="C20514" s="3" t="s">
        <v>3323</v>
      </c>
      <c r="D20514" s="4">
        <f>DATE(2003,4,30)</f>
        <v>37741</v>
      </c>
      <c r="E20514" s="5">
        <f t="shared" si="336"/>
        <v>2003</v>
      </c>
      <c r="F20514" s="3" t="s">
        <v>3324</v>
      </c>
      <c r="G20514" s="6">
        <v>6163.2</v>
      </c>
      <c r="H20514" s="5">
        <v>688</v>
      </c>
    </row>
    <row r="20515" spans="2:8" ht="15" customHeight="1" x14ac:dyDescent="0.4">
      <c r="B20515" s="3" t="s">
        <v>7</v>
      </c>
      <c r="C20515" s="3" t="s">
        <v>3323</v>
      </c>
      <c r="D20515" s="4">
        <f>DATE(2003,8,8)</f>
        <v>37841</v>
      </c>
      <c r="E20515" s="5">
        <f t="shared" si="336"/>
        <v>2003</v>
      </c>
      <c r="F20515" s="3" t="s">
        <v>3324</v>
      </c>
      <c r="G20515" s="6">
        <v>5760</v>
      </c>
      <c r="H20515" s="5">
        <v>1338</v>
      </c>
    </row>
    <row r="20516" spans="2:8" ht="15" customHeight="1" x14ac:dyDescent="0.4">
      <c r="B20516" s="3" t="s">
        <v>7</v>
      </c>
      <c r="C20516" s="3" t="s">
        <v>3323</v>
      </c>
      <c r="D20516" s="4">
        <f>DATE(2003,9,16)</f>
        <v>37880</v>
      </c>
      <c r="E20516" s="5">
        <f t="shared" si="336"/>
        <v>2003</v>
      </c>
      <c r="F20516" s="3" t="s">
        <v>3324</v>
      </c>
      <c r="G20516" s="6">
        <v>180.6</v>
      </c>
      <c r="H20516" s="5">
        <v>1498</v>
      </c>
    </row>
    <row r="20517" spans="2:8" ht="15" customHeight="1" x14ac:dyDescent="0.4">
      <c r="B20517" s="3" t="s">
        <v>7</v>
      </c>
      <c r="C20517" s="3" t="s">
        <v>3323</v>
      </c>
      <c r="D20517" s="4">
        <f>DATE(2003,12,5)</f>
        <v>37960</v>
      </c>
      <c r="E20517" s="5">
        <f t="shared" si="336"/>
        <v>2003</v>
      </c>
      <c r="F20517" s="3" t="s">
        <v>3324</v>
      </c>
      <c r="G20517" s="6">
        <v>210</v>
      </c>
      <c r="H20517" s="5">
        <v>1872</v>
      </c>
    </row>
    <row r="20518" spans="2:8" ht="15" customHeight="1" x14ac:dyDescent="0.4">
      <c r="B20518" s="3" t="s">
        <v>7</v>
      </c>
      <c r="C20518" s="3" t="s">
        <v>3323</v>
      </c>
      <c r="D20518" s="4">
        <f>DATE(2003,12,12)</f>
        <v>37967</v>
      </c>
      <c r="E20518" s="5">
        <f t="shared" si="336"/>
        <v>2003</v>
      </c>
      <c r="F20518" s="3" t="s">
        <v>3324</v>
      </c>
      <c r="G20518" s="6">
        <v>498</v>
      </c>
      <c r="H20518" s="5">
        <v>1899</v>
      </c>
    </row>
    <row r="20519" spans="2:8" ht="15" customHeight="1" x14ac:dyDescent="0.4">
      <c r="B20519" s="3" t="s">
        <v>7</v>
      </c>
      <c r="C20519" s="3" t="s">
        <v>3323</v>
      </c>
      <c r="D20519" s="4">
        <f>DATE(2004,3,10)</f>
        <v>38056</v>
      </c>
      <c r="E20519" s="5">
        <f t="shared" si="336"/>
        <v>2004</v>
      </c>
      <c r="F20519" s="3" t="s">
        <v>3324</v>
      </c>
      <c r="G20519" s="6">
        <v>7200</v>
      </c>
      <c r="H20519" s="5">
        <v>2334</v>
      </c>
    </row>
    <row r="20520" spans="2:8" ht="15" customHeight="1" x14ac:dyDescent="0.4">
      <c r="B20520" s="3" t="s">
        <v>7</v>
      </c>
      <c r="C20520" s="3" t="s">
        <v>3323</v>
      </c>
      <c r="D20520" s="4">
        <f>DATE(2004,3,10)</f>
        <v>38056</v>
      </c>
      <c r="E20520" s="5">
        <f t="shared" si="336"/>
        <v>2004</v>
      </c>
      <c r="F20520" s="3" t="s">
        <v>3324</v>
      </c>
      <c r="G20520" s="6">
        <v>1440</v>
      </c>
      <c r="H20520" s="5">
        <v>2363</v>
      </c>
    </row>
    <row r="20521" spans="2:8" ht="15" customHeight="1" x14ac:dyDescent="0.4">
      <c r="B20521" s="3" t="s">
        <v>7</v>
      </c>
      <c r="C20521" s="3" t="s">
        <v>3323</v>
      </c>
      <c r="D20521" s="4">
        <f>DATE(2004,3,18)</f>
        <v>38064</v>
      </c>
      <c r="E20521" s="5">
        <f t="shared" si="336"/>
        <v>2004</v>
      </c>
      <c r="F20521" s="3" t="s">
        <v>3324</v>
      </c>
      <c r="G20521" s="6">
        <v>720</v>
      </c>
      <c r="H20521" s="5">
        <v>2430</v>
      </c>
    </row>
    <row r="20522" spans="2:8" ht="15" customHeight="1" x14ac:dyDescent="0.4">
      <c r="B20522" s="3" t="s">
        <v>7</v>
      </c>
      <c r="C20522" s="3" t="s">
        <v>3323</v>
      </c>
      <c r="D20522" s="4">
        <f>DATE(2004,4,28)</f>
        <v>38105</v>
      </c>
      <c r="E20522" s="5">
        <f t="shared" si="336"/>
        <v>2004</v>
      </c>
      <c r="F20522" s="3" t="s">
        <v>3324</v>
      </c>
      <c r="G20522" s="6">
        <v>6736.8</v>
      </c>
      <c r="H20522" s="5">
        <v>2617</v>
      </c>
    </row>
    <row r="20523" spans="2:8" ht="15" customHeight="1" x14ac:dyDescent="0.4">
      <c r="B20523" s="3" t="s">
        <v>7</v>
      </c>
      <c r="C20523" s="3" t="s">
        <v>3323</v>
      </c>
      <c r="D20523" s="4">
        <f>DATE(2004,5,5)</f>
        <v>38112</v>
      </c>
      <c r="E20523" s="5">
        <f t="shared" si="336"/>
        <v>2004</v>
      </c>
      <c r="F20523" s="3" t="s">
        <v>3324</v>
      </c>
      <c r="G20523" s="6">
        <v>2640</v>
      </c>
      <c r="H20523" s="5">
        <v>2809</v>
      </c>
    </row>
    <row r="20524" spans="2:8" ht="15" customHeight="1" x14ac:dyDescent="0.4">
      <c r="B20524" s="3" t="s">
        <v>7</v>
      </c>
      <c r="C20524" s="3" t="s">
        <v>3323</v>
      </c>
      <c r="D20524" s="4">
        <f>DATE(2004,5,6)</f>
        <v>38113</v>
      </c>
      <c r="E20524" s="5">
        <f t="shared" si="336"/>
        <v>2004</v>
      </c>
      <c r="F20524" s="3" t="s">
        <v>3324</v>
      </c>
      <c r="G20524" s="6">
        <v>90</v>
      </c>
      <c r="H20524" s="5">
        <v>2827</v>
      </c>
    </row>
    <row r="20525" spans="2:8" ht="15" customHeight="1" x14ac:dyDescent="0.4">
      <c r="B20525" s="3" t="s">
        <v>7</v>
      </c>
      <c r="C20525" s="3" t="s">
        <v>3323</v>
      </c>
      <c r="D20525" s="4">
        <f>DATE(2004,8,19)</f>
        <v>38218</v>
      </c>
      <c r="E20525" s="5">
        <f t="shared" si="336"/>
        <v>2004</v>
      </c>
      <c r="F20525" s="3" t="s">
        <v>3324</v>
      </c>
      <c r="G20525" s="6">
        <v>42</v>
      </c>
      <c r="H20525" s="5">
        <v>3290</v>
      </c>
    </row>
    <row r="20526" spans="2:8" ht="15" customHeight="1" x14ac:dyDescent="0.4">
      <c r="B20526" s="3" t="s">
        <v>7</v>
      </c>
      <c r="C20526" s="3" t="s">
        <v>3323</v>
      </c>
      <c r="D20526" s="4">
        <f>DATE(2004,9,30)</f>
        <v>38260</v>
      </c>
      <c r="E20526" s="5">
        <f t="shared" si="336"/>
        <v>2004</v>
      </c>
      <c r="F20526" s="3" t="s">
        <v>3324</v>
      </c>
      <c r="G20526" s="6">
        <v>96</v>
      </c>
      <c r="H20526" s="5">
        <v>3495</v>
      </c>
    </row>
    <row r="20527" spans="2:8" ht="15" customHeight="1" x14ac:dyDescent="0.4">
      <c r="B20527" s="3" t="s">
        <v>7</v>
      </c>
      <c r="C20527" s="3" t="s">
        <v>3323</v>
      </c>
      <c r="D20527" s="4">
        <f>DATE(2004,11,15)</f>
        <v>38306</v>
      </c>
      <c r="E20527" s="5">
        <f t="shared" si="336"/>
        <v>2004</v>
      </c>
      <c r="F20527" s="3" t="s">
        <v>3324</v>
      </c>
      <c r="G20527" s="6">
        <v>176.4</v>
      </c>
      <c r="H20527" s="5">
        <v>3713</v>
      </c>
    </row>
    <row r="20528" spans="2:8" ht="15" customHeight="1" x14ac:dyDescent="0.4">
      <c r="B20528" s="3" t="s">
        <v>7</v>
      </c>
      <c r="C20528" s="3" t="s">
        <v>3323</v>
      </c>
      <c r="D20528" s="4">
        <f>DATE(2005,1,12)</f>
        <v>38364</v>
      </c>
      <c r="E20528" s="5">
        <f t="shared" si="336"/>
        <v>2005</v>
      </c>
      <c r="F20528" s="3" t="s">
        <v>3324</v>
      </c>
      <c r="G20528" s="6">
        <v>12882</v>
      </c>
      <c r="H20528" s="5">
        <v>3946</v>
      </c>
    </row>
    <row r="20529" spans="2:8" ht="15" customHeight="1" x14ac:dyDescent="0.4">
      <c r="B20529" s="3" t="s">
        <v>7</v>
      </c>
      <c r="C20529" s="3" t="s">
        <v>3323</v>
      </c>
      <c r="D20529" s="4">
        <f>DATE(2005,5,25)</f>
        <v>38497</v>
      </c>
      <c r="E20529" s="5">
        <f t="shared" si="336"/>
        <v>2005</v>
      </c>
      <c r="F20529" s="3" t="s">
        <v>3324</v>
      </c>
      <c r="G20529" s="6">
        <v>210</v>
      </c>
      <c r="H20529" s="5">
        <v>4796</v>
      </c>
    </row>
    <row r="20530" spans="2:8" ht="15" customHeight="1" x14ac:dyDescent="0.4">
      <c r="B20530" s="3" t="s">
        <v>7</v>
      </c>
      <c r="C20530" s="3" t="s">
        <v>3323</v>
      </c>
      <c r="D20530" s="4">
        <f>DATE(2005,8,18)</f>
        <v>38582</v>
      </c>
      <c r="E20530" s="5">
        <f t="shared" si="336"/>
        <v>2005</v>
      </c>
      <c r="F20530" s="3" t="s">
        <v>3324</v>
      </c>
      <c r="G20530" s="6">
        <v>7600</v>
      </c>
      <c r="H20530" s="5">
        <v>5119</v>
      </c>
    </row>
    <row r="20531" spans="2:8" ht="15" customHeight="1" x14ac:dyDescent="0.4">
      <c r="B20531" s="3" t="s">
        <v>7</v>
      </c>
      <c r="C20531" s="3" t="s">
        <v>3323</v>
      </c>
      <c r="D20531" s="4">
        <f>DATE(2005,12,1)</f>
        <v>38687</v>
      </c>
      <c r="E20531" s="5">
        <f t="shared" si="336"/>
        <v>2005</v>
      </c>
      <c r="F20531" s="3" t="s">
        <v>3324</v>
      </c>
      <c r="G20531" s="6">
        <v>220.5</v>
      </c>
      <c r="H20531" s="5">
        <v>5665</v>
      </c>
    </row>
    <row r="20532" spans="2:8" ht="15" customHeight="1" x14ac:dyDescent="0.4">
      <c r="B20532" s="3" t="s">
        <v>7</v>
      </c>
      <c r="C20532" s="3" t="s">
        <v>3323</v>
      </c>
      <c r="D20532" s="4">
        <f>DATE(2006,1,13)</f>
        <v>38730</v>
      </c>
      <c r="E20532" s="5">
        <f t="shared" si="336"/>
        <v>2006</v>
      </c>
      <c r="F20532" s="3" t="s">
        <v>3324</v>
      </c>
      <c r="G20532" s="6">
        <v>220.5</v>
      </c>
      <c r="H20532" s="5">
        <v>5835</v>
      </c>
    </row>
    <row r="20533" spans="2:8" ht="15" customHeight="1" x14ac:dyDescent="0.4">
      <c r="B20533" s="3" t="s">
        <v>7</v>
      </c>
      <c r="C20533" s="3" t="s">
        <v>3323</v>
      </c>
      <c r="D20533" s="4">
        <f>DATE(2006,6,8)</f>
        <v>38876</v>
      </c>
      <c r="E20533" s="5">
        <f t="shared" si="336"/>
        <v>2006</v>
      </c>
      <c r="F20533" s="3" t="s">
        <v>3324</v>
      </c>
      <c r="G20533" s="6">
        <v>185.22</v>
      </c>
      <c r="H20533" s="5">
        <v>6830</v>
      </c>
    </row>
    <row r="20534" spans="2:8" ht="15" customHeight="1" x14ac:dyDescent="0.4">
      <c r="B20534" s="3" t="s">
        <v>7</v>
      </c>
      <c r="C20534" s="3" t="s">
        <v>3323</v>
      </c>
      <c r="D20534" s="4">
        <f>DATE(2006,7,13)</f>
        <v>38911</v>
      </c>
      <c r="E20534" s="5">
        <f t="shared" si="336"/>
        <v>2006</v>
      </c>
      <c r="F20534" s="3" t="s">
        <v>3324</v>
      </c>
      <c r="G20534" s="6">
        <v>882</v>
      </c>
      <c r="H20534" s="5">
        <v>6948</v>
      </c>
    </row>
    <row r="20535" spans="2:8" ht="15" customHeight="1" x14ac:dyDescent="0.4">
      <c r="B20535" s="3" t="s">
        <v>7</v>
      </c>
      <c r="C20535" s="3" t="s">
        <v>3323</v>
      </c>
      <c r="D20535" s="4">
        <f>DATE(2006,7,25)</f>
        <v>38923</v>
      </c>
      <c r="E20535" s="5">
        <f t="shared" si="336"/>
        <v>2006</v>
      </c>
      <c r="F20535" s="3" t="s">
        <v>3324</v>
      </c>
      <c r="G20535" s="6">
        <v>220.5</v>
      </c>
      <c r="H20535" s="5">
        <v>6986</v>
      </c>
    </row>
    <row r="20536" spans="2:8" ht="15" customHeight="1" x14ac:dyDescent="0.4">
      <c r="B20536" s="3" t="s">
        <v>7</v>
      </c>
      <c r="C20536" s="3" t="s">
        <v>3323</v>
      </c>
      <c r="D20536" s="4">
        <f>DATE(2006,7,25)</f>
        <v>38923</v>
      </c>
      <c r="E20536" s="5">
        <f t="shared" si="336"/>
        <v>2006</v>
      </c>
      <c r="F20536" s="3" t="s">
        <v>3324</v>
      </c>
      <c r="G20536" s="6">
        <v>882</v>
      </c>
      <c r="H20536" s="5">
        <v>6988</v>
      </c>
    </row>
    <row r="20537" spans="2:8" ht="15" customHeight="1" x14ac:dyDescent="0.4">
      <c r="B20537" s="3" t="s">
        <v>7</v>
      </c>
      <c r="C20537" s="3" t="s">
        <v>3323</v>
      </c>
      <c r="D20537" s="4">
        <f>DATE(2006,8,23)</f>
        <v>38952</v>
      </c>
      <c r="E20537" s="5">
        <f t="shared" si="336"/>
        <v>2006</v>
      </c>
      <c r="F20537" s="3" t="s">
        <v>3324</v>
      </c>
      <c r="G20537" s="6">
        <v>441</v>
      </c>
      <c r="H20537" s="5">
        <v>7143</v>
      </c>
    </row>
    <row r="20538" spans="2:8" ht="15" customHeight="1" x14ac:dyDescent="0.4">
      <c r="B20538" s="3" t="s">
        <v>7</v>
      </c>
      <c r="C20538" s="3" t="s">
        <v>3323</v>
      </c>
      <c r="D20538" s="4">
        <f>DATE(2006,9,1)</f>
        <v>38961</v>
      </c>
      <c r="E20538" s="5">
        <f t="shared" si="336"/>
        <v>2006</v>
      </c>
      <c r="F20538" s="3" t="s">
        <v>3324</v>
      </c>
      <c r="G20538" s="6">
        <v>1764</v>
      </c>
      <c r="H20538" s="5">
        <v>7177</v>
      </c>
    </row>
    <row r="20539" spans="2:8" ht="15" customHeight="1" x14ac:dyDescent="0.4">
      <c r="B20539" s="3" t="s">
        <v>7</v>
      </c>
      <c r="C20539" s="3" t="s">
        <v>3323</v>
      </c>
      <c r="D20539" s="4">
        <f>DATE(2007,2,13)</f>
        <v>39126</v>
      </c>
      <c r="E20539" s="5">
        <f t="shared" si="336"/>
        <v>2007</v>
      </c>
      <c r="F20539" s="3" t="s">
        <v>3324</v>
      </c>
      <c r="G20539" s="6">
        <v>2280</v>
      </c>
      <c r="H20539" s="5">
        <v>7943</v>
      </c>
    </row>
    <row r="20540" spans="2:8" ht="15" customHeight="1" x14ac:dyDescent="0.4">
      <c r="B20540" s="3" t="s">
        <v>7</v>
      </c>
      <c r="C20540" s="3" t="s">
        <v>3323</v>
      </c>
      <c r="D20540" s="4">
        <f>DATE(2007,7,5)</f>
        <v>39268</v>
      </c>
      <c r="E20540" s="5">
        <f t="shared" si="336"/>
        <v>2007</v>
      </c>
      <c r="F20540" s="3" t="s">
        <v>3324</v>
      </c>
      <c r="G20540" s="6">
        <v>441</v>
      </c>
      <c r="H20540" s="5">
        <v>8857</v>
      </c>
    </row>
    <row r="20541" spans="2:8" ht="15" customHeight="1" x14ac:dyDescent="0.4">
      <c r="B20541" s="3" t="s">
        <v>7</v>
      </c>
      <c r="C20541" s="3" t="s">
        <v>3323</v>
      </c>
      <c r="D20541" s="4">
        <f>DATE(2007,9,6)</f>
        <v>39331</v>
      </c>
      <c r="E20541" s="5">
        <f t="shared" si="336"/>
        <v>2007</v>
      </c>
      <c r="F20541" s="3" t="s">
        <v>3324</v>
      </c>
      <c r="G20541" s="6">
        <v>882</v>
      </c>
      <c r="H20541" s="5">
        <v>9132</v>
      </c>
    </row>
    <row r="20542" spans="2:8" ht="15" customHeight="1" x14ac:dyDescent="0.4">
      <c r="B20542" s="3" t="s">
        <v>7</v>
      </c>
      <c r="C20542" s="3" t="s">
        <v>3323</v>
      </c>
      <c r="D20542" s="4">
        <f>DATE(2007,10,19)</f>
        <v>39374</v>
      </c>
      <c r="E20542" s="5">
        <f t="shared" si="336"/>
        <v>2007</v>
      </c>
      <c r="F20542" s="3" t="s">
        <v>3324</v>
      </c>
      <c r="G20542" s="6">
        <v>1323</v>
      </c>
      <c r="H20542" s="5">
        <v>9366</v>
      </c>
    </row>
    <row r="20543" spans="2:8" ht="15" customHeight="1" x14ac:dyDescent="0.4">
      <c r="B20543" s="3" t="s">
        <v>7</v>
      </c>
      <c r="C20543" s="3" t="s">
        <v>3323</v>
      </c>
      <c r="D20543" s="4">
        <f>DATE(2007,10,26)</f>
        <v>39381</v>
      </c>
      <c r="E20543" s="5">
        <f t="shared" si="336"/>
        <v>2007</v>
      </c>
      <c r="F20543" s="3" t="s">
        <v>3324</v>
      </c>
      <c r="G20543" s="6">
        <v>882</v>
      </c>
      <c r="H20543" s="5">
        <v>9391</v>
      </c>
    </row>
    <row r="20544" spans="2:8" ht="15" customHeight="1" x14ac:dyDescent="0.4">
      <c r="B20544" s="3" t="s">
        <v>7</v>
      </c>
      <c r="C20544" s="3" t="s">
        <v>3323</v>
      </c>
      <c r="D20544" s="4">
        <f>DATE(2008,2,19)</f>
        <v>39497</v>
      </c>
      <c r="E20544" s="5">
        <f t="shared" si="336"/>
        <v>2008</v>
      </c>
      <c r="F20544" s="3" t="s">
        <v>3324</v>
      </c>
      <c r="G20544" s="6">
        <v>882</v>
      </c>
      <c r="H20544" s="5">
        <v>9980</v>
      </c>
    </row>
    <row r="20545" spans="2:8" ht="15" customHeight="1" x14ac:dyDescent="0.4">
      <c r="B20545" s="3" t="s">
        <v>7</v>
      </c>
      <c r="C20545" s="3" t="s">
        <v>3323</v>
      </c>
      <c r="D20545" s="4">
        <f>DATE(2008,2,27)</f>
        <v>39505</v>
      </c>
      <c r="E20545" s="5">
        <f t="shared" si="336"/>
        <v>2008</v>
      </c>
      <c r="F20545" s="3" t="s">
        <v>3324</v>
      </c>
      <c r="G20545" s="6">
        <v>882</v>
      </c>
      <c r="H20545" s="5">
        <v>10065</v>
      </c>
    </row>
    <row r="20546" spans="2:8" ht="15" customHeight="1" x14ac:dyDescent="0.4">
      <c r="B20546" s="3" t="s">
        <v>7</v>
      </c>
      <c r="C20546" s="3" t="s">
        <v>3323</v>
      </c>
      <c r="D20546" s="4">
        <f>DATE(2008,3,31)</f>
        <v>39538</v>
      </c>
      <c r="E20546" s="5">
        <f t="shared" si="336"/>
        <v>2008</v>
      </c>
      <c r="F20546" s="3" t="s">
        <v>3324</v>
      </c>
      <c r="G20546" s="6">
        <v>882</v>
      </c>
      <c r="H20546" s="5">
        <v>10350</v>
      </c>
    </row>
    <row r="20547" spans="2:8" ht="15" customHeight="1" x14ac:dyDescent="0.4">
      <c r="B20547" s="3" t="s">
        <v>7</v>
      </c>
      <c r="C20547" s="3" t="s">
        <v>3323</v>
      </c>
      <c r="D20547" s="4">
        <f>DATE(2009,3,25)</f>
        <v>39897</v>
      </c>
      <c r="E20547" s="5">
        <f t="shared" ref="E20547:E20610" si="337">YEAR(D20547)</f>
        <v>2009</v>
      </c>
      <c r="F20547" s="3" t="s">
        <v>3324</v>
      </c>
      <c r="G20547" s="6">
        <v>5560</v>
      </c>
      <c r="H20547" s="5">
        <v>12198</v>
      </c>
    </row>
    <row r="20548" spans="2:8" ht="15" customHeight="1" x14ac:dyDescent="0.4">
      <c r="B20548" s="3" t="s">
        <v>7</v>
      </c>
      <c r="C20548" s="3" t="s">
        <v>3323</v>
      </c>
      <c r="D20548" s="4">
        <f>DATE(2009,4,1)</f>
        <v>39904</v>
      </c>
      <c r="E20548" s="5">
        <f t="shared" si="337"/>
        <v>2009</v>
      </c>
      <c r="F20548" s="3" t="s">
        <v>3324</v>
      </c>
      <c r="G20548" s="6">
        <v>5560</v>
      </c>
      <c r="H20548" s="5">
        <v>12314</v>
      </c>
    </row>
    <row r="20549" spans="2:8" ht="15" customHeight="1" x14ac:dyDescent="0.4">
      <c r="B20549" s="3" t="s">
        <v>7</v>
      </c>
      <c r="C20549" s="3" t="s">
        <v>3323</v>
      </c>
      <c r="D20549" s="4">
        <f>DATE(2009,4,2)</f>
        <v>39905</v>
      </c>
      <c r="E20549" s="5">
        <f t="shared" si="337"/>
        <v>2009</v>
      </c>
      <c r="F20549" s="3" t="s">
        <v>3324</v>
      </c>
      <c r="G20549" s="6">
        <v>23400</v>
      </c>
      <c r="H20549" s="5">
        <v>12312</v>
      </c>
    </row>
    <row r="20550" spans="2:8" ht="15" customHeight="1" x14ac:dyDescent="0.4">
      <c r="B20550" s="3" t="s">
        <v>7</v>
      </c>
      <c r="C20550" s="3" t="s">
        <v>3323</v>
      </c>
      <c r="D20550" s="4">
        <f>DATE(2009,4,9)</f>
        <v>39912</v>
      </c>
      <c r="E20550" s="5">
        <f t="shared" si="337"/>
        <v>2009</v>
      </c>
      <c r="F20550" s="3" t="s">
        <v>3324</v>
      </c>
      <c r="G20550" s="6">
        <v>1903.5</v>
      </c>
      <c r="H20550" s="5">
        <v>12323</v>
      </c>
    </row>
    <row r="20551" spans="2:8" ht="15" customHeight="1" x14ac:dyDescent="0.4">
      <c r="B20551" s="3" t="s">
        <v>7</v>
      </c>
      <c r="C20551" s="3" t="s">
        <v>3323</v>
      </c>
      <c r="D20551" s="4">
        <f>DATE(2009,4,9)</f>
        <v>39912</v>
      </c>
      <c r="E20551" s="5">
        <f t="shared" si="337"/>
        <v>2009</v>
      </c>
      <c r="F20551" s="3" t="s">
        <v>3324</v>
      </c>
      <c r="G20551" s="6">
        <v>1480.5</v>
      </c>
      <c r="H20551" s="5">
        <v>12358</v>
      </c>
    </row>
    <row r="20552" spans="2:8" ht="15" customHeight="1" x14ac:dyDescent="0.4">
      <c r="B20552" s="3" t="s">
        <v>7</v>
      </c>
      <c r="C20552" s="3" t="s">
        <v>3323</v>
      </c>
      <c r="D20552" s="4">
        <f>DATE(2009,6,24)</f>
        <v>39988</v>
      </c>
      <c r="E20552" s="5">
        <f t="shared" si="337"/>
        <v>2009</v>
      </c>
      <c r="F20552" s="3" t="s">
        <v>3324</v>
      </c>
      <c r="G20552" s="6">
        <v>1093.5</v>
      </c>
      <c r="H20552" s="5">
        <v>12708</v>
      </c>
    </row>
    <row r="20553" spans="2:8" ht="15" customHeight="1" x14ac:dyDescent="0.4">
      <c r="B20553" s="3" t="s">
        <v>7</v>
      </c>
      <c r="C20553" s="3" t="s">
        <v>3323</v>
      </c>
      <c r="D20553" s="4">
        <f>DATE(2009,11,3)</f>
        <v>40120</v>
      </c>
      <c r="E20553" s="5">
        <f t="shared" si="337"/>
        <v>2009</v>
      </c>
      <c r="F20553" s="3" t="s">
        <v>3324</v>
      </c>
      <c r="G20553" s="6">
        <v>2538</v>
      </c>
      <c r="H20553" s="5">
        <v>13205</v>
      </c>
    </row>
    <row r="20554" spans="2:8" ht="15" customHeight="1" x14ac:dyDescent="0.4">
      <c r="B20554" s="3" t="s">
        <v>7</v>
      </c>
      <c r="C20554" s="3" t="s">
        <v>3323</v>
      </c>
      <c r="D20554" s="4">
        <f>DATE(2009,12,2)</f>
        <v>40149</v>
      </c>
      <c r="E20554" s="5">
        <f t="shared" si="337"/>
        <v>2009</v>
      </c>
      <c r="F20554" s="3" t="s">
        <v>3324</v>
      </c>
      <c r="G20554" s="6">
        <v>5640</v>
      </c>
      <c r="H20554" s="5">
        <v>13298</v>
      </c>
    </row>
    <row r="20555" spans="2:8" ht="15" customHeight="1" x14ac:dyDescent="0.4">
      <c r="B20555" s="3" t="s">
        <v>7</v>
      </c>
      <c r="C20555" s="3" t="s">
        <v>3323</v>
      </c>
      <c r="D20555" s="4">
        <f>DATE(2010,2,17)</f>
        <v>40226</v>
      </c>
      <c r="E20555" s="5">
        <f t="shared" si="337"/>
        <v>2010</v>
      </c>
      <c r="F20555" s="3" t="s">
        <v>3324</v>
      </c>
      <c r="G20555" s="6">
        <v>1764</v>
      </c>
      <c r="H20555" s="5">
        <v>13581</v>
      </c>
    </row>
    <row r="20556" spans="2:8" ht="15" customHeight="1" x14ac:dyDescent="0.4">
      <c r="B20556" s="3" t="s">
        <v>7</v>
      </c>
      <c r="C20556" s="3" t="s">
        <v>3323</v>
      </c>
      <c r="D20556" s="4">
        <f>DATE(2011,3,14)</f>
        <v>40616</v>
      </c>
      <c r="E20556" s="5">
        <f t="shared" si="337"/>
        <v>2011</v>
      </c>
      <c r="F20556" s="3" t="s">
        <v>3324</v>
      </c>
      <c r="G20556" s="6">
        <v>2946</v>
      </c>
      <c r="H20556" s="5">
        <v>15238</v>
      </c>
    </row>
    <row r="20557" spans="2:8" ht="15" customHeight="1" x14ac:dyDescent="0.4">
      <c r="B20557" s="3" t="s">
        <v>7</v>
      </c>
      <c r="C20557" s="3" t="s">
        <v>3323</v>
      </c>
      <c r="D20557" s="4">
        <f>DATE(2012,1,16)</f>
        <v>40924</v>
      </c>
      <c r="E20557" s="5">
        <f t="shared" si="337"/>
        <v>2012</v>
      </c>
      <c r="F20557" s="3" t="s">
        <v>3324</v>
      </c>
      <c r="G20557" s="6">
        <v>44.1</v>
      </c>
      <c r="H20557" s="5">
        <v>16377</v>
      </c>
    </row>
    <row r="20558" spans="2:8" ht="15" customHeight="1" x14ac:dyDescent="0.4">
      <c r="B20558" s="3" t="s">
        <v>7</v>
      </c>
      <c r="C20558" s="3" t="s">
        <v>3323</v>
      </c>
      <c r="D20558" s="4">
        <f>DATE(2012,3,14)</f>
        <v>40982</v>
      </c>
      <c r="E20558" s="5">
        <f t="shared" si="337"/>
        <v>2012</v>
      </c>
      <c r="F20558" s="3" t="s">
        <v>3324</v>
      </c>
      <c r="G20558" s="6">
        <v>2721.86</v>
      </c>
      <c r="H20558" s="5">
        <v>16743</v>
      </c>
    </row>
    <row r="20559" spans="2:8" ht="15" customHeight="1" x14ac:dyDescent="0.4">
      <c r="B20559" s="3" t="s">
        <v>7</v>
      </c>
      <c r="C20559" s="3" t="s">
        <v>3323</v>
      </c>
      <c r="D20559" s="4">
        <f>DATE(2012,6,22)</f>
        <v>41082</v>
      </c>
      <c r="E20559" s="5">
        <f t="shared" si="337"/>
        <v>2012</v>
      </c>
      <c r="F20559" s="3" t="s">
        <v>3324</v>
      </c>
      <c r="G20559" s="6">
        <v>441</v>
      </c>
      <c r="H20559" s="5">
        <v>17273</v>
      </c>
    </row>
    <row r="20560" spans="2:8" ht="15" customHeight="1" x14ac:dyDescent="0.4">
      <c r="B20560" s="3" t="s">
        <v>7</v>
      </c>
      <c r="C20560" s="3" t="s">
        <v>3325</v>
      </c>
      <c r="D20560" s="4">
        <f>DATE(2003,6,9)</f>
        <v>37781</v>
      </c>
      <c r="E20560" s="5">
        <f t="shared" si="337"/>
        <v>2003</v>
      </c>
      <c r="F20560" s="3" t="s">
        <v>3326</v>
      </c>
      <c r="G20560" s="6">
        <v>2364.15</v>
      </c>
      <c r="H20560" s="5">
        <v>200</v>
      </c>
    </row>
    <row r="20561" spans="2:8" ht="15" customHeight="1" x14ac:dyDescent="0.4">
      <c r="B20561" s="3" t="s">
        <v>7</v>
      </c>
      <c r="C20561" s="3" t="s">
        <v>3325</v>
      </c>
      <c r="D20561" s="4">
        <f>DATE(2003,6,11)</f>
        <v>37783</v>
      </c>
      <c r="E20561" s="5">
        <f t="shared" si="337"/>
        <v>2003</v>
      </c>
      <c r="F20561" s="3" t="s">
        <v>3326</v>
      </c>
      <c r="G20561" s="6">
        <v>1704.45</v>
      </c>
      <c r="H20561" s="5">
        <v>207</v>
      </c>
    </row>
    <row r="20562" spans="2:8" ht="15" customHeight="1" x14ac:dyDescent="0.4">
      <c r="B20562" s="3" t="s">
        <v>7</v>
      </c>
      <c r="C20562" s="3" t="s">
        <v>3325</v>
      </c>
      <c r="D20562" s="4">
        <f>DATE(2003,9,25)</f>
        <v>37889</v>
      </c>
      <c r="E20562" s="5">
        <f t="shared" si="337"/>
        <v>2003</v>
      </c>
      <c r="F20562" s="3" t="s">
        <v>3326</v>
      </c>
      <c r="G20562" s="6">
        <v>22828.17</v>
      </c>
      <c r="H20562" s="5">
        <v>328</v>
      </c>
    </row>
    <row r="20563" spans="2:8" ht="15" customHeight="1" x14ac:dyDescent="0.4">
      <c r="B20563" s="3" t="s">
        <v>7</v>
      </c>
      <c r="C20563" s="3" t="s">
        <v>3325</v>
      </c>
      <c r="D20563" s="4">
        <f>DATE(2003,10,24)</f>
        <v>37918</v>
      </c>
      <c r="E20563" s="5">
        <f t="shared" si="337"/>
        <v>2003</v>
      </c>
      <c r="F20563" s="3" t="s">
        <v>3326</v>
      </c>
      <c r="G20563" s="6">
        <v>20785.95</v>
      </c>
      <c r="H20563" s="5">
        <v>384</v>
      </c>
    </row>
    <row r="20564" spans="2:8" ht="15" customHeight="1" x14ac:dyDescent="0.4">
      <c r="B20564" s="3" t="s">
        <v>16</v>
      </c>
      <c r="C20564" s="3" t="s">
        <v>3325</v>
      </c>
      <c r="D20564" s="4">
        <f>DATE(2003,9,25)</f>
        <v>37889</v>
      </c>
      <c r="E20564" s="5">
        <f t="shared" si="337"/>
        <v>2003</v>
      </c>
      <c r="F20564" s="3" t="s">
        <v>3326</v>
      </c>
      <c r="G20564" s="6">
        <v>1739.81</v>
      </c>
      <c r="H20564" s="5">
        <v>418</v>
      </c>
    </row>
    <row r="20565" spans="2:8" ht="15" customHeight="1" x14ac:dyDescent="0.4">
      <c r="B20565" s="3" t="s">
        <v>16</v>
      </c>
      <c r="C20565" s="3" t="s">
        <v>3325</v>
      </c>
      <c r="D20565" s="4">
        <f>DATE(2003,10,24)</f>
        <v>37918</v>
      </c>
      <c r="E20565" s="5">
        <f t="shared" si="337"/>
        <v>2003</v>
      </c>
      <c r="F20565" s="3" t="s">
        <v>3326</v>
      </c>
      <c r="G20565" s="6">
        <v>1584.21</v>
      </c>
      <c r="H20565" s="5">
        <v>419</v>
      </c>
    </row>
    <row r="20566" spans="2:8" ht="15" customHeight="1" x14ac:dyDescent="0.4">
      <c r="B20566" t="s">
        <v>7</v>
      </c>
      <c r="C20566" t="s">
        <v>826</v>
      </c>
      <c r="D20566" s="7">
        <f>DATE(2017,4,18)</f>
        <v>42843</v>
      </c>
      <c r="E20566" s="8">
        <f t="shared" si="337"/>
        <v>2017</v>
      </c>
      <c r="F20566" t="s">
        <v>3327</v>
      </c>
      <c r="G20566" s="9">
        <v>5267.1</v>
      </c>
      <c r="H20566" s="8">
        <v>24706</v>
      </c>
    </row>
    <row r="20567" spans="2:8" ht="15" customHeight="1" x14ac:dyDescent="0.4">
      <c r="B20567" t="s">
        <v>7</v>
      </c>
      <c r="C20567" t="s">
        <v>826</v>
      </c>
      <c r="D20567" s="7">
        <f>DATE(2017,7,25)</f>
        <v>42941</v>
      </c>
      <c r="E20567" s="8">
        <f t="shared" si="337"/>
        <v>2017</v>
      </c>
      <c r="F20567" t="s">
        <v>3327</v>
      </c>
      <c r="G20567" s="9">
        <v>3594.46</v>
      </c>
      <c r="H20567" s="8">
        <v>25257</v>
      </c>
    </row>
    <row r="20568" spans="2:8" ht="15" customHeight="1" x14ac:dyDescent="0.4">
      <c r="B20568" s="3" t="s">
        <v>7</v>
      </c>
      <c r="C20568" s="3" t="s">
        <v>1120</v>
      </c>
      <c r="D20568" s="4">
        <f>DATE(2005,6,26)</f>
        <v>38529</v>
      </c>
      <c r="E20568" s="5">
        <f t="shared" si="337"/>
        <v>2005</v>
      </c>
      <c r="F20568" s="3" t="s">
        <v>3328</v>
      </c>
      <c r="G20568" s="6">
        <v>17030</v>
      </c>
      <c r="H20568" s="5">
        <v>1123</v>
      </c>
    </row>
    <row r="20569" spans="2:8" ht="15" customHeight="1" x14ac:dyDescent="0.4">
      <c r="B20569" s="3" t="s">
        <v>7</v>
      </c>
      <c r="C20569" s="3" t="s">
        <v>1120</v>
      </c>
      <c r="D20569" s="4">
        <f>DATE(2005,6,28)</f>
        <v>38531</v>
      </c>
      <c r="E20569" s="5">
        <f t="shared" si="337"/>
        <v>2005</v>
      </c>
      <c r="F20569" s="3" t="s">
        <v>3328</v>
      </c>
      <c r="G20569" s="6">
        <v>12084.6</v>
      </c>
      <c r="H20569" s="5">
        <v>1125</v>
      </c>
    </row>
    <row r="20570" spans="2:8" ht="15" customHeight="1" x14ac:dyDescent="0.4">
      <c r="B20570" s="3" t="s">
        <v>7</v>
      </c>
      <c r="C20570" s="3" t="s">
        <v>1120</v>
      </c>
      <c r="D20570" s="4">
        <f>DATE(2006,1,21)</f>
        <v>38738</v>
      </c>
      <c r="E20570" s="5">
        <f t="shared" si="337"/>
        <v>2006</v>
      </c>
      <c r="F20570" s="3" t="s">
        <v>3328</v>
      </c>
      <c r="G20570" s="6">
        <v>9003.7000000000007</v>
      </c>
      <c r="H20570" s="5">
        <v>1408</v>
      </c>
    </row>
    <row r="20571" spans="2:8" ht="15" customHeight="1" x14ac:dyDescent="0.4">
      <c r="B20571" s="3" t="s">
        <v>7</v>
      </c>
      <c r="C20571" s="3" t="s">
        <v>1120</v>
      </c>
      <c r="D20571" s="4">
        <f>DATE(2006,3,6)</f>
        <v>38782</v>
      </c>
      <c r="E20571" s="5">
        <f t="shared" si="337"/>
        <v>2006</v>
      </c>
      <c r="F20571" s="3" t="s">
        <v>3328</v>
      </c>
      <c r="G20571" s="6">
        <v>29267.599999999999</v>
      </c>
      <c r="H20571" s="5">
        <v>1472</v>
      </c>
    </row>
    <row r="20572" spans="2:8" ht="15" customHeight="1" x14ac:dyDescent="0.4">
      <c r="B20572" s="3" t="s">
        <v>7</v>
      </c>
      <c r="C20572" s="3" t="s">
        <v>1120</v>
      </c>
      <c r="D20572" s="4">
        <f>DATE(2006,8,18)</f>
        <v>38947</v>
      </c>
      <c r="E20572" s="5">
        <f t="shared" si="337"/>
        <v>2006</v>
      </c>
      <c r="F20572" s="3" t="s">
        <v>3328</v>
      </c>
      <c r="G20572" s="6">
        <v>25297.8</v>
      </c>
      <c r="H20572" s="5">
        <v>1743</v>
      </c>
    </row>
    <row r="20573" spans="2:8" ht="15" customHeight="1" x14ac:dyDescent="0.4">
      <c r="B20573" s="3" t="s">
        <v>7</v>
      </c>
      <c r="C20573" s="3" t="s">
        <v>1120</v>
      </c>
      <c r="D20573" s="4">
        <f>DATE(2006,8,31)</f>
        <v>38960</v>
      </c>
      <c r="E20573" s="5">
        <f t="shared" si="337"/>
        <v>2006</v>
      </c>
      <c r="F20573" s="3" t="s">
        <v>3328</v>
      </c>
      <c r="G20573" s="6">
        <v>3321.5</v>
      </c>
      <c r="H20573" s="5">
        <v>1759</v>
      </c>
    </row>
    <row r="20574" spans="2:8" ht="15" customHeight="1" x14ac:dyDescent="0.4">
      <c r="B20574" s="3" t="s">
        <v>7</v>
      </c>
      <c r="C20574" s="3" t="s">
        <v>1120</v>
      </c>
      <c r="D20574" s="4">
        <f>DATE(2006,10,4)</f>
        <v>38994</v>
      </c>
      <c r="E20574" s="5">
        <f t="shared" si="337"/>
        <v>2006</v>
      </c>
      <c r="F20574" s="3" t="s">
        <v>3328</v>
      </c>
      <c r="G20574" s="6">
        <v>11642.3</v>
      </c>
      <c r="H20574" s="5">
        <v>1812</v>
      </c>
    </row>
    <row r="20575" spans="2:8" ht="15" customHeight="1" x14ac:dyDescent="0.4">
      <c r="B20575" s="3" t="s">
        <v>7</v>
      </c>
      <c r="C20575" s="3" t="s">
        <v>1120</v>
      </c>
      <c r="D20575" s="4">
        <f>DATE(2007,2,9)</f>
        <v>39122</v>
      </c>
      <c r="E20575" s="5">
        <f t="shared" si="337"/>
        <v>2007</v>
      </c>
      <c r="F20575" s="3" t="s">
        <v>3328</v>
      </c>
      <c r="G20575" s="6">
        <v>19761.7</v>
      </c>
      <c r="H20575" s="5">
        <v>2047</v>
      </c>
    </row>
    <row r="20576" spans="2:8" ht="15" customHeight="1" x14ac:dyDescent="0.4">
      <c r="B20576" s="3" t="s">
        <v>7</v>
      </c>
      <c r="C20576" s="3" t="s">
        <v>1120</v>
      </c>
      <c r="D20576" s="4">
        <f>DATE(2007,5,1)</f>
        <v>39203</v>
      </c>
      <c r="E20576" s="5">
        <f t="shared" si="337"/>
        <v>2007</v>
      </c>
      <c r="F20576" s="3" t="s">
        <v>3328</v>
      </c>
      <c r="G20576" s="6">
        <v>13789.6</v>
      </c>
      <c r="H20576" s="5">
        <v>2207</v>
      </c>
    </row>
    <row r="20577" spans="2:8" ht="15" customHeight="1" x14ac:dyDescent="0.4">
      <c r="B20577" s="3" t="s">
        <v>7</v>
      </c>
      <c r="C20577" s="3" t="s">
        <v>1120</v>
      </c>
      <c r="D20577" s="4">
        <f>DATE(2007,7,31)</f>
        <v>39294</v>
      </c>
      <c r="E20577" s="5">
        <f t="shared" si="337"/>
        <v>2007</v>
      </c>
      <c r="F20577" s="3" t="s">
        <v>3328</v>
      </c>
      <c r="G20577" s="6">
        <v>3927.6</v>
      </c>
      <c r="H20577" s="5">
        <v>2349</v>
      </c>
    </row>
    <row r="20578" spans="2:8" ht="15" customHeight="1" x14ac:dyDescent="0.4">
      <c r="B20578" s="3" t="s">
        <v>7</v>
      </c>
      <c r="C20578" s="3" t="s">
        <v>1120</v>
      </c>
      <c r="D20578" s="4">
        <f>DATE(2007,8,2)</f>
        <v>39296</v>
      </c>
      <c r="E20578" s="5">
        <f t="shared" si="337"/>
        <v>2007</v>
      </c>
      <c r="F20578" s="3" t="s">
        <v>3328</v>
      </c>
      <c r="G20578" s="6">
        <v>12997.7</v>
      </c>
      <c r="H20578" s="5">
        <v>2351</v>
      </c>
    </row>
    <row r="20579" spans="2:8" ht="15" customHeight="1" x14ac:dyDescent="0.4">
      <c r="B20579" s="3" t="s">
        <v>7</v>
      </c>
      <c r="C20579" s="3" t="s">
        <v>1120</v>
      </c>
      <c r="D20579" s="4">
        <f>DATE(2008,1,13)</f>
        <v>39460</v>
      </c>
      <c r="E20579" s="5">
        <f t="shared" si="337"/>
        <v>2008</v>
      </c>
      <c r="F20579" s="3" t="s">
        <v>3328</v>
      </c>
      <c r="G20579" s="6">
        <v>30994.54</v>
      </c>
      <c r="H20579" s="5">
        <v>2565</v>
      </c>
    </row>
    <row r="20580" spans="2:8" ht="15" customHeight="1" x14ac:dyDescent="0.4">
      <c r="B20580" s="3" t="s">
        <v>7</v>
      </c>
      <c r="C20580" s="3" t="s">
        <v>1120</v>
      </c>
      <c r="D20580" s="4">
        <f>DATE(2008,3,4)</f>
        <v>39511</v>
      </c>
      <c r="E20580" s="5">
        <f t="shared" si="337"/>
        <v>2008</v>
      </c>
      <c r="F20580" s="3" t="s">
        <v>3328</v>
      </c>
      <c r="G20580" s="6">
        <v>12113.2</v>
      </c>
      <c r="H20580" s="5">
        <v>2680</v>
      </c>
    </row>
    <row r="20581" spans="2:8" ht="15" customHeight="1" x14ac:dyDescent="0.4">
      <c r="B20581" s="3" t="s">
        <v>7</v>
      </c>
      <c r="C20581" s="3" t="s">
        <v>1120</v>
      </c>
      <c r="D20581" s="4">
        <f>DATE(2008,6,1)</f>
        <v>39600</v>
      </c>
      <c r="E20581" s="5">
        <f t="shared" si="337"/>
        <v>2008</v>
      </c>
      <c r="F20581" s="3" t="s">
        <v>3328</v>
      </c>
      <c r="G20581" s="6">
        <v>4196.08</v>
      </c>
      <c r="H20581" s="5">
        <v>2839</v>
      </c>
    </row>
    <row r="20582" spans="2:8" ht="15" customHeight="1" x14ac:dyDescent="0.4">
      <c r="B20582" s="3" t="s">
        <v>7</v>
      </c>
      <c r="C20582" s="3" t="s">
        <v>1120</v>
      </c>
      <c r="D20582" s="4">
        <f>DATE(2008,6,1)</f>
        <v>39600</v>
      </c>
      <c r="E20582" s="5">
        <f t="shared" si="337"/>
        <v>2008</v>
      </c>
      <c r="F20582" s="3" t="s">
        <v>3328</v>
      </c>
      <c r="G20582" s="6">
        <v>6468.9</v>
      </c>
      <c r="H20582" s="5">
        <v>2806</v>
      </c>
    </row>
    <row r="20583" spans="2:8" ht="15" customHeight="1" x14ac:dyDescent="0.4">
      <c r="B20583" s="3" t="s">
        <v>7</v>
      </c>
      <c r="C20583" s="3" t="s">
        <v>1120</v>
      </c>
      <c r="D20583" s="4">
        <f>DATE(2008,6,25)</f>
        <v>39624</v>
      </c>
      <c r="E20583" s="5">
        <f t="shared" si="337"/>
        <v>2008</v>
      </c>
      <c r="F20583" s="3" t="s">
        <v>3328</v>
      </c>
      <c r="G20583" s="6">
        <v>43566.7</v>
      </c>
      <c r="H20583" s="5">
        <v>2928</v>
      </c>
    </row>
    <row r="20584" spans="2:8" ht="15" customHeight="1" x14ac:dyDescent="0.4">
      <c r="B20584" s="3" t="s">
        <v>16</v>
      </c>
      <c r="C20584" s="3" t="s">
        <v>1120</v>
      </c>
      <c r="D20584" s="4">
        <f>DATE(2007,3,1)</f>
        <v>39142</v>
      </c>
      <c r="E20584" s="5">
        <f t="shared" si="337"/>
        <v>2007</v>
      </c>
      <c r="F20584" s="3" t="s">
        <v>3328</v>
      </c>
      <c r="G20584" s="6">
        <v>320</v>
      </c>
      <c r="H20584" s="5">
        <v>2157</v>
      </c>
    </row>
    <row r="20585" spans="2:8" ht="15" customHeight="1" x14ac:dyDescent="0.4">
      <c r="B20585" s="3" t="s">
        <v>16</v>
      </c>
      <c r="C20585" s="3" t="s">
        <v>1120</v>
      </c>
      <c r="D20585" s="4">
        <f>DATE(2006,10,4)</f>
        <v>38994</v>
      </c>
      <c r="E20585" s="5">
        <f t="shared" si="337"/>
        <v>2006</v>
      </c>
      <c r="F20585" s="3" t="s">
        <v>3328</v>
      </c>
      <c r="G20585" s="6">
        <v>80</v>
      </c>
      <c r="H20585" s="5">
        <v>1888</v>
      </c>
    </row>
    <row r="20586" spans="2:8" ht="15" customHeight="1" x14ac:dyDescent="0.4">
      <c r="B20586" t="s">
        <v>7</v>
      </c>
      <c r="C20586" t="s">
        <v>3329</v>
      </c>
      <c r="D20586" s="7">
        <f>DATE(2003,3,18)</f>
        <v>37698</v>
      </c>
      <c r="E20586" s="8">
        <f t="shared" si="337"/>
        <v>2003</v>
      </c>
      <c r="F20586" t="s">
        <v>3330</v>
      </c>
      <c r="G20586" s="9">
        <v>3539.17</v>
      </c>
      <c r="H20586" s="8">
        <v>357</v>
      </c>
    </row>
    <row r="20587" spans="2:8" ht="15" customHeight="1" x14ac:dyDescent="0.4">
      <c r="B20587" s="3" t="s">
        <v>7</v>
      </c>
      <c r="C20587" s="3" t="s">
        <v>3331</v>
      </c>
      <c r="D20587" s="4">
        <f>DATE(2007,4,1)</f>
        <v>39173</v>
      </c>
      <c r="E20587" s="5">
        <f t="shared" si="337"/>
        <v>2007</v>
      </c>
      <c r="F20587" s="3" t="s">
        <v>3332</v>
      </c>
      <c r="G20587" s="6">
        <v>6369</v>
      </c>
      <c r="H20587" s="5">
        <v>2147</v>
      </c>
    </row>
    <row r="20588" spans="2:8" ht="15" customHeight="1" x14ac:dyDescent="0.4">
      <c r="B20588" t="s">
        <v>7</v>
      </c>
      <c r="C20588" t="s">
        <v>3333</v>
      </c>
      <c r="D20588" s="7">
        <f>DATE(2019,3,8)</f>
        <v>43532</v>
      </c>
      <c r="E20588" s="8">
        <f t="shared" si="337"/>
        <v>2019</v>
      </c>
      <c r="F20588" t="s">
        <v>3334</v>
      </c>
      <c r="G20588" s="9">
        <v>9150</v>
      </c>
      <c r="H20588" s="8">
        <v>28387</v>
      </c>
    </row>
    <row r="20589" spans="2:8" ht="15" customHeight="1" x14ac:dyDescent="0.4">
      <c r="B20589" t="s">
        <v>7</v>
      </c>
      <c r="C20589" t="s">
        <v>3333</v>
      </c>
      <c r="D20589" s="7">
        <f>DATE(2019,3,8)</f>
        <v>43532</v>
      </c>
      <c r="E20589" s="8">
        <f t="shared" si="337"/>
        <v>2019</v>
      </c>
      <c r="F20589" t="s">
        <v>3334</v>
      </c>
      <c r="G20589" s="9">
        <v>11800</v>
      </c>
      <c r="H20589" s="8">
        <v>28388</v>
      </c>
    </row>
    <row r="20590" spans="2:8" ht="15" customHeight="1" x14ac:dyDescent="0.4">
      <c r="B20590" t="s">
        <v>7</v>
      </c>
      <c r="C20590" t="s">
        <v>3335</v>
      </c>
      <c r="D20590" s="7">
        <f>DATE(2004,7,16)</f>
        <v>38184</v>
      </c>
      <c r="E20590" s="8">
        <f t="shared" si="337"/>
        <v>2004</v>
      </c>
      <c r="F20590" t="s">
        <v>3336</v>
      </c>
      <c r="G20590" s="9">
        <v>5947.5</v>
      </c>
      <c r="H20590" s="8">
        <v>1956</v>
      </c>
    </row>
    <row r="20591" spans="2:8" ht="15" customHeight="1" x14ac:dyDescent="0.4">
      <c r="B20591" t="s">
        <v>7</v>
      </c>
      <c r="C20591" t="s">
        <v>3335</v>
      </c>
      <c r="D20591" s="7">
        <f>DATE(2005,2,19)</f>
        <v>38402</v>
      </c>
      <c r="E20591" s="8">
        <f t="shared" si="337"/>
        <v>2005</v>
      </c>
      <c r="F20591" t="s">
        <v>3336</v>
      </c>
      <c r="G20591" s="9">
        <v>17228.310000000001</v>
      </c>
      <c r="H20591" s="8">
        <v>2334</v>
      </c>
    </row>
    <row r="20592" spans="2:8" ht="15" customHeight="1" x14ac:dyDescent="0.4">
      <c r="B20592" t="s">
        <v>7</v>
      </c>
      <c r="C20592" t="s">
        <v>3335</v>
      </c>
      <c r="D20592" s="7">
        <f>DATE(2005,2,11)</f>
        <v>38394</v>
      </c>
      <c r="E20592" s="8">
        <f t="shared" si="337"/>
        <v>2005</v>
      </c>
      <c r="F20592" t="s">
        <v>3336</v>
      </c>
      <c r="G20592" s="9">
        <v>11831.22</v>
      </c>
      <c r="H20592" s="8">
        <v>2633</v>
      </c>
    </row>
    <row r="20593" spans="2:8" ht="15" customHeight="1" x14ac:dyDescent="0.4">
      <c r="B20593" t="s">
        <v>7</v>
      </c>
      <c r="C20593" t="s">
        <v>3335</v>
      </c>
      <c r="D20593" s="7">
        <f>DATE(2006,10,22)</f>
        <v>39012</v>
      </c>
      <c r="E20593" s="8">
        <f t="shared" si="337"/>
        <v>2006</v>
      </c>
      <c r="F20593" t="s">
        <v>3336</v>
      </c>
      <c r="G20593" s="9">
        <v>17862.82</v>
      </c>
      <c r="H20593" s="8">
        <v>5049</v>
      </c>
    </row>
    <row r="20594" spans="2:8" ht="15" customHeight="1" x14ac:dyDescent="0.4">
      <c r="B20594" t="s">
        <v>7</v>
      </c>
      <c r="C20594" t="s">
        <v>3335</v>
      </c>
      <c r="D20594" s="7">
        <f>DATE(2007,2,3)</f>
        <v>39116</v>
      </c>
      <c r="E20594" s="8">
        <f t="shared" si="337"/>
        <v>2007</v>
      </c>
      <c r="F20594" t="s">
        <v>3336</v>
      </c>
      <c r="G20594" s="9">
        <v>8040</v>
      </c>
      <c r="H20594" s="8">
        <v>5451</v>
      </c>
    </row>
    <row r="20595" spans="2:8" ht="15" customHeight="1" x14ac:dyDescent="0.4">
      <c r="B20595" t="s">
        <v>7</v>
      </c>
      <c r="C20595" t="s">
        <v>3335</v>
      </c>
      <c r="D20595" s="7">
        <f>DATE(2007,5,1)</f>
        <v>39203</v>
      </c>
      <c r="E20595" s="8">
        <f t="shared" si="337"/>
        <v>2007</v>
      </c>
      <c r="F20595" t="s">
        <v>3336</v>
      </c>
      <c r="G20595" s="9">
        <v>20527.21</v>
      </c>
      <c r="H20595" s="8">
        <v>5815</v>
      </c>
    </row>
    <row r="20596" spans="2:8" ht="15" customHeight="1" x14ac:dyDescent="0.4">
      <c r="B20596" t="s">
        <v>7</v>
      </c>
      <c r="C20596" t="s">
        <v>3335</v>
      </c>
      <c r="D20596" s="7">
        <f>DATE(2008,7,1)</f>
        <v>39630</v>
      </c>
      <c r="E20596" s="8">
        <f t="shared" si="337"/>
        <v>2008</v>
      </c>
      <c r="F20596" t="s">
        <v>3336</v>
      </c>
      <c r="G20596" s="9">
        <v>47250.83</v>
      </c>
      <c r="H20596" s="8">
        <v>7200</v>
      </c>
    </row>
    <row r="20597" spans="2:8" ht="15" customHeight="1" x14ac:dyDescent="0.4">
      <c r="B20597" t="s">
        <v>7</v>
      </c>
      <c r="C20597" t="s">
        <v>3335</v>
      </c>
      <c r="D20597" s="7">
        <f>DATE(2008,7,1)</f>
        <v>39630</v>
      </c>
      <c r="E20597" s="8">
        <f t="shared" si="337"/>
        <v>2008</v>
      </c>
      <c r="F20597" t="s">
        <v>3336</v>
      </c>
      <c r="G20597" s="9">
        <v>37051</v>
      </c>
      <c r="H20597" s="8">
        <v>7208</v>
      </c>
    </row>
    <row r="20598" spans="2:8" ht="15" customHeight="1" x14ac:dyDescent="0.4">
      <c r="B20598" t="s">
        <v>7</v>
      </c>
      <c r="C20598" t="s">
        <v>3335</v>
      </c>
      <c r="D20598" s="7">
        <f>DATE(2008,8,1)</f>
        <v>39661</v>
      </c>
      <c r="E20598" s="8">
        <f t="shared" si="337"/>
        <v>2008</v>
      </c>
      <c r="F20598" t="s">
        <v>3336</v>
      </c>
      <c r="G20598" s="9">
        <v>9786.6</v>
      </c>
      <c r="H20598" s="8">
        <v>7704</v>
      </c>
    </row>
    <row r="20599" spans="2:8" ht="15" customHeight="1" x14ac:dyDescent="0.4">
      <c r="B20599" t="s">
        <v>16</v>
      </c>
      <c r="C20599" t="s">
        <v>3335</v>
      </c>
      <c r="D20599" s="7">
        <f>DATE(2008,8,1)</f>
        <v>39661</v>
      </c>
      <c r="E20599" s="8">
        <f t="shared" si="337"/>
        <v>2008</v>
      </c>
      <c r="F20599" t="s">
        <v>3336</v>
      </c>
      <c r="G20599" s="9">
        <v>9786.6</v>
      </c>
      <c r="H20599" s="8">
        <v>8187</v>
      </c>
    </row>
    <row r="20600" spans="2:8" ht="15" customHeight="1" x14ac:dyDescent="0.4">
      <c r="B20600" t="s">
        <v>16</v>
      </c>
      <c r="C20600" t="s">
        <v>3335</v>
      </c>
      <c r="D20600" s="7">
        <f>DATE(2008,7,1)</f>
        <v>39630</v>
      </c>
      <c r="E20600" s="8">
        <f t="shared" si="337"/>
        <v>2008</v>
      </c>
      <c r="F20600" t="s">
        <v>3336</v>
      </c>
      <c r="G20600" s="9">
        <v>23520.55</v>
      </c>
      <c r="H20600" s="8">
        <v>8188</v>
      </c>
    </row>
    <row r="20601" spans="2:8" ht="15" customHeight="1" x14ac:dyDescent="0.4">
      <c r="B20601" s="3" t="s">
        <v>7</v>
      </c>
      <c r="C20601" s="3" t="s">
        <v>3335</v>
      </c>
      <c r="D20601" s="4">
        <f>DATE(2004,7,13)</f>
        <v>38181</v>
      </c>
      <c r="E20601" s="5">
        <f t="shared" si="337"/>
        <v>2004</v>
      </c>
      <c r="F20601" s="3" t="s">
        <v>3336</v>
      </c>
      <c r="G20601" s="6">
        <v>498.75</v>
      </c>
      <c r="H20601" s="5">
        <v>3142</v>
      </c>
    </row>
    <row r="20602" spans="2:8" ht="15" customHeight="1" x14ac:dyDescent="0.4">
      <c r="B20602" s="3" t="s">
        <v>7</v>
      </c>
      <c r="C20602" s="3" t="s">
        <v>3335</v>
      </c>
      <c r="D20602" s="4">
        <f>DATE(2004,8,3)</f>
        <v>38202</v>
      </c>
      <c r="E20602" s="5">
        <f t="shared" si="337"/>
        <v>2004</v>
      </c>
      <c r="F20602" s="3" t="s">
        <v>3336</v>
      </c>
      <c r="G20602" s="6">
        <v>5578.2</v>
      </c>
      <c r="H20602" s="5">
        <v>2759</v>
      </c>
    </row>
    <row r="20603" spans="2:8" ht="15" customHeight="1" x14ac:dyDescent="0.4">
      <c r="B20603" s="3" t="s">
        <v>7</v>
      </c>
      <c r="C20603" s="3" t="s">
        <v>3335</v>
      </c>
      <c r="D20603" s="4">
        <f>DATE(2004,8,12)</f>
        <v>38211</v>
      </c>
      <c r="E20603" s="5">
        <f t="shared" si="337"/>
        <v>2004</v>
      </c>
      <c r="F20603" s="3" t="s">
        <v>3336</v>
      </c>
      <c r="G20603" s="6">
        <v>2981.1</v>
      </c>
      <c r="H20603" s="5">
        <v>3164</v>
      </c>
    </row>
    <row r="20604" spans="2:8" ht="15" customHeight="1" x14ac:dyDescent="0.4">
      <c r="B20604" s="3" t="s">
        <v>7</v>
      </c>
      <c r="C20604" s="3" t="s">
        <v>3335</v>
      </c>
      <c r="D20604" s="4">
        <f>DATE(2005,6,8)</f>
        <v>38511</v>
      </c>
      <c r="E20604" s="5">
        <f t="shared" si="337"/>
        <v>2005</v>
      </c>
      <c r="F20604" s="3" t="s">
        <v>3336</v>
      </c>
      <c r="G20604" s="6">
        <v>3300</v>
      </c>
      <c r="H20604" s="5">
        <v>4855</v>
      </c>
    </row>
    <row r="20605" spans="2:8" ht="15" customHeight="1" x14ac:dyDescent="0.4">
      <c r="B20605" s="3" t="s">
        <v>7</v>
      </c>
      <c r="C20605" s="3" t="s">
        <v>3335</v>
      </c>
      <c r="D20605" s="4">
        <f>DATE(2005,12,28)</f>
        <v>38714</v>
      </c>
      <c r="E20605" s="5">
        <f t="shared" si="337"/>
        <v>2005</v>
      </c>
      <c r="F20605" s="3" t="s">
        <v>3336</v>
      </c>
      <c r="G20605" s="6">
        <v>104410.1</v>
      </c>
      <c r="H20605" s="5">
        <v>5736</v>
      </c>
    </row>
    <row r="20606" spans="2:8" ht="15" customHeight="1" x14ac:dyDescent="0.4">
      <c r="B20606" s="3" t="s">
        <v>7</v>
      </c>
      <c r="C20606" s="3" t="s">
        <v>3335</v>
      </c>
      <c r="D20606" s="4">
        <f>DATE(2006,1,24)</f>
        <v>38741</v>
      </c>
      <c r="E20606" s="5">
        <f t="shared" si="337"/>
        <v>2006</v>
      </c>
      <c r="F20606" s="3" t="s">
        <v>3336</v>
      </c>
      <c r="G20606" s="6">
        <v>9564.2000000000007</v>
      </c>
      <c r="H20606" s="5">
        <v>5531</v>
      </c>
    </row>
    <row r="20607" spans="2:8" ht="15" customHeight="1" x14ac:dyDescent="0.4">
      <c r="B20607" s="3" t="s">
        <v>7</v>
      </c>
      <c r="C20607" s="3" t="s">
        <v>3335</v>
      </c>
      <c r="D20607" s="4">
        <f>DATE(2006,2,3)</f>
        <v>38751</v>
      </c>
      <c r="E20607" s="5">
        <f t="shared" si="337"/>
        <v>2006</v>
      </c>
      <c r="F20607" s="3" t="s">
        <v>3336</v>
      </c>
      <c r="G20607" s="6">
        <v>173.4</v>
      </c>
      <c r="H20607" s="5">
        <v>5976</v>
      </c>
    </row>
    <row r="20608" spans="2:8" ht="15" customHeight="1" x14ac:dyDescent="0.4">
      <c r="B20608" s="3" t="s">
        <v>7</v>
      </c>
      <c r="C20608" s="3" t="s">
        <v>3335</v>
      </c>
      <c r="D20608" s="4">
        <f>DATE(2006,2,15)</f>
        <v>38763</v>
      </c>
      <c r="E20608" s="5">
        <f t="shared" si="337"/>
        <v>2006</v>
      </c>
      <c r="F20608" s="3" t="s">
        <v>3336</v>
      </c>
      <c r="G20608" s="6">
        <v>15577.98</v>
      </c>
      <c r="H20608" s="5">
        <v>6061</v>
      </c>
    </row>
    <row r="20609" spans="2:8" ht="15" customHeight="1" x14ac:dyDescent="0.4">
      <c r="B20609" s="3" t="s">
        <v>7</v>
      </c>
      <c r="C20609" s="3" t="s">
        <v>3335</v>
      </c>
      <c r="D20609" s="4">
        <f>DATE(2006,2,15)</f>
        <v>38763</v>
      </c>
      <c r="E20609" s="5">
        <f t="shared" si="337"/>
        <v>2006</v>
      </c>
      <c r="F20609" s="3" t="s">
        <v>3336</v>
      </c>
      <c r="G20609" s="6">
        <v>83.43</v>
      </c>
      <c r="H20609" s="5">
        <v>6078</v>
      </c>
    </row>
    <row r="20610" spans="2:8" ht="15" customHeight="1" x14ac:dyDescent="0.4">
      <c r="B20610" s="3" t="s">
        <v>7</v>
      </c>
      <c r="C20610" s="3" t="s">
        <v>3335</v>
      </c>
      <c r="D20610" s="4">
        <f>DATE(2006,3,20)</f>
        <v>38796</v>
      </c>
      <c r="E20610" s="5">
        <f t="shared" si="337"/>
        <v>2006</v>
      </c>
      <c r="F20610" s="3" t="s">
        <v>3336</v>
      </c>
      <c r="G20610" s="6">
        <v>10780</v>
      </c>
      <c r="H20610" s="5">
        <v>6465</v>
      </c>
    </row>
    <row r="20611" spans="2:8" ht="15" customHeight="1" x14ac:dyDescent="0.4">
      <c r="B20611" s="3" t="s">
        <v>7</v>
      </c>
      <c r="C20611" s="3" t="s">
        <v>3335</v>
      </c>
      <c r="D20611" s="4">
        <f>DATE(2006,3,20)</f>
        <v>38796</v>
      </c>
      <c r="E20611" s="5">
        <f t="shared" ref="E20611:E20674" si="338">YEAR(D20611)</f>
        <v>2006</v>
      </c>
      <c r="F20611" s="3" t="s">
        <v>3336</v>
      </c>
      <c r="G20611" s="6">
        <v>5000</v>
      </c>
      <c r="H20611" s="5">
        <v>6467</v>
      </c>
    </row>
    <row r="20612" spans="2:8" ht="15" customHeight="1" x14ac:dyDescent="0.4">
      <c r="B20612" s="3" t="s">
        <v>7</v>
      </c>
      <c r="C20612" s="3" t="s">
        <v>3335</v>
      </c>
      <c r="D20612" s="4">
        <f>DATE(2006,10,25)</f>
        <v>39015</v>
      </c>
      <c r="E20612" s="5">
        <f t="shared" si="338"/>
        <v>2006</v>
      </c>
      <c r="F20612" s="3" t="s">
        <v>3336</v>
      </c>
      <c r="G20612" s="6">
        <v>5670</v>
      </c>
      <c r="H20612" s="5">
        <v>7407</v>
      </c>
    </row>
    <row r="20613" spans="2:8" ht="15" customHeight="1" x14ac:dyDescent="0.4">
      <c r="B20613" s="3" t="s">
        <v>7</v>
      </c>
      <c r="C20613" s="3" t="s">
        <v>3335</v>
      </c>
      <c r="D20613" s="4">
        <f>DATE(2008,3,19)</f>
        <v>39526</v>
      </c>
      <c r="E20613" s="5">
        <f t="shared" si="338"/>
        <v>2008</v>
      </c>
      <c r="F20613" s="3" t="s">
        <v>3336</v>
      </c>
      <c r="G20613" s="6">
        <v>3804.8</v>
      </c>
      <c r="H20613" s="5">
        <v>10263</v>
      </c>
    </row>
    <row r="20614" spans="2:8" ht="15" customHeight="1" x14ac:dyDescent="0.4">
      <c r="B20614" s="3" t="s">
        <v>7</v>
      </c>
      <c r="C20614" s="3" t="s">
        <v>3335</v>
      </c>
      <c r="D20614" s="4">
        <f>DATE(2008,5,22)</f>
        <v>39590</v>
      </c>
      <c r="E20614" s="5">
        <f t="shared" si="338"/>
        <v>2008</v>
      </c>
      <c r="F20614" s="3" t="s">
        <v>3336</v>
      </c>
      <c r="G20614" s="6">
        <v>2932.5</v>
      </c>
      <c r="H20614" s="5">
        <v>10685</v>
      </c>
    </row>
    <row r="20615" spans="2:8" ht="15" customHeight="1" x14ac:dyDescent="0.4">
      <c r="B20615" s="3" t="s">
        <v>7</v>
      </c>
      <c r="C20615" s="3" t="s">
        <v>3335</v>
      </c>
      <c r="D20615" s="4">
        <f>DATE(2008,6,2)</f>
        <v>39601</v>
      </c>
      <c r="E20615" s="5">
        <f t="shared" si="338"/>
        <v>2008</v>
      </c>
      <c r="F20615" s="3" t="s">
        <v>3336</v>
      </c>
      <c r="G20615" s="6">
        <v>406.4</v>
      </c>
      <c r="H20615" s="5">
        <v>10787</v>
      </c>
    </row>
    <row r="20616" spans="2:8" ht="15" customHeight="1" x14ac:dyDescent="0.4">
      <c r="B20616" s="3" t="s">
        <v>16</v>
      </c>
      <c r="C20616" s="3" t="s">
        <v>3335</v>
      </c>
      <c r="D20616" s="4">
        <f>DATE(2006,3,20)</f>
        <v>38796</v>
      </c>
      <c r="E20616" s="5">
        <f t="shared" si="338"/>
        <v>2006</v>
      </c>
      <c r="F20616" s="3" t="s">
        <v>3336</v>
      </c>
      <c r="G20616" s="6">
        <v>10780</v>
      </c>
      <c r="H20616" s="5">
        <v>6374</v>
      </c>
    </row>
    <row r="20617" spans="2:8" ht="15" customHeight="1" x14ac:dyDescent="0.4">
      <c r="B20617" s="3" t="s">
        <v>16</v>
      </c>
      <c r="C20617" s="3" t="s">
        <v>3335</v>
      </c>
      <c r="D20617" s="4">
        <f>DATE(2006,3,20)</f>
        <v>38796</v>
      </c>
      <c r="E20617" s="5">
        <f t="shared" si="338"/>
        <v>2006</v>
      </c>
      <c r="F20617" s="3" t="s">
        <v>3336</v>
      </c>
      <c r="G20617" s="6">
        <v>15582</v>
      </c>
      <c r="H20617" s="5">
        <v>6466</v>
      </c>
    </row>
    <row r="20618" spans="2:8" ht="15" customHeight="1" x14ac:dyDescent="0.4">
      <c r="B20618" s="3" t="s">
        <v>16</v>
      </c>
      <c r="C20618" s="3" t="s">
        <v>3335</v>
      </c>
      <c r="D20618" s="4">
        <f>DATE(2008,7,1)</f>
        <v>39630</v>
      </c>
      <c r="E20618" s="5">
        <f t="shared" si="338"/>
        <v>2008</v>
      </c>
      <c r="F20618" s="3" t="s">
        <v>3336</v>
      </c>
      <c r="G20618" s="6">
        <v>3804.8</v>
      </c>
      <c r="H20618" s="5">
        <v>11087</v>
      </c>
    </row>
    <row r="20619" spans="2:8" ht="15" customHeight="1" x14ac:dyDescent="0.4">
      <c r="B20619" t="s">
        <v>7</v>
      </c>
      <c r="C20619" t="s">
        <v>3337</v>
      </c>
      <c r="D20619" s="7">
        <f>DATE(2016,4,26)</f>
        <v>42486</v>
      </c>
      <c r="E20619" s="8">
        <f t="shared" si="338"/>
        <v>2016</v>
      </c>
      <c r="F20619" t="s">
        <v>3338</v>
      </c>
      <c r="G20619" s="9">
        <v>477.92</v>
      </c>
      <c r="H20619" s="8">
        <v>22707</v>
      </c>
    </row>
    <row r="20620" spans="2:8" ht="15" customHeight="1" x14ac:dyDescent="0.4">
      <c r="B20620" t="s">
        <v>7</v>
      </c>
      <c r="C20620" t="s">
        <v>3337</v>
      </c>
      <c r="D20620" s="7">
        <f>DATE(2018,4,23)</f>
        <v>43213</v>
      </c>
      <c r="E20620" s="8">
        <f t="shared" si="338"/>
        <v>2018</v>
      </c>
      <c r="F20620" t="s">
        <v>3338</v>
      </c>
      <c r="G20620" s="9">
        <v>393.07</v>
      </c>
      <c r="H20620" s="8">
        <v>26535</v>
      </c>
    </row>
    <row r="20621" spans="2:8" ht="15" customHeight="1" x14ac:dyDescent="0.4">
      <c r="B20621" t="s">
        <v>7</v>
      </c>
      <c r="C20621" t="s">
        <v>3337</v>
      </c>
      <c r="D20621" s="7">
        <f>DATE(2019,3,27)</f>
        <v>43551</v>
      </c>
      <c r="E20621" s="8">
        <f t="shared" si="338"/>
        <v>2019</v>
      </c>
      <c r="F20621" t="s">
        <v>3338</v>
      </c>
      <c r="G20621" s="9">
        <v>328.99</v>
      </c>
      <c r="H20621" s="8">
        <v>28711</v>
      </c>
    </row>
    <row r="20622" spans="2:8" ht="15" customHeight="1" x14ac:dyDescent="0.4">
      <c r="B20622" t="s">
        <v>7</v>
      </c>
      <c r="C20622" t="s">
        <v>3337</v>
      </c>
      <c r="D20622" s="7">
        <f>DATE(2019,4,11)</f>
        <v>43566</v>
      </c>
      <c r="E20622" s="8">
        <f t="shared" si="338"/>
        <v>2019</v>
      </c>
      <c r="F20622" t="s">
        <v>3338</v>
      </c>
      <c r="G20622" s="9">
        <v>357</v>
      </c>
      <c r="H20622" s="8">
        <v>28818</v>
      </c>
    </row>
    <row r="20623" spans="2:8" ht="15" customHeight="1" x14ac:dyDescent="0.4">
      <c r="B20623" t="s">
        <v>7</v>
      </c>
      <c r="C20623" t="s">
        <v>3337</v>
      </c>
      <c r="D20623" s="7">
        <f>DATE(2019,4,29)</f>
        <v>43584</v>
      </c>
      <c r="E20623" s="8">
        <f t="shared" si="338"/>
        <v>2019</v>
      </c>
      <c r="F20623" t="s">
        <v>3338</v>
      </c>
      <c r="G20623" s="9">
        <v>531.26</v>
      </c>
      <c r="H20623" s="8">
        <v>28909</v>
      </c>
    </row>
    <row r="20624" spans="2:8" ht="15" customHeight="1" x14ac:dyDescent="0.4">
      <c r="B20624" s="3" t="s">
        <v>7</v>
      </c>
      <c r="C20624" s="3" t="s">
        <v>3337</v>
      </c>
      <c r="D20624" s="4">
        <f>DATE(2006,5,12)</f>
        <v>38849</v>
      </c>
      <c r="E20624" s="5">
        <f t="shared" si="338"/>
        <v>2006</v>
      </c>
      <c r="F20624" s="3" t="s">
        <v>3338</v>
      </c>
      <c r="G20624" s="6">
        <v>628.38</v>
      </c>
      <c r="H20624" s="5">
        <v>6721</v>
      </c>
    </row>
    <row r="20625" spans="2:8" ht="15" customHeight="1" x14ac:dyDescent="0.4">
      <c r="B20625" s="3" t="s">
        <v>7</v>
      </c>
      <c r="C20625" s="3" t="s">
        <v>3337</v>
      </c>
      <c r="D20625" s="4">
        <f>DATE(2007,4,6)</f>
        <v>39178</v>
      </c>
      <c r="E20625" s="5">
        <f t="shared" si="338"/>
        <v>2007</v>
      </c>
      <c r="F20625" s="3" t="s">
        <v>3338</v>
      </c>
      <c r="G20625" s="6">
        <v>362.09</v>
      </c>
      <c r="H20625" s="5">
        <v>8338</v>
      </c>
    </row>
    <row r="20626" spans="2:8" ht="15" customHeight="1" x14ac:dyDescent="0.4">
      <c r="B20626" s="3" t="s">
        <v>7</v>
      </c>
      <c r="C20626" s="3" t="s">
        <v>3337</v>
      </c>
      <c r="D20626" s="4">
        <f>DATE(2007,5,2)</f>
        <v>39204</v>
      </c>
      <c r="E20626" s="5">
        <f t="shared" si="338"/>
        <v>2007</v>
      </c>
      <c r="F20626" s="3" t="s">
        <v>3338</v>
      </c>
      <c r="G20626" s="6">
        <v>400</v>
      </c>
      <c r="H20626" s="5">
        <v>8501</v>
      </c>
    </row>
    <row r="20627" spans="2:8" ht="15" customHeight="1" x14ac:dyDescent="0.4">
      <c r="B20627" s="3" t="s">
        <v>7</v>
      </c>
      <c r="C20627" s="3" t="s">
        <v>3337</v>
      </c>
      <c r="D20627" s="4">
        <f>DATE(2009,3,11)</f>
        <v>39883</v>
      </c>
      <c r="E20627" s="5">
        <f t="shared" si="338"/>
        <v>2009</v>
      </c>
      <c r="F20627" s="3" t="s">
        <v>3338</v>
      </c>
      <c r="G20627" s="6">
        <v>625.15</v>
      </c>
      <c r="H20627" s="5">
        <v>12141</v>
      </c>
    </row>
    <row r="20628" spans="2:8" ht="15" customHeight="1" x14ac:dyDescent="0.4">
      <c r="B20628" s="3" t="s">
        <v>7</v>
      </c>
      <c r="C20628" s="3" t="s">
        <v>3337</v>
      </c>
      <c r="D20628" s="4">
        <f>DATE(2009,3,18)</f>
        <v>39890</v>
      </c>
      <c r="E20628" s="5">
        <f t="shared" si="338"/>
        <v>2009</v>
      </c>
      <c r="F20628" s="3" t="s">
        <v>3338</v>
      </c>
      <c r="G20628" s="6">
        <v>71.67</v>
      </c>
      <c r="H20628" s="5">
        <v>12236</v>
      </c>
    </row>
    <row r="20629" spans="2:8" ht="15" customHeight="1" x14ac:dyDescent="0.4">
      <c r="B20629" s="3" t="s">
        <v>7</v>
      </c>
      <c r="C20629" s="3" t="s">
        <v>3337</v>
      </c>
      <c r="D20629" s="4">
        <f>DATE(2009,3,18)</f>
        <v>39890</v>
      </c>
      <c r="E20629" s="5">
        <f t="shared" si="338"/>
        <v>2009</v>
      </c>
      <c r="F20629" s="3" t="s">
        <v>3338</v>
      </c>
      <c r="G20629" s="6">
        <v>2482.5300000000002</v>
      </c>
      <c r="H20629" s="5">
        <v>12195</v>
      </c>
    </row>
    <row r="20630" spans="2:8" ht="15" customHeight="1" x14ac:dyDescent="0.4">
      <c r="B20630" s="3" t="s">
        <v>7</v>
      </c>
      <c r="C20630" s="3" t="s">
        <v>3337</v>
      </c>
      <c r="D20630" s="4">
        <f>DATE(2009,4,2)</f>
        <v>39905</v>
      </c>
      <c r="E20630" s="5">
        <f t="shared" si="338"/>
        <v>2009</v>
      </c>
      <c r="F20630" s="3" t="s">
        <v>3338</v>
      </c>
      <c r="G20630" s="6">
        <v>151.94999999999999</v>
      </c>
      <c r="H20630" s="5">
        <v>12290</v>
      </c>
    </row>
    <row r="20631" spans="2:8" ht="15" customHeight="1" x14ac:dyDescent="0.4">
      <c r="B20631" s="3" t="s">
        <v>7</v>
      </c>
      <c r="C20631" s="3" t="s">
        <v>3337</v>
      </c>
      <c r="D20631" s="4">
        <f>DATE(2011,2,21)</f>
        <v>40595</v>
      </c>
      <c r="E20631" s="5">
        <f t="shared" si="338"/>
        <v>2011</v>
      </c>
      <c r="F20631" s="3" t="s">
        <v>3338</v>
      </c>
      <c r="G20631" s="6">
        <v>210</v>
      </c>
      <c r="H20631" s="5">
        <v>15088</v>
      </c>
    </row>
    <row r="20632" spans="2:8" ht="15" customHeight="1" x14ac:dyDescent="0.4">
      <c r="B20632" s="3" t="s">
        <v>7</v>
      </c>
      <c r="C20632" s="3" t="s">
        <v>3337</v>
      </c>
      <c r="D20632" s="4">
        <f>DATE(2011,5,2)</f>
        <v>40665</v>
      </c>
      <c r="E20632" s="5">
        <f t="shared" si="338"/>
        <v>2011</v>
      </c>
      <c r="F20632" s="3" t="s">
        <v>3338</v>
      </c>
      <c r="G20632" s="6">
        <v>190.97</v>
      </c>
      <c r="H20632" s="5">
        <v>15509</v>
      </c>
    </row>
    <row r="20633" spans="2:8" ht="15" customHeight="1" x14ac:dyDescent="0.4">
      <c r="B20633" s="3" t="s">
        <v>7</v>
      </c>
      <c r="C20633" s="3" t="s">
        <v>3337</v>
      </c>
      <c r="D20633" s="4">
        <f>DATE(2013,2,19)</f>
        <v>41324</v>
      </c>
      <c r="E20633" s="5">
        <f t="shared" si="338"/>
        <v>2013</v>
      </c>
      <c r="F20633" s="3" t="s">
        <v>3338</v>
      </c>
      <c r="G20633" s="6">
        <v>449.23</v>
      </c>
      <c r="H20633" s="5">
        <v>18180</v>
      </c>
    </row>
    <row r="20634" spans="2:8" ht="15" customHeight="1" x14ac:dyDescent="0.4">
      <c r="B20634" s="3" t="s">
        <v>7</v>
      </c>
      <c r="C20634" s="3" t="s">
        <v>3337</v>
      </c>
      <c r="D20634" s="4">
        <f>DATE(2014,2,20)</f>
        <v>41690</v>
      </c>
      <c r="E20634" s="5">
        <f t="shared" si="338"/>
        <v>2014</v>
      </c>
      <c r="F20634" s="3" t="s">
        <v>3338</v>
      </c>
      <c r="G20634" s="6">
        <v>378.85</v>
      </c>
      <c r="H20634" s="5">
        <v>19543</v>
      </c>
    </row>
    <row r="20635" spans="2:8" ht="15" customHeight="1" x14ac:dyDescent="0.4">
      <c r="B20635" s="3" t="s">
        <v>7</v>
      </c>
      <c r="C20635" s="3" t="s">
        <v>3337</v>
      </c>
      <c r="D20635" s="4">
        <f>DATE(2014,3,13)</f>
        <v>41711</v>
      </c>
      <c r="E20635" s="5">
        <f t="shared" si="338"/>
        <v>2014</v>
      </c>
      <c r="F20635" s="3" t="s">
        <v>3338</v>
      </c>
      <c r="G20635" s="6">
        <v>129</v>
      </c>
      <c r="H20635" s="5">
        <v>19661</v>
      </c>
    </row>
    <row r="20636" spans="2:8" ht="15" customHeight="1" x14ac:dyDescent="0.4">
      <c r="B20636" s="3" t="s">
        <v>7</v>
      </c>
      <c r="C20636" s="3" t="s">
        <v>3337</v>
      </c>
      <c r="D20636" s="4">
        <f>DATE(2014,4,22)</f>
        <v>41751</v>
      </c>
      <c r="E20636" s="5">
        <f t="shared" si="338"/>
        <v>2014</v>
      </c>
      <c r="F20636" s="3" t="s">
        <v>3338</v>
      </c>
      <c r="G20636" s="6">
        <v>392</v>
      </c>
      <c r="H20636" s="5">
        <v>19884</v>
      </c>
    </row>
    <row r="20637" spans="2:8" ht="15" customHeight="1" x14ac:dyDescent="0.4">
      <c r="B20637" t="s">
        <v>7</v>
      </c>
      <c r="C20637" t="s">
        <v>2863</v>
      </c>
      <c r="D20637" s="7">
        <f>DATE(2006,12,8)</f>
        <v>39059</v>
      </c>
      <c r="E20637" s="8">
        <f t="shared" si="338"/>
        <v>2006</v>
      </c>
      <c r="F20637" t="s">
        <v>3339</v>
      </c>
      <c r="G20637" s="9">
        <v>5981.27</v>
      </c>
      <c r="H20637" s="8">
        <v>5252</v>
      </c>
    </row>
    <row r="20638" spans="2:8" ht="15" customHeight="1" x14ac:dyDescent="0.4">
      <c r="B20638" t="s">
        <v>7</v>
      </c>
      <c r="C20638" t="s">
        <v>3340</v>
      </c>
      <c r="D20638" s="7">
        <f>DATE(2018,4,30)</f>
        <v>43220</v>
      </c>
      <c r="E20638" s="8">
        <f t="shared" si="338"/>
        <v>2018</v>
      </c>
      <c r="F20638" t="s">
        <v>3341</v>
      </c>
      <c r="G20638" s="9">
        <v>63869.59</v>
      </c>
      <c r="H20638" s="8">
        <v>26880</v>
      </c>
    </row>
    <row r="20639" spans="2:8" ht="15" customHeight="1" x14ac:dyDescent="0.4">
      <c r="B20639" s="3" t="s">
        <v>7</v>
      </c>
      <c r="C20639" s="3" t="s">
        <v>3340</v>
      </c>
      <c r="D20639" s="4">
        <f>DATE(2014,12,15)</f>
        <v>41988</v>
      </c>
      <c r="E20639" s="5">
        <f t="shared" si="338"/>
        <v>2014</v>
      </c>
      <c r="F20639" s="3" t="s">
        <v>3341</v>
      </c>
      <c r="G20639" s="6">
        <v>86671.99</v>
      </c>
      <c r="H20639" s="5">
        <v>6433</v>
      </c>
    </row>
    <row r="20640" spans="2:8" ht="15" customHeight="1" x14ac:dyDescent="0.4">
      <c r="B20640" s="3" t="s">
        <v>7</v>
      </c>
      <c r="C20640" s="3" t="s">
        <v>3340</v>
      </c>
      <c r="D20640" s="4">
        <f>DATE(2014,12,15)</f>
        <v>41988</v>
      </c>
      <c r="E20640" s="5">
        <f t="shared" si="338"/>
        <v>2014</v>
      </c>
      <c r="F20640" s="3" t="s">
        <v>3341</v>
      </c>
      <c r="G20640" s="6">
        <v>16014.53</v>
      </c>
      <c r="H20640" s="5">
        <v>6448</v>
      </c>
    </row>
    <row r="20641" spans="2:8" ht="15" customHeight="1" x14ac:dyDescent="0.4">
      <c r="B20641" t="s">
        <v>7</v>
      </c>
      <c r="C20641" t="s">
        <v>3184</v>
      </c>
      <c r="D20641" s="7">
        <f>DATE(2016,3,1)</f>
        <v>42430</v>
      </c>
      <c r="E20641" s="8">
        <f t="shared" si="338"/>
        <v>2016</v>
      </c>
      <c r="F20641" t="s">
        <v>3342</v>
      </c>
      <c r="G20641" s="9">
        <v>30793.96</v>
      </c>
      <c r="H20641" s="8">
        <v>21852</v>
      </c>
    </row>
    <row r="20642" spans="2:8" ht="15" customHeight="1" x14ac:dyDescent="0.4">
      <c r="B20642" t="s">
        <v>7</v>
      </c>
      <c r="C20642" t="s">
        <v>3184</v>
      </c>
      <c r="D20642" s="7">
        <f>DATE(2016,10,5)</f>
        <v>42648</v>
      </c>
      <c r="E20642" s="8">
        <f t="shared" si="338"/>
        <v>2016</v>
      </c>
      <c r="F20642" t="s">
        <v>3342</v>
      </c>
      <c r="G20642" s="9">
        <v>20883.07</v>
      </c>
      <c r="H20642" s="8">
        <v>23111</v>
      </c>
    </row>
    <row r="20643" spans="2:8" ht="15" customHeight="1" x14ac:dyDescent="0.4">
      <c r="B20643" t="s">
        <v>7</v>
      </c>
      <c r="C20643" t="s">
        <v>3343</v>
      </c>
      <c r="D20643" s="7">
        <f>DATE(2015,12,22)</f>
        <v>42360</v>
      </c>
      <c r="E20643" s="8">
        <f t="shared" si="338"/>
        <v>2015</v>
      </c>
      <c r="F20643" t="s">
        <v>3344</v>
      </c>
      <c r="G20643" s="9">
        <v>5063.6000000000004</v>
      </c>
      <c r="H20643" s="8">
        <v>21787</v>
      </c>
    </row>
    <row r="20644" spans="2:8" ht="15" customHeight="1" x14ac:dyDescent="0.4">
      <c r="B20644" t="s">
        <v>7</v>
      </c>
      <c r="C20644" t="s">
        <v>3345</v>
      </c>
      <c r="D20644" s="7">
        <f>DATE(2004,8,13)</f>
        <v>38212</v>
      </c>
      <c r="E20644" s="8">
        <f t="shared" si="338"/>
        <v>2004</v>
      </c>
      <c r="F20644" t="s">
        <v>3346</v>
      </c>
      <c r="G20644" s="9">
        <v>8000</v>
      </c>
      <c r="H20644" s="8">
        <v>2048</v>
      </c>
    </row>
    <row r="20645" spans="2:8" ht="15" customHeight="1" x14ac:dyDescent="0.4">
      <c r="B20645" t="s">
        <v>7</v>
      </c>
      <c r="C20645" t="s">
        <v>3347</v>
      </c>
      <c r="D20645" s="7">
        <f>DATE(2015,10,16)</f>
        <v>42293</v>
      </c>
      <c r="E20645" s="8">
        <f t="shared" si="338"/>
        <v>2015</v>
      </c>
      <c r="F20645" t="s">
        <v>3348</v>
      </c>
      <c r="G20645" s="9">
        <v>170320.69</v>
      </c>
      <c r="H20645" s="8">
        <v>20235</v>
      </c>
    </row>
    <row r="20646" spans="2:8" ht="15" customHeight="1" x14ac:dyDescent="0.4">
      <c r="B20646" t="s">
        <v>7</v>
      </c>
      <c r="C20646" t="s">
        <v>3347</v>
      </c>
      <c r="D20646" s="7">
        <f>DATE(2016,11,30)</f>
        <v>42704</v>
      </c>
      <c r="E20646" s="8">
        <f t="shared" si="338"/>
        <v>2016</v>
      </c>
      <c r="F20646" t="s">
        <v>3348</v>
      </c>
      <c r="G20646" s="9">
        <v>131456.19</v>
      </c>
      <c r="H20646" s="8">
        <v>23147</v>
      </c>
    </row>
    <row r="20647" spans="2:8" ht="15" customHeight="1" x14ac:dyDescent="0.4">
      <c r="B20647" t="s">
        <v>7</v>
      </c>
      <c r="C20647" t="s">
        <v>3347</v>
      </c>
      <c r="D20647" s="7">
        <f>DATE(2017,11,7)</f>
        <v>43046</v>
      </c>
      <c r="E20647" s="8">
        <f t="shared" si="338"/>
        <v>2017</v>
      </c>
      <c r="F20647" t="s">
        <v>3348</v>
      </c>
      <c r="G20647" s="9">
        <v>168445.99</v>
      </c>
      <c r="H20647" s="8">
        <v>25223</v>
      </c>
    </row>
    <row r="20648" spans="2:8" ht="15" customHeight="1" x14ac:dyDescent="0.4">
      <c r="B20648" t="s">
        <v>7</v>
      </c>
      <c r="C20648" t="s">
        <v>3347</v>
      </c>
      <c r="D20648" s="7">
        <f>DATE(2018,11,20)</f>
        <v>43424</v>
      </c>
      <c r="E20648" s="8">
        <f t="shared" si="338"/>
        <v>2018</v>
      </c>
      <c r="F20648" t="s">
        <v>3348</v>
      </c>
      <c r="G20648" s="9">
        <v>182300</v>
      </c>
      <c r="H20648" s="8">
        <v>27546</v>
      </c>
    </row>
    <row r="20649" spans="2:8" ht="15" customHeight="1" x14ac:dyDescent="0.4">
      <c r="B20649" t="s">
        <v>7</v>
      </c>
      <c r="C20649" t="s">
        <v>3347</v>
      </c>
      <c r="D20649" s="7">
        <f>DATE(2015,10,28)</f>
        <v>42305</v>
      </c>
      <c r="E20649" s="8">
        <f t="shared" si="338"/>
        <v>2015</v>
      </c>
      <c r="F20649" t="s">
        <v>3348</v>
      </c>
      <c r="G20649" s="9">
        <v>32936.94</v>
      </c>
      <c r="H20649" s="8">
        <v>20585</v>
      </c>
    </row>
    <row r="20650" spans="2:8" ht="15" customHeight="1" x14ac:dyDescent="0.4">
      <c r="B20650" t="s">
        <v>7</v>
      </c>
      <c r="C20650" t="s">
        <v>3347</v>
      </c>
      <c r="D20650" s="7">
        <f>DATE(2016,11,16)</f>
        <v>42690</v>
      </c>
      <c r="E20650" s="8">
        <f t="shared" si="338"/>
        <v>2016</v>
      </c>
      <c r="F20650" t="s">
        <v>3348</v>
      </c>
      <c r="G20650" s="9">
        <v>23463.33</v>
      </c>
      <c r="H20650" s="8">
        <v>23104</v>
      </c>
    </row>
    <row r="20651" spans="2:8" ht="15" customHeight="1" x14ac:dyDescent="0.4">
      <c r="B20651" t="s">
        <v>7</v>
      </c>
      <c r="C20651" t="s">
        <v>3347</v>
      </c>
      <c r="D20651" s="7">
        <f>DATE(2017,11,13)</f>
        <v>43052</v>
      </c>
      <c r="E20651" s="8">
        <f t="shared" si="338"/>
        <v>2017</v>
      </c>
      <c r="F20651" t="s">
        <v>3348</v>
      </c>
      <c r="G20651" s="9">
        <v>26470.23</v>
      </c>
      <c r="H20651" s="8">
        <v>24436</v>
      </c>
    </row>
    <row r="20652" spans="2:8" ht="15" customHeight="1" x14ac:dyDescent="0.4">
      <c r="B20652" t="s">
        <v>7</v>
      </c>
      <c r="C20652" t="s">
        <v>3347</v>
      </c>
      <c r="D20652" s="7">
        <f>DATE(2015,10,16)</f>
        <v>42293</v>
      </c>
      <c r="E20652" s="8">
        <f t="shared" si="338"/>
        <v>2015</v>
      </c>
      <c r="F20652" t="s">
        <v>3348</v>
      </c>
      <c r="G20652" s="9">
        <v>38647.800000000003</v>
      </c>
      <c r="H20652" s="8">
        <v>20234</v>
      </c>
    </row>
    <row r="20653" spans="2:8" ht="15" customHeight="1" x14ac:dyDescent="0.4">
      <c r="B20653" t="s">
        <v>7</v>
      </c>
      <c r="C20653" t="s">
        <v>3347</v>
      </c>
      <c r="D20653" s="7">
        <f>DATE(2016,11,30)</f>
        <v>42704</v>
      </c>
      <c r="E20653" s="8">
        <f t="shared" si="338"/>
        <v>2016</v>
      </c>
      <c r="F20653" t="s">
        <v>3348</v>
      </c>
      <c r="G20653" s="9">
        <v>38647.800000000003</v>
      </c>
      <c r="H20653" s="8">
        <v>23799</v>
      </c>
    </row>
    <row r="20654" spans="2:8" ht="15" customHeight="1" x14ac:dyDescent="0.4">
      <c r="B20654" t="s">
        <v>7</v>
      </c>
      <c r="C20654" t="s">
        <v>3347</v>
      </c>
      <c r="D20654" s="7">
        <f>DATE(2015,3,25)</f>
        <v>42088</v>
      </c>
      <c r="E20654" s="8">
        <f t="shared" si="338"/>
        <v>2015</v>
      </c>
      <c r="F20654" t="s">
        <v>3348</v>
      </c>
      <c r="G20654" s="9">
        <v>11950.91</v>
      </c>
      <c r="H20654" s="8">
        <v>20091</v>
      </c>
    </row>
    <row r="20655" spans="2:8" ht="15" customHeight="1" x14ac:dyDescent="0.4">
      <c r="B20655" t="s">
        <v>7</v>
      </c>
      <c r="C20655" t="s">
        <v>3347</v>
      </c>
      <c r="D20655" s="7">
        <f>DATE(2015,11,3)</f>
        <v>42311</v>
      </c>
      <c r="E20655" s="8">
        <f t="shared" si="338"/>
        <v>2015</v>
      </c>
      <c r="F20655" t="s">
        <v>3348</v>
      </c>
      <c r="G20655" s="9">
        <v>4900.5</v>
      </c>
      <c r="H20655" s="8">
        <v>21472</v>
      </c>
    </row>
    <row r="20656" spans="2:8" ht="15" customHeight="1" x14ac:dyDescent="0.4">
      <c r="B20656" t="s">
        <v>7</v>
      </c>
      <c r="C20656" t="s">
        <v>3347</v>
      </c>
      <c r="D20656" s="7">
        <f>DATE(2016,9,28)</f>
        <v>42641</v>
      </c>
      <c r="E20656" s="8">
        <f t="shared" si="338"/>
        <v>2016</v>
      </c>
      <c r="F20656" t="s">
        <v>3348</v>
      </c>
      <c r="G20656" s="9">
        <v>6707.16</v>
      </c>
      <c r="H20656" s="8">
        <v>23466</v>
      </c>
    </row>
    <row r="20657" spans="2:8" ht="15" customHeight="1" x14ac:dyDescent="0.4">
      <c r="B20657" t="s">
        <v>7</v>
      </c>
      <c r="C20657" t="s">
        <v>3347</v>
      </c>
      <c r="D20657" s="7">
        <f>DATE(2018,10,23)</f>
        <v>43396</v>
      </c>
      <c r="E20657" s="8">
        <f t="shared" si="338"/>
        <v>2018</v>
      </c>
      <c r="F20657" t="s">
        <v>3348</v>
      </c>
      <c r="G20657" s="9">
        <v>4896.13</v>
      </c>
      <c r="H20657" s="8">
        <v>27816</v>
      </c>
    </row>
    <row r="20658" spans="2:8" ht="15" customHeight="1" x14ac:dyDescent="0.4">
      <c r="B20658" t="s">
        <v>7</v>
      </c>
      <c r="C20658" t="s">
        <v>3347</v>
      </c>
      <c r="D20658" s="7">
        <f>DATE(2017,4,4)</f>
        <v>42829</v>
      </c>
      <c r="E20658" s="8">
        <f t="shared" si="338"/>
        <v>2017</v>
      </c>
      <c r="F20658" t="s">
        <v>3348</v>
      </c>
      <c r="G20658" s="9">
        <v>8258.19</v>
      </c>
      <c r="H20658" s="8">
        <v>24426</v>
      </c>
    </row>
    <row r="20659" spans="2:8" ht="15" customHeight="1" x14ac:dyDescent="0.4">
      <c r="B20659" t="s">
        <v>7</v>
      </c>
      <c r="C20659" t="s">
        <v>3347</v>
      </c>
      <c r="D20659" s="7">
        <f>DATE(2017,5,22)</f>
        <v>42877</v>
      </c>
      <c r="E20659" s="8">
        <f t="shared" si="338"/>
        <v>2017</v>
      </c>
      <c r="F20659" t="s">
        <v>3348</v>
      </c>
      <c r="G20659" s="9">
        <v>6577.65</v>
      </c>
      <c r="H20659" s="8">
        <v>24429</v>
      </c>
    </row>
    <row r="20660" spans="2:8" ht="15" customHeight="1" x14ac:dyDescent="0.4">
      <c r="B20660" t="s">
        <v>7</v>
      </c>
      <c r="C20660" t="s">
        <v>3347</v>
      </c>
      <c r="D20660" s="7">
        <f>DATE(2017,5,23)</f>
        <v>42878</v>
      </c>
      <c r="E20660" s="8">
        <f t="shared" si="338"/>
        <v>2017</v>
      </c>
      <c r="F20660" t="s">
        <v>3348</v>
      </c>
      <c r="G20660" s="9">
        <v>3902.43</v>
      </c>
      <c r="H20660" s="8">
        <v>24431</v>
      </c>
    </row>
    <row r="20661" spans="2:8" ht="15" customHeight="1" x14ac:dyDescent="0.4">
      <c r="B20661" t="s">
        <v>7</v>
      </c>
      <c r="C20661" t="s">
        <v>3347</v>
      </c>
      <c r="D20661" s="7">
        <f>DATE(2007,6,29)</f>
        <v>39262</v>
      </c>
      <c r="E20661" s="8">
        <f t="shared" si="338"/>
        <v>2007</v>
      </c>
      <c r="F20661" t="s">
        <v>3348</v>
      </c>
      <c r="G20661" s="9">
        <v>28525.9</v>
      </c>
      <c r="H20661" s="8">
        <v>5688</v>
      </c>
    </row>
    <row r="20662" spans="2:8" ht="15" customHeight="1" x14ac:dyDescent="0.4">
      <c r="B20662" t="s">
        <v>7</v>
      </c>
      <c r="C20662" t="s">
        <v>3347</v>
      </c>
      <c r="D20662" s="7">
        <f>DATE(2009,10,8)</f>
        <v>40094</v>
      </c>
      <c r="E20662" s="8">
        <f t="shared" si="338"/>
        <v>2009</v>
      </c>
      <c r="F20662" t="s">
        <v>3348</v>
      </c>
      <c r="G20662" s="9">
        <v>1168</v>
      </c>
      <c r="H20662" s="8">
        <v>8927</v>
      </c>
    </row>
    <row r="20663" spans="2:8" ht="15" customHeight="1" x14ac:dyDescent="0.4">
      <c r="B20663" t="s">
        <v>7</v>
      </c>
      <c r="C20663" t="s">
        <v>3347</v>
      </c>
      <c r="D20663" s="7">
        <f>DATE(2009,10,8)</f>
        <v>40094</v>
      </c>
      <c r="E20663" s="8">
        <f t="shared" si="338"/>
        <v>2009</v>
      </c>
      <c r="F20663" t="s">
        <v>3348</v>
      </c>
      <c r="G20663" s="9">
        <v>1160</v>
      </c>
      <c r="H20663" s="8">
        <v>9128</v>
      </c>
    </row>
    <row r="20664" spans="2:8" ht="15" customHeight="1" x14ac:dyDescent="0.4">
      <c r="B20664" t="s">
        <v>7</v>
      </c>
      <c r="C20664" t="s">
        <v>3347</v>
      </c>
      <c r="D20664" s="7">
        <f>DATE(2011,8,19)</f>
        <v>40774</v>
      </c>
      <c r="E20664" s="8">
        <f t="shared" si="338"/>
        <v>2011</v>
      </c>
      <c r="F20664" t="s">
        <v>3348</v>
      </c>
      <c r="G20664" s="9">
        <v>81</v>
      </c>
      <c r="H20664" s="8">
        <v>10948</v>
      </c>
    </row>
    <row r="20665" spans="2:8" ht="15" customHeight="1" x14ac:dyDescent="0.4">
      <c r="B20665" t="s">
        <v>7</v>
      </c>
      <c r="C20665" t="s">
        <v>3347</v>
      </c>
      <c r="D20665" s="7">
        <f>DATE(2011,9,6)</f>
        <v>40792</v>
      </c>
      <c r="E20665" s="8">
        <f t="shared" si="338"/>
        <v>2011</v>
      </c>
      <c r="F20665" t="s">
        <v>3348</v>
      </c>
      <c r="G20665" s="9">
        <v>1209</v>
      </c>
      <c r="H20665" s="8">
        <v>10948</v>
      </c>
    </row>
    <row r="20666" spans="2:8" ht="15" customHeight="1" x14ac:dyDescent="0.4">
      <c r="B20666" t="s">
        <v>7</v>
      </c>
      <c r="C20666" t="s">
        <v>3347</v>
      </c>
      <c r="D20666" s="7">
        <f>DATE(2012,8,23)</f>
        <v>41144</v>
      </c>
      <c r="E20666" s="8">
        <f t="shared" si="338"/>
        <v>2012</v>
      </c>
      <c r="F20666" t="s">
        <v>3348</v>
      </c>
      <c r="G20666" s="9">
        <v>2270</v>
      </c>
      <c r="H20666" s="8">
        <v>11817</v>
      </c>
    </row>
    <row r="20667" spans="2:8" ht="15" customHeight="1" x14ac:dyDescent="0.4">
      <c r="B20667" t="s">
        <v>7</v>
      </c>
      <c r="C20667" t="s">
        <v>3347</v>
      </c>
      <c r="D20667" s="7">
        <f>DATE(2011,10,18)</f>
        <v>40834</v>
      </c>
      <c r="E20667" s="8">
        <f t="shared" si="338"/>
        <v>2011</v>
      </c>
      <c r="F20667" t="s">
        <v>3348</v>
      </c>
      <c r="G20667" s="9">
        <v>24000</v>
      </c>
      <c r="H20667" s="8">
        <v>11014</v>
      </c>
    </row>
    <row r="20668" spans="2:8" ht="15" customHeight="1" x14ac:dyDescent="0.4">
      <c r="B20668" t="s">
        <v>7</v>
      </c>
      <c r="C20668" t="s">
        <v>3347</v>
      </c>
      <c r="D20668" s="7">
        <f>DATE(2012,5,4)</f>
        <v>41033</v>
      </c>
      <c r="E20668" s="8">
        <f t="shared" si="338"/>
        <v>2012</v>
      </c>
      <c r="F20668" t="s">
        <v>3348</v>
      </c>
      <c r="G20668" s="9">
        <v>5219</v>
      </c>
      <c r="H20668" s="8">
        <v>11511</v>
      </c>
    </row>
    <row r="20669" spans="2:8" ht="15" customHeight="1" x14ac:dyDescent="0.4">
      <c r="B20669" t="s">
        <v>7</v>
      </c>
      <c r="C20669" t="s">
        <v>3347</v>
      </c>
      <c r="D20669" s="7">
        <f>DATE(2012,11,1)</f>
        <v>41214</v>
      </c>
      <c r="E20669" s="8">
        <f t="shared" si="338"/>
        <v>2012</v>
      </c>
      <c r="F20669" t="s">
        <v>3348</v>
      </c>
      <c r="G20669" s="9">
        <v>33000</v>
      </c>
      <c r="H20669" s="8">
        <v>11795</v>
      </c>
    </row>
    <row r="20670" spans="2:8" ht="15" customHeight="1" x14ac:dyDescent="0.4">
      <c r="B20670" t="s">
        <v>7</v>
      </c>
      <c r="C20670" t="s">
        <v>3347</v>
      </c>
      <c r="D20670" s="7">
        <f>DATE(2013,1,4)</f>
        <v>41278</v>
      </c>
      <c r="E20670" s="8">
        <f t="shared" si="338"/>
        <v>2013</v>
      </c>
      <c r="F20670" t="s">
        <v>3348</v>
      </c>
      <c r="G20670" s="9">
        <v>7456.4</v>
      </c>
      <c r="H20670" s="8">
        <v>12029</v>
      </c>
    </row>
    <row r="20671" spans="2:8" ht="15" customHeight="1" x14ac:dyDescent="0.4">
      <c r="B20671" t="s">
        <v>7</v>
      </c>
      <c r="C20671" t="s">
        <v>3347</v>
      </c>
      <c r="D20671" s="7">
        <f>DATE(2013,1,4)</f>
        <v>41278</v>
      </c>
      <c r="E20671" s="8">
        <f t="shared" si="338"/>
        <v>2013</v>
      </c>
      <c r="F20671" t="s">
        <v>3348</v>
      </c>
      <c r="G20671" s="9">
        <v>4473.2</v>
      </c>
      <c r="H20671" s="8">
        <v>12030</v>
      </c>
    </row>
    <row r="20672" spans="2:8" ht="15" customHeight="1" x14ac:dyDescent="0.4">
      <c r="B20672" t="s">
        <v>7</v>
      </c>
      <c r="C20672" t="s">
        <v>3347</v>
      </c>
      <c r="D20672" s="7">
        <f>DATE(2013,1,10)</f>
        <v>41284</v>
      </c>
      <c r="E20672" s="8">
        <f t="shared" si="338"/>
        <v>2013</v>
      </c>
      <c r="F20672" t="s">
        <v>3348</v>
      </c>
      <c r="G20672" s="9">
        <v>4341.8999999999996</v>
      </c>
      <c r="H20672" s="8">
        <v>12100</v>
      </c>
    </row>
    <row r="20673" spans="2:8" ht="15" customHeight="1" x14ac:dyDescent="0.4">
      <c r="B20673" t="s">
        <v>7</v>
      </c>
      <c r="C20673" t="s">
        <v>3347</v>
      </c>
      <c r="D20673" s="7">
        <f>DATE(2013,11,6)</f>
        <v>41584</v>
      </c>
      <c r="E20673" s="8">
        <f t="shared" si="338"/>
        <v>2013</v>
      </c>
      <c r="F20673" t="s">
        <v>3348</v>
      </c>
      <c r="G20673" s="9">
        <v>28608.799999999999</v>
      </c>
      <c r="H20673" s="8">
        <v>12529</v>
      </c>
    </row>
    <row r="20674" spans="2:8" ht="15" customHeight="1" x14ac:dyDescent="0.4">
      <c r="B20674" t="s">
        <v>7</v>
      </c>
      <c r="C20674" t="s">
        <v>3347</v>
      </c>
      <c r="D20674" s="7">
        <f>DATE(2014,12,19)</f>
        <v>41992</v>
      </c>
      <c r="E20674" s="8">
        <f t="shared" si="338"/>
        <v>2014</v>
      </c>
      <c r="F20674" t="s">
        <v>3348</v>
      </c>
      <c r="G20674" s="9">
        <v>41173.72</v>
      </c>
      <c r="H20674" s="8">
        <v>13112</v>
      </c>
    </row>
    <row r="20675" spans="2:8" ht="15" customHeight="1" x14ac:dyDescent="0.4">
      <c r="B20675" t="s">
        <v>7</v>
      </c>
      <c r="C20675" t="s">
        <v>3347</v>
      </c>
      <c r="D20675" s="7">
        <f>DATE(2003,1,31)</f>
        <v>37652</v>
      </c>
      <c r="E20675" s="8">
        <f t="shared" ref="E20675:E20738" si="339">YEAR(D20675)</f>
        <v>2003</v>
      </c>
      <c r="F20675" t="s">
        <v>3348</v>
      </c>
      <c r="G20675" s="9">
        <v>5955.78</v>
      </c>
      <c r="H20675" s="8">
        <v>81</v>
      </c>
    </row>
    <row r="20676" spans="2:8" ht="15" customHeight="1" x14ac:dyDescent="0.4">
      <c r="B20676" t="s">
        <v>7</v>
      </c>
      <c r="C20676" t="s">
        <v>3347</v>
      </c>
      <c r="D20676" s="7">
        <f>DATE(2003,9,26)</f>
        <v>37890</v>
      </c>
      <c r="E20676" s="8">
        <f t="shared" si="339"/>
        <v>2003</v>
      </c>
      <c r="F20676" t="s">
        <v>3348</v>
      </c>
      <c r="G20676" s="9">
        <v>80496.350000000006</v>
      </c>
      <c r="H20676" s="8">
        <v>757</v>
      </c>
    </row>
    <row r="20677" spans="2:8" ht="15" customHeight="1" x14ac:dyDescent="0.4">
      <c r="B20677" t="s">
        <v>7</v>
      </c>
      <c r="C20677" t="s">
        <v>3347</v>
      </c>
      <c r="D20677" s="7">
        <f>DATE(2004,2,17)</f>
        <v>38034</v>
      </c>
      <c r="E20677" s="8">
        <f t="shared" si="339"/>
        <v>2004</v>
      </c>
      <c r="F20677" t="s">
        <v>3348</v>
      </c>
      <c r="G20677" s="9">
        <v>8474.26</v>
      </c>
      <c r="H20677" s="8">
        <v>1369</v>
      </c>
    </row>
    <row r="20678" spans="2:8" ht="15" customHeight="1" x14ac:dyDescent="0.4">
      <c r="B20678" t="s">
        <v>7</v>
      </c>
      <c r="C20678" t="s">
        <v>3347</v>
      </c>
      <c r="D20678" s="7">
        <f>DATE(2004,2,26)</f>
        <v>38043</v>
      </c>
      <c r="E20678" s="8">
        <f t="shared" si="339"/>
        <v>2004</v>
      </c>
      <c r="F20678" t="s">
        <v>3348</v>
      </c>
      <c r="G20678" s="9">
        <v>25770.26</v>
      </c>
      <c r="H20678" s="8">
        <v>1414</v>
      </c>
    </row>
    <row r="20679" spans="2:8" ht="15" customHeight="1" x14ac:dyDescent="0.4">
      <c r="B20679" t="s">
        <v>7</v>
      </c>
      <c r="C20679" t="s">
        <v>3347</v>
      </c>
      <c r="D20679" s="7">
        <f>DATE(2004,9,25)</f>
        <v>38255</v>
      </c>
      <c r="E20679" s="8">
        <f t="shared" si="339"/>
        <v>2004</v>
      </c>
      <c r="F20679" t="s">
        <v>3348</v>
      </c>
      <c r="G20679" s="9">
        <v>141803.95000000001</v>
      </c>
      <c r="H20679" s="8">
        <v>1908</v>
      </c>
    </row>
    <row r="20680" spans="2:8" ht="15" customHeight="1" x14ac:dyDescent="0.4">
      <c r="B20680" t="s">
        <v>7</v>
      </c>
      <c r="C20680" t="s">
        <v>3347</v>
      </c>
      <c r="D20680" s="7">
        <f>DATE(2004,11,24)</f>
        <v>38315</v>
      </c>
      <c r="E20680" s="8">
        <f t="shared" si="339"/>
        <v>2004</v>
      </c>
      <c r="F20680" t="s">
        <v>3348</v>
      </c>
      <c r="G20680" s="9">
        <v>1567.02</v>
      </c>
      <c r="H20680" s="8">
        <v>2401</v>
      </c>
    </row>
    <row r="20681" spans="2:8" ht="15" customHeight="1" x14ac:dyDescent="0.4">
      <c r="B20681" t="s">
        <v>7</v>
      </c>
      <c r="C20681" t="s">
        <v>3347</v>
      </c>
      <c r="D20681" s="7">
        <f>DATE(2005,6,18)</f>
        <v>38521</v>
      </c>
      <c r="E20681" s="8">
        <f t="shared" si="339"/>
        <v>2005</v>
      </c>
      <c r="F20681" t="s">
        <v>3348</v>
      </c>
      <c r="G20681" s="9">
        <v>3445.52</v>
      </c>
      <c r="H20681" s="8">
        <v>3291</v>
      </c>
    </row>
    <row r="20682" spans="2:8" ht="15" customHeight="1" x14ac:dyDescent="0.4">
      <c r="B20682" t="s">
        <v>7</v>
      </c>
      <c r="C20682" t="s">
        <v>3347</v>
      </c>
      <c r="D20682" s="7">
        <f>DATE(2005,7,2)</f>
        <v>38535</v>
      </c>
      <c r="E20682" s="8">
        <f t="shared" si="339"/>
        <v>2005</v>
      </c>
      <c r="F20682" t="s">
        <v>3348</v>
      </c>
      <c r="G20682" s="9">
        <v>5265.46</v>
      </c>
      <c r="H20682" s="8">
        <v>3350</v>
      </c>
    </row>
    <row r="20683" spans="2:8" ht="15" customHeight="1" x14ac:dyDescent="0.4">
      <c r="B20683" t="s">
        <v>7</v>
      </c>
      <c r="C20683" t="s">
        <v>3347</v>
      </c>
      <c r="D20683" s="7">
        <f>DATE(2005,6,26)</f>
        <v>38529</v>
      </c>
      <c r="E20683" s="8">
        <f t="shared" si="339"/>
        <v>2005</v>
      </c>
      <c r="F20683" t="s">
        <v>3348</v>
      </c>
      <c r="G20683" s="9">
        <v>1760</v>
      </c>
      <c r="H20683" s="8">
        <v>3329</v>
      </c>
    </row>
    <row r="20684" spans="2:8" ht="15" customHeight="1" x14ac:dyDescent="0.4">
      <c r="B20684" t="s">
        <v>7</v>
      </c>
      <c r="C20684" t="s">
        <v>3347</v>
      </c>
      <c r="D20684" s="7">
        <f>DATE(2005,9,30)</f>
        <v>38625</v>
      </c>
      <c r="E20684" s="8">
        <f t="shared" si="339"/>
        <v>2005</v>
      </c>
      <c r="F20684" t="s">
        <v>3348</v>
      </c>
      <c r="G20684" s="9">
        <v>121086.67</v>
      </c>
      <c r="H20684" s="8">
        <v>2972</v>
      </c>
    </row>
    <row r="20685" spans="2:8" ht="15" customHeight="1" x14ac:dyDescent="0.4">
      <c r="B20685" t="s">
        <v>7</v>
      </c>
      <c r="C20685" t="s">
        <v>3347</v>
      </c>
      <c r="D20685" s="7">
        <f>DATE(2005,10,20)</f>
        <v>38645</v>
      </c>
      <c r="E20685" s="8">
        <f t="shared" si="339"/>
        <v>2005</v>
      </c>
      <c r="F20685" t="s">
        <v>3348</v>
      </c>
      <c r="G20685" s="9">
        <v>13378.06</v>
      </c>
      <c r="H20685" s="8">
        <v>3693</v>
      </c>
    </row>
    <row r="20686" spans="2:8" ht="15" customHeight="1" x14ac:dyDescent="0.4">
      <c r="B20686" t="s">
        <v>7</v>
      </c>
      <c r="C20686" t="s">
        <v>3347</v>
      </c>
      <c r="D20686" s="7">
        <f>DATE(2005,10,11)</f>
        <v>38636</v>
      </c>
      <c r="E20686" s="8">
        <f t="shared" si="339"/>
        <v>2005</v>
      </c>
      <c r="F20686" t="s">
        <v>3348</v>
      </c>
      <c r="G20686" s="9">
        <v>63153.06</v>
      </c>
      <c r="H20686" s="8">
        <v>3656</v>
      </c>
    </row>
    <row r="20687" spans="2:8" ht="15" customHeight="1" x14ac:dyDescent="0.4">
      <c r="B20687" t="s">
        <v>7</v>
      </c>
      <c r="C20687" t="s">
        <v>3347</v>
      </c>
      <c r="D20687" s="7">
        <f>DATE(2005,10,10)</f>
        <v>38635</v>
      </c>
      <c r="E20687" s="8">
        <f t="shared" si="339"/>
        <v>2005</v>
      </c>
      <c r="F20687" t="s">
        <v>3348</v>
      </c>
      <c r="G20687" s="9">
        <v>3343.15</v>
      </c>
      <c r="H20687" s="8">
        <v>3717</v>
      </c>
    </row>
    <row r="20688" spans="2:8" ht="15" customHeight="1" x14ac:dyDescent="0.4">
      <c r="B20688" t="s">
        <v>7</v>
      </c>
      <c r="C20688" t="s">
        <v>3347</v>
      </c>
      <c r="D20688" s="7">
        <f>DATE(2006,4,17)</f>
        <v>38824</v>
      </c>
      <c r="E20688" s="8">
        <f t="shared" si="339"/>
        <v>2006</v>
      </c>
      <c r="F20688" t="s">
        <v>3348</v>
      </c>
      <c r="G20688" s="9">
        <v>6730.29</v>
      </c>
      <c r="H20688" s="8">
        <v>4473</v>
      </c>
    </row>
    <row r="20689" spans="2:8" ht="15" customHeight="1" x14ac:dyDescent="0.4">
      <c r="B20689" t="s">
        <v>7</v>
      </c>
      <c r="C20689" t="s">
        <v>3347</v>
      </c>
      <c r="D20689" s="7">
        <f>DATE(2006,5,9)</f>
        <v>38846</v>
      </c>
      <c r="E20689" s="8">
        <f t="shared" si="339"/>
        <v>2006</v>
      </c>
      <c r="F20689" t="s">
        <v>3348</v>
      </c>
      <c r="G20689" s="9">
        <v>10906.27</v>
      </c>
      <c r="H20689" s="8">
        <v>4577</v>
      </c>
    </row>
    <row r="20690" spans="2:8" ht="15" customHeight="1" x14ac:dyDescent="0.4">
      <c r="B20690" t="s">
        <v>7</v>
      </c>
      <c r="C20690" t="s">
        <v>3347</v>
      </c>
      <c r="D20690" s="7">
        <f>DATE(2006,5,22)</f>
        <v>38859</v>
      </c>
      <c r="E20690" s="8">
        <f t="shared" si="339"/>
        <v>2006</v>
      </c>
      <c r="F20690" t="s">
        <v>3348</v>
      </c>
      <c r="G20690" s="9">
        <v>5786.59</v>
      </c>
      <c r="H20690" s="8">
        <v>4613</v>
      </c>
    </row>
    <row r="20691" spans="2:8" ht="15" customHeight="1" x14ac:dyDescent="0.4">
      <c r="B20691" t="s">
        <v>7</v>
      </c>
      <c r="C20691" t="s">
        <v>3347</v>
      </c>
      <c r="D20691" s="7">
        <f>DATE(2006,9,27)</f>
        <v>38987</v>
      </c>
      <c r="E20691" s="8">
        <f t="shared" si="339"/>
        <v>2006</v>
      </c>
      <c r="F20691" t="s">
        <v>3348</v>
      </c>
      <c r="G20691" s="9">
        <v>134750.25</v>
      </c>
      <c r="H20691" s="8">
        <v>4884</v>
      </c>
    </row>
    <row r="20692" spans="2:8" ht="15" customHeight="1" x14ac:dyDescent="0.4">
      <c r="B20692" t="s">
        <v>7</v>
      </c>
      <c r="C20692" t="s">
        <v>3347</v>
      </c>
      <c r="D20692" s="7">
        <f>DATE(2007,10,8)</f>
        <v>39363</v>
      </c>
      <c r="E20692" s="8">
        <f t="shared" si="339"/>
        <v>2007</v>
      </c>
      <c r="F20692" t="s">
        <v>3348</v>
      </c>
      <c r="G20692" s="9">
        <v>139405.25</v>
      </c>
      <c r="H20692" s="8">
        <v>5703</v>
      </c>
    </row>
    <row r="20693" spans="2:8" ht="15" customHeight="1" x14ac:dyDescent="0.4">
      <c r="B20693" t="s">
        <v>7</v>
      </c>
      <c r="C20693" t="s">
        <v>3347</v>
      </c>
      <c r="D20693" s="7">
        <f>DATE(2008,9,27)</f>
        <v>39718</v>
      </c>
      <c r="E20693" s="8">
        <f t="shared" si="339"/>
        <v>2008</v>
      </c>
      <c r="F20693" t="s">
        <v>3348</v>
      </c>
      <c r="G20693" s="9">
        <v>136897.32</v>
      </c>
      <c r="H20693" s="8">
        <v>7235</v>
      </c>
    </row>
    <row r="20694" spans="2:8" ht="15" customHeight="1" x14ac:dyDescent="0.4">
      <c r="B20694" t="s">
        <v>7</v>
      </c>
      <c r="C20694" t="s">
        <v>3347</v>
      </c>
      <c r="D20694" s="7">
        <f>DATE(2009,6,25)</f>
        <v>39989</v>
      </c>
      <c r="E20694" s="8">
        <f t="shared" si="339"/>
        <v>2009</v>
      </c>
      <c r="F20694" t="s">
        <v>3348</v>
      </c>
      <c r="G20694" s="9">
        <v>2965.5</v>
      </c>
      <c r="H20694" s="8">
        <v>8825</v>
      </c>
    </row>
    <row r="20695" spans="2:8" ht="15" customHeight="1" x14ac:dyDescent="0.4">
      <c r="B20695" t="s">
        <v>7</v>
      </c>
      <c r="C20695" t="s">
        <v>3347</v>
      </c>
      <c r="D20695" s="7">
        <f>DATE(2009,7,13)</f>
        <v>40007</v>
      </c>
      <c r="E20695" s="8">
        <f t="shared" si="339"/>
        <v>2009</v>
      </c>
      <c r="F20695" t="s">
        <v>3348</v>
      </c>
      <c r="G20695" s="9">
        <v>2463.92</v>
      </c>
      <c r="H20695" s="8">
        <v>8782</v>
      </c>
    </row>
    <row r="20696" spans="2:8" ht="15" customHeight="1" x14ac:dyDescent="0.4">
      <c r="B20696" t="s">
        <v>7</v>
      </c>
      <c r="C20696" t="s">
        <v>3347</v>
      </c>
      <c r="D20696" s="7">
        <f>DATE(2009,7,22)</f>
        <v>40016</v>
      </c>
      <c r="E20696" s="8">
        <f t="shared" si="339"/>
        <v>2009</v>
      </c>
      <c r="F20696" t="s">
        <v>3348</v>
      </c>
      <c r="G20696" s="9">
        <v>7555.58</v>
      </c>
      <c r="H20696" s="8">
        <v>8852</v>
      </c>
    </row>
    <row r="20697" spans="2:8" ht="15" customHeight="1" x14ac:dyDescent="0.4">
      <c r="B20697" t="s">
        <v>7</v>
      </c>
      <c r="C20697" t="s">
        <v>3347</v>
      </c>
      <c r="D20697" s="7">
        <f>DATE(2009,7,29)</f>
        <v>40023</v>
      </c>
      <c r="E20697" s="8">
        <f t="shared" si="339"/>
        <v>2009</v>
      </c>
      <c r="F20697" t="s">
        <v>3348</v>
      </c>
      <c r="G20697" s="9">
        <v>5002.1899999999996</v>
      </c>
      <c r="H20697" s="8">
        <v>8886</v>
      </c>
    </row>
    <row r="20698" spans="2:8" ht="15" customHeight="1" x14ac:dyDescent="0.4">
      <c r="B20698" t="s">
        <v>7</v>
      </c>
      <c r="C20698" t="s">
        <v>3347</v>
      </c>
      <c r="D20698" s="7">
        <f>DATE(2009,9,17)</f>
        <v>40073</v>
      </c>
      <c r="E20698" s="8">
        <f t="shared" si="339"/>
        <v>2009</v>
      </c>
      <c r="F20698" t="s">
        <v>3348</v>
      </c>
      <c r="G20698" s="9">
        <v>2304.61</v>
      </c>
      <c r="H20698" s="8">
        <v>9051</v>
      </c>
    </row>
    <row r="20699" spans="2:8" ht="15" customHeight="1" x14ac:dyDescent="0.4">
      <c r="B20699" t="s">
        <v>7</v>
      </c>
      <c r="C20699" t="s">
        <v>3347</v>
      </c>
      <c r="D20699" s="7">
        <f>DATE(2009,10,12)</f>
        <v>40098</v>
      </c>
      <c r="E20699" s="8">
        <f t="shared" si="339"/>
        <v>2009</v>
      </c>
      <c r="F20699" t="s">
        <v>3348</v>
      </c>
      <c r="G20699" s="9">
        <v>129911.27</v>
      </c>
      <c r="H20699" s="8">
        <v>8744</v>
      </c>
    </row>
    <row r="20700" spans="2:8" ht="15" customHeight="1" x14ac:dyDescent="0.4">
      <c r="B20700" t="s">
        <v>7</v>
      </c>
      <c r="C20700" t="s">
        <v>3347</v>
      </c>
      <c r="D20700" s="7">
        <f>DATE(2009,10,20)</f>
        <v>40106</v>
      </c>
      <c r="E20700" s="8">
        <f t="shared" si="339"/>
        <v>2009</v>
      </c>
      <c r="F20700" t="s">
        <v>3348</v>
      </c>
      <c r="G20700" s="9">
        <v>7083.99</v>
      </c>
      <c r="H20700" s="8">
        <v>9158</v>
      </c>
    </row>
    <row r="20701" spans="2:8" ht="15" customHeight="1" x14ac:dyDescent="0.4">
      <c r="B20701" t="s">
        <v>7</v>
      </c>
      <c r="C20701" t="s">
        <v>3347</v>
      </c>
      <c r="D20701" s="7">
        <f>DATE(2010,10,12)</f>
        <v>40463</v>
      </c>
      <c r="E20701" s="8">
        <f t="shared" si="339"/>
        <v>2010</v>
      </c>
      <c r="F20701" t="s">
        <v>3348</v>
      </c>
      <c r="G20701" s="9">
        <v>150871.91</v>
      </c>
      <c r="H20701" s="8">
        <v>9832</v>
      </c>
    </row>
    <row r="20702" spans="2:8" ht="15" customHeight="1" x14ac:dyDescent="0.4">
      <c r="B20702" t="s">
        <v>7</v>
      </c>
      <c r="C20702" t="s">
        <v>3347</v>
      </c>
      <c r="D20702" s="7">
        <f>DATE(2011,10,18)</f>
        <v>40834</v>
      </c>
      <c r="E20702" s="8">
        <f t="shared" si="339"/>
        <v>2011</v>
      </c>
      <c r="F20702" t="s">
        <v>3348</v>
      </c>
      <c r="G20702" s="9">
        <v>122651</v>
      </c>
      <c r="H20702" s="8">
        <v>10779</v>
      </c>
    </row>
    <row r="20703" spans="2:8" ht="15" customHeight="1" x14ac:dyDescent="0.4">
      <c r="B20703" t="s">
        <v>7</v>
      </c>
      <c r="C20703" t="s">
        <v>3347</v>
      </c>
      <c r="D20703" s="7">
        <f>DATE(2012,10,11)</f>
        <v>41193</v>
      </c>
      <c r="E20703" s="8">
        <f t="shared" si="339"/>
        <v>2012</v>
      </c>
      <c r="F20703" t="s">
        <v>3348</v>
      </c>
      <c r="G20703" s="9">
        <v>158754.32</v>
      </c>
      <c r="H20703" s="8">
        <v>11719</v>
      </c>
    </row>
    <row r="20704" spans="2:8" ht="15" customHeight="1" x14ac:dyDescent="0.4">
      <c r="B20704" t="s">
        <v>7</v>
      </c>
      <c r="C20704" t="s">
        <v>3347</v>
      </c>
      <c r="D20704" s="7">
        <f>DATE(2013,9,27)</f>
        <v>41544</v>
      </c>
      <c r="E20704" s="8">
        <f t="shared" si="339"/>
        <v>2013</v>
      </c>
      <c r="F20704" t="s">
        <v>3348</v>
      </c>
      <c r="G20704" s="9">
        <v>153190.44</v>
      </c>
      <c r="H20704" s="8">
        <v>12623</v>
      </c>
    </row>
    <row r="20705" spans="2:8" ht="15" customHeight="1" x14ac:dyDescent="0.4">
      <c r="B20705" t="s">
        <v>7</v>
      </c>
      <c r="C20705" t="s">
        <v>3347</v>
      </c>
      <c r="D20705" s="7">
        <f>DATE(2014,11,28)</f>
        <v>41971</v>
      </c>
      <c r="E20705" s="8">
        <f t="shared" si="339"/>
        <v>2014</v>
      </c>
      <c r="F20705" t="s">
        <v>3348</v>
      </c>
      <c r="G20705" s="9">
        <v>164845.47</v>
      </c>
      <c r="H20705" s="8">
        <v>13390</v>
      </c>
    </row>
    <row r="20706" spans="2:8" ht="15" customHeight="1" x14ac:dyDescent="0.4">
      <c r="B20706" t="s">
        <v>7</v>
      </c>
      <c r="C20706" t="s">
        <v>3347</v>
      </c>
      <c r="D20706" s="7">
        <f>DATE(2010,10,18)</f>
        <v>40469</v>
      </c>
      <c r="E20706" s="8">
        <f t="shared" si="339"/>
        <v>2010</v>
      </c>
      <c r="F20706" t="s">
        <v>3348</v>
      </c>
      <c r="G20706" s="9">
        <v>6859.15</v>
      </c>
      <c r="H20706" s="8">
        <v>10200</v>
      </c>
    </row>
    <row r="20707" spans="2:8" ht="15" customHeight="1" x14ac:dyDescent="0.4">
      <c r="B20707" t="s">
        <v>7</v>
      </c>
      <c r="C20707" t="s">
        <v>3347</v>
      </c>
      <c r="D20707" s="7">
        <f>DATE(2011,4,20)</f>
        <v>40653</v>
      </c>
      <c r="E20707" s="8">
        <f t="shared" si="339"/>
        <v>2011</v>
      </c>
      <c r="F20707" t="s">
        <v>3348</v>
      </c>
      <c r="G20707" s="9">
        <v>6148</v>
      </c>
      <c r="H20707" s="8">
        <v>10606</v>
      </c>
    </row>
    <row r="20708" spans="2:8" ht="15" customHeight="1" x14ac:dyDescent="0.4">
      <c r="B20708" t="s">
        <v>7</v>
      </c>
      <c r="C20708" t="s">
        <v>3347</v>
      </c>
      <c r="D20708" s="7">
        <f>DATE(2012,6,11)</f>
        <v>41071</v>
      </c>
      <c r="E20708" s="8">
        <f t="shared" si="339"/>
        <v>2012</v>
      </c>
      <c r="F20708" t="s">
        <v>3348</v>
      </c>
      <c r="G20708" s="9">
        <v>27693.11</v>
      </c>
      <c r="H20708" s="8">
        <v>11669</v>
      </c>
    </row>
    <row r="20709" spans="2:8" ht="15" customHeight="1" x14ac:dyDescent="0.4">
      <c r="B20709" t="s">
        <v>7</v>
      </c>
      <c r="C20709" t="s">
        <v>3347</v>
      </c>
      <c r="D20709" s="7">
        <f>DATE(2014,12,12)</f>
        <v>41985</v>
      </c>
      <c r="E20709" s="8">
        <f t="shared" si="339"/>
        <v>2014</v>
      </c>
      <c r="F20709" t="s">
        <v>3348</v>
      </c>
      <c r="G20709" s="9">
        <v>558.54</v>
      </c>
      <c r="H20709" s="8">
        <v>13638</v>
      </c>
    </row>
    <row r="20710" spans="2:8" ht="15" customHeight="1" x14ac:dyDescent="0.4">
      <c r="B20710" t="s">
        <v>16</v>
      </c>
      <c r="C20710" t="s">
        <v>3347</v>
      </c>
      <c r="D20710" s="7">
        <f>DATE(2013,1,7)</f>
        <v>41281</v>
      </c>
      <c r="E20710" s="8">
        <f t="shared" si="339"/>
        <v>2013</v>
      </c>
      <c r="F20710" t="s">
        <v>3348</v>
      </c>
      <c r="G20710" s="9">
        <v>4473.2</v>
      </c>
      <c r="H20710" s="8">
        <v>12099</v>
      </c>
    </row>
    <row r="20711" spans="2:8" ht="15" customHeight="1" x14ac:dyDescent="0.4">
      <c r="B20711" s="3" t="s">
        <v>7</v>
      </c>
      <c r="C20711" s="3" t="s">
        <v>3347</v>
      </c>
      <c r="D20711" s="4">
        <f>DATE(2003,11,17)</f>
        <v>37942</v>
      </c>
      <c r="E20711" s="5">
        <f t="shared" si="339"/>
        <v>2003</v>
      </c>
      <c r="F20711" s="3" t="s">
        <v>3348</v>
      </c>
      <c r="G20711" s="6">
        <v>853.28</v>
      </c>
      <c r="H20711" s="5">
        <v>1775</v>
      </c>
    </row>
    <row r="20712" spans="2:8" ht="15" customHeight="1" x14ac:dyDescent="0.4">
      <c r="B20712" s="3" t="s">
        <v>7</v>
      </c>
      <c r="C20712" s="3" t="s">
        <v>3347</v>
      </c>
      <c r="D20712" s="4">
        <f>DATE(2006,9,18)</f>
        <v>38978</v>
      </c>
      <c r="E20712" s="5">
        <f t="shared" si="339"/>
        <v>2006</v>
      </c>
      <c r="F20712" s="3" t="s">
        <v>3348</v>
      </c>
      <c r="G20712" s="6">
        <v>40851</v>
      </c>
      <c r="H20712" s="5">
        <v>7067</v>
      </c>
    </row>
    <row r="20713" spans="2:8" ht="15" customHeight="1" x14ac:dyDescent="0.4">
      <c r="B20713" s="3" t="s">
        <v>7</v>
      </c>
      <c r="C20713" s="3" t="s">
        <v>3347</v>
      </c>
      <c r="D20713" s="4">
        <f>DATE(2007,10,8)</f>
        <v>39363</v>
      </c>
      <c r="E20713" s="5">
        <f t="shared" si="339"/>
        <v>2007</v>
      </c>
      <c r="F20713" s="3" t="s">
        <v>3348</v>
      </c>
      <c r="G20713" s="6">
        <v>40851</v>
      </c>
      <c r="H20713" s="5">
        <v>8647</v>
      </c>
    </row>
    <row r="20714" spans="2:8" ht="15" customHeight="1" x14ac:dyDescent="0.4">
      <c r="B20714" s="3" t="s">
        <v>7</v>
      </c>
      <c r="C20714" s="3" t="s">
        <v>3347</v>
      </c>
      <c r="D20714" s="4">
        <f>DATE(2008,9,27)</f>
        <v>39718</v>
      </c>
      <c r="E20714" s="5">
        <f t="shared" si="339"/>
        <v>2008</v>
      </c>
      <c r="F20714" s="3" t="s">
        <v>3348</v>
      </c>
      <c r="G20714" s="6">
        <v>40851</v>
      </c>
      <c r="H20714" s="5">
        <v>10733</v>
      </c>
    </row>
    <row r="20715" spans="2:8" ht="15" customHeight="1" x14ac:dyDescent="0.4">
      <c r="B20715" s="3" t="s">
        <v>7</v>
      </c>
      <c r="C20715" s="3" t="s">
        <v>3347</v>
      </c>
      <c r="D20715" s="4">
        <f>DATE(2009,9,9)</f>
        <v>40065</v>
      </c>
      <c r="E20715" s="5">
        <f t="shared" si="339"/>
        <v>2009</v>
      </c>
      <c r="F20715" s="3" t="s">
        <v>3348</v>
      </c>
      <c r="G20715" s="6">
        <v>40998.15</v>
      </c>
      <c r="H20715" s="5">
        <v>12588</v>
      </c>
    </row>
    <row r="20716" spans="2:8" ht="15" customHeight="1" x14ac:dyDescent="0.4">
      <c r="B20716" s="3" t="s">
        <v>7</v>
      </c>
      <c r="C20716" s="3" t="s">
        <v>3347</v>
      </c>
      <c r="D20716" s="4">
        <f>DATE(2010,10,8)</f>
        <v>40459</v>
      </c>
      <c r="E20716" s="5">
        <f t="shared" si="339"/>
        <v>2010</v>
      </c>
      <c r="F20716" s="3" t="s">
        <v>3348</v>
      </c>
      <c r="G20716" s="6">
        <v>40851</v>
      </c>
      <c r="H20716" s="5">
        <v>14008</v>
      </c>
    </row>
    <row r="20717" spans="2:8" ht="15" customHeight="1" x14ac:dyDescent="0.4">
      <c r="B20717" s="3" t="s">
        <v>7</v>
      </c>
      <c r="C20717" s="3" t="s">
        <v>3347</v>
      </c>
      <c r="D20717" s="4">
        <f>DATE(2011,9,26)</f>
        <v>40812</v>
      </c>
      <c r="E20717" s="5">
        <f t="shared" si="339"/>
        <v>2011</v>
      </c>
      <c r="F20717" s="3" t="s">
        <v>3348</v>
      </c>
      <c r="G20717" s="6">
        <v>40851</v>
      </c>
      <c r="H20717" s="5">
        <v>15617</v>
      </c>
    </row>
    <row r="20718" spans="2:8" ht="15" customHeight="1" x14ac:dyDescent="0.4">
      <c r="B20718" s="3" t="s">
        <v>7</v>
      </c>
      <c r="C20718" s="3" t="s">
        <v>3347</v>
      </c>
      <c r="D20718" s="4">
        <f>DATE(2012,10,5)</f>
        <v>41187</v>
      </c>
      <c r="E20718" s="5">
        <f t="shared" si="339"/>
        <v>2012</v>
      </c>
      <c r="F20718" s="3" t="s">
        <v>3348</v>
      </c>
      <c r="G20718" s="6">
        <v>40851</v>
      </c>
      <c r="H20718" s="5">
        <v>17306</v>
      </c>
    </row>
    <row r="20719" spans="2:8" ht="15" customHeight="1" x14ac:dyDescent="0.4">
      <c r="B20719" s="3" t="s">
        <v>7</v>
      </c>
      <c r="C20719" s="3" t="s">
        <v>3347</v>
      </c>
      <c r="D20719" s="4">
        <f>DATE(2013,9,25)</f>
        <v>41542</v>
      </c>
      <c r="E20719" s="5">
        <f t="shared" si="339"/>
        <v>2013</v>
      </c>
      <c r="F20719" s="3" t="s">
        <v>3348</v>
      </c>
      <c r="G20719" s="6">
        <v>38732</v>
      </c>
      <c r="H20719" s="5">
        <v>18892</v>
      </c>
    </row>
    <row r="20720" spans="2:8" ht="15" customHeight="1" x14ac:dyDescent="0.4">
      <c r="B20720" s="3" t="s">
        <v>7</v>
      </c>
      <c r="C20720" s="3" t="s">
        <v>3347</v>
      </c>
      <c r="D20720" s="4">
        <f>DATE(2014,12,1)</f>
        <v>41974</v>
      </c>
      <c r="E20720" s="5">
        <f t="shared" si="339"/>
        <v>2014</v>
      </c>
      <c r="F20720" s="3" t="s">
        <v>3348</v>
      </c>
      <c r="G20720" s="6">
        <v>38647.800000000003</v>
      </c>
      <c r="H20720" s="5">
        <v>20125</v>
      </c>
    </row>
    <row r="20721" spans="2:8" ht="15" customHeight="1" x14ac:dyDescent="0.4">
      <c r="B20721" t="s">
        <v>7</v>
      </c>
      <c r="C20721" t="s">
        <v>3349</v>
      </c>
      <c r="D20721" s="7">
        <f>DATE(2013,4,30)</f>
        <v>41394</v>
      </c>
      <c r="E20721" s="8">
        <f t="shared" si="339"/>
        <v>2013</v>
      </c>
      <c r="F20721" t="s">
        <v>3350</v>
      </c>
      <c r="G20721" s="9">
        <v>4550</v>
      </c>
      <c r="H20721" s="8">
        <v>12336</v>
      </c>
    </row>
    <row r="20722" spans="2:8" ht="15" customHeight="1" x14ac:dyDescent="0.4">
      <c r="B20722" t="s">
        <v>7</v>
      </c>
      <c r="C20722" t="s">
        <v>3349</v>
      </c>
      <c r="D20722" s="7">
        <f>DATE(2013,4,30)</f>
        <v>41394</v>
      </c>
      <c r="E20722" s="8">
        <f t="shared" si="339"/>
        <v>2013</v>
      </c>
      <c r="F20722" t="s">
        <v>3350</v>
      </c>
      <c r="G20722" s="9">
        <v>7650</v>
      </c>
      <c r="H20722" s="8">
        <v>12337</v>
      </c>
    </row>
    <row r="20723" spans="2:8" ht="15" customHeight="1" x14ac:dyDescent="0.4">
      <c r="B20723" t="s">
        <v>7</v>
      </c>
      <c r="C20723" t="s">
        <v>3349</v>
      </c>
      <c r="D20723" s="7">
        <f>DATE(2013,4,30)</f>
        <v>41394</v>
      </c>
      <c r="E20723" s="8">
        <f t="shared" si="339"/>
        <v>2013</v>
      </c>
      <c r="F20723" t="s">
        <v>3350</v>
      </c>
      <c r="G20723" s="9">
        <v>2550</v>
      </c>
      <c r="H20723" s="8">
        <v>12588</v>
      </c>
    </row>
    <row r="20724" spans="2:8" ht="15" customHeight="1" x14ac:dyDescent="0.4">
      <c r="B20724" t="s">
        <v>7</v>
      </c>
      <c r="C20724" t="s">
        <v>3349</v>
      </c>
      <c r="D20724" s="7">
        <f>DATE(2008,3,21)</f>
        <v>39528</v>
      </c>
      <c r="E20724" s="8">
        <f t="shared" si="339"/>
        <v>2008</v>
      </c>
      <c r="F20724" t="s">
        <v>3350</v>
      </c>
      <c r="G20724" s="9">
        <v>9575.94</v>
      </c>
      <c r="H20724" s="8">
        <v>7143</v>
      </c>
    </row>
    <row r="20725" spans="2:8" ht="15" customHeight="1" x14ac:dyDescent="0.4">
      <c r="B20725" t="s">
        <v>7</v>
      </c>
      <c r="C20725" t="s">
        <v>3349</v>
      </c>
      <c r="D20725" s="7">
        <f>DATE(2008,3,21)</f>
        <v>39528</v>
      </c>
      <c r="E20725" s="8">
        <f t="shared" si="339"/>
        <v>2008</v>
      </c>
      <c r="F20725" t="s">
        <v>3350</v>
      </c>
      <c r="G20725" s="9">
        <v>9948</v>
      </c>
      <c r="H20725" s="8">
        <v>7146</v>
      </c>
    </row>
    <row r="20726" spans="2:8" ht="15" customHeight="1" x14ac:dyDescent="0.4">
      <c r="B20726" t="s">
        <v>7</v>
      </c>
      <c r="C20726" t="s">
        <v>3349</v>
      </c>
      <c r="D20726" s="7">
        <f>DATE(2008,6,6)</f>
        <v>39605</v>
      </c>
      <c r="E20726" s="8">
        <f t="shared" si="339"/>
        <v>2008</v>
      </c>
      <c r="F20726" t="s">
        <v>3350</v>
      </c>
      <c r="G20726" s="9">
        <v>1658.3</v>
      </c>
      <c r="H20726" s="8">
        <v>7514</v>
      </c>
    </row>
    <row r="20727" spans="2:8" ht="15" customHeight="1" x14ac:dyDescent="0.4">
      <c r="B20727" t="s">
        <v>7</v>
      </c>
      <c r="C20727" t="s">
        <v>3349</v>
      </c>
      <c r="D20727" s="7">
        <f>DATE(2008,7,5)</f>
        <v>39634</v>
      </c>
      <c r="E20727" s="8">
        <f t="shared" si="339"/>
        <v>2008</v>
      </c>
      <c r="F20727" t="s">
        <v>3350</v>
      </c>
      <c r="G20727" s="9">
        <v>3527.98</v>
      </c>
      <c r="H20727" s="8">
        <v>7595</v>
      </c>
    </row>
    <row r="20728" spans="2:8" ht="15" customHeight="1" x14ac:dyDescent="0.4">
      <c r="B20728" t="s">
        <v>7</v>
      </c>
      <c r="C20728" t="s">
        <v>3349</v>
      </c>
      <c r="D20728" s="7">
        <f>DATE(2009,12,10)</f>
        <v>40157</v>
      </c>
      <c r="E20728" s="8">
        <f t="shared" si="339"/>
        <v>2009</v>
      </c>
      <c r="F20728" t="s">
        <v>3350</v>
      </c>
      <c r="G20728" s="9">
        <v>2157.4</v>
      </c>
      <c r="H20728" s="8">
        <v>9259</v>
      </c>
    </row>
    <row r="20729" spans="2:8" ht="15" customHeight="1" x14ac:dyDescent="0.4">
      <c r="B20729" t="s">
        <v>7</v>
      </c>
      <c r="C20729" t="s">
        <v>3349</v>
      </c>
      <c r="D20729" s="7">
        <f>DATE(2011,6,30)</f>
        <v>40724</v>
      </c>
      <c r="E20729" s="8">
        <f t="shared" si="339"/>
        <v>2011</v>
      </c>
      <c r="F20729" t="s">
        <v>3350</v>
      </c>
      <c r="G20729" s="9">
        <v>9860.92</v>
      </c>
      <c r="H20729" s="8">
        <v>10808</v>
      </c>
    </row>
    <row r="20730" spans="2:8" ht="15" customHeight="1" x14ac:dyDescent="0.4">
      <c r="B20730" t="s">
        <v>7</v>
      </c>
      <c r="C20730" t="s">
        <v>3349</v>
      </c>
      <c r="D20730" s="7">
        <f>DATE(2011,6,30)</f>
        <v>40724</v>
      </c>
      <c r="E20730" s="8">
        <f t="shared" si="339"/>
        <v>2011</v>
      </c>
      <c r="F20730" t="s">
        <v>3350</v>
      </c>
      <c r="G20730" s="9">
        <v>4790.5</v>
      </c>
      <c r="H20730" s="8">
        <v>10789</v>
      </c>
    </row>
    <row r="20731" spans="2:8" ht="15" customHeight="1" x14ac:dyDescent="0.4">
      <c r="B20731" t="s">
        <v>7</v>
      </c>
      <c r="C20731" t="s">
        <v>3349</v>
      </c>
      <c r="D20731" s="7">
        <f>DATE(2013,4,30)</f>
        <v>41394</v>
      </c>
      <c r="E20731" s="8">
        <f t="shared" si="339"/>
        <v>2013</v>
      </c>
      <c r="F20731" t="s">
        <v>3350</v>
      </c>
      <c r="G20731" s="9">
        <v>14272.04</v>
      </c>
      <c r="H20731" s="8">
        <v>12339</v>
      </c>
    </row>
    <row r="20732" spans="2:8" ht="15" customHeight="1" x14ac:dyDescent="0.4">
      <c r="B20732" t="s">
        <v>7</v>
      </c>
      <c r="C20732" t="s">
        <v>3349</v>
      </c>
      <c r="D20732" s="7">
        <f>DATE(2013,5,1)</f>
        <v>41395</v>
      </c>
      <c r="E20732" s="8">
        <f t="shared" si="339"/>
        <v>2013</v>
      </c>
      <c r="F20732" t="s">
        <v>3350</v>
      </c>
      <c r="G20732" s="9">
        <v>4532.83</v>
      </c>
      <c r="H20732" s="8">
        <v>12338</v>
      </c>
    </row>
    <row r="20733" spans="2:8" ht="15" customHeight="1" x14ac:dyDescent="0.4">
      <c r="B20733" t="s">
        <v>7</v>
      </c>
      <c r="C20733" t="s">
        <v>3349</v>
      </c>
      <c r="D20733" s="7">
        <f>DATE(2010,4,7)</f>
        <v>40275</v>
      </c>
      <c r="E20733" s="8">
        <f t="shared" si="339"/>
        <v>2010</v>
      </c>
      <c r="F20733" t="s">
        <v>3350</v>
      </c>
      <c r="G20733" s="9">
        <v>1781.16</v>
      </c>
      <c r="H20733" s="8">
        <v>9715</v>
      </c>
    </row>
    <row r="20734" spans="2:8" ht="15" customHeight="1" x14ac:dyDescent="0.4">
      <c r="B20734" t="s">
        <v>7</v>
      </c>
      <c r="C20734" t="s">
        <v>3349</v>
      </c>
      <c r="D20734" s="7">
        <f>DATE(2011,9,7)</f>
        <v>40793</v>
      </c>
      <c r="E20734" s="8">
        <f t="shared" si="339"/>
        <v>2011</v>
      </c>
      <c r="F20734" t="s">
        <v>3350</v>
      </c>
      <c r="G20734" s="9">
        <v>2140.0300000000002</v>
      </c>
      <c r="H20734" s="8">
        <v>10992</v>
      </c>
    </row>
    <row r="20735" spans="2:8" ht="15" customHeight="1" x14ac:dyDescent="0.4">
      <c r="B20735" t="s">
        <v>7</v>
      </c>
      <c r="C20735" t="s">
        <v>3349</v>
      </c>
      <c r="D20735" s="7">
        <f>DATE(2012,1,5)</f>
        <v>40913</v>
      </c>
      <c r="E20735" s="8">
        <f t="shared" si="339"/>
        <v>2012</v>
      </c>
      <c r="F20735" t="s">
        <v>3350</v>
      </c>
      <c r="G20735" s="9">
        <v>202.17</v>
      </c>
      <c r="H20735" s="8">
        <v>11112</v>
      </c>
    </row>
    <row r="20736" spans="2:8" ht="15" customHeight="1" x14ac:dyDescent="0.4">
      <c r="B20736" t="s">
        <v>7</v>
      </c>
      <c r="C20736" t="s">
        <v>3349</v>
      </c>
      <c r="D20736" s="7">
        <f>DATE(2012,7,2)</f>
        <v>41092</v>
      </c>
      <c r="E20736" s="8">
        <f t="shared" si="339"/>
        <v>2012</v>
      </c>
      <c r="F20736" t="s">
        <v>3350</v>
      </c>
      <c r="G20736" s="9">
        <v>2020.68</v>
      </c>
      <c r="H20736" s="8">
        <v>11714</v>
      </c>
    </row>
    <row r="20737" spans="2:8" ht="15" customHeight="1" x14ac:dyDescent="0.4">
      <c r="B20737" t="s">
        <v>7</v>
      </c>
      <c r="C20737" t="s">
        <v>3349</v>
      </c>
      <c r="D20737" s="7">
        <f>DATE(2013,10,8)</f>
        <v>41555</v>
      </c>
      <c r="E20737" s="8">
        <f t="shared" si="339"/>
        <v>2013</v>
      </c>
      <c r="F20737" t="s">
        <v>3350</v>
      </c>
      <c r="G20737" s="9">
        <v>2360.2199999999998</v>
      </c>
      <c r="H20737" s="8">
        <v>12693</v>
      </c>
    </row>
    <row r="20738" spans="2:8" ht="15" customHeight="1" x14ac:dyDescent="0.4">
      <c r="B20738" t="s">
        <v>7</v>
      </c>
      <c r="C20738" t="s">
        <v>3349</v>
      </c>
      <c r="D20738" s="7">
        <f>DATE(2014,9,10)</f>
        <v>41892</v>
      </c>
      <c r="E20738" s="8">
        <f t="shared" si="339"/>
        <v>2014</v>
      </c>
      <c r="F20738" t="s">
        <v>3350</v>
      </c>
      <c r="G20738" s="9">
        <v>2531.75</v>
      </c>
      <c r="H20738" s="8">
        <v>13415</v>
      </c>
    </row>
    <row r="20739" spans="2:8" ht="15" customHeight="1" x14ac:dyDescent="0.4">
      <c r="B20739" t="s">
        <v>7</v>
      </c>
      <c r="C20739" t="s">
        <v>3349</v>
      </c>
      <c r="D20739" s="7">
        <f>DATE(2014,10,22)</f>
        <v>41934</v>
      </c>
      <c r="E20739" s="8">
        <f t="shared" ref="E20739:E20802" si="340">YEAR(D20739)</f>
        <v>2014</v>
      </c>
      <c r="F20739" t="s">
        <v>3350</v>
      </c>
      <c r="G20739" s="9">
        <v>2958.3</v>
      </c>
      <c r="H20739" s="8">
        <v>13541</v>
      </c>
    </row>
    <row r="20740" spans="2:8" ht="15" customHeight="1" x14ac:dyDescent="0.4">
      <c r="B20740" t="s">
        <v>16</v>
      </c>
      <c r="C20740" t="s">
        <v>3349</v>
      </c>
      <c r="D20740" s="7">
        <f>DATE(2013,7,1)</f>
        <v>41456</v>
      </c>
      <c r="E20740" s="8">
        <f t="shared" si="340"/>
        <v>2013</v>
      </c>
      <c r="F20740" t="s">
        <v>3350</v>
      </c>
      <c r="G20740" s="9">
        <v>4550</v>
      </c>
      <c r="H20740" s="8">
        <v>12609</v>
      </c>
    </row>
    <row r="20741" spans="2:8" ht="15" customHeight="1" x14ac:dyDescent="0.4">
      <c r="B20741" t="s">
        <v>7</v>
      </c>
      <c r="C20741" t="s">
        <v>3349</v>
      </c>
      <c r="D20741" s="7">
        <f>DATE(2003,5,22)</f>
        <v>37763</v>
      </c>
      <c r="E20741" s="8">
        <f t="shared" si="340"/>
        <v>2003</v>
      </c>
      <c r="F20741" t="s">
        <v>3351</v>
      </c>
      <c r="G20741" s="9">
        <v>2941.6</v>
      </c>
      <c r="H20741" s="8">
        <v>625</v>
      </c>
    </row>
    <row r="20742" spans="2:8" ht="15" customHeight="1" x14ac:dyDescent="0.4">
      <c r="B20742" t="s">
        <v>7</v>
      </c>
      <c r="C20742" t="s">
        <v>3349</v>
      </c>
      <c r="D20742" s="7">
        <f>DATE(2006,4,27)</f>
        <v>38834</v>
      </c>
      <c r="E20742" s="8">
        <f t="shared" si="340"/>
        <v>2006</v>
      </c>
      <c r="F20742" t="s">
        <v>3351</v>
      </c>
      <c r="G20742" s="9">
        <v>8583.44</v>
      </c>
      <c r="H20742" s="8">
        <v>4495</v>
      </c>
    </row>
    <row r="20743" spans="2:8" ht="15" customHeight="1" x14ac:dyDescent="0.4">
      <c r="B20743" s="3" t="s">
        <v>7</v>
      </c>
      <c r="C20743" s="3" t="s">
        <v>3352</v>
      </c>
      <c r="D20743" s="4">
        <f>DATE(2008,7,22)</f>
        <v>39651</v>
      </c>
      <c r="E20743" s="5">
        <f t="shared" si="340"/>
        <v>2008</v>
      </c>
      <c r="F20743" s="3" t="s">
        <v>3353</v>
      </c>
      <c r="G20743" s="6">
        <v>319.8</v>
      </c>
      <c r="H20743" s="5">
        <v>10972</v>
      </c>
    </row>
    <row r="20744" spans="2:8" ht="15" customHeight="1" x14ac:dyDescent="0.4">
      <c r="B20744" t="s">
        <v>7</v>
      </c>
      <c r="C20744" t="s">
        <v>3354</v>
      </c>
      <c r="D20744" s="7">
        <f>DATE(2013,11,5)</f>
        <v>41583</v>
      </c>
      <c r="E20744" s="8">
        <f t="shared" si="340"/>
        <v>2013</v>
      </c>
      <c r="F20744" t="s">
        <v>3355</v>
      </c>
      <c r="G20744" s="9">
        <v>2224</v>
      </c>
      <c r="H20744" s="8">
        <v>12734</v>
      </c>
    </row>
    <row r="20745" spans="2:8" ht="15" customHeight="1" x14ac:dyDescent="0.4">
      <c r="B20745" t="s">
        <v>7</v>
      </c>
      <c r="C20745" t="s">
        <v>3356</v>
      </c>
      <c r="D20745" s="7">
        <f>DATE(2015,11,17)</f>
        <v>42325</v>
      </c>
      <c r="E20745" s="8">
        <f t="shared" si="340"/>
        <v>2015</v>
      </c>
      <c r="F20745" t="s">
        <v>3357</v>
      </c>
      <c r="G20745" s="9">
        <v>4855.0200000000004</v>
      </c>
      <c r="H20745" s="8">
        <v>21569</v>
      </c>
    </row>
    <row r="20746" spans="2:8" ht="15" customHeight="1" x14ac:dyDescent="0.4">
      <c r="B20746" t="s">
        <v>7</v>
      </c>
      <c r="C20746" t="s">
        <v>3358</v>
      </c>
      <c r="D20746" s="7">
        <f>DATE(2010,5,25)</f>
        <v>40323</v>
      </c>
      <c r="E20746" s="8">
        <f t="shared" si="340"/>
        <v>2010</v>
      </c>
      <c r="F20746" t="s">
        <v>3359</v>
      </c>
      <c r="G20746" s="9">
        <v>29022</v>
      </c>
      <c r="H20746" s="8">
        <v>9827</v>
      </c>
    </row>
    <row r="20747" spans="2:8" ht="15" customHeight="1" x14ac:dyDescent="0.4">
      <c r="B20747" t="s">
        <v>7</v>
      </c>
      <c r="C20747" t="s">
        <v>3358</v>
      </c>
      <c r="D20747" s="7">
        <f>DATE(2010,5,27)</f>
        <v>40325</v>
      </c>
      <c r="E20747" s="8">
        <f t="shared" si="340"/>
        <v>2010</v>
      </c>
      <c r="F20747" t="s">
        <v>3359</v>
      </c>
      <c r="G20747" s="9">
        <v>38610.660000000003</v>
      </c>
      <c r="H20747" s="8">
        <v>9839</v>
      </c>
    </row>
    <row r="20748" spans="2:8" ht="15" customHeight="1" x14ac:dyDescent="0.4">
      <c r="B20748" t="s">
        <v>7</v>
      </c>
      <c r="C20748" t="s">
        <v>3358</v>
      </c>
      <c r="D20748" s="7">
        <f>DATE(2010,6,2)</f>
        <v>40331</v>
      </c>
      <c r="E20748" s="8">
        <f t="shared" si="340"/>
        <v>2010</v>
      </c>
      <c r="F20748" t="s">
        <v>3359</v>
      </c>
      <c r="G20748" s="9">
        <v>29022</v>
      </c>
      <c r="H20748" s="8">
        <v>9841</v>
      </c>
    </row>
    <row r="20749" spans="2:8" ht="15" customHeight="1" x14ac:dyDescent="0.4">
      <c r="B20749" t="s">
        <v>7</v>
      </c>
      <c r="C20749" t="s">
        <v>3358</v>
      </c>
      <c r="D20749" s="7">
        <f>DATE(2010,5,25)</f>
        <v>40323</v>
      </c>
      <c r="E20749" s="8">
        <f t="shared" si="340"/>
        <v>2010</v>
      </c>
      <c r="F20749" t="s">
        <v>3359</v>
      </c>
      <c r="G20749" s="9">
        <v>8675</v>
      </c>
      <c r="H20749" s="8">
        <v>9501</v>
      </c>
    </row>
    <row r="20750" spans="2:8" ht="15" customHeight="1" x14ac:dyDescent="0.4">
      <c r="B20750" t="s">
        <v>7</v>
      </c>
      <c r="C20750" t="s">
        <v>3358</v>
      </c>
      <c r="D20750" s="7">
        <f>DATE(2010,5,26)</f>
        <v>40324</v>
      </c>
      <c r="E20750" s="8">
        <f t="shared" si="340"/>
        <v>2010</v>
      </c>
      <c r="F20750" t="s">
        <v>3359</v>
      </c>
      <c r="G20750" s="9">
        <v>8675</v>
      </c>
      <c r="H20750" s="8">
        <v>9838</v>
      </c>
    </row>
    <row r="20751" spans="2:8" ht="15" customHeight="1" x14ac:dyDescent="0.4">
      <c r="B20751" t="s">
        <v>7</v>
      </c>
      <c r="C20751" t="s">
        <v>3358</v>
      </c>
      <c r="D20751" s="7">
        <f>DATE(2010,6,2)</f>
        <v>40331</v>
      </c>
      <c r="E20751" s="8">
        <f t="shared" si="340"/>
        <v>2010</v>
      </c>
      <c r="F20751" t="s">
        <v>3359</v>
      </c>
      <c r="G20751" s="9">
        <v>8675</v>
      </c>
      <c r="H20751" s="8">
        <v>9840</v>
      </c>
    </row>
    <row r="20752" spans="2:8" ht="15" customHeight="1" x14ac:dyDescent="0.4">
      <c r="B20752" s="3" t="s">
        <v>7</v>
      </c>
      <c r="C20752" s="3" t="s">
        <v>3358</v>
      </c>
      <c r="D20752" s="4">
        <f>DATE(2010,7,8)</f>
        <v>40367</v>
      </c>
      <c r="E20752" s="5">
        <f t="shared" si="340"/>
        <v>2010</v>
      </c>
      <c r="F20752" s="3" t="s">
        <v>3359</v>
      </c>
      <c r="G20752" s="6">
        <v>167.47</v>
      </c>
      <c r="H20752" s="5">
        <v>14060</v>
      </c>
    </row>
    <row r="20753" spans="2:8" ht="15" customHeight="1" x14ac:dyDescent="0.4">
      <c r="B20753" s="3" t="s">
        <v>16</v>
      </c>
      <c r="C20753" s="3" t="s">
        <v>3358</v>
      </c>
      <c r="D20753" s="4">
        <f>DATE(2010,7,8)</f>
        <v>40367</v>
      </c>
      <c r="E20753" s="5">
        <f t="shared" si="340"/>
        <v>2010</v>
      </c>
      <c r="F20753" s="3" t="s">
        <v>3359</v>
      </c>
      <c r="G20753" s="6">
        <v>167.47</v>
      </c>
      <c r="H20753" s="5">
        <v>16263</v>
      </c>
    </row>
    <row r="20754" spans="2:8" ht="15" customHeight="1" x14ac:dyDescent="0.4">
      <c r="B20754" t="s">
        <v>7</v>
      </c>
      <c r="C20754" t="s">
        <v>3360</v>
      </c>
      <c r="D20754" s="7">
        <f>DATE(2007,12,1)</f>
        <v>39417</v>
      </c>
      <c r="E20754" s="8">
        <f t="shared" si="340"/>
        <v>2007</v>
      </c>
      <c r="F20754" t="s">
        <v>3361</v>
      </c>
      <c r="G20754" s="9">
        <v>500</v>
      </c>
      <c r="H20754" s="8">
        <v>6561</v>
      </c>
    </row>
    <row r="20755" spans="2:8" ht="15" customHeight="1" x14ac:dyDescent="0.4">
      <c r="B20755" t="s">
        <v>7</v>
      </c>
      <c r="C20755" t="s">
        <v>3360</v>
      </c>
      <c r="D20755" s="7">
        <f>DATE(2007,12,1)</f>
        <v>39417</v>
      </c>
      <c r="E20755" s="8">
        <f t="shared" si="340"/>
        <v>2007</v>
      </c>
      <c r="F20755" t="s">
        <v>3361</v>
      </c>
      <c r="G20755" s="9">
        <v>31992.1</v>
      </c>
      <c r="H20755" s="8">
        <v>6414</v>
      </c>
    </row>
    <row r="20756" spans="2:8" ht="15" customHeight="1" x14ac:dyDescent="0.4">
      <c r="B20756" t="s">
        <v>7</v>
      </c>
      <c r="C20756" t="s">
        <v>3360</v>
      </c>
      <c r="D20756" s="7">
        <f>DATE(2007,12,1)</f>
        <v>39417</v>
      </c>
      <c r="E20756" s="8">
        <f t="shared" si="340"/>
        <v>2007</v>
      </c>
      <c r="F20756" t="s">
        <v>3361</v>
      </c>
      <c r="G20756" s="9">
        <v>54527.78</v>
      </c>
      <c r="H20756" s="8">
        <v>6415</v>
      </c>
    </row>
    <row r="20757" spans="2:8" ht="15" customHeight="1" x14ac:dyDescent="0.4">
      <c r="B20757" t="s">
        <v>7</v>
      </c>
      <c r="C20757" t="s">
        <v>3362</v>
      </c>
      <c r="D20757" s="7">
        <f>DATE(2015,4,3)</f>
        <v>42097</v>
      </c>
      <c r="E20757" s="8">
        <f t="shared" si="340"/>
        <v>2015</v>
      </c>
      <c r="F20757" t="s">
        <v>3363</v>
      </c>
      <c r="G20757" s="9">
        <v>193348.01</v>
      </c>
      <c r="H20757" s="8">
        <v>360</v>
      </c>
    </row>
    <row r="20758" spans="2:8" ht="15" customHeight="1" x14ac:dyDescent="0.4">
      <c r="B20758" t="s">
        <v>7</v>
      </c>
      <c r="C20758" t="s">
        <v>3362</v>
      </c>
      <c r="D20758" s="7">
        <f>DATE(2017,3,27)</f>
        <v>42821</v>
      </c>
      <c r="E20758" s="8">
        <f t="shared" si="340"/>
        <v>2017</v>
      </c>
      <c r="F20758" t="s">
        <v>3363</v>
      </c>
      <c r="G20758" s="9">
        <v>137057.54999999999</v>
      </c>
      <c r="H20758" s="8">
        <v>24039</v>
      </c>
    </row>
    <row r="20759" spans="2:8" ht="15" customHeight="1" x14ac:dyDescent="0.4">
      <c r="B20759" t="s">
        <v>7</v>
      </c>
      <c r="C20759" t="s">
        <v>3362</v>
      </c>
      <c r="D20759" s="7">
        <f>DATE(2019,4,11)</f>
        <v>43566</v>
      </c>
      <c r="E20759" s="8">
        <f t="shared" si="340"/>
        <v>2019</v>
      </c>
      <c r="F20759" t="s">
        <v>3363</v>
      </c>
      <c r="G20759" s="9">
        <v>82969.5</v>
      </c>
      <c r="H20759" s="8">
        <v>27042</v>
      </c>
    </row>
    <row r="20760" spans="2:8" ht="15" customHeight="1" x14ac:dyDescent="0.4">
      <c r="B20760" t="s">
        <v>7</v>
      </c>
      <c r="C20760" t="s">
        <v>3362</v>
      </c>
      <c r="D20760" s="7">
        <f>DATE(2015,3,19)</f>
        <v>42082</v>
      </c>
      <c r="E20760" s="8">
        <f t="shared" si="340"/>
        <v>2015</v>
      </c>
      <c r="F20760" t="s">
        <v>3363</v>
      </c>
      <c r="G20760" s="9">
        <v>213.55</v>
      </c>
      <c r="H20760" s="8">
        <v>20171</v>
      </c>
    </row>
    <row r="20761" spans="2:8" ht="15" customHeight="1" x14ac:dyDescent="0.4">
      <c r="B20761" t="s">
        <v>7</v>
      </c>
      <c r="C20761" t="s">
        <v>3362</v>
      </c>
      <c r="D20761" s="7">
        <f>DATE(2019,4,17)</f>
        <v>43572</v>
      </c>
      <c r="E20761" s="8">
        <f t="shared" si="340"/>
        <v>2019</v>
      </c>
      <c r="F20761" t="s">
        <v>3363</v>
      </c>
      <c r="G20761" s="9">
        <v>131.25</v>
      </c>
      <c r="H20761" s="8">
        <v>28631</v>
      </c>
    </row>
    <row r="20762" spans="2:8" ht="15" customHeight="1" x14ac:dyDescent="0.4">
      <c r="B20762" t="s">
        <v>7</v>
      </c>
      <c r="C20762" t="s">
        <v>3362</v>
      </c>
      <c r="D20762" s="7">
        <f>DATE(2006,8,18)</f>
        <v>38947</v>
      </c>
      <c r="E20762" s="8">
        <f t="shared" si="340"/>
        <v>2006</v>
      </c>
      <c r="F20762" t="s">
        <v>3363</v>
      </c>
      <c r="G20762" s="9">
        <v>916</v>
      </c>
      <c r="H20762" s="8">
        <v>4927</v>
      </c>
    </row>
    <row r="20763" spans="2:8" ht="15" customHeight="1" x14ac:dyDescent="0.4">
      <c r="B20763" t="s">
        <v>7</v>
      </c>
      <c r="C20763" t="s">
        <v>3362</v>
      </c>
      <c r="D20763" s="7">
        <f>DATE(2010,10,19)</f>
        <v>40470</v>
      </c>
      <c r="E20763" s="8">
        <f t="shared" si="340"/>
        <v>2010</v>
      </c>
      <c r="F20763" t="s">
        <v>3363</v>
      </c>
      <c r="G20763" s="9">
        <v>385</v>
      </c>
      <c r="H20763" s="8">
        <v>10075</v>
      </c>
    </row>
    <row r="20764" spans="2:8" ht="15" customHeight="1" x14ac:dyDescent="0.4">
      <c r="B20764" t="s">
        <v>7</v>
      </c>
      <c r="C20764" t="s">
        <v>3362</v>
      </c>
      <c r="D20764" s="7">
        <f>DATE(2011,8,5)</f>
        <v>40760</v>
      </c>
      <c r="E20764" s="8">
        <f t="shared" si="340"/>
        <v>2011</v>
      </c>
      <c r="F20764" t="s">
        <v>3363</v>
      </c>
      <c r="G20764" s="9">
        <v>3500</v>
      </c>
      <c r="H20764" s="8">
        <v>10930</v>
      </c>
    </row>
    <row r="20765" spans="2:8" ht="15" customHeight="1" x14ac:dyDescent="0.4">
      <c r="B20765" t="s">
        <v>7</v>
      </c>
      <c r="C20765" t="s">
        <v>3362</v>
      </c>
      <c r="D20765" s="7">
        <f>DATE(2012,10,2)</f>
        <v>41184</v>
      </c>
      <c r="E20765" s="8">
        <f t="shared" si="340"/>
        <v>2012</v>
      </c>
      <c r="F20765" t="s">
        <v>3363</v>
      </c>
      <c r="G20765" s="9">
        <v>31500</v>
      </c>
      <c r="H20765" s="8">
        <v>11689</v>
      </c>
    </row>
    <row r="20766" spans="2:8" ht="15" customHeight="1" x14ac:dyDescent="0.4">
      <c r="B20766" t="s">
        <v>7</v>
      </c>
      <c r="C20766" t="s">
        <v>3362</v>
      </c>
      <c r="D20766" s="7">
        <f>DATE(2012,12,11)</f>
        <v>41254</v>
      </c>
      <c r="E20766" s="8">
        <f t="shared" si="340"/>
        <v>2012</v>
      </c>
      <c r="F20766" t="s">
        <v>3363</v>
      </c>
      <c r="G20766" s="9">
        <v>2500</v>
      </c>
      <c r="H20766" s="8">
        <v>12039</v>
      </c>
    </row>
    <row r="20767" spans="2:8" ht="15" customHeight="1" x14ac:dyDescent="0.4">
      <c r="B20767" t="s">
        <v>7</v>
      </c>
      <c r="C20767" t="s">
        <v>3362</v>
      </c>
      <c r="D20767" s="7">
        <f>DATE(2010,9,21)</f>
        <v>40442</v>
      </c>
      <c r="E20767" s="8">
        <f t="shared" si="340"/>
        <v>2010</v>
      </c>
      <c r="F20767" t="s">
        <v>3363</v>
      </c>
      <c r="G20767" s="9">
        <v>5897.18</v>
      </c>
      <c r="H20767" s="8">
        <v>10067</v>
      </c>
    </row>
    <row r="20768" spans="2:8" ht="15" customHeight="1" x14ac:dyDescent="0.4">
      <c r="B20768" t="s">
        <v>7</v>
      </c>
      <c r="C20768" t="s">
        <v>3362</v>
      </c>
      <c r="D20768" s="7">
        <f>DATE(2011,2,25)</f>
        <v>40599</v>
      </c>
      <c r="E20768" s="8">
        <f t="shared" si="340"/>
        <v>2011</v>
      </c>
      <c r="F20768" t="s">
        <v>3363</v>
      </c>
      <c r="G20768" s="9">
        <v>6315</v>
      </c>
      <c r="H20768" s="8">
        <v>10391</v>
      </c>
    </row>
    <row r="20769" spans="2:8" ht="15" customHeight="1" x14ac:dyDescent="0.4">
      <c r="B20769" t="s">
        <v>7</v>
      </c>
      <c r="C20769" t="s">
        <v>3362</v>
      </c>
      <c r="D20769" s="7">
        <f>DATE(2011,5,26)</f>
        <v>40689</v>
      </c>
      <c r="E20769" s="8">
        <f t="shared" si="340"/>
        <v>2011</v>
      </c>
      <c r="F20769" t="s">
        <v>3363</v>
      </c>
      <c r="G20769" s="9">
        <v>234853.18</v>
      </c>
      <c r="H20769" s="8">
        <v>10236</v>
      </c>
    </row>
    <row r="20770" spans="2:8" ht="15" customHeight="1" x14ac:dyDescent="0.4">
      <c r="B20770" t="s">
        <v>7</v>
      </c>
      <c r="C20770" t="s">
        <v>3362</v>
      </c>
      <c r="D20770" s="7">
        <f>DATE(2011,9,21)</f>
        <v>40807</v>
      </c>
      <c r="E20770" s="8">
        <f t="shared" si="340"/>
        <v>2011</v>
      </c>
      <c r="F20770" t="s">
        <v>3363</v>
      </c>
      <c r="G20770" s="9">
        <v>23924</v>
      </c>
      <c r="H20770" s="8">
        <v>10913</v>
      </c>
    </row>
    <row r="20771" spans="2:8" ht="15" customHeight="1" x14ac:dyDescent="0.4">
      <c r="B20771" t="s">
        <v>7</v>
      </c>
      <c r="C20771" t="s">
        <v>3362</v>
      </c>
      <c r="D20771" s="7">
        <f>DATE(2012,3,13)</f>
        <v>40981</v>
      </c>
      <c r="E20771" s="8">
        <f t="shared" si="340"/>
        <v>2012</v>
      </c>
      <c r="F20771" t="s">
        <v>3363</v>
      </c>
      <c r="G20771" s="9">
        <v>7570.73</v>
      </c>
      <c r="H20771" s="8">
        <v>11280</v>
      </c>
    </row>
    <row r="20772" spans="2:8" ht="15" customHeight="1" x14ac:dyDescent="0.4">
      <c r="B20772" t="s">
        <v>7</v>
      </c>
      <c r="C20772" t="s">
        <v>3362</v>
      </c>
      <c r="D20772" s="7">
        <f>DATE(2012,10,8)</f>
        <v>41190</v>
      </c>
      <c r="E20772" s="8">
        <f t="shared" si="340"/>
        <v>2012</v>
      </c>
      <c r="F20772" t="s">
        <v>3363</v>
      </c>
      <c r="G20772" s="9">
        <v>29822</v>
      </c>
      <c r="H20772" s="8">
        <v>11786</v>
      </c>
    </row>
    <row r="20773" spans="2:8" ht="15" customHeight="1" x14ac:dyDescent="0.4">
      <c r="B20773" t="s">
        <v>7</v>
      </c>
      <c r="C20773" t="s">
        <v>3362</v>
      </c>
      <c r="D20773" s="7">
        <f>DATE(2012,10,19)</f>
        <v>41201</v>
      </c>
      <c r="E20773" s="8">
        <f t="shared" si="340"/>
        <v>2012</v>
      </c>
      <c r="F20773" t="s">
        <v>3363</v>
      </c>
      <c r="G20773" s="9">
        <v>32094.560000000001</v>
      </c>
      <c r="H20773" s="8">
        <v>11898</v>
      </c>
    </row>
    <row r="20774" spans="2:8" ht="15" customHeight="1" x14ac:dyDescent="0.4">
      <c r="B20774" t="s">
        <v>7</v>
      </c>
      <c r="C20774" t="s">
        <v>3362</v>
      </c>
      <c r="D20774" s="7">
        <f>DATE(2013,4,18)</f>
        <v>41382</v>
      </c>
      <c r="E20774" s="8">
        <f t="shared" si="340"/>
        <v>2013</v>
      </c>
      <c r="F20774" t="s">
        <v>3363</v>
      </c>
      <c r="G20774" s="9">
        <v>242090.93</v>
      </c>
      <c r="H20774" s="8">
        <v>12188</v>
      </c>
    </row>
    <row r="20775" spans="2:8" ht="15" customHeight="1" x14ac:dyDescent="0.4">
      <c r="B20775" t="s">
        <v>7</v>
      </c>
      <c r="C20775" t="s">
        <v>3362</v>
      </c>
      <c r="D20775" s="7">
        <f>DATE(2013,9,27)</f>
        <v>41544</v>
      </c>
      <c r="E20775" s="8">
        <f t="shared" si="340"/>
        <v>2013</v>
      </c>
      <c r="F20775" t="s">
        <v>3363</v>
      </c>
      <c r="G20775" s="9">
        <v>5860.89</v>
      </c>
      <c r="H20775" s="8">
        <v>12657</v>
      </c>
    </row>
    <row r="20776" spans="2:8" ht="15" customHeight="1" x14ac:dyDescent="0.4">
      <c r="B20776" t="s">
        <v>7</v>
      </c>
      <c r="C20776" t="s">
        <v>3362</v>
      </c>
      <c r="D20776" s="7">
        <f>DATE(2013,10,31)</f>
        <v>41578</v>
      </c>
      <c r="E20776" s="8">
        <f t="shared" si="340"/>
        <v>2013</v>
      </c>
      <c r="F20776" t="s">
        <v>3363</v>
      </c>
      <c r="G20776" s="9">
        <v>4729.05</v>
      </c>
      <c r="H20776" s="8">
        <v>12750</v>
      </c>
    </row>
    <row r="20777" spans="2:8" ht="15" customHeight="1" x14ac:dyDescent="0.4">
      <c r="B20777" t="s">
        <v>7</v>
      </c>
      <c r="C20777" t="s">
        <v>3362</v>
      </c>
      <c r="D20777" s="7">
        <f>DATE(2014,7,23)</f>
        <v>41843</v>
      </c>
      <c r="E20777" s="8">
        <f t="shared" si="340"/>
        <v>2014</v>
      </c>
      <c r="F20777" t="s">
        <v>3363</v>
      </c>
      <c r="G20777" s="9">
        <v>33904.519999999997</v>
      </c>
      <c r="H20777" s="8">
        <v>13003</v>
      </c>
    </row>
    <row r="20778" spans="2:8" ht="15" customHeight="1" x14ac:dyDescent="0.4">
      <c r="B20778" t="s">
        <v>7</v>
      </c>
      <c r="C20778" t="s">
        <v>3362</v>
      </c>
      <c r="D20778" s="7">
        <f>DATE(2014,8,21)</f>
        <v>41872</v>
      </c>
      <c r="E20778" s="8">
        <f t="shared" si="340"/>
        <v>2014</v>
      </c>
      <c r="F20778" t="s">
        <v>3363</v>
      </c>
      <c r="G20778" s="9">
        <v>13995</v>
      </c>
      <c r="H20778" s="8">
        <v>13319</v>
      </c>
    </row>
    <row r="20779" spans="2:8" ht="15" customHeight="1" x14ac:dyDescent="0.4">
      <c r="B20779" t="s">
        <v>7</v>
      </c>
      <c r="C20779" t="s">
        <v>3362</v>
      </c>
      <c r="D20779" s="7">
        <f>DATE(2003,4,30)</f>
        <v>37741</v>
      </c>
      <c r="E20779" s="8">
        <f t="shared" si="340"/>
        <v>2003</v>
      </c>
      <c r="F20779" t="s">
        <v>3363</v>
      </c>
      <c r="G20779" s="9">
        <v>9173.4500000000007</v>
      </c>
      <c r="H20779" s="8">
        <v>352</v>
      </c>
    </row>
    <row r="20780" spans="2:8" ht="15" customHeight="1" x14ac:dyDescent="0.4">
      <c r="B20780" t="s">
        <v>7</v>
      </c>
      <c r="C20780" t="s">
        <v>3362</v>
      </c>
      <c r="D20780" s="7">
        <f>DATE(2004,11,19)</f>
        <v>38310</v>
      </c>
      <c r="E20780" s="8">
        <f t="shared" si="340"/>
        <v>2004</v>
      </c>
      <c r="F20780" t="s">
        <v>3363</v>
      </c>
      <c r="G20780" s="9">
        <v>7417.5</v>
      </c>
      <c r="H20780" s="8">
        <v>2344</v>
      </c>
    </row>
    <row r="20781" spans="2:8" ht="15" customHeight="1" x14ac:dyDescent="0.4">
      <c r="B20781" t="s">
        <v>7</v>
      </c>
      <c r="C20781" t="s">
        <v>3362</v>
      </c>
      <c r="D20781" s="7">
        <f>DATE(2004,11,19)</f>
        <v>38310</v>
      </c>
      <c r="E20781" s="8">
        <f t="shared" si="340"/>
        <v>2004</v>
      </c>
      <c r="F20781" t="s">
        <v>3363</v>
      </c>
      <c r="G20781" s="9">
        <v>6630</v>
      </c>
      <c r="H20781" s="8">
        <v>2446</v>
      </c>
    </row>
    <row r="20782" spans="2:8" ht="15" customHeight="1" x14ac:dyDescent="0.4">
      <c r="B20782" t="s">
        <v>7</v>
      </c>
      <c r="C20782" t="s">
        <v>3362</v>
      </c>
      <c r="D20782" s="7">
        <f>DATE(2004,12,20)</f>
        <v>38341</v>
      </c>
      <c r="E20782" s="8">
        <f t="shared" si="340"/>
        <v>2004</v>
      </c>
      <c r="F20782" t="s">
        <v>3363</v>
      </c>
      <c r="G20782" s="9">
        <v>2200</v>
      </c>
      <c r="H20782" s="8">
        <v>2489</v>
      </c>
    </row>
    <row r="20783" spans="2:8" ht="15" customHeight="1" x14ac:dyDescent="0.4">
      <c r="B20783" t="s">
        <v>7</v>
      </c>
      <c r="C20783" t="s">
        <v>3362</v>
      </c>
      <c r="D20783" s="7">
        <f>DATE(2005,3,31)</f>
        <v>38442</v>
      </c>
      <c r="E20783" s="8">
        <f t="shared" si="340"/>
        <v>2005</v>
      </c>
      <c r="F20783" t="s">
        <v>3363</v>
      </c>
      <c r="G20783" s="9">
        <v>5430</v>
      </c>
      <c r="H20783" s="8">
        <v>2874</v>
      </c>
    </row>
    <row r="20784" spans="2:8" ht="15" customHeight="1" x14ac:dyDescent="0.4">
      <c r="B20784" t="s">
        <v>7</v>
      </c>
      <c r="C20784" t="s">
        <v>3362</v>
      </c>
      <c r="D20784" s="7">
        <f>DATE(2005,8,3)</f>
        <v>38567</v>
      </c>
      <c r="E20784" s="8">
        <f t="shared" si="340"/>
        <v>2005</v>
      </c>
      <c r="F20784" t="s">
        <v>3363</v>
      </c>
      <c r="G20784" s="9">
        <v>1620</v>
      </c>
      <c r="H20784" s="8">
        <v>3378</v>
      </c>
    </row>
    <row r="20785" spans="2:8" ht="15" customHeight="1" x14ac:dyDescent="0.4">
      <c r="B20785" t="s">
        <v>7</v>
      </c>
      <c r="C20785" t="s">
        <v>3362</v>
      </c>
      <c r="D20785" s="7">
        <f>DATE(2005,8,31)</f>
        <v>38595</v>
      </c>
      <c r="E20785" s="8">
        <f t="shared" si="340"/>
        <v>2005</v>
      </c>
      <c r="F20785" t="s">
        <v>3363</v>
      </c>
      <c r="G20785" s="9">
        <v>10840.15</v>
      </c>
      <c r="H20785" s="8">
        <v>3372</v>
      </c>
    </row>
    <row r="20786" spans="2:8" ht="15" customHeight="1" x14ac:dyDescent="0.4">
      <c r="B20786" t="s">
        <v>7</v>
      </c>
      <c r="C20786" t="s">
        <v>3362</v>
      </c>
      <c r="D20786" s="7">
        <f>DATE(2005,11,21)</f>
        <v>38677</v>
      </c>
      <c r="E20786" s="8">
        <f t="shared" si="340"/>
        <v>2005</v>
      </c>
      <c r="F20786" t="s">
        <v>3363</v>
      </c>
      <c r="G20786" s="9">
        <v>23874.22</v>
      </c>
      <c r="H20786" s="8">
        <v>3502</v>
      </c>
    </row>
    <row r="20787" spans="2:8" ht="15" customHeight="1" x14ac:dyDescent="0.4">
      <c r="B20787" t="s">
        <v>7</v>
      </c>
      <c r="C20787" t="s">
        <v>3362</v>
      </c>
      <c r="D20787" s="7">
        <f>DATE(2005,12,24)</f>
        <v>38710</v>
      </c>
      <c r="E20787" s="8">
        <f t="shared" si="340"/>
        <v>2005</v>
      </c>
      <c r="F20787" t="s">
        <v>3363</v>
      </c>
      <c r="G20787" s="9">
        <v>10594.61</v>
      </c>
      <c r="H20787" s="8">
        <v>3803</v>
      </c>
    </row>
    <row r="20788" spans="2:8" ht="15" customHeight="1" x14ac:dyDescent="0.4">
      <c r="B20788" t="s">
        <v>7</v>
      </c>
      <c r="C20788" t="s">
        <v>3362</v>
      </c>
      <c r="D20788" s="7">
        <f>DATE(2006,6,1)</f>
        <v>38869</v>
      </c>
      <c r="E20788" s="8">
        <f t="shared" si="340"/>
        <v>2006</v>
      </c>
      <c r="F20788" t="s">
        <v>3363</v>
      </c>
      <c r="G20788" s="9">
        <v>3927.87</v>
      </c>
      <c r="H20788" s="8">
        <v>4646</v>
      </c>
    </row>
    <row r="20789" spans="2:8" ht="15" customHeight="1" x14ac:dyDescent="0.4">
      <c r="B20789" t="s">
        <v>7</v>
      </c>
      <c r="C20789" t="s">
        <v>3362</v>
      </c>
      <c r="D20789" s="7">
        <f>DATE(2006,11,7)</f>
        <v>39028</v>
      </c>
      <c r="E20789" s="8">
        <f t="shared" si="340"/>
        <v>2006</v>
      </c>
      <c r="F20789" t="s">
        <v>3363</v>
      </c>
      <c r="G20789" s="9">
        <v>5091.46</v>
      </c>
      <c r="H20789" s="8">
        <v>5008</v>
      </c>
    </row>
    <row r="20790" spans="2:8" ht="15" customHeight="1" x14ac:dyDescent="0.4">
      <c r="B20790" t="s">
        <v>7</v>
      </c>
      <c r="C20790" t="s">
        <v>3362</v>
      </c>
      <c r="D20790" s="7">
        <f>DATE(2006,12,29)</f>
        <v>39080</v>
      </c>
      <c r="E20790" s="8">
        <f t="shared" si="340"/>
        <v>2006</v>
      </c>
      <c r="F20790" t="s">
        <v>3363</v>
      </c>
      <c r="G20790" s="9">
        <v>7917.45</v>
      </c>
      <c r="H20790" s="8">
        <v>5222</v>
      </c>
    </row>
    <row r="20791" spans="2:8" ht="15" customHeight="1" x14ac:dyDescent="0.4">
      <c r="B20791" t="s">
        <v>7</v>
      </c>
      <c r="C20791" t="s">
        <v>3362</v>
      </c>
      <c r="D20791" s="7">
        <f>DATE(2007,1,14)</f>
        <v>39096</v>
      </c>
      <c r="E20791" s="8">
        <f t="shared" si="340"/>
        <v>2007</v>
      </c>
      <c r="F20791" t="s">
        <v>3363</v>
      </c>
      <c r="G20791" s="9">
        <v>5222.47</v>
      </c>
      <c r="H20791" s="8">
        <v>5355</v>
      </c>
    </row>
    <row r="20792" spans="2:8" ht="15" customHeight="1" x14ac:dyDescent="0.4">
      <c r="B20792" t="s">
        <v>7</v>
      </c>
      <c r="C20792" t="s">
        <v>3362</v>
      </c>
      <c r="D20792" s="7">
        <f>DATE(2007,2,3)</f>
        <v>39116</v>
      </c>
      <c r="E20792" s="8">
        <f t="shared" si="340"/>
        <v>2007</v>
      </c>
      <c r="F20792" t="s">
        <v>3363</v>
      </c>
      <c r="G20792" s="9">
        <v>3386.3</v>
      </c>
      <c r="H20792" s="8">
        <v>5401</v>
      </c>
    </row>
    <row r="20793" spans="2:8" ht="15" customHeight="1" x14ac:dyDescent="0.4">
      <c r="B20793" t="s">
        <v>7</v>
      </c>
      <c r="C20793" t="s">
        <v>3362</v>
      </c>
      <c r="D20793" s="7">
        <f>DATE(2007,3,16)</f>
        <v>39157</v>
      </c>
      <c r="E20793" s="8">
        <f t="shared" si="340"/>
        <v>2007</v>
      </c>
      <c r="F20793" t="s">
        <v>3363</v>
      </c>
      <c r="G20793" s="9">
        <v>3246.72</v>
      </c>
      <c r="H20793" s="8">
        <v>5717</v>
      </c>
    </row>
    <row r="20794" spans="2:8" ht="15" customHeight="1" x14ac:dyDescent="0.4">
      <c r="B20794" t="s">
        <v>7</v>
      </c>
      <c r="C20794" t="s">
        <v>3362</v>
      </c>
      <c r="D20794" s="7">
        <f>DATE(2007,5,1)</f>
        <v>39203</v>
      </c>
      <c r="E20794" s="8">
        <f t="shared" si="340"/>
        <v>2007</v>
      </c>
      <c r="F20794" t="s">
        <v>3363</v>
      </c>
      <c r="G20794" s="9">
        <v>141906.54999999999</v>
      </c>
      <c r="H20794" s="8">
        <v>5279</v>
      </c>
    </row>
    <row r="20795" spans="2:8" ht="15" customHeight="1" x14ac:dyDescent="0.4">
      <c r="B20795" t="s">
        <v>7</v>
      </c>
      <c r="C20795" t="s">
        <v>3362</v>
      </c>
      <c r="D20795" s="7">
        <f>DATE(2007,6,15)</f>
        <v>39248</v>
      </c>
      <c r="E20795" s="8">
        <f t="shared" si="340"/>
        <v>2007</v>
      </c>
      <c r="F20795" t="s">
        <v>3363</v>
      </c>
      <c r="G20795" s="9">
        <v>35974.800000000003</v>
      </c>
      <c r="H20795" s="8">
        <v>5460</v>
      </c>
    </row>
    <row r="20796" spans="2:8" ht="15" customHeight="1" x14ac:dyDescent="0.4">
      <c r="B20796" t="s">
        <v>7</v>
      </c>
      <c r="C20796" t="s">
        <v>3362</v>
      </c>
      <c r="D20796" s="7">
        <f>DATE(2007,6,15)</f>
        <v>39248</v>
      </c>
      <c r="E20796" s="8">
        <f t="shared" si="340"/>
        <v>2007</v>
      </c>
      <c r="F20796" t="s">
        <v>3363</v>
      </c>
      <c r="G20796" s="9">
        <v>6765</v>
      </c>
      <c r="H20796" s="8">
        <v>5343</v>
      </c>
    </row>
    <row r="20797" spans="2:8" ht="15" customHeight="1" x14ac:dyDescent="0.4">
      <c r="B20797" t="s">
        <v>7</v>
      </c>
      <c r="C20797" t="s">
        <v>3362</v>
      </c>
      <c r="D20797" s="7">
        <f>DATE(2008,3,13)</f>
        <v>39520</v>
      </c>
      <c r="E20797" s="8">
        <f t="shared" si="340"/>
        <v>2008</v>
      </c>
      <c r="F20797" t="s">
        <v>3363</v>
      </c>
      <c r="G20797" s="9">
        <v>4500</v>
      </c>
      <c r="H20797" s="8">
        <v>6726</v>
      </c>
    </row>
    <row r="20798" spans="2:8" ht="15" customHeight="1" x14ac:dyDescent="0.4">
      <c r="B20798" t="s">
        <v>7</v>
      </c>
      <c r="C20798" t="s">
        <v>3362</v>
      </c>
      <c r="D20798" s="7">
        <f>DATE(2009,3,31)</f>
        <v>39903</v>
      </c>
      <c r="E20798" s="8">
        <f t="shared" si="340"/>
        <v>2009</v>
      </c>
      <c r="F20798" t="s">
        <v>3363</v>
      </c>
      <c r="G20798" s="9">
        <v>231782.76</v>
      </c>
      <c r="H20798" s="8">
        <v>8274</v>
      </c>
    </row>
    <row r="20799" spans="2:8" ht="15" customHeight="1" x14ac:dyDescent="0.4">
      <c r="B20799" t="s">
        <v>7</v>
      </c>
      <c r="C20799" t="s">
        <v>3362</v>
      </c>
      <c r="D20799" s="7">
        <f>DATE(2012,10,8)</f>
        <v>41190</v>
      </c>
      <c r="E20799" s="8">
        <f t="shared" si="340"/>
        <v>2012</v>
      </c>
      <c r="F20799" t="s">
        <v>3363</v>
      </c>
      <c r="G20799" s="9">
        <v>10530</v>
      </c>
      <c r="H20799" s="8">
        <v>11785</v>
      </c>
    </row>
    <row r="20800" spans="2:8" ht="15" customHeight="1" x14ac:dyDescent="0.4">
      <c r="B20800" t="s">
        <v>16</v>
      </c>
      <c r="C20800" t="s">
        <v>3362</v>
      </c>
      <c r="D20800" s="7">
        <f>DATE(2004,11,19)</f>
        <v>38310</v>
      </c>
      <c r="E20800" s="8">
        <f t="shared" si="340"/>
        <v>2004</v>
      </c>
      <c r="F20800" t="s">
        <v>3363</v>
      </c>
      <c r="G20800" s="9">
        <v>7417.5</v>
      </c>
      <c r="H20800" s="8">
        <v>2445</v>
      </c>
    </row>
    <row r="20801" spans="2:8" ht="15" customHeight="1" x14ac:dyDescent="0.4">
      <c r="B20801" t="s">
        <v>16</v>
      </c>
      <c r="C20801" t="s">
        <v>3362</v>
      </c>
      <c r="D20801" s="7">
        <f>DATE(2007,1,1)</f>
        <v>39083</v>
      </c>
      <c r="E20801" s="8">
        <f t="shared" si="340"/>
        <v>2007</v>
      </c>
      <c r="F20801" t="s">
        <v>3363</v>
      </c>
      <c r="G20801" s="9">
        <v>7917.45</v>
      </c>
      <c r="H20801" s="8">
        <v>5461</v>
      </c>
    </row>
    <row r="20802" spans="2:8" ht="15" customHeight="1" x14ac:dyDescent="0.4">
      <c r="B20802" s="3" t="s">
        <v>7</v>
      </c>
      <c r="C20802" s="3" t="s">
        <v>3362</v>
      </c>
      <c r="D20802" s="4">
        <f>DATE(2005,8,30)</f>
        <v>38594</v>
      </c>
      <c r="E20802" s="5">
        <f t="shared" si="340"/>
        <v>2005</v>
      </c>
      <c r="F20802" s="3" t="s">
        <v>3363</v>
      </c>
      <c r="G20802" s="6">
        <v>100</v>
      </c>
      <c r="H20802" s="5">
        <v>5194</v>
      </c>
    </row>
    <row r="20803" spans="2:8" ht="15" customHeight="1" x14ac:dyDescent="0.4">
      <c r="B20803" s="3" t="s">
        <v>7</v>
      </c>
      <c r="C20803" s="3" t="s">
        <v>3362</v>
      </c>
      <c r="D20803" s="4">
        <f>DATE(2005,9,8)</f>
        <v>38603</v>
      </c>
      <c r="E20803" s="5">
        <f t="shared" ref="E20803:E20866" si="341">YEAR(D20803)</f>
        <v>2005</v>
      </c>
      <c r="F20803" s="3" t="s">
        <v>3363</v>
      </c>
      <c r="G20803" s="6">
        <v>404.5</v>
      </c>
      <c r="H20803" s="5">
        <v>5229</v>
      </c>
    </row>
    <row r="20804" spans="2:8" ht="15" customHeight="1" x14ac:dyDescent="0.4">
      <c r="B20804" s="3" t="s">
        <v>7</v>
      </c>
      <c r="C20804" s="3" t="s">
        <v>3362</v>
      </c>
      <c r="D20804" s="4">
        <f>DATE(2005,10,7)</f>
        <v>38632</v>
      </c>
      <c r="E20804" s="5">
        <f t="shared" si="341"/>
        <v>2005</v>
      </c>
      <c r="F20804" s="3" t="s">
        <v>3363</v>
      </c>
      <c r="G20804" s="6">
        <v>491</v>
      </c>
      <c r="H20804" s="5">
        <v>5409</v>
      </c>
    </row>
    <row r="20805" spans="2:8" ht="15" customHeight="1" x14ac:dyDescent="0.4">
      <c r="B20805" s="3" t="s">
        <v>7</v>
      </c>
      <c r="C20805" s="3" t="s">
        <v>3362</v>
      </c>
      <c r="D20805" s="4">
        <f>DATE(2007,11,14)</f>
        <v>39400</v>
      </c>
      <c r="E20805" s="5">
        <f t="shared" si="341"/>
        <v>2007</v>
      </c>
      <c r="F20805" s="3" t="s">
        <v>3363</v>
      </c>
      <c r="G20805" s="6">
        <v>491</v>
      </c>
      <c r="H20805" s="5">
        <v>9471</v>
      </c>
    </row>
    <row r="20806" spans="2:8" ht="15" customHeight="1" x14ac:dyDescent="0.4">
      <c r="B20806" s="3" t="s">
        <v>7</v>
      </c>
      <c r="C20806" s="3" t="s">
        <v>3362</v>
      </c>
      <c r="D20806" s="4">
        <f>DATE(2009,3,18)</f>
        <v>39890</v>
      </c>
      <c r="E20806" s="5">
        <f t="shared" si="341"/>
        <v>2009</v>
      </c>
      <c r="F20806" s="3" t="s">
        <v>3363</v>
      </c>
      <c r="G20806" s="6">
        <v>122.75</v>
      </c>
      <c r="H20806" s="5">
        <v>12215</v>
      </c>
    </row>
    <row r="20807" spans="2:8" ht="15" customHeight="1" x14ac:dyDescent="0.4">
      <c r="B20807" s="3" t="s">
        <v>7</v>
      </c>
      <c r="C20807" s="3" t="s">
        <v>3362</v>
      </c>
      <c r="D20807" s="4">
        <f>DATE(2009,3,18)</f>
        <v>39890</v>
      </c>
      <c r="E20807" s="5">
        <f t="shared" si="341"/>
        <v>2009</v>
      </c>
      <c r="F20807" s="3" t="s">
        <v>3363</v>
      </c>
      <c r="G20807" s="6">
        <v>98.2</v>
      </c>
      <c r="H20807" s="5">
        <v>12184</v>
      </c>
    </row>
    <row r="20808" spans="2:8" ht="15" customHeight="1" x14ac:dyDescent="0.4">
      <c r="B20808" s="3" t="s">
        <v>7</v>
      </c>
      <c r="C20808" s="3" t="s">
        <v>3362</v>
      </c>
      <c r="D20808" s="4">
        <f>DATE(2009,11,5)</f>
        <v>40122</v>
      </c>
      <c r="E20808" s="5">
        <f t="shared" si="341"/>
        <v>2009</v>
      </c>
      <c r="F20808" s="3" t="s">
        <v>3363</v>
      </c>
      <c r="G20808" s="6">
        <v>319.14999999999998</v>
      </c>
      <c r="H20808" s="5">
        <v>13223</v>
      </c>
    </row>
    <row r="20809" spans="2:8" ht="15" customHeight="1" x14ac:dyDescent="0.4">
      <c r="B20809" s="3" t="s">
        <v>7</v>
      </c>
      <c r="C20809" s="3" t="s">
        <v>3362</v>
      </c>
      <c r="D20809" s="4">
        <f>DATE(2011,5,2)</f>
        <v>40665</v>
      </c>
      <c r="E20809" s="5">
        <f t="shared" si="341"/>
        <v>2011</v>
      </c>
      <c r="F20809" s="3" t="s">
        <v>3363</v>
      </c>
      <c r="G20809" s="6">
        <v>491</v>
      </c>
      <c r="H20809" s="5">
        <v>15505</v>
      </c>
    </row>
    <row r="20810" spans="2:8" ht="15" customHeight="1" x14ac:dyDescent="0.4">
      <c r="B20810" s="3" t="s">
        <v>7</v>
      </c>
      <c r="C20810" s="3" t="s">
        <v>3362</v>
      </c>
      <c r="D20810" s="4">
        <f>DATE(2012,4,18)</f>
        <v>41017</v>
      </c>
      <c r="E20810" s="5">
        <f t="shared" si="341"/>
        <v>2012</v>
      </c>
      <c r="F20810" s="3" t="s">
        <v>3363</v>
      </c>
      <c r="G20810" s="6">
        <v>245.5</v>
      </c>
      <c r="H20810" s="5">
        <v>16369</v>
      </c>
    </row>
    <row r="20811" spans="2:8" ht="15" customHeight="1" x14ac:dyDescent="0.4">
      <c r="B20811" s="3" t="s">
        <v>7</v>
      </c>
      <c r="C20811" s="3" t="s">
        <v>3362</v>
      </c>
      <c r="D20811" s="4">
        <f>DATE(2012,10,19)</f>
        <v>41201</v>
      </c>
      <c r="E20811" s="5">
        <f t="shared" si="341"/>
        <v>2012</v>
      </c>
      <c r="F20811" s="3" t="s">
        <v>3363</v>
      </c>
      <c r="G20811" s="6">
        <v>1520</v>
      </c>
      <c r="H20811" s="5">
        <v>17750</v>
      </c>
    </row>
    <row r="20812" spans="2:8" ht="15" customHeight="1" x14ac:dyDescent="0.4">
      <c r="B20812" s="3" t="s">
        <v>7</v>
      </c>
      <c r="C20812" s="3" t="s">
        <v>3362</v>
      </c>
      <c r="D20812" s="4">
        <f>DATE(2014,4,25)</f>
        <v>41754</v>
      </c>
      <c r="E20812" s="5">
        <f t="shared" si="341"/>
        <v>2014</v>
      </c>
      <c r="F20812" s="3" t="s">
        <v>3363</v>
      </c>
      <c r="G20812" s="6">
        <v>1520</v>
      </c>
      <c r="H20812" s="5">
        <v>19693</v>
      </c>
    </row>
    <row r="20813" spans="2:8" ht="15" customHeight="1" x14ac:dyDescent="0.4">
      <c r="B20813" s="3" t="s">
        <v>7</v>
      </c>
      <c r="C20813" s="3" t="s">
        <v>3362</v>
      </c>
      <c r="D20813" s="4">
        <f>DATE(2014,5,2)</f>
        <v>41761</v>
      </c>
      <c r="E20813" s="5">
        <f t="shared" si="341"/>
        <v>2014</v>
      </c>
      <c r="F20813" s="3" t="s">
        <v>3363</v>
      </c>
      <c r="G20813" s="6">
        <v>1900</v>
      </c>
      <c r="H20813" s="5">
        <v>19932</v>
      </c>
    </row>
    <row r="20814" spans="2:8" ht="15" customHeight="1" x14ac:dyDescent="0.4">
      <c r="B20814" s="3" t="s">
        <v>7</v>
      </c>
      <c r="C20814" s="3" t="s">
        <v>3362</v>
      </c>
      <c r="D20814" s="4">
        <f>DATE(2014,8,25)</f>
        <v>41876</v>
      </c>
      <c r="E20814" s="5">
        <f t="shared" si="341"/>
        <v>2014</v>
      </c>
      <c r="F20814" s="3" t="s">
        <v>3363</v>
      </c>
      <c r="G20814" s="6">
        <v>209.37</v>
      </c>
      <c r="H20814" s="5">
        <v>20327</v>
      </c>
    </row>
    <row r="20815" spans="2:8" ht="15" customHeight="1" x14ac:dyDescent="0.4">
      <c r="B20815" t="s">
        <v>7</v>
      </c>
      <c r="C20815" t="s">
        <v>3262</v>
      </c>
      <c r="D20815" s="7">
        <f>DATE(2015,6,12)</f>
        <v>42167</v>
      </c>
      <c r="E20815" s="8">
        <f t="shared" si="341"/>
        <v>2015</v>
      </c>
      <c r="F20815" t="s">
        <v>3364</v>
      </c>
      <c r="G20815" s="9">
        <v>5794</v>
      </c>
      <c r="H20815" s="8">
        <v>20719</v>
      </c>
    </row>
    <row r="20816" spans="2:8" ht="15" customHeight="1" x14ac:dyDescent="0.4">
      <c r="B20816" t="s">
        <v>7</v>
      </c>
      <c r="C20816" t="s">
        <v>3262</v>
      </c>
      <c r="D20816" s="7">
        <f>DATE(2015,6,12)</f>
        <v>42167</v>
      </c>
      <c r="E20816" s="8">
        <f t="shared" si="341"/>
        <v>2015</v>
      </c>
      <c r="F20816" t="s">
        <v>3364</v>
      </c>
      <c r="G20816" s="9">
        <v>4781</v>
      </c>
      <c r="H20816" s="8">
        <v>20720</v>
      </c>
    </row>
    <row r="20817" spans="2:8" ht="15" customHeight="1" x14ac:dyDescent="0.4">
      <c r="B20817" t="s">
        <v>7</v>
      </c>
      <c r="C20817" t="s">
        <v>3262</v>
      </c>
      <c r="D20817" s="7">
        <f>DATE(2016,12,14)</f>
        <v>42718</v>
      </c>
      <c r="E20817" s="8">
        <f t="shared" si="341"/>
        <v>2016</v>
      </c>
      <c r="F20817" t="s">
        <v>3364</v>
      </c>
      <c r="G20817" s="9">
        <v>6100</v>
      </c>
      <c r="H20817" s="8">
        <v>23967</v>
      </c>
    </row>
    <row r="20818" spans="2:8" ht="15" customHeight="1" x14ac:dyDescent="0.4">
      <c r="B20818" t="s">
        <v>7</v>
      </c>
      <c r="C20818" t="s">
        <v>3262</v>
      </c>
      <c r="D20818" s="7">
        <f>DATE(2004,7,21)</f>
        <v>38189</v>
      </c>
      <c r="E20818" s="8">
        <f t="shared" si="341"/>
        <v>2004</v>
      </c>
      <c r="F20818" t="s">
        <v>3364</v>
      </c>
      <c r="G20818" s="9">
        <v>5400</v>
      </c>
      <c r="H20818" s="8">
        <v>1975</v>
      </c>
    </row>
    <row r="20819" spans="2:8" ht="15" customHeight="1" x14ac:dyDescent="0.4">
      <c r="B20819" t="s">
        <v>7</v>
      </c>
      <c r="C20819" t="s">
        <v>3262</v>
      </c>
      <c r="D20819" s="7">
        <f>DATE(2006,2,28)</f>
        <v>38776</v>
      </c>
      <c r="E20819" s="8">
        <f t="shared" si="341"/>
        <v>2006</v>
      </c>
      <c r="F20819" t="s">
        <v>3364</v>
      </c>
      <c r="G20819" s="9">
        <v>5300</v>
      </c>
      <c r="H20819" s="8">
        <v>4138</v>
      </c>
    </row>
    <row r="20820" spans="2:8" ht="15" customHeight="1" x14ac:dyDescent="0.4">
      <c r="B20820" t="s">
        <v>7</v>
      </c>
      <c r="C20820" t="s">
        <v>3262</v>
      </c>
      <c r="D20820" s="7">
        <f>DATE(2006,4,28)</f>
        <v>38835</v>
      </c>
      <c r="E20820" s="8">
        <f t="shared" si="341"/>
        <v>2006</v>
      </c>
      <c r="F20820" t="s">
        <v>3364</v>
      </c>
      <c r="G20820" s="9">
        <v>5825</v>
      </c>
      <c r="H20820" s="8">
        <v>4181</v>
      </c>
    </row>
    <row r="20821" spans="2:8" ht="15" customHeight="1" x14ac:dyDescent="0.4">
      <c r="B20821" t="s">
        <v>7</v>
      </c>
      <c r="C20821" t="s">
        <v>3262</v>
      </c>
      <c r="D20821" s="7">
        <f>DATE(2006,7,6)</f>
        <v>38904</v>
      </c>
      <c r="E20821" s="8">
        <f t="shared" si="341"/>
        <v>2006</v>
      </c>
      <c r="F20821" t="s">
        <v>3364</v>
      </c>
      <c r="G20821" s="9">
        <v>5825</v>
      </c>
      <c r="H20821" s="8">
        <v>4545</v>
      </c>
    </row>
    <row r="20822" spans="2:8" ht="15" customHeight="1" x14ac:dyDescent="0.4">
      <c r="B20822" t="s">
        <v>7</v>
      </c>
      <c r="C20822" t="s">
        <v>3262</v>
      </c>
      <c r="D20822" s="7">
        <f>DATE(2007,5,31)</f>
        <v>39233</v>
      </c>
      <c r="E20822" s="8">
        <f t="shared" si="341"/>
        <v>2007</v>
      </c>
      <c r="F20822" t="s">
        <v>3364</v>
      </c>
      <c r="G20822" s="9">
        <v>5300</v>
      </c>
      <c r="H20822" s="8">
        <v>6039</v>
      </c>
    </row>
    <row r="20823" spans="2:8" ht="15" customHeight="1" x14ac:dyDescent="0.4">
      <c r="B20823" t="s">
        <v>7</v>
      </c>
      <c r="C20823" t="s">
        <v>3262</v>
      </c>
      <c r="D20823" s="7">
        <f>DATE(2008,5,4)</f>
        <v>39572</v>
      </c>
      <c r="E20823" s="8">
        <f t="shared" si="341"/>
        <v>2008</v>
      </c>
      <c r="F20823" t="s">
        <v>3364</v>
      </c>
      <c r="G20823" s="9">
        <v>10325</v>
      </c>
      <c r="H20823" s="8">
        <v>7262</v>
      </c>
    </row>
    <row r="20824" spans="2:8" ht="15" customHeight="1" x14ac:dyDescent="0.4">
      <c r="B20824" t="s">
        <v>7</v>
      </c>
      <c r="C20824" t="s">
        <v>3262</v>
      </c>
      <c r="D20824" s="7">
        <f>DATE(2009,4,9)</f>
        <v>39912</v>
      </c>
      <c r="E20824" s="8">
        <f t="shared" si="341"/>
        <v>2009</v>
      </c>
      <c r="F20824" t="s">
        <v>3364</v>
      </c>
      <c r="G20824" s="9">
        <v>6104</v>
      </c>
      <c r="H20824" s="8">
        <v>8564</v>
      </c>
    </row>
    <row r="20825" spans="2:8" ht="15" customHeight="1" x14ac:dyDescent="0.4">
      <c r="B20825" t="s">
        <v>7</v>
      </c>
      <c r="C20825" t="s">
        <v>3262</v>
      </c>
      <c r="D20825" s="7">
        <f>DATE(2009,11,23)</f>
        <v>40140</v>
      </c>
      <c r="E20825" s="8">
        <f t="shared" si="341"/>
        <v>2009</v>
      </c>
      <c r="F20825" t="s">
        <v>3364</v>
      </c>
      <c r="G20825" s="9">
        <v>1662.52</v>
      </c>
      <c r="H20825" s="8">
        <v>9262</v>
      </c>
    </row>
    <row r="20826" spans="2:8" ht="15" customHeight="1" x14ac:dyDescent="0.4">
      <c r="B20826" t="s">
        <v>7</v>
      </c>
      <c r="C20826" t="s">
        <v>3262</v>
      </c>
      <c r="D20826" s="7">
        <f>DATE(2009,11,30)</f>
        <v>40147</v>
      </c>
      <c r="E20826" s="8">
        <f t="shared" si="341"/>
        <v>2009</v>
      </c>
      <c r="F20826" t="s">
        <v>3364</v>
      </c>
      <c r="G20826" s="9">
        <v>1926.29</v>
      </c>
      <c r="H20826" s="8">
        <v>9267</v>
      </c>
    </row>
    <row r="20827" spans="2:8" ht="15" customHeight="1" x14ac:dyDescent="0.4">
      <c r="B20827" t="s">
        <v>7</v>
      </c>
      <c r="C20827" t="s">
        <v>3262</v>
      </c>
      <c r="D20827" s="7">
        <f>DATE(2010,1,13)</f>
        <v>40191</v>
      </c>
      <c r="E20827" s="8">
        <f t="shared" si="341"/>
        <v>2010</v>
      </c>
      <c r="F20827" t="s">
        <v>3364</v>
      </c>
      <c r="G20827" s="9">
        <v>3785.42</v>
      </c>
      <c r="H20827" s="8">
        <v>9350</v>
      </c>
    </row>
    <row r="20828" spans="2:8" ht="15" customHeight="1" x14ac:dyDescent="0.4">
      <c r="B20828" t="s">
        <v>7</v>
      </c>
      <c r="C20828" t="s">
        <v>3262</v>
      </c>
      <c r="D20828" s="7">
        <f>DATE(2011,2,23)</f>
        <v>40597</v>
      </c>
      <c r="E20828" s="8">
        <f t="shared" si="341"/>
        <v>2011</v>
      </c>
      <c r="F20828" t="s">
        <v>3364</v>
      </c>
      <c r="G20828" s="9">
        <v>6192</v>
      </c>
      <c r="H20828" s="8">
        <v>10512</v>
      </c>
    </row>
    <row r="20829" spans="2:8" ht="15" customHeight="1" x14ac:dyDescent="0.4">
      <c r="B20829" t="s">
        <v>7</v>
      </c>
      <c r="C20829" t="s">
        <v>3262</v>
      </c>
      <c r="D20829" s="7">
        <f>DATE(2011,11,29)</f>
        <v>40876</v>
      </c>
      <c r="E20829" s="8">
        <f t="shared" si="341"/>
        <v>2011</v>
      </c>
      <c r="F20829" t="s">
        <v>3364</v>
      </c>
      <c r="G20829" s="9">
        <v>6357</v>
      </c>
      <c r="H20829" s="8">
        <v>11149</v>
      </c>
    </row>
    <row r="20830" spans="2:8" ht="15" customHeight="1" x14ac:dyDescent="0.4">
      <c r="B20830" t="s">
        <v>7</v>
      </c>
      <c r="C20830" t="s">
        <v>3262</v>
      </c>
      <c r="D20830" s="7">
        <f>DATE(2013,2,13)</f>
        <v>41318</v>
      </c>
      <c r="E20830" s="8">
        <f t="shared" si="341"/>
        <v>2013</v>
      </c>
      <c r="F20830" t="s">
        <v>3364</v>
      </c>
      <c r="G20830" s="9">
        <v>6404</v>
      </c>
      <c r="H20830" s="8">
        <v>12194</v>
      </c>
    </row>
    <row r="20831" spans="2:8" ht="15" customHeight="1" x14ac:dyDescent="0.4">
      <c r="B20831" t="s">
        <v>7</v>
      </c>
      <c r="C20831" t="s">
        <v>3262</v>
      </c>
      <c r="D20831" s="7">
        <f>DATE(2013,12,2)</f>
        <v>41610</v>
      </c>
      <c r="E20831" s="8">
        <f t="shared" si="341"/>
        <v>2013</v>
      </c>
      <c r="F20831" t="s">
        <v>3364</v>
      </c>
      <c r="G20831" s="9">
        <v>6397</v>
      </c>
      <c r="H20831" s="8">
        <v>12807</v>
      </c>
    </row>
    <row r="20832" spans="2:8" ht="15" customHeight="1" x14ac:dyDescent="0.4">
      <c r="B20832" t="s">
        <v>7</v>
      </c>
      <c r="C20832" t="s">
        <v>3262</v>
      </c>
      <c r="D20832" s="7">
        <f>DATE(2014,7,23)</f>
        <v>41843</v>
      </c>
      <c r="E20832" s="8">
        <f t="shared" si="341"/>
        <v>2014</v>
      </c>
      <c r="F20832" t="s">
        <v>3364</v>
      </c>
      <c r="G20832" s="9">
        <v>5794</v>
      </c>
      <c r="H20832" s="8">
        <v>13316</v>
      </c>
    </row>
    <row r="20833" spans="2:8" ht="15" customHeight="1" x14ac:dyDescent="0.4">
      <c r="B20833" t="s">
        <v>7</v>
      </c>
      <c r="C20833" t="s">
        <v>3262</v>
      </c>
      <c r="D20833" s="7">
        <f>DATE(2014,12,3)</f>
        <v>41976</v>
      </c>
      <c r="E20833" s="8">
        <f t="shared" si="341"/>
        <v>2014</v>
      </c>
      <c r="F20833" t="s">
        <v>3364</v>
      </c>
      <c r="G20833" s="9">
        <v>5794</v>
      </c>
      <c r="H20833" s="8">
        <v>13636</v>
      </c>
    </row>
    <row r="20834" spans="2:8" ht="15" customHeight="1" x14ac:dyDescent="0.4">
      <c r="B20834" t="s">
        <v>7</v>
      </c>
      <c r="C20834" t="s">
        <v>3365</v>
      </c>
      <c r="D20834" s="7">
        <f>DATE(2019,4,4)</f>
        <v>43559</v>
      </c>
      <c r="E20834" s="8">
        <f t="shared" si="341"/>
        <v>2019</v>
      </c>
      <c r="F20834" t="s">
        <v>3366</v>
      </c>
      <c r="G20834" s="9">
        <v>42944.73</v>
      </c>
      <c r="H20834" s="8">
        <v>28311</v>
      </c>
    </row>
    <row r="20835" spans="2:8" ht="15" customHeight="1" x14ac:dyDescent="0.4">
      <c r="B20835" t="s">
        <v>7</v>
      </c>
      <c r="C20835" t="s">
        <v>3365</v>
      </c>
      <c r="D20835" s="7">
        <f>DATE(2006,2,26)</f>
        <v>38774</v>
      </c>
      <c r="E20835" s="8">
        <f t="shared" si="341"/>
        <v>2006</v>
      </c>
      <c r="F20835" t="s">
        <v>3366</v>
      </c>
      <c r="G20835" s="9">
        <v>26966.9</v>
      </c>
      <c r="H20835" s="8">
        <v>3925</v>
      </c>
    </row>
    <row r="20836" spans="2:8" ht="15" customHeight="1" x14ac:dyDescent="0.4">
      <c r="B20836" t="s">
        <v>7</v>
      </c>
      <c r="C20836" t="s">
        <v>3365</v>
      </c>
      <c r="D20836" s="7">
        <f>DATE(2008,2,28)</f>
        <v>39506</v>
      </c>
      <c r="E20836" s="8">
        <f t="shared" si="341"/>
        <v>2008</v>
      </c>
      <c r="F20836" t="s">
        <v>3366</v>
      </c>
      <c r="G20836" s="9">
        <v>22620.5</v>
      </c>
      <c r="H20836" s="8">
        <v>6911</v>
      </c>
    </row>
    <row r="20837" spans="2:8" ht="15" customHeight="1" x14ac:dyDescent="0.4">
      <c r="B20837" t="s">
        <v>7</v>
      </c>
      <c r="C20837" t="s">
        <v>3365</v>
      </c>
      <c r="D20837" s="7">
        <f>DATE(2009,3,30)</f>
        <v>39902</v>
      </c>
      <c r="E20837" s="8">
        <f t="shared" si="341"/>
        <v>2009</v>
      </c>
      <c r="F20837" t="s">
        <v>3366</v>
      </c>
      <c r="G20837" s="9">
        <v>32867.14</v>
      </c>
      <c r="H20837" s="8">
        <v>8395</v>
      </c>
    </row>
    <row r="20838" spans="2:8" ht="15" customHeight="1" x14ac:dyDescent="0.4">
      <c r="B20838" t="s">
        <v>7</v>
      </c>
      <c r="C20838" t="s">
        <v>3365</v>
      </c>
      <c r="D20838" s="7">
        <f>DATE(2010,3,16)</f>
        <v>40253</v>
      </c>
      <c r="E20838" s="8">
        <f t="shared" si="341"/>
        <v>2010</v>
      </c>
      <c r="F20838" t="s">
        <v>3366</v>
      </c>
      <c r="G20838" s="9">
        <v>35000</v>
      </c>
      <c r="H20838" s="8">
        <v>9388</v>
      </c>
    </row>
    <row r="20839" spans="2:8" ht="15" customHeight="1" x14ac:dyDescent="0.4">
      <c r="B20839" t="s">
        <v>7</v>
      </c>
      <c r="C20839" t="s">
        <v>3365</v>
      </c>
      <c r="D20839" s="7">
        <f>DATE(2011,3,16)</f>
        <v>40618</v>
      </c>
      <c r="E20839" s="8">
        <f t="shared" si="341"/>
        <v>2011</v>
      </c>
      <c r="F20839" t="s">
        <v>3366</v>
      </c>
      <c r="G20839" s="9">
        <v>29251.85</v>
      </c>
      <c r="H20839" s="8">
        <v>10474</v>
      </c>
    </row>
    <row r="20840" spans="2:8" ht="15" customHeight="1" x14ac:dyDescent="0.4">
      <c r="B20840" t="s">
        <v>7</v>
      </c>
      <c r="C20840" t="s">
        <v>3365</v>
      </c>
      <c r="D20840" s="7">
        <f>DATE(2012,5,3)</f>
        <v>41032</v>
      </c>
      <c r="E20840" s="8">
        <f t="shared" si="341"/>
        <v>2012</v>
      </c>
      <c r="F20840" t="s">
        <v>3366</v>
      </c>
      <c r="G20840" s="9">
        <v>44865</v>
      </c>
      <c r="H20840" s="8">
        <v>11408</v>
      </c>
    </row>
    <row r="20841" spans="2:8" ht="15" customHeight="1" x14ac:dyDescent="0.4">
      <c r="B20841" t="s">
        <v>7</v>
      </c>
      <c r="C20841" t="s">
        <v>3367</v>
      </c>
      <c r="D20841" s="7">
        <f>DATE(2007,6,12)</f>
        <v>39245</v>
      </c>
      <c r="E20841" s="8">
        <f t="shared" si="341"/>
        <v>2007</v>
      </c>
      <c r="F20841" t="s">
        <v>3368</v>
      </c>
      <c r="G20841" s="9">
        <v>3869.89</v>
      </c>
      <c r="H20841" s="8">
        <v>6075</v>
      </c>
    </row>
    <row r="20842" spans="2:8" ht="15" customHeight="1" x14ac:dyDescent="0.4">
      <c r="B20842" t="s">
        <v>7</v>
      </c>
      <c r="C20842" t="s">
        <v>3369</v>
      </c>
      <c r="D20842" s="7">
        <f>DATE(2014,7,30)</f>
        <v>41850</v>
      </c>
      <c r="E20842" s="8">
        <f t="shared" si="341"/>
        <v>2014</v>
      </c>
      <c r="F20842" t="s">
        <v>3370</v>
      </c>
      <c r="G20842" s="9">
        <v>14828.94</v>
      </c>
      <c r="H20842" s="8">
        <v>13291</v>
      </c>
    </row>
    <row r="20843" spans="2:8" ht="15" customHeight="1" x14ac:dyDescent="0.4">
      <c r="B20843" t="s">
        <v>7</v>
      </c>
      <c r="C20843" t="s">
        <v>3371</v>
      </c>
      <c r="D20843" s="7">
        <f>DATE(2015,4,3)</f>
        <v>42097</v>
      </c>
      <c r="E20843" s="8">
        <f t="shared" si="341"/>
        <v>2015</v>
      </c>
      <c r="F20843" t="s">
        <v>3372</v>
      </c>
      <c r="G20843" s="9">
        <v>37506.239999999998</v>
      </c>
      <c r="H20843" s="8">
        <v>20297</v>
      </c>
    </row>
    <row r="20844" spans="2:8" ht="15" customHeight="1" x14ac:dyDescent="0.4">
      <c r="B20844" t="s">
        <v>7</v>
      </c>
      <c r="C20844" t="s">
        <v>3371</v>
      </c>
      <c r="D20844" s="7">
        <f>DATE(2015,4,6)</f>
        <v>42100</v>
      </c>
      <c r="E20844" s="8">
        <f t="shared" si="341"/>
        <v>2015</v>
      </c>
      <c r="F20844" t="s">
        <v>3372</v>
      </c>
      <c r="G20844" s="9">
        <v>49563.8</v>
      </c>
      <c r="H20844" s="8">
        <v>20180</v>
      </c>
    </row>
    <row r="20845" spans="2:8" ht="15" customHeight="1" x14ac:dyDescent="0.4">
      <c r="B20845" t="s">
        <v>7</v>
      </c>
      <c r="C20845" t="s">
        <v>3371</v>
      </c>
      <c r="D20845" s="7">
        <f>DATE(2017,4,24)</f>
        <v>42849</v>
      </c>
      <c r="E20845" s="8">
        <f t="shared" si="341"/>
        <v>2017</v>
      </c>
      <c r="F20845" t="s">
        <v>3372</v>
      </c>
      <c r="G20845" s="9">
        <v>45100</v>
      </c>
      <c r="H20845" s="8">
        <v>24613</v>
      </c>
    </row>
    <row r="20846" spans="2:8" ht="15" customHeight="1" x14ac:dyDescent="0.4">
      <c r="B20846" t="s">
        <v>7</v>
      </c>
      <c r="C20846" t="s">
        <v>3371</v>
      </c>
      <c r="D20846" s="7">
        <f>DATE(2017,9,1)</f>
        <v>42979</v>
      </c>
      <c r="E20846" s="8">
        <f t="shared" si="341"/>
        <v>2017</v>
      </c>
      <c r="F20846" t="s">
        <v>3372</v>
      </c>
      <c r="G20846" s="9">
        <v>35040</v>
      </c>
      <c r="H20846" s="8">
        <v>25454</v>
      </c>
    </row>
    <row r="20847" spans="2:8" ht="15" customHeight="1" x14ac:dyDescent="0.4">
      <c r="B20847" t="s">
        <v>7</v>
      </c>
      <c r="C20847" t="s">
        <v>3371</v>
      </c>
      <c r="D20847" s="7">
        <f>DATE(2017,9,14)</f>
        <v>42992</v>
      </c>
      <c r="E20847" s="8">
        <f t="shared" si="341"/>
        <v>2017</v>
      </c>
      <c r="F20847" t="s">
        <v>3372</v>
      </c>
      <c r="G20847" s="9">
        <v>43300</v>
      </c>
      <c r="H20847" s="8">
        <v>25542</v>
      </c>
    </row>
    <row r="20848" spans="2:8" ht="15" customHeight="1" x14ac:dyDescent="0.4">
      <c r="B20848" t="s">
        <v>7</v>
      </c>
      <c r="C20848" t="s">
        <v>3371</v>
      </c>
      <c r="D20848" s="7">
        <f>DATE(2009,4,1)</f>
        <v>39904</v>
      </c>
      <c r="E20848" s="8">
        <f t="shared" si="341"/>
        <v>2009</v>
      </c>
      <c r="F20848" t="s">
        <v>3372</v>
      </c>
      <c r="G20848" s="9">
        <v>30075</v>
      </c>
      <c r="H20848" s="8">
        <v>8264</v>
      </c>
    </row>
    <row r="20849" spans="2:8" ht="15" customHeight="1" x14ac:dyDescent="0.4">
      <c r="B20849" t="s">
        <v>7</v>
      </c>
      <c r="C20849" t="s">
        <v>3371</v>
      </c>
      <c r="D20849" s="7">
        <f>DATE(2011,3,17)</f>
        <v>40619</v>
      </c>
      <c r="E20849" s="8">
        <f t="shared" si="341"/>
        <v>2011</v>
      </c>
      <c r="F20849" t="s">
        <v>3372</v>
      </c>
      <c r="G20849" s="9">
        <v>39899</v>
      </c>
      <c r="H20849" s="8">
        <v>10467</v>
      </c>
    </row>
    <row r="20850" spans="2:8" ht="15" customHeight="1" x14ac:dyDescent="0.4">
      <c r="B20850" t="s">
        <v>7</v>
      </c>
      <c r="C20850" t="s">
        <v>3371</v>
      </c>
      <c r="D20850" s="7">
        <f>DATE(2011,4,21)</f>
        <v>40654</v>
      </c>
      <c r="E20850" s="8">
        <f t="shared" si="341"/>
        <v>2011</v>
      </c>
      <c r="F20850" t="s">
        <v>3372</v>
      </c>
      <c r="G20850" s="9">
        <v>19618</v>
      </c>
      <c r="H20850" s="8">
        <v>10514</v>
      </c>
    </row>
    <row r="20851" spans="2:8" ht="15" customHeight="1" x14ac:dyDescent="0.4">
      <c r="B20851" t="s">
        <v>7</v>
      </c>
      <c r="C20851" t="s">
        <v>3371</v>
      </c>
      <c r="D20851" s="7">
        <f>DATE(2011,9,13)</f>
        <v>40799</v>
      </c>
      <c r="E20851" s="8">
        <f t="shared" si="341"/>
        <v>2011</v>
      </c>
      <c r="F20851" t="s">
        <v>3372</v>
      </c>
      <c r="G20851" s="9">
        <v>30423</v>
      </c>
      <c r="H20851" s="8">
        <v>11004</v>
      </c>
    </row>
    <row r="20852" spans="2:8" ht="15" customHeight="1" x14ac:dyDescent="0.4">
      <c r="B20852" t="s">
        <v>7</v>
      </c>
      <c r="C20852" t="s">
        <v>3371</v>
      </c>
      <c r="D20852" s="7">
        <f>DATE(2011,9,29)</f>
        <v>40815</v>
      </c>
      <c r="E20852" s="8">
        <f t="shared" si="341"/>
        <v>2011</v>
      </c>
      <c r="F20852" t="s">
        <v>3372</v>
      </c>
      <c r="G20852" s="9">
        <v>36972</v>
      </c>
      <c r="H20852" s="8">
        <v>10932</v>
      </c>
    </row>
    <row r="20853" spans="2:8" ht="15" customHeight="1" x14ac:dyDescent="0.4">
      <c r="B20853" t="s">
        <v>7</v>
      </c>
      <c r="C20853" t="s">
        <v>3371</v>
      </c>
      <c r="D20853" s="7">
        <f>DATE(2012,4,1)</f>
        <v>41000</v>
      </c>
      <c r="E20853" s="8">
        <f t="shared" si="341"/>
        <v>2012</v>
      </c>
      <c r="F20853" t="s">
        <v>3372</v>
      </c>
      <c r="G20853" s="9">
        <v>41182.559999999998</v>
      </c>
      <c r="H20853" s="8">
        <v>11500</v>
      </c>
    </row>
    <row r="20854" spans="2:8" ht="15" customHeight="1" x14ac:dyDescent="0.4">
      <c r="B20854" t="s">
        <v>7</v>
      </c>
      <c r="C20854" t="s">
        <v>3371</v>
      </c>
      <c r="D20854" s="7">
        <f>DATE(2012,6,6)</f>
        <v>41066</v>
      </c>
      <c r="E20854" s="8">
        <f t="shared" si="341"/>
        <v>2012</v>
      </c>
      <c r="F20854" t="s">
        <v>3372</v>
      </c>
      <c r="G20854" s="9">
        <v>29959.24</v>
      </c>
      <c r="H20854" s="8">
        <v>11671</v>
      </c>
    </row>
    <row r="20855" spans="2:8" ht="15" customHeight="1" x14ac:dyDescent="0.4">
      <c r="B20855" t="s">
        <v>7</v>
      </c>
      <c r="C20855" t="s">
        <v>3371</v>
      </c>
      <c r="D20855" s="7">
        <f>DATE(2012,8,9)</f>
        <v>41130</v>
      </c>
      <c r="E20855" s="8">
        <f t="shared" si="341"/>
        <v>2012</v>
      </c>
      <c r="F20855" t="s">
        <v>3372</v>
      </c>
      <c r="G20855" s="9">
        <v>51755.58</v>
      </c>
      <c r="H20855" s="8">
        <v>11751</v>
      </c>
    </row>
    <row r="20856" spans="2:8" ht="15" customHeight="1" x14ac:dyDescent="0.4">
      <c r="B20856" t="s">
        <v>7</v>
      </c>
      <c r="C20856" t="s">
        <v>3371</v>
      </c>
      <c r="D20856" s="7">
        <f>DATE(2012,9,4)</f>
        <v>41156</v>
      </c>
      <c r="E20856" s="8">
        <f t="shared" si="341"/>
        <v>2012</v>
      </c>
      <c r="F20856" t="s">
        <v>3372</v>
      </c>
      <c r="G20856" s="9">
        <v>44344.54</v>
      </c>
      <c r="H20856" s="8">
        <v>11788</v>
      </c>
    </row>
    <row r="20857" spans="2:8" ht="15" customHeight="1" x14ac:dyDescent="0.4">
      <c r="B20857" t="s">
        <v>7</v>
      </c>
      <c r="C20857" t="s">
        <v>3371</v>
      </c>
      <c r="D20857" s="7">
        <f>DATE(2012,9,7)</f>
        <v>41159</v>
      </c>
      <c r="E20857" s="8">
        <f t="shared" si="341"/>
        <v>2012</v>
      </c>
      <c r="F20857" t="s">
        <v>3372</v>
      </c>
      <c r="G20857" s="9">
        <v>15681.08</v>
      </c>
      <c r="H20857" s="8">
        <v>11836</v>
      </c>
    </row>
    <row r="20858" spans="2:8" ht="15" customHeight="1" x14ac:dyDescent="0.4">
      <c r="B20858" t="s">
        <v>7</v>
      </c>
      <c r="C20858" t="s">
        <v>3371</v>
      </c>
      <c r="D20858" s="7">
        <f>DATE(2012,9,11)</f>
        <v>41163</v>
      </c>
      <c r="E20858" s="8">
        <f t="shared" si="341"/>
        <v>2012</v>
      </c>
      <c r="F20858" t="s">
        <v>3372</v>
      </c>
      <c r="G20858" s="9">
        <v>11674.41</v>
      </c>
      <c r="H20858" s="8">
        <v>11843</v>
      </c>
    </row>
    <row r="20859" spans="2:8" ht="15" customHeight="1" x14ac:dyDescent="0.4">
      <c r="B20859" t="s">
        <v>7</v>
      </c>
      <c r="C20859" t="s">
        <v>3371</v>
      </c>
      <c r="D20859" s="7">
        <f>DATE(2012,10,24)</f>
        <v>41206</v>
      </c>
      <c r="E20859" s="8">
        <f t="shared" si="341"/>
        <v>2012</v>
      </c>
      <c r="F20859" t="s">
        <v>3372</v>
      </c>
      <c r="G20859" s="9">
        <v>39994</v>
      </c>
      <c r="H20859" s="8">
        <v>11891</v>
      </c>
    </row>
    <row r="20860" spans="2:8" ht="15" customHeight="1" x14ac:dyDescent="0.4">
      <c r="B20860" t="s">
        <v>7</v>
      </c>
      <c r="C20860" t="s">
        <v>3371</v>
      </c>
      <c r="D20860" s="7">
        <f>DATE(2012,10,30)</f>
        <v>41212</v>
      </c>
      <c r="E20860" s="8">
        <f t="shared" si="341"/>
        <v>2012</v>
      </c>
      <c r="F20860" t="s">
        <v>3372</v>
      </c>
      <c r="G20860" s="9">
        <v>24368.54</v>
      </c>
      <c r="H20860" s="8">
        <v>11954</v>
      </c>
    </row>
    <row r="20861" spans="2:8" ht="15" customHeight="1" x14ac:dyDescent="0.4">
      <c r="B20861" t="s">
        <v>7</v>
      </c>
      <c r="C20861" t="s">
        <v>3371</v>
      </c>
      <c r="D20861" s="7">
        <f>DATE(2014,4,17)</f>
        <v>41746</v>
      </c>
      <c r="E20861" s="8">
        <f t="shared" si="341"/>
        <v>2014</v>
      </c>
      <c r="F20861" t="s">
        <v>3372</v>
      </c>
      <c r="G20861" s="9">
        <v>49570</v>
      </c>
      <c r="H20861" s="8">
        <v>13093</v>
      </c>
    </row>
    <row r="20862" spans="2:8" ht="15" customHeight="1" x14ac:dyDescent="0.4">
      <c r="B20862" t="s">
        <v>7</v>
      </c>
      <c r="C20862" t="s">
        <v>3371</v>
      </c>
      <c r="D20862" s="7">
        <f>DATE(2014,7,31)</f>
        <v>41851</v>
      </c>
      <c r="E20862" s="8">
        <f t="shared" si="341"/>
        <v>2014</v>
      </c>
      <c r="F20862" t="s">
        <v>3372</v>
      </c>
      <c r="G20862" s="9">
        <v>49075.7</v>
      </c>
      <c r="H20862" s="8">
        <v>13333</v>
      </c>
    </row>
    <row r="20863" spans="2:8" ht="15" customHeight="1" x14ac:dyDescent="0.4">
      <c r="B20863" t="s">
        <v>7</v>
      </c>
      <c r="C20863" t="s">
        <v>3371</v>
      </c>
      <c r="D20863" s="7">
        <f>DATE(2014,9,11)</f>
        <v>41893</v>
      </c>
      <c r="E20863" s="8">
        <f t="shared" si="341"/>
        <v>2014</v>
      </c>
      <c r="F20863" t="s">
        <v>3372</v>
      </c>
      <c r="G20863" s="9">
        <v>41150</v>
      </c>
      <c r="H20863" s="8">
        <v>13450</v>
      </c>
    </row>
    <row r="20864" spans="2:8" ht="15" customHeight="1" x14ac:dyDescent="0.4">
      <c r="B20864" t="s">
        <v>7</v>
      </c>
      <c r="C20864" t="s">
        <v>3371</v>
      </c>
      <c r="D20864" s="7">
        <f>DATE(2012,8,2)</f>
        <v>41123</v>
      </c>
      <c r="E20864" s="8">
        <f t="shared" si="341"/>
        <v>2012</v>
      </c>
      <c r="F20864" t="s">
        <v>3372</v>
      </c>
      <c r="G20864" s="9">
        <v>14943.27</v>
      </c>
      <c r="H20864" s="8">
        <v>11750</v>
      </c>
    </row>
    <row r="20865" spans="2:8" ht="15" customHeight="1" x14ac:dyDescent="0.4">
      <c r="B20865" t="s">
        <v>7</v>
      </c>
      <c r="C20865" t="s">
        <v>3371</v>
      </c>
      <c r="D20865" s="7">
        <f>DATE(2013,1,21)</f>
        <v>41295</v>
      </c>
      <c r="E20865" s="8">
        <f t="shared" si="341"/>
        <v>2013</v>
      </c>
      <c r="F20865" t="s">
        <v>3372</v>
      </c>
      <c r="G20865" s="9">
        <v>9309.7199999999993</v>
      </c>
      <c r="H20865" s="8">
        <v>12117</v>
      </c>
    </row>
    <row r="20866" spans="2:8" ht="15" customHeight="1" x14ac:dyDescent="0.4">
      <c r="B20866" t="s">
        <v>7</v>
      </c>
      <c r="C20866" t="s">
        <v>3371</v>
      </c>
      <c r="D20866" s="7">
        <f>DATE(2003,3,14)</f>
        <v>37694</v>
      </c>
      <c r="E20866" s="8">
        <f t="shared" si="341"/>
        <v>2003</v>
      </c>
      <c r="F20866" t="s">
        <v>3373</v>
      </c>
      <c r="G20866" s="9">
        <v>18825</v>
      </c>
      <c r="H20866" s="8">
        <v>317</v>
      </c>
    </row>
    <row r="20867" spans="2:8" ht="15" customHeight="1" x14ac:dyDescent="0.4">
      <c r="B20867" t="s">
        <v>7</v>
      </c>
      <c r="C20867" t="s">
        <v>3371</v>
      </c>
      <c r="D20867" s="7">
        <f>DATE(2004,5,28)</f>
        <v>38135</v>
      </c>
      <c r="E20867" s="8">
        <f t="shared" ref="E20867:E20930" si="342">YEAR(D20867)</f>
        <v>2004</v>
      </c>
      <c r="F20867" t="s">
        <v>3373</v>
      </c>
      <c r="G20867" s="9">
        <v>18780.82</v>
      </c>
      <c r="H20867" s="8">
        <v>1782</v>
      </c>
    </row>
    <row r="20868" spans="2:8" ht="15" customHeight="1" x14ac:dyDescent="0.4">
      <c r="B20868" t="s">
        <v>7</v>
      </c>
      <c r="C20868" t="s">
        <v>3371</v>
      </c>
      <c r="D20868" s="7">
        <f>DATE(2004,10,30)</f>
        <v>38290</v>
      </c>
      <c r="E20868" s="8">
        <f t="shared" si="342"/>
        <v>2004</v>
      </c>
      <c r="F20868" t="s">
        <v>3373</v>
      </c>
      <c r="G20868" s="9">
        <v>16796</v>
      </c>
      <c r="H20868" s="8">
        <v>2298</v>
      </c>
    </row>
    <row r="20869" spans="2:8" ht="15" customHeight="1" x14ac:dyDescent="0.4">
      <c r="B20869" s="3" t="s">
        <v>7</v>
      </c>
      <c r="C20869" s="3" t="s">
        <v>3374</v>
      </c>
      <c r="D20869" s="4">
        <f>DATE(2008,7,29)</f>
        <v>39658</v>
      </c>
      <c r="E20869" s="5">
        <f t="shared" si="342"/>
        <v>2008</v>
      </c>
      <c r="F20869" s="3" t="s">
        <v>3375</v>
      </c>
      <c r="G20869" s="6">
        <v>769</v>
      </c>
      <c r="H20869" s="5">
        <v>11011</v>
      </c>
    </row>
    <row r="20870" spans="2:8" ht="15" customHeight="1" x14ac:dyDescent="0.4">
      <c r="B20870" s="3" t="s">
        <v>7</v>
      </c>
      <c r="C20870" s="3" t="s">
        <v>3374</v>
      </c>
      <c r="D20870" s="4">
        <f>DATE(2009,1,9)</f>
        <v>39822</v>
      </c>
      <c r="E20870" s="5">
        <f t="shared" si="342"/>
        <v>2009</v>
      </c>
      <c r="F20870" s="3" t="s">
        <v>3375</v>
      </c>
      <c r="G20870" s="6">
        <v>714.5</v>
      </c>
      <c r="H20870" s="5">
        <v>11762</v>
      </c>
    </row>
    <row r="20871" spans="2:8" ht="15" customHeight="1" x14ac:dyDescent="0.4">
      <c r="B20871" s="3" t="s">
        <v>7</v>
      </c>
      <c r="C20871" s="3" t="s">
        <v>3376</v>
      </c>
      <c r="D20871" s="4">
        <f>DATE(2014,11,26)</f>
        <v>41969</v>
      </c>
      <c r="E20871" s="5">
        <f t="shared" si="342"/>
        <v>2014</v>
      </c>
      <c r="F20871" s="3" t="s">
        <v>3377</v>
      </c>
      <c r="G20871" s="6">
        <v>4020.42</v>
      </c>
      <c r="H20871" s="5">
        <v>20671</v>
      </c>
    </row>
    <row r="20872" spans="2:8" ht="15" customHeight="1" x14ac:dyDescent="0.4">
      <c r="B20872" s="3" t="s">
        <v>16</v>
      </c>
      <c r="C20872" s="3" t="s">
        <v>3376</v>
      </c>
      <c r="D20872" s="4">
        <f>DATE(2014,10,29)</f>
        <v>41941</v>
      </c>
      <c r="E20872" s="5">
        <f t="shared" si="342"/>
        <v>2014</v>
      </c>
      <c r="F20872" s="3" t="s">
        <v>3377</v>
      </c>
      <c r="G20872" s="6">
        <v>21740</v>
      </c>
      <c r="H20872" s="5">
        <v>20673</v>
      </c>
    </row>
    <row r="20873" spans="2:8" ht="15" customHeight="1" x14ac:dyDescent="0.4">
      <c r="B20873" s="3" t="s">
        <v>7</v>
      </c>
      <c r="C20873" s="3" t="s">
        <v>3376</v>
      </c>
      <c r="D20873" s="4">
        <f>DATE(2014,10,6)</f>
        <v>41918</v>
      </c>
      <c r="E20873" s="5">
        <f t="shared" si="342"/>
        <v>2014</v>
      </c>
      <c r="F20873" s="3" t="s">
        <v>3378</v>
      </c>
      <c r="G20873" s="6">
        <v>61560.84</v>
      </c>
      <c r="H20873" s="5">
        <v>20496</v>
      </c>
    </row>
    <row r="20874" spans="2:8" ht="15" customHeight="1" x14ac:dyDescent="0.4">
      <c r="B20874" s="3" t="s">
        <v>7</v>
      </c>
      <c r="C20874" s="3" t="s">
        <v>1651</v>
      </c>
      <c r="D20874" s="4">
        <f>DATE(2013,7,9)</f>
        <v>41464</v>
      </c>
      <c r="E20874" s="5">
        <f t="shared" si="342"/>
        <v>2013</v>
      </c>
      <c r="F20874" s="3" t="s">
        <v>3379</v>
      </c>
      <c r="G20874" s="6">
        <v>46395.47</v>
      </c>
      <c r="H20874" s="5">
        <v>5607</v>
      </c>
    </row>
    <row r="20875" spans="2:8" ht="15" customHeight="1" x14ac:dyDescent="0.4">
      <c r="B20875" s="3" t="s">
        <v>7</v>
      </c>
      <c r="C20875" s="3" t="s">
        <v>1651</v>
      </c>
      <c r="D20875" s="4">
        <f>DATE(2013,10,28)</f>
        <v>41575</v>
      </c>
      <c r="E20875" s="5">
        <f t="shared" si="342"/>
        <v>2013</v>
      </c>
      <c r="F20875" s="3" t="s">
        <v>3379</v>
      </c>
      <c r="G20875" s="6">
        <v>47987.28</v>
      </c>
      <c r="H20875" s="5">
        <v>5840</v>
      </c>
    </row>
    <row r="20876" spans="2:8" ht="15" customHeight="1" x14ac:dyDescent="0.4">
      <c r="B20876" s="3" t="s">
        <v>7</v>
      </c>
      <c r="C20876" s="3" t="s">
        <v>1651</v>
      </c>
      <c r="D20876" s="4">
        <f>DATE(2013,10,28)</f>
        <v>41575</v>
      </c>
      <c r="E20876" s="5">
        <f t="shared" si="342"/>
        <v>2013</v>
      </c>
      <c r="F20876" s="3" t="s">
        <v>3379</v>
      </c>
      <c r="G20876" s="6">
        <v>6796.16</v>
      </c>
      <c r="H20876" s="5">
        <v>5809</v>
      </c>
    </row>
    <row r="20877" spans="2:8" ht="15" customHeight="1" x14ac:dyDescent="0.4">
      <c r="B20877" s="3" t="s">
        <v>7</v>
      </c>
      <c r="C20877" s="3" t="s">
        <v>1651</v>
      </c>
      <c r="D20877" s="4">
        <f>DATE(2014,3,24)</f>
        <v>41722</v>
      </c>
      <c r="E20877" s="5">
        <f t="shared" si="342"/>
        <v>2014</v>
      </c>
      <c r="F20877" s="3" t="s">
        <v>3379</v>
      </c>
      <c r="G20877" s="6">
        <v>17350</v>
      </c>
      <c r="H20877" s="5">
        <v>6059</v>
      </c>
    </row>
    <row r="20878" spans="2:8" ht="15" customHeight="1" x14ac:dyDescent="0.4">
      <c r="B20878" s="3" t="s">
        <v>7</v>
      </c>
      <c r="C20878" s="3" t="s">
        <v>1651</v>
      </c>
      <c r="D20878" s="4">
        <f>DATE(2014,5,5)</f>
        <v>41764</v>
      </c>
      <c r="E20878" s="5">
        <f t="shared" si="342"/>
        <v>2014</v>
      </c>
      <c r="F20878" s="3" t="s">
        <v>3379</v>
      </c>
      <c r="G20878" s="6">
        <v>43238.75</v>
      </c>
      <c r="H20878" s="5">
        <v>6149</v>
      </c>
    </row>
    <row r="20879" spans="2:8" ht="15" customHeight="1" x14ac:dyDescent="0.4">
      <c r="B20879" s="3" t="s">
        <v>7</v>
      </c>
      <c r="C20879" s="3" t="s">
        <v>3380</v>
      </c>
      <c r="D20879" s="4">
        <f>DATE(2012,3,16)</f>
        <v>40984</v>
      </c>
      <c r="E20879" s="5">
        <f t="shared" si="342"/>
        <v>2012</v>
      </c>
      <c r="F20879" s="3" t="s">
        <v>3381</v>
      </c>
      <c r="G20879" s="6">
        <v>3076</v>
      </c>
      <c r="H20879" s="5">
        <v>4922</v>
      </c>
    </row>
    <row r="20880" spans="2:8" ht="15" customHeight="1" x14ac:dyDescent="0.4">
      <c r="B20880" t="s">
        <v>7</v>
      </c>
      <c r="C20880" t="s">
        <v>3382</v>
      </c>
      <c r="D20880" s="7">
        <f>DATE(2010,9,1)</f>
        <v>40422</v>
      </c>
      <c r="E20880" s="8">
        <f t="shared" si="342"/>
        <v>2010</v>
      </c>
      <c r="F20880" t="s">
        <v>3383</v>
      </c>
      <c r="G20880" s="9">
        <v>3049.79</v>
      </c>
      <c r="H20880" s="8">
        <v>10063</v>
      </c>
    </row>
    <row r="20881" spans="2:8" ht="15" customHeight="1" x14ac:dyDescent="0.4">
      <c r="B20881" s="3" t="s">
        <v>7</v>
      </c>
      <c r="C20881" s="3" t="s">
        <v>3382</v>
      </c>
      <c r="D20881" s="4">
        <f>DATE(2010,9,10)</f>
        <v>40431</v>
      </c>
      <c r="E20881" s="5">
        <f t="shared" si="342"/>
        <v>2010</v>
      </c>
      <c r="F20881" s="3" t="s">
        <v>3383</v>
      </c>
      <c r="G20881" s="6">
        <v>2207</v>
      </c>
      <c r="H20881" s="5">
        <v>14485</v>
      </c>
    </row>
    <row r="20882" spans="2:8" ht="15" customHeight="1" x14ac:dyDescent="0.4">
      <c r="B20882" s="3" t="s">
        <v>7</v>
      </c>
      <c r="C20882" s="3" t="s">
        <v>3382</v>
      </c>
      <c r="D20882" s="4">
        <f>DATE(2010,9,22)</f>
        <v>40443</v>
      </c>
      <c r="E20882" s="5">
        <f t="shared" si="342"/>
        <v>2010</v>
      </c>
      <c r="F20882" s="3" t="s">
        <v>3383</v>
      </c>
      <c r="G20882" s="6">
        <v>329</v>
      </c>
      <c r="H20882" s="5">
        <v>14536</v>
      </c>
    </row>
    <row r="20883" spans="2:8" ht="15" customHeight="1" x14ac:dyDescent="0.4">
      <c r="B20883" s="3" t="s">
        <v>7</v>
      </c>
      <c r="C20883" s="3" t="s">
        <v>3382</v>
      </c>
      <c r="D20883" s="4">
        <f>DATE(2010,11,17)</f>
        <v>40499</v>
      </c>
      <c r="E20883" s="5">
        <f t="shared" si="342"/>
        <v>2010</v>
      </c>
      <c r="F20883" s="3" t="s">
        <v>3383</v>
      </c>
      <c r="G20883" s="6">
        <v>658</v>
      </c>
      <c r="H20883" s="5">
        <v>14755</v>
      </c>
    </row>
    <row r="20884" spans="2:8" ht="15" customHeight="1" x14ac:dyDescent="0.4">
      <c r="B20884" s="3" t="s">
        <v>7</v>
      </c>
      <c r="C20884" s="3" t="s">
        <v>3382</v>
      </c>
      <c r="D20884" s="4">
        <f>DATE(2011,1,21)</f>
        <v>40564</v>
      </c>
      <c r="E20884" s="5">
        <f t="shared" si="342"/>
        <v>2011</v>
      </c>
      <c r="F20884" s="3" t="s">
        <v>3383</v>
      </c>
      <c r="G20884" s="6">
        <v>565</v>
      </c>
      <c r="H20884" s="5">
        <v>14934</v>
      </c>
    </row>
    <row r="20885" spans="2:8" ht="15" customHeight="1" x14ac:dyDescent="0.4">
      <c r="B20885" s="3" t="s">
        <v>7</v>
      </c>
      <c r="C20885" s="3" t="s">
        <v>3382</v>
      </c>
      <c r="D20885" s="4">
        <f>DATE(2011,2,25)</f>
        <v>40599</v>
      </c>
      <c r="E20885" s="5">
        <f t="shared" si="342"/>
        <v>2011</v>
      </c>
      <c r="F20885" s="3" t="s">
        <v>3383</v>
      </c>
      <c r="G20885" s="6">
        <v>1986</v>
      </c>
      <c r="H20885" s="5">
        <v>15142</v>
      </c>
    </row>
    <row r="20886" spans="2:8" ht="15" customHeight="1" x14ac:dyDescent="0.4">
      <c r="B20886" s="3" t="s">
        <v>7</v>
      </c>
      <c r="C20886" s="3" t="s">
        <v>3382</v>
      </c>
      <c r="D20886" s="4">
        <f>DATE(2011,3,31)</f>
        <v>40633</v>
      </c>
      <c r="E20886" s="5">
        <f t="shared" si="342"/>
        <v>2011</v>
      </c>
      <c r="F20886" s="3" t="s">
        <v>3383</v>
      </c>
      <c r="G20886" s="6">
        <v>658</v>
      </c>
      <c r="H20886" s="5">
        <v>15336</v>
      </c>
    </row>
    <row r="20887" spans="2:8" ht="15" customHeight="1" x14ac:dyDescent="0.4">
      <c r="B20887" s="3" t="s">
        <v>7</v>
      </c>
      <c r="C20887" s="3" t="s">
        <v>3382</v>
      </c>
      <c r="D20887" s="4">
        <f>DATE(2011,5,26)</f>
        <v>40689</v>
      </c>
      <c r="E20887" s="5">
        <f t="shared" si="342"/>
        <v>2011</v>
      </c>
      <c r="F20887" s="3" t="s">
        <v>3383</v>
      </c>
      <c r="G20887" s="6">
        <v>329</v>
      </c>
      <c r="H20887" s="5">
        <v>15627</v>
      </c>
    </row>
    <row r="20888" spans="2:8" ht="15" customHeight="1" x14ac:dyDescent="0.4">
      <c r="B20888" s="3" t="s">
        <v>7</v>
      </c>
      <c r="C20888" s="3" t="s">
        <v>3382</v>
      </c>
      <c r="D20888" s="4">
        <f>DATE(2011,6,23)</f>
        <v>40717</v>
      </c>
      <c r="E20888" s="5">
        <f t="shared" si="342"/>
        <v>2011</v>
      </c>
      <c r="F20888" s="3" t="s">
        <v>3383</v>
      </c>
      <c r="G20888" s="6">
        <v>329</v>
      </c>
      <c r="H20888" s="5">
        <v>15718</v>
      </c>
    </row>
    <row r="20889" spans="2:8" ht="15" customHeight="1" x14ac:dyDescent="0.4">
      <c r="B20889" s="3" t="s">
        <v>7</v>
      </c>
      <c r="C20889" s="3" t="s">
        <v>3382</v>
      </c>
      <c r="D20889" s="4">
        <f>DATE(2007,3,7)</f>
        <v>39148</v>
      </c>
      <c r="E20889" s="5">
        <f t="shared" si="342"/>
        <v>2007</v>
      </c>
      <c r="F20889" s="3" t="s">
        <v>3384</v>
      </c>
      <c r="G20889" s="6">
        <v>825</v>
      </c>
      <c r="H20889" s="5">
        <v>8061</v>
      </c>
    </row>
    <row r="20890" spans="2:8" ht="15" customHeight="1" x14ac:dyDescent="0.4">
      <c r="B20890" s="3" t="s">
        <v>7</v>
      </c>
      <c r="C20890" s="3" t="s">
        <v>3382</v>
      </c>
      <c r="D20890" s="4">
        <f>DATE(2005,8,29)</f>
        <v>38593</v>
      </c>
      <c r="E20890" s="5">
        <f t="shared" si="342"/>
        <v>2005</v>
      </c>
      <c r="F20890" s="3" t="s">
        <v>3385</v>
      </c>
      <c r="G20890" s="6">
        <v>375</v>
      </c>
      <c r="H20890" s="5">
        <v>5168</v>
      </c>
    </row>
    <row r="20891" spans="2:8" ht="15" customHeight="1" x14ac:dyDescent="0.4">
      <c r="B20891" s="3" t="s">
        <v>7</v>
      </c>
      <c r="C20891" s="3" t="s">
        <v>3382</v>
      </c>
      <c r="D20891" s="4">
        <f>DATE(2008,2,13)</f>
        <v>39491</v>
      </c>
      <c r="E20891" s="5">
        <f t="shared" si="342"/>
        <v>2008</v>
      </c>
      <c r="F20891" s="3" t="s">
        <v>3385</v>
      </c>
      <c r="G20891" s="6">
        <v>656.25</v>
      </c>
      <c r="H20891" s="5">
        <v>9876</v>
      </c>
    </row>
    <row r="20892" spans="2:8" ht="15" customHeight="1" x14ac:dyDescent="0.4">
      <c r="B20892" s="3" t="s">
        <v>7</v>
      </c>
      <c r="C20892" s="3" t="s">
        <v>3382</v>
      </c>
      <c r="D20892" s="4">
        <f>DATE(2008,2,19)</f>
        <v>39497</v>
      </c>
      <c r="E20892" s="5">
        <f t="shared" si="342"/>
        <v>2008</v>
      </c>
      <c r="F20892" s="3" t="s">
        <v>3385</v>
      </c>
      <c r="G20892" s="6">
        <v>1120</v>
      </c>
      <c r="H20892" s="5">
        <v>9993</v>
      </c>
    </row>
    <row r="20893" spans="2:8" ht="15" customHeight="1" x14ac:dyDescent="0.4">
      <c r="B20893" s="3" t="s">
        <v>7</v>
      </c>
      <c r="C20893" s="3" t="s">
        <v>3382</v>
      </c>
      <c r="D20893" s="4">
        <f>DATE(2008,3,11)</f>
        <v>39518</v>
      </c>
      <c r="E20893" s="5">
        <f t="shared" si="342"/>
        <v>2008</v>
      </c>
      <c r="F20893" s="3" t="s">
        <v>3385</v>
      </c>
      <c r="G20893" s="6">
        <v>556</v>
      </c>
      <c r="H20893" s="5">
        <v>10166</v>
      </c>
    </row>
    <row r="20894" spans="2:8" ht="15" customHeight="1" x14ac:dyDescent="0.4">
      <c r="B20894" s="3" t="s">
        <v>7</v>
      </c>
      <c r="C20894" s="3" t="s">
        <v>3382</v>
      </c>
      <c r="D20894" s="4">
        <f>DATE(2008,4,14)</f>
        <v>39552</v>
      </c>
      <c r="E20894" s="5">
        <f t="shared" si="342"/>
        <v>2008</v>
      </c>
      <c r="F20894" s="3" t="s">
        <v>3385</v>
      </c>
      <c r="G20894" s="6">
        <v>1431</v>
      </c>
      <c r="H20894" s="5">
        <v>10431</v>
      </c>
    </row>
    <row r="20895" spans="2:8" ht="15" customHeight="1" x14ac:dyDescent="0.4">
      <c r="B20895" s="3" t="s">
        <v>7</v>
      </c>
      <c r="C20895" s="3" t="s">
        <v>3382</v>
      </c>
      <c r="D20895" s="4">
        <f>DATE(2008,4,30)</f>
        <v>39568</v>
      </c>
      <c r="E20895" s="5">
        <f t="shared" si="342"/>
        <v>2008</v>
      </c>
      <c r="F20895" s="3" t="s">
        <v>3385</v>
      </c>
      <c r="G20895" s="6">
        <v>658</v>
      </c>
      <c r="H20895" s="5">
        <v>10591</v>
      </c>
    </row>
    <row r="20896" spans="2:8" ht="15" customHeight="1" x14ac:dyDescent="0.4">
      <c r="B20896" s="3" t="s">
        <v>7</v>
      </c>
      <c r="C20896" s="3" t="s">
        <v>3382</v>
      </c>
      <c r="D20896" s="4">
        <f>DATE(2008,5,16)</f>
        <v>39584</v>
      </c>
      <c r="E20896" s="5">
        <f t="shared" si="342"/>
        <v>2008</v>
      </c>
      <c r="F20896" s="3" t="s">
        <v>3385</v>
      </c>
      <c r="G20896" s="6">
        <v>701.72</v>
      </c>
      <c r="H20896" s="5">
        <v>10683</v>
      </c>
    </row>
    <row r="20897" spans="2:8" ht="15" customHeight="1" x14ac:dyDescent="0.4">
      <c r="B20897" s="3" t="s">
        <v>7</v>
      </c>
      <c r="C20897" s="3" t="s">
        <v>3382</v>
      </c>
      <c r="D20897" s="4">
        <f>DATE(2009,5,1)</f>
        <v>39934</v>
      </c>
      <c r="E20897" s="5">
        <f t="shared" si="342"/>
        <v>2009</v>
      </c>
      <c r="F20897" s="3" t="s">
        <v>3385</v>
      </c>
      <c r="G20897" s="6">
        <v>1986</v>
      </c>
      <c r="H20897" s="5">
        <v>12475</v>
      </c>
    </row>
    <row r="20898" spans="2:8" ht="15" customHeight="1" x14ac:dyDescent="0.4">
      <c r="B20898" s="3" t="s">
        <v>7</v>
      </c>
      <c r="C20898" s="3" t="s">
        <v>3382</v>
      </c>
      <c r="D20898" s="4">
        <f>DATE(2009,7,7)</f>
        <v>40001</v>
      </c>
      <c r="E20898" s="5">
        <f t="shared" si="342"/>
        <v>2009</v>
      </c>
      <c r="F20898" s="3" t="s">
        <v>3385</v>
      </c>
      <c r="G20898" s="6">
        <v>1112</v>
      </c>
      <c r="H20898" s="5">
        <v>12768</v>
      </c>
    </row>
    <row r="20899" spans="2:8" ht="15" customHeight="1" x14ac:dyDescent="0.4">
      <c r="B20899" s="3" t="s">
        <v>7</v>
      </c>
      <c r="C20899" s="3" t="s">
        <v>3382</v>
      </c>
      <c r="D20899" s="4">
        <f>DATE(2009,8,25)</f>
        <v>40050</v>
      </c>
      <c r="E20899" s="5">
        <f t="shared" si="342"/>
        <v>2009</v>
      </c>
      <c r="F20899" s="3" t="s">
        <v>3385</v>
      </c>
      <c r="G20899" s="6">
        <v>394.8</v>
      </c>
      <c r="H20899" s="5">
        <v>12613</v>
      </c>
    </row>
    <row r="20900" spans="2:8" ht="15" customHeight="1" x14ac:dyDescent="0.4">
      <c r="B20900" s="3" t="s">
        <v>7</v>
      </c>
      <c r="C20900" s="3" t="s">
        <v>3382</v>
      </c>
      <c r="D20900" s="4">
        <f>DATE(2010,2,9)</f>
        <v>40218</v>
      </c>
      <c r="E20900" s="5">
        <f t="shared" si="342"/>
        <v>2010</v>
      </c>
      <c r="F20900" s="3" t="s">
        <v>3385</v>
      </c>
      <c r="G20900" s="6">
        <v>1986</v>
      </c>
      <c r="H20900" s="5">
        <v>13563</v>
      </c>
    </row>
    <row r="20901" spans="2:8" ht="15" customHeight="1" x14ac:dyDescent="0.4">
      <c r="B20901" s="3" t="s">
        <v>7</v>
      </c>
      <c r="C20901" s="3" t="s">
        <v>3382</v>
      </c>
      <c r="D20901" s="4">
        <f>DATE(2010,2,17)</f>
        <v>40226</v>
      </c>
      <c r="E20901" s="5">
        <f t="shared" si="342"/>
        <v>2010</v>
      </c>
      <c r="F20901" s="3" t="s">
        <v>3385</v>
      </c>
      <c r="G20901" s="6">
        <v>556</v>
      </c>
      <c r="H20901" s="5">
        <v>13619</v>
      </c>
    </row>
    <row r="20902" spans="2:8" ht="15" customHeight="1" x14ac:dyDescent="0.4">
      <c r="B20902" s="3" t="s">
        <v>7</v>
      </c>
      <c r="C20902" s="3" t="s">
        <v>3382</v>
      </c>
      <c r="D20902" s="4">
        <f>DATE(2010,3,31)</f>
        <v>40268</v>
      </c>
      <c r="E20902" s="5">
        <f t="shared" si="342"/>
        <v>2010</v>
      </c>
      <c r="F20902" s="3" t="s">
        <v>3385</v>
      </c>
      <c r="G20902" s="6">
        <v>572.46</v>
      </c>
      <c r="H20902" s="5">
        <v>13818</v>
      </c>
    </row>
    <row r="20903" spans="2:8" ht="15" customHeight="1" x14ac:dyDescent="0.4">
      <c r="B20903" s="3" t="s">
        <v>7</v>
      </c>
      <c r="C20903" s="3" t="s">
        <v>3386</v>
      </c>
      <c r="D20903" s="4">
        <f>DATE(2005,6,24)</f>
        <v>38527</v>
      </c>
      <c r="E20903" s="5">
        <f t="shared" si="342"/>
        <v>2005</v>
      </c>
      <c r="F20903" s="3" t="s">
        <v>3387</v>
      </c>
      <c r="G20903" s="6">
        <v>2706.75</v>
      </c>
      <c r="H20903" s="5">
        <v>4911</v>
      </c>
    </row>
    <row r="20904" spans="2:8" ht="15" customHeight="1" x14ac:dyDescent="0.4">
      <c r="B20904" t="s">
        <v>7</v>
      </c>
      <c r="C20904" t="s">
        <v>3388</v>
      </c>
      <c r="D20904" s="7">
        <f>DATE(2004,1,23)</f>
        <v>38009</v>
      </c>
      <c r="E20904" s="8">
        <f t="shared" si="342"/>
        <v>2004</v>
      </c>
      <c r="F20904" t="s">
        <v>3389</v>
      </c>
      <c r="G20904" s="9">
        <v>10000</v>
      </c>
      <c r="H20904" s="8">
        <v>1117</v>
      </c>
    </row>
    <row r="20905" spans="2:8" ht="15" customHeight="1" x14ac:dyDescent="0.4">
      <c r="B20905" t="s">
        <v>7</v>
      </c>
      <c r="C20905" t="s">
        <v>3388</v>
      </c>
      <c r="D20905" s="7">
        <f>DATE(2004,1,23)</f>
        <v>38009</v>
      </c>
      <c r="E20905" s="8">
        <f t="shared" si="342"/>
        <v>2004</v>
      </c>
      <c r="F20905" t="s">
        <v>3389</v>
      </c>
      <c r="G20905" s="9">
        <v>2102.73</v>
      </c>
      <c r="H20905" s="8">
        <v>1238</v>
      </c>
    </row>
    <row r="20906" spans="2:8" ht="15" customHeight="1" x14ac:dyDescent="0.4">
      <c r="B20906" t="s">
        <v>7</v>
      </c>
      <c r="C20906" t="s">
        <v>3388</v>
      </c>
      <c r="D20906" s="7">
        <f>DATE(2004,4,14)</f>
        <v>38091</v>
      </c>
      <c r="E20906" s="8">
        <f t="shared" si="342"/>
        <v>2004</v>
      </c>
      <c r="F20906" t="s">
        <v>3389</v>
      </c>
      <c r="G20906" s="9">
        <v>2001.84</v>
      </c>
      <c r="H20906" s="8">
        <v>1668</v>
      </c>
    </row>
    <row r="20907" spans="2:8" ht="15" customHeight="1" x14ac:dyDescent="0.4">
      <c r="B20907" t="s">
        <v>7</v>
      </c>
      <c r="C20907" t="s">
        <v>3388</v>
      </c>
      <c r="D20907" s="7">
        <f>DATE(2005,2,2)</f>
        <v>38385</v>
      </c>
      <c r="E20907" s="8">
        <f t="shared" si="342"/>
        <v>2005</v>
      </c>
      <c r="F20907" t="s">
        <v>3389</v>
      </c>
      <c r="G20907" s="9">
        <v>7585.57</v>
      </c>
      <c r="H20907" s="8">
        <v>2652</v>
      </c>
    </row>
    <row r="20908" spans="2:8" ht="15" customHeight="1" x14ac:dyDescent="0.4">
      <c r="B20908" t="s">
        <v>7</v>
      </c>
      <c r="C20908" t="s">
        <v>3388</v>
      </c>
      <c r="D20908" s="7">
        <f>DATE(2005,9,25)</f>
        <v>38620</v>
      </c>
      <c r="E20908" s="8">
        <f t="shared" si="342"/>
        <v>2005</v>
      </c>
      <c r="F20908" t="s">
        <v>3389</v>
      </c>
      <c r="G20908" s="9">
        <v>10800</v>
      </c>
      <c r="H20908" s="8">
        <v>3453</v>
      </c>
    </row>
    <row r="20909" spans="2:8" ht="15" customHeight="1" x14ac:dyDescent="0.4">
      <c r="B20909" t="s">
        <v>7</v>
      </c>
      <c r="C20909" t="s">
        <v>3388</v>
      </c>
      <c r="D20909" s="7">
        <f>DATE(2006,6,15)</f>
        <v>38883</v>
      </c>
      <c r="E20909" s="8">
        <f t="shared" si="342"/>
        <v>2006</v>
      </c>
      <c r="F20909" t="s">
        <v>3389</v>
      </c>
      <c r="G20909" s="9">
        <v>5336.52</v>
      </c>
      <c r="H20909" s="8">
        <v>4703</v>
      </c>
    </row>
    <row r="20910" spans="2:8" ht="15" customHeight="1" x14ac:dyDescent="0.4">
      <c r="B20910" t="s">
        <v>7</v>
      </c>
      <c r="C20910" t="s">
        <v>3388</v>
      </c>
      <c r="D20910" s="7">
        <f>DATE(2006,6,20)</f>
        <v>38888</v>
      </c>
      <c r="E20910" s="8">
        <f t="shared" si="342"/>
        <v>2006</v>
      </c>
      <c r="F20910" t="s">
        <v>3389</v>
      </c>
      <c r="G20910" s="9">
        <v>3918.36</v>
      </c>
      <c r="H20910" s="8">
        <v>4277</v>
      </c>
    </row>
    <row r="20911" spans="2:8" ht="15" customHeight="1" x14ac:dyDescent="0.4">
      <c r="B20911" t="s">
        <v>7</v>
      </c>
      <c r="C20911" t="s">
        <v>3388</v>
      </c>
      <c r="D20911" s="7">
        <f>DATE(2006,6,22)</f>
        <v>38890</v>
      </c>
      <c r="E20911" s="8">
        <f t="shared" si="342"/>
        <v>2006</v>
      </c>
      <c r="F20911" t="s">
        <v>3389</v>
      </c>
      <c r="G20911" s="9">
        <v>5179.5</v>
      </c>
      <c r="H20911" s="8">
        <v>4280</v>
      </c>
    </row>
    <row r="20912" spans="2:8" ht="15" customHeight="1" x14ac:dyDescent="0.4">
      <c r="B20912" t="s">
        <v>7</v>
      </c>
      <c r="C20912" t="s">
        <v>3388</v>
      </c>
      <c r="D20912" s="7">
        <f>DATE(2007,1,11)</f>
        <v>39093</v>
      </c>
      <c r="E20912" s="8">
        <f t="shared" si="342"/>
        <v>2007</v>
      </c>
      <c r="F20912" t="s">
        <v>3389</v>
      </c>
      <c r="G20912" s="9">
        <v>7588.66</v>
      </c>
      <c r="H20912" s="8">
        <v>5323</v>
      </c>
    </row>
    <row r="20913" spans="2:8" ht="15" customHeight="1" x14ac:dyDescent="0.4">
      <c r="B20913" t="s">
        <v>7</v>
      </c>
      <c r="C20913" t="s">
        <v>3388</v>
      </c>
      <c r="D20913" s="7">
        <f>DATE(2007,4,1)</f>
        <v>39173</v>
      </c>
      <c r="E20913" s="8">
        <f t="shared" si="342"/>
        <v>2007</v>
      </c>
      <c r="F20913" t="s">
        <v>3389</v>
      </c>
      <c r="G20913" s="9">
        <v>750</v>
      </c>
      <c r="H20913" s="8">
        <v>5420</v>
      </c>
    </row>
    <row r="20914" spans="2:8" ht="15" customHeight="1" x14ac:dyDescent="0.4">
      <c r="B20914" t="s">
        <v>7</v>
      </c>
      <c r="C20914" t="s">
        <v>3388</v>
      </c>
      <c r="D20914" s="7">
        <f>DATE(2007,9,14)</f>
        <v>39339</v>
      </c>
      <c r="E20914" s="8">
        <f t="shared" si="342"/>
        <v>2007</v>
      </c>
      <c r="F20914" t="s">
        <v>3389</v>
      </c>
      <c r="G20914" s="9">
        <v>11900</v>
      </c>
      <c r="H20914" s="8">
        <v>6301</v>
      </c>
    </row>
    <row r="20915" spans="2:8" ht="15" customHeight="1" x14ac:dyDescent="0.4">
      <c r="B20915" t="s">
        <v>7</v>
      </c>
      <c r="C20915" t="s">
        <v>3388</v>
      </c>
      <c r="D20915" s="7">
        <f>DATE(2007,9,14)</f>
        <v>39339</v>
      </c>
      <c r="E20915" s="8">
        <f t="shared" si="342"/>
        <v>2007</v>
      </c>
      <c r="F20915" t="s">
        <v>3389</v>
      </c>
      <c r="G20915" s="9">
        <v>5990</v>
      </c>
      <c r="H20915" s="8">
        <v>6299</v>
      </c>
    </row>
    <row r="20916" spans="2:8" ht="15" customHeight="1" x14ac:dyDescent="0.4">
      <c r="B20916" t="s">
        <v>7</v>
      </c>
      <c r="C20916" t="s">
        <v>3388</v>
      </c>
      <c r="D20916" s="7">
        <f>DATE(2008,9,18)</f>
        <v>39709</v>
      </c>
      <c r="E20916" s="8">
        <f t="shared" si="342"/>
        <v>2008</v>
      </c>
      <c r="F20916" t="s">
        <v>3389</v>
      </c>
      <c r="G20916" s="9">
        <v>7500</v>
      </c>
      <c r="H20916" s="8">
        <v>7824</v>
      </c>
    </row>
    <row r="20917" spans="2:8" ht="15" customHeight="1" x14ac:dyDescent="0.4">
      <c r="B20917" t="s">
        <v>7</v>
      </c>
      <c r="C20917" t="s">
        <v>1013</v>
      </c>
      <c r="D20917" s="7">
        <f>DATE(2018,10,5)</f>
        <v>43378</v>
      </c>
      <c r="E20917" s="8">
        <f t="shared" si="342"/>
        <v>2018</v>
      </c>
      <c r="F20917" t="s">
        <v>3390</v>
      </c>
      <c r="G20917" s="9">
        <v>65020</v>
      </c>
      <c r="H20917" s="8">
        <v>27502</v>
      </c>
    </row>
    <row r="20918" spans="2:8" ht="15" customHeight="1" x14ac:dyDescent="0.4">
      <c r="B20918" t="s">
        <v>7</v>
      </c>
      <c r="C20918" t="s">
        <v>1013</v>
      </c>
      <c r="D20918" s="7">
        <f>DATE(2019,3,29)</f>
        <v>43553</v>
      </c>
      <c r="E20918" s="8">
        <f t="shared" si="342"/>
        <v>2019</v>
      </c>
      <c r="F20918" t="s">
        <v>3390</v>
      </c>
      <c r="G20918" s="9">
        <v>108484.83</v>
      </c>
      <c r="H20918" s="8">
        <v>28218</v>
      </c>
    </row>
    <row r="20919" spans="2:8" ht="15" customHeight="1" x14ac:dyDescent="0.4">
      <c r="B20919" t="s">
        <v>7</v>
      </c>
      <c r="C20919" t="s">
        <v>3391</v>
      </c>
      <c r="D20919" s="7">
        <f>DATE(2018,3,12)</f>
        <v>43171</v>
      </c>
      <c r="E20919" s="8">
        <f t="shared" si="342"/>
        <v>2018</v>
      </c>
      <c r="F20919" t="s">
        <v>3392</v>
      </c>
      <c r="G20919" s="9">
        <v>17001</v>
      </c>
      <c r="H20919" s="8">
        <v>26413</v>
      </c>
    </row>
    <row r="20920" spans="2:8" ht="15" customHeight="1" x14ac:dyDescent="0.4">
      <c r="B20920" t="s">
        <v>7</v>
      </c>
      <c r="C20920" t="s">
        <v>3391</v>
      </c>
      <c r="D20920" s="7">
        <f>DATE(2018,8,9)</f>
        <v>43321</v>
      </c>
      <c r="E20920" s="8">
        <f t="shared" si="342"/>
        <v>2018</v>
      </c>
      <c r="F20920" t="s">
        <v>3392</v>
      </c>
      <c r="G20920" s="9">
        <v>6623.93</v>
      </c>
      <c r="H20920" s="8">
        <v>27435</v>
      </c>
    </row>
    <row r="20921" spans="2:8" ht="15" customHeight="1" x14ac:dyDescent="0.4">
      <c r="B20921" t="s">
        <v>7</v>
      </c>
      <c r="C20921" t="s">
        <v>3393</v>
      </c>
      <c r="D20921" s="7">
        <f>DATE(2016,2,29)</f>
        <v>42429</v>
      </c>
      <c r="E20921" s="8">
        <f t="shared" si="342"/>
        <v>2016</v>
      </c>
      <c r="F20921" t="s">
        <v>3394</v>
      </c>
      <c r="G20921" s="9">
        <v>66598.28</v>
      </c>
      <c r="H20921" s="8">
        <v>21487</v>
      </c>
    </row>
    <row r="20922" spans="2:8" ht="15" customHeight="1" x14ac:dyDescent="0.4">
      <c r="B20922" t="s">
        <v>7</v>
      </c>
      <c r="C20922" t="s">
        <v>3393</v>
      </c>
      <c r="D20922" s="7">
        <f>DATE(2016,2,29)</f>
        <v>42429</v>
      </c>
      <c r="E20922" s="8">
        <f t="shared" si="342"/>
        <v>2016</v>
      </c>
      <c r="F20922" t="s">
        <v>3394</v>
      </c>
      <c r="G20922" s="9">
        <v>5660.86</v>
      </c>
      <c r="H20922" s="8">
        <v>22521</v>
      </c>
    </row>
    <row r="20923" spans="2:8" ht="15" customHeight="1" x14ac:dyDescent="0.4">
      <c r="B20923" t="s">
        <v>16</v>
      </c>
      <c r="C20923" t="s">
        <v>3393</v>
      </c>
      <c r="D20923" s="7">
        <f>DATE(2016,12,31)</f>
        <v>42735</v>
      </c>
      <c r="E20923" s="8">
        <f t="shared" si="342"/>
        <v>2016</v>
      </c>
      <c r="F20923" t="s">
        <v>3394</v>
      </c>
      <c r="G20923" s="9">
        <v>5660.86</v>
      </c>
      <c r="H20923" s="8">
        <v>24086</v>
      </c>
    </row>
    <row r="20924" spans="2:8" ht="15" customHeight="1" x14ac:dyDescent="0.4">
      <c r="B20924" s="3" t="s">
        <v>7</v>
      </c>
      <c r="C20924" s="3" t="s">
        <v>3393</v>
      </c>
      <c r="D20924" s="4">
        <f>DATE(2013,5,11)</f>
        <v>41405</v>
      </c>
      <c r="E20924" s="5">
        <f t="shared" si="342"/>
        <v>2013</v>
      </c>
      <c r="F20924" s="3" t="s">
        <v>3394</v>
      </c>
      <c r="G20924" s="6">
        <v>31844</v>
      </c>
      <c r="H20924" s="5">
        <v>5552</v>
      </c>
    </row>
    <row r="20925" spans="2:8" ht="15" customHeight="1" x14ac:dyDescent="0.4">
      <c r="B20925" s="3" t="s">
        <v>7</v>
      </c>
      <c r="C20925" s="3" t="s">
        <v>3393</v>
      </c>
      <c r="D20925" s="4">
        <f>DATE(2013,5,10)</f>
        <v>41404</v>
      </c>
      <c r="E20925" s="5">
        <f t="shared" si="342"/>
        <v>2013</v>
      </c>
      <c r="F20925" s="3" t="s">
        <v>3394</v>
      </c>
      <c r="G20925" s="6">
        <v>51785.74</v>
      </c>
      <c r="H20925" s="5">
        <v>5527</v>
      </c>
    </row>
    <row r="20926" spans="2:8" ht="15" customHeight="1" x14ac:dyDescent="0.4">
      <c r="B20926" s="3" t="s">
        <v>7</v>
      </c>
      <c r="C20926" s="3" t="s">
        <v>3395</v>
      </c>
      <c r="D20926" s="4">
        <f>DATE(2014,4,10)</f>
        <v>41739</v>
      </c>
      <c r="E20926" s="5">
        <f t="shared" si="342"/>
        <v>2014</v>
      </c>
      <c r="F20926" s="3" t="s">
        <v>3396</v>
      </c>
      <c r="G20926" s="6">
        <v>270211.92</v>
      </c>
      <c r="H20926" s="5">
        <v>5949</v>
      </c>
    </row>
    <row r="20927" spans="2:8" ht="15" customHeight="1" x14ac:dyDescent="0.4">
      <c r="B20927" s="3" t="s">
        <v>7</v>
      </c>
      <c r="C20927" s="3" t="s">
        <v>3395</v>
      </c>
      <c r="D20927" s="4">
        <f>DATE(2014,4,10)</f>
        <v>41739</v>
      </c>
      <c r="E20927" s="5">
        <f t="shared" si="342"/>
        <v>2014</v>
      </c>
      <c r="F20927" s="3" t="s">
        <v>3396</v>
      </c>
      <c r="G20927" s="6">
        <v>63198.87</v>
      </c>
      <c r="H20927" s="5">
        <v>5950</v>
      </c>
    </row>
    <row r="20928" spans="2:8" ht="15" customHeight="1" x14ac:dyDescent="0.4">
      <c r="B20928" s="3" t="s">
        <v>7</v>
      </c>
      <c r="C20928" s="3" t="s">
        <v>3395</v>
      </c>
      <c r="D20928" s="4">
        <f>DATE(2014,4,10)</f>
        <v>41739</v>
      </c>
      <c r="E20928" s="5">
        <f t="shared" si="342"/>
        <v>2014</v>
      </c>
      <c r="F20928" s="3" t="s">
        <v>3396</v>
      </c>
      <c r="G20928" s="6">
        <v>270588.65000000002</v>
      </c>
      <c r="H20928" s="5">
        <v>5948</v>
      </c>
    </row>
    <row r="20929" spans="2:8" ht="15" customHeight="1" x14ac:dyDescent="0.4">
      <c r="B20929" t="s">
        <v>7</v>
      </c>
      <c r="C20929" t="s">
        <v>3397</v>
      </c>
      <c r="D20929" s="7">
        <f>DATE(2016,3,29)</f>
        <v>42458</v>
      </c>
      <c r="E20929" s="8">
        <f t="shared" si="342"/>
        <v>2016</v>
      </c>
      <c r="F20929" t="s">
        <v>3398</v>
      </c>
      <c r="G20929" s="9">
        <v>58800</v>
      </c>
      <c r="H20929" s="8">
        <v>22365</v>
      </c>
    </row>
    <row r="20930" spans="2:8" ht="15" customHeight="1" x14ac:dyDescent="0.4">
      <c r="B20930" t="s">
        <v>7</v>
      </c>
      <c r="C20930" t="s">
        <v>3397</v>
      </c>
      <c r="D20930" s="7">
        <f>DATE(2006,6,20)</f>
        <v>38888</v>
      </c>
      <c r="E20930" s="8">
        <f t="shared" si="342"/>
        <v>2006</v>
      </c>
      <c r="F20930" t="s">
        <v>3398</v>
      </c>
      <c r="G20930" s="9">
        <v>11660</v>
      </c>
      <c r="H20930" s="8">
        <v>4666</v>
      </c>
    </row>
    <row r="20931" spans="2:8" ht="15" customHeight="1" x14ac:dyDescent="0.4">
      <c r="B20931" t="s">
        <v>7</v>
      </c>
      <c r="C20931" t="s">
        <v>3397</v>
      </c>
      <c r="D20931" s="7">
        <f>DATE(2007,5,21)</f>
        <v>39223</v>
      </c>
      <c r="E20931" s="8">
        <f t="shared" ref="E20931:E20994" si="343">YEAR(D20931)</f>
        <v>2007</v>
      </c>
      <c r="F20931" t="s">
        <v>3398</v>
      </c>
      <c r="G20931" s="9">
        <v>133</v>
      </c>
      <c r="H20931" s="8">
        <v>5980</v>
      </c>
    </row>
    <row r="20932" spans="2:8" ht="15" customHeight="1" x14ac:dyDescent="0.4">
      <c r="B20932" t="s">
        <v>7</v>
      </c>
      <c r="C20932" t="s">
        <v>3397</v>
      </c>
      <c r="D20932" s="7">
        <f>DATE(2012,5,2)</f>
        <v>41031</v>
      </c>
      <c r="E20932" s="8">
        <f t="shared" si="343"/>
        <v>2012</v>
      </c>
      <c r="F20932" t="s">
        <v>3398</v>
      </c>
      <c r="G20932" s="9">
        <v>6389.93</v>
      </c>
      <c r="H20932" s="8">
        <v>11571</v>
      </c>
    </row>
    <row r="20933" spans="2:8" ht="15" customHeight="1" x14ac:dyDescent="0.4">
      <c r="B20933" t="s">
        <v>7</v>
      </c>
      <c r="C20933" t="s">
        <v>3399</v>
      </c>
      <c r="D20933" s="7">
        <f>DATE(2008,5,31)</f>
        <v>39599</v>
      </c>
      <c r="E20933" s="8">
        <f t="shared" si="343"/>
        <v>2008</v>
      </c>
      <c r="F20933" t="s">
        <v>3400</v>
      </c>
      <c r="G20933" s="9">
        <v>12516.38</v>
      </c>
      <c r="H20933" s="8">
        <v>7211</v>
      </c>
    </row>
    <row r="20934" spans="2:8" ht="15" customHeight="1" x14ac:dyDescent="0.4">
      <c r="B20934" t="s">
        <v>7</v>
      </c>
      <c r="C20934" t="s">
        <v>3399</v>
      </c>
      <c r="D20934" s="7">
        <f>DATE(2008,6,4)</f>
        <v>39603</v>
      </c>
      <c r="E20934" s="8">
        <f t="shared" si="343"/>
        <v>2008</v>
      </c>
      <c r="F20934" t="s">
        <v>3400</v>
      </c>
      <c r="G20934" s="9">
        <v>27950</v>
      </c>
      <c r="H20934" s="8">
        <v>7203</v>
      </c>
    </row>
    <row r="20935" spans="2:8" ht="15" customHeight="1" x14ac:dyDescent="0.4">
      <c r="B20935" t="s">
        <v>7</v>
      </c>
      <c r="C20935" t="s">
        <v>3399</v>
      </c>
      <c r="D20935" s="7">
        <f>DATE(2009,11,10)</f>
        <v>40127</v>
      </c>
      <c r="E20935" s="8">
        <f t="shared" si="343"/>
        <v>2009</v>
      </c>
      <c r="F20935" t="s">
        <v>3400</v>
      </c>
      <c r="G20935" s="9">
        <v>10908</v>
      </c>
      <c r="H20935" s="8">
        <v>9213</v>
      </c>
    </row>
    <row r="20936" spans="2:8" ht="15" customHeight="1" x14ac:dyDescent="0.4">
      <c r="B20936" t="s">
        <v>7</v>
      </c>
      <c r="C20936" t="s">
        <v>3399</v>
      </c>
      <c r="D20936" s="7">
        <f>DATE(2011,6,24)</f>
        <v>40718</v>
      </c>
      <c r="E20936" s="8">
        <f t="shared" si="343"/>
        <v>2011</v>
      </c>
      <c r="F20936" t="s">
        <v>3400</v>
      </c>
      <c r="G20936" s="9">
        <v>11496</v>
      </c>
      <c r="H20936" s="8">
        <v>10817</v>
      </c>
    </row>
    <row r="20937" spans="2:8" ht="15" customHeight="1" x14ac:dyDescent="0.4">
      <c r="B20937" t="s">
        <v>7</v>
      </c>
      <c r="C20937" t="s">
        <v>3399</v>
      </c>
      <c r="D20937" s="7">
        <f>DATE(2013,5,20)</f>
        <v>41414</v>
      </c>
      <c r="E20937" s="8">
        <f t="shared" si="343"/>
        <v>2013</v>
      </c>
      <c r="F20937" t="s">
        <v>3400</v>
      </c>
      <c r="G20937" s="9">
        <v>11496</v>
      </c>
      <c r="H20937" s="8">
        <v>12449</v>
      </c>
    </row>
    <row r="20938" spans="2:8" ht="15" customHeight="1" x14ac:dyDescent="0.4">
      <c r="B20938" s="3" t="s">
        <v>7</v>
      </c>
      <c r="C20938" s="3" t="s">
        <v>3399</v>
      </c>
      <c r="D20938" s="4">
        <f>DATE(2008,5,30)</f>
        <v>39598</v>
      </c>
      <c r="E20938" s="5">
        <f t="shared" si="343"/>
        <v>2008</v>
      </c>
      <c r="F20938" s="3" t="s">
        <v>3400</v>
      </c>
      <c r="G20938" s="6">
        <v>281.57</v>
      </c>
      <c r="H20938" s="5">
        <v>10750</v>
      </c>
    </row>
    <row r="20939" spans="2:8" ht="15" customHeight="1" x14ac:dyDescent="0.4">
      <c r="B20939" s="3" t="s">
        <v>7</v>
      </c>
      <c r="C20939" s="3" t="s">
        <v>3399</v>
      </c>
      <c r="D20939" s="4">
        <f>DATE(2008,6,1)</f>
        <v>39600</v>
      </c>
      <c r="E20939" s="5">
        <f t="shared" si="343"/>
        <v>2008</v>
      </c>
      <c r="F20939" s="3" t="s">
        <v>3400</v>
      </c>
      <c r="G20939" s="6">
        <v>938</v>
      </c>
      <c r="H20939" s="5">
        <v>10728</v>
      </c>
    </row>
    <row r="20940" spans="2:8" ht="15" customHeight="1" x14ac:dyDescent="0.4">
      <c r="B20940" s="3" t="s">
        <v>7</v>
      </c>
      <c r="C20940" s="3" t="s">
        <v>3399</v>
      </c>
      <c r="D20940" s="4">
        <f>DATE(2012,6,1)</f>
        <v>41061</v>
      </c>
      <c r="E20940" s="5">
        <f t="shared" si="343"/>
        <v>2012</v>
      </c>
      <c r="F20940" s="3" t="s">
        <v>3400</v>
      </c>
      <c r="G20940" s="6">
        <v>143.52000000000001</v>
      </c>
      <c r="H20940" s="5">
        <v>17212</v>
      </c>
    </row>
    <row r="20941" spans="2:8" ht="15" customHeight="1" x14ac:dyDescent="0.4">
      <c r="B20941" s="3" t="s">
        <v>16</v>
      </c>
      <c r="C20941" s="3" t="s">
        <v>3399</v>
      </c>
      <c r="D20941" s="4">
        <f>DATE(2012,6,8)</f>
        <v>41068</v>
      </c>
      <c r="E20941" s="5">
        <f t="shared" si="343"/>
        <v>2012</v>
      </c>
      <c r="F20941" s="3" t="s">
        <v>3400</v>
      </c>
      <c r="G20941" s="6">
        <v>107.8</v>
      </c>
      <c r="H20941" s="5">
        <v>17249</v>
      </c>
    </row>
    <row r="20942" spans="2:8" ht="15" customHeight="1" x14ac:dyDescent="0.4">
      <c r="B20942" t="s">
        <v>7</v>
      </c>
      <c r="C20942" t="s">
        <v>3401</v>
      </c>
      <c r="D20942" s="7">
        <f>DATE(2015,3,3)</f>
        <v>42066</v>
      </c>
      <c r="E20942" s="8">
        <f t="shared" si="343"/>
        <v>2015</v>
      </c>
      <c r="F20942" t="s">
        <v>3402</v>
      </c>
      <c r="G20942" s="9">
        <v>13310.28</v>
      </c>
      <c r="H20942" s="8">
        <v>20000</v>
      </c>
    </row>
    <row r="20943" spans="2:8" ht="15" customHeight="1" x14ac:dyDescent="0.4">
      <c r="B20943" t="s">
        <v>7</v>
      </c>
      <c r="C20943" t="s">
        <v>3401</v>
      </c>
      <c r="D20943" s="7">
        <f>DATE(2015,4,23)</f>
        <v>42117</v>
      </c>
      <c r="E20943" s="8">
        <f t="shared" si="343"/>
        <v>2015</v>
      </c>
      <c r="F20943" t="s">
        <v>3402</v>
      </c>
      <c r="G20943" s="9">
        <v>14462.82</v>
      </c>
      <c r="H20943" s="8">
        <v>20399</v>
      </c>
    </row>
    <row r="20944" spans="2:8" ht="15" customHeight="1" x14ac:dyDescent="0.4">
      <c r="B20944" t="s">
        <v>7</v>
      </c>
      <c r="C20944" t="s">
        <v>3401</v>
      </c>
      <c r="D20944" s="7">
        <f>DATE(2015,8,13)</f>
        <v>42229</v>
      </c>
      <c r="E20944" s="8">
        <f t="shared" si="343"/>
        <v>2015</v>
      </c>
      <c r="F20944" t="s">
        <v>3402</v>
      </c>
      <c r="G20944" s="9">
        <v>39014.76</v>
      </c>
      <c r="H20944" s="8">
        <v>20666</v>
      </c>
    </row>
    <row r="20945" spans="2:8" ht="15" customHeight="1" x14ac:dyDescent="0.4">
      <c r="B20945" t="s">
        <v>7</v>
      </c>
      <c r="C20945" t="s">
        <v>3401</v>
      </c>
      <c r="D20945" s="7">
        <f>DATE(2003,6,5)</f>
        <v>37777</v>
      </c>
      <c r="E20945" s="8">
        <f t="shared" si="343"/>
        <v>2003</v>
      </c>
      <c r="F20945" t="s">
        <v>3402</v>
      </c>
      <c r="G20945" s="9">
        <v>21858.44</v>
      </c>
      <c r="H20945" s="8">
        <v>643</v>
      </c>
    </row>
    <row r="20946" spans="2:8" ht="15" customHeight="1" x14ac:dyDescent="0.4">
      <c r="B20946" t="s">
        <v>7</v>
      </c>
      <c r="C20946" t="s">
        <v>3401</v>
      </c>
      <c r="D20946" s="7">
        <f>DATE(2003,6,13)</f>
        <v>37785</v>
      </c>
      <c r="E20946" s="8">
        <f t="shared" si="343"/>
        <v>2003</v>
      </c>
      <c r="F20946" t="s">
        <v>3402</v>
      </c>
      <c r="G20946" s="9">
        <v>4743.45</v>
      </c>
      <c r="H20946" s="8">
        <v>665</v>
      </c>
    </row>
    <row r="20947" spans="2:8" ht="15" customHeight="1" x14ac:dyDescent="0.4">
      <c r="B20947" t="s">
        <v>7</v>
      </c>
      <c r="C20947" t="s">
        <v>3401</v>
      </c>
      <c r="D20947" s="7">
        <f>DATE(2013,6,13)</f>
        <v>41438</v>
      </c>
      <c r="E20947" s="8">
        <f t="shared" si="343"/>
        <v>2013</v>
      </c>
      <c r="F20947" t="s">
        <v>3402</v>
      </c>
      <c r="G20947" s="9">
        <v>24540.65</v>
      </c>
      <c r="H20947" s="8">
        <v>12495</v>
      </c>
    </row>
    <row r="20948" spans="2:8" ht="15" customHeight="1" x14ac:dyDescent="0.4">
      <c r="B20948" s="3" t="s">
        <v>7</v>
      </c>
      <c r="C20948" s="3" t="s">
        <v>3403</v>
      </c>
      <c r="D20948" s="4">
        <f>DATE(2005,7,11)</f>
        <v>38544</v>
      </c>
      <c r="E20948" s="5">
        <f t="shared" si="343"/>
        <v>2005</v>
      </c>
      <c r="F20948" s="3" t="s">
        <v>3404</v>
      </c>
      <c r="G20948" s="6">
        <v>430.68</v>
      </c>
      <c r="H20948" s="5">
        <v>1191</v>
      </c>
    </row>
    <row r="20949" spans="2:8" ht="15" customHeight="1" x14ac:dyDescent="0.4">
      <c r="B20949" s="3" t="s">
        <v>7</v>
      </c>
      <c r="C20949" s="3" t="s">
        <v>3403</v>
      </c>
      <c r="D20949" s="4">
        <f>DATE(2007,10,15)</f>
        <v>39370</v>
      </c>
      <c r="E20949" s="5">
        <f t="shared" si="343"/>
        <v>2007</v>
      </c>
      <c r="F20949" s="3" t="s">
        <v>3404</v>
      </c>
      <c r="G20949" s="6">
        <v>1536.62</v>
      </c>
      <c r="H20949" s="5">
        <v>2437</v>
      </c>
    </row>
    <row r="20950" spans="2:8" ht="15" customHeight="1" x14ac:dyDescent="0.4">
      <c r="B20950" s="3" t="s">
        <v>7</v>
      </c>
      <c r="C20950" s="3" t="s">
        <v>3403</v>
      </c>
      <c r="D20950" s="4">
        <f>DATE(2007,10,25)</f>
        <v>39380</v>
      </c>
      <c r="E20950" s="5">
        <f t="shared" si="343"/>
        <v>2007</v>
      </c>
      <c r="F20950" s="3" t="s">
        <v>3404</v>
      </c>
      <c r="G20950" s="6">
        <v>1741.53</v>
      </c>
      <c r="H20950" s="5">
        <v>2458</v>
      </c>
    </row>
    <row r="20951" spans="2:8" ht="15" customHeight="1" x14ac:dyDescent="0.4">
      <c r="B20951" s="3" t="s">
        <v>7</v>
      </c>
      <c r="C20951" s="3" t="s">
        <v>3403</v>
      </c>
      <c r="D20951" s="4">
        <f>DATE(2008,1,9)</f>
        <v>39456</v>
      </c>
      <c r="E20951" s="5">
        <f t="shared" si="343"/>
        <v>2008</v>
      </c>
      <c r="F20951" s="3" t="s">
        <v>3404</v>
      </c>
      <c r="G20951" s="6">
        <v>2758.27</v>
      </c>
      <c r="H20951" s="5">
        <v>2563</v>
      </c>
    </row>
    <row r="20952" spans="2:8" ht="15" customHeight="1" x14ac:dyDescent="0.4">
      <c r="B20952" s="3" t="s">
        <v>7</v>
      </c>
      <c r="C20952" s="3" t="s">
        <v>3403</v>
      </c>
      <c r="D20952" s="4">
        <f>DATE(2008,2,1)</f>
        <v>39479</v>
      </c>
      <c r="E20952" s="5">
        <f t="shared" si="343"/>
        <v>2008</v>
      </c>
      <c r="F20952" s="3" t="s">
        <v>3404</v>
      </c>
      <c r="G20952" s="6">
        <v>1469.84</v>
      </c>
      <c r="H20952" s="5">
        <v>2602</v>
      </c>
    </row>
    <row r="20953" spans="2:8" ht="15" customHeight="1" x14ac:dyDescent="0.4">
      <c r="B20953" s="3" t="s">
        <v>7</v>
      </c>
      <c r="C20953" s="3" t="s">
        <v>3403</v>
      </c>
      <c r="D20953" s="4">
        <f>DATE(2008,2,18)</f>
        <v>39496</v>
      </c>
      <c r="E20953" s="5">
        <f t="shared" si="343"/>
        <v>2008</v>
      </c>
      <c r="F20953" s="3" t="s">
        <v>3405</v>
      </c>
      <c r="G20953" s="6">
        <v>1620.84</v>
      </c>
      <c r="H20953" s="5">
        <v>2659</v>
      </c>
    </row>
    <row r="20954" spans="2:8" ht="15" customHeight="1" x14ac:dyDescent="0.4">
      <c r="B20954" s="3" t="s">
        <v>7</v>
      </c>
      <c r="C20954" s="3" t="s">
        <v>3403</v>
      </c>
      <c r="D20954" s="4">
        <f>DATE(2008,3,15)</f>
        <v>39522</v>
      </c>
      <c r="E20954" s="5">
        <f t="shared" si="343"/>
        <v>2008</v>
      </c>
      <c r="F20954" s="3" t="s">
        <v>3405</v>
      </c>
      <c r="G20954" s="6">
        <v>6762.15</v>
      </c>
      <c r="H20954" s="5">
        <v>2717</v>
      </c>
    </row>
    <row r="20955" spans="2:8" ht="15" customHeight="1" x14ac:dyDescent="0.4">
      <c r="B20955" s="3" t="s">
        <v>7</v>
      </c>
      <c r="C20955" s="3" t="s">
        <v>3403</v>
      </c>
      <c r="D20955" s="4">
        <f>DATE(2008,4,8)</f>
        <v>39546</v>
      </c>
      <c r="E20955" s="5">
        <f t="shared" si="343"/>
        <v>2008</v>
      </c>
      <c r="F20955" s="3" t="s">
        <v>3405</v>
      </c>
      <c r="G20955" s="6">
        <v>1609.36</v>
      </c>
      <c r="H20955" s="5">
        <v>2756</v>
      </c>
    </row>
    <row r="20956" spans="2:8" ht="15" customHeight="1" x14ac:dyDescent="0.4">
      <c r="B20956" s="3" t="s">
        <v>7</v>
      </c>
      <c r="C20956" s="3" t="s">
        <v>3403</v>
      </c>
      <c r="D20956" s="4">
        <f>DATE(2008,5,1)</f>
        <v>39569</v>
      </c>
      <c r="E20956" s="5">
        <f t="shared" si="343"/>
        <v>2008</v>
      </c>
      <c r="F20956" s="3" t="s">
        <v>3405</v>
      </c>
      <c r="G20956" s="6">
        <v>1832.49</v>
      </c>
      <c r="H20956" s="5">
        <v>2789</v>
      </c>
    </row>
    <row r="20957" spans="2:8" ht="15" customHeight="1" x14ac:dyDescent="0.4">
      <c r="B20957" s="3" t="s">
        <v>7</v>
      </c>
      <c r="C20957" s="3" t="s">
        <v>3403</v>
      </c>
      <c r="D20957" s="4">
        <f>DATE(2008,11,11)</f>
        <v>39763</v>
      </c>
      <c r="E20957" s="5">
        <f t="shared" si="343"/>
        <v>2008</v>
      </c>
      <c r="F20957" s="3" t="s">
        <v>3405</v>
      </c>
      <c r="G20957" s="6">
        <v>3553.45</v>
      </c>
      <c r="H20957" s="5">
        <v>3149</v>
      </c>
    </row>
    <row r="20958" spans="2:8" ht="15" customHeight="1" x14ac:dyDescent="0.4">
      <c r="B20958" s="3" t="s">
        <v>7</v>
      </c>
      <c r="C20958" s="3" t="s">
        <v>3403</v>
      </c>
      <c r="D20958" s="4">
        <f>DATE(2011,4,25)</f>
        <v>40658</v>
      </c>
      <c r="E20958" s="5">
        <f t="shared" si="343"/>
        <v>2011</v>
      </c>
      <c r="F20958" s="3" t="s">
        <v>3405</v>
      </c>
      <c r="G20958" s="6">
        <v>2586.87</v>
      </c>
      <c r="H20958" s="5">
        <v>4411</v>
      </c>
    </row>
    <row r="20959" spans="2:8" ht="15" customHeight="1" x14ac:dyDescent="0.4">
      <c r="B20959" s="3" t="s">
        <v>7</v>
      </c>
      <c r="C20959" s="3" t="s">
        <v>3403</v>
      </c>
      <c r="D20959" s="4">
        <f>DATE(2011,11,15)</f>
        <v>40862</v>
      </c>
      <c r="E20959" s="5">
        <f t="shared" si="343"/>
        <v>2011</v>
      </c>
      <c r="F20959" s="3" t="s">
        <v>3405</v>
      </c>
      <c r="G20959" s="6">
        <v>2796.33</v>
      </c>
      <c r="H20959" s="5">
        <v>4707</v>
      </c>
    </row>
    <row r="20960" spans="2:8" ht="15" customHeight="1" x14ac:dyDescent="0.4">
      <c r="B20960" s="3" t="s">
        <v>7</v>
      </c>
      <c r="C20960" s="3" t="s">
        <v>3403</v>
      </c>
      <c r="D20960" s="4">
        <f>DATE(2012,1,24)</f>
        <v>40932</v>
      </c>
      <c r="E20960" s="5">
        <f t="shared" si="343"/>
        <v>2012</v>
      </c>
      <c r="F20960" s="3" t="s">
        <v>3405</v>
      </c>
      <c r="G20960" s="6">
        <v>2650.99</v>
      </c>
      <c r="H20960" s="5">
        <v>4768</v>
      </c>
    </row>
    <row r="20961" spans="2:8" ht="15" customHeight="1" x14ac:dyDescent="0.4">
      <c r="B20961" s="3" t="s">
        <v>7</v>
      </c>
      <c r="C20961" s="3" t="s">
        <v>3403</v>
      </c>
      <c r="D20961" s="4">
        <f>DATE(2012,8,27)</f>
        <v>41148</v>
      </c>
      <c r="E20961" s="5">
        <f t="shared" si="343"/>
        <v>2012</v>
      </c>
      <c r="F20961" s="3" t="s">
        <v>3405</v>
      </c>
      <c r="G20961" s="6">
        <v>3759.91</v>
      </c>
      <c r="H20961" s="5">
        <v>5183</v>
      </c>
    </row>
    <row r="20962" spans="2:8" ht="15" customHeight="1" x14ac:dyDescent="0.4">
      <c r="B20962" s="3" t="s">
        <v>7</v>
      </c>
      <c r="C20962" s="3" t="s">
        <v>3403</v>
      </c>
      <c r="D20962" s="4">
        <f>DATE(2013,6,3)</f>
        <v>41428</v>
      </c>
      <c r="E20962" s="5">
        <f t="shared" si="343"/>
        <v>2013</v>
      </c>
      <c r="F20962" s="3" t="s">
        <v>3405</v>
      </c>
      <c r="G20962" s="6">
        <v>3276.97</v>
      </c>
      <c r="H20962" s="5">
        <v>5565</v>
      </c>
    </row>
    <row r="20963" spans="2:8" ht="15" customHeight="1" x14ac:dyDescent="0.4">
      <c r="B20963" s="3" t="s">
        <v>7</v>
      </c>
      <c r="C20963" s="3" t="s">
        <v>3403</v>
      </c>
      <c r="D20963" s="4">
        <f>DATE(2013,8,28)</f>
        <v>41514</v>
      </c>
      <c r="E20963" s="5">
        <f t="shared" si="343"/>
        <v>2013</v>
      </c>
      <c r="F20963" s="3" t="s">
        <v>3406</v>
      </c>
      <c r="G20963" s="6">
        <v>2793.46</v>
      </c>
      <c r="H20963" s="5">
        <v>5741</v>
      </c>
    </row>
    <row r="20964" spans="2:8" ht="15" customHeight="1" x14ac:dyDescent="0.4">
      <c r="B20964" t="s">
        <v>7</v>
      </c>
      <c r="C20964" t="s">
        <v>3407</v>
      </c>
      <c r="D20964" s="7">
        <f>DATE(2018,11,27)</f>
        <v>43431</v>
      </c>
      <c r="E20964" s="8">
        <f t="shared" si="343"/>
        <v>2018</v>
      </c>
      <c r="F20964" t="s">
        <v>3408</v>
      </c>
      <c r="G20964" s="9">
        <v>17935.47</v>
      </c>
      <c r="H20964" s="8">
        <v>27860</v>
      </c>
    </row>
    <row r="20965" spans="2:8" ht="15" customHeight="1" x14ac:dyDescent="0.4">
      <c r="B20965" t="s">
        <v>7</v>
      </c>
      <c r="C20965" t="s">
        <v>3409</v>
      </c>
      <c r="D20965" s="7">
        <f>DATE(2015,4,21)</f>
        <v>42115</v>
      </c>
      <c r="E20965" s="8">
        <f t="shared" si="343"/>
        <v>2015</v>
      </c>
      <c r="F20965" t="s">
        <v>3410</v>
      </c>
      <c r="G20965" s="9">
        <v>17541.900000000001</v>
      </c>
      <c r="H20965" s="8">
        <v>20212</v>
      </c>
    </row>
    <row r="20966" spans="2:8" ht="15" customHeight="1" x14ac:dyDescent="0.4">
      <c r="B20966" t="s">
        <v>7</v>
      </c>
      <c r="C20966" t="s">
        <v>3409</v>
      </c>
      <c r="D20966" s="7">
        <f>DATE(2016,4,15)</f>
        <v>42475</v>
      </c>
      <c r="E20966" s="8">
        <f t="shared" si="343"/>
        <v>2016</v>
      </c>
      <c r="F20966" t="s">
        <v>3410</v>
      </c>
      <c r="G20966" s="9">
        <v>17541.900000000001</v>
      </c>
      <c r="H20966" s="8">
        <v>22163</v>
      </c>
    </row>
    <row r="20967" spans="2:8" ht="15" customHeight="1" x14ac:dyDescent="0.4">
      <c r="B20967" t="s">
        <v>7</v>
      </c>
      <c r="C20967" t="s">
        <v>3409</v>
      </c>
      <c r="D20967" s="7">
        <f>DATE(2017,5,17)</f>
        <v>42872</v>
      </c>
      <c r="E20967" s="8">
        <f t="shared" si="343"/>
        <v>2017</v>
      </c>
      <c r="F20967" t="s">
        <v>3410</v>
      </c>
      <c r="G20967" s="9">
        <v>5205.37</v>
      </c>
      <c r="H20967" s="8">
        <v>24888</v>
      </c>
    </row>
    <row r="20968" spans="2:8" ht="15" customHeight="1" x14ac:dyDescent="0.4">
      <c r="B20968" t="s">
        <v>7</v>
      </c>
      <c r="C20968" t="s">
        <v>3409</v>
      </c>
      <c r="D20968" s="7">
        <f>DATE(2018,12,21)</f>
        <v>43455</v>
      </c>
      <c r="E20968" s="8">
        <f t="shared" si="343"/>
        <v>2018</v>
      </c>
      <c r="F20968" t="s">
        <v>3410</v>
      </c>
      <c r="G20968" s="9">
        <v>4522.6099999999997</v>
      </c>
      <c r="H20968" s="8">
        <v>28117</v>
      </c>
    </row>
    <row r="20969" spans="2:8" ht="15" customHeight="1" x14ac:dyDescent="0.4">
      <c r="B20969" t="s">
        <v>7</v>
      </c>
      <c r="C20969" t="s">
        <v>3409</v>
      </c>
      <c r="D20969" s="7">
        <f>DATE(2012,4,26)</f>
        <v>41025</v>
      </c>
      <c r="E20969" s="8">
        <f t="shared" si="343"/>
        <v>2012</v>
      </c>
      <c r="F20969" t="s">
        <v>3410</v>
      </c>
      <c r="G20969" s="9">
        <v>22086.16</v>
      </c>
      <c r="H20969" s="8">
        <v>11547</v>
      </c>
    </row>
    <row r="20970" spans="2:8" ht="15" customHeight="1" x14ac:dyDescent="0.4">
      <c r="B20970" t="s">
        <v>7</v>
      </c>
      <c r="C20970" t="s">
        <v>3409</v>
      </c>
      <c r="D20970" s="7">
        <f>DATE(2013,4,19)</f>
        <v>41383</v>
      </c>
      <c r="E20970" s="8">
        <f t="shared" si="343"/>
        <v>2013</v>
      </c>
      <c r="F20970" t="s">
        <v>3410</v>
      </c>
      <c r="G20970" s="9">
        <v>21944.74</v>
      </c>
      <c r="H20970" s="8">
        <v>12293</v>
      </c>
    </row>
    <row r="20971" spans="2:8" ht="15" customHeight="1" x14ac:dyDescent="0.4">
      <c r="B20971" t="s">
        <v>7</v>
      </c>
      <c r="C20971" t="s">
        <v>3409</v>
      </c>
      <c r="D20971" s="7">
        <f>DATE(2014,4,16)</f>
        <v>41745</v>
      </c>
      <c r="E20971" s="8">
        <f t="shared" si="343"/>
        <v>2014</v>
      </c>
      <c r="F20971" t="s">
        <v>3410</v>
      </c>
      <c r="G20971" s="9">
        <v>24113.29</v>
      </c>
      <c r="H20971" s="8">
        <v>13094</v>
      </c>
    </row>
    <row r="20972" spans="2:8" ht="15" customHeight="1" x14ac:dyDescent="0.4">
      <c r="B20972" t="s">
        <v>7</v>
      </c>
      <c r="C20972" t="s">
        <v>3411</v>
      </c>
      <c r="D20972" s="7">
        <f>DATE(2006,2,9)</f>
        <v>38757</v>
      </c>
      <c r="E20972" s="8">
        <f t="shared" si="343"/>
        <v>2006</v>
      </c>
      <c r="F20972" t="s">
        <v>3412</v>
      </c>
      <c r="G20972" s="9">
        <v>4984.75</v>
      </c>
      <c r="H20972" s="8">
        <v>4022</v>
      </c>
    </row>
    <row r="20973" spans="2:8" ht="15" customHeight="1" x14ac:dyDescent="0.4">
      <c r="B20973" t="s">
        <v>7</v>
      </c>
      <c r="C20973" t="s">
        <v>3411</v>
      </c>
      <c r="D20973" s="7">
        <f>DATE(2007,4,11)</f>
        <v>39183</v>
      </c>
      <c r="E20973" s="8">
        <f t="shared" si="343"/>
        <v>2007</v>
      </c>
      <c r="F20973" t="s">
        <v>3412</v>
      </c>
      <c r="G20973" s="9">
        <v>5319.75</v>
      </c>
      <c r="H20973" s="8">
        <v>5676</v>
      </c>
    </row>
    <row r="20974" spans="2:8" ht="15" customHeight="1" x14ac:dyDescent="0.4">
      <c r="B20974" t="s">
        <v>7</v>
      </c>
      <c r="C20974" t="s">
        <v>3411</v>
      </c>
      <c r="D20974" s="7">
        <f>DATE(2016,5,5)</f>
        <v>42495</v>
      </c>
      <c r="E20974" s="8">
        <f t="shared" si="343"/>
        <v>2016</v>
      </c>
      <c r="F20974" t="s">
        <v>3413</v>
      </c>
      <c r="G20974" s="9">
        <v>5839</v>
      </c>
      <c r="H20974" s="8">
        <v>22464</v>
      </c>
    </row>
    <row r="20975" spans="2:8" ht="15" customHeight="1" x14ac:dyDescent="0.4">
      <c r="B20975" t="s">
        <v>7</v>
      </c>
      <c r="C20975" t="s">
        <v>3411</v>
      </c>
      <c r="D20975" s="7">
        <f>DATE(2009,5,19)</f>
        <v>39952</v>
      </c>
      <c r="E20975" s="8">
        <f t="shared" si="343"/>
        <v>2009</v>
      </c>
      <c r="F20975" t="s">
        <v>3413</v>
      </c>
      <c r="G20975" s="9">
        <v>5419.75</v>
      </c>
      <c r="H20975" s="8">
        <v>8526</v>
      </c>
    </row>
    <row r="20976" spans="2:8" ht="15" customHeight="1" x14ac:dyDescent="0.4">
      <c r="B20976" t="s">
        <v>7</v>
      </c>
      <c r="C20976" t="s">
        <v>3411</v>
      </c>
      <c r="D20976" s="7">
        <f>DATE(2011,8,2)</f>
        <v>40757</v>
      </c>
      <c r="E20976" s="8">
        <f t="shared" si="343"/>
        <v>2011</v>
      </c>
      <c r="F20976" t="s">
        <v>3413</v>
      </c>
      <c r="G20976" s="9">
        <v>5790.39</v>
      </c>
      <c r="H20976" s="8">
        <v>10918</v>
      </c>
    </row>
    <row r="20977" spans="2:8" ht="15" customHeight="1" x14ac:dyDescent="0.4">
      <c r="B20977" t="s">
        <v>7</v>
      </c>
      <c r="C20977" t="s">
        <v>3411</v>
      </c>
      <c r="D20977" s="7">
        <f>DATE(2013,5,10)</f>
        <v>41404</v>
      </c>
      <c r="E20977" s="8">
        <f t="shared" si="343"/>
        <v>2013</v>
      </c>
      <c r="F20977" t="s">
        <v>3413</v>
      </c>
      <c r="G20977" s="9">
        <v>5790.44</v>
      </c>
      <c r="H20977" s="8">
        <v>12401</v>
      </c>
    </row>
    <row r="20978" spans="2:8" ht="15" customHeight="1" x14ac:dyDescent="0.4">
      <c r="B20978" t="s">
        <v>7</v>
      </c>
      <c r="C20978" t="s">
        <v>3414</v>
      </c>
      <c r="D20978" s="7">
        <f>DATE(2016,11,10)</f>
        <v>42684</v>
      </c>
      <c r="E20978" s="8">
        <f t="shared" si="343"/>
        <v>2016</v>
      </c>
      <c r="F20978" t="s">
        <v>3415</v>
      </c>
      <c r="G20978" s="9">
        <v>18100</v>
      </c>
      <c r="H20978" s="8">
        <v>23365</v>
      </c>
    </row>
    <row r="20979" spans="2:8" ht="15" customHeight="1" x14ac:dyDescent="0.4">
      <c r="B20979" t="s">
        <v>7</v>
      </c>
      <c r="C20979" t="s">
        <v>3414</v>
      </c>
      <c r="D20979" s="7">
        <f>DATE(2017,10,31)</f>
        <v>43039</v>
      </c>
      <c r="E20979" s="8">
        <f t="shared" si="343"/>
        <v>2017</v>
      </c>
      <c r="F20979" t="s">
        <v>3415</v>
      </c>
      <c r="G20979" s="9">
        <v>18529.91</v>
      </c>
      <c r="H20979" s="8">
        <v>25476</v>
      </c>
    </row>
    <row r="20980" spans="2:8" ht="15" customHeight="1" x14ac:dyDescent="0.4">
      <c r="B20980" t="s">
        <v>7</v>
      </c>
      <c r="C20980" t="s">
        <v>3414</v>
      </c>
      <c r="D20980" s="7">
        <f>DATE(2018,10,31)</f>
        <v>43404</v>
      </c>
      <c r="E20980" s="8">
        <f t="shared" si="343"/>
        <v>2018</v>
      </c>
      <c r="F20980" t="s">
        <v>3415</v>
      </c>
      <c r="G20980" s="9">
        <v>30110.37</v>
      </c>
      <c r="H20980" s="8">
        <v>27437</v>
      </c>
    </row>
    <row r="20981" spans="2:8" ht="15" customHeight="1" x14ac:dyDescent="0.4">
      <c r="B20981" t="s">
        <v>7</v>
      </c>
      <c r="C20981" t="s">
        <v>3414</v>
      </c>
      <c r="D20981" s="7">
        <f>DATE(2016,10,12)</f>
        <v>42655</v>
      </c>
      <c r="E20981" s="8">
        <f t="shared" si="343"/>
        <v>2016</v>
      </c>
      <c r="F20981" t="s">
        <v>3415</v>
      </c>
      <c r="G20981" s="9">
        <v>5683.86</v>
      </c>
      <c r="H20981" s="8">
        <v>23580</v>
      </c>
    </row>
    <row r="20982" spans="2:8" ht="15" customHeight="1" x14ac:dyDescent="0.4">
      <c r="B20982" t="s">
        <v>7</v>
      </c>
      <c r="C20982" t="s">
        <v>3414</v>
      </c>
      <c r="D20982" s="7">
        <f>DATE(2017,9,7)</f>
        <v>42985</v>
      </c>
      <c r="E20982" s="8">
        <f t="shared" si="343"/>
        <v>2017</v>
      </c>
      <c r="F20982" t="s">
        <v>3415</v>
      </c>
      <c r="G20982" s="9">
        <v>5684.37</v>
      </c>
      <c r="H20982" s="8">
        <v>25456</v>
      </c>
    </row>
    <row r="20983" spans="2:8" ht="15" customHeight="1" x14ac:dyDescent="0.4">
      <c r="B20983" t="s">
        <v>7</v>
      </c>
      <c r="C20983" t="s">
        <v>3414</v>
      </c>
      <c r="D20983" s="7">
        <f>DATE(2018,9,24)</f>
        <v>43367</v>
      </c>
      <c r="E20983" s="8">
        <f t="shared" si="343"/>
        <v>2018</v>
      </c>
      <c r="F20983" t="s">
        <v>3415</v>
      </c>
      <c r="G20983" s="9">
        <v>7750.05</v>
      </c>
      <c r="H20983" s="8">
        <v>27581</v>
      </c>
    </row>
    <row r="20984" spans="2:8" ht="15" customHeight="1" x14ac:dyDescent="0.4">
      <c r="B20984" t="s">
        <v>7</v>
      </c>
      <c r="C20984" t="s">
        <v>3414</v>
      </c>
      <c r="D20984" s="7">
        <f>DATE(2015,11,23)</f>
        <v>42331</v>
      </c>
      <c r="E20984" s="8">
        <f t="shared" si="343"/>
        <v>2015</v>
      </c>
      <c r="F20984" t="s">
        <v>3416</v>
      </c>
      <c r="G20984" s="9">
        <v>12600</v>
      </c>
      <c r="H20984" s="8">
        <v>21572</v>
      </c>
    </row>
    <row r="20985" spans="2:8" ht="15" customHeight="1" x14ac:dyDescent="0.4">
      <c r="B20985" t="s">
        <v>7</v>
      </c>
      <c r="C20985" t="s">
        <v>3414</v>
      </c>
      <c r="D20985" s="7">
        <f>DATE(2015,11,23)</f>
        <v>42331</v>
      </c>
      <c r="E20985" s="8">
        <f t="shared" si="343"/>
        <v>2015</v>
      </c>
      <c r="F20985" t="s">
        <v>3416</v>
      </c>
      <c r="G20985" s="9">
        <v>2500</v>
      </c>
      <c r="H20985" s="8">
        <v>21573</v>
      </c>
    </row>
    <row r="20986" spans="2:8" ht="15" customHeight="1" x14ac:dyDescent="0.4">
      <c r="B20986" t="s">
        <v>7</v>
      </c>
      <c r="C20986" t="s">
        <v>3414</v>
      </c>
      <c r="D20986" s="7">
        <f>DATE(2015,6,3)</f>
        <v>42158</v>
      </c>
      <c r="E20986" s="8">
        <f t="shared" si="343"/>
        <v>2015</v>
      </c>
      <c r="F20986" t="s">
        <v>3417</v>
      </c>
      <c r="G20986" s="9">
        <v>11835</v>
      </c>
      <c r="H20986" s="8">
        <v>20461</v>
      </c>
    </row>
    <row r="20987" spans="2:8" ht="15" customHeight="1" x14ac:dyDescent="0.4">
      <c r="B20987" t="s">
        <v>7</v>
      </c>
      <c r="C20987" t="s">
        <v>3414</v>
      </c>
      <c r="D20987" s="7">
        <f>DATE(2015,6,2)</f>
        <v>42157</v>
      </c>
      <c r="E20987" s="8">
        <f t="shared" si="343"/>
        <v>2015</v>
      </c>
      <c r="F20987" t="s">
        <v>3417</v>
      </c>
      <c r="G20987" s="9">
        <v>1990</v>
      </c>
      <c r="H20987" s="8">
        <v>20737</v>
      </c>
    </row>
    <row r="20988" spans="2:8" ht="15" customHeight="1" x14ac:dyDescent="0.4">
      <c r="B20988" t="s">
        <v>7</v>
      </c>
      <c r="C20988" t="s">
        <v>3414</v>
      </c>
      <c r="D20988" s="7">
        <f>DATE(2015,6,3)</f>
        <v>42158</v>
      </c>
      <c r="E20988" s="8">
        <f t="shared" si="343"/>
        <v>2015</v>
      </c>
      <c r="F20988" t="s">
        <v>3417</v>
      </c>
      <c r="G20988" s="9">
        <v>28000</v>
      </c>
      <c r="H20988" s="8">
        <v>20462</v>
      </c>
    </row>
    <row r="20989" spans="2:8" ht="15" customHeight="1" x14ac:dyDescent="0.4">
      <c r="B20989" t="s">
        <v>7</v>
      </c>
      <c r="C20989" t="s">
        <v>3414</v>
      </c>
      <c r="D20989" s="7">
        <f>DATE(2015,5,6)</f>
        <v>42130</v>
      </c>
      <c r="E20989" s="8">
        <f t="shared" si="343"/>
        <v>2015</v>
      </c>
      <c r="F20989" t="s">
        <v>3417</v>
      </c>
      <c r="G20989" s="9">
        <v>5100.08</v>
      </c>
      <c r="H20989" s="8">
        <v>20374</v>
      </c>
    </row>
    <row r="20990" spans="2:8" ht="15" customHeight="1" x14ac:dyDescent="0.4">
      <c r="B20990" t="s">
        <v>7</v>
      </c>
      <c r="C20990" t="s">
        <v>3414</v>
      </c>
      <c r="D20990" s="7">
        <f>DATE(2015,1,5)</f>
        <v>42009</v>
      </c>
      <c r="E20990" s="8">
        <f t="shared" si="343"/>
        <v>2015</v>
      </c>
      <c r="F20990" t="s">
        <v>3417</v>
      </c>
      <c r="G20990" s="9">
        <v>62610</v>
      </c>
      <c r="H20990" s="8">
        <v>13647</v>
      </c>
    </row>
    <row r="20991" spans="2:8" ht="15" customHeight="1" x14ac:dyDescent="0.4">
      <c r="B20991" t="s">
        <v>7</v>
      </c>
      <c r="C20991" t="s">
        <v>3414</v>
      </c>
      <c r="D20991" s="7">
        <f>DATE(2014,6,19)</f>
        <v>41809</v>
      </c>
      <c r="E20991" s="8">
        <f t="shared" si="343"/>
        <v>2014</v>
      </c>
      <c r="F20991" t="s">
        <v>3417</v>
      </c>
      <c r="G20991" s="9">
        <v>7510.98</v>
      </c>
      <c r="H20991" s="8">
        <v>13255</v>
      </c>
    </row>
    <row r="20992" spans="2:8" ht="15" customHeight="1" x14ac:dyDescent="0.4">
      <c r="B20992" s="3" t="s">
        <v>7</v>
      </c>
      <c r="C20992" s="3" t="s">
        <v>3418</v>
      </c>
      <c r="D20992" s="4">
        <f>DATE(2008,4,8)</f>
        <v>39546</v>
      </c>
      <c r="E20992" s="5">
        <f t="shared" si="343"/>
        <v>2008</v>
      </c>
      <c r="F20992" s="3" t="s">
        <v>3419</v>
      </c>
      <c r="G20992" s="6">
        <v>380</v>
      </c>
      <c r="H20992" s="5">
        <v>10408</v>
      </c>
    </row>
    <row r="20993" spans="2:8" ht="15" customHeight="1" x14ac:dyDescent="0.4">
      <c r="B20993" s="3" t="s">
        <v>7</v>
      </c>
      <c r="C20993" s="3" t="s">
        <v>3418</v>
      </c>
      <c r="D20993" s="4">
        <f>DATE(2013,3,5)</f>
        <v>41338</v>
      </c>
      <c r="E20993" s="5">
        <f t="shared" si="343"/>
        <v>2013</v>
      </c>
      <c r="F20993" s="3" t="s">
        <v>3419</v>
      </c>
      <c r="G20993" s="6">
        <v>3584</v>
      </c>
      <c r="H20993" s="5">
        <v>18224</v>
      </c>
    </row>
    <row r="20994" spans="2:8" ht="15" customHeight="1" x14ac:dyDescent="0.4">
      <c r="B20994" t="s">
        <v>7</v>
      </c>
      <c r="C20994" t="s">
        <v>3420</v>
      </c>
      <c r="D20994" s="7">
        <f>DATE(2015,12,7)</f>
        <v>42345</v>
      </c>
      <c r="E20994" s="8">
        <f t="shared" si="343"/>
        <v>2015</v>
      </c>
      <c r="F20994" t="s">
        <v>3421</v>
      </c>
      <c r="G20994" s="9">
        <v>913.19</v>
      </c>
      <c r="H20994" s="8">
        <v>21721</v>
      </c>
    </row>
    <row r="20995" spans="2:8" ht="15" customHeight="1" x14ac:dyDescent="0.4">
      <c r="B20995" t="s">
        <v>7</v>
      </c>
      <c r="C20995" t="s">
        <v>3420</v>
      </c>
      <c r="D20995" s="7">
        <f>DATE(2018,3,7)</f>
        <v>43166</v>
      </c>
      <c r="E20995" s="8">
        <f t="shared" ref="E20995:E21058" si="344">YEAR(D20995)</f>
        <v>2018</v>
      </c>
      <c r="F20995" t="s">
        <v>3421</v>
      </c>
      <c r="G20995" s="9">
        <v>8623.9</v>
      </c>
      <c r="H20995" s="8">
        <v>26576</v>
      </c>
    </row>
    <row r="20996" spans="2:8" ht="15" customHeight="1" x14ac:dyDescent="0.4">
      <c r="B20996" t="s">
        <v>7</v>
      </c>
      <c r="C20996" t="s">
        <v>3420</v>
      </c>
      <c r="D20996" s="7">
        <f>DATE(2018,6,6)</f>
        <v>43257</v>
      </c>
      <c r="E20996" s="8">
        <f t="shared" si="344"/>
        <v>2018</v>
      </c>
      <c r="F20996" t="s">
        <v>3421</v>
      </c>
      <c r="G20996" s="9">
        <v>7497.85</v>
      </c>
      <c r="H20996" s="8">
        <v>27151</v>
      </c>
    </row>
    <row r="20997" spans="2:8" ht="15" customHeight="1" x14ac:dyDescent="0.4">
      <c r="B20997" t="s">
        <v>7</v>
      </c>
      <c r="C20997" t="s">
        <v>3420</v>
      </c>
      <c r="D20997" s="7">
        <f>DATE(2008,1,23)</f>
        <v>39470</v>
      </c>
      <c r="E20997" s="8">
        <f t="shared" si="344"/>
        <v>2008</v>
      </c>
      <c r="F20997" t="s">
        <v>3421</v>
      </c>
      <c r="G20997" s="9">
        <v>409</v>
      </c>
      <c r="H20997" s="8">
        <v>6845</v>
      </c>
    </row>
    <row r="20998" spans="2:8" ht="15" customHeight="1" x14ac:dyDescent="0.4">
      <c r="B20998" t="s">
        <v>7</v>
      </c>
      <c r="C20998" t="s">
        <v>3420</v>
      </c>
      <c r="D20998" s="7">
        <f>DATE(2009,12,14)</f>
        <v>40161</v>
      </c>
      <c r="E20998" s="8">
        <f t="shared" si="344"/>
        <v>2009</v>
      </c>
      <c r="F20998" t="s">
        <v>3421</v>
      </c>
      <c r="G20998" s="9">
        <v>84</v>
      </c>
      <c r="H20998" s="8">
        <v>9311</v>
      </c>
    </row>
    <row r="20999" spans="2:8" ht="15" customHeight="1" x14ac:dyDescent="0.4">
      <c r="B20999" t="s">
        <v>7</v>
      </c>
      <c r="C20999" t="s">
        <v>3420</v>
      </c>
      <c r="D20999" s="7">
        <f>DATE(2010,8,9)</f>
        <v>40399</v>
      </c>
      <c r="E20999" s="8">
        <f t="shared" si="344"/>
        <v>2010</v>
      </c>
      <c r="F20999" t="s">
        <v>3421</v>
      </c>
      <c r="G20999" s="9">
        <v>1176.5</v>
      </c>
      <c r="H20999" s="8">
        <v>10009</v>
      </c>
    </row>
    <row r="21000" spans="2:8" ht="15" customHeight="1" x14ac:dyDescent="0.4">
      <c r="B21000" t="s">
        <v>7</v>
      </c>
      <c r="C21000" t="s">
        <v>3420</v>
      </c>
      <c r="D21000" s="7">
        <f>DATE(2003,3,15)</f>
        <v>37695</v>
      </c>
      <c r="E21000" s="8">
        <f t="shared" si="344"/>
        <v>2003</v>
      </c>
      <c r="F21000" t="s">
        <v>3422</v>
      </c>
      <c r="G21000" s="9">
        <v>4697.3599999999997</v>
      </c>
      <c r="H21000" s="8">
        <v>375</v>
      </c>
    </row>
    <row r="21001" spans="2:8" ht="15" customHeight="1" x14ac:dyDescent="0.4">
      <c r="B21001" t="s">
        <v>7</v>
      </c>
      <c r="C21001" t="s">
        <v>3423</v>
      </c>
      <c r="D21001" s="7">
        <f>DATE(2015,6,19)</f>
        <v>42174</v>
      </c>
      <c r="E21001" s="8">
        <f t="shared" si="344"/>
        <v>2015</v>
      </c>
      <c r="F21001" t="s">
        <v>3424</v>
      </c>
      <c r="G21001" s="9">
        <v>53906.66</v>
      </c>
      <c r="H21001" s="8">
        <v>20434</v>
      </c>
    </row>
    <row r="21002" spans="2:8" ht="15" customHeight="1" x14ac:dyDescent="0.4">
      <c r="B21002" t="s">
        <v>7</v>
      </c>
      <c r="C21002" t="s">
        <v>3423</v>
      </c>
      <c r="D21002" s="7">
        <f>DATE(2015,11,17)</f>
        <v>42325</v>
      </c>
      <c r="E21002" s="8">
        <f t="shared" si="344"/>
        <v>2015</v>
      </c>
      <c r="F21002" t="s">
        <v>3424</v>
      </c>
      <c r="G21002" s="9">
        <v>23006.38</v>
      </c>
      <c r="H21002" s="8">
        <v>21622</v>
      </c>
    </row>
    <row r="21003" spans="2:8" ht="15" customHeight="1" x14ac:dyDescent="0.4">
      <c r="B21003" t="s">
        <v>16</v>
      </c>
      <c r="C21003" t="s">
        <v>3423</v>
      </c>
      <c r="D21003" s="7">
        <f>DATE(2015,11,18)</f>
        <v>42326</v>
      </c>
      <c r="E21003" s="8">
        <f t="shared" si="344"/>
        <v>2015</v>
      </c>
      <c r="F21003" t="s">
        <v>3424</v>
      </c>
      <c r="G21003" s="9">
        <v>20918.75</v>
      </c>
      <c r="H21003" s="8">
        <v>21666</v>
      </c>
    </row>
    <row r="21004" spans="2:8" ht="15" customHeight="1" x14ac:dyDescent="0.4">
      <c r="B21004" s="3" t="s">
        <v>7</v>
      </c>
      <c r="C21004" s="3" t="s">
        <v>3425</v>
      </c>
      <c r="D21004" s="4">
        <f>DATE(2012,8,27)</f>
        <v>41148</v>
      </c>
      <c r="E21004" s="5">
        <f t="shared" si="344"/>
        <v>2012</v>
      </c>
      <c r="F21004" s="3" t="s">
        <v>3426</v>
      </c>
      <c r="G21004" s="6">
        <v>3957.58</v>
      </c>
      <c r="H21004" s="5">
        <v>5184</v>
      </c>
    </row>
    <row r="21005" spans="2:8" ht="15" customHeight="1" x14ac:dyDescent="0.4">
      <c r="B21005" s="3" t="s">
        <v>7</v>
      </c>
      <c r="C21005" s="3" t="s">
        <v>3425</v>
      </c>
      <c r="D21005" s="4">
        <f>DATE(2012,10,18)</f>
        <v>41200</v>
      </c>
      <c r="E21005" s="5">
        <f t="shared" si="344"/>
        <v>2012</v>
      </c>
      <c r="F21005" s="3" t="s">
        <v>3426</v>
      </c>
      <c r="G21005" s="6">
        <v>3076.42</v>
      </c>
      <c r="H21005" s="5">
        <v>5208</v>
      </c>
    </row>
    <row r="21006" spans="2:8" ht="15" customHeight="1" x14ac:dyDescent="0.4">
      <c r="B21006" s="3" t="s">
        <v>16</v>
      </c>
      <c r="C21006" s="3" t="s">
        <v>3425</v>
      </c>
      <c r="D21006" s="4">
        <f>DATE(2012,11,16)</f>
        <v>41229</v>
      </c>
      <c r="E21006" s="5">
        <f t="shared" si="344"/>
        <v>2012</v>
      </c>
      <c r="F21006" s="3" t="s">
        <v>3426</v>
      </c>
      <c r="G21006" s="6">
        <v>215.65</v>
      </c>
      <c r="H21006" s="5">
        <v>5314</v>
      </c>
    </row>
    <row r="21007" spans="2:8" ht="15" customHeight="1" x14ac:dyDescent="0.4">
      <c r="B21007" t="s">
        <v>7</v>
      </c>
      <c r="C21007" t="s">
        <v>3427</v>
      </c>
      <c r="D21007" s="7">
        <f>DATE(2010,9,13)</f>
        <v>40434</v>
      </c>
      <c r="E21007" s="8">
        <f t="shared" si="344"/>
        <v>2010</v>
      </c>
      <c r="F21007" t="s">
        <v>3428</v>
      </c>
      <c r="G21007" s="9">
        <v>500</v>
      </c>
      <c r="H21007" s="8">
        <v>10047</v>
      </c>
    </row>
    <row r="21008" spans="2:8" ht="15" customHeight="1" x14ac:dyDescent="0.4">
      <c r="B21008" t="s">
        <v>16</v>
      </c>
      <c r="C21008" t="s">
        <v>3427</v>
      </c>
      <c r="D21008" s="7">
        <f>DATE(2010,11,3)</f>
        <v>40485</v>
      </c>
      <c r="E21008" s="8">
        <f t="shared" si="344"/>
        <v>2010</v>
      </c>
      <c r="F21008" t="s">
        <v>3428</v>
      </c>
      <c r="G21008" s="9">
        <v>500</v>
      </c>
      <c r="H21008" s="8">
        <v>10251</v>
      </c>
    </row>
    <row r="21009" spans="2:8" ht="15" customHeight="1" x14ac:dyDescent="0.4">
      <c r="B21009" t="s">
        <v>7</v>
      </c>
      <c r="C21009" t="s">
        <v>3429</v>
      </c>
      <c r="D21009" s="7">
        <f>DATE(2016,3,1)</f>
        <v>42430</v>
      </c>
      <c r="E21009" s="8">
        <f t="shared" si="344"/>
        <v>2016</v>
      </c>
      <c r="F21009" t="s">
        <v>3430</v>
      </c>
      <c r="G21009" s="9">
        <v>843.16</v>
      </c>
      <c r="H21009" s="8">
        <v>22244</v>
      </c>
    </row>
    <row r="21010" spans="2:8" ht="15" customHeight="1" x14ac:dyDescent="0.4">
      <c r="B21010" t="s">
        <v>7</v>
      </c>
      <c r="C21010" t="s">
        <v>3429</v>
      </c>
      <c r="D21010" s="7">
        <f>DATE(2010,12,20)</f>
        <v>40532</v>
      </c>
      <c r="E21010" s="8">
        <f t="shared" si="344"/>
        <v>2010</v>
      </c>
      <c r="F21010" t="s">
        <v>3430</v>
      </c>
      <c r="G21010" s="9">
        <v>3499</v>
      </c>
      <c r="H21010" s="8">
        <v>10320</v>
      </c>
    </row>
    <row r="21011" spans="2:8" ht="15" customHeight="1" x14ac:dyDescent="0.4">
      <c r="B21011" t="s">
        <v>7</v>
      </c>
      <c r="C21011" t="s">
        <v>3429</v>
      </c>
      <c r="D21011" s="7">
        <f>DATE(2011,1,10)</f>
        <v>40553</v>
      </c>
      <c r="E21011" s="8">
        <f t="shared" si="344"/>
        <v>2011</v>
      </c>
      <c r="F21011" t="s">
        <v>3430</v>
      </c>
      <c r="G21011" s="9">
        <v>4499</v>
      </c>
      <c r="H21011" s="8">
        <v>10355</v>
      </c>
    </row>
    <row r="21012" spans="2:8" ht="15" customHeight="1" x14ac:dyDescent="0.4">
      <c r="B21012" t="s">
        <v>7</v>
      </c>
      <c r="C21012" t="s">
        <v>3429</v>
      </c>
      <c r="D21012" s="7">
        <f>DATE(2011,12,5)</f>
        <v>40882</v>
      </c>
      <c r="E21012" s="8">
        <f t="shared" si="344"/>
        <v>2011</v>
      </c>
      <c r="F21012" t="s">
        <v>3430</v>
      </c>
      <c r="G21012" s="9">
        <v>9435</v>
      </c>
      <c r="H21012" s="8">
        <v>11171</v>
      </c>
    </row>
    <row r="21013" spans="2:8" ht="15" customHeight="1" x14ac:dyDescent="0.4">
      <c r="B21013" t="s">
        <v>7</v>
      </c>
      <c r="C21013" t="s">
        <v>3429</v>
      </c>
      <c r="D21013" s="7">
        <f>DATE(2013,2,19)</f>
        <v>41324</v>
      </c>
      <c r="E21013" s="8">
        <f t="shared" si="344"/>
        <v>2013</v>
      </c>
      <c r="F21013" t="s">
        <v>3430</v>
      </c>
      <c r="G21013" s="9">
        <v>16237.82</v>
      </c>
      <c r="H21013" s="8">
        <v>12195</v>
      </c>
    </row>
    <row r="21014" spans="2:8" ht="15" customHeight="1" x14ac:dyDescent="0.4">
      <c r="B21014" t="s">
        <v>7</v>
      </c>
      <c r="C21014" t="s">
        <v>3429</v>
      </c>
      <c r="D21014" s="7">
        <f>DATE(2003,2,4)</f>
        <v>37656</v>
      </c>
      <c r="E21014" s="8">
        <f t="shared" si="344"/>
        <v>2003</v>
      </c>
      <c r="F21014" t="s">
        <v>3430</v>
      </c>
      <c r="G21014" s="9">
        <v>12497.25</v>
      </c>
      <c r="H21014" s="8">
        <v>122</v>
      </c>
    </row>
    <row r="21015" spans="2:8" ht="15" customHeight="1" x14ac:dyDescent="0.4">
      <c r="B21015" t="s">
        <v>7</v>
      </c>
      <c r="C21015" t="s">
        <v>3429</v>
      </c>
      <c r="D21015" s="7">
        <f>DATE(2003,12,23)</f>
        <v>37978</v>
      </c>
      <c r="E21015" s="8">
        <f t="shared" si="344"/>
        <v>2003</v>
      </c>
      <c r="F21015" t="s">
        <v>3430</v>
      </c>
      <c r="G21015" s="9">
        <v>5584.5</v>
      </c>
      <c r="H21015" s="8">
        <v>1098</v>
      </c>
    </row>
    <row r="21016" spans="2:8" ht="15" customHeight="1" x14ac:dyDescent="0.4">
      <c r="B21016" t="s">
        <v>7</v>
      </c>
      <c r="C21016" t="s">
        <v>3429</v>
      </c>
      <c r="D21016" s="7">
        <f>DATE(2004,2,17)</f>
        <v>38034</v>
      </c>
      <c r="E21016" s="8">
        <f t="shared" si="344"/>
        <v>2004</v>
      </c>
      <c r="F21016" t="s">
        <v>3430</v>
      </c>
      <c r="G21016" s="9">
        <v>985.5</v>
      </c>
      <c r="H21016" s="8">
        <v>1380</v>
      </c>
    </row>
    <row r="21017" spans="2:8" ht="15" customHeight="1" x14ac:dyDescent="0.4">
      <c r="B21017" t="s">
        <v>7</v>
      </c>
      <c r="C21017" t="s">
        <v>3429</v>
      </c>
      <c r="D21017" s="7">
        <f>DATE(2005,1,5)</f>
        <v>38357</v>
      </c>
      <c r="E21017" s="8">
        <f t="shared" si="344"/>
        <v>2005</v>
      </c>
      <c r="F21017" t="s">
        <v>3430</v>
      </c>
      <c r="G21017" s="9">
        <v>5561.5</v>
      </c>
      <c r="H21017" s="8">
        <v>2517</v>
      </c>
    </row>
    <row r="21018" spans="2:8" ht="15" customHeight="1" x14ac:dyDescent="0.4">
      <c r="B21018" t="s">
        <v>7</v>
      </c>
      <c r="C21018" t="s">
        <v>3429</v>
      </c>
      <c r="D21018" s="7">
        <f>DATE(2008,2,22)</f>
        <v>39500</v>
      </c>
      <c r="E21018" s="8">
        <f t="shared" si="344"/>
        <v>2008</v>
      </c>
      <c r="F21018" t="s">
        <v>3430</v>
      </c>
      <c r="G21018" s="9">
        <v>7828</v>
      </c>
      <c r="H21018" s="8">
        <v>7029</v>
      </c>
    </row>
    <row r="21019" spans="2:8" ht="15" customHeight="1" x14ac:dyDescent="0.4">
      <c r="B21019" t="s">
        <v>7</v>
      </c>
      <c r="C21019" t="s">
        <v>3429</v>
      </c>
      <c r="D21019" s="7">
        <f>DATE(2009,1,16)</f>
        <v>39829</v>
      </c>
      <c r="E21019" s="8">
        <f t="shared" si="344"/>
        <v>2009</v>
      </c>
      <c r="F21019" t="s">
        <v>3430</v>
      </c>
      <c r="G21019" s="9">
        <v>15264</v>
      </c>
      <c r="H21019" s="8">
        <v>8190</v>
      </c>
    </row>
    <row r="21020" spans="2:8" ht="15" customHeight="1" x14ac:dyDescent="0.4">
      <c r="B21020" t="s">
        <v>7</v>
      </c>
      <c r="C21020" t="s">
        <v>3429</v>
      </c>
      <c r="D21020" s="7">
        <f>DATE(2009,1,30)</f>
        <v>39843</v>
      </c>
      <c r="E21020" s="8">
        <f t="shared" si="344"/>
        <v>2009</v>
      </c>
      <c r="F21020" t="s">
        <v>3430</v>
      </c>
      <c r="G21020" s="9">
        <v>10470</v>
      </c>
      <c r="H21020" s="8">
        <v>8266</v>
      </c>
    </row>
    <row r="21021" spans="2:8" ht="15" customHeight="1" x14ac:dyDescent="0.4">
      <c r="B21021" t="s">
        <v>7</v>
      </c>
      <c r="C21021" t="s">
        <v>3429</v>
      </c>
      <c r="D21021" s="7">
        <f>DATE(2009,12,4)</f>
        <v>40151</v>
      </c>
      <c r="E21021" s="8">
        <f t="shared" si="344"/>
        <v>2009</v>
      </c>
      <c r="F21021" t="s">
        <v>3430</v>
      </c>
      <c r="G21021" s="9">
        <v>10832</v>
      </c>
      <c r="H21021" s="8">
        <v>9284</v>
      </c>
    </row>
    <row r="21022" spans="2:8" ht="15" customHeight="1" x14ac:dyDescent="0.4">
      <c r="B21022" s="3" t="s">
        <v>7</v>
      </c>
      <c r="C21022" s="3" t="s">
        <v>3429</v>
      </c>
      <c r="D21022" s="4">
        <f>DATE(2003,3,11)</f>
        <v>37691</v>
      </c>
      <c r="E21022" s="5">
        <f t="shared" si="344"/>
        <v>2003</v>
      </c>
      <c r="F21022" s="3" t="s">
        <v>3430</v>
      </c>
      <c r="G21022" s="6">
        <v>2558</v>
      </c>
      <c r="H21022" s="5">
        <v>432</v>
      </c>
    </row>
    <row r="21023" spans="2:8" ht="15" customHeight="1" x14ac:dyDescent="0.4">
      <c r="B21023" s="3" t="s">
        <v>7</v>
      </c>
      <c r="C21023" s="3" t="s">
        <v>3429</v>
      </c>
      <c r="D21023" s="4">
        <f>DATE(2003,5,29)</f>
        <v>37770</v>
      </c>
      <c r="E21023" s="5">
        <f t="shared" si="344"/>
        <v>2003</v>
      </c>
      <c r="F21023" s="3" t="s">
        <v>3430</v>
      </c>
      <c r="G21023" s="6">
        <v>117.3</v>
      </c>
      <c r="H21023" s="5">
        <v>833</v>
      </c>
    </row>
    <row r="21024" spans="2:8" ht="15" customHeight="1" x14ac:dyDescent="0.4">
      <c r="B21024" s="3" t="s">
        <v>7</v>
      </c>
      <c r="C21024" s="3" t="s">
        <v>3429</v>
      </c>
      <c r="D21024" s="4">
        <f>DATE(2004,1,9)</f>
        <v>37995</v>
      </c>
      <c r="E21024" s="5">
        <f t="shared" si="344"/>
        <v>2004</v>
      </c>
      <c r="F21024" s="3" t="s">
        <v>3430</v>
      </c>
      <c r="G21024" s="6">
        <v>397</v>
      </c>
      <c r="H21024" s="5">
        <v>1950</v>
      </c>
    </row>
    <row r="21025" spans="2:8" ht="15" customHeight="1" x14ac:dyDescent="0.4">
      <c r="B21025" s="3" t="s">
        <v>7</v>
      </c>
      <c r="C21025" s="3" t="s">
        <v>3429</v>
      </c>
      <c r="D21025" s="4">
        <f>DATE(2004,2,16)</f>
        <v>38033</v>
      </c>
      <c r="E21025" s="5">
        <f t="shared" si="344"/>
        <v>2004</v>
      </c>
      <c r="F21025" s="3" t="s">
        <v>3430</v>
      </c>
      <c r="G21025" s="6">
        <v>2337.5</v>
      </c>
      <c r="H21025" s="5">
        <v>2192</v>
      </c>
    </row>
    <row r="21026" spans="2:8" ht="15" customHeight="1" x14ac:dyDescent="0.4">
      <c r="B21026" s="3" t="s">
        <v>7</v>
      </c>
      <c r="C21026" s="3" t="s">
        <v>3429</v>
      </c>
      <c r="D21026" s="4">
        <f>DATE(2005,11,23)</f>
        <v>38679</v>
      </c>
      <c r="E21026" s="5">
        <f t="shared" si="344"/>
        <v>2005</v>
      </c>
      <c r="F21026" s="3" t="s">
        <v>3430</v>
      </c>
      <c r="G21026" s="6">
        <v>400</v>
      </c>
      <c r="H21026" s="5">
        <v>5616</v>
      </c>
    </row>
    <row r="21027" spans="2:8" ht="15" customHeight="1" x14ac:dyDescent="0.4">
      <c r="B21027" s="3" t="s">
        <v>7</v>
      </c>
      <c r="C21027" s="3" t="s">
        <v>3429</v>
      </c>
      <c r="D21027" s="4">
        <f>DATE(2007,12,10)</f>
        <v>39426</v>
      </c>
      <c r="E21027" s="5">
        <f t="shared" si="344"/>
        <v>2007</v>
      </c>
      <c r="F21027" s="3" t="s">
        <v>3430</v>
      </c>
      <c r="G21027" s="6">
        <v>432</v>
      </c>
      <c r="H21027" s="5">
        <v>9583</v>
      </c>
    </row>
    <row r="21028" spans="2:8" ht="15" customHeight="1" x14ac:dyDescent="0.4">
      <c r="B21028" s="3" t="s">
        <v>7</v>
      </c>
      <c r="C21028" s="3" t="s">
        <v>3429</v>
      </c>
      <c r="D21028" s="4">
        <f>DATE(2008,1,15)</f>
        <v>39462</v>
      </c>
      <c r="E21028" s="5">
        <f t="shared" si="344"/>
        <v>2008</v>
      </c>
      <c r="F21028" s="3" t="s">
        <v>3430</v>
      </c>
      <c r="G21028" s="6">
        <v>11423</v>
      </c>
      <c r="H21028" s="5">
        <v>9727</v>
      </c>
    </row>
    <row r="21029" spans="2:8" ht="15" customHeight="1" x14ac:dyDescent="0.4">
      <c r="B21029" s="3" t="s">
        <v>7</v>
      </c>
      <c r="C21029" s="3" t="s">
        <v>3429</v>
      </c>
      <c r="D21029" s="4">
        <f>DATE(2008,3,18)</f>
        <v>39525</v>
      </c>
      <c r="E21029" s="5">
        <f t="shared" si="344"/>
        <v>2008</v>
      </c>
      <c r="F21029" s="3" t="s">
        <v>3430</v>
      </c>
      <c r="G21029" s="6">
        <v>4017</v>
      </c>
      <c r="H21029" s="5">
        <v>10144</v>
      </c>
    </row>
    <row r="21030" spans="2:8" ht="15" customHeight="1" x14ac:dyDescent="0.4">
      <c r="B21030" s="3" t="s">
        <v>7</v>
      </c>
      <c r="C21030" s="3" t="s">
        <v>3429</v>
      </c>
      <c r="D21030" s="4">
        <f>DATE(2009,1,29)</f>
        <v>39842</v>
      </c>
      <c r="E21030" s="5">
        <f t="shared" si="344"/>
        <v>2009</v>
      </c>
      <c r="F21030" s="3" t="s">
        <v>3430</v>
      </c>
      <c r="G21030" s="6">
        <v>10938.47</v>
      </c>
      <c r="H21030" s="5">
        <v>11764</v>
      </c>
    </row>
    <row r="21031" spans="2:8" ht="15" customHeight="1" x14ac:dyDescent="0.4">
      <c r="B21031" s="3" t="s">
        <v>7</v>
      </c>
      <c r="C21031" s="3" t="s">
        <v>3429</v>
      </c>
      <c r="D21031" s="4">
        <f>DATE(2009,11,13)</f>
        <v>40130</v>
      </c>
      <c r="E21031" s="5">
        <f t="shared" si="344"/>
        <v>2009</v>
      </c>
      <c r="F21031" s="3" t="s">
        <v>3430</v>
      </c>
      <c r="G21031" s="6">
        <v>2681</v>
      </c>
      <c r="H21031" s="5">
        <v>13228</v>
      </c>
    </row>
    <row r="21032" spans="2:8" ht="15" customHeight="1" x14ac:dyDescent="0.4">
      <c r="B21032" s="3" t="s">
        <v>7</v>
      </c>
      <c r="C21032" s="3" t="s">
        <v>3429</v>
      </c>
      <c r="D21032" s="4">
        <f>DATE(2012,1,11)</f>
        <v>40919</v>
      </c>
      <c r="E21032" s="5">
        <f t="shared" si="344"/>
        <v>2012</v>
      </c>
      <c r="F21032" s="3" t="s">
        <v>3430</v>
      </c>
      <c r="G21032" s="6">
        <v>205.5</v>
      </c>
      <c r="H21032" s="5">
        <v>16343</v>
      </c>
    </row>
    <row r="21033" spans="2:8" ht="15" customHeight="1" x14ac:dyDescent="0.4">
      <c r="B21033" s="3" t="s">
        <v>7</v>
      </c>
      <c r="C21033" s="3" t="s">
        <v>3429</v>
      </c>
      <c r="D21033" s="4">
        <f>DATE(2013,3,13)</f>
        <v>41346</v>
      </c>
      <c r="E21033" s="5">
        <f t="shared" si="344"/>
        <v>2013</v>
      </c>
      <c r="F21033" s="3" t="s">
        <v>3430</v>
      </c>
      <c r="G21033" s="6">
        <v>439.77</v>
      </c>
      <c r="H21033" s="5">
        <v>18241</v>
      </c>
    </row>
    <row r="21034" spans="2:8" ht="15" customHeight="1" x14ac:dyDescent="0.4">
      <c r="B21034" s="3" t="s">
        <v>7</v>
      </c>
      <c r="C21034" s="3" t="s">
        <v>3429</v>
      </c>
      <c r="D21034" s="4">
        <f>DATE(2013,5,29)</f>
        <v>41423</v>
      </c>
      <c r="E21034" s="5">
        <f t="shared" si="344"/>
        <v>2013</v>
      </c>
      <c r="F21034" s="3" t="s">
        <v>3430</v>
      </c>
      <c r="G21034" s="6">
        <v>2091.85</v>
      </c>
      <c r="H21034" s="5">
        <v>18241</v>
      </c>
    </row>
    <row r="21035" spans="2:8" ht="15" customHeight="1" x14ac:dyDescent="0.4">
      <c r="B21035" s="3" t="s">
        <v>7</v>
      </c>
      <c r="C21035" s="3" t="s">
        <v>3429</v>
      </c>
      <c r="D21035" s="4">
        <f>DATE(2014,1,3)</f>
        <v>41642</v>
      </c>
      <c r="E21035" s="5">
        <f t="shared" si="344"/>
        <v>2014</v>
      </c>
      <c r="F21035" s="3" t="s">
        <v>3430</v>
      </c>
      <c r="G21035" s="6">
        <v>21215.43</v>
      </c>
      <c r="H21035" s="5">
        <v>19224</v>
      </c>
    </row>
    <row r="21036" spans="2:8" ht="15" customHeight="1" x14ac:dyDescent="0.4">
      <c r="B21036" s="3" t="s">
        <v>16</v>
      </c>
      <c r="C21036" s="3" t="s">
        <v>3429</v>
      </c>
      <c r="D21036" s="4">
        <f>DATE(2004,2,13)</f>
        <v>38030</v>
      </c>
      <c r="E21036" s="5">
        <f t="shared" si="344"/>
        <v>2004</v>
      </c>
      <c r="F21036" s="3" t="s">
        <v>3430</v>
      </c>
      <c r="G21036" s="6">
        <v>2337.5</v>
      </c>
      <c r="H21036" s="5">
        <v>2208</v>
      </c>
    </row>
    <row r="21037" spans="2:8" ht="15" customHeight="1" x14ac:dyDescent="0.4">
      <c r="B21037" t="s">
        <v>7</v>
      </c>
      <c r="C21037" t="s">
        <v>3005</v>
      </c>
      <c r="D21037" s="7">
        <f>DATE(2016,4,28)</f>
        <v>42488</v>
      </c>
      <c r="E21037" s="8">
        <f t="shared" si="344"/>
        <v>2016</v>
      </c>
      <c r="F21037" t="s">
        <v>3431</v>
      </c>
      <c r="G21037" s="9">
        <v>12500</v>
      </c>
      <c r="H21037" s="8">
        <v>22586</v>
      </c>
    </row>
    <row r="21038" spans="2:8" ht="15" customHeight="1" x14ac:dyDescent="0.4">
      <c r="B21038" t="s">
        <v>7</v>
      </c>
      <c r="C21038" t="s">
        <v>3005</v>
      </c>
      <c r="D21038" s="7">
        <f>DATE(2016,12,14)</f>
        <v>42718</v>
      </c>
      <c r="E21038" s="8">
        <f t="shared" si="344"/>
        <v>2016</v>
      </c>
      <c r="F21038" t="s">
        <v>3431</v>
      </c>
      <c r="G21038" s="9">
        <v>5800</v>
      </c>
      <c r="H21038" s="8">
        <v>23956</v>
      </c>
    </row>
    <row r="21039" spans="2:8" ht="15" customHeight="1" x14ac:dyDescent="0.4">
      <c r="B21039" t="s">
        <v>7</v>
      </c>
      <c r="C21039" t="s">
        <v>3005</v>
      </c>
      <c r="D21039" s="7">
        <f>DATE(2017,5,18)</f>
        <v>42873</v>
      </c>
      <c r="E21039" s="8">
        <f t="shared" si="344"/>
        <v>2017</v>
      </c>
      <c r="F21039" t="s">
        <v>3431</v>
      </c>
      <c r="G21039" s="9">
        <v>12500</v>
      </c>
      <c r="H21039" s="8">
        <v>24587</v>
      </c>
    </row>
    <row r="21040" spans="2:8" ht="15" customHeight="1" x14ac:dyDescent="0.4">
      <c r="B21040" t="s">
        <v>7</v>
      </c>
      <c r="C21040" t="s">
        <v>3005</v>
      </c>
      <c r="D21040" s="7">
        <f>DATE(2006,4,22)</f>
        <v>38829</v>
      </c>
      <c r="E21040" s="8">
        <f t="shared" si="344"/>
        <v>2006</v>
      </c>
      <c r="F21040" t="s">
        <v>3431</v>
      </c>
      <c r="G21040" s="9">
        <v>9810</v>
      </c>
      <c r="H21040" s="8">
        <v>4119</v>
      </c>
    </row>
    <row r="21041" spans="2:8" ht="15" customHeight="1" x14ac:dyDescent="0.4">
      <c r="B21041" t="s">
        <v>7</v>
      </c>
      <c r="C21041" t="s">
        <v>3005</v>
      </c>
      <c r="D21041" s="7">
        <f>DATE(2007,5,17)</f>
        <v>39219</v>
      </c>
      <c r="E21041" s="8">
        <f t="shared" si="344"/>
        <v>2007</v>
      </c>
      <c r="F21041" t="s">
        <v>3431</v>
      </c>
      <c r="G21041" s="9">
        <v>9675</v>
      </c>
      <c r="H21041" s="8">
        <v>5589</v>
      </c>
    </row>
    <row r="21042" spans="2:8" ht="15" customHeight="1" x14ac:dyDescent="0.4">
      <c r="B21042" t="s">
        <v>7</v>
      </c>
      <c r="C21042" t="s">
        <v>3005</v>
      </c>
      <c r="D21042" s="7">
        <f>DATE(2007,5,20)</f>
        <v>39222</v>
      </c>
      <c r="E21042" s="8">
        <f t="shared" si="344"/>
        <v>2007</v>
      </c>
      <c r="F21042" t="s">
        <v>3431</v>
      </c>
      <c r="G21042" s="9">
        <v>3120</v>
      </c>
      <c r="H21042" s="8">
        <v>6002</v>
      </c>
    </row>
    <row r="21043" spans="2:8" ht="15" customHeight="1" x14ac:dyDescent="0.4">
      <c r="B21043" t="s">
        <v>7</v>
      </c>
      <c r="C21043" t="s">
        <v>3005</v>
      </c>
      <c r="D21043" s="7">
        <f>DATE(2008,4,5)</f>
        <v>39543</v>
      </c>
      <c r="E21043" s="8">
        <f t="shared" si="344"/>
        <v>2008</v>
      </c>
      <c r="F21043" t="s">
        <v>3431</v>
      </c>
      <c r="G21043" s="9">
        <v>10575.28</v>
      </c>
      <c r="H21043" s="8">
        <v>7186</v>
      </c>
    </row>
    <row r="21044" spans="2:8" ht="15" customHeight="1" x14ac:dyDescent="0.4">
      <c r="B21044" t="s">
        <v>7</v>
      </c>
      <c r="C21044" t="s">
        <v>3005</v>
      </c>
      <c r="D21044" s="7">
        <f>DATE(2009,5,18)</f>
        <v>39951</v>
      </c>
      <c r="E21044" s="8">
        <f t="shared" si="344"/>
        <v>2009</v>
      </c>
      <c r="F21044" t="s">
        <v>3431</v>
      </c>
      <c r="G21044" s="9">
        <v>11525</v>
      </c>
      <c r="H21044" s="8">
        <v>8645</v>
      </c>
    </row>
    <row r="21045" spans="2:8" ht="15" customHeight="1" x14ac:dyDescent="0.4">
      <c r="B21045" t="s">
        <v>7</v>
      </c>
      <c r="C21045" t="s">
        <v>3005</v>
      </c>
      <c r="D21045" s="7">
        <f>DATE(2010,5,14)</f>
        <v>40312</v>
      </c>
      <c r="E21045" s="8">
        <f t="shared" si="344"/>
        <v>2010</v>
      </c>
      <c r="F21045" t="s">
        <v>3431</v>
      </c>
      <c r="G21045" s="9">
        <v>11525</v>
      </c>
      <c r="H21045" s="8">
        <v>9783</v>
      </c>
    </row>
    <row r="21046" spans="2:8" ht="15" customHeight="1" x14ac:dyDescent="0.4">
      <c r="B21046" t="s">
        <v>7</v>
      </c>
      <c r="C21046" t="s">
        <v>3005</v>
      </c>
      <c r="D21046" s="7">
        <f>DATE(2011,5,23)</f>
        <v>40686</v>
      </c>
      <c r="E21046" s="8">
        <f t="shared" si="344"/>
        <v>2011</v>
      </c>
      <c r="F21046" t="s">
        <v>3431</v>
      </c>
      <c r="G21046" s="9">
        <v>12440</v>
      </c>
      <c r="H21046" s="8">
        <v>10749</v>
      </c>
    </row>
    <row r="21047" spans="2:8" ht="15" customHeight="1" x14ac:dyDescent="0.4">
      <c r="B21047" t="s">
        <v>7</v>
      </c>
      <c r="C21047" t="s">
        <v>3005</v>
      </c>
      <c r="D21047" s="7">
        <f>DATE(2012,4,18)</f>
        <v>41017</v>
      </c>
      <c r="E21047" s="8">
        <f t="shared" si="344"/>
        <v>2012</v>
      </c>
      <c r="F21047" t="s">
        <v>3431</v>
      </c>
      <c r="G21047" s="9">
        <v>12440</v>
      </c>
      <c r="H21047" s="8">
        <v>11494</v>
      </c>
    </row>
    <row r="21048" spans="2:8" ht="15" customHeight="1" x14ac:dyDescent="0.4">
      <c r="B21048" t="s">
        <v>7</v>
      </c>
      <c r="C21048" t="s">
        <v>3005</v>
      </c>
      <c r="D21048" s="7">
        <f>DATE(2012,10,10)</f>
        <v>41192</v>
      </c>
      <c r="E21048" s="8">
        <f t="shared" si="344"/>
        <v>2012</v>
      </c>
      <c r="F21048" t="s">
        <v>3431</v>
      </c>
      <c r="G21048" s="9">
        <v>5479.34</v>
      </c>
      <c r="H21048" s="8">
        <v>11902</v>
      </c>
    </row>
    <row r="21049" spans="2:8" ht="15" customHeight="1" x14ac:dyDescent="0.4">
      <c r="B21049" t="s">
        <v>7</v>
      </c>
      <c r="C21049" t="s">
        <v>3005</v>
      </c>
      <c r="D21049" s="7">
        <f>DATE(2013,4,15)</f>
        <v>41379</v>
      </c>
      <c r="E21049" s="8">
        <f t="shared" si="344"/>
        <v>2013</v>
      </c>
      <c r="F21049" t="s">
        <v>3431</v>
      </c>
      <c r="G21049" s="9">
        <v>14185.36</v>
      </c>
      <c r="H21049" s="8">
        <v>12305</v>
      </c>
    </row>
    <row r="21050" spans="2:8" ht="15" customHeight="1" x14ac:dyDescent="0.4">
      <c r="B21050" t="s">
        <v>7</v>
      </c>
      <c r="C21050" t="s">
        <v>3432</v>
      </c>
      <c r="D21050" s="7">
        <f>DATE(2015,8,20)</f>
        <v>42236</v>
      </c>
      <c r="E21050" s="8">
        <f t="shared" si="344"/>
        <v>2015</v>
      </c>
      <c r="F21050" t="s">
        <v>3433</v>
      </c>
      <c r="G21050" s="9">
        <v>7071.47</v>
      </c>
      <c r="H21050" s="8">
        <v>21086</v>
      </c>
    </row>
    <row r="21051" spans="2:8" ht="15" customHeight="1" x14ac:dyDescent="0.4">
      <c r="B21051" s="3" t="s">
        <v>7</v>
      </c>
      <c r="C21051" s="3" t="s">
        <v>3434</v>
      </c>
      <c r="D21051" s="4">
        <f>DATE(2003,11,5)</f>
        <v>37930</v>
      </c>
      <c r="E21051" s="5">
        <f t="shared" si="344"/>
        <v>2003</v>
      </c>
      <c r="F21051" s="3" t="s">
        <v>3435</v>
      </c>
      <c r="G21051" s="6">
        <v>2548.61</v>
      </c>
      <c r="H21051" s="5">
        <v>410</v>
      </c>
    </row>
    <row r="21052" spans="2:8" ht="15" customHeight="1" x14ac:dyDescent="0.4">
      <c r="B21052" t="s">
        <v>7</v>
      </c>
      <c r="C21052" t="s">
        <v>3436</v>
      </c>
      <c r="D21052" s="7">
        <f>DATE(2016,3,4)</f>
        <v>42433</v>
      </c>
      <c r="E21052" s="8">
        <f t="shared" si="344"/>
        <v>2016</v>
      </c>
      <c r="F21052" t="s">
        <v>3437</v>
      </c>
      <c r="G21052" s="9">
        <v>12000</v>
      </c>
      <c r="H21052" s="8">
        <v>22303</v>
      </c>
    </row>
    <row r="21053" spans="2:8" ht="15" customHeight="1" x14ac:dyDescent="0.4">
      <c r="B21053" t="s">
        <v>7</v>
      </c>
      <c r="C21053" t="s">
        <v>1292</v>
      </c>
      <c r="D21053" s="7">
        <f>DATE(2017,6,1)</f>
        <v>42887</v>
      </c>
      <c r="E21053" s="8">
        <f t="shared" si="344"/>
        <v>2017</v>
      </c>
      <c r="F21053" t="s">
        <v>3438</v>
      </c>
      <c r="G21053" s="9">
        <v>79257.89</v>
      </c>
      <c r="H21053" s="8">
        <v>24646</v>
      </c>
    </row>
    <row r="21054" spans="2:8" ht="15" customHeight="1" x14ac:dyDescent="0.4">
      <c r="B21054" t="s">
        <v>7</v>
      </c>
      <c r="C21054" t="s">
        <v>1292</v>
      </c>
      <c r="D21054" s="7">
        <f>DATE(2017,6,1)</f>
        <v>42887</v>
      </c>
      <c r="E21054" s="8">
        <f t="shared" si="344"/>
        <v>2017</v>
      </c>
      <c r="F21054" t="s">
        <v>3439</v>
      </c>
      <c r="G21054" s="9">
        <v>50227.94</v>
      </c>
      <c r="H21054" s="8">
        <v>24782</v>
      </c>
    </row>
    <row r="21055" spans="2:8" ht="15" customHeight="1" x14ac:dyDescent="0.4">
      <c r="B21055" t="s">
        <v>7</v>
      </c>
      <c r="C21055" t="s">
        <v>3440</v>
      </c>
      <c r="D21055" s="7">
        <f>DATE(2014,7,1)</f>
        <v>41821</v>
      </c>
      <c r="E21055" s="8">
        <f t="shared" si="344"/>
        <v>2014</v>
      </c>
      <c r="F21055" t="s">
        <v>3441</v>
      </c>
      <c r="G21055" s="9">
        <v>83082.64</v>
      </c>
      <c r="H21055" s="8">
        <v>12890</v>
      </c>
    </row>
    <row r="21056" spans="2:8" ht="15" customHeight="1" x14ac:dyDescent="0.4">
      <c r="B21056" t="s">
        <v>7</v>
      </c>
      <c r="C21056" t="s">
        <v>3442</v>
      </c>
      <c r="D21056" s="7">
        <f>DATE(2015,4,1)</f>
        <v>42095</v>
      </c>
      <c r="E21056" s="8">
        <f t="shared" si="344"/>
        <v>2015</v>
      </c>
      <c r="F21056" t="s">
        <v>3443</v>
      </c>
      <c r="G21056" s="9">
        <v>2434.83</v>
      </c>
      <c r="H21056" s="8">
        <v>20232</v>
      </c>
    </row>
    <row r="21057" spans="2:8" ht="15" customHeight="1" x14ac:dyDescent="0.4">
      <c r="B21057" t="s">
        <v>7</v>
      </c>
      <c r="C21057" t="s">
        <v>3442</v>
      </c>
      <c r="D21057" s="7">
        <f>DATE(2007,10,2)</f>
        <v>39357</v>
      </c>
      <c r="E21057" s="8">
        <f t="shared" si="344"/>
        <v>2007</v>
      </c>
      <c r="F21057" t="s">
        <v>3443</v>
      </c>
      <c r="G21057" s="9">
        <v>2254.5700000000002</v>
      </c>
      <c r="H21057" s="8">
        <v>6425</v>
      </c>
    </row>
    <row r="21058" spans="2:8" ht="15" customHeight="1" x14ac:dyDescent="0.4">
      <c r="B21058" t="s">
        <v>7</v>
      </c>
      <c r="C21058" t="s">
        <v>3442</v>
      </c>
      <c r="D21058" s="7">
        <f>DATE(2014,10,22)</f>
        <v>41934</v>
      </c>
      <c r="E21058" s="8">
        <f t="shared" si="344"/>
        <v>2014</v>
      </c>
      <c r="F21058" t="s">
        <v>3443</v>
      </c>
      <c r="G21058" s="9">
        <v>38782.800000000003</v>
      </c>
      <c r="H21058" s="8">
        <v>13548</v>
      </c>
    </row>
    <row r="21059" spans="2:8" ht="15" customHeight="1" x14ac:dyDescent="0.4">
      <c r="B21059" t="s">
        <v>7</v>
      </c>
      <c r="C21059" t="s">
        <v>3442</v>
      </c>
      <c r="D21059" s="7">
        <f>DATE(2014,10,22)</f>
        <v>41934</v>
      </c>
      <c r="E21059" s="8">
        <f t="shared" ref="E21059:E21122" si="345">YEAR(D21059)</f>
        <v>2014</v>
      </c>
      <c r="F21059" t="s">
        <v>3443</v>
      </c>
      <c r="G21059" s="9">
        <v>8420.39</v>
      </c>
      <c r="H21059" s="8">
        <v>13549</v>
      </c>
    </row>
    <row r="21060" spans="2:8" ht="15" customHeight="1" x14ac:dyDescent="0.4">
      <c r="B21060" s="3" t="s">
        <v>7</v>
      </c>
      <c r="C21060" s="3" t="s">
        <v>3442</v>
      </c>
      <c r="D21060" s="4">
        <f>DATE(2010,4,21)</f>
        <v>40289</v>
      </c>
      <c r="E21060" s="5">
        <f t="shared" si="345"/>
        <v>2010</v>
      </c>
      <c r="F21060" s="3" t="s">
        <v>3443</v>
      </c>
      <c r="G21060" s="6">
        <v>938</v>
      </c>
      <c r="H21060" s="5">
        <v>13937</v>
      </c>
    </row>
    <row r="21061" spans="2:8" ht="15" customHeight="1" x14ac:dyDescent="0.4">
      <c r="B21061" s="3" t="s">
        <v>7</v>
      </c>
      <c r="C21061" s="3" t="s">
        <v>3442</v>
      </c>
      <c r="D21061" s="4">
        <f>DATE(2011,10,31)</f>
        <v>40847</v>
      </c>
      <c r="E21061" s="5">
        <f t="shared" si="345"/>
        <v>2011</v>
      </c>
      <c r="F21061" s="3" t="s">
        <v>3443</v>
      </c>
      <c r="G21061" s="6">
        <v>586.62</v>
      </c>
      <c r="H21061" s="5">
        <v>16137</v>
      </c>
    </row>
    <row r="21062" spans="2:8" ht="15" customHeight="1" x14ac:dyDescent="0.4">
      <c r="B21062" s="3" t="s">
        <v>7</v>
      </c>
      <c r="C21062" s="3" t="s">
        <v>3442</v>
      </c>
      <c r="D21062" s="4">
        <f>DATE(2011,11,2)</f>
        <v>40849</v>
      </c>
      <c r="E21062" s="5">
        <f t="shared" si="345"/>
        <v>2011</v>
      </c>
      <c r="F21062" s="3" t="s">
        <v>3443</v>
      </c>
      <c r="G21062" s="6">
        <v>3761.62</v>
      </c>
      <c r="H21062" s="5">
        <v>16137</v>
      </c>
    </row>
    <row r="21063" spans="2:8" ht="15" customHeight="1" x14ac:dyDescent="0.4">
      <c r="B21063" s="3" t="s">
        <v>7</v>
      </c>
      <c r="C21063" s="3" t="s">
        <v>3442</v>
      </c>
      <c r="D21063" s="4">
        <f>DATE(2012,9,17)</f>
        <v>41169</v>
      </c>
      <c r="E21063" s="5">
        <f t="shared" si="345"/>
        <v>2012</v>
      </c>
      <c r="F21063" s="3" t="s">
        <v>3443</v>
      </c>
      <c r="G21063" s="6">
        <v>326.76</v>
      </c>
      <c r="H21063" s="5">
        <v>17612</v>
      </c>
    </row>
    <row r="21064" spans="2:8" ht="15" customHeight="1" x14ac:dyDescent="0.4">
      <c r="B21064" t="s">
        <v>7</v>
      </c>
      <c r="C21064" t="s">
        <v>3444</v>
      </c>
      <c r="D21064" s="7">
        <f>DATE(2006,3,25)</f>
        <v>38801</v>
      </c>
      <c r="E21064" s="8">
        <f t="shared" si="345"/>
        <v>2006</v>
      </c>
      <c r="F21064" t="s">
        <v>3445</v>
      </c>
      <c r="G21064" s="9">
        <v>8037</v>
      </c>
      <c r="H21064" s="8">
        <v>4157</v>
      </c>
    </row>
    <row r="21065" spans="2:8" ht="15" customHeight="1" x14ac:dyDescent="0.4">
      <c r="B21065" t="s">
        <v>7</v>
      </c>
      <c r="C21065" t="s">
        <v>3446</v>
      </c>
      <c r="D21065" s="7">
        <f>DATE(2008,3,29)</f>
        <v>39536</v>
      </c>
      <c r="E21065" s="8">
        <f t="shared" si="345"/>
        <v>2008</v>
      </c>
      <c r="F21065" t="s">
        <v>3447</v>
      </c>
      <c r="G21065" s="9">
        <v>8290.7999999999993</v>
      </c>
      <c r="H21065" s="8">
        <v>7237</v>
      </c>
    </row>
    <row r="21066" spans="2:8" ht="15" customHeight="1" x14ac:dyDescent="0.4">
      <c r="B21066" t="s">
        <v>7</v>
      </c>
      <c r="C21066" t="s">
        <v>3446</v>
      </c>
      <c r="D21066" s="7">
        <f>DATE(2008,9,25)</f>
        <v>39716</v>
      </c>
      <c r="E21066" s="8">
        <f t="shared" si="345"/>
        <v>2008</v>
      </c>
      <c r="F21066" t="s">
        <v>3447</v>
      </c>
      <c r="G21066" s="9">
        <v>6718.43</v>
      </c>
      <c r="H21066" s="8">
        <v>7846</v>
      </c>
    </row>
    <row r="21067" spans="2:8" ht="15" customHeight="1" x14ac:dyDescent="0.4">
      <c r="B21067" t="s">
        <v>7</v>
      </c>
      <c r="C21067" t="s">
        <v>3448</v>
      </c>
      <c r="D21067" s="7">
        <f>DATE(2015,7,23)</f>
        <v>42208</v>
      </c>
      <c r="E21067" s="8">
        <f t="shared" si="345"/>
        <v>2015</v>
      </c>
      <c r="F21067" t="s">
        <v>3449</v>
      </c>
      <c r="G21067" s="9">
        <v>7050.75</v>
      </c>
      <c r="H21067" s="8">
        <v>20913</v>
      </c>
    </row>
    <row r="21068" spans="2:8" ht="15" customHeight="1" x14ac:dyDescent="0.4">
      <c r="B21068" t="s">
        <v>7</v>
      </c>
      <c r="C21068" t="s">
        <v>3448</v>
      </c>
      <c r="D21068" s="7">
        <f>DATE(2015,7,23)</f>
        <v>42208</v>
      </c>
      <c r="E21068" s="8">
        <f t="shared" si="345"/>
        <v>2015</v>
      </c>
      <c r="F21068" t="s">
        <v>3449</v>
      </c>
      <c r="G21068" s="9">
        <v>8294.2900000000009</v>
      </c>
      <c r="H21068" s="8">
        <v>20939</v>
      </c>
    </row>
    <row r="21069" spans="2:8" ht="15" customHeight="1" x14ac:dyDescent="0.4">
      <c r="B21069" t="s">
        <v>7</v>
      </c>
      <c r="C21069" t="s">
        <v>3448</v>
      </c>
      <c r="D21069" s="7">
        <f>DATE(2010,9,28)</f>
        <v>40449</v>
      </c>
      <c r="E21069" s="8">
        <f t="shared" si="345"/>
        <v>2010</v>
      </c>
      <c r="F21069" t="s">
        <v>3449</v>
      </c>
      <c r="G21069" s="9">
        <v>7089.24</v>
      </c>
      <c r="H21069" s="8">
        <v>10152</v>
      </c>
    </row>
    <row r="21070" spans="2:8" ht="15" customHeight="1" x14ac:dyDescent="0.4">
      <c r="B21070" s="3" t="s">
        <v>7</v>
      </c>
      <c r="C21070" s="3" t="s">
        <v>3448</v>
      </c>
      <c r="D21070" s="4">
        <f>DATE(2012,11,16)</f>
        <v>41229</v>
      </c>
      <c r="E21070" s="5">
        <f t="shared" si="345"/>
        <v>2012</v>
      </c>
      <c r="F21070" s="3" t="s">
        <v>3449</v>
      </c>
      <c r="G21070" s="6">
        <v>4641</v>
      </c>
      <c r="H21070" s="5">
        <v>5292</v>
      </c>
    </row>
    <row r="21071" spans="2:8" ht="15" customHeight="1" x14ac:dyDescent="0.4">
      <c r="B21071" s="3" t="s">
        <v>7</v>
      </c>
      <c r="C21071" s="3" t="s">
        <v>3448</v>
      </c>
      <c r="D21071" s="4">
        <f>DATE(2013,10,2)</f>
        <v>41549</v>
      </c>
      <c r="E21071" s="5">
        <f t="shared" si="345"/>
        <v>2013</v>
      </c>
      <c r="F21071" s="3" t="s">
        <v>3449</v>
      </c>
      <c r="G21071" s="6">
        <v>5763.48</v>
      </c>
      <c r="H21071" s="5">
        <v>5821</v>
      </c>
    </row>
    <row r="21072" spans="2:8" ht="15" customHeight="1" x14ac:dyDescent="0.4">
      <c r="B21072" s="3" t="s">
        <v>7</v>
      </c>
      <c r="C21072" s="3" t="s">
        <v>3448</v>
      </c>
      <c r="D21072" s="4">
        <f>DATE(2012,11,16)</f>
        <v>41229</v>
      </c>
      <c r="E21072" s="5">
        <f t="shared" si="345"/>
        <v>2012</v>
      </c>
      <c r="F21072" s="3" t="s">
        <v>3449</v>
      </c>
      <c r="G21072" s="6">
        <v>6344.47</v>
      </c>
      <c r="H21072" s="5">
        <v>5289</v>
      </c>
    </row>
    <row r="21073" spans="2:8" ht="15" customHeight="1" x14ac:dyDescent="0.4">
      <c r="B21073" s="3" t="s">
        <v>7</v>
      </c>
      <c r="C21073" s="3" t="s">
        <v>3448</v>
      </c>
      <c r="D21073" s="4">
        <f>DATE(2014,8,11)</f>
        <v>41862</v>
      </c>
      <c r="E21073" s="5">
        <f t="shared" si="345"/>
        <v>2014</v>
      </c>
      <c r="F21073" s="3" t="s">
        <v>3449</v>
      </c>
      <c r="G21073" s="6">
        <v>10922.25</v>
      </c>
      <c r="H21073" s="5">
        <v>6303</v>
      </c>
    </row>
    <row r="21074" spans="2:8" ht="15" customHeight="1" x14ac:dyDescent="0.4">
      <c r="B21074" t="s">
        <v>7</v>
      </c>
      <c r="C21074" t="s">
        <v>3450</v>
      </c>
      <c r="D21074" s="7">
        <f>DATE(2012,3,16)</f>
        <v>40984</v>
      </c>
      <c r="E21074" s="8">
        <f t="shared" si="345"/>
        <v>2012</v>
      </c>
      <c r="F21074" t="s">
        <v>3451</v>
      </c>
      <c r="G21074" s="9">
        <v>7745.1</v>
      </c>
      <c r="H21074" s="8">
        <v>11459</v>
      </c>
    </row>
    <row r="21075" spans="2:8" ht="15" customHeight="1" x14ac:dyDescent="0.4">
      <c r="B21075" t="s">
        <v>7</v>
      </c>
      <c r="C21075" t="s">
        <v>3450</v>
      </c>
      <c r="D21075" s="7">
        <f>DATE(2014,4,24)</f>
        <v>41753</v>
      </c>
      <c r="E21075" s="8">
        <f t="shared" si="345"/>
        <v>2014</v>
      </c>
      <c r="F21075" t="s">
        <v>3451</v>
      </c>
      <c r="G21075" s="9">
        <v>6506.49</v>
      </c>
      <c r="H21075" s="8">
        <v>13152</v>
      </c>
    </row>
    <row r="21076" spans="2:8" ht="15" customHeight="1" x14ac:dyDescent="0.4">
      <c r="B21076" s="3" t="s">
        <v>7</v>
      </c>
      <c r="C21076" s="3" t="s">
        <v>3452</v>
      </c>
      <c r="D21076" s="4">
        <f>DATE(2009,2,16)</f>
        <v>39860</v>
      </c>
      <c r="E21076" s="5">
        <f t="shared" si="345"/>
        <v>2009</v>
      </c>
      <c r="F21076" s="3" t="s">
        <v>3453</v>
      </c>
      <c r="G21076" s="6">
        <v>1298.57</v>
      </c>
      <c r="H21076" s="5">
        <v>11719</v>
      </c>
    </row>
    <row r="21077" spans="2:8" ht="15" customHeight="1" x14ac:dyDescent="0.4">
      <c r="B21077" s="3" t="s">
        <v>7</v>
      </c>
      <c r="C21077" s="3" t="s">
        <v>3452</v>
      </c>
      <c r="D21077" s="4">
        <f>DATE(2009,4,15)</f>
        <v>39918</v>
      </c>
      <c r="E21077" s="5">
        <f t="shared" si="345"/>
        <v>2009</v>
      </c>
      <c r="F21077" s="3" t="s">
        <v>3453</v>
      </c>
      <c r="G21077" s="6">
        <v>275</v>
      </c>
      <c r="H21077" s="5">
        <v>12367</v>
      </c>
    </row>
    <row r="21078" spans="2:8" ht="15" customHeight="1" x14ac:dyDescent="0.4">
      <c r="B21078" s="3" t="s">
        <v>7</v>
      </c>
      <c r="C21078" s="3" t="s">
        <v>3452</v>
      </c>
      <c r="D21078" s="4">
        <f>DATE(2007,11,26)</f>
        <v>39412</v>
      </c>
      <c r="E21078" s="5">
        <f t="shared" si="345"/>
        <v>2007</v>
      </c>
      <c r="F21078" s="3" t="s">
        <v>3454</v>
      </c>
      <c r="G21078" s="6">
        <v>23635.22</v>
      </c>
      <c r="H21078" s="5">
        <v>9499</v>
      </c>
    </row>
    <row r="21079" spans="2:8" ht="15" customHeight="1" x14ac:dyDescent="0.4">
      <c r="B21079" t="s">
        <v>7</v>
      </c>
      <c r="C21079" t="s">
        <v>3455</v>
      </c>
      <c r="D21079" s="7">
        <f>DATE(2009,2,18)</f>
        <v>39862</v>
      </c>
      <c r="E21079" s="8">
        <f t="shared" si="345"/>
        <v>2009</v>
      </c>
      <c r="F21079" t="s">
        <v>3456</v>
      </c>
      <c r="G21079" s="9">
        <v>7415.25</v>
      </c>
      <c r="H21079" s="8">
        <v>8309</v>
      </c>
    </row>
    <row r="21080" spans="2:8" ht="15" customHeight="1" x14ac:dyDescent="0.4">
      <c r="B21080" s="3" t="s">
        <v>7</v>
      </c>
      <c r="C21080" s="3" t="s">
        <v>3457</v>
      </c>
      <c r="D21080" s="4">
        <f>DATE(2009,10,22)</f>
        <v>40108</v>
      </c>
      <c r="E21080" s="5">
        <f t="shared" si="345"/>
        <v>2009</v>
      </c>
      <c r="F21080" s="3" t="s">
        <v>3458</v>
      </c>
      <c r="G21080" s="6">
        <v>447.23</v>
      </c>
      <c r="H21080" s="5">
        <v>13190</v>
      </c>
    </row>
    <row r="21081" spans="2:8" ht="15" customHeight="1" x14ac:dyDescent="0.4">
      <c r="B21081" s="3" t="s">
        <v>7</v>
      </c>
      <c r="C21081" s="3" t="s">
        <v>138</v>
      </c>
      <c r="D21081" s="4">
        <f>DATE(2007,8,30)</f>
        <v>39324</v>
      </c>
      <c r="E21081" s="5">
        <f t="shared" si="345"/>
        <v>2007</v>
      </c>
      <c r="F21081" s="3" t="s">
        <v>3459</v>
      </c>
      <c r="G21081" s="6">
        <v>2837</v>
      </c>
      <c r="H21081" s="5">
        <v>2376</v>
      </c>
    </row>
    <row r="21082" spans="2:8" ht="15" customHeight="1" x14ac:dyDescent="0.4">
      <c r="B21082" s="3" t="s">
        <v>7</v>
      </c>
      <c r="C21082" s="3" t="s">
        <v>138</v>
      </c>
      <c r="D21082" s="4">
        <f>DATE(2007,9,24)</f>
        <v>39349</v>
      </c>
      <c r="E21082" s="5">
        <f t="shared" si="345"/>
        <v>2007</v>
      </c>
      <c r="F21082" s="3" t="s">
        <v>3459</v>
      </c>
      <c r="G21082" s="6">
        <v>207.93</v>
      </c>
      <c r="H21082" s="5">
        <v>2414</v>
      </c>
    </row>
    <row r="21083" spans="2:8" ht="15" customHeight="1" x14ac:dyDescent="0.4">
      <c r="B21083" s="3" t="s">
        <v>7</v>
      </c>
      <c r="C21083" s="3" t="s">
        <v>138</v>
      </c>
      <c r="D21083" s="4">
        <f>DATE(2007,10,3)</f>
        <v>39358</v>
      </c>
      <c r="E21083" s="5">
        <f t="shared" si="345"/>
        <v>2007</v>
      </c>
      <c r="F21083" s="3" t="s">
        <v>3459</v>
      </c>
      <c r="G21083" s="6">
        <v>6376</v>
      </c>
      <c r="H21083" s="5">
        <v>2366</v>
      </c>
    </row>
    <row r="21084" spans="2:8" ht="15" customHeight="1" x14ac:dyDescent="0.4">
      <c r="B21084" s="3" t="s">
        <v>7</v>
      </c>
      <c r="C21084" s="3" t="s">
        <v>138</v>
      </c>
      <c r="D21084" s="4">
        <f>DATE(2007,10,11)</f>
        <v>39366</v>
      </c>
      <c r="E21084" s="5">
        <f t="shared" si="345"/>
        <v>2007</v>
      </c>
      <c r="F21084" s="3" t="s">
        <v>3459</v>
      </c>
      <c r="G21084" s="6">
        <v>259.16000000000003</v>
      </c>
      <c r="H21084" s="5">
        <v>2434</v>
      </c>
    </row>
    <row r="21085" spans="2:8" ht="15" customHeight="1" x14ac:dyDescent="0.4">
      <c r="B21085" s="3" t="s">
        <v>7</v>
      </c>
      <c r="C21085" s="3" t="s">
        <v>138</v>
      </c>
      <c r="D21085" s="4">
        <f>DATE(2007,10,24)</f>
        <v>39379</v>
      </c>
      <c r="E21085" s="5">
        <f t="shared" si="345"/>
        <v>2007</v>
      </c>
      <c r="F21085" s="3" t="s">
        <v>3459</v>
      </c>
      <c r="G21085" s="6">
        <v>1506</v>
      </c>
      <c r="H21085" s="5">
        <v>2453</v>
      </c>
    </row>
    <row r="21086" spans="2:8" ht="15" customHeight="1" x14ac:dyDescent="0.4">
      <c r="B21086" s="3" t="s">
        <v>7</v>
      </c>
      <c r="C21086" s="3" t="s">
        <v>138</v>
      </c>
      <c r="D21086" s="4">
        <f>DATE(2007,10,30)</f>
        <v>39385</v>
      </c>
      <c r="E21086" s="5">
        <f t="shared" si="345"/>
        <v>2007</v>
      </c>
      <c r="F21086" s="3" t="s">
        <v>3459</v>
      </c>
      <c r="G21086" s="6">
        <v>927</v>
      </c>
      <c r="H21086" s="5">
        <v>2441</v>
      </c>
    </row>
    <row r="21087" spans="2:8" ht="15" customHeight="1" x14ac:dyDescent="0.4">
      <c r="B21087" s="3" t="s">
        <v>7</v>
      </c>
      <c r="C21087" s="3" t="s">
        <v>138</v>
      </c>
      <c r="D21087" s="4">
        <f>DATE(2007,10,30)</f>
        <v>39385</v>
      </c>
      <c r="E21087" s="5">
        <f t="shared" si="345"/>
        <v>2007</v>
      </c>
      <c r="F21087" s="3" t="s">
        <v>3459</v>
      </c>
      <c r="G21087" s="6">
        <v>1447.7</v>
      </c>
      <c r="H21087" s="5">
        <v>2442</v>
      </c>
    </row>
    <row r="21088" spans="2:8" ht="15" customHeight="1" x14ac:dyDescent="0.4">
      <c r="B21088" s="3" t="s">
        <v>7</v>
      </c>
      <c r="C21088" s="3" t="s">
        <v>138</v>
      </c>
      <c r="D21088" s="4">
        <f>DATE(2007,11,9)</f>
        <v>39395</v>
      </c>
      <c r="E21088" s="5">
        <f t="shared" si="345"/>
        <v>2007</v>
      </c>
      <c r="F21088" s="3" t="s">
        <v>3459</v>
      </c>
      <c r="G21088" s="6">
        <v>927</v>
      </c>
      <c r="H21088" s="5">
        <v>2488</v>
      </c>
    </row>
    <row r="21089" spans="2:8" ht="15" customHeight="1" x14ac:dyDescent="0.4">
      <c r="B21089" s="3" t="s">
        <v>7</v>
      </c>
      <c r="C21089" s="3" t="s">
        <v>138</v>
      </c>
      <c r="D21089" s="4">
        <f>DATE(2007,12,7)</f>
        <v>39423</v>
      </c>
      <c r="E21089" s="5">
        <f t="shared" si="345"/>
        <v>2007</v>
      </c>
      <c r="F21089" s="3" t="s">
        <v>3459</v>
      </c>
      <c r="G21089" s="6">
        <v>2171.5500000000002</v>
      </c>
      <c r="H21089" s="5">
        <v>2540</v>
      </c>
    </row>
    <row r="21090" spans="2:8" ht="15" customHeight="1" x14ac:dyDescent="0.4">
      <c r="B21090" s="3" t="s">
        <v>7</v>
      </c>
      <c r="C21090" s="3" t="s">
        <v>138</v>
      </c>
      <c r="D21090" s="4">
        <f>DATE(2007,11,1)</f>
        <v>39387</v>
      </c>
      <c r="E21090" s="5">
        <f t="shared" si="345"/>
        <v>2007</v>
      </c>
      <c r="F21090" s="3" t="s">
        <v>3459</v>
      </c>
      <c r="G21090" s="6">
        <v>18490.84</v>
      </c>
      <c r="H21090" s="5">
        <v>2435</v>
      </c>
    </row>
    <row r="21091" spans="2:8" ht="15" customHeight="1" x14ac:dyDescent="0.4">
      <c r="B21091" s="3" t="s">
        <v>7</v>
      </c>
      <c r="C21091" s="3" t="s">
        <v>138</v>
      </c>
      <c r="D21091" s="4">
        <f>DATE(2007,12,21)</f>
        <v>39437</v>
      </c>
      <c r="E21091" s="5">
        <f t="shared" si="345"/>
        <v>2007</v>
      </c>
      <c r="F21091" s="3" t="s">
        <v>3459</v>
      </c>
      <c r="G21091" s="6">
        <v>7250</v>
      </c>
      <c r="H21091" s="5">
        <v>2539</v>
      </c>
    </row>
    <row r="21092" spans="2:8" ht="15" customHeight="1" x14ac:dyDescent="0.4">
      <c r="B21092" s="3" t="s">
        <v>7</v>
      </c>
      <c r="C21092" s="3" t="s">
        <v>138</v>
      </c>
      <c r="D21092" s="4">
        <f>DATE(2007,12,21)</f>
        <v>39437</v>
      </c>
      <c r="E21092" s="5">
        <f t="shared" si="345"/>
        <v>2007</v>
      </c>
      <c r="F21092" s="3" t="s">
        <v>3459</v>
      </c>
      <c r="G21092" s="6">
        <v>2895.4</v>
      </c>
      <c r="H21092" s="5">
        <v>2550</v>
      </c>
    </row>
    <row r="21093" spans="2:8" ht="15" customHeight="1" x14ac:dyDescent="0.4">
      <c r="B21093" s="3" t="s">
        <v>7</v>
      </c>
      <c r="C21093" s="3" t="s">
        <v>138</v>
      </c>
      <c r="D21093" s="4">
        <f>DATE(2008,2,5)</f>
        <v>39483</v>
      </c>
      <c r="E21093" s="5">
        <f t="shared" si="345"/>
        <v>2008</v>
      </c>
      <c r="F21093" s="3" t="s">
        <v>3459</v>
      </c>
      <c r="G21093" s="6">
        <v>484.41</v>
      </c>
      <c r="H21093" s="5">
        <v>2444</v>
      </c>
    </row>
    <row r="21094" spans="2:8" ht="15" customHeight="1" x14ac:dyDescent="0.4">
      <c r="B21094" s="3" t="s">
        <v>7</v>
      </c>
      <c r="C21094" s="3" t="s">
        <v>138</v>
      </c>
      <c r="D21094" s="4">
        <f>DATE(2008,2,7)</f>
        <v>39485</v>
      </c>
      <c r="E21094" s="5">
        <f t="shared" si="345"/>
        <v>2008</v>
      </c>
      <c r="F21094" s="3" t="s">
        <v>3459</v>
      </c>
      <c r="G21094" s="6">
        <v>484.41</v>
      </c>
      <c r="H21094" s="5">
        <v>2645</v>
      </c>
    </row>
    <row r="21095" spans="2:8" ht="15" customHeight="1" x14ac:dyDescent="0.4">
      <c r="B21095" s="3" t="s">
        <v>7</v>
      </c>
      <c r="C21095" s="3" t="s">
        <v>138</v>
      </c>
      <c r="D21095" s="4">
        <f>DATE(2008,2,12)</f>
        <v>39490</v>
      </c>
      <c r="E21095" s="5">
        <f t="shared" si="345"/>
        <v>2008</v>
      </c>
      <c r="F21095" s="3" t="s">
        <v>3459</v>
      </c>
      <c r="G21095" s="6">
        <v>2895.4</v>
      </c>
      <c r="H21095" s="5">
        <v>2439</v>
      </c>
    </row>
    <row r="21096" spans="2:8" ht="15" customHeight="1" x14ac:dyDescent="0.4">
      <c r="B21096" s="3" t="s">
        <v>7</v>
      </c>
      <c r="C21096" s="3" t="s">
        <v>138</v>
      </c>
      <c r="D21096" s="4">
        <f>DATE(2008,2,12)</f>
        <v>39490</v>
      </c>
      <c r="E21096" s="5">
        <f t="shared" si="345"/>
        <v>2008</v>
      </c>
      <c r="F21096" s="3" t="s">
        <v>3459</v>
      </c>
      <c r="G21096" s="6">
        <v>2596</v>
      </c>
      <c r="H21096" s="5">
        <v>2440</v>
      </c>
    </row>
    <row r="21097" spans="2:8" ht="15" customHeight="1" x14ac:dyDescent="0.4">
      <c r="B21097" s="3" t="s">
        <v>7</v>
      </c>
      <c r="C21097" s="3" t="s">
        <v>138</v>
      </c>
      <c r="D21097" s="4">
        <f>DATE(2008,2,13)</f>
        <v>39491</v>
      </c>
      <c r="E21097" s="5">
        <f t="shared" si="345"/>
        <v>2008</v>
      </c>
      <c r="F21097" s="3" t="s">
        <v>3459</v>
      </c>
      <c r="G21097" s="6">
        <v>803.4</v>
      </c>
      <c r="H21097" s="5">
        <v>2646</v>
      </c>
    </row>
    <row r="21098" spans="2:8" ht="15" customHeight="1" x14ac:dyDescent="0.4">
      <c r="B21098" s="3" t="s">
        <v>7</v>
      </c>
      <c r="C21098" s="3" t="s">
        <v>138</v>
      </c>
      <c r="D21098" s="4">
        <f>DATE(2008,2,14)</f>
        <v>39492</v>
      </c>
      <c r="E21098" s="5">
        <f t="shared" si="345"/>
        <v>2008</v>
      </c>
      <c r="F21098" s="3" t="s">
        <v>3459</v>
      </c>
      <c r="G21098" s="6">
        <v>1614.7</v>
      </c>
      <c r="H21098" s="5">
        <v>2661</v>
      </c>
    </row>
    <row r="21099" spans="2:8" ht="15" customHeight="1" x14ac:dyDescent="0.4">
      <c r="B21099" s="3" t="s">
        <v>7</v>
      </c>
      <c r="C21099" s="3" t="s">
        <v>138</v>
      </c>
      <c r="D21099" s="4">
        <f>DATE(2008,3,3)</f>
        <v>39510</v>
      </c>
      <c r="E21099" s="5">
        <f t="shared" si="345"/>
        <v>2008</v>
      </c>
      <c r="F21099" s="3" t="s">
        <v>3459</v>
      </c>
      <c r="G21099" s="6">
        <v>10289.17</v>
      </c>
      <c r="H21099" s="5">
        <v>2676</v>
      </c>
    </row>
    <row r="21100" spans="2:8" ht="15" customHeight="1" x14ac:dyDescent="0.4">
      <c r="B21100" s="3" t="s">
        <v>7</v>
      </c>
      <c r="C21100" s="3" t="s">
        <v>138</v>
      </c>
      <c r="D21100" s="4">
        <f>DATE(2008,3,3)</f>
        <v>39510</v>
      </c>
      <c r="E21100" s="5">
        <f t="shared" si="345"/>
        <v>2008</v>
      </c>
      <c r="F21100" s="3" t="s">
        <v>3459</v>
      </c>
      <c r="G21100" s="6">
        <v>1614.7</v>
      </c>
      <c r="H21100" s="5">
        <v>2689</v>
      </c>
    </row>
    <row r="21101" spans="2:8" ht="15" customHeight="1" x14ac:dyDescent="0.4">
      <c r="B21101" s="3" t="s">
        <v>7</v>
      </c>
      <c r="C21101" s="3" t="s">
        <v>138</v>
      </c>
      <c r="D21101" s="4">
        <f>DATE(2008,3,5)</f>
        <v>39512</v>
      </c>
      <c r="E21101" s="5">
        <f t="shared" si="345"/>
        <v>2008</v>
      </c>
      <c r="F21101" s="3" t="s">
        <v>3459</v>
      </c>
      <c r="G21101" s="6">
        <v>768.24</v>
      </c>
      <c r="H21101" s="5">
        <v>2703</v>
      </c>
    </row>
    <row r="21102" spans="2:8" ht="15" customHeight="1" x14ac:dyDescent="0.4">
      <c r="B21102" s="3" t="s">
        <v>7</v>
      </c>
      <c r="C21102" s="3" t="s">
        <v>138</v>
      </c>
      <c r="D21102" s="4">
        <f>DATE(2008,3,11)</f>
        <v>39518</v>
      </c>
      <c r="E21102" s="5">
        <f t="shared" si="345"/>
        <v>2008</v>
      </c>
      <c r="F21102" s="3" t="s">
        <v>3459</v>
      </c>
      <c r="G21102" s="6">
        <v>2171.5500000000002</v>
      </c>
      <c r="H21102" s="5">
        <v>2713</v>
      </c>
    </row>
    <row r="21103" spans="2:8" ht="15" customHeight="1" x14ac:dyDescent="0.4">
      <c r="B21103" s="3" t="s">
        <v>7</v>
      </c>
      <c r="C21103" s="3" t="s">
        <v>138</v>
      </c>
      <c r="D21103" s="4">
        <f>DATE(2008,3,31)</f>
        <v>39538</v>
      </c>
      <c r="E21103" s="5">
        <f t="shared" si="345"/>
        <v>2008</v>
      </c>
      <c r="F21103" s="3" t="s">
        <v>3459</v>
      </c>
      <c r="G21103" s="6">
        <v>1073</v>
      </c>
      <c r="H21103" s="5">
        <v>2728</v>
      </c>
    </row>
    <row r="21104" spans="2:8" ht="15" customHeight="1" x14ac:dyDescent="0.4">
      <c r="B21104" s="3" t="s">
        <v>7</v>
      </c>
      <c r="C21104" s="3" t="s">
        <v>138</v>
      </c>
      <c r="D21104" s="4">
        <f>DATE(2008,3,31)</f>
        <v>39538</v>
      </c>
      <c r="E21104" s="5">
        <f t="shared" si="345"/>
        <v>2008</v>
      </c>
      <c r="F21104" s="3" t="s">
        <v>3459</v>
      </c>
      <c r="G21104" s="6">
        <v>2171.5500000000002</v>
      </c>
      <c r="H21104" s="5">
        <v>2733</v>
      </c>
    </row>
    <row r="21105" spans="2:8" ht="15" customHeight="1" x14ac:dyDescent="0.4">
      <c r="B21105" s="3" t="s">
        <v>7</v>
      </c>
      <c r="C21105" s="3" t="s">
        <v>138</v>
      </c>
      <c r="D21105" s="4">
        <f>DATE(2008,4,9)</f>
        <v>39547</v>
      </c>
      <c r="E21105" s="5">
        <f t="shared" si="345"/>
        <v>2008</v>
      </c>
      <c r="F21105" s="3" t="s">
        <v>3459</v>
      </c>
      <c r="G21105" s="6">
        <v>1073</v>
      </c>
      <c r="H21105" s="5">
        <v>2762</v>
      </c>
    </row>
    <row r="21106" spans="2:8" ht="15" customHeight="1" x14ac:dyDescent="0.4">
      <c r="B21106" s="3" t="s">
        <v>7</v>
      </c>
      <c r="C21106" s="3" t="s">
        <v>138</v>
      </c>
      <c r="D21106" s="4">
        <f>DATE(2008,4,9)</f>
        <v>39547</v>
      </c>
      <c r="E21106" s="5">
        <f t="shared" si="345"/>
        <v>2008</v>
      </c>
      <c r="F21106" s="3" t="s">
        <v>3459</v>
      </c>
      <c r="G21106" s="6">
        <v>618</v>
      </c>
      <c r="H21106" s="5">
        <v>2671</v>
      </c>
    </row>
    <row r="21107" spans="2:8" ht="15" customHeight="1" x14ac:dyDescent="0.4">
      <c r="B21107" s="3" t="s">
        <v>7</v>
      </c>
      <c r="C21107" s="3" t="s">
        <v>138</v>
      </c>
      <c r="D21107" s="4">
        <f>DATE(2008,4,17)</f>
        <v>39555</v>
      </c>
      <c r="E21107" s="5">
        <f t="shared" si="345"/>
        <v>2008</v>
      </c>
      <c r="F21107" s="3" t="s">
        <v>3459</v>
      </c>
      <c r="G21107" s="6">
        <v>1196.08</v>
      </c>
      <c r="H21107" s="5">
        <v>2782</v>
      </c>
    </row>
    <row r="21108" spans="2:8" ht="15" customHeight="1" x14ac:dyDescent="0.4">
      <c r="B21108" s="3" t="s">
        <v>7</v>
      </c>
      <c r="C21108" s="3" t="s">
        <v>138</v>
      </c>
      <c r="D21108" s="4">
        <f>DATE(2008,5,13)</f>
        <v>39581</v>
      </c>
      <c r="E21108" s="5">
        <f t="shared" si="345"/>
        <v>2008</v>
      </c>
      <c r="F21108" s="3" t="s">
        <v>3459</v>
      </c>
      <c r="G21108" s="6">
        <v>204.6</v>
      </c>
      <c r="H21108" s="5">
        <v>2829</v>
      </c>
    </row>
    <row r="21109" spans="2:8" ht="15" customHeight="1" x14ac:dyDescent="0.4">
      <c r="B21109" s="3" t="s">
        <v>7</v>
      </c>
      <c r="C21109" s="3" t="s">
        <v>138</v>
      </c>
      <c r="D21109" s="4">
        <f>DATE(2008,5,29)</f>
        <v>39597</v>
      </c>
      <c r="E21109" s="5">
        <f t="shared" si="345"/>
        <v>2008</v>
      </c>
      <c r="F21109" s="3" t="s">
        <v>3459</v>
      </c>
      <c r="G21109" s="6">
        <v>494.4</v>
      </c>
      <c r="H21109" s="5">
        <v>2857</v>
      </c>
    </row>
    <row r="21110" spans="2:8" ht="15" customHeight="1" x14ac:dyDescent="0.4">
      <c r="B21110" s="3" t="s">
        <v>7</v>
      </c>
      <c r="C21110" s="3" t="s">
        <v>138</v>
      </c>
      <c r="D21110" s="4">
        <f>DATE(2008,6,18)</f>
        <v>39617</v>
      </c>
      <c r="E21110" s="5">
        <f t="shared" si="345"/>
        <v>2008</v>
      </c>
      <c r="F21110" s="3" t="s">
        <v>3459</v>
      </c>
      <c r="G21110" s="6">
        <v>1181.5999999999999</v>
      </c>
      <c r="H21110" s="5">
        <v>2727</v>
      </c>
    </row>
    <row r="21111" spans="2:8" ht="15" customHeight="1" x14ac:dyDescent="0.4">
      <c r="B21111" s="3" t="s">
        <v>7</v>
      </c>
      <c r="C21111" s="3" t="s">
        <v>138</v>
      </c>
      <c r="D21111" s="4">
        <f>DATE(2008,7,18)</f>
        <v>39647</v>
      </c>
      <c r="E21111" s="5">
        <f t="shared" si="345"/>
        <v>2008</v>
      </c>
      <c r="F21111" s="3" t="s">
        <v>3459</v>
      </c>
      <c r="G21111" s="6">
        <v>467.5</v>
      </c>
      <c r="H21111" s="5">
        <v>2929</v>
      </c>
    </row>
    <row r="21112" spans="2:8" ht="15" customHeight="1" x14ac:dyDescent="0.4">
      <c r="B21112" s="3" t="s">
        <v>7</v>
      </c>
      <c r="C21112" s="3" t="s">
        <v>138</v>
      </c>
      <c r="D21112" s="4">
        <f>DATE(2008,7,18)</f>
        <v>39647</v>
      </c>
      <c r="E21112" s="5">
        <f t="shared" si="345"/>
        <v>2008</v>
      </c>
      <c r="F21112" s="3" t="s">
        <v>3459</v>
      </c>
      <c r="G21112" s="6">
        <v>781.68</v>
      </c>
      <c r="H21112" s="5">
        <v>2930</v>
      </c>
    </row>
    <row r="21113" spans="2:8" ht="15" customHeight="1" x14ac:dyDescent="0.4">
      <c r="B21113" s="3" t="s">
        <v>7</v>
      </c>
      <c r="C21113" s="3" t="s">
        <v>138</v>
      </c>
      <c r="D21113" s="4">
        <f>DATE(2008,7,30)</f>
        <v>39659</v>
      </c>
      <c r="E21113" s="5">
        <f t="shared" si="345"/>
        <v>2008</v>
      </c>
      <c r="F21113" s="3" t="s">
        <v>3459</v>
      </c>
      <c r="G21113" s="6">
        <v>1090</v>
      </c>
      <c r="H21113" s="5">
        <v>2944</v>
      </c>
    </row>
    <row r="21114" spans="2:8" ht="15" customHeight="1" x14ac:dyDescent="0.4">
      <c r="B21114" s="3" t="s">
        <v>7</v>
      </c>
      <c r="C21114" s="3" t="s">
        <v>138</v>
      </c>
      <c r="D21114" s="4">
        <f>DATE(2008,8,4)</f>
        <v>39664</v>
      </c>
      <c r="E21114" s="5">
        <f t="shared" si="345"/>
        <v>2008</v>
      </c>
      <c r="F21114" s="3" t="s">
        <v>3459</v>
      </c>
      <c r="G21114" s="6">
        <v>3097.6</v>
      </c>
      <c r="H21114" s="5">
        <v>2957</v>
      </c>
    </row>
    <row r="21115" spans="2:8" ht="15" customHeight="1" x14ac:dyDescent="0.4">
      <c r="B21115" s="3" t="s">
        <v>7</v>
      </c>
      <c r="C21115" s="3" t="s">
        <v>138</v>
      </c>
      <c r="D21115" s="4">
        <f>DATE(2008,8,4)</f>
        <v>39664</v>
      </c>
      <c r="E21115" s="5">
        <f t="shared" si="345"/>
        <v>2008</v>
      </c>
      <c r="F21115" s="3" t="s">
        <v>3459</v>
      </c>
      <c r="G21115" s="6">
        <v>2937.2</v>
      </c>
      <c r="H21115" s="5">
        <v>2880</v>
      </c>
    </row>
    <row r="21116" spans="2:8" ht="15" customHeight="1" x14ac:dyDescent="0.4">
      <c r="B21116" s="3" t="s">
        <v>7</v>
      </c>
      <c r="C21116" s="3" t="s">
        <v>138</v>
      </c>
      <c r="D21116" s="4">
        <f>DATE(2008,8,20)</f>
        <v>39680</v>
      </c>
      <c r="E21116" s="5">
        <f t="shared" si="345"/>
        <v>2008</v>
      </c>
      <c r="F21116" s="3" t="s">
        <v>3459</v>
      </c>
      <c r="G21116" s="6">
        <v>467.5</v>
      </c>
      <c r="H21116" s="5">
        <v>2960</v>
      </c>
    </row>
    <row r="21117" spans="2:8" ht="15" customHeight="1" x14ac:dyDescent="0.4">
      <c r="B21117" s="3" t="s">
        <v>7</v>
      </c>
      <c r="C21117" s="3" t="s">
        <v>138</v>
      </c>
      <c r="D21117" s="4">
        <f>DATE(2008,9,3)</f>
        <v>39694</v>
      </c>
      <c r="E21117" s="5">
        <f t="shared" si="345"/>
        <v>2008</v>
      </c>
      <c r="F21117" s="3" t="s">
        <v>3459</v>
      </c>
      <c r="G21117" s="6">
        <v>1073</v>
      </c>
      <c r="H21117" s="5">
        <v>3010</v>
      </c>
    </row>
    <row r="21118" spans="2:8" ht="15" customHeight="1" x14ac:dyDescent="0.4">
      <c r="B21118" s="3" t="s">
        <v>7</v>
      </c>
      <c r="C21118" s="3" t="s">
        <v>138</v>
      </c>
      <c r="D21118" s="4">
        <f>DATE(2008,9,3)</f>
        <v>39694</v>
      </c>
      <c r="E21118" s="5">
        <f t="shared" si="345"/>
        <v>2008</v>
      </c>
      <c r="F21118" s="3" t="s">
        <v>3459</v>
      </c>
      <c r="G21118" s="6">
        <v>472.68</v>
      </c>
      <c r="H21118" s="5">
        <v>3009</v>
      </c>
    </row>
    <row r="21119" spans="2:8" ht="15" customHeight="1" x14ac:dyDescent="0.4">
      <c r="B21119" s="3" t="s">
        <v>7</v>
      </c>
      <c r="C21119" s="3" t="s">
        <v>138</v>
      </c>
      <c r="D21119" s="4">
        <f>DATE(2008,9,3)</f>
        <v>39694</v>
      </c>
      <c r="E21119" s="5">
        <f t="shared" si="345"/>
        <v>2008</v>
      </c>
      <c r="F21119" s="3" t="s">
        <v>3459</v>
      </c>
      <c r="G21119" s="6">
        <v>1135.75</v>
      </c>
      <c r="H21119" s="5">
        <v>2964</v>
      </c>
    </row>
    <row r="21120" spans="2:8" ht="15" customHeight="1" x14ac:dyDescent="0.4">
      <c r="B21120" s="3" t="s">
        <v>7</v>
      </c>
      <c r="C21120" s="3" t="s">
        <v>138</v>
      </c>
      <c r="D21120" s="4">
        <f>DATE(2008,9,9)</f>
        <v>39700</v>
      </c>
      <c r="E21120" s="5">
        <f t="shared" si="345"/>
        <v>2008</v>
      </c>
      <c r="F21120" s="3" t="s">
        <v>3459</v>
      </c>
      <c r="G21120" s="6">
        <v>6400.5</v>
      </c>
      <c r="H21120" s="5">
        <v>2958</v>
      </c>
    </row>
    <row r="21121" spans="2:8" ht="15" customHeight="1" x14ac:dyDescent="0.4">
      <c r="B21121" s="3" t="s">
        <v>7</v>
      </c>
      <c r="C21121" s="3" t="s">
        <v>138</v>
      </c>
      <c r="D21121" s="4">
        <f>DATE(2008,9,26)</f>
        <v>39717</v>
      </c>
      <c r="E21121" s="5">
        <f t="shared" si="345"/>
        <v>2008</v>
      </c>
      <c r="F21121" s="3" t="s">
        <v>3459</v>
      </c>
      <c r="G21121" s="6">
        <v>322.94</v>
      </c>
      <c r="H21121" s="5">
        <v>3054</v>
      </c>
    </row>
    <row r="21122" spans="2:8" ht="15" customHeight="1" x14ac:dyDescent="0.4">
      <c r="B21122" s="3" t="s">
        <v>7</v>
      </c>
      <c r="C21122" s="3" t="s">
        <v>138</v>
      </c>
      <c r="D21122" s="4">
        <f>DATE(2008,9,29)</f>
        <v>39720</v>
      </c>
      <c r="E21122" s="5">
        <f t="shared" si="345"/>
        <v>2008</v>
      </c>
      <c r="F21122" s="3" t="s">
        <v>3459</v>
      </c>
      <c r="G21122" s="6">
        <v>1716.8</v>
      </c>
      <c r="H21122" s="5">
        <v>3055</v>
      </c>
    </row>
    <row r="21123" spans="2:8" ht="15" customHeight="1" x14ac:dyDescent="0.4">
      <c r="B21123" s="3" t="s">
        <v>7</v>
      </c>
      <c r="C21123" s="3" t="s">
        <v>138</v>
      </c>
      <c r="D21123" s="4">
        <f>DATE(2008,10,9)</f>
        <v>39730</v>
      </c>
      <c r="E21123" s="5">
        <f t="shared" ref="E21123:E21186" si="346">YEAR(D21123)</f>
        <v>2008</v>
      </c>
      <c r="F21123" s="3" t="s">
        <v>3459</v>
      </c>
      <c r="G21123" s="6">
        <v>429.2</v>
      </c>
      <c r="H21123" s="5">
        <v>3098</v>
      </c>
    </row>
    <row r="21124" spans="2:8" ht="15" customHeight="1" x14ac:dyDescent="0.4">
      <c r="B21124" s="3" t="s">
        <v>7</v>
      </c>
      <c r="C21124" s="3" t="s">
        <v>138</v>
      </c>
      <c r="D21124" s="4">
        <f>DATE(2008,10,9)</f>
        <v>39730</v>
      </c>
      <c r="E21124" s="5">
        <f t="shared" si="346"/>
        <v>2008</v>
      </c>
      <c r="F21124" s="3" t="s">
        <v>3459</v>
      </c>
      <c r="G21124" s="6">
        <v>3210</v>
      </c>
      <c r="H21124" s="5">
        <v>3088</v>
      </c>
    </row>
    <row r="21125" spans="2:8" ht="15" customHeight="1" x14ac:dyDescent="0.4">
      <c r="B21125" s="3" t="s">
        <v>7</v>
      </c>
      <c r="C21125" s="3" t="s">
        <v>138</v>
      </c>
      <c r="D21125" s="4">
        <f>DATE(2008,10,10)</f>
        <v>39731</v>
      </c>
      <c r="E21125" s="5">
        <f t="shared" si="346"/>
        <v>2008</v>
      </c>
      <c r="F21125" s="3" t="s">
        <v>3459</v>
      </c>
      <c r="G21125" s="6">
        <v>467.5</v>
      </c>
      <c r="H21125" s="5">
        <v>3087</v>
      </c>
    </row>
    <row r="21126" spans="2:8" ht="15" customHeight="1" x14ac:dyDescent="0.4">
      <c r="B21126" s="3" t="s">
        <v>7</v>
      </c>
      <c r="C21126" s="3" t="s">
        <v>138</v>
      </c>
      <c r="D21126" s="4">
        <f>DATE(2008,11,4)</f>
        <v>39756</v>
      </c>
      <c r="E21126" s="5">
        <f t="shared" si="346"/>
        <v>2008</v>
      </c>
      <c r="F21126" s="3" t="s">
        <v>3459</v>
      </c>
      <c r="G21126" s="6">
        <v>3473.75</v>
      </c>
      <c r="H21126" s="5">
        <v>3089</v>
      </c>
    </row>
    <row r="21127" spans="2:8" ht="15" customHeight="1" x14ac:dyDescent="0.4">
      <c r="B21127" s="3" t="s">
        <v>7</v>
      </c>
      <c r="C21127" s="3" t="s">
        <v>138</v>
      </c>
      <c r="D21127" s="4">
        <f>DATE(2008,11,10)</f>
        <v>39762</v>
      </c>
      <c r="E21127" s="5">
        <f t="shared" si="346"/>
        <v>2008</v>
      </c>
      <c r="F21127" s="3" t="s">
        <v>3459</v>
      </c>
      <c r="G21127" s="6">
        <v>3613.28</v>
      </c>
      <c r="H21127" s="5">
        <v>3127</v>
      </c>
    </row>
    <row r="21128" spans="2:8" ht="15" customHeight="1" x14ac:dyDescent="0.4">
      <c r="B21128" s="3" t="s">
        <v>7</v>
      </c>
      <c r="C21128" s="3" t="s">
        <v>138</v>
      </c>
      <c r="D21128" s="4">
        <f>DATE(2008,12,2)</f>
        <v>39784</v>
      </c>
      <c r="E21128" s="5">
        <f t="shared" si="346"/>
        <v>2008</v>
      </c>
      <c r="F21128" s="3" t="s">
        <v>3459</v>
      </c>
      <c r="G21128" s="6">
        <v>4343.1000000000004</v>
      </c>
      <c r="H21128" s="5">
        <v>3157</v>
      </c>
    </row>
    <row r="21129" spans="2:8" ht="15" customHeight="1" x14ac:dyDescent="0.4">
      <c r="B21129" s="3" t="s">
        <v>7</v>
      </c>
      <c r="C21129" s="3" t="s">
        <v>138</v>
      </c>
      <c r="D21129" s="4">
        <f>DATE(2008,12,2)</f>
        <v>39784</v>
      </c>
      <c r="E21129" s="5">
        <f t="shared" si="346"/>
        <v>2008</v>
      </c>
      <c r="F21129" s="3" t="s">
        <v>3459</v>
      </c>
      <c r="G21129" s="6">
        <v>12366.68</v>
      </c>
      <c r="H21129" s="5">
        <v>3058</v>
      </c>
    </row>
    <row r="21130" spans="2:8" ht="15" customHeight="1" x14ac:dyDescent="0.4">
      <c r="B21130" s="3" t="s">
        <v>7</v>
      </c>
      <c r="C21130" s="3" t="s">
        <v>138</v>
      </c>
      <c r="D21130" s="4">
        <f>DATE(2008,12,22)</f>
        <v>39804</v>
      </c>
      <c r="E21130" s="5">
        <f t="shared" si="346"/>
        <v>2008</v>
      </c>
      <c r="F21130" s="3" t="s">
        <v>3459</v>
      </c>
      <c r="G21130" s="6">
        <v>618</v>
      </c>
      <c r="H21130" s="5">
        <v>3184</v>
      </c>
    </row>
    <row r="21131" spans="2:8" ht="15" customHeight="1" x14ac:dyDescent="0.4">
      <c r="B21131" s="3" t="s">
        <v>7</v>
      </c>
      <c r="C21131" s="3" t="s">
        <v>138</v>
      </c>
      <c r="D21131" s="4">
        <f>DATE(2009,2,6)</f>
        <v>39850</v>
      </c>
      <c r="E21131" s="5">
        <f t="shared" si="346"/>
        <v>2009</v>
      </c>
      <c r="F21131" s="3" t="s">
        <v>3459</v>
      </c>
      <c r="G21131" s="6">
        <v>1073</v>
      </c>
      <c r="H21131" s="5">
        <v>3258</v>
      </c>
    </row>
    <row r="21132" spans="2:8" ht="15" customHeight="1" x14ac:dyDescent="0.4">
      <c r="B21132" s="3" t="s">
        <v>7</v>
      </c>
      <c r="C21132" s="3" t="s">
        <v>138</v>
      </c>
      <c r="D21132" s="4">
        <f>DATE(2009,2,6)</f>
        <v>39850</v>
      </c>
      <c r="E21132" s="5">
        <f t="shared" si="346"/>
        <v>2009</v>
      </c>
      <c r="F21132" s="3" t="s">
        <v>3459</v>
      </c>
      <c r="G21132" s="6">
        <v>3619.25</v>
      </c>
      <c r="H21132" s="5">
        <v>3253</v>
      </c>
    </row>
    <row r="21133" spans="2:8" ht="15" customHeight="1" x14ac:dyDescent="0.4">
      <c r="B21133" s="3" t="s">
        <v>16</v>
      </c>
      <c r="C21133" s="3" t="s">
        <v>138</v>
      </c>
      <c r="D21133" s="4">
        <f>DATE(2007,8,1)</f>
        <v>39295</v>
      </c>
      <c r="E21133" s="5">
        <f t="shared" si="346"/>
        <v>2007</v>
      </c>
      <c r="F21133" s="3" t="s">
        <v>3459</v>
      </c>
      <c r="G21133" s="6">
        <v>85</v>
      </c>
      <c r="H21133" s="5">
        <v>2375</v>
      </c>
    </row>
    <row r="21134" spans="2:8" ht="15" customHeight="1" x14ac:dyDescent="0.4">
      <c r="B21134" s="3" t="s">
        <v>16</v>
      </c>
      <c r="C21134" s="3" t="s">
        <v>138</v>
      </c>
      <c r="D21134" s="4">
        <f>DATE(2008,3,1)</f>
        <v>39508</v>
      </c>
      <c r="E21134" s="5">
        <f t="shared" si="346"/>
        <v>2008</v>
      </c>
      <c r="F21134" s="3" t="s">
        <v>3459</v>
      </c>
      <c r="G21134" s="6">
        <v>927</v>
      </c>
      <c r="H21134" s="5">
        <v>2735</v>
      </c>
    </row>
    <row r="21135" spans="2:8" ht="15" customHeight="1" x14ac:dyDescent="0.4">
      <c r="B21135" t="s">
        <v>7</v>
      </c>
      <c r="C21135" t="s">
        <v>138</v>
      </c>
      <c r="D21135" s="7">
        <f>DATE(2015,1,23)</f>
        <v>42027</v>
      </c>
      <c r="E21135" s="8">
        <f t="shared" si="346"/>
        <v>2015</v>
      </c>
      <c r="F21135" t="s">
        <v>3460</v>
      </c>
      <c r="G21135" s="9">
        <v>15302</v>
      </c>
      <c r="H21135" s="8">
        <v>13</v>
      </c>
    </row>
    <row r="21136" spans="2:8" ht="15" customHeight="1" x14ac:dyDescent="0.4">
      <c r="B21136" t="s">
        <v>7</v>
      </c>
      <c r="C21136" t="s">
        <v>138</v>
      </c>
      <c r="D21136" s="7">
        <f>DATE(2015,1,23)</f>
        <v>42027</v>
      </c>
      <c r="E21136" s="8">
        <f t="shared" si="346"/>
        <v>2015</v>
      </c>
      <c r="F21136" t="s">
        <v>3460</v>
      </c>
      <c r="G21136" s="9">
        <v>136.19999999999999</v>
      </c>
      <c r="H21136" s="8">
        <v>228</v>
      </c>
    </row>
    <row r="21137" spans="2:8" ht="15" customHeight="1" x14ac:dyDescent="0.4">
      <c r="B21137" t="s">
        <v>7</v>
      </c>
      <c r="C21137" t="s">
        <v>138</v>
      </c>
      <c r="D21137" s="7">
        <f>DATE(2015,1,23)</f>
        <v>42027</v>
      </c>
      <c r="E21137" s="8">
        <f t="shared" si="346"/>
        <v>2015</v>
      </c>
      <c r="F21137" t="s">
        <v>3460</v>
      </c>
      <c r="G21137" s="9">
        <v>4398.1000000000004</v>
      </c>
      <c r="H21137" s="8">
        <v>227</v>
      </c>
    </row>
    <row r="21138" spans="2:8" ht="15" customHeight="1" x14ac:dyDescent="0.4">
      <c r="B21138" t="s">
        <v>7</v>
      </c>
      <c r="C21138" t="s">
        <v>138</v>
      </c>
      <c r="D21138" s="7">
        <f>DATE(2015,1,23)</f>
        <v>42027</v>
      </c>
      <c r="E21138" s="8">
        <f t="shared" si="346"/>
        <v>2015</v>
      </c>
      <c r="F21138" t="s">
        <v>3460</v>
      </c>
      <c r="G21138" s="9">
        <v>1028.5999999999999</v>
      </c>
      <c r="H21138" s="8">
        <v>93</v>
      </c>
    </row>
    <row r="21139" spans="2:8" ht="15" customHeight="1" x14ac:dyDescent="0.4">
      <c r="B21139" t="s">
        <v>7</v>
      </c>
      <c r="C21139" t="s">
        <v>138</v>
      </c>
      <c r="D21139" s="7">
        <f>DATE(2015,2,2)</f>
        <v>42037</v>
      </c>
      <c r="E21139" s="8">
        <f t="shared" si="346"/>
        <v>2015</v>
      </c>
      <c r="F21139" t="s">
        <v>3460</v>
      </c>
      <c r="G21139" s="9">
        <v>3245</v>
      </c>
      <c r="H21139" s="8">
        <v>268</v>
      </c>
    </row>
    <row r="21140" spans="2:8" ht="15" customHeight="1" x14ac:dyDescent="0.4">
      <c r="B21140" t="s">
        <v>7</v>
      </c>
      <c r="C21140" t="s">
        <v>138</v>
      </c>
      <c r="D21140" s="7">
        <f>DATE(2015,2,2)</f>
        <v>42037</v>
      </c>
      <c r="E21140" s="8">
        <f t="shared" si="346"/>
        <v>2015</v>
      </c>
      <c r="F21140" t="s">
        <v>3460</v>
      </c>
      <c r="G21140" s="9">
        <v>9782.7999999999993</v>
      </c>
      <c r="H21140" s="8">
        <v>267</v>
      </c>
    </row>
    <row r="21141" spans="2:8" ht="15" customHeight="1" x14ac:dyDescent="0.4">
      <c r="B21141" t="s">
        <v>7</v>
      </c>
      <c r="C21141" t="s">
        <v>138</v>
      </c>
      <c r="D21141" s="7">
        <f>DATE(2015,2,2)</f>
        <v>42037</v>
      </c>
      <c r="E21141" s="8">
        <f t="shared" si="346"/>
        <v>2015</v>
      </c>
      <c r="F21141" t="s">
        <v>3460</v>
      </c>
      <c r="G21141" s="9">
        <v>3412.5</v>
      </c>
      <c r="H21141" s="8">
        <v>271</v>
      </c>
    </row>
    <row r="21142" spans="2:8" ht="15" customHeight="1" x14ac:dyDescent="0.4">
      <c r="B21142" t="s">
        <v>7</v>
      </c>
      <c r="C21142" t="s">
        <v>138</v>
      </c>
      <c r="D21142" s="7">
        <f>DATE(2015,2,19)</f>
        <v>42054</v>
      </c>
      <c r="E21142" s="8">
        <f t="shared" si="346"/>
        <v>2015</v>
      </c>
      <c r="F21142" t="s">
        <v>3460</v>
      </c>
      <c r="G21142" s="9">
        <v>2013.9</v>
      </c>
      <c r="H21142" s="8">
        <v>5017</v>
      </c>
    </row>
    <row r="21143" spans="2:8" ht="15" customHeight="1" x14ac:dyDescent="0.4">
      <c r="B21143" t="s">
        <v>7</v>
      </c>
      <c r="C21143" t="s">
        <v>138</v>
      </c>
      <c r="D21143" s="7">
        <f>DATE(2015,2,19)</f>
        <v>42054</v>
      </c>
      <c r="E21143" s="8">
        <f t="shared" si="346"/>
        <v>2015</v>
      </c>
      <c r="F21143" t="s">
        <v>3460</v>
      </c>
      <c r="G21143" s="9">
        <v>1308</v>
      </c>
      <c r="H21143" s="8">
        <v>5016</v>
      </c>
    </row>
    <row r="21144" spans="2:8" ht="15" customHeight="1" x14ac:dyDescent="0.4">
      <c r="B21144" t="s">
        <v>7</v>
      </c>
      <c r="C21144" t="s">
        <v>138</v>
      </c>
      <c r="D21144" s="7">
        <f>DATE(2015,2,24)</f>
        <v>42059</v>
      </c>
      <c r="E21144" s="8">
        <f t="shared" si="346"/>
        <v>2015</v>
      </c>
      <c r="F21144" t="s">
        <v>3460</v>
      </c>
      <c r="G21144" s="9">
        <v>8112.5</v>
      </c>
      <c r="H21144" s="8">
        <v>5033</v>
      </c>
    </row>
    <row r="21145" spans="2:8" ht="15" customHeight="1" x14ac:dyDescent="0.4">
      <c r="B21145" t="s">
        <v>7</v>
      </c>
      <c r="C21145" t="s">
        <v>138</v>
      </c>
      <c r="D21145" s="7">
        <f>DATE(2015,3,3)</f>
        <v>42066</v>
      </c>
      <c r="E21145" s="8">
        <f t="shared" si="346"/>
        <v>2015</v>
      </c>
      <c r="F21145" t="s">
        <v>3460</v>
      </c>
      <c r="G21145" s="9">
        <v>15610.1</v>
      </c>
      <c r="H21145" s="8">
        <v>270</v>
      </c>
    </row>
    <row r="21146" spans="2:8" ht="15" customHeight="1" x14ac:dyDescent="0.4">
      <c r="B21146" t="s">
        <v>7</v>
      </c>
      <c r="C21146" t="s">
        <v>138</v>
      </c>
      <c r="D21146" s="7">
        <f>DATE(2015,3,13)</f>
        <v>42076</v>
      </c>
      <c r="E21146" s="8">
        <f t="shared" si="346"/>
        <v>2015</v>
      </c>
      <c r="F21146" t="s">
        <v>3460</v>
      </c>
      <c r="G21146" s="9">
        <v>2013.9</v>
      </c>
      <c r="H21146" s="8">
        <v>20103</v>
      </c>
    </row>
    <row r="21147" spans="2:8" ht="15" customHeight="1" x14ac:dyDescent="0.4">
      <c r="B21147" t="s">
        <v>7</v>
      </c>
      <c r="C21147" t="s">
        <v>138</v>
      </c>
      <c r="D21147" s="7">
        <f>DATE(2015,3,13)</f>
        <v>42076</v>
      </c>
      <c r="E21147" s="8">
        <f t="shared" si="346"/>
        <v>2015</v>
      </c>
      <c r="F21147" t="s">
        <v>3460</v>
      </c>
      <c r="G21147" s="9">
        <v>895</v>
      </c>
      <c r="H21147" s="8">
        <v>20102</v>
      </c>
    </row>
    <row r="21148" spans="2:8" ht="15" customHeight="1" x14ac:dyDescent="0.4">
      <c r="B21148" t="s">
        <v>7</v>
      </c>
      <c r="C21148" t="s">
        <v>138</v>
      </c>
      <c r="D21148" s="7">
        <f>DATE(2015,3,19)</f>
        <v>42082</v>
      </c>
      <c r="E21148" s="8">
        <f t="shared" si="346"/>
        <v>2015</v>
      </c>
      <c r="F21148" t="s">
        <v>3460</v>
      </c>
      <c r="G21148" s="9">
        <v>3759.3</v>
      </c>
      <c r="H21148" s="8">
        <v>20167</v>
      </c>
    </row>
    <row r="21149" spans="2:8" ht="15" customHeight="1" x14ac:dyDescent="0.4">
      <c r="B21149" t="s">
        <v>7</v>
      </c>
      <c r="C21149" t="s">
        <v>138</v>
      </c>
      <c r="D21149" s="7">
        <f>DATE(2015,3,26)</f>
        <v>42089</v>
      </c>
      <c r="E21149" s="8">
        <f t="shared" si="346"/>
        <v>2015</v>
      </c>
      <c r="F21149" t="s">
        <v>3460</v>
      </c>
      <c r="G21149" s="9">
        <v>895</v>
      </c>
      <c r="H21149" s="8">
        <v>20168</v>
      </c>
    </row>
    <row r="21150" spans="2:8" ht="15" customHeight="1" x14ac:dyDescent="0.4">
      <c r="B21150" t="s">
        <v>7</v>
      </c>
      <c r="C21150" t="s">
        <v>138</v>
      </c>
      <c r="D21150" s="7">
        <f>DATE(2015,3,26)</f>
        <v>42089</v>
      </c>
      <c r="E21150" s="8">
        <f t="shared" si="346"/>
        <v>2015</v>
      </c>
      <c r="F21150" t="s">
        <v>3460</v>
      </c>
      <c r="G21150" s="9">
        <v>1124.76</v>
      </c>
      <c r="H21150" s="8">
        <v>20264</v>
      </c>
    </row>
    <row r="21151" spans="2:8" ht="15" customHeight="1" x14ac:dyDescent="0.4">
      <c r="B21151" t="s">
        <v>7</v>
      </c>
      <c r="C21151" t="s">
        <v>138</v>
      </c>
      <c r="D21151" s="7">
        <f>DATE(2015,4,7)</f>
        <v>42101</v>
      </c>
      <c r="E21151" s="8">
        <f t="shared" si="346"/>
        <v>2015</v>
      </c>
      <c r="F21151" t="s">
        <v>3460</v>
      </c>
      <c r="G21151" s="9">
        <v>7651.2</v>
      </c>
      <c r="H21151" s="8">
        <v>20229</v>
      </c>
    </row>
    <row r="21152" spans="2:8" ht="15" customHeight="1" x14ac:dyDescent="0.4">
      <c r="B21152" t="s">
        <v>7</v>
      </c>
      <c r="C21152" t="s">
        <v>138</v>
      </c>
      <c r="D21152" s="7">
        <f>DATE(2015,4,17)</f>
        <v>42111</v>
      </c>
      <c r="E21152" s="8">
        <f t="shared" si="346"/>
        <v>2015</v>
      </c>
      <c r="F21152" t="s">
        <v>3460</v>
      </c>
      <c r="G21152" s="9">
        <v>202.93</v>
      </c>
      <c r="H21152" s="8">
        <v>20423</v>
      </c>
    </row>
    <row r="21153" spans="2:8" ht="15" customHeight="1" x14ac:dyDescent="0.4">
      <c r="B21153" t="s">
        <v>7</v>
      </c>
      <c r="C21153" t="s">
        <v>138</v>
      </c>
      <c r="D21153" s="7">
        <f>DATE(2015,4,23)</f>
        <v>42117</v>
      </c>
      <c r="E21153" s="8">
        <f t="shared" si="346"/>
        <v>2015</v>
      </c>
      <c r="F21153" t="s">
        <v>3460</v>
      </c>
      <c r="G21153" s="9">
        <v>1028.5999999999999</v>
      </c>
      <c r="H21153" s="8">
        <v>340</v>
      </c>
    </row>
    <row r="21154" spans="2:8" ht="15" customHeight="1" x14ac:dyDescent="0.4">
      <c r="B21154" t="s">
        <v>7</v>
      </c>
      <c r="C21154" t="s">
        <v>138</v>
      </c>
      <c r="D21154" s="7">
        <f>DATE(2015,4,23)</f>
        <v>42117</v>
      </c>
      <c r="E21154" s="8">
        <f t="shared" si="346"/>
        <v>2015</v>
      </c>
      <c r="F21154" t="s">
        <v>3460</v>
      </c>
      <c r="G21154" s="9">
        <v>576.54999999999995</v>
      </c>
      <c r="H21154" s="8">
        <v>20478</v>
      </c>
    </row>
    <row r="21155" spans="2:8" ht="15" customHeight="1" x14ac:dyDescent="0.4">
      <c r="B21155" t="s">
        <v>7</v>
      </c>
      <c r="C21155" t="s">
        <v>138</v>
      </c>
      <c r="D21155" s="7">
        <f>DATE(2015,5,1)</f>
        <v>42125</v>
      </c>
      <c r="E21155" s="8">
        <f t="shared" si="346"/>
        <v>2015</v>
      </c>
      <c r="F21155" t="s">
        <v>3460</v>
      </c>
      <c r="G21155" s="9">
        <v>3245</v>
      </c>
      <c r="H21155" s="8">
        <v>20507</v>
      </c>
    </row>
    <row r="21156" spans="2:8" ht="15" customHeight="1" x14ac:dyDescent="0.4">
      <c r="B21156" t="s">
        <v>7</v>
      </c>
      <c r="C21156" t="s">
        <v>138</v>
      </c>
      <c r="D21156" s="7">
        <f>DATE(2015,5,12)</f>
        <v>42136</v>
      </c>
      <c r="E21156" s="8">
        <f t="shared" si="346"/>
        <v>2015</v>
      </c>
      <c r="F21156" t="s">
        <v>3460</v>
      </c>
      <c r="G21156" s="9">
        <v>224.25</v>
      </c>
      <c r="H21156" s="8">
        <v>20540</v>
      </c>
    </row>
    <row r="21157" spans="2:8" ht="15" customHeight="1" x14ac:dyDescent="0.4">
      <c r="B21157" t="s">
        <v>7</v>
      </c>
      <c r="C21157" t="s">
        <v>138</v>
      </c>
      <c r="D21157" s="7">
        <f>DATE(2015,5,12)</f>
        <v>42136</v>
      </c>
      <c r="E21157" s="8">
        <f t="shared" si="346"/>
        <v>2015</v>
      </c>
      <c r="F21157" t="s">
        <v>3460</v>
      </c>
      <c r="G21157" s="9">
        <v>3090.24</v>
      </c>
      <c r="H21157" s="8">
        <v>20249</v>
      </c>
    </row>
    <row r="21158" spans="2:8" ht="15" customHeight="1" x14ac:dyDescent="0.4">
      <c r="B21158" t="s">
        <v>7</v>
      </c>
      <c r="C21158" t="s">
        <v>138</v>
      </c>
      <c r="D21158" s="7">
        <f>DATE(2015,5,12)</f>
        <v>42136</v>
      </c>
      <c r="E21158" s="8">
        <f t="shared" si="346"/>
        <v>2015</v>
      </c>
      <c r="F21158" t="s">
        <v>3460</v>
      </c>
      <c r="G21158" s="9">
        <v>579.79999999999995</v>
      </c>
      <c r="H21158" s="8">
        <v>20141</v>
      </c>
    </row>
    <row r="21159" spans="2:8" ht="15" customHeight="1" x14ac:dyDescent="0.4">
      <c r="B21159" t="s">
        <v>7</v>
      </c>
      <c r="C21159" t="s">
        <v>138</v>
      </c>
      <c r="D21159" s="7">
        <f>DATE(2015,5,12)</f>
        <v>42136</v>
      </c>
      <c r="E21159" s="8">
        <f t="shared" si="346"/>
        <v>2015</v>
      </c>
      <c r="F21159" t="s">
        <v>3460</v>
      </c>
      <c r="G21159" s="9">
        <v>2148</v>
      </c>
      <c r="H21159" s="8">
        <v>20581</v>
      </c>
    </row>
    <row r="21160" spans="2:8" ht="15" customHeight="1" x14ac:dyDescent="0.4">
      <c r="B21160" t="s">
        <v>7</v>
      </c>
      <c r="C21160" t="s">
        <v>138</v>
      </c>
      <c r="D21160" s="7">
        <f>DATE(2015,5,12)</f>
        <v>42136</v>
      </c>
      <c r="E21160" s="8">
        <f t="shared" si="346"/>
        <v>2015</v>
      </c>
      <c r="F21160" t="s">
        <v>3460</v>
      </c>
      <c r="G21160" s="9">
        <v>4273.6000000000004</v>
      </c>
      <c r="H21160" s="8">
        <v>20594</v>
      </c>
    </row>
    <row r="21161" spans="2:8" ht="15" customHeight="1" x14ac:dyDescent="0.4">
      <c r="B21161" t="s">
        <v>7</v>
      </c>
      <c r="C21161" t="s">
        <v>138</v>
      </c>
      <c r="D21161" s="7">
        <f>DATE(2015,5,28)</f>
        <v>42152</v>
      </c>
      <c r="E21161" s="8">
        <f t="shared" si="346"/>
        <v>2015</v>
      </c>
      <c r="F21161" t="s">
        <v>3460</v>
      </c>
      <c r="G21161" s="9">
        <v>308.25</v>
      </c>
      <c r="H21161" s="8">
        <v>20648</v>
      </c>
    </row>
    <row r="21162" spans="2:8" ht="15" customHeight="1" x14ac:dyDescent="0.4">
      <c r="B21162" t="s">
        <v>7</v>
      </c>
      <c r="C21162" t="s">
        <v>138</v>
      </c>
      <c r="D21162" s="7">
        <f>DATE(2015,6,5)</f>
        <v>42160</v>
      </c>
      <c r="E21162" s="8">
        <f t="shared" si="346"/>
        <v>2015</v>
      </c>
      <c r="F21162" t="s">
        <v>3460</v>
      </c>
      <c r="G21162" s="9">
        <v>5150.3999999999996</v>
      </c>
      <c r="H21162" s="8">
        <v>20689</v>
      </c>
    </row>
    <row r="21163" spans="2:8" ht="15" customHeight="1" x14ac:dyDescent="0.4">
      <c r="B21163" t="s">
        <v>7</v>
      </c>
      <c r="C21163" t="s">
        <v>138</v>
      </c>
      <c r="D21163" s="7">
        <f>DATE(2015,6,10)</f>
        <v>42165</v>
      </c>
      <c r="E21163" s="8">
        <f t="shared" si="346"/>
        <v>2015</v>
      </c>
      <c r="F21163" t="s">
        <v>3460</v>
      </c>
      <c r="G21163" s="9">
        <v>173.8</v>
      </c>
      <c r="H21163" s="8">
        <v>20764</v>
      </c>
    </row>
    <row r="21164" spans="2:8" ht="15" customHeight="1" x14ac:dyDescent="0.4">
      <c r="B21164" t="s">
        <v>7</v>
      </c>
      <c r="C21164" t="s">
        <v>138</v>
      </c>
      <c r="D21164" s="7">
        <f>DATE(2015,6,19)</f>
        <v>42174</v>
      </c>
      <c r="E21164" s="8">
        <f t="shared" si="346"/>
        <v>2015</v>
      </c>
      <c r="F21164" t="s">
        <v>3460</v>
      </c>
      <c r="G21164" s="9">
        <v>4060.84</v>
      </c>
      <c r="H21164" s="8">
        <v>20691</v>
      </c>
    </row>
    <row r="21165" spans="2:8" ht="15" customHeight="1" x14ac:dyDescent="0.4">
      <c r="B21165" t="s">
        <v>7</v>
      </c>
      <c r="C21165" t="s">
        <v>138</v>
      </c>
      <c r="D21165" s="7">
        <f>DATE(2015,7,6)</f>
        <v>42191</v>
      </c>
      <c r="E21165" s="8">
        <f t="shared" si="346"/>
        <v>2015</v>
      </c>
      <c r="F21165" t="s">
        <v>3460</v>
      </c>
      <c r="G21165" s="9">
        <v>6848.8</v>
      </c>
      <c r="H21165" s="8">
        <v>20820</v>
      </c>
    </row>
    <row r="21166" spans="2:8" ht="15" customHeight="1" x14ac:dyDescent="0.4">
      <c r="B21166" t="s">
        <v>7</v>
      </c>
      <c r="C21166" t="s">
        <v>138</v>
      </c>
      <c r="D21166" s="7">
        <f>DATE(2015,7,6)</f>
        <v>42191</v>
      </c>
      <c r="E21166" s="8">
        <f t="shared" si="346"/>
        <v>2015</v>
      </c>
      <c r="F21166" t="s">
        <v>3460</v>
      </c>
      <c r="G21166" s="9">
        <v>614</v>
      </c>
      <c r="H21166" s="8">
        <v>20859</v>
      </c>
    </row>
    <row r="21167" spans="2:8" ht="15" customHeight="1" x14ac:dyDescent="0.4">
      <c r="B21167" t="s">
        <v>7</v>
      </c>
      <c r="C21167" t="s">
        <v>138</v>
      </c>
      <c r="D21167" s="7">
        <f>DATE(2015,8,24)</f>
        <v>42240</v>
      </c>
      <c r="E21167" s="8">
        <f t="shared" si="346"/>
        <v>2015</v>
      </c>
      <c r="F21167" t="s">
        <v>3460</v>
      </c>
      <c r="G21167" s="9">
        <v>500</v>
      </c>
      <c r="H21167" s="8">
        <v>21084</v>
      </c>
    </row>
    <row r="21168" spans="2:8" ht="15" customHeight="1" x14ac:dyDescent="0.4">
      <c r="B21168" t="s">
        <v>7</v>
      </c>
      <c r="C21168" t="s">
        <v>138</v>
      </c>
      <c r="D21168" s="7">
        <f>DATE(2015,9,1)</f>
        <v>42248</v>
      </c>
      <c r="E21168" s="8">
        <f t="shared" si="346"/>
        <v>2015</v>
      </c>
      <c r="F21168" t="s">
        <v>3460</v>
      </c>
      <c r="G21168" s="9">
        <v>4040</v>
      </c>
      <c r="H21168" s="8">
        <v>21143</v>
      </c>
    </row>
    <row r="21169" spans="2:8" ht="15" customHeight="1" x14ac:dyDescent="0.4">
      <c r="B21169" t="s">
        <v>7</v>
      </c>
      <c r="C21169" t="s">
        <v>138</v>
      </c>
      <c r="D21169" s="7">
        <f>DATE(2015,9,1)</f>
        <v>42248</v>
      </c>
      <c r="E21169" s="8">
        <f t="shared" si="346"/>
        <v>2015</v>
      </c>
      <c r="F21169" t="s">
        <v>3460</v>
      </c>
      <c r="G21169" s="9">
        <v>4273.6000000000004</v>
      </c>
      <c r="H21169" s="8">
        <v>20944</v>
      </c>
    </row>
    <row r="21170" spans="2:8" ht="15" customHeight="1" x14ac:dyDescent="0.4">
      <c r="B21170" t="s">
        <v>7</v>
      </c>
      <c r="C21170" t="s">
        <v>138</v>
      </c>
      <c r="D21170" s="7">
        <f>DATE(2015,9,1)</f>
        <v>42248</v>
      </c>
      <c r="E21170" s="8">
        <f t="shared" si="346"/>
        <v>2015</v>
      </c>
      <c r="F21170" t="s">
        <v>3460</v>
      </c>
      <c r="G21170" s="9">
        <v>6782.47</v>
      </c>
      <c r="H21170" s="8">
        <v>21126</v>
      </c>
    </row>
    <row r="21171" spans="2:8" ht="15" customHeight="1" x14ac:dyDescent="0.4">
      <c r="B21171" t="s">
        <v>7</v>
      </c>
      <c r="C21171" t="s">
        <v>138</v>
      </c>
      <c r="D21171" s="7">
        <f>DATE(2015,9,10)</f>
        <v>42257</v>
      </c>
      <c r="E21171" s="8">
        <f t="shared" si="346"/>
        <v>2015</v>
      </c>
      <c r="F21171" t="s">
        <v>3460</v>
      </c>
      <c r="G21171" s="9">
        <v>93.28</v>
      </c>
      <c r="H21171" s="8">
        <v>21196</v>
      </c>
    </row>
    <row r="21172" spans="2:8" ht="15" customHeight="1" x14ac:dyDescent="0.4">
      <c r="B21172" t="s">
        <v>7</v>
      </c>
      <c r="C21172" t="s">
        <v>138</v>
      </c>
      <c r="D21172" s="7">
        <f>DATE(2015,9,18)</f>
        <v>42265</v>
      </c>
      <c r="E21172" s="8">
        <f t="shared" si="346"/>
        <v>2015</v>
      </c>
      <c r="F21172" t="s">
        <v>3460</v>
      </c>
      <c r="G21172" s="9">
        <v>376.87</v>
      </c>
      <c r="H21172" s="8">
        <v>21243</v>
      </c>
    </row>
    <row r="21173" spans="2:8" ht="15" customHeight="1" x14ac:dyDescent="0.4">
      <c r="B21173" t="s">
        <v>7</v>
      </c>
      <c r="C21173" t="s">
        <v>138</v>
      </c>
      <c r="D21173" s="7">
        <f>DATE(2015,10,13)</f>
        <v>42290</v>
      </c>
      <c r="E21173" s="8">
        <f t="shared" si="346"/>
        <v>2015</v>
      </c>
      <c r="F21173" t="s">
        <v>3460</v>
      </c>
      <c r="G21173" s="9">
        <v>4273.6000000000004</v>
      </c>
      <c r="H21173" s="8">
        <v>21379</v>
      </c>
    </row>
    <row r="21174" spans="2:8" ht="15" customHeight="1" x14ac:dyDescent="0.4">
      <c r="B21174" t="s">
        <v>7</v>
      </c>
      <c r="C21174" t="s">
        <v>138</v>
      </c>
      <c r="D21174" s="7">
        <f>DATE(2015,11,18)</f>
        <v>42326</v>
      </c>
      <c r="E21174" s="8">
        <f t="shared" si="346"/>
        <v>2015</v>
      </c>
      <c r="F21174" t="s">
        <v>3460</v>
      </c>
      <c r="G21174" s="9">
        <v>1790</v>
      </c>
      <c r="H21174" s="8">
        <v>21635</v>
      </c>
    </row>
    <row r="21175" spans="2:8" ht="15" customHeight="1" x14ac:dyDescent="0.4">
      <c r="B21175" t="s">
        <v>7</v>
      </c>
      <c r="C21175" t="s">
        <v>138</v>
      </c>
      <c r="D21175" s="7">
        <f>DATE(2015,12,15)</f>
        <v>42353</v>
      </c>
      <c r="E21175" s="8">
        <f t="shared" si="346"/>
        <v>2015</v>
      </c>
      <c r="F21175" t="s">
        <v>3460</v>
      </c>
      <c r="G21175" s="9">
        <v>514.29999999999995</v>
      </c>
      <c r="H21175" s="8">
        <v>21831</v>
      </c>
    </row>
    <row r="21176" spans="2:8" ht="15" customHeight="1" x14ac:dyDescent="0.4">
      <c r="B21176" t="s">
        <v>7</v>
      </c>
      <c r="C21176" t="s">
        <v>138</v>
      </c>
      <c r="D21176" s="7">
        <f>DATE(2015,12,15)</f>
        <v>42353</v>
      </c>
      <c r="E21176" s="8">
        <f t="shared" si="346"/>
        <v>2015</v>
      </c>
      <c r="F21176" t="s">
        <v>3460</v>
      </c>
      <c r="G21176" s="9">
        <v>814.12</v>
      </c>
      <c r="H21176" s="8">
        <v>21818</v>
      </c>
    </row>
    <row r="21177" spans="2:8" ht="15" customHeight="1" x14ac:dyDescent="0.4">
      <c r="B21177" t="s">
        <v>7</v>
      </c>
      <c r="C21177" t="s">
        <v>138</v>
      </c>
      <c r="D21177" s="7">
        <f>DATE(2016,4,6)</f>
        <v>42466</v>
      </c>
      <c r="E21177" s="8">
        <f t="shared" si="346"/>
        <v>2016</v>
      </c>
      <c r="F21177" t="s">
        <v>3460</v>
      </c>
      <c r="G21177" s="9">
        <v>6185.6</v>
      </c>
      <c r="H21177" s="8">
        <v>22559</v>
      </c>
    </row>
    <row r="21178" spans="2:8" ht="15" customHeight="1" x14ac:dyDescent="0.4">
      <c r="B21178" t="s">
        <v>7</v>
      </c>
      <c r="C21178" t="s">
        <v>138</v>
      </c>
      <c r="D21178" s="7">
        <f>DATE(2016,4,20)</f>
        <v>42480</v>
      </c>
      <c r="E21178" s="8">
        <f t="shared" si="346"/>
        <v>2016</v>
      </c>
      <c r="F21178" t="s">
        <v>3460</v>
      </c>
      <c r="G21178" s="9">
        <v>16544.439999999999</v>
      </c>
      <c r="H21178" s="8">
        <v>22616</v>
      </c>
    </row>
    <row r="21179" spans="2:8" ht="15" customHeight="1" x14ac:dyDescent="0.4">
      <c r="B21179" t="s">
        <v>7</v>
      </c>
      <c r="C21179" t="s">
        <v>138</v>
      </c>
      <c r="D21179" s="7">
        <f>DATE(2015,12,1)</f>
        <v>42339</v>
      </c>
      <c r="E21179" s="8">
        <f t="shared" si="346"/>
        <v>2015</v>
      </c>
      <c r="F21179" t="s">
        <v>3460</v>
      </c>
      <c r="G21179" s="9">
        <v>308.25</v>
      </c>
      <c r="H21179" s="8">
        <v>21703</v>
      </c>
    </row>
    <row r="21180" spans="2:8" ht="15" customHeight="1" x14ac:dyDescent="0.4">
      <c r="B21180" s="3" t="s">
        <v>7</v>
      </c>
      <c r="C21180" s="3" t="s">
        <v>138</v>
      </c>
      <c r="D21180" s="4">
        <f>DATE(2003,2,10)</f>
        <v>37662</v>
      </c>
      <c r="E21180" s="5">
        <f t="shared" si="346"/>
        <v>2003</v>
      </c>
      <c r="F21180" s="3" t="s">
        <v>3460</v>
      </c>
      <c r="G21180" s="6">
        <v>3053</v>
      </c>
      <c r="H21180" s="5">
        <v>28</v>
      </c>
    </row>
    <row r="21181" spans="2:8" ht="15" customHeight="1" x14ac:dyDescent="0.4">
      <c r="B21181" s="3" t="s">
        <v>7</v>
      </c>
      <c r="C21181" s="3" t="s">
        <v>138</v>
      </c>
      <c r="D21181" s="4">
        <f>DATE(2003,2,10)</f>
        <v>37662</v>
      </c>
      <c r="E21181" s="5">
        <f t="shared" si="346"/>
        <v>2003</v>
      </c>
      <c r="F21181" s="3" t="s">
        <v>3460</v>
      </c>
      <c r="G21181" s="6">
        <v>449</v>
      </c>
      <c r="H21181" s="5">
        <v>29</v>
      </c>
    </row>
    <row r="21182" spans="2:8" ht="15" customHeight="1" x14ac:dyDescent="0.4">
      <c r="B21182" s="3" t="s">
        <v>7</v>
      </c>
      <c r="C21182" s="3" t="s">
        <v>138</v>
      </c>
      <c r="D21182" s="4">
        <f>DATE(2003,2,28)</f>
        <v>37680</v>
      </c>
      <c r="E21182" s="5">
        <f t="shared" si="346"/>
        <v>2003</v>
      </c>
      <c r="F21182" s="3" t="s">
        <v>3460</v>
      </c>
      <c r="G21182" s="6">
        <v>14.16</v>
      </c>
      <c r="H21182" s="5">
        <v>43</v>
      </c>
    </row>
    <row r="21183" spans="2:8" ht="15" customHeight="1" x14ac:dyDescent="0.4">
      <c r="B21183" s="3" t="s">
        <v>7</v>
      </c>
      <c r="C21183" s="3" t="s">
        <v>138</v>
      </c>
      <c r="D21183" s="4">
        <f>DATE(2003,3,16)</f>
        <v>37696</v>
      </c>
      <c r="E21183" s="5">
        <f t="shared" si="346"/>
        <v>2003</v>
      </c>
      <c r="F21183" s="3" t="s">
        <v>3460</v>
      </c>
      <c r="G21183" s="6">
        <v>16196.11</v>
      </c>
      <c r="H21183" s="5">
        <v>54</v>
      </c>
    </row>
    <row r="21184" spans="2:8" ht="15" customHeight="1" x14ac:dyDescent="0.4">
      <c r="B21184" s="3" t="s">
        <v>7</v>
      </c>
      <c r="C21184" s="3" t="s">
        <v>138</v>
      </c>
      <c r="D21184" s="4">
        <f>DATE(2003,3,25)</f>
        <v>37705</v>
      </c>
      <c r="E21184" s="5">
        <f t="shared" si="346"/>
        <v>2003</v>
      </c>
      <c r="F21184" s="3" t="s">
        <v>3460</v>
      </c>
      <c r="G21184" s="6">
        <v>36.200000000000003</v>
      </c>
      <c r="H21184" s="5">
        <v>77</v>
      </c>
    </row>
    <row r="21185" spans="2:8" ht="15" customHeight="1" x14ac:dyDescent="0.4">
      <c r="B21185" s="3" t="s">
        <v>7</v>
      </c>
      <c r="C21185" s="3" t="s">
        <v>138</v>
      </c>
      <c r="D21185" s="4">
        <f>DATE(2003,3,25)</f>
        <v>37705</v>
      </c>
      <c r="E21185" s="5">
        <f t="shared" si="346"/>
        <v>2003</v>
      </c>
      <c r="F21185" s="3" t="s">
        <v>3460</v>
      </c>
      <c r="G21185" s="6">
        <v>36.200000000000003</v>
      </c>
      <c r="H21185" s="5">
        <v>78</v>
      </c>
    </row>
    <row r="21186" spans="2:8" ht="15" customHeight="1" x14ac:dyDescent="0.4">
      <c r="B21186" s="3" t="s">
        <v>7</v>
      </c>
      <c r="C21186" s="3" t="s">
        <v>138</v>
      </c>
      <c r="D21186" s="4">
        <f>DATE(2003,3,24)</f>
        <v>37704</v>
      </c>
      <c r="E21186" s="5">
        <f t="shared" si="346"/>
        <v>2003</v>
      </c>
      <c r="F21186" s="3" t="s">
        <v>3460</v>
      </c>
      <c r="G21186" s="6">
        <v>506.4</v>
      </c>
      <c r="H21186" s="5">
        <v>79</v>
      </c>
    </row>
    <row r="21187" spans="2:8" ht="15" customHeight="1" x14ac:dyDescent="0.4">
      <c r="B21187" s="3" t="s">
        <v>7</v>
      </c>
      <c r="C21187" s="3" t="s">
        <v>138</v>
      </c>
      <c r="D21187" s="4">
        <f>DATE(2003,3,24)</f>
        <v>37704</v>
      </c>
      <c r="E21187" s="5">
        <f t="shared" ref="E21187:E21250" si="347">YEAR(D21187)</f>
        <v>2003</v>
      </c>
      <c r="F21187" s="3" t="s">
        <v>3460</v>
      </c>
      <c r="G21187" s="6">
        <v>1560</v>
      </c>
      <c r="H21187" s="5">
        <v>81</v>
      </c>
    </row>
    <row r="21188" spans="2:8" ht="15" customHeight="1" x14ac:dyDescent="0.4">
      <c r="B21188" s="3" t="s">
        <v>7</v>
      </c>
      <c r="C21188" s="3" t="s">
        <v>138</v>
      </c>
      <c r="D21188" s="4">
        <f>DATE(2003,3,24)</f>
        <v>37704</v>
      </c>
      <c r="E21188" s="5">
        <f t="shared" si="347"/>
        <v>2003</v>
      </c>
      <c r="F21188" s="3" t="s">
        <v>3460</v>
      </c>
      <c r="G21188" s="6">
        <v>312</v>
      </c>
      <c r="H21188" s="5">
        <v>82</v>
      </c>
    </row>
    <row r="21189" spans="2:8" ht="15" customHeight="1" x14ac:dyDescent="0.4">
      <c r="B21189" s="3" t="s">
        <v>7</v>
      </c>
      <c r="C21189" s="3" t="s">
        <v>138</v>
      </c>
      <c r="D21189" s="4">
        <f>DATE(2003,3,24)</f>
        <v>37704</v>
      </c>
      <c r="E21189" s="5">
        <f t="shared" si="347"/>
        <v>2003</v>
      </c>
      <c r="F21189" s="3" t="s">
        <v>3460</v>
      </c>
      <c r="G21189" s="6">
        <v>2251.9499999999998</v>
      </c>
      <c r="H21189" s="5">
        <v>80</v>
      </c>
    </row>
    <row r="21190" spans="2:8" ht="15" customHeight="1" x14ac:dyDescent="0.4">
      <c r="B21190" s="3" t="s">
        <v>7</v>
      </c>
      <c r="C21190" s="3" t="s">
        <v>138</v>
      </c>
      <c r="D21190" s="4">
        <f>DATE(2003,3,24)</f>
        <v>37704</v>
      </c>
      <c r="E21190" s="5">
        <f t="shared" si="347"/>
        <v>2003</v>
      </c>
      <c r="F21190" s="3" t="s">
        <v>3460</v>
      </c>
      <c r="G21190" s="6">
        <v>598.65</v>
      </c>
      <c r="H21190" s="5">
        <v>83</v>
      </c>
    </row>
    <row r="21191" spans="2:8" ht="15" customHeight="1" x14ac:dyDescent="0.4">
      <c r="B21191" s="3" t="s">
        <v>7</v>
      </c>
      <c r="C21191" s="3" t="s">
        <v>138</v>
      </c>
      <c r="D21191" s="4">
        <f>DATE(2003,3,31)</f>
        <v>37711</v>
      </c>
      <c r="E21191" s="5">
        <f t="shared" si="347"/>
        <v>2003</v>
      </c>
      <c r="F21191" s="3" t="s">
        <v>3460</v>
      </c>
      <c r="G21191" s="6">
        <v>13.1</v>
      </c>
      <c r="H21191" s="5">
        <v>98</v>
      </c>
    </row>
    <row r="21192" spans="2:8" ht="15" customHeight="1" x14ac:dyDescent="0.4">
      <c r="B21192" s="3" t="s">
        <v>7</v>
      </c>
      <c r="C21192" s="3" t="s">
        <v>138</v>
      </c>
      <c r="D21192" s="4">
        <f>DATE(2003,4,2)</f>
        <v>37713</v>
      </c>
      <c r="E21192" s="5">
        <f t="shared" si="347"/>
        <v>2003</v>
      </c>
      <c r="F21192" s="3" t="s">
        <v>3460</v>
      </c>
      <c r="G21192" s="6">
        <v>4774.6499999999996</v>
      </c>
      <c r="H21192" s="5">
        <v>106</v>
      </c>
    </row>
    <row r="21193" spans="2:8" ht="15" customHeight="1" x14ac:dyDescent="0.4">
      <c r="B21193" s="3" t="s">
        <v>7</v>
      </c>
      <c r="C21193" s="3" t="s">
        <v>138</v>
      </c>
      <c r="D21193" s="4">
        <f>DATE(2003,4,23)</f>
        <v>37734</v>
      </c>
      <c r="E21193" s="5">
        <f t="shared" si="347"/>
        <v>2003</v>
      </c>
      <c r="F21193" s="3" t="s">
        <v>3460</v>
      </c>
      <c r="G21193" s="6">
        <v>548.54999999999995</v>
      </c>
      <c r="H21193" s="5">
        <v>129</v>
      </c>
    </row>
    <row r="21194" spans="2:8" ht="15" customHeight="1" x14ac:dyDescent="0.4">
      <c r="B21194" s="3" t="s">
        <v>7</v>
      </c>
      <c r="C21194" s="3" t="s">
        <v>138</v>
      </c>
      <c r="D21194" s="4">
        <f>DATE(2003,4,23)</f>
        <v>37734</v>
      </c>
      <c r="E21194" s="5">
        <f t="shared" si="347"/>
        <v>2003</v>
      </c>
      <c r="F21194" s="3" t="s">
        <v>3460</v>
      </c>
      <c r="G21194" s="6">
        <v>442.5</v>
      </c>
      <c r="H21194" s="5">
        <v>130</v>
      </c>
    </row>
    <row r="21195" spans="2:8" ht="15" customHeight="1" x14ac:dyDescent="0.4">
      <c r="B21195" s="3" t="s">
        <v>7</v>
      </c>
      <c r="C21195" s="3" t="s">
        <v>138</v>
      </c>
      <c r="D21195" s="4">
        <f>DATE(2003,5,13)</f>
        <v>37754</v>
      </c>
      <c r="E21195" s="5">
        <f t="shared" si="347"/>
        <v>2003</v>
      </c>
      <c r="F21195" s="3" t="s">
        <v>3460</v>
      </c>
      <c r="G21195" s="6">
        <v>9901</v>
      </c>
      <c r="H21195" s="5">
        <v>170</v>
      </c>
    </row>
    <row r="21196" spans="2:8" ht="15" customHeight="1" x14ac:dyDescent="0.4">
      <c r="B21196" s="3" t="s">
        <v>7</v>
      </c>
      <c r="C21196" s="3" t="s">
        <v>138</v>
      </c>
      <c r="D21196" s="4">
        <f>DATE(2003,5,31)</f>
        <v>37772</v>
      </c>
      <c r="E21196" s="5">
        <f t="shared" si="347"/>
        <v>2003</v>
      </c>
      <c r="F21196" s="3" t="s">
        <v>3460</v>
      </c>
      <c r="G21196" s="6">
        <v>16.760000000000002</v>
      </c>
      <c r="H21196" s="5">
        <v>190</v>
      </c>
    </row>
    <row r="21197" spans="2:8" ht="15" customHeight="1" x14ac:dyDescent="0.4">
      <c r="B21197" s="3" t="s">
        <v>7</v>
      </c>
      <c r="C21197" s="3" t="s">
        <v>138</v>
      </c>
      <c r="D21197" s="4">
        <f>DATE(2003,4,30)</f>
        <v>37741</v>
      </c>
      <c r="E21197" s="5">
        <f t="shared" si="347"/>
        <v>2003</v>
      </c>
      <c r="F21197" s="3" t="s">
        <v>3460</v>
      </c>
      <c r="G21197" s="6">
        <v>123.03</v>
      </c>
      <c r="H21197" s="5">
        <v>198</v>
      </c>
    </row>
    <row r="21198" spans="2:8" ht="15" customHeight="1" x14ac:dyDescent="0.4">
      <c r="B21198" s="3" t="s">
        <v>7</v>
      </c>
      <c r="C21198" s="3" t="s">
        <v>138</v>
      </c>
      <c r="D21198" s="4">
        <f>DATE(2003,6,5)</f>
        <v>37777</v>
      </c>
      <c r="E21198" s="5">
        <f t="shared" si="347"/>
        <v>2003</v>
      </c>
      <c r="F21198" s="3" t="s">
        <v>3460</v>
      </c>
      <c r="G21198" s="6">
        <v>1158.75</v>
      </c>
      <c r="H21198" s="5">
        <v>206</v>
      </c>
    </row>
    <row r="21199" spans="2:8" ht="15" customHeight="1" x14ac:dyDescent="0.4">
      <c r="B21199" s="3" t="s">
        <v>7</v>
      </c>
      <c r="C21199" s="3" t="s">
        <v>138</v>
      </c>
      <c r="D21199" s="4">
        <f>DATE(2003,6,30)</f>
        <v>37802</v>
      </c>
      <c r="E21199" s="5">
        <f t="shared" si="347"/>
        <v>2003</v>
      </c>
      <c r="F21199" s="3" t="s">
        <v>3460</v>
      </c>
      <c r="G21199" s="6">
        <v>6.98</v>
      </c>
      <c r="H21199" s="5">
        <v>226</v>
      </c>
    </row>
    <row r="21200" spans="2:8" ht="15" customHeight="1" x14ac:dyDescent="0.4">
      <c r="B21200" s="3" t="s">
        <v>7</v>
      </c>
      <c r="C21200" s="3" t="s">
        <v>138</v>
      </c>
      <c r="D21200" s="4">
        <f>DATE(2003,7,17)</f>
        <v>37819</v>
      </c>
      <c r="E21200" s="5">
        <f t="shared" si="347"/>
        <v>2003</v>
      </c>
      <c r="F21200" s="3" t="s">
        <v>3460</v>
      </c>
      <c r="G21200" s="6">
        <v>33.9</v>
      </c>
      <c r="H21200" s="5">
        <v>245</v>
      </c>
    </row>
    <row r="21201" spans="2:8" ht="15" customHeight="1" x14ac:dyDescent="0.4">
      <c r="B21201" s="3" t="s">
        <v>7</v>
      </c>
      <c r="C21201" s="3" t="s">
        <v>138</v>
      </c>
      <c r="D21201" s="4">
        <f>DATE(2003,7,24)</f>
        <v>37826</v>
      </c>
      <c r="E21201" s="5">
        <f t="shared" si="347"/>
        <v>2003</v>
      </c>
      <c r="F21201" s="3" t="s">
        <v>3460</v>
      </c>
      <c r="G21201" s="6">
        <v>19.25</v>
      </c>
      <c r="H21201" s="5">
        <v>260</v>
      </c>
    </row>
    <row r="21202" spans="2:8" ht="15" customHeight="1" x14ac:dyDescent="0.4">
      <c r="B21202" s="3" t="s">
        <v>7</v>
      </c>
      <c r="C21202" s="3" t="s">
        <v>138</v>
      </c>
      <c r="D21202" s="4">
        <f>DATE(2003,7,25)</f>
        <v>37827</v>
      </c>
      <c r="E21202" s="5">
        <f t="shared" si="347"/>
        <v>2003</v>
      </c>
      <c r="F21202" s="3" t="s">
        <v>3460</v>
      </c>
      <c r="G21202" s="6">
        <v>386.25</v>
      </c>
      <c r="H21202" s="5">
        <v>261</v>
      </c>
    </row>
    <row r="21203" spans="2:8" ht="15" customHeight="1" x14ac:dyDescent="0.4">
      <c r="B21203" s="3" t="s">
        <v>7</v>
      </c>
      <c r="C21203" s="3" t="s">
        <v>138</v>
      </c>
      <c r="D21203" s="4">
        <f>DATE(2003,7,31)</f>
        <v>37833</v>
      </c>
      <c r="E21203" s="5">
        <f t="shared" si="347"/>
        <v>2003</v>
      </c>
      <c r="F21203" s="3" t="s">
        <v>3460</v>
      </c>
      <c r="G21203" s="6">
        <v>1545</v>
      </c>
      <c r="H21203" s="5">
        <v>271</v>
      </c>
    </row>
    <row r="21204" spans="2:8" ht="15" customHeight="1" x14ac:dyDescent="0.4">
      <c r="B21204" s="3" t="s">
        <v>7</v>
      </c>
      <c r="C21204" s="3" t="s">
        <v>138</v>
      </c>
      <c r="D21204" s="4">
        <f>DATE(2003,7,31)</f>
        <v>37833</v>
      </c>
      <c r="E21204" s="5">
        <f t="shared" si="347"/>
        <v>2003</v>
      </c>
      <c r="F21204" s="3" t="s">
        <v>3460</v>
      </c>
      <c r="G21204" s="6">
        <v>26.95</v>
      </c>
      <c r="H21204" s="5">
        <v>283</v>
      </c>
    </row>
    <row r="21205" spans="2:8" ht="15" customHeight="1" x14ac:dyDescent="0.4">
      <c r="B21205" s="3" t="s">
        <v>7</v>
      </c>
      <c r="C21205" s="3" t="s">
        <v>138</v>
      </c>
      <c r="D21205" s="4">
        <f>DATE(2003,8,12)</f>
        <v>37845</v>
      </c>
      <c r="E21205" s="5">
        <f t="shared" si="347"/>
        <v>2003</v>
      </c>
      <c r="F21205" s="3" t="s">
        <v>3460</v>
      </c>
      <c r="G21205" s="6">
        <v>312</v>
      </c>
      <c r="H21205" s="5">
        <v>284</v>
      </c>
    </row>
    <row r="21206" spans="2:8" ht="15" customHeight="1" x14ac:dyDescent="0.4">
      <c r="B21206" s="3" t="s">
        <v>7</v>
      </c>
      <c r="C21206" s="3" t="s">
        <v>138</v>
      </c>
      <c r="D21206" s="4">
        <f>DATE(2003,8,12)</f>
        <v>37845</v>
      </c>
      <c r="E21206" s="5">
        <f t="shared" si="347"/>
        <v>2003</v>
      </c>
      <c r="F21206" s="3" t="s">
        <v>3460</v>
      </c>
      <c r="G21206" s="6">
        <v>1782.75</v>
      </c>
      <c r="H21206" s="5">
        <v>285</v>
      </c>
    </row>
    <row r="21207" spans="2:8" ht="15" customHeight="1" x14ac:dyDescent="0.4">
      <c r="B21207" s="3" t="s">
        <v>7</v>
      </c>
      <c r="C21207" s="3" t="s">
        <v>138</v>
      </c>
      <c r="D21207" s="4">
        <f>DATE(2003,8,18)</f>
        <v>37851</v>
      </c>
      <c r="E21207" s="5">
        <f t="shared" si="347"/>
        <v>2003</v>
      </c>
      <c r="F21207" s="3" t="s">
        <v>3460</v>
      </c>
      <c r="G21207" s="6">
        <v>5793.75</v>
      </c>
      <c r="H21207" s="5">
        <v>291</v>
      </c>
    </row>
    <row r="21208" spans="2:8" ht="15" customHeight="1" x14ac:dyDescent="0.4">
      <c r="B21208" s="3" t="s">
        <v>7</v>
      </c>
      <c r="C21208" s="3" t="s">
        <v>138</v>
      </c>
      <c r="D21208" s="4">
        <f>DATE(2003,8,29)</f>
        <v>37862</v>
      </c>
      <c r="E21208" s="5">
        <f t="shared" si="347"/>
        <v>2003</v>
      </c>
      <c r="F21208" s="3" t="s">
        <v>3460</v>
      </c>
      <c r="G21208" s="6">
        <v>13984.98</v>
      </c>
      <c r="H21208" s="5">
        <v>311</v>
      </c>
    </row>
    <row r="21209" spans="2:8" ht="15" customHeight="1" x14ac:dyDescent="0.4">
      <c r="B21209" s="3" t="s">
        <v>7</v>
      </c>
      <c r="C21209" s="3" t="s">
        <v>138</v>
      </c>
      <c r="D21209" s="4">
        <f>DATE(2003,8,29)</f>
        <v>37862</v>
      </c>
      <c r="E21209" s="5">
        <f t="shared" si="347"/>
        <v>2003</v>
      </c>
      <c r="F21209" s="3" t="s">
        <v>3460</v>
      </c>
      <c r="G21209" s="6">
        <v>312</v>
      </c>
      <c r="H21209" s="5">
        <v>305</v>
      </c>
    </row>
    <row r="21210" spans="2:8" ht="15" customHeight="1" x14ac:dyDescent="0.4">
      <c r="B21210" s="3" t="s">
        <v>7</v>
      </c>
      <c r="C21210" s="3" t="s">
        <v>138</v>
      </c>
      <c r="D21210" s="4">
        <f>DATE(2003,9,10)</f>
        <v>37874</v>
      </c>
      <c r="E21210" s="5">
        <f t="shared" si="347"/>
        <v>2003</v>
      </c>
      <c r="F21210" s="3" t="s">
        <v>3460</v>
      </c>
      <c r="G21210" s="6">
        <v>165.5</v>
      </c>
      <c r="H21210" s="5">
        <v>313</v>
      </c>
    </row>
    <row r="21211" spans="2:8" ht="15" customHeight="1" x14ac:dyDescent="0.4">
      <c r="B21211" s="3" t="s">
        <v>7</v>
      </c>
      <c r="C21211" s="3" t="s">
        <v>138</v>
      </c>
      <c r="D21211" s="4">
        <f>DATE(2003,9,5)</f>
        <v>37869</v>
      </c>
      <c r="E21211" s="5">
        <f t="shared" si="347"/>
        <v>2003</v>
      </c>
      <c r="F21211" s="3" t="s">
        <v>3460</v>
      </c>
      <c r="G21211" s="6">
        <v>16.95</v>
      </c>
      <c r="H21211" s="5">
        <v>317</v>
      </c>
    </row>
    <row r="21212" spans="2:8" ht="15" customHeight="1" x14ac:dyDescent="0.4">
      <c r="B21212" s="3" t="s">
        <v>7</v>
      </c>
      <c r="C21212" s="3" t="s">
        <v>138</v>
      </c>
      <c r="D21212" s="4">
        <f>DATE(2003,9,1)</f>
        <v>37865</v>
      </c>
      <c r="E21212" s="5">
        <f t="shared" si="347"/>
        <v>2003</v>
      </c>
      <c r="F21212" s="3" t="s">
        <v>3460</v>
      </c>
      <c r="G21212" s="6">
        <v>137.74</v>
      </c>
      <c r="H21212" s="5">
        <v>333</v>
      </c>
    </row>
    <row r="21213" spans="2:8" ht="15" customHeight="1" x14ac:dyDescent="0.4">
      <c r="B21213" s="3" t="s">
        <v>7</v>
      </c>
      <c r="C21213" s="3" t="s">
        <v>138</v>
      </c>
      <c r="D21213" s="4">
        <f>DATE(2003,9,17)</f>
        <v>37881</v>
      </c>
      <c r="E21213" s="5">
        <f t="shared" si="347"/>
        <v>2003</v>
      </c>
      <c r="F21213" s="3" t="s">
        <v>3460</v>
      </c>
      <c r="G21213" s="6">
        <v>889.8</v>
      </c>
      <c r="H21213" s="5">
        <v>327</v>
      </c>
    </row>
    <row r="21214" spans="2:8" ht="15" customHeight="1" x14ac:dyDescent="0.4">
      <c r="B21214" s="3" t="s">
        <v>7</v>
      </c>
      <c r="C21214" s="3" t="s">
        <v>138</v>
      </c>
      <c r="D21214" s="4">
        <f>DATE(2003,9,29)</f>
        <v>37893</v>
      </c>
      <c r="E21214" s="5">
        <f t="shared" si="347"/>
        <v>2003</v>
      </c>
      <c r="F21214" s="3" t="s">
        <v>3460</v>
      </c>
      <c r="G21214" s="6">
        <v>624</v>
      </c>
      <c r="H21214" s="5">
        <v>342</v>
      </c>
    </row>
    <row r="21215" spans="2:8" ht="15" customHeight="1" x14ac:dyDescent="0.4">
      <c r="B21215" s="3" t="s">
        <v>7</v>
      </c>
      <c r="C21215" s="3" t="s">
        <v>138</v>
      </c>
      <c r="D21215" s="4">
        <f>DATE(2003,10,3)</f>
        <v>37897</v>
      </c>
      <c r="E21215" s="5">
        <f t="shared" si="347"/>
        <v>2003</v>
      </c>
      <c r="F21215" s="3" t="s">
        <v>3460</v>
      </c>
      <c r="G21215" s="6">
        <v>1872</v>
      </c>
      <c r="H21215" s="5">
        <v>350</v>
      </c>
    </row>
    <row r="21216" spans="2:8" ht="15" customHeight="1" x14ac:dyDescent="0.4">
      <c r="B21216" s="3" t="s">
        <v>7</v>
      </c>
      <c r="C21216" s="3" t="s">
        <v>138</v>
      </c>
      <c r="D21216" s="4">
        <f>DATE(2003,10,3)</f>
        <v>37897</v>
      </c>
      <c r="E21216" s="5">
        <f t="shared" si="347"/>
        <v>2003</v>
      </c>
      <c r="F21216" s="3" t="s">
        <v>3460</v>
      </c>
      <c r="G21216" s="6">
        <v>1560</v>
      </c>
      <c r="H21216" s="5">
        <v>351</v>
      </c>
    </row>
    <row r="21217" spans="2:8" ht="15" customHeight="1" x14ac:dyDescent="0.4">
      <c r="B21217" s="3" t="s">
        <v>7</v>
      </c>
      <c r="C21217" s="3" t="s">
        <v>138</v>
      </c>
      <c r="D21217" s="4">
        <f>DATE(2003,10,1)</f>
        <v>37895</v>
      </c>
      <c r="E21217" s="5">
        <f t="shared" si="347"/>
        <v>2003</v>
      </c>
      <c r="F21217" s="3" t="s">
        <v>3460</v>
      </c>
      <c r="G21217" s="6">
        <v>9</v>
      </c>
      <c r="H21217" s="5">
        <v>344</v>
      </c>
    </row>
    <row r="21218" spans="2:8" ht="15" customHeight="1" x14ac:dyDescent="0.4">
      <c r="B21218" s="3" t="s">
        <v>7</v>
      </c>
      <c r="C21218" s="3" t="s">
        <v>138</v>
      </c>
      <c r="D21218" s="4">
        <f>DATE(2003,10,1)</f>
        <v>37895</v>
      </c>
      <c r="E21218" s="5">
        <f t="shared" si="347"/>
        <v>2003</v>
      </c>
      <c r="F21218" s="3" t="s">
        <v>3460</v>
      </c>
      <c r="G21218" s="6">
        <v>6</v>
      </c>
      <c r="H21218" s="5">
        <v>345</v>
      </c>
    </row>
    <row r="21219" spans="2:8" ht="15" customHeight="1" x14ac:dyDescent="0.4">
      <c r="B21219" s="3" t="s">
        <v>7</v>
      </c>
      <c r="C21219" s="3" t="s">
        <v>138</v>
      </c>
      <c r="D21219" s="4">
        <f>DATE(2003,10,15)</f>
        <v>37909</v>
      </c>
      <c r="E21219" s="5">
        <f t="shared" si="347"/>
        <v>2003</v>
      </c>
      <c r="F21219" s="3" t="s">
        <v>3460</v>
      </c>
      <c r="G21219" s="6">
        <v>198.75</v>
      </c>
      <c r="H21219" s="5">
        <v>375</v>
      </c>
    </row>
    <row r="21220" spans="2:8" ht="15" customHeight="1" x14ac:dyDescent="0.4">
      <c r="B21220" s="3" t="s">
        <v>7</v>
      </c>
      <c r="C21220" s="3" t="s">
        <v>138</v>
      </c>
      <c r="D21220" s="4">
        <f>DATE(2003,10,1)</f>
        <v>37895</v>
      </c>
      <c r="E21220" s="5">
        <f t="shared" si="347"/>
        <v>2003</v>
      </c>
      <c r="F21220" s="3" t="s">
        <v>3460</v>
      </c>
      <c r="G21220" s="6">
        <v>85.54</v>
      </c>
      <c r="H21220" s="5">
        <v>396</v>
      </c>
    </row>
    <row r="21221" spans="2:8" ht="15" customHeight="1" x14ac:dyDescent="0.4">
      <c r="B21221" s="3" t="s">
        <v>7</v>
      </c>
      <c r="C21221" s="3" t="s">
        <v>138</v>
      </c>
      <c r="D21221" s="4">
        <f>DATE(2003,10,16)</f>
        <v>37910</v>
      </c>
      <c r="E21221" s="5">
        <f t="shared" si="347"/>
        <v>2003</v>
      </c>
      <c r="F21221" s="3" t="s">
        <v>3460</v>
      </c>
      <c r="G21221" s="6">
        <v>106.05</v>
      </c>
      <c r="H21221" s="5">
        <v>390</v>
      </c>
    </row>
    <row r="21222" spans="2:8" ht="15" customHeight="1" x14ac:dyDescent="0.4">
      <c r="B21222" s="3" t="s">
        <v>7</v>
      </c>
      <c r="C21222" s="3" t="s">
        <v>138</v>
      </c>
      <c r="D21222" s="4">
        <f>DATE(2003,10,21)</f>
        <v>37915</v>
      </c>
      <c r="E21222" s="5">
        <f t="shared" si="347"/>
        <v>2003</v>
      </c>
      <c r="F21222" s="3" t="s">
        <v>3460</v>
      </c>
      <c r="G21222" s="6">
        <v>718.75</v>
      </c>
      <c r="H21222" s="5">
        <v>391</v>
      </c>
    </row>
    <row r="21223" spans="2:8" ht="15" customHeight="1" x14ac:dyDescent="0.4">
      <c r="B21223" s="3" t="s">
        <v>7</v>
      </c>
      <c r="C21223" s="3" t="s">
        <v>138</v>
      </c>
      <c r="D21223" s="4">
        <f>DATE(2003,10,21)</f>
        <v>37915</v>
      </c>
      <c r="E21223" s="5">
        <f t="shared" si="347"/>
        <v>2003</v>
      </c>
      <c r="F21223" s="3" t="s">
        <v>3460</v>
      </c>
      <c r="G21223" s="6">
        <v>718.75</v>
      </c>
      <c r="H21223" s="5">
        <v>392</v>
      </c>
    </row>
    <row r="21224" spans="2:8" ht="15" customHeight="1" x14ac:dyDescent="0.4">
      <c r="B21224" s="3" t="s">
        <v>7</v>
      </c>
      <c r="C21224" s="3" t="s">
        <v>138</v>
      </c>
      <c r="D21224" s="4">
        <f>DATE(2003,10,21)</f>
        <v>37915</v>
      </c>
      <c r="E21224" s="5">
        <f t="shared" si="347"/>
        <v>2003</v>
      </c>
      <c r="F21224" s="3" t="s">
        <v>3460</v>
      </c>
      <c r="G21224" s="6">
        <v>928.2</v>
      </c>
      <c r="H21224" s="5">
        <v>393</v>
      </c>
    </row>
    <row r="21225" spans="2:8" ht="15" customHeight="1" x14ac:dyDescent="0.4">
      <c r="B21225" s="3" t="s">
        <v>7</v>
      </c>
      <c r="C21225" s="3" t="s">
        <v>138</v>
      </c>
      <c r="D21225" s="4">
        <f>DATE(2003,10,31)</f>
        <v>37925</v>
      </c>
      <c r="E21225" s="5">
        <f t="shared" si="347"/>
        <v>2003</v>
      </c>
      <c r="F21225" s="3" t="s">
        <v>3460</v>
      </c>
      <c r="G21225" s="6">
        <v>236.43</v>
      </c>
      <c r="H21225" s="5">
        <v>440</v>
      </c>
    </row>
    <row r="21226" spans="2:8" ht="15" customHeight="1" x14ac:dyDescent="0.4">
      <c r="B21226" s="3" t="s">
        <v>7</v>
      </c>
      <c r="C21226" s="3" t="s">
        <v>138</v>
      </c>
      <c r="D21226" s="4">
        <f>DATE(2003,12,12)</f>
        <v>37967</v>
      </c>
      <c r="E21226" s="5">
        <f t="shared" si="347"/>
        <v>2003</v>
      </c>
      <c r="F21226" s="3" t="s">
        <v>3460</v>
      </c>
      <c r="G21226" s="6">
        <v>346.05</v>
      </c>
      <c r="H21226" s="5">
        <v>465</v>
      </c>
    </row>
    <row r="21227" spans="2:8" ht="15" customHeight="1" x14ac:dyDescent="0.4">
      <c r="B21227" s="3" t="s">
        <v>7</v>
      </c>
      <c r="C21227" s="3" t="s">
        <v>138</v>
      </c>
      <c r="D21227" s="4">
        <f>DATE(2003,12,31)</f>
        <v>37986</v>
      </c>
      <c r="E21227" s="5">
        <f t="shared" si="347"/>
        <v>2003</v>
      </c>
      <c r="F21227" s="3" t="s">
        <v>3460</v>
      </c>
      <c r="G21227" s="6">
        <v>7.09</v>
      </c>
      <c r="H21227" s="5">
        <v>492</v>
      </c>
    </row>
    <row r="21228" spans="2:8" ht="15" customHeight="1" x14ac:dyDescent="0.4">
      <c r="B21228" s="3" t="s">
        <v>7</v>
      </c>
      <c r="C21228" s="3" t="s">
        <v>138</v>
      </c>
      <c r="D21228" s="4">
        <f>DATE(2004,1,14)</f>
        <v>38000</v>
      </c>
      <c r="E21228" s="5">
        <f t="shared" si="347"/>
        <v>2004</v>
      </c>
      <c r="F21228" s="3" t="s">
        <v>3460</v>
      </c>
      <c r="G21228" s="6">
        <v>435</v>
      </c>
      <c r="H21228" s="5">
        <v>504</v>
      </c>
    </row>
    <row r="21229" spans="2:8" ht="15" customHeight="1" x14ac:dyDescent="0.4">
      <c r="B21229" s="3" t="s">
        <v>7</v>
      </c>
      <c r="C21229" s="3" t="s">
        <v>138</v>
      </c>
      <c r="D21229" s="4">
        <f>DATE(2004,1,28)</f>
        <v>38014</v>
      </c>
      <c r="E21229" s="5">
        <f t="shared" si="347"/>
        <v>2004</v>
      </c>
      <c r="F21229" s="3" t="s">
        <v>3460</v>
      </c>
      <c r="G21229" s="6">
        <v>198.75</v>
      </c>
      <c r="H21229" s="5">
        <v>517</v>
      </c>
    </row>
    <row r="21230" spans="2:8" ht="15" customHeight="1" x14ac:dyDescent="0.4">
      <c r="B21230" s="3" t="s">
        <v>7</v>
      </c>
      <c r="C21230" s="3" t="s">
        <v>138</v>
      </c>
      <c r="D21230" s="4">
        <f>DATE(2004,2,6)</f>
        <v>38023</v>
      </c>
      <c r="E21230" s="5">
        <f t="shared" si="347"/>
        <v>2004</v>
      </c>
      <c r="F21230" s="3" t="s">
        <v>3460</v>
      </c>
      <c r="G21230" s="6">
        <v>106.05</v>
      </c>
      <c r="H21230" s="5">
        <v>522</v>
      </c>
    </row>
    <row r="21231" spans="2:8" ht="15" customHeight="1" x14ac:dyDescent="0.4">
      <c r="B21231" s="3" t="s">
        <v>7</v>
      </c>
      <c r="C21231" s="3" t="s">
        <v>138</v>
      </c>
      <c r="D21231" s="4">
        <f>DATE(2004,1,31)</f>
        <v>38017</v>
      </c>
      <c r="E21231" s="5">
        <f t="shared" si="347"/>
        <v>2004</v>
      </c>
      <c r="F21231" s="3" t="s">
        <v>3460</v>
      </c>
      <c r="G21231" s="6">
        <v>18.2</v>
      </c>
      <c r="H21231" s="5">
        <v>528</v>
      </c>
    </row>
    <row r="21232" spans="2:8" ht="15" customHeight="1" x14ac:dyDescent="0.4">
      <c r="B21232" s="3" t="s">
        <v>7</v>
      </c>
      <c r="C21232" s="3" t="s">
        <v>138</v>
      </c>
      <c r="D21232" s="4">
        <f>DATE(2004,2,19)</f>
        <v>38036</v>
      </c>
      <c r="E21232" s="5">
        <f t="shared" si="347"/>
        <v>2004</v>
      </c>
      <c r="F21232" s="3" t="s">
        <v>3460</v>
      </c>
      <c r="G21232" s="6">
        <v>1557.5</v>
      </c>
      <c r="H21232" s="5">
        <v>538</v>
      </c>
    </row>
    <row r="21233" spans="2:8" ht="15" customHeight="1" x14ac:dyDescent="0.4">
      <c r="B21233" s="3" t="s">
        <v>7</v>
      </c>
      <c r="C21233" s="3" t="s">
        <v>138</v>
      </c>
      <c r="D21233" s="4">
        <f>DATE(2004,2,19)</f>
        <v>38036</v>
      </c>
      <c r="E21233" s="5">
        <f t="shared" si="347"/>
        <v>2004</v>
      </c>
      <c r="F21233" s="3" t="s">
        <v>3460</v>
      </c>
      <c r="G21233" s="6">
        <v>6.25</v>
      </c>
      <c r="H21233" s="5">
        <v>539</v>
      </c>
    </row>
    <row r="21234" spans="2:8" ht="15" customHeight="1" x14ac:dyDescent="0.4">
      <c r="B21234" s="3" t="s">
        <v>7</v>
      </c>
      <c r="C21234" s="3" t="s">
        <v>138</v>
      </c>
      <c r="D21234" s="4">
        <f>DATE(2004,2,19)</f>
        <v>38036</v>
      </c>
      <c r="E21234" s="5">
        <f t="shared" si="347"/>
        <v>2004</v>
      </c>
      <c r="F21234" s="3" t="s">
        <v>3460</v>
      </c>
      <c r="G21234" s="6">
        <v>312</v>
      </c>
      <c r="H21234" s="5">
        <v>541</v>
      </c>
    </row>
    <row r="21235" spans="2:8" ht="15" customHeight="1" x14ac:dyDescent="0.4">
      <c r="B21235" s="3" t="s">
        <v>7</v>
      </c>
      <c r="C21235" s="3" t="s">
        <v>138</v>
      </c>
      <c r="D21235" s="4">
        <f>DATE(2004,2,29)</f>
        <v>38046</v>
      </c>
      <c r="E21235" s="5">
        <f t="shared" si="347"/>
        <v>2004</v>
      </c>
      <c r="F21235" s="3" t="s">
        <v>3460</v>
      </c>
      <c r="G21235" s="6">
        <v>92.36</v>
      </c>
      <c r="H21235" s="5">
        <v>557</v>
      </c>
    </row>
    <row r="21236" spans="2:8" ht="15" customHeight="1" x14ac:dyDescent="0.4">
      <c r="B21236" s="3" t="s">
        <v>7</v>
      </c>
      <c r="C21236" s="3" t="s">
        <v>138</v>
      </c>
      <c r="D21236" s="4">
        <f>DATE(2004,3,17)</f>
        <v>38063</v>
      </c>
      <c r="E21236" s="5">
        <f t="shared" si="347"/>
        <v>2004</v>
      </c>
      <c r="F21236" s="3" t="s">
        <v>3460</v>
      </c>
      <c r="G21236" s="6">
        <v>346.05</v>
      </c>
      <c r="H21236" s="5">
        <v>567</v>
      </c>
    </row>
    <row r="21237" spans="2:8" ht="15" customHeight="1" x14ac:dyDescent="0.4">
      <c r="B21237" s="3" t="s">
        <v>7</v>
      </c>
      <c r="C21237" s="3" t="s">
        <v>138</v>
      </c>
      <c r="D21237" s="4">
        <f>DATE(2004,3,17)</f>
        <v>38063</v>
      </c>
      <c r="E21237" s="5">
        <f t="shared" si="347"/>
        <v>2004</v>
      </c>
      <c r="F21237" s="3" t="s">
        <v>3460</v>
      </c>
      <c r="G21237" s="6">
        <v>346.05</v>
      </c>
      <c r="H21237" s="5">
        <v>569</v>
      </c>
    </row>
    <row r="21238" spans="2:8" ht="15" customHeight="1" x14ac:dyDescent="0.4">
      <c r="B21238" s="3" t="s">
        <v>7</v>
      </c>
      <c r="C21238" s="3" t="s">
        <v>138</v>
      </c>
      <c r="D21238" s="4">
        <f>DATE(2004,3,30)</f>
        <v>38076</v>
      </c>
      <c r="E21238" s="5">
        <f t="shared" si="347"/>
        <v>2004</v>
      </c>
      <c r="F21238" s="3" t="s">
        <v>3460</v>
      </c>
      <c r="G21238" s="6">
        <v>1364.75</v>
      </c>
      <c r="H21238" s="5">
        <v>587</v>
      </c>
    </row>
    <row r="21239" spans="2:8" ht="15" customHeight="1" x14ac:dyDescent="0.4">
      <c r="B21239" s="3" t="s">
        <v>7</v>
      </c>
      <c r="C21239" s="3" t="s">
        <v>138</v>
      </c>
      <c r="D21239" s="4">
        <f>DATE(2004,3,31)</f>
        <v>38077</v>
      </c>
      <c r="E21239" s="5">
        <f t="shared" si="347"/>
        <v>2004</v>
      </c>
      <c r="F21239" s="3" t="s">
        <v>3460</v>
      </c>
      <c r="G21239" s="6">
        <v>435</v>
      </c>
      <c r="H21239" s="5">
        <v>594</v>
      </c>
    </row>
    <row r="21240" spans="2:8" ht="15" customHeight="1" x14ac:dyDescent="0.4">
      <c r="B21240" s="3" t="s">
        <v>7</v>
      </c>
      <c r="C21240" s="3" t="s">
        <v>138</v>
      </c>
      <c r="D21240" s="4">
        <f>DATE(2004,3,31)</f>
        <v>38077</v>
      </c>
      <c r="E21240" s="5">
        <f t="shared" si="347"/>
        <v>2004</v>
      </c>
      <c r="F21240" s="3" t="s">
        <v>3460</v>
      </c>
      <c r="G21240" s="6">
        <v>40.98</v>
      </c>
      <c r="H21240" s="5">
        <v>603</v>
      </c>
    </row>
    <row r="21241" spans="2:8" ht="15" customHeight="1" x14ac:dyDescent="0.4">
      <c r="B21241" s="3" t="s">
        <v>7</v>
      </c>
      <c r="C21241" s="3" t="s">
        <v>138</v>
      </c>
      <c r="D21241" s="4">
        <f>DATE(2004,4,16)</f>
        <v>38093</v>
      </c>
      <c r="E21241" s="5">
        <f t="shared" si="347"/>
        <v>2004</v>
      </c>
      <c r="F21241" s="3" t="s">
        <v>3460</v>
      </c>
      <c r="G21241" s="6">
        <v>284.25</v>
      </c>
      <c r="H21241" s="5">
        <v>616</v>
      </c>
    </row>
    <row r="21242" spans="2:8" ht="15" customHeight="1" x14ac:dyDescent="0.4">
      <c r="B21242" s="3" t="s">
        <v>7</v>
      </c>
      <c r="C21242" s="3" t="s">
        <v>138</v>
      </c>
      <c r="D21242" s="4">
        <f>DATE(2004,4,16)</f>
        <v>38093</v>
      </c>
      <c r="E21242" s="5">
        <f t="shared" si="347"/>
        <v>2004</v>
      </c>
      <c r="F21242" s="3" t="s">
        <v>3460</v>
      </c>
      <c r="G21242" s="6">
        <v>1545</v>
      </c>
      <c r="H21242" s="5">
        <v>617</v>
      </c>
    </row>
    <row r="21243" spans="2:8" ht="15" customHeight="1" x14ac:dyDescent="0.4">
      <c r="B21243" s="3" t="s">
        <v>7</v>
      </c>
      <c r="C21243" s="3" t="s">
        <v>138</v>
      </c>
      <c r="D21243" s="4">
        <f>DATE(2004,4,23)</f>
        <v>38100</v>
      </c>
      <c r="E21243" s="5">
        <f t="shared" si="347"/>
        <v>2004</v>
      </c>
      <c r="F21243" s="3" t="s">
        <v>3460</v>
      </c>
      <c r="G21243" s="6">
        <v>718.5</v>
      </c>
      <c r="H21243" s="5">
        <v>632</v>
      </c>
    </row>
    <row r="21244" spans="2:8" ht="15" customHeight="1" x14ac:dyDescent="0.4">
      <c r="B21244" s="3" t="s">
        <v>7</v>
      </c>
      <c r="C21244" s="3" t="s">
        <v>138</v>
      </c>
      <c r="D21244" s="4">
        <f>DATE(2004,5,19)</f>
        <v>38126</v>
      </c>
      <c r="E21244" s="5">
        <f t="shared" si="347"/>
        <v>2004</v>
      </c>
      <c r="F21244" s="3" t="s">
        <v>3460</v>
      </c>
      <c r="G21244" s="6">
        <v>84.75</v>
      </c>
      <c r="H21244" s="5">
        <v>656</v>
      </c>
    </row>
    <row r="21245" spans="2:8" ht="15" customHeight="1" x14ac:dyDescent="0.4">
      <c r="B21245" s="3" t="s">
        <v>7</v>
      </c>
      <c r="C21245" s="3" t="s">
        <v>138</v>
      </c>
      <c r="D21245" s="4">
        <f>DATE(2004,4,30)</f>
        <v>38107</v>
      </c>
      <c r="E21245" s="5">
        <f t="shared" si="347"/>
        <v>2004</v>
      </c>
      <c r="F21245" s="3" t="s">
        <v>3460</v>
      </c>
      <c r="G21245" s="6">
        <v>30.96</v>
      </c>
      <c r="H21245" s="5">
        <v>658</v>
      </c>
    </row>
    <row r="21246" spans="2:8" ht="15" customHeight="1" x14ac:dyDescent="0.4">
      <c r="B21246" s="3" t="s">
        <v>7</v>
      </c>
      <c r="C21246" s="3" t="s">
        <v>138</v>
      </c>
      <c r="D21246" s="4">
        <f>DATE(2004,5,28)</f>
        <v>38135</v>
      </c>
      <c r="E21246" s="5">
        <f t="shared" si="347"/>
        <v>2004</v>
      </c>
      <c r="F21246" s="3" t="s">
        <v>3460</v>
      </c>
      <c r="G21246" s="6">
        <v>624</v>
      </c>
      <c r="H21246" s="5">
        <v>672</v>
      </c>
    </row>
    <row r="21247" spans="2:8" ht="15" customHeight="1" x14ac:dyDescent="0.4">
      <c r="B21247" s="3" t="s">
        <v>7</v>
      </c>
      <c r="C21247" s="3" t="s">
        <v>138</v>
      </c>
      <c r="D21247" s="4">
        <f>DATE(2004,5,27)</f>
        <v>38134</v>
      </c>
      <c r="E21247" s="5">
        <f t="shared" si="347"/>
        <v>2004</v>
      </c>
      <c r="F21247" s="3" t="s">
        <v>3460</v>
      </c>
      <c r="G21247" s="6">
        <v>2263.75</v>
      </c>
      <c r="H21247" s="5">
        <v>674</v>
      </c>
    </row>
    <row r="21248" spans="2:8" ht="15" customHeight="1" x14ac:dyDescent="0.4">
      <c r="B21248" s="3" t="s">
        <v>7</v>
      </c>
      <c r="C21248" s="3" t="s">
        <v>138</v>
      </c>
      <c r="D21248" s="4">
        <f>DATE(2004,6,7)</f>
        <v>38145</v>
      </c>
      <c r="E21248" s="5">
        <f t="shared" si="347"/>
        <v>2004</v>
      </c>
      <c r="F21248" s="3" t="s">
        <v>3460</v>
      </c>
      <c r="G21248" s="6">
        <v>15</v>
      </c>
      <c r="H21248" s="5">
        <v>679</v>
      </c>
    </row>
    <row r="21249" spans="2:8" ht="15" customHeight="1" x14ac:dyDescent="0.4">
      <c r="B21249" s="3" t="s">
        <v>7</v>
      </c>
      <c r="C21249" s="3" t="s">
        <v>138</v>
      </c>
      <c r="D21249" s="4">
        <f>DATE(2004,5,31)</f>
        <v>38138</v>
      </c>
      <c r="E21249" s="5">
        <f t="shared" si="347"/>
        <v>2004</v>
      </c>
      <c r="F21249" s="3" t="s">
        <v>3460</v>
      </c>
      <c r="G21249" s="6">
        <v>122.92</v>
      </c>
      <c r="H21249" s="5">
        <v>684</v>
      </c>
    </row>
    <row r="21250" spans="2:8" ht="15" customHeight="1" x14ac:dyDescent="0.4">
      <c r="B21250" s="3" t="s">
        <v>7</v>
      </c>
      <c r="C21250" s="3" t="s">
        <v>138</v>
      </c>
      <c r="D21250" s="4">
        <f>DATE(2004,6,8)</f>
        <v>38146</v>
      </c>
      <c r="E21250" s="5">
        <f t="shared" si="347"/>
        <v>2004</v>
      </c>
      <c r="F21250" s="3" t="s">
        <v>3460</v>
      </c>
      <c r="G21250" s="6">
        <v>346.05</v>
      </c>
      <c r="H21250" s="5">
        <v>688</v>
      </c>
    </row>
    <row r="21251" spans="2:8" ht="15" customHeight="1" x14ac:dyDescent="0.4">
      <c r="B21251" s="3" t="s">
        <v>7</v>
      </c>
      <c r="C21251" s="3" t="s">
        <v>138</v>
      </c>
      <c r="D21251" s="4">
        <f>DATE(2004,6,28)</f>
        <v>38166</v>
      </c>
      <c r="E21251" s="5">
        <f t="shared" ref="E21251:E21314" si="348">YEAR(D21251)</f>
        <v>2004</v>
      </c>
      <c r="F21251" s="3" t="s">
        <v>3460</v>
      </c>
      <c r="G21251" s="6">
        <v>99.75</v>
      </c>
      <c r="H21251" s="5">
        <v>700</v>
      </c>
    </row>
    <row r="21252" spans="2:8" ht="15" customHeight="1" x14ac:dyDescent="0.4">
      <c r="B21252" s="3" t="s">
        <v>7</v>
      </c>
      <c r="C21252" s="3" t="s">
        <v>138</v>
      </c>
      <c r="D21252" s="4">
        <f>DATE(2004,6,30)</f>
        <v>38168</v>
      </c>
      <c r="E21252" s="5">
        <f t="shared" si="348"/>
        <v>2004</v>
      </c>
      <c r="F21252" s="3" t="s">
        <v>3460</v>
      </c>
      <c r="G21252" s="6">
        <v>29.45</v>
      </c>
      <c r="H21252" s="5">
        <v>716</v>
      </c>
    </row>
    <row r="21253" spans="2:8" ht="15" customHeight="1" x14ac:dyDescent="0.4">
      <c r="B21253" s="3" t="s">
        <v>7</v>
      </c>
      <c r="C21253" s="3" t="s">
        <v>138</v>
      </c>
      <c r="D21253" s="4">
        <f>DATE(2004,7,26)</f>
        <v>38194</v>
      </c>
      <c r="E21253" s="5">
        <f t="shared" si="348"/>
        <v>2004</v>
      </c>
      <c r="F21253" s="3" t="s">
        <v>3460</v>
      </c>
      <c r="G21253" s="6">
        <v>3357.25</v>
      </c>
      <c r="H21253" s="5">
        <v>724</v>
      </c>
    </row>
    <row r="21254" spans="2:8" ht="15" customHeight="1" x14ac:dyDescent="0.4">
      <c r="B21254" s="3" t="s">
        <v>7</v>
      </c>
      <c r="C21254" s="3" t="s">
        <v>138</v>
      </c>
      <c r="D21254" s="4">
        <f>DATE(2004,7,21)</f>
        <v>38189</v>
      </c>
      <c r="E21254" s="5">
        <f t="shared" si="348"/>
        <v>2004</v>
      </c>
      <c r="F21254" s="3" t="s">
        <v>3460</v>
      </c>
      <c r="G21254" s="6">
        <v>91</v>
      </c>
      <c r="H21254" s="5">
        <v>734</v>
      </c>
    </row>
    <row r="21255" spans="2:8" ht="15" customHeight="1" x14ac:dyDescent="0.4">
      <c r="B21255" s="3" t="s">
        <v>7</v>
      </c>
      <c r="C21255" s="3" t="s">
        <v>138</v>
      </c>
      <c r="D21255" s="4">
        <f>DATE(2004,8,5)</f>
        <v>38204</v>
      </c>
      <c r="E21255" s="5">
        <f t="shared" si="348"/>
        <v>2004</v>
      </c>
      <c r="F21255" s="3" t="s">
        <v>3460</v>
      </c>
      <c r="G21255" s="6">
        <v>480</v>
      </c>
      <c r="H21255" s="5">
        <v>738</v>
      </c>
    </row>
    <row r="21256" spans="2:8" ht="15" customHeight="1" x14ac:dyDescent="0.4">
      <c r="B21256" s="3" t="s">
        <v>7</v>
      </c>
      <c r="C21256" s="3" t="s">
        <v>138</v>
      </c>
      <c r="D21256" s="4">
        <f>DATE(2004,8,5)</f>
        <v>38204</v>
      </c>
      <c r="E21256" s="5">
        <f t="shared" si="348"/>
        <v>2004</v>
      </c>
      <c r="F21256" s="3" t="s">
        <v>3460</v>
      </c>
      <c r="G21256" s="6">
        <v>197.25</v>
      </c>
      <c r="H21256" s="5">
        <v>739</v>
      </c>
    </row>
    <row r="21257" spans="2:8" ht="15" customHeight="1" x14ac:dyDescent="0.4">
      <c r="B21257" s="3" t="s">
        <v>7</v>
      </c>
      <c r="C21257" s="3" t="s">
        <v>138</v>
      </c>
      <c r="D21257" s="4">
        <f>DATE(2004,7,31)</f>
        <v>38199</v>
      </c>
      <c r="E21257" s="5">
        <f t="shared" si="348"/>
        <v>2004</v>
      </c>
      <c r="F21257" s="3" t="s">
        <v>3460</v>
      </c>
      <c r="G21257" s="6">
        <v>23.44</v>
      </c>
      <c r="H21257" s="5">
        <v>748</v>
      </c>
    </row>
    <row r="21258" spans="2:8" ht="15" customHeight="1" x14ac:dyDescent="0.4">
      <c r="B21258" s="3" t="s">
        <v>7</v>
      </c>
      <c r="C21258" s="3" t="s">
        <v>138</v>
      </c>
      <c r="D21258" s="4">
        <f>DATE(2004,8,30)</f>
        <v>38229</v>
      </c>
      <c r="E21258" s="5">
        <f t="shared" si="348"/>
        <v>2004</v>
      </c>
      <c r="F21258" s="3" t="s">
        <v>3460</v>
      </c>
      <c r="G21258" s="6">
        <v>1377.3</v>
      </c>
      <c r="H21258" s="5">
        <v>770</v>
      </c>
    </row>
    <row r="21259" spans="2:8" ht="15" customHeight="1" x14ac:dyDescent="0.4">
      <c r="B21259" s="3" t="s">
        <v>7</v>
      </c>
      <c r="C21259" s="3" t="s">
        <v>138</v>
      </c>
      <c r="D21259" s="4">
        <f>DATE(2004,8,31)</f>
        <v>38230</v>
      </c>
      <c r="E21259" s="5">
        <f t="shared" si="348"/>
        <v>2004</v>
      </c>
      <c r="F21259" s="3" t="s">
        <v>3460</v>
      </c>
      <c r="G21259" s="6">
        <v>31.95</v>
      </c>
      <c r="H21259" s="5">
        <v>775</v>
      </c>
    </row>
    <row r="21260" spans="2:8" ht="15" customHeight="1" x14ac:dyDescent="0.4">
      <c r="B21260" s="3" t="s">
        <v>7</v>
      </c>
      <c r="C21260" s="3" t="s">
        <v>138</v>
      </c>
      <c r="D21260" s="4">
        <f>DATE(2004,9,9)</f>
        <v>38239</v>
      </c>
      <c r="E21260" s="5">
        <f t="shared" si="348"/>
        <v>2004</v>
      </c>
      <c r="F21260" s="3" t="s">
        <v>3460</v>
      </c>
      <c r="G21260" s="6">
        <v>2496</v>
      </c>
      <c r="H21260" s="5">
        <v>774</v>
      </c>
    </row>
    <row r="21261" spans="2:8" ht="15" customHeight="1" x14ac:dyDescent="0.4">
      <c r="B21261" s="3" t="s">
        <v>7</v>
      </c>
      <c r="C21261" s="3" t="s">
        <v>138</v>
      </c>
      <c r="D21261" s="4">
        <f>DATE(2004,9,30)</f>
        <v>38260</v>
      </c>
      <c r="E21261" s="5">
        <f t="shared" si="348"/>
        <v>2004</v>
      </c>
      <c r="F21261" s="3" t="s">
        <v>3460</v>
      </c>
      <c r="G21261" s="6">
        <v>1891.05</v>
      </c>
      <c r="H21261" s="5">
        <v>798</v>
      </c>
    </row>
    <row r="21262" spans="2:8" ht="15" customHeight="1" x14ac:dyDescent="0.4">
      <c r="B21262" s="3" t="s">
        <v>7</v>
      </c>
      <c r="C21262" s="3" t="s">
        <v>138</v>
      </c>
      <c r="D21262" s="4">
        <f>DATE(2004,10,29)</f>
        <v>38289</v>
      </c>
      <c r="E21262" s="5">
        <f t="shared" si="348"/>
        <v>2004</v>
      </c>
      <c r="F21262" s="3" t="s">
        <v>3460</v>
      </c>
      <c r="G21262" s="6">
        <v>2496</v>
      </c>
      <c r="H21262" s="5">
        <v>836</v>
      </c>
    </row>
    <row r="21263" spans="2:8" ht="15" customHeight="1" x14ac:dyDescent="0.4">
      <c r="B21263" s="3" t="s">
        <v>7</v>
      </c>
      <c r="C21263" s="3" t="s">
        <v>138</v>
      </c>
      <c r="D21263" s="4">
        <f>DATE(2004,10,31)</f>
        <v>38291</v>
      </c>
      <c r="E21263" s="5">
        <f t="shared" si="348"/>
        <v>2004</v>
      </c>
      <c r="F21263" s="3" t="s">
        <v>3460</v>
      </c>
      <c r="G21263" s="6">
        <v>189.38</v>
      </c>
      <c r="H21263" s="5">
        <v>845</v>
      </c>
    </row>
    <row r="21264" spans="2:8" ht="15" customHeight="1" x14ac:dyDescent="0.4">
      <c r="B21264" s="3" t="s">
        <v>7</v>
      </c>
      <c r="C21264" s="3" t="s">
        <v>138</v>
      </c>
      <c r="D21264" s="4">
        <f>DATE(2004,11,10)</f>
        <v>38301</v>
      </c>
      <c r="E21264" s="5">
        <f t="shared" si="348"/>
        <v>2004</v>
      </c>
      <c r="F21264" s="3" t="s">
        <v>3460</v>
      </c>
      <c r="G21264" s="6">
        <v>121.05</v>
      </c>
      <c r="H21264" s="5">
        <v>849</v>
      </c>
    </row>
    <row r="21265" spans="2:8" ht="15" customHeight="1" x14ac:dyDescent="0.4">
      <c r="B21265" s="3" t="s">
        <v>7</v>
      </c>
      <c r="C21265" s="3" t="s">
        <v>138</v>
      </c>
      <c r="D21265" s="4">
        <f>DATE(2004,11,23)</f>
        <v>38314</v>
      </c>
      <c r="E21265" s="5">
        <f t="shared" si="348"/>
        <v>2004</v>
      </c>
      <c r="F21265" s="3" t="s">
        <v>3460</v>
      </c>
      <c r="G21265" s="6">
        <v>837.8</v>
      </c>
      <c r="H21265" s="5">
        <v>861</v>
      </c>
    </row>
    <row r="21266" spans="2:8" ht="15" customHeight="1" x14ac:dyDescent="0.4">
      <c r="B21266" s="3" t="s">
        <v>7</v>
      </c>
      <c r="C21266" s="3" t="s">
        <v>138</v>
      </c>
      <c r="D21266" s="4">
        <f>DATE(2004,11,26)</f>
        <v>38317</v>
      </c>
      <c r="E21266" s="5">
        <f t="shared" si="348"/>
        <v>2004</v>
      </c>
      <c r="F21266" s="3" t="s">
        <v>3460</v>
      </c>
      <c r="G21266" s="6">
        <v>15</v>
      </c>
      <c r="H21266" s="5">
        <v>870</v>
      </c>
    </row>
    <row r="21267" spans="2:8" ht="15" customHeight="1" x14ac:dyDescent="0.4">
      <c r="B21267" s="3" t="s">
        <v>7</v>
      </c>
      <c r="C21267" s="3" t="s">
        <v>138</v>
      </c>
      <c r="D21267" s="4">
        <f>DATE(2004,11,30)</f>
        <v>38321</v>
      </c>
      <c r="E21267" s="5">
        <f t="shared" si="348"/>
        <v>2004</v>
      </c>
      <c r="F21267" s="3" t="s">
        <v>3460</v>
      </c>
      <c r="G21267" s="6">
        <v>31.33</v>
      </c>
      <c r="H21267" s="5">
        <v>890</v>
      </c>
    </row>
    <row r="21268" spans="2:8" ht="15" customHeight="1" x14ac:dyDescent="0.4">
      <c r="B21268" s="3" t="s">
        <v>7</v>
      </c>
      <c r="C21268" s="3" t="s">
        <v>138</v>
      </c>
      <c r="D21268" s="4">
        <f>DATE(2004,12,29)</f>
        <v>38350</v>
      </c>
      <c r="E21268" s="5">
        <f t="shared" si="348"/>
        <v>2004</v>
      </c>
      <c r="F21268" s="3" t="s">
        <v>3460</v>
      </c>
      <c r="G21268" s="6">
        <v>1555.32</v>
      </c>
      <c r="H21268" s="5">
        <v>903</v>
      </c>
    </row>
    <row r="21269" spans="2:8" ht="15" customHeight="1" x14ac:dyDescent="0.4">
      <c r="B21269" s="3" t="s">
        <v>7</v>
      </c>
      <c r="C21269" s="3" t="s">
        <v>138</v>
      </c>
      <c r="D21269" s="4">
        <f>DATE(2004,12,29)</f>
        <v>38350</v>
      </c>
      <c r="E21269" s="5">
        <f t="shared" si="348"/>
        <v>2004</v>
      </c>
      <c r="F21269" s="3" t="s">
        <v>3460</v>
      </c>
      <c r="G21269" s="6">
        <v>506.51</v>
      </c>
      <c r="H21269" s="5">
        <v>904</v>
      </c>
    </row>
    <row r="21270" spans="2:8" ht="15" customHeight="1" x14ac:dyDescent="0.4">
      <c r="B21270" s="3" t="s">
        <v>7</v>
      </c>
      <c r="C21270" s="3" t="s">
        <v>138</v>
      </c>
      <c r="D21270" s="4">
        <f>DATE(2004,12,10)</f>
        <v>38331</v>
      </c>
      <c r="E21270" s="5">
        <f t="shared" si="348"/>
        <v>2004</v>
      </c>
      <c r="F21270" s="3" t="s">
        <v>3460</v>
      </c>
      <c r="G21270" s="6">
        <v>23700</v>
      </c>
      <c r="H21270" s="5">
        <v>888</v>
      </c>
    </row>
    <row r="21271" spans="2:8" ht="15" customHeight="1" x14ac:dyDescent="0.4">
      <c r="B21271" s="3" t="s">
        <v>7</v>
      </c>
      <c r="C21271" s="3" t="s">
        <v>138</v>
      </c>
      <c r="D21271" s="4">
        <f>DATE(2004,12,29)</f>
        <v>38350</v>
      </c>
      <c r="E21271" s="5">
        <f t="shared" si="348"/>
        <v>2004</v>
      </c>
      <c r="F21271" s="3" t="s">
        <v>3460</v>
      </c>
      <c r="G21271" s="6">
        <v>18500</v>
      </c>
      <c r="H21271" s="5">
        <v>900</v>
      </c>
    </row>
    <row r="21272" spans="2:8" ht="15" customHeight="1" x14ac:dyDescent="0.4">
      <c r="B21272" s="3" t="s">
        <v>7</v>
      </c>
      <c r="C21272" s="3" t="s">
        <v>138</v>
      </c>
      <c r="D21272" s="4">
        <f>DATE(2004,12,29)</f>
        <v>38350</v>
      </c>
      <c r="E21272" s="5">
        <f t="shared" si="348"/>
        <v>2004</v>
      </c>
      <c r="F21272" s="3" t="s">
        <v>3460</v>
      </c>
      <c r="G21272" s="6">
        <v>18865</v>
      </c>
      <c r="H21272" s="5">
        <v>901</v>
      </c>
    </row>
    <row r="21273" spans="2:8" ht="15" customHeight="1" x14ac:dyDescent="0.4">
      <c r="B21273" s="3" t="s">
        <v>7</v>
      </c>
      <c r="C21273" s="3" t="s">
        <v>138</v>
      </c>
      <c r="D21273" s="4">
        <f>DATE(2004,12,21)</f>
        <v>38342</v>
      </c>
      <c r="E21273" s="5">
        <f t="shared" si="348"/>
        <v>2004</v>
      </c>
      <c r="F21273" s="3" t="s">
        <v>3460</v>
      </c>
      <c r="G21273" s="6">
        <v>356.22</v>
      </c>
      <c r="H21273" s="5">
        <v>898</v>
      </c>
    </row>
    <row r="21274" spans="2:8" ht="15" customHeight="1" x14ac:dyDescent="0.4">
      <c r="B21274" s="3" t="s">
        <v>7</v>
      </c>
      <c r="C21274" s="3" t="s">
        <v>138</v>
      </c>
      <c r="D21274" s="4">
        <f>DATE(2005,1,6)</f>
        <v>38358</v>
      </c>
      <c r="E21274" s="5">
        <f t="shared" si="348"/>
        <v>2005</v>
      </c>
      <c r="F21274" s="3" t="s">
        <v>3460</v>
      </c>
      <c r="G21274" s="6">
        <v>1797.76</v>
      </c>
      <c r="H21274" s="5">
        <v>914</v>
      </c>
    </row>
    <row r="21275" spans="2:8" ht="15" customHeight="1" x14ac:dyDescent="0.4">
      <c r="B21275" s="3" t="s">
        <v>7</v>
      </c>
      <c r="C21275" s="3" t="s">
        <v>138</v>
      </c>
      <c r="D21275" s="4">
        <f>DATE(2005,1,23)</f>
        <v>38375</v>
      </c>
      <c r="E21275" s="5">
        <f t="shared" si="348"/>
        <v>2005</v>
      </c>
      <c r="F21275" s="3" t="s">
        <v>3460</v>
      </c>
      <c r="G21275" s="6">
        <v>407.41</v>
      </c>
      <c r="H21275" s="5">
        <v>923</v>
      </c>
    </row>
    <row r="21276" spans="2:8" ht="15" customHeight="1" x14ac:dyDescent="0.4">
      <c r="B21276" s="3" t="s">
        <v>7</v>
      </c>
      <c r="C21276" s="3" t="s">
        <v>138</v>
      </c>
      <c r="D21276" s="4">
        <f>DATE(2005,1,31)</f>
        <v>38383</v>
      </c>
      <c r="E21276" s="5">
        <f t="shared" si="348"/>
        <v>2005</v>
      </c>
      <c r="F21276" s="3" t="s">
        <v>3460</v>
      </c>
      <c r="G21276" s="6">
        <v>8144.23</v>
      </c>
      <c r="H21276" s="5">
        <v>934</v>
      </c>
    </row>
    <row r="21277" spans="2:8" ht="15" customHeight="1" x14ac:dyDescent="0.4">
      <c r="B21277" s="3" t="s">
        <v>7</v>
      </c>
      <c r="C21277" s="3" t="s">
        <v>138</v>
      </c>
      <c r="D21277" s="4">
        <f>DATE(2005,4,7)</f>
        <v>38449</v>
      </c>
      <c r="E21277" s="5">
        <f t="shared" si="348"/>
        <v>2005</v>
      </c>
      <c r="F21277" s="3" t="s">
        <v>3460</v>
      </c>
      <c r="G21277" s="6">
        <v>754.9</v>
      </c>
      <c r="H21277" s="5">
        <v>1026</v>
      </c>
    </row>
    <row r="21278" spans="2:8" ht="15" customHeight="1" x14ac:dyDescent="0.4">
      <c r="B21278" s="3" t="s">
        <v>7</v>
      </c>
      <c r="C21278" s="3" t="s">
        <v>138</v>
      </c>
      <c r="D21278" s="4">
        <f>DATE(2005,4,21)</f>
        <v>38463</v>
      </c>
      <c r="E21278" s="5">
        <f t="shared" si="348"/>
        <v>2005</v>
      </c>
      <c r="F21278" s="3" t="s">
        <v>3460</v>
      </c>
      <c r="G21278" s="6">
        <v>398.97</v>
      </c>
      <c r="H21278" s="5">
        <v>1043</v>
      </c>
    </row>
    <row r="21279" spans="2:8" ht="15" customHeight="1" x14ac:dyDescent="0.4">
      <c r="B21279" s="3" t="s">
        <v>7</v>
      </c>
      <c r="C21279" s="3" t="s">
        <v>138</v>
      </c>
      <c r="D21279" s="4">
        <f>DATE(2005,4,22)</f>
        <v>38464</v>
      </c>
      <c r="E21279" s="5">
        <f t="shared" si="348"/>
        <v>2005</v>
      </c>
      <c r="F21279" s="3" t="s">
        <v>3460</v>
      </c>
      <c r="G21279" s="6">
        <v>5914.34</v>
      </c>
      <c r="H21279" s="5">
        <v>1042</v>
      </c>
    </row>
    <row r="21280" spans="2:8" ht="15" customHeight="1" x14ac:dyDescent="0.4">
      <c r="B21280" s="3" t="s">
        <v>7</v>
      </c>
      <c r="C21280" s="3" t="s">
        <v>138</v>
      </c>
      <c r="D21280" s="4">
        <f>DATE(2005,4,28)</f>
        <v>38470</v>
      </c>
      <c r="E21280" s="5">
        <f t="shared" si="348"/>
        <v>2005</v>
      </c>
      <c r="F21280" s="3" t="s">
        <v>3460</v>
      </c>
      <c r="G21280" s="6">
        <v>2102.17</v>
      </c>
      <c r="H21280" s="5">
        <v>1049</v>
      </c>
    </row>
    <row r="21281" spans="2:8" ht="15" customHeight="1" x14ac:dyDescent="0.4">
      <c r="B21281" s="3" t="s">
        <v>7</v>
      </c>
      <c r="C21281" s="3" t="s">
        <v>138</v>
      </c>
      <c r="D21281" s="4">
        <f>DATE(2005,5,4)</f>
        <v>38476</v>
      </c>
      <c r="E21281" s="5">
        <f t="shared" si="348"/>
        <v>2005</v>
      </c>
      <c r="F21281" s="3" t="s">
        <v>3460</v>
      </c>
      <c r="G21281" s="6">
        <v>159.72</v>
      </c>
      <c r="H21281" s="5">
        <v>1069</v>
      </c>
    </row>
    <row r="21282" spans="2:8" ht="15" customHeight="1" x14ac:dyDescent="0.4">
      <c r="B21282" s="3" t="s">
        <v>7</v>
      </c>
      <c r="C21282" s="3" t="s">
        <v>138</v>
      </c>
      <c r="D21282" s="4">
        <f>DATE(2005,5,24)</f>
        <v>38496</v>
      </c>
      <c r="E21282" s="5">
        <f t="shared" si="348"/>
        <v>2005</v>
      </c>
      <c r="F21282" s="3" t="s">
        <v>3460</v>
      </c>
      <c r="G21282" s="6">
        <v>20.78</v>
      </c>
      <c r="H21282" s="5">
        <v>1082</v>
      </c>
    </row>
    <row r="21283" spans="2:8" ht="15" customHeight="1" x14ac:dyDescent="0.4">
      <c r="B21283" s="3" t="s">
        <v>7</v>
      </c>
      <c r="C21283" s="3" t="s">
        <v>138</v>
      </c>
      <c r="D21283" s="4">
        <f>DATE(2005,5,24)</f>
        <v>38496</v>
      </c>
      <c r="E21283" s="5">
        <f t="shared" si="348"/>
        <v>2005</v>
      </c>
      <c r="F21283" s="3" t="s">
        <v>3460</v>
      </c>
      <c r="G21283" s="6">
        <v>308.77999999999997</v>
      </c>
      <c r="H21283" s="5">
        <v>1081</v>
      </c>
    </row>
    <row r="21284" spans="2:8" ht="15" customHeight="1" x14ac:dyDescent="0.4">
      <c r="B21284" s="3" t="s">
        <v>7</v>
      </c>
      <c r="C21284" s="3" t="s">
        <v>138</v>
      </c>
      <c r="D21284" s="4">
        <f>DATE(2005,6,8)</f>
        <v>38511</v>
      </c>
      <c r="E21284" s="5">
        <f t="shared" si="348"/>
        <v>2005</v>
      </c>
      <c r="F21284" s="3" t="s">
        <v>3460</v>
      </c>
      <c r="G21284" s="6">
        <v>54.78</v>
      </c>
      <c r="H21284" s="5">
        <v>1100</v>
      </c>
    </row>
    <row r="21285" spans="2:8" ht="15" customHeight="1" x14ac:dyDescent="0.4">
      <c r="B21285" s="3" t="s">
        <v>7</v>
      </c>
      <c r="C21285" s="3" t="s">
        <v>138</v>
      </c>
      <c r="D21285" s="4">
        <f>DATE(2005,6,8)</f>
        <v>38511</v>
      </c>
      <c r="E21285" s="5">
        <f t="shared" si="348"/>
        <v>2005</v>
      </c>
      <c r="F21285" s="3" t="s">
        <v>3460</v>
      </c>
      <c r="G21285" s="6">
        <v>719.07</v>
      </c>
      <c r="H21285" s="5">
        <v>1101</v>
      </c>
    </row>
    <row r="21286" spans="2:8" ht="15" customHeight="1" x14ac:dyDescent="0.4">
      <c r="B21286" s="3" t="s">
        <v>7</v>
      </c>
      <c r="C21286" s="3" t="s">
        <v>138</v>
      </c>
      <c r="D21286" s="4">
        <f>DATE(2005,6,9)</f>
        <v>38512</v>
      </c>
      <c r="E21286" s="5">
        <f t="shared" si="348"/>
        <v>2005</v>
      </c>
      <c r="F21286" s="3" t="s">
        <v>3460</v>
      </c>
      <c r="G21286" s="6">
        <v>567.08000000000004</v>
      </c>
      <c r="H21286" s="5">
        <v>1105</v>
      </c>
    </row>
    <row r="21287" spans="2:8" ht="15" customHeight="1" x14ac:dyDescent="0.4">
      <c r="B21287" s="3" t="s">
        <v>7</v>
      </c>
      <c r="C21287" s="3" t="s">
        <v>138</v>
      </c>
      <c r="D21287" s="4">
        <f>DATE(2005,6,21)</f>
        <v>38524</v>
      </c>
      <c r="E21287" s="5">
        <f t="shared" si="348"/>
        <v>2005</v>
      </c>
      <c r="F21287" s="3" t="s">
        <v>3460</v>
      </c>
      <c r="G21287" s="6">
        <v>3100.63</v>
      </c>
      <c r="H21287" s="5">
        <v>1136</v>
      </c>
    </row>
    <row r="21288" spans="2:8" ht="15" customHeight="1" x14ac:dyDescent="0.4">
      <c r="B21288" s="3" t="s">
        <v>7</v>
      </c>
      <c r="C21288" s="3" t="s">
        <v>138</v>
      </c>
      <c r="D21288" s="4">
        <f>DATE(2005,6,29)</f>
        <v>38532</v>
      </c>
      <c r="E21288" s="5">
        <f t="shared" si="348"/>
        <v>2005</v>
      </c>
      <c r="F21288" s="3" t="s">
        <v>3460</v>
      </c>
      <c r="G21288" s="6">
        <v>189.72</v>
      </c>
      <c r="H21288" s="5">
        <v>1132</v>
      </c>
    </row>
    <row r="21289" spans="2:8" ht="15" customHeight="1" x14ac:dyDescent="0.4">
      <c r="B21289" s="3" t="s">
        <v>7</v>
      </c>
      <c r="C21289" s="3" t="s">
        <v>138</v>
      </c>
      <c r="D21289" s="4">
        <f>DATE(2005,6,29)</f>
        <v>38532</v>
      </c>
      <c r="E21289" s="5">
        <f t="shared" si="348"/>
        <v>2005</v>
      </c>
      <c r="F21289" s="3" t="s">
        <v>3460</v>
      </c>
      <c r="G21289" s="6">
        <v>1240.02</v>
      </c>
      <c r="H21289" s="5">
        <v>1133</v>
      </c>
    </row>
    <row r="21290" spans="2:8" ht="15" customHeight="1" x14ac:dyDescent="0.4">
      <c r="B21290" s="3" t="s">
        <v>7</v>
      </c>
      <c r="C21290" s="3" t="s">
        <v>138</v>
      </c>
      <c r="D21290" s="4">
        <f>DATE(2005,6,29)</f>
        <v>38532</v>
      </c>
      <c r="E21290" s="5">
        <f t="shared" si="348"/>
        <v>2005</v>
      </c>
      <c r="F21290" s="3" t="s">
        <v>3460</v>
      </c>
      <c r="G21290" s="6">
        <v>887.57</v>
      </c>
      <c r="H21290" s="5">
        <v>1134</v>
      </c>
    </row>
    <row r="21291" spans="2:8" ht="15" customHeight="1" x14ac:dyDescent="0.4">
      <c r="B21291" s="3" t="s">
        <v>7</v>
      </c>
      <c r="C21291" s="3" t="s">
        <v>138</v>
      </c>
      <c r="D21291" s="4">
        <f>DATE(2005,6,29)</f>
        <v>38532</v>
      </c>
      <c r="E21291" s="5">
        <f t="shared" si="348"/>
        <v>2005</v>
      </c>
      <c r="F21291" s="3" t="s">
        <v>3460</v>
      </c>
      <c r="G21291" s="6">
        <v>63.81</v>
      </c>
      <c r="H21291" s="5">
        <v>1135</v>
      </c>
    </row>
    <row r="21292" spans="2:8" ht="15" customHeight="1" x14ac:dyDescent="0.4">
      <c r="B21292" s="3" t="s">
        <v>7</v>
      </c>
      <c r="C21292" s="3" t="s">
        <v>138</v>
      </c>
      <c r="D21292" s="4">
        <f>DATE(2005,7,1)</f>
        <v>38534</v>
      </c>
      <c r="E21292" s="5">
        <f t="shared" si="348"/>
        <v>2005</v>
      </c>
      <c r="F21292" s="3" t="s">
        <v>3460</v>
      </c>
      <c r="G21292" s="6">
        <v>257.77999999999997</v>
      </c>
      <c r="H21292" s="5">
        <v>1145</v>
      </c>
    </row>
    <row r="21293" spans="2:8" ht="15" customHeight="1" x14ac:dyDescent="0.4">
      <c r="B21293" s="3" t="s">
        <v>7</v>
      </c>
      <c r="C21293" s="3" t="s">
        <v>138</v>
      </c>
      <c r="D21293" s="4">
        <f>DATE(2005,7,21)</f>
        <v>38554</v>
      </c>
      <c r="E21293" s="5">
        <f t="shared" si="348"/>
        <v>2005</v>
      </c>
      <c r="F21293" s="3" t="s">
        <v>3460</v>
      </c>
      <c r="G21293" s="6">
        <v>921</v>
      </c>
      <c r="H21293" s="5">
        <v>1154</v>
      </c>
    </row>
    <row r="21294" spans="2:8" ht="15" customHeight="1" x14ac:dyDescent="0.4">
      <c r="B21294" s="3" t="s">
        <v>7</v>
      </c>
      <c r="C21294" s="3" t="s">
        <v>138</v>
      </c>
      <c r="D21294" s="4">
        <f>DATE(2005,7,15)</f>
        <v>38548</v>
      </c>
      <c r="E21294" s="5">
        <f t="shared" si="348"/>
        <v>2005</v>
      </c>
      <c r="F21294" s="3" t="s">
        <v>3460</v>
      </c>
      <c r="G21294" s="6">
        <v>189.72</v>
      </c>
      <c r="H21294" s="5">
        <v>1155</v>
      </c>
    </row>
    <row r="21295" spans="2:8" ht="15" customHeight="1" x14ac:dyDescent="0.4">
      <c r="B21295" s="3" t="s">
        <v>7</v>
      </c>
      <c r="C21295" s="3" t="s">
        <v>138</v>
      </c>
      <c r="D21295" s="4">
        <f>DATE(2005,7,15)</f>
        <v>38548</v>
      </c>
      <c r="E21295" s="5">
        <f t="shared" si="348"/>
        <v>2005</v>
      </c>
      <c r="F21295" s="3" t="s">
        <v>3460</v>
      </c>
      <c r="G21295" s="6">
        <v>189.72</v>
      </c>
      <c r="H21295" s="5">
        <v>1181</v>
      </c>
    </row>
    <row r="21296" spans="2:8" ht="15" customHeight="1" x14ac:dyDescent="0.4">
      <c r="B21296" s="3" t="s">
        <v>7</v>
      </c>
      <c r="C21296" s="3" t="s">
        <v>138</v>
      </c>
      <c r="D21296" s="4">
        <f>DATE(2005,7,21)</f>
        <v>38554</v>
      </c>
      <c r="E21296" s="5">
        <f t="shared" si="348"/>
        <v>2005</v>
      </c>
      <c r="F21296" s="3" t="s">
        <v>3460</v>
      </c>
      <c r="G21296" s="6">
        <v>689.65</v>
      </c>
      <c r="H21296" s="5">
        <v>1179</v>
      </c>
    </row>
    <row r="21297" spans="2:8" ht="15" customHeight="1" x14ac:dyDescent="0.4">
      <c r="B21297" s="3" t="s">
        <v>7</v>
      </c>
      <c r="C21297" s="3" t="s">
        <v>138</v>
      </c>
      <c r="D21297" s="4">
        <f>DATE(2005,7,21)</f>
        <v>38554</v>
      </c>
      <c r="E21297" s="5">
        <f t="shared" si="348"/>
        <v>2005</v>
      </c>
      <c r="F21297" s="3" t="s">
        <v>3460</v>
      </c>
      <c r="G21297" s="6">
        <v>1032.3</v>
      </c>
      <c r="H21297" s="5">
        <v>1180</v>
      </c>
    </row>
    <row r="21298" spans="2:8" ht="15" customHeight="1" x14ac:dyDescent="0.4">
      <c r="B21298" s="3" t="s">
        <v>7</v>
      </c>
      <c r="C21298" s="3" t="s">
        <v>138</v>
      </c>
      <c r="D21298" s="4">
        <f>DATE(2005,7,29)</f>
        <v>38562</v>
      </c>
      <c r="E21298" s="5">
        <f t="shared" si="348"/>
        <v>2005</v>
      </c>
      <c r="F21298" s="3" t="s">
        <v>3460</v>
      </c>
      <c r="G21298" s="6">
        <v>5596.77</v>
      </c>
      <c r="H21298" s="5">
        <v>1174</v>
      </c>
    </row>
    <row r="21299" spans="2:8" ht="15" customHeight="1" x14ac:dyDescent="0.4">
      <c r="B21299" s="3" t="s">
        <v>7</v>
      </c>
      <c r="C21299" s="3" t="s">
        <v>138</v>
      </c>
      <c r="D21299" s="4">
        <f>DATE(2005,7,29)</f>
        <v>38562</v>
      </c>
      <c r="E21299" s="5">
        <f t="shared" si="348"/>
        <v>2005</v>
      </c>
      <c r="F21299" s="3" t="s">
        <v>3460</v>
      </c>
      <c r="G21299" s="6">
        <v>3909.3</v>
      </c>
      <c r="H21299" s="5">
        <v>1175</v>
      </c>
    </row>
    <row r="21300" spans="2:8" ht="15" customHeight="1" x14ac:dyDescent="0.4">
      <c r="B21300" s="3" t="s">
        <v>7</v>
      </c>
      <c r="C21300" s="3" t="s">
        <v>138</v>
      </c>
      <c r="D21300" s="4">
        <f>DATE(2005,7,29)</f>
        <v>38562</v>
      </c>
      <c r="E21300" s="5">
        <f t="shared" si="348"/>
        <v>2005</v>
      </c>
      <c r="F21300" s="3" t="s">
        <v>3460</v>
      </c>
      <c r="G21300" s="6">
        <v>6908.54</v>
      </c>
      <c r="H21300" s="5">
        <v>1176</v>
      </c>
    </row>
    <row r="21301" spans="2:8" ht="15" customHeight="1" x14ac:dyDescent="0.4">
      <c r="B21301" s="3" t="s">
        <v>7</v>
      </c>
      <c r="C21301" s="3" t="s">
        <v>138</v>
      </c>
      <c r="D21301" s="4">
        <f>DATE(2005,8,31)</f>
        <v>38595</v>
      </c>
      <c r="E21301" s="5">
        <f t="shared" si="348"/>
        <v>2005</v>
      </c>
      <c r="F21301" s="3" t="s">
        <v>3460</v>
      </c>
      <c r="G21301" s="6">
        <v>660.13</v>
      </c>
      <c r="H21301" s="5">
        <v>1215</v>
      </c>
    </row>
    <row r="21302" spans="2:8" ht="15" customHeight="1" x14ac:dyDescent="0.4">
      <c r="B21302" s="3" t="s">
        <v>7</v>
      </c>
      <c r="C21302" s="3" t="s">
        <v>138</v>
      </c>
      <c r="D21302" s="4">
        <f>DATE(2005,9,9)</f>
        <v>38604</v>
      </c>
      <c r="E21302" s="5">
        <f t="shared" si="348"/>
        <v>2005</v>
      </c>
      <c r="F21302" s="3" t="s">
        <v>3460</v>
      </c>
      <c r="G21302" s="6">
        <v>668.64</v>
      </c>
      <c r="H21302" s="5">
        <v>1231</v>
      </c>
    </row>
    <row r="21303" spans="2:8" ht="15" customHeight="1" x14ac:dyDescent="0.4">
      <c r="B21303" s="3" t="s">
        <v>7</v>
      </c>
      <c r="C21303" s="3" t="s">
        <v>138</v>
      </c>
      <c r="D21303" s="4">
        <f>DATE(2005,8,31)</f>
        <v>38595</v>
      </c>
      <c r="E21303" s="5">
        <f t="shared" si="348"/>
        <v>2005</v>
      </c>
      <c r="F21303" s="3" t="s">
        <v>3460</v>
      </c>
      <c r="G21303" s="6">
        <v>599.29</v>
      </c>
      <c r="H21303" s="5">
        <v>1246</v>
      </c>
    </row>
    <row r="21304" spans="2:8" ht="15" customHeight="1" x14ac:dyDescent="0.4">
      <c r="B21304" s="3" t="s">
        <v>7</v>
      </c>
      <c r="C21304" s="3" t="s">
        <v>138</v>
      </c>
      <c r="D21304" s="4">
        <f>DATE(2005,9,30)</f>
        <v>38625</v>
      </c>
      <c r="E21304" s="5">
        <f t="shared" si="348"/>
        <v>2005</v>
      </c>
      <c r="F21304" s="3" t="s">
        <v>3460</v>
      </c>
      <c r="G21304" s="6">
        <v>5496</v>
      </c>
      <c r="H21304" s="5">
        <v>1276</v>
      </c>
    </row>
    <row r="21305" spans="2:8" ht="15" customHeight="1" x14ac:dyDescent="0.4">
      <c r="B21305" s="3" t="s">
        <v>7</v>
      </c>
      <c r="C21305" s="3" t="s">
        <v>138</v>
      </c>
      <c r="D21305" s="4">
        <f>DATE(2005,10,12)</f>
        <v>38637</v>
      </c>
      <c r="E21305" s="5">
        <f t="shared" si="348"/>
        <v>2005</v>
      </c>
      <c r="F21305" s="3" t="s">
        <v>3460</v>
      </c>
      <c r="G21305" s="6">
        <v>1854</v>
      </c>
      <c r="H21305" s="5">
        <v>1274</v>
      </c>
    </row>
    <row r="21306" spans="2:8" ht="15" customHeight="1" x14ac:dyDescent="0.4">
      <c r="B21306" s="3" t="s">
        <v>7</v>
      </c>
      <c r="C21306" s="3" t="s">
        <v>138</v>
      </c>
      <c r="D21306" s="4">
        <f>DATE(2005,10,13)</f>
        <v>38638</v>
      </c>
      <c r="E21306" s="5">
        <f t="shared" si="348"/>
        <v>2005</v>
      </c>
      <c r="F21306" s="3" t="s">
        <v>3460</v>
      </c>
      <c r="G21306" s="6">
        <v>154.41999999999999</v>
      </c>
      <c r="H21306" s="5">
        <v>1261</v>
      </c>
    </row>
    <row r="21307" spans="2:8" ht="15" customHeight="1" x14ac:dyDescent="0.4">
      <c r="B21307" s="3" t="s">
        <v>7</v>
      </c>
      <c r="C21307" s="3" t="s">
        <v>138</v>
      </c>
      <c r="D21307" s="4">
        <f>DATE(2005,10,13)</f>
        <v>38638</v>
      </c>
      <c r="E21307" s="5">
        <f t="shared" si="348"/>
        <v>2005</v>
      </c>
      <c r="F21307" s="3" t="s">
        <v>3460</v>
      </c>
      <c r="G21307" s="6">
        <v>188.87</v>
      </c>
      <c r="H21307" s="5">
        <v>1263</v>
      </c>
    </row>
    <row r="21308" spans="2:8" ht="15" customHeight="1" x14ac:dyDescent="0.4">
      <c r="B21308" s="3" t="s">
        <v>7</v>
      </c>
      <c r="C21308" s="3" t="s">
        <v>138</v>
      </c>
      <c r="D21308" s="4">
        <f>DATE(2005,10,14)</f>
        <v>38639</v>
      </c>
      <c r="E21308" s="5">
        <f t="shared" si="348"/>
        <v>2005</v>
      </c>
      <c r="F21308" s="3" t="s">
        <v>3460</v>
      </c>
      <c r="G21308" s="6">
        <v>699.01</v>
      </c>
      <c r="H21308" s="5">
        <v>1260</v>
      </c>
    </row>
    <row r="21309" spans="2:8" ht="15" customHeight="1" x14ac:dyDescent="0.4">
      <c r="B21309" s="3" t="s">
        <v>7</v>
      </c>
      <c r="C21309" s="3" t="s">
        <v>138</v>
      </c>
      <c r="D21309" s="4">
        <f>DATE(2005,10,18)</f>
        <v>38643</v>
      </c>
      <c r="E21309" s="5">
        <f t="shared" si="348"/>
        <v>2005</v>
      </c>
      <c r="F21309" s="3" t="s">
        <v>3460</v>
      </c>
      <c r="G21309" s="6">
        <v>331.85</v>
      </c>
      <c r="H21309" s="5">
        <v>1262</v>
      </c>
    </row>
    <row r="21310" spans="2:8" ht="15" customHeight="1" x14ac:dyDescent="0.4">
      <c r="B21310" s="3" t="s">
        <v>7</v>
      </c>
      <c r="C21310" s="3" t="s">
        <v>138</v>
      </c>
      <c r="D21310" s="4">
        <f>DATE(2005,10,18)</f>
        <v>38643</v>
      </c>
      <c r="E21310" s="5">
        <f t="shared" si="348"/>
        <v>2005</v>
      </c>
      <c r="F21310" s="3" t="s">
        <v>3460</v>
      </c>
      <c r="G21310" s="6">
        <v>618.48</v>
      </c>
      <c r="H21310" s="5">
        <v>1266</v>
      </c>
    </row>
    <row r="21311" spans="2:8" ht="15" customHeight="1" x14ac:dyDescent="0.4">
      <c r="B21311" s="3" t="s">
        <v>7</v>
      </c>
      <c r="C21311" s="3" t="s">
        <v>138</v>
      </c>
      <c r="D21311" s="4">
        <f>DATE(2005,11,4)</f>
        <v>38660</v>
      </c>
      <c r="E21311" s="5">
        <f t="shared" si="348"/>
        <v>2005</v>
      </c>
      <c r="F21311" s="3" t="s">
        <v>3460</v>
      </c>
      <c r="G21311" s="6">
        <v>737.81</v>
      </c>
      <c r="H21311" s="5">
        <v>1271</v>
      </c>
    </row>
    <row r="21312" spans="2:8" ht="15" customHeight="1" x14ac:dyDescent="0.4">
      <c r="B21312" s="3" t="s">
        <v>7</v>
      </c>
      <c r="C21312" s="3" t="s">
        <v>138</v>
      </c>
      <c r="D21312" s="4">
        <f>DATE(2005,11,22)</f>
        <v>38678</v>
      </c>
      <c r="E21312" s="5">
        <f t="shared" si="348"/>
        <v>2005</v>
      </c>
      <c r="F21312" s="3" t="s">
        <v>3460</v>
      </c>
      <c r="G21312" s="6">
        <v>42.5</v>
      </c>
      <c r="H21312" s="5">
        <v>1306</v>
      </c>
    </row>
    <row r="21313" spans="2:8" ht="15" customHeight="1" x14ac:dyDescent="0.4">
      <c r="B21313" s="3" t="s">
        <v>7</v>
      </c>
      <c r="C21313" s="3" t="s">
        <v>138</v>
      </c>
      <c r="D21313" s="4">
        <f>DATE(2005,11,22)</f>
        <v>38678</v>
      </c>
      <c r="E21313" s="5">
        <f t="shared" si="348"/>
        <v>2005</v>
      </c>
      <c r="F21313" s="3" t="s">
        <v>3460</v>
      </c>
      <c r="G21313" s="6">
        <v>1401.95</v>
      </c>
      <c r="H21313" s="5">
        <v>1307</v>
      </c>
    </row>
    <row r="21314" spans="2:8" ht="15" customHeight="1" x14ac:dyDescent="0.4">
      <c r="B21314" s="3" t="s">
        <v>7</v>
      </c>
      <c r="C21314" s="3" t="s">
        <v>138</v>
      </c>
      <c r="D21314" s="4">
        <f>DATE(2005,11,30)</f>
        <v>38686</v>
      </c>
      <c r="E21314" s="5">
        <f t="shared" si="348"/>
        <v>2005</v>
      </c>
      <c r="F21314" s="3" t="s">
        <v>3460</v>
      </c>
      <c r="G21314" s="6">
        <v>5496</v>
      </c>
      <c r="H21314" s="5">
        <v>1310</v>
      </c>
    </row>
    <row r="21315" spans="2:8" ht="15" customHeight="1" x14ac:dyDescent="0.4">
      <c r="B21315" s="3" t="s">
        <v>7</v>
      </c>
      <c r="C21315" s="3" t="s">
        <v>138</v>
      </c>
      <c r="D21315" s="4">
        <f>DATE(2005,12,16)</f>
        <v>38702</v>
      </c>
      <c r="E21315" s="5">
        <f t="shared" ref="E21315:E21378" si="349">YEAR(D21315)</f>
        <v>2005</v>
      </c>
      <c r="F21315" s="3" t="s">
        <v>3460</v>
      </c>
      <c r="G21315" s="6">
        <v>258.62</v>
      </c>
      <c r="H21315" s="5">
        <v>1344</v>
      </c>
    </row>
    <row r="21316" spans="2:8" ht="15" customHeight="1" x14ac:dyDescent="0.4">
      <c r="B21316" s="3" t="s">
        <v>7</v>
      </c>
      <c r="C21316" s="3" t="s">
        <v>138</v>
      </c>
      <c r="D21316" s="4">
        <f>DATE(2005,12,21)</f>
        <v>38707</v>
      </c>
      <c r="E21316" s="5">
        <f t="shared" si="349"/>
        <v>2005</v>
      </c>
      <c r="F21316" s="3" t="s">
        <v>3460</v>
      </c>
      <c r="G21316" s="6">
        <v>16650</v>
      </c>
      <c r="H21316" s="5">
        <v>1325</v>
      </c>
    </row>
    <row r="21317" spans="2:8" ht="15" customHeight="1" x14ac:dyDescent="0.4">
      <c r="B21317" s="3" t="s">
        <v>7</v>
      </c>
      <c r="C21317" s="3" t="s">
        <v>138</v>
      </c>
      <c r="D21317" s="4">
        <f>DATE(2005,12,22)</f>
        <v>38708</v>
      </c>
      <c r="E21317" s="5">
        <f t="shared" si="349"/>
        <v>2005</v>
      </c>
      <c r="F21317" s="3" t="s">
        <v>3460</v>
      </c>
      <c r="G21317" s="6">
        <v>936.92</v>
      </c>
      <c r="H21317" s="5">
        <v>1346</v>
      </c>
    </row>
    <row r="21318" spans="2:8" ht="15" customHeight="1" x14ac:dyDescent="0.4">
      <c r="B21318" s="3" t="s">
        <v>7</v>
      </c>
      <c r="C21318" s="3" t="s">
        <v>138</v>
      </c>
      <c r="D21318" s="4">
        <f>DATE(2006,1,20)</f>
        <v>38737</v>
      </c>
      <c r="E21318" s="5">
        <f t="shared" si="349"/>
        <v>2006</v>
      </c>
      <c r="F21318" s="3" t="s">
        <v>3460</v>
      </c>
      <c r="G21318" s="6">
        <v>240.4</v>
      </c>
      <c r="H21318" s="5">
        <v>1383</v>
      </c>
    </row>
    <row r="21319" spans="2:8" ht="15" customHeight="1" x14ac:dyDescent="0.4">
      <c r="B21319" s="3" t="s">
        <v>7</v>
      </c>
      <c r="C21319" s="3" t="s">
        <v>138</v>
      </c>
      <c r="D21319" s="4">
        <f>DATE(2006,1,20)</f>
        <v>38737</v>
      </c>
      <c r="E21319" s="5">
        <f t="shared" si="349"/>
        <v>2006</v>
      </c>
      <c r="F21319" s="3" t="s">
        <v>3460</v>
      </c>
      <c r="G21319" s="6">
        <v>1413.4</v>
      </c>
      <c r="H21319" s="5">
        <v>1384</v>
      </c>
    </row>
    <row r="21320" spans="2:8" ht="15" customHeight="1" x14ac:dyDescent="0.4">
      <c r="B21320" s="3" t="s">
        <v>7</v>
      </c>
      <c r="C21320" s="3" t="s">
        <v>138</v>
      </c>
      <c r="D21320" s="4">
        <f>DATE(2006,1,31)</f>
        <v>38748</v>
      </c>
      <c r="E21320" s="5">
        <f t="shared" si="349"/>
        <v>2006</v>
      </c>
      <c r="F21320" s="3" t="s">
        <v>3460</v>
      </c>
      <c r="G21320" s="6">
        <v>240</v>
      </c>
      <c r="H21320" s="5">
        <v>1439</v>
      </c>
    </row>
    <row r="21321" spans="2:8" ht="15" customHeight="1" x14ac:dyDescent="0.4">
      <c r="B21321" s="3" t="s">
        <v>7</v>
      </c>
      <c r="C21321" s="3" t="s">
        <v>138</v>
      </c>
      <c r="D21321" s="4">
        <f>DATE(2006,2,20)</f>
        <v>38768</v>
      </c>
      <c r="E21321" s="5">
        <f t="shared" si="349"/>
        <v>2006</v>
      </c>
      <c r="F21321" s="3" t="s">
        <v>3460</v>
      </c>
      <c r="G21321" s="6">
        <v>423.75</v>
      </c>
      <c r="H21321" s="5">
        <v>1459</v>
      </c>
    </row>
    <row r="21322" spans="2:8" ht="15" customHeight="1" x14ac:dyDescent="0.4">
      <c r="B21322" s="3" t="s">
        <v>7</v>
      </c>
      <c r="C21322" s="3" t="s">
        <v>138</v>
      </c>
      <c r="D21322" s="4">
        <f>DATE(2006,2,6)</f>
        <v>38754</v>
      </c>
      <c r="E21322" s="5">
        <f t="shared" si="349"/>
        <v>2006</v>
      </c>
      <c r="F21322" s="3" t="s">
        <v>3460</v>
      </c>
      <c r="G21322" s="6">
        <v>5496</v>
      </c>
      <c r="H21322" s="5">
        <v>1423</v>
      </c>
    </row>
    <row r="21323" spans="2:8" ht="15" customHeight="1" x14ac:dyDescent="0.4">
      <c r="B21323" s="3" t="s">
        <v>7</v>
      </c>
      <c r="C21323" s="3" t="s">
        <v>138</v>
      </c>
      <c r="D21323" s="4">
        <f>DATE(2006,3,13)</f>
        <v>38789</v>
      </c>
      <c r="E21323" s="5">
        <f t="shared" si="349"/>
        <v>2006</v>
      </c>
      <c r="F21323" s="3" t="s">
        <v>3460</v>
      </c>
      <c r="G21323" s="6">
        <v>144.88999999999999</v>
      </c>
      <c r="H21323" s="5">
        <v>1488</v>
      </c>
    </row>
    <row r="21324" spans="2:8" ht="15" customHeight="1" x14ac:dyDescent="0.4">
      <c r="B21324" s="3" t="s">
        <v>7</v>
      </c>
      <c r="C21324" s="3" t="s">
        <v>138</v>
      </c>
      <c r="D21324" s="4">
        <f>DATE(2006,2,16)</f>
        <v>38764</v>
      </c>
      <c r="E21324" s="5">
        <f t="shared" si="349"/>
        <v>2006</v>
      </c>
      <c r="F21324" s="3" t="s">
        <v>3460</v>
      </c>
      <c r="G21324" s="6">
        <v>5025</v>
      </c>
      <c r="H21324" s="5">
        <v>1455</v>
      </c>
    </row>
    <row r="21325" spans="2:8" ht="15" customHeight="1" x14ac:dyDescent="0.4">
      <c r="B21325" s="3" t="s">
        <v>7</v>
      </c>
      <c r="C21325" s="3" t="s">
        <v>138</v>
      </c>
      <c r="D21325" s="4">
        <f>DATE(2006,4,7)</f>
        <v>38814</v>
      </c>
      <c r="E21325" s="5">
        <f t="shared" si="349"/>
        <v>2006</v>
      </c>
      <c r="F21325" s="3" t="s">
        <v>3460</v>
      </c>
      <c r="G21325" s="6">
        <v>248.75</v>
      </c>
      <c r="H21325" s="5">
        <v>1522</v>
      </c>
    </row>
    <row r="21326" spans="2:8" ht="15" customHeight="1" x14ac:dyDescent="0.4">
      <c r="B21326" s="3" t="s">
        <v>7</v>
      </c>
      <c r="C21326" s="3" t="s">
        <v>138</v>
      </c>
      <c r="D21326" s="4">
        <f>DATE(2006,4,7)</f>
        <v>38814</v>
      </c>
      <c r="E21326" s="5">
        <f t="shared" si="349"/>
        <v>2006</v>
      </c>
      <c r="F21326" s="3" t="s">
        <v>3460</v>
      </c>
      <c r="G21326" s="6">
        <v>135.75</v>
      </c>
      <c r="H21326" s="5">
        <v>1523</v>
      </c>
    </row>
    <row r="21327" spans="2:8" ht="15" customHeight="1" x14ac:dyDescent="0.4">
      <c r="B21327" s="3" t="s">
        <v>7</v>
      </c>
      <c r="C21327" s="3" t="s">
        <v>138</v>
      </c>
      <c r="D21327" s="4">
        <f>DATE(2006,4,7)</f>
        <v>38814</v>
      </c>
      <c r="E21327" s="5">
        <f t="shared" si="349"/>
        <v>2006</v>
      </c>
      <c r="F21327" s="3" t="s">
        <v>3460</v>
      </c>
      <c r="G21327" s="6">
        <v>224.85</v>
      </c>
      <c r="H21327" s="5">
        <v>1524</v>
      </c>
    </row>
    <row r="21328" spans="2:8" ht="15" customHeight="1" x14ac:dyDescent="0.4">
      <c r="B21328" s="3" t="s">
        <v>7</v>
      </c>
      <c r="C21328" s="3" t="s">
        <v>138</v>
      </c>
      <c r="D21328" s="4">
        <f>DATE(2006,4,7)</f>
        <v>38814</v>
      </c>
      <c r="E21328" s="5">
        <f t="shared" si="349"/>
        <v>2006</v>
      </c>
      <c r="F21328" s="3" t="s">
        <v>3460</v>
      </c>
      <c r="G21328" s="6">
        <v>143.19999999999999</v>
      </c>
      <c r="H21328" s="5">
        <v>1525</v>
      </c>
    </row>
    <row r="21329" spans="2:8" ht="15" customHeight="1" x14ac:dyDescent="0.4">
      <c r="B21329" s="3" t="s">
        <v>7</v>
      </c>
      <c r="C21329" s="3" t="s">
        <v>138</v>
      </c>
      <c r="D21329" s="4">
        <f>DATE(2006,4,7)</f>
        <v>38814</v>
      </c>
      <c r="E21329" s="5">
        <f t="shared" si="349"/>
        <v>2006</v>
      </c>
      <c r="F21329" s="3" t="s">
        <v>3460</v>
      </c>
      <c r="G21329" s="6">
        <v>71.53</v>
      </c>
      <c r="H21329" s="5">
        <v>1526</v>
      </c>
    </row>
    <row r="21330" spans="2:8" ht="15" customHeight="1" x14ac:dyDescent="0.4">
      <c r="B21330" s="3" t="s">
        <v>7</v>
      </c>
      <c r="C21330" s="3" t="s">
        <v>138</v>
      </c>
      <c r="D21330" s="4">
        <f>DATE(2006,4,20)</f>
        <v>38827</v>
      </c>
      <c r="E21330" s="5">
        <f t="shared" si="349"/>
        <v>2006</v>
      </c>
      <c r="F21330" s="3" t="s">
        <v>3460</v>
      </c>
      <c r="G21330" s="6">
        <v>46.75</v>
      </c>
      <c r="H21330" s="5">
        <v>1529</v>
      </c>
    </row>
    <row r="21331" spans="2:8" ht="15" customHeight="1" x14ac:dyDescent="0.4">
      <c r="B21331" s="3" t="s">
        <v>7</v>
      </c>
      <c r="C21331" s="3" t="s">
        <v>138</v>
      </c>
      <c r="D21331" s="4">
        <f>DATE(2006,4,20)</f>
        <v>38827</v>
      </c>
      <c r="E21331" s="5">
        <f t="shared" si="349"/>
        <v>2006</v>
      </c>
      <c r="F21331" s="3" t="s">
        <v>3460</v>
      </c>
      <c r="G21331" s="6">
        <v>93.5</v>
      </c>
      <c r="H21331" s="5">
        <v>1541</v>
      </c>
    </row>
    <row r="21332" spans="2:8" ht="15" customHeight="1" x14ac:dyDescent="0.4">
      <c r="B21332" s="3" t="s">
        <v>7</v>
      </c>
      <c r="C21332" s="3" t="s">
        <v>138</v>
      </c>
      <c r="D21332" s="4">
        <f>DATE(2006,4,25)</f>
        <v>38832</v>
      </c>
      <c r="E21332" s="5">
        <f t="shared" si="349"/>
        <v>2006</v>
      </c>
      <c r="F21332" s="3" t="s">
        <v>3460</v>
      </c>
      <c r="G21332" s="6">
        <v>93.5</v>
      </c>
      <c r="H21332" s="5">
        <v>1553</v>
      </c>
    </row>
    <row r="21333" spans="2:8" ht="15" customHeight="1" x14ac:dyDescent="0.4">
      <c r="B21333" s="3" t="s">
        <v>7</v>
      </c>
      <c r="C21333" s="3" t="s">
        <v>138</v>
      </c>
      <c r="D21333" s="4">
        <f>DATE(2006,5,1)</f>
        <v>38838</v>
      </c>
      <c r="E21333" s="5">
        <f t="shared" si="349"/>
        <v>2006</v>
      </c>
      <c r="F21333" s="3" t="s">
        <v>3460</v>
      </c>
      <c r="G21333" s="6">
        <v>10483.450000000001</v>
      </c>
      <c r="H21333" s="5">
        <v>1528</v>
      </c>
    </row>
    <row r="21334" spans="2:8" ht="15" customHeight="1" x14ac:dyDescent="0.4">
      <c r="B21334" s="3" t="s">
        <v>7</v>
      </c>
      <c r="C21334" s="3" t="s">
        <v>138</v>
      </c>
      <c r="D21334" s="4">
        <f>DATE(2006,5,11)</f>
        <v>38848</v>
      </c>
      <c r="E21334" s="5">
        <f t="shared" si="349"/>
        <v>2006</v>
      </c>
      <c r="F21334" s="3" t="s">
        <v>3460</v>
      </c>
      <c r="G21334" s="6">
        <v>3120</v>
      </c>
      <c r="H21334" s="5">
        <v>1569</v>
      </c>
    </row>
    <row r="21335" spans="2:8" ht="15" customHeight="1" x14ac:dyDescent="0.4">
      <c r="B21335" s="3" t="s">
        <v>7</v>
      </c>
      <c r="C21335" s="3" t="s">
        <v>138</v>
      </c>
      <c r="D21335" s="4">
        <f>DATE(2006,5,16)</f>
        <v>38853</v>
      </c>
      <c r="E21335" s="5">
        <f t="shared" si="349"/>
        <v>2006</v>
      </c>
      <c r="F21335" s="3" t="s">
        <v>3460</v>
      </c>
      <c r="G21335" s="6">
        <v>3120</v>
      </c>
      <c r="H21335" s="5">
        <v>1578</v>
      </c>
    </row>
    <row r="21336" spans="2:8" ht="15" customHeight="1" x14ac:dyDescent="0.4">
      <c r="B21336" s="3" t="s">
        <v>7</v>
      </c>
      <c r="C21336" s="3" t="s">
        <v>138</v>
      </c>
      <c r="D21336" s="4">
        <f>DATE(2006,5,12)</f>
        <v>38849</v>
      </c>
      <c r="E21336" s="5">
        <f t="shared" si="349"/>
        <v>2006</v>
      </c>
      <c r="F21336" s="3" t="s">
        <v>3460</v>
      </c>
      <c r="G21336" s="6">
        <v>93.5</v>
      </c>
      <c r="H21336" s="5">
        <v>1568</v>
      </c>
    </row>
    <row r="21337" spans="2:8" ht="15" customHeight="1" x14ac:dyDescent="0.4">
      <c r="B21337" s="3" t="s">
        <v>7</v>
      </c>
      <c r="C21337" s="3" t="s">
        <v>138</v>
      </c>
      <c r="D21337" s="4">
        <f>DATE(2006,5,30)</f>
        <v>38867</v>
      </c>
      <c r="E21337" s="5">
        <f t="shared" si="349"/>
        <v>2006</v>
      </c>
      <c r="F21337" s="3" t="s">
        <v>3460</v>
      </c>
      <c r="G21337" s="6">
        <v>99</v>
      </c>
      <c r="H21337" s="5">
        <v>1611</v>
      </c>
    </row>
    <row r="21338" spans="2:8" ht="15" customHeight="1" x14ac:dyDescent="0.4">
      <c r="B21338" s="3" t="s">
        <v>7</v>
      </c>
      <c r="C21338" s="3" t="s">
        <v>138</v>
      </c>
      <c r="D21338" s="4">
        <f>DATE(2006,6,8)</f>
        <v>38876</v>
      </c>
      <c r="E21338" s="5">
        <f t="shared" si="349"/>
        <v>2006</v>
      </c>
      <c r="F21338" s="3" t="s">
        <v>3460</v>
      </c>
      <c r="G21338" s="6">
        <v>986.95</v>
      </c>
      <c r="H21338" s="5">
        <v>1621</v>
      </c>
    </row>
    <row r="21339" spans="2:8" ht="15" customHeight="1" x14ac:dyDescent="0.4">
      <c r="B21339" s="3" t="s">
        <v>7</v>
      </c>
      <c r="C21339" s="3" t="s">
        <v>138</v>
      </c>
      <c r="D21339" s="4">
        <f>DATE(2006,5,30)</f>
        <v>38867</v>
      </c>
      <c r="E21339" s="5">
        <f t="shared" si="349"/>
        <v>2006</v>
      </c>
      <c r="F21339" s="3" t="s">
        <v>3460</v>
      </c>
      <c r="G21339" s="6">
        <v>302.25</v>
      </c>
      <c r="H21339" s="5">
        <v>1592</v>
      </c>
    </row>
    <row r="21340" spans="2:8" ht="15" customHeight="1" x14ac:dyDescent="0.4">
      <c r="B21340" s="3" t="s">
        <v>7</v>
      </c>
      <c r="C21340" s="3" t="s">
        <v>138</v>
      </c>
      <c r="D21340" s="4">
        <f>DATE(2006,5,31)</f>
        <v>38868</v>
      </c>
      <c r="E21340" s="5">
        <f t="shared" si="349"/>
        <v>2006</v>
      </c>
      <c r="F21340" s="3" t="s">
        <v>3460</v>
      </c>
      <c r="G21340" s="6">
        <v>2120</v>
      </c>
      <c r="H21340" s="5">
        <v>1570</v>
      </c>
    </row>
    <row r="21341" spans="2:8" ht="15" customHeight="1" x14ac:dyDescent="0.4">
      <c r="B21341" s="3" t="s">
        <v>7</v>
      </c>
      <c r="C21341" s="3" t="s">
        <v>138</v>
      </c>
      <c r="D21341" s="4">
        <f>DATE(2006,5,31)</f>
        <v>38868</v>
      </c>
      <c r="E21341" s="5">
        <f t="shared" si="349"/>
        <v>2006</v>
      </c>
      <c r="F21341" s="3" t="s">
        <v>3460</v>
      </c>
      <c r="G21341" s="6">
        <v>1872</v>
      </c>
      <c r="H21341" s="5">
        <v>1612</v>
      </c>
    </row>
    <row r="21342" spans="2:8" ht="15" customHeight="1" x14ac:dyDescent="0.4">
      <c r="B21342" s="3" t="s">
        <v>7</v>
      </c>
      <c r="C21342" s="3" t="s">
        <v>138</v>
      </c>
      <c r="D21342" s="4">
        <f>DATE(2006,5,30)</f>
        <v>38867</v>
      </c>
      <c r="E21342" s="5">
        <f t="shared" si="349"/>
        <v>2006</v>
      </c>
      <c r="F21342" s="3" t="s">
        <v>3460</v>
      </c>
      <c r="G21342" s="6">
        <v>50</v>
      </c>
      <c r="H21342" s="5">
        <v>1632</v>
      </c>
    </row>
    <row r="21343" spans="2:8" ht="15" customHeight="1" x14ac:dyDescent="0.4">
      <c r="B21343" s="3" t="s">
        <v>7</v>
      </c>
      <c r="C21343" s="3" t="s">
        <v>138</v>
      </c>
      <c r="D21343" s="4">
        <f>DATE(2006,5,31)</f>
        <v>38868</v>
      </c>
      <c r="E21343" s="5">
        <f t="shared" si="349"/>
        <v>2006</v>
      </c>
      <c r="F21343" s="3" t="s">
        <v>3460</v>
      </c>
      <c r="G21343" s="6">
        <v>50</v>
      </c>
      <c r="H21343" s="5">
        <v>1630</v>
      </c>
    </row>
    <row r="21344" spans="2:8" ht="15" customHeight="1" x14ac:dyDescent="0.4">
      <c r="B21344" s="3" t="s">
        <v>7</v>
      </c>
      <c r="C21344" s="3" t="s">
        <v>138</v>
      </c>
      <c r="D21344" s="4">
        <f>DATE(2006,5,31)</f>
        <v>38868</v>
      </c>
      <c r="E21344" s="5">
        <f t="shared" si="349"/>
        <v>2006</v>
      </c>
      <c r="F21344" s="3" t="s">
        <v>3460</v>
      </c>
      <c r="G21344" s="6">
        <v>75</v>
      </c>
      <c r="H21344" s="5">
        <v>1631</v>
      </c>
    </row>
    <row r="21345" spans="2:8" ht="15" customHeight="1" x14ac:dyDescent="0.4">
      <c r="B21345" s="3" t="s">
        <v>7</v>
      </c>
      <c r="C21345" s="3" t="s">
        <v>138</v>
      </c>
      <c r="D21345" s="4">
        <f>DATE(2006,6,8)</f>
        <v>38876</v>
      </c>
      <c r="E21345" s="5">
        <f t="shared" si="349"/>
        <v>2006</v>
      </c>
      <c r="F21345" s="3" t="s">
        <v>3460</v>
      </c>
      <c r="G21345" s="6">
        <v>7640.3</v>
      </c>
      <c r="H21345" s="5">
        <v>1588</v>
      </c>
    </row>
    <row r="21346" spans="2:8" ht="15" customHeight="1" x14ac:dyDescent="0.4">
      <c r="B21346" s="3" t="s">
        <v>7</v>
      </c>
      <c r="C21346" s="3" t="s">
        <v>138</v>
      </c>
      <c r="D21346" s="4">
        <f>DATE(2006,6,20)</f>
        <v>38888</v>
      </c>
      <c r="E21346" s="5">
        <f t="shared" si="349"/>
        <v>2006</v>
      </c>
      <c r="F21346" s="3" t="s">
        <v>3460</v>
      </c>
      <c r="G21346" s="6">
        <v>2330</v>
      </c>
      <c r="H21346" s="5">
        <v>1656</v>
      </c>
    </row>
    <row r="21347" spans="2:8" ht="15" customHeight="1" x14ac:dyDescent="0.4">
      <c r="B21347" s="3" t="s">
        <v>7</v>
      </c>
      <c r="C21347" s="3" t="s">
        <v>138</v>
      </c>
      <c r="D21347" s="4">
        <f>DATE(2006,6,27)</f>
        <v>38895</v>
      </c>
      <c r="E21347" s="5">
        <f t="shared" si="349"/>
        <v>2006</v>
      </c>
      <c r="F21347" s="3" t="s">
        <v>3460</v>
      </c>
      <c r="G21347" s="6">
        <v>1731.05</v>
      </c>
      <c r="H21347" s="5">
        <v>1648</v>
      </c>
    </row>
    <row r="21348" spans="2:8" ht="15" customHeight="1" x14ac:dyDescent="0.4">
      <c r="B21348" s="3" t="s">
        <v>7</v>
      </c>
      <c r="C21348" s="3" t="s">
        <v>138</v>
      </c>
      <c r="D21348" s="4">
        <f>DATE(2006,5,31)</f>
        <v>38868</v>
      </c>
      <c r="E21348" s="5">
        <f t="shared" si="349"/>
        <v>2006</v>
      </c>
      <c r="F21348" s="3" t="s">
        <v>3460</v>
      </c>
      <c r="G21348" s="6">
        <v>11387.6</v>
      </c>
      <c r="H21348" s="5">
        <v>1585</v>
      </c>
    </row>
    <row r="21349" spans="2:8" ht="15" customHeight="1" x14ac:dyDescent="0.4">
      <c r="B21349" s="3" t="s">
        <v>7</v>
      </c>
      <c r="C21349" s="3" t="s">
        <v>138</v>
      </c>
      <c r="D21349" s="4">
        <f>DATE(2006,5,31)</f>
        <v>38868</v>
      </c>
      <c r="E21349" s="5">
        <f t="shared" si="349"/>
        <v>2006</v>
      </c>
      <c r="F21349" s="3" t="s">
        <v>3460</v>
      </c>
      <c r="G21349" s="6">
        <v>175</v>
      </c>
      <c r="H21349" s="5">
        <v>1674</v>
      </c>
    </row>
    <row r="21350" spans="2:8" ht="15" customHeight="1" x14ac:dyDescent="0.4">
      <c r="B21350" s="3" t="s">
        <v>7</v>
      </c>
      <c r="C21350" s="3" t="s">
        <v>138</v>
      </c>
      <c r="D21350" s="4">
        <f>DATE(2006,7,6)</f>
        <v>38904</v>
      </c>
      <c r="E21350" s="5">
        <f t="shared" si="349"/>
        <v>2006</v>
      </c>
      <c r="F21350" s="3" t="s">
        <v>3460</v>
      </c>
      <c r="G21350" s="6">
        <v>1428</v>
      </c>
      <c r="H21350" s="5">
        <v>1650</v>
      </c>
    </row>
    <row r="21351" spans="2:8" ht="15" customHeight="1" x14ac:dyDescent="0.4">
      <c r="B21351" s="3" t="s">
        <v>7</v>
      </c>
      <c r="C21351" s="3" t="s">
        <v>138</v>
      </c>
      <c r="D21351" s="4">
        <f>DATE(2006,7,10)</f>
        <v>38908</v>
      </c>
      <c r="E21351" s="5">
        <f t="shared" si="349"/>
        <v>2006</v>
      </c>
      <c r="F21351" s="3" t="s">
        <v>3460</v>
      </c>
      <c r="G21351" s="6">
        <v>1850</v>
      </c>
      <c r="H21351" s="5">
        <v>1651</v>
      </c>
    </row>
    <row r="21352" spans="2:8" ht="15" customHeight="1" x14ac:dyDescent="0.4">
      <c r="B21352" s="3" t="s">
        <v>7</v>
      </c>
      <c r="C21352" s="3" t="s">
        <v>138</v>
      </c>
      <c r="D21352" s="4">
        <f>DATE(2006,7,10)</f>
        <v>38908</v>
      </c>
      <c r="E21352" s="5">
        <f t="shared" si="349"/>
        <v>2006</v>
      </c>
      <c r="F21352" s="3" t="s">
        <v>3460</v>
      </c>
      <c r="G21352" s="6">
        <v>248</v>
      </c>
      <c r="H21352" s="5">
        <v>1665</v>
      </c>
    </row>
    <row r="21353" spans="2:8" ht="15" customHeight="1" x14ac:dyDescent="0.4">
      <c r="B21353" s="3" t="s">
        <v>7</v>
      </c>
      <c r="C21353" s="3" t="s">
        <v>138</v>
      </c>
      <c r="D21353" s="4">
        <f>DATE(2006,7,10)</f>
        <v>38908</v>
      </c>
      <c r="E21353" s="5">
        <f t="shared" si="349"/>
        <v>2006</v>
      </c>
      <c r="F21353" s="3" t="s">
        <v>3460</v>
      </c>
      <c r="G21353" s="6">
        <v>293.60000000000002</v>
      </c>
      <c r="H21353" s="5">
        <v>1666</v>
      </c>
    </row>
    <row r="21354" spans="2:8" ht="15" customHeight="1" x14ac:dyDescent="0.4">
      <c r="B21354" s="3" t="s">
        <v>7</v>
      </c>
      <c r="C21354" s="3" t="s">
        <v>138</v>
      </c>
      <c r="D21354" s="4">
        <f>DATE(2006,7,11)</f>
        <v>38909</v>
      </c>
      <c r="E21354" s="5">
        <f t="shared" si="349"/>
        <v>2006</v>
      </c>
      <c r="F21354" s="3" t="s">
        <v>3460</v>
      </c>
      <c r="G21354" s="6">
        <v>573.75</v>
      </c>
      <c r="H21354" s="5">
        <v>1679</v>
      </c>
    </row>
    <row r="21355" spans="2:8" ht="15" customHeight="1" x14ac:dyDescent="0.4">
      <c r="B21355" s="3" t="s">
        <v>7</v>
      </c>
      <c r="C21355" s="3" t="s">
        <v>138</v>
      </c>
      <c r="D21355" s="4">
        <f>DATE(2006,7,19)</f>
        <v>38917</v>
      </c>
      <c r="E21355" s="5">
        <f t="shared" si="349"/>
        <v>2006</v>
      </c>
      <c r="F21355" s="3" t="s">
        <v>3460</v>
      </c>
      <c r="G21355" s="6">
        <v>112.2</v>
      </c>
      <c r="H21355" s="5">
        <v>1673</v>
      </c>
    </row>
    <row r="21356" spans="2:8" ht="15" customHeight="1" x14ac:dyDescent="0.4">
      <c r="B21356" s="3" t="s">
        <v>7</v>
      </c>
      <c r="C21356" s="3" t="s">
        <v>138</v>
      </c>
      <c r="D21356" s="4">
        <f>DATE(2006,7,19)</f>
        <v>38917</v>
      </c>
      <c r="E21356" s="5">
        <f t="shared" si="349"/>
        <v>2006</v>
      </c>
      <c r="F21356" s="3" t="s">
        <v>3460</v>
      </c>
      <c r="G21356" s="6">
        <v>187</v>
      </c>
      <c r="H21356" s="5">
        <v>1684</v>
      </c>
    </row>
    <row r="21357" spans="2:8" ht="15" customHeight="1" x14ac:dyDescent="0.4">
      <c r="B21357" s="3" t="s">
        <v>7</v>
      </c>
      <c r="C21357" s="3" t="s">
        <v>138</v>
      </c>
      <c r="D21357" s="4">
        <f>DATE(2006,7,19)</f>
        <v>38917</v>
      </c>
      <c r="E21357" s="5">
        <f t="shared" si="349"/>
        <v>2006</v>
      </c>
      <c r="F21357" s="3" t="s">
        <v>3460</v>
      </c>
      <c r="G21357" s="6">
        <v>29.25</v>
      </c>
      <c r="H21357" s="5">
        <v>1686</v>
      </c>
    </row>
    <row r="21358" spans="2:8" ht="15" customHeight="1" x14ac:dyDescent="0.4">
      <c r="B21358" s="3" t="s">
        <v>7</v>
      </c>
      <c r="C21358" s="3" t="s">
        <v>138</v>
      </c>
      <c r="D21358" s="4">
        <f>DATE(2006,7,20)</f>
        <v>38918</v>
      </c>
      <c r="E21358" s="5">
        <f t="shared" si="349"/>
        <v>2006</v>
      </c>
      <c r="F21358" s="3" t="s">
        <v>3460</v>
      </c>
      <c r="G21358" s="6">
        <v>522</v>
      </c>
      <c r="H21358" s="5">
        <v>1695</v>
      </c>
    </row>
    <row r="21359" spans="2:8" ht="15" customHeight="1" x14ac:dyDescent="0.4">
      <c r="B21359" s="3" t="s">
        <v>7</v>
      </c>
      <c r="C21359" s="3" t="s">
        <v>138</v>
      </c>
      <c r="D21359" s="4">
        <f>DATE(2006,7,25)</f>
        <v>38923</v>
      </c>
      <c r="E21359" s="5">
        <f t="shared" si="349"/>
        <v>2006</v>
      </c>
      <c r="F21359" s="3" t="s">
        <v>3460</v>
      </c>
      <c r="G21359" s="6">
        <v>1690.25</v>
      </c>
      <c r="H21359" s="5">
        <v>1687</v>
      </c>
    </row>
    <row r="21360" spans="2:8" ht="15" customHeight="1" x14ac:dyDescent="0.4">
      <c r="B21360" s="3" t="s">
        <v>7</v>
      </c>
      <c r="C21360" s="3" t="s">
        <v>138</v>
      </c>
      <c r="D21360" s="4">
        <f>DATE(2006,7,25)</f>
        <v>38923</v>
      </c>
      <c r="E21360" s="5">
        <f t="shared" si="349"/>
        <v>2006</v>
      </c>
      <c r="F21360" s="3" t="s">
        <v>3460</v>
      </c>
      <c r="G21360" s="6">
        <v>5972</v>
      </c>
      <c r="H21360" s="5">
        <v>1668</v>
      </c>
    </row>
    <row r="21361" spans="2:8" ht="15" customHeight="1" x14ac:dyDescent="0.4">
      <c r="B21361" s="3" t="s">
        <v>7</v>
      </c>
      <c r="C21361" s="3" t="s">
        <v>138</v>
      </c>
      <c r="D21361" s="4">
        <f>DATE(2006,7,26)</f>
        <v>38924</v>
      </c>
      <c r="E21361" s="5">
        <f t="shared" si="349"/>
        <v>2006</v>
      </c>
      <c r="F21361" s="3" t="s">
        <v>3460</v>
      </c>
      <c r="G21361" s="6">
        <v>248</v>
      </c>
      <c r="H21361" s="5">
        <v>1702</v>
      </c>
    </row>
    <row r="21362" spans="2:8" ht="15" customHeight="1" x14ac:dyDescent="0.4">
      <c r="B21362" s="3" t="s">
        <v>7</v>
      </c>
      <c r="C21362" s="3" t="s">
        <v>138</v>
      </c>
      <c r="D21362" s="4">
        <f>DATE(2006,7,27)</f>
        <v>38925</v>
      </c>
      <c r="E21362" s="5">
        <f t="shared" si="349"/>
        <v>2006</v>
      </c>
      <c r="F21362" s="3" t="s">
        <v>3460</v>
      </c>
      <c r="G21362" s="6">
        <v>269.5</v>
      </c>
      <c r="H21362" s="5">
        <v>1704</v>
      </c>
    </row>
    <row r="21363" spans="2:8" ht="15" customHeight="1" x14ac:dyDescent="0.4">
      <c r="B21363" s="3" t="s">
        <v>7</v>
      </c>
      <c r="C21363" s="3" t="s">
        <v>138</v>
      </c>
      <c r="D21363" s="4">
        <f>DATE(2006,7,26)</f>
        <v>38924</v>
      </c>
      <c r="E21363" s="5">
        <f t="shared" si="349"/>
        <v>2006</v>
      </c>
      <c r="F21363" s="3" t="s">
        <v>3460</v>
      </c>
      <c r="G21363" s="6">
        <v>938</v>
      </c>
      <c r="H21363" s="5">
        <v>1694</v>
      </c>
    </row>
    <row r="21364" spans="2:8" ht="15" customHeight="1" x14ac:dyDescent="0.4">
      <c r="B21364" s="3" t="s">
        <v>7</v>
      </c>
      <c r="C21364" s="3" t="s">
        <v>138</v>
      </c>
      <c r="D21364" s="4">
        <f>DATE(2006,7,28)</f>
        <v>38926</v>
      </c>
      <c r="E21364" s="5">
        <f t="shared" si="349"/>
        <v>2006</v>
      </c>
      <c r="F21364" s="3" t="s">
        <v>3460</v>
      </c>
      <c r="G21364" s="6">
        <v>870</v>
      </c>
      <c r="H21364" s="5">
        <v>1698</v>
      </c>
    </row>
    <row r="21365" spans="2:8" ht="15" customHeight="1" x14ac:dyDescent="0.4">
      <c r="B21365" s="3" t="s">
        <v>7</v>
      </c>
      <c r="C21365" s="3" t="s">
        <v>138</v>
      </c>
      <c r="D21365" s="4">
        <f>DATE(2006,8,9)</f>
        <v>38938</v>
      </c>
      <c r="E21365" s="5">
        <f t="shared" si="349"/>
        <v>2006</v>
      </c>
      <c r="F21365" s="3" t="s">
        <v>3460</v>
      </c>
      <c r="G21365" s="6">
        <v>506.2</v>
      </c>
      <c r="H21365" s="5">
        <v>1716</v>
      </c>
    </row>
    <row r="21366" spans="2:8" ht="15" customHeight="1" x14ac:dyDescent="0.4">
      <c r="B21366" s="3" t="s">
        <v>7</v>
      </c>
      <c r="C21366" s="3" t="s">
        <v>138</v>
      </c>
      <c r="D21366" s="4">
        <f>DATE(2006,8,15)</f>
        <v>38944</v>
      </c>
      <c r="E21366" s="5">
        <f t="shared" si="349"/>
        <v>2006</v>
      </c>
      <c r="F21366" s="3" t="s">
        <v>3460</v>
      </c>
      <c r="G21366" s="6">
        <v>235.6</v>
      </c>
      <c r="H21366" s="5">
        <v>1738</v>
      </c>
    </row>
    <row r="21367" spans="2:8" ht="15" customHeight="1" x14ac:dyDescent="0.4">
      <c r="B21367" s="3" t="s">
        <v>7</v>
      </c>
      <c r="C21367" s="3" t="s">
        <v>138</v>
      </c>
      <c r="D21367" s="4">
        <f>DATE(2006,8,18)</f>
        <v>38947</v>
      </c>
      <c r="E21367" s="5">
        <f t="shared" si="349"/>
        <v>2006</v>
      </c>
      <c r="F21367" s="3" t="s">
        <v>3460</v>
      </c>
      <c r="G21367" s="6">
        <v>172.5</v>
      </c>
      <c r="H21367" s="5">
        <v>1737</v>
      </c>
    </row>
    <row r="21368" spans="2:8" ht="15" customHeight="1" x14ac:dyDescent="0.4">
      <c r="B21368" s="3" t="s">
        <v>7</v>
      </c>
      <c r="C21368" s="3" t="s">
        <v>138</v>
      </c>
      <c r="D21368" s="4">
        <f>DATE(2006,8,23)</f>
        <v>38952</v>
      </c>
      <c r="E21368" s="5">
        <f t="shared" si="349"/>
        <v>2006</v>
      </c>
      <c r="F21368" s="3" t="s">
        <v>3460</v>
      </c>
      <c r="G21368" s="6">
        <v>235.6</v>
      </c>
      <c r="H21368" s="5">
        <v>1744</v>
      </c>
    </row>
    <row r="21369" spans="2:8" ht="15" customHeight="1" x14ac:dyDescent="0.4">
      <c r="B21369" s="3" t="s">
        <v>7</v>
      </c>
      <c r="C21369" s="3" t="s">
        <v>138</v>
      </c>
      <c r="D21369" s="4">
        <f>DATE(2006,8,9)</f>
        <v>38938</v>
      </c>
      <c r="E21369" s="5">
        <f t="shared" si="349"/>
        <v>2006</v>
      </c>
      <c r="F21369" s="3" t="s">
        <v>3460</v>
      </c>
      <c r="G21369" s="6">
        <v>62</v>
      </c>
      <c r="H21369" s="5">
        <v>1767</v>
      </c>
    </row>
    <row r="21370" spans="2:8" ht="15" customHeight="1" x14ac:dyDescent="0.4">
      <c r="B21370" s="3" t="s">
        <v>7</v>
      </c>
      <c r="C21370" s="3" t="s">
        <v>138</v>
      </c>
      <c r="D21370" s="4">
        <f>DATE(2006,9,18)</f>
        <v>38978</v>
      </c>
      <c r="E21370" s="5">
        <f t="shared" si="349"/>
        <v>2006</v>
      </c>
      <c r="F21370" s="3" t="s">
        <v>3460</v>
      </c>
      <c r="G21370" s="6">
        <v>435</v>
      </c>
      <c r="H21370" s="5">
        <v>1768</v>
      </c>
    </row>
    <row r="21371" spans="2:8" ht="15" customHeight="1" x14ac:dyDescent="0.4">
      <c r="B21371" s="3" t="s">
        <v>7</v>
      </c>
      <c r="C21371" s="3" t="s">
        <v>138</v>
      </c>
      <c r="D21371" s="4">
        <f>DATE(2006,9,25)</f>
        <v>38985</v>
      </c>
      <c r="E21371" s="5">
        <f t="shared" si="349"/>
        <v>2006</v>
      </c>
      <c r="F21371" s="3" t="s">
        <v>3460</v>
      </c>
      <c r="G21371" s="6">
        <v>870</v>
      </c>
      <c r="H21371" s="5">
        <v>1775</v>
      </c>
    </row>
    <row r="21372" spans="2:8" ht="15" customHeight="1" x14ac:dyDescent="0.4">
      <c r="B21372" s="3" t="s">
        <v>7</v>
      </c>
      <c r="C21372" s="3" t="s">
        <v>138</v>
      </c>
      <c r="D21372" s="4">
        <f>DATE(2006,9,29)</f>
        <v>38989</v>
      </c>
      <c r="E21372" s="5">
        <f t="shared" si="349"/>
        <v>2006</v>
      </c>
      <c r="F21372" s="3" t="s">
        <v>3460</v>
      </c>
      <c r="G21372" s="6">
        <v>1150</v>
      </c>
      <c r="H21372" s="5">
        <v>1780</v>
      </c>
    </row>
    <row r="21373" spans="2:8" ht="15" customHeight="1" x14ac:dyDescent="0.4">
      <c r="B21373" s="3" t="s">
        <v>7</v>
      </c>
      <c r="C21373" s="3" t="s">
        <v>138</v>
      </c>
      <c r="D21373" s="4">
        <f>DATE(2006,9,29)</f>
        <v>38989</v>
      </c>
      <c r="E21373" s="5">
        <f t="shared" si="349"/>
        <v>2006</v>
      </c>
      <c r="F21373" s="3" t="s">
        <v>3460</v>
      </c>
      <c r="G21373" s="6">
        <v>435</v>
      </c>
      <c r="H21373" s="5">
        <v>1796</v>
      </c>
    </row>
    <row r="21374" spans="2:8" ht="15" customHeight="1" x14ac:dyDescent="0.4">
      <c r="B21374" s="3" t="s">
        <v>7</v>
      </c>
      <c r="C21374" s="3" t="s">
        <v>138</v>
      </c>
      <c r="D21374" s="4">
        <f>DATE(2006,9,14)</f>
        <v>38974</v>
      </c>
      <c r="E21374" s="5">
        <f t="shared" si="349"/>
        <v>2006</v>
      </c>
      <c r="F21374" s="3" t="s">
        <v>3460</v>
      </c>
      <c r="G21374" s="6">
        <v>5850</v>
      </c>
      <c r="H21374" s="5">
        <v>1708</v>
      </c>
    </row>
    <row r="21375" spans="2:8" ht="15" customHeight="1" x14ac:dyDescent="0.4">
      <c r="B21375" s="3" t="s">
        <v>7</v>
      </c>
      <c r="C21375" s="3" t="s">
        <v>138</v>
      </c>
      <c r="D21375" s="4">
        <f>DATE(2006,9,25)</f>
        <v>38985</v>
      </c>
      <c r="E21375" s="5">
        <f t="shared" si="349"/>
        <v>2006</v>
      </c>
      <c r="F21375" s="3" t="s">
        <v>3460</v>
      </c>
      <c r="G21375" s="6">
        <v>297.5</v>
      </c>
      <c r="H21375" s="5">
        <v>1802</v>
      </c>
    </row>
    <row r="21376" spans="2:8" ht="15" customHeight="1" x14ac:dyDescent="0.4">
      <c r="B21376" s="3" t="s">
        <v>7</v>
      </c>
      <c r="C21376" s="3" t="s">
        <v>138</v>
      </c>
      <c r="D21376" s="4">
        <f>DATE(2006,9,29)</f>
        <v>38989</v>
      </c>
      <c r="E21376" s="5">
        <f t="shared" si="349"/>
        <v>2006</v>
      </c>
      <c r="F21376" s="3" t="s">
        <v>3460</v>
      </c>
      <c r="G21376" s="6">
        <v>1894.75</v>
      </c>
      <c r="H21376" s="5">
        <v>1752</v>
      </c>
    </row>
    <row r="21377" spans="2:8" ht="15" customHeight="1" x14ac:dyDescent="0.4">
      <c r="B21377" s="3" t="s">
        <v>7</v>
      </c>
      <c r="C21377" s="3" t="s">
        <v>138</v>
      </c>
      <c r="D21377" s="4">
        <f>DATE(2006,10,6)</f>
        <v>38996</v>
      </c>
      <c r="E21377" s="5">
        <f t="shared" si="349"/>
        <v>2006</v>
      </c>
      <c r="F21377" s="3" t="s">
        <v>3460</v>
      </c>
      <c r="G21377" s="6">
        <v>727.5</v>
      </c>
      <c r="H21377" s="5">
        <v>1803</v>
      </c>
    </row>
    <row r="21378" spans="2:8" ht="15" customHeight="1" x14ac:dyDescent="0.4">
      <c r="B21378" s="3" t="s">
        <v>7</v>
      </c>
      <c r="C21378" s="3" t="s">
        <v>138</v>
      </c>
      <c r="D21378" s="4">
        <f>DATE(2006,10,11)</f>
        <v>39001</v>
      </c>
      <c r="E21378" s="5">
        <f t="shared" si="349"/>
        <v>2006</v>
      </c>
      <c r="F21378" s="3" t="s">
        <v>3460</v>
      </c>
      <c r="G21378" s="6">
        <v>179.25</v>
      </c>
      <c r="H21378" s="5">
        <v>1827</v>
      </c>
    </row>
    <row r="21379" spans="2:8" ht="15" customHeight="1" x14ac:dyDescent="0.4">
      <c r="B21379" s="3" t="s">
        <v>7</v>
      </c>
      <c r="C21379" s="3" t="s">
        <v>138</v>
      </c>
      <c r="D21379" s="4">
        <f>DATE(2006,10,17)</f>
        <v>39007</v>
      </c>
      <c r="E21379" s="5">
        <f t="shared" ref="E21379:E21442" si="350">YEAR(D21379)</f>
        <v>2006</v>
      </c>
      <c r="F21379" s="3" t="s">
        <v>3460</v>
      </c>
      <c r="G21379" s="6">
        <v>558.45000000000005</v>
      </c>
      <c r="H21379" s="5">
        <v>1828</v>
      </c>
    </row>
    <row r="21380" spans="2:8" ht="15" customHeight="1" x14ac:dyDescent="0.4">
      <c r="B21380" s="3" t="s">
        <v>7</v>
      </c>
      <c r="C21380" s="3" t="s">
        <v>138</v>
      </c>
      <c r="D21380" s="4">
        <f>DATE(2006,10,25)</f>
        <v>39015</v>
      </c>
      <c r="E21380" s="5">
        <f t="shared" si="350"/>
        <v>2006</v>
      </c>
      <c r="F21380" s="3" t="s">
        <v>3460</v>
      </c>
      <c r="G21380" s="6">
        <v>351.25</v>
      </c>
      <c r="H21380" s="5">
        <v>1844</v>
      </c>
    </row>
    <row r="21381" spans="2:8" ht="15" customHeight="1" x14ac:dyDescent="0.4">
      <c r="B21381" s="3" t="s">
        <v>7</v>
      </c>
      <c r="C21381" s="3" t="s">
        <v>138</v>
      </c>
      <c r="D21381" s="4">
        <f>DATE(2006,11,1)</f>
        <v>39022</v>
      </c>
      <c r="E21381" s="5">
        <f t="shared" si="350"/>
        <v>2006</v>
      </c>
      <c r="F21381" s="3" t="s">
        <v>3460</v>
      </c>
      <c r="G21381" s="6">
        <v>1150</v>
      </c>
      <c r="H21381" s="5">
        <v>1813</v>
      </c>
    </row>
    <row r="21382" spans="2:8" ht="15" customHeight="1" x14ac:dyDescent="0.4">
      <c r="B21382" s="3" t="s">
        <v>7</v>
      </c>
      <c r="C21382" s="3" t="s">
        <v>138</v>
      </c>
      <c r="D21382" s="4">
        <f>DATE(2006,11,8)</f>
        <v>39029</v>
      </c>
      <c r="E21382" s="5">
        <f t="shared" si="350"/>
        <v>2006</v>
      </c>
      <c r="F21382" s="3" t="s">
        <v>3460</v>
      </c>
      <c r="G21382" s="6">
        <v>112.2</v>
      </c>
      <c r="H21382" s="5">
        <v>1878</v>
      </c>
    </row>
    <row r="21383" spans="2:8" ht="15" customHeight="1" x14ac:dyDescent="0.4">
      <c r="B21383" s="3" t="s">
        <v>7</v>
      </c>
      <c r="C21383" s="3" t="s">
        <v>138</v>
      </c>
      <c r="D21383" s="4">
        <f>DATE(2006,11,8)</f>
        <v>39029</v>
      </c>
      <c r="E21383" s="5">
        <f t="shared" si="350"/>
        <v>2006</v>
      </c>
      <c r="F21383" s="3" t="s">
        <v>3460</v>
      </c>
      <c r="G21383" s="6">
        <v>44.85</v>
      </c>
      <c r="H21383" s="5">
        <v>1880</v>
      </c>
    </row>
    <row r="21384" spans="2:8" ht="15" customHeight="1" x14ac:dyDescent="0.4">
      <c r="B21384" s="3" t="s">
        <v>7</v>
      </c>
      <c r="C21384" s="3" t="s">
        <v>138</v>
      </c>
      <c r="D21384" s="4">
        <f>DATE(2006,11,8)</f>
        <v>39029</v>
      </c>
      <c r="E21384" s="5">
        <f t="shared" si="350"/>
        <v>2006</v>
      </c>
      <c r="F21384" s="3" t="s">
        <v>3460</v>
      </c>
      <c r="G21384" s="6">
        <v>248.75</v>
      </c>
      <c r="H21384" s="5">
        <v>1881</v>
      </c>
    </row>
    <row r="21385" spans="2:8" ht="15" customHeight="1" x14ac:dyDescent="0.4">
      <c r="B21385" s="3" t="s">
        <v>7</v>
      </c>
      <c r="C21385" s="3" t="s">
        <v>138</v>
      </c>
      <c r="D21385" s="4">
        <f>DATE(2006,11,8)</f>
        <v>39029</v>
      </c>
      <c r="E21385" s="5">
        <f t="shared" si="350"/>
        <v>2006</v>
      </c>
      <c r="F21385" s="3" t="s">
        <v>3460</v>
      </c>
      <c r="G21385" s="6">
        <v>235.6</v>
      </c>
      <c r="H21385" s="5">
        <v>1883</v>
      </c>
    </row>
    <row r="21386" spans="2:8" ht="15" customHeight="1" x14ac:dyDescent="0.4">
      <c r="B21386" s="3" t="s">
        <v>7</v>
      </c>
      <c r="C21386" s="3" t="s">
        <v>138</v>
      </c>
      <c r="D21386" s="4">
        <f>DATE(2006,11,8)</f>
        <v>39029</v>
      </c>
      <c r="E21386" s="5">
        <f t="shared" si="350"/>
        <v>2006</v>
      </c>
      <c r="F21386" s="3" t="s">
        <v>3460</v>
      </c>
      <c r="G21386" s="6">
        <v>29.25</v>
      </c>
      <c r="H21386" s="5">
        <v>1882</v>
      </c>
    </row>
    <row r="21387" spans="2:8" ht="15" customHeight="1" x14ac:dyDescent="0.4">
      <c r="B21387" s="3" t="s">
        <v>7</v>
      </c>
      <c r="C21387" s="3" t="s">
        <v>138</v>
      </c>
      <c r="D21387" s="4">
        <f>DATE(2006,11,15)</f>
        <v>39036</v>
      </c>
      <c r="E21387" s="5">
        <f t="shared" si="350"/>
        <v>2006</v>
      </c>
      <c r="F21387" s="3" t="s">
        <v>3460</v>
      </c>
      <c r="G21387" s="6">
        <v>522</v>
      </c>
      <c r="H21387" s="5">
        <v>1906</v>
      </c>
    </row>
    <row r="21388" spans="2:8" ht="15" customHeight="1" x14ac:dyDescent="0.4">
      <c r="B21388" s="3" t="s">
        <v>7</v>
      </c>
      <c r="C21388" s="3" t="s">
        <v>138</v>
      </c>
      <c r="D21388" s="4">
        <f>DATE(2006,11,21)</f>
        <v>39042</v>
      </c>
      <c r="E21388" s="5">
        <f t="shared" si="350"/>
        <v>2006</v>
      </c>
      <c r="F21388" s="3" t="s">
        <v>3460</v>
      </c>
      <c r="G21388" s="6">
        <v>5496</v>
      </c>
      <c r="H21388" s="5">
        <v>1857</v>
      </c>
    </row>
    <row r="21389" spans="2:8" ht="15" customHeight="1" x14ac:dyDescent="0.4">
      <c r="B21389" s="3" t="s">
        <v>7</v>
      </c>
      <c r="C21389" s="3" t="s">
        <v>138</v>
      </c>
      <c r="D21389" s="4">
        <f>DATE(2006,11,8)</f>
        <v>39029</v>
      </c>
      <c r="E21389" s="5">
        <f t="shared" si="350"/>
        <v>2006</v>
      </c>
      <c r="F21389" s="3" t="s">
        <v>3460</v>
      </c>
      <c r="G21389" s="6">
        <v>268.5</v>
      </c>
      <c r="H21389" s="5">
        <v>1879</v>
      </c>
    </row>
    <row r="21390" spans="2:8" ht="15" customHeight="1" x14ac:dyDescent="0.4">
      <c r="B21390" s="3" t="s">
        <v>7</v>
      </c>
      <c r="C21390" s="3" t="s">
        <v>138</v>
      </c>
      <c r="D21390" s="4">
        <f t="shared" ref="D21390:D21397" si="351">DATE(2007,1,17)</f>
        <v>39099</v>
      </c>
      <c r="E21390" s="5">
        <f t="shared" si="350"/>
        <v>2007</v>
      </c>
      <c r="F21390" s="3" t="s">
        <v>3460</v>
      </c>
      <c r="G21390" s="6">
        <v>29.25</v>
      </c>
      <c r="H21390" s="5">
        <v>2001</v>
      </c>
    </row>
    <row r="21391" spans="2:8" ht="15" customHeight="1" x14ac:dyDescent="0.4">
      <c r="B21391" s="3" t="s">
        <v>7</v>
      </c>
      <c r="C21391" s="3" t="s">
        <v>138</v>
      </c>
      <c r="D21391" s="4">
        <f t="shared" si="351"/>
        <v>39099</v>
      </c>
      <c r="E21391" s="5">
        <f t="shared" si="350"/>
        <v>2007</v>
      </c>
      <c r="F21391" s="3" t="s">
        <v>3460</v>
      </c>
      <c r="G21391" s="6">
        <v>360</v>
      </c>
      <c r="H21391" s="5">
        <v>2002</v>
      </c>
    </row>
    <row r="21392" spans="2:8" ht="15" customHeight="1" x14ac:dyDescent="0.4">
      <c r="B21392" s="3" t="s">
        <v>7</v>
      </c>
      <c r="C21392" s="3" t="s">
        <v>138</v>
      </c>
      <c r="D21392" s="4">
        <f t="shared" si="351"/>
        <v>39099</v>
      </c>
      <c r="E21392" s="5">
        <f t="shared" si="350"/>
        <v>2007</v>
      </c>
      <c r="F21392" s="3" t="s">
        <v>3460</v>
      </c>
      <c r="G21392" s="6">
        <v>148.26</v>
      </c>
      <c r="H21392" s="5">
        <v>2004</v>
      </c>
    </row>
    <row r="21393" spans="2:8" ht="15" customHeight="1" x14ac:dyDescent="0.4">
      <c r="B21393" s="3" t="s">
        <v>7</v>
      </c>
      <c r="C21393" s="3" t="s">
        <v>138</v>
      </c>
      <c r="D21393" s="4">
        <f t="shared" si="351"/>
        <v>39099</v>
      </c>
      <c r="E21393" s="5">
        <f t="shared" si="350"/>
        <v>2007</v>
      </c>
      <c r="F21393" s="3" t="s">
        <v>3460</v>
      </c>
      <c r="G21393" s="6">
        <v>135.75</v>
      </c>
      <c r="H21393" s="5">
        <v>2005</v>
      </c>
    </row>
    <row r="21394" spans="2:8" ht="15" customHeight="1" x14ac:dyDescent="0.4">
      <c r="B21394" s="3" t="s">
        <v>7</v>
      </c>
      <c r="C21394" s="3" t="s">
        <v>138</v>
      </c>
      <c r="D21394" s="4">
        <f t="shared" si="351"/>
        <v>39099</v>
      </c>
      <c r="E21394" s="5">
        <f t="shared" si="350"/>
        <v>2007</v>
      </c>
      <c r="F21394" s="3" t="s">
        <v>3460</v>
      </c>
      <c r="G21394" s="6">
        <v>248.75</v>
      </c>
      <c r="H21394" s="5">
        <v>2006</v>
      </c>
    </row>
    <row r="21395" spans="2:8" ht="15" customHeight="1" x14ac:dyDescent="0.4">
      <c r="B21395" s="3" t="s">
        <v>7</v>
      </c>
      <c r="C21395" s="3" t="s">
        <v>138</v>
      </c>
      <c r="D21395" s="4">
        <f t="shared" si="351"/>
        <v>39099</v>
      </c>
      <c r="E21395" s="5">
        <f t="shared" si="350"/>
        <v>2007</v>
      </c>
      <c r="F21395" s="3" t="s">
        <v>3460</v>
      </c>
      <c r="G21395" s="6">
        <v>298.75</v>
      </c>
      <c r="H21395" s="5">
        <v>2011</v>
      </c>
    </row>
    <row r="21396" spans="2:8" ht="15" customHeight="1" x14ac:dyDescent="0.4">
      <c r="B21396" s="3" t="s">
        <v>7</v>
      </c>
      <c r="C21396" s="3" t="s">
        <v>138</v>
      </c>
      <c r="D21396" s="4">
        <f t="shared" si="351"/>
        <v>39099</v>
      </c>
      <c r="E21396" s="5">
        <f t="shared" si="350"/>
        <v>2007</v>
      </c>
      <c r="F21396" s="3" t="s">
        <v>3460</v>
      </c>
      <c r="G21396" s="6">
        <v>44.85</v>
      </c>
      <c r="H21396" s="5">
        <v>2012</v>
      </c>
    </row>
    <row r="21397" spans="2:8" ht="15" customHeight="1" x14ac:dyDescent="0.4">
      <c r="B21397" s="3" t="s">
        <v>7</v>
      </c>
      <c r="C21397" s="3" t="s">
        <v>138</v>
      </c>
      <c r="D21397" s="4">
        <f t="shared" si="351"/>
        <v>39099</v>
      </c>
      <c r="E21397" s="5">
        <f t="shared" si="350"/>
        <v>2007</v>
      </c>
      <c r="F21397" s="3" t="s">
        <v>3460</v>
      </c>
      <c r="G21397" s="6">
        <v>268.5</v>
      </c>
      <c r="H21397" s="5">
        <v>2013</v>
      </c>
    </row>
    <row r="21398" spans="2:8" ht="15" customHeight="1" x14ac:dyDescent="0.4">
      <c r="B21398" s="3" t="s">
        <v>7</v>
      </c>
      <c r="C21398" s="3" t="s">
        <v>138</v>
      </c>
      <c r="D21398" s="4">
        <f>DATE(2007,1,19)</f>
        <v>39101</v>
      </c>
      <c r="E21398" s="5">
        <f t="shared" si="350"/>
        <v>2007</v>
      </c>
      <c r="F21398" s="3" t="s">
        <v>3460</v>
      </c>
      <c r="G21398" s="6">
        <v>603.5</v>
      </c>
      <c r="H21398" s="5">
        <v>2007</v>
      </c>
    </row>
    <row r="21399" spans="2:8" ht="15" customHeight="1" x14ac:dyDescent="0.4">
      <c r="B21399" s="3" t="s">
        <v>7</v>
      </c>
      <c r="C21399" s="3" t="s">
        <v>138</v>
      </c>
      <c r="D21399" s="4">
        <f>DATE(2007,1,29)</f>
        <v>39111</v>
      </c>
      <c r="E21399" s="5">
        <f t="shared" si="350"/>
        <v>2007</v>
      </c>
      <c r="F21399" s="3" t="s">
        <v>3460</v>
      </c>
      <c r="G21399" s="6">
        <v>44.85</v>
      </c>
      <c r="H21399" s="5">
        <v>2030</v>
      </c>
    </row>
    <row r="21400" spans="2:8" ht="15" customHeight="1" x14ac:dyDescent="0.4">
      <c r="B21400" s="3" t="s">
        <v>7</v>
      </c>
      <c r="C21400" s="3" t="s">
        <v>138</v>
      </c>
      <c r="D21400" s="4">
        <f>DATE(2007,1,29)</f>
        <v>39111</v>
      </c>
      <c r="E21400" s="5">
        <f t="shared" si="350"/>
        <v>2007</v>
      </c>
      <c r="F21400" s="3" t="s">
        <v>3460</v>
      </c>
      <c r="G21400" s="6">
        <v>29.25</v>
      </c>
      <c r="H21400" s="5">
        <v>2031</v>
      </c>
    </row>
    <row r="21401" spans="2:8" ht="15" customHeight="1" x14ac:dyDescent="0.4">
      <c r="B21401" s="3" t="s">
        <v>7</v>
      </c>
      <c r="C21401" s="3" t="s">
        <v>138</v>
      </c>
      <c r="D21401" s="4">
        <f>DATE(2007,2,8)</f>
        <v>39121</v>
      </c>
      <c r="E21401" s="5">
        <f t="shared" si="350"/>
        <v>2007</v>
      </c>
      <c r="F21401" s="3" t="s">
        <v>3460</v>
      </c>
      <c r="G21401" s="6">
        <v>3744</v>
      </c>
      <c r="H21401" s="5">
        <v>2010</v>
      </c>
    </row>
    <row r="21402" spans="2:8" ht="15" customHeight="1" x14ac:dyDescent="0.4">
      <c r="B21402" s="3" t="s">
        <v>7</v>
      </c>
      <c r="C21402" s="3" t="s">
        <v>138</v>
      </c>
      <c r="D21402" s="4">
        <f>DATE(2007,2,14)</f>
        <v>39127</v>
      </c>
      <c r="E21402" s="5">
        <f t="shared" si="350"/>
        <v>2007</v>
      </c>
      <c r="F21402" s="3" t="s">
        <v>3460</v>
      </c>
      <c r="G21402" s="6">
        <v>61.25</v>
      </c>
      <c r="H21402" s="5">
        <v>2052</v>
      </c>
    </row>
    <row r="21403" spans="2:8" ht="15" customHeight="1" x14ac:dyDescent="0.4">
      <c r="B21403" s="3" t="s">
        <v>7</v>
      </c>
      <c r="C21403" s="3" t="s">
        <v>138</v>
      </c>
      <c r="D21403" s="4">
        <f>DATE(2007,2,15)</f>
        <v>39128</v>
      </c>
      <c r="E21403" s="5">
        <f t="shared" si="350"/>
        <v>2007</v>
      </c>
      <c r="F21403" s="3" t="s">
        <v>3460</v>
      </c>
      <c r="G21403" s="6">
        <v>360</v>
      </c>
      <c r="H21403" s="5">
        <v>2060</v>
      </c>
    </row>
    <row r="21404" spans="2:8" ht="15" customHeight="1" x14ac:dyDescent="0.4">
      <c r="B21404" s="3" t="s">
        <v>7</v>
      </c>
      <c r="C21404" s="3" t="s">
        <v>138</v>
      </c>
      <c r="D21404" s="4">
        <f>DATE(2007,2,15)</f>
        <v>39128</v>
      </c>
      <c r="E21404" s="5">
        <f t="shared" si="350"/>
        <v>2007</v>
      </c>
      <c r="F21404" s="3" t="s">
        <v>3460</v>
      </c>
      <c r="G21404" s="6">
        <v>226.25</v>
      </c>
      <c r="H21404" s="5">
        <v>2061</v>
      </c>
    </row>
    <row r="21405" spans="2:8" ht="15" customHeight="1" x14ac:dyDescent="0.4">
      <c r="B21405" s="3" t="s">
        <v>7</v>
      </c>
      <c r="C21405" s="3" t="s">
        <v>138</v>
      </c>
      <c r="D21405" s="4">
        <f>DATE(2007,2,15)</f>
        <v>39128</v>
      </c>
      <c r="E21405" s="5">
        <f t="shared" si="350"/>
        <v>2007</v>
      </c>
      <c r="F21405" s="3" t="s">
        <v>3460</v>
      </c>
      <c r="G21405" s="6">
        <v>122.5</v>
      </c>
      <c r="H21405" s="5">
        <v>2062</v>
      </c>
    </row>
    <row r="21406" spans="2:8" ht="15" customHeight="1" x14ac:dyDescent="0.4">
      <c r="B21406" s="3" t="s">
        <v>7</v>
      </c>
      <c r="C21406" s="3" t="s">
        <v>138</v>
      </c>
      <c r="D21406" s="4">
        <f>DATE(2007,2,15)</f>
        <v>39128</v>
      </c>
      <c r="E21406" s="5">
        <f t="shared" si="350"/>
        <v>2007</v>
      </c>
      <c r="F21406" s="3" t="s">
        <v>3460</v>
      </c>
      <c r="G21406" s="6">
        <v>299</v>
      </c>
      <c r="H21406" s="5">
        <v>2064</v>
      </c>
    </row>
    <row r="21407" spans="2:8" ht="15" customHeight="1" x14ac:dyDescent="0.4">
      <c r="B21407" s="3" t="s">
        <v>7</v>
      </c>
      <c r="C21407" s="3" t="s">
        <v>138</v>
      </c>
      <c r="D21407" s="4">
        <f>DATE(2007,2,15)</f>
        <v>39128</v>
      </c>
      <c r="E21407" s="5">
        <f t="shared" si="350"/>
        <v>2007</v>
      </c>
      <c r="F21407" s="3" t="s">
        <v>3460</v>
      </c>
      <c r="G21407" s="6">
        <v>497.5</v>
      </c>
      <c r="H21407" s="5">
        <v>2065</v>
      </c>
    </row>
    <row r="21408" spans="2:8" ht="15" customHeight="1" x14ac:dyDescent="0.4">
      <c r="B21408" s="3" t="s">
        <v>7</v>
      </c>
      <c r="C21408" s="3" t="s">
        <v>138</v>
      </c>
      <c r="D21408" s="4">
        <f>DATE(2007,2,21)</f>
        <v>39134</v>
      </c>
      <c r="E21408" s="5">
        <f t="shared" si="350"/>
        <v>2007</v>
      </c>
      <c r="F21408" s="3" t="s">
        <v>3460</v>
      </c>
      <c r="G21408" s="6">
        <v>298.75</v>
      </c>
      <c r="H21408" s="5">
        <v>2063</v>
      </c>
    </row>
    <row r="21409" spans="2:8" ht="15" customHeight="1" x14ac:dyDescent="0.4">
      <c r="B21409" s="3" t="s">
        <v>7</v>
      </c>
      <c r="C21409" s="3" t="s">
        <v>138</v>
      </c>
      <c r="D21409" s="4">
        <f>DATE(2007,2,22)</f>
        <v>39135</v>
      </c>
      <c r="E21409" s="5">
        <f t="shared" si="350"/>
        <v>2007</v>
      </c>
      <c r="F21409" s="3" t="s">
        <v>3460</v>
      </c>
      <c r="G21409" s="6">
        <v>248</v>
      </c>
      <c r="H21409" s="5">
        <v>2075</v>
      </c>
    </row>
    <row r="21410" spans="2:8" ht="15" customHeight="1" x14ac:dyDescent="0.4">
      <c r="B21410" s="3" t="s">
        <v>7</v>
      </c>
      <c r="C21410" s="3" t="s">
        <v>138</v>
      </c>
      <c r="D21410" s="4">
        <f>DATE(2007,3,2)</f>
        <v>39143</v>
      </c>
      <c r="E21410" s="5">
        <f t="shared" si="350"/>
        <v>2007</v>
      </c>
      <c r="F21410" s="3" t="s">
        <v>3460</v>
      </c>
      <c r="G21410" s="6">
        <v>1317</v>
      </c>
      <c r="H21410" s="5">
        <v>2079</v>
      </c>
    </row>
    <row r="21411" spans="2:8" ht="15" customHeight="1" x14ac:dyDescent="0.4">
      <c r="B21411" s="3" t="s">
        <v>7</v>
      </c>
      <c r="C21411" s="3" t="s">
        <v>138</v>
      </c>
      <c r="D21411" s="4">
        <f>DATE(2007,3,5)</f>
        <v>39146</v>
      </c>
      <c r="E21411" s="5">
        <f t="shared" si="350"/>
        <v>2007</v>
      </c>
      <c r="F21411" s="3" t="s">
        <v>3460</v>
      </c>
      <c r="G21411" s="6">
        <v>29.25</v>
      </c>
      <c r="H21411" s="5">
        <v>2096</v>
      </c>
    </row>
    <row r="21412" spans="2:8" ht="15" customHeight="1" x14ac:dyDescent="0.4">
      <c r="B21412" s="3" t="s">
        <v>7</v>
      </c>
      <c r="C21412" s="3" t="s">
        <v>138</v>
      </c>
      <c r="D21412" s="4">
        <f>DATE(2007,3,5)</f>
        <v>39146</v>
      </c>
      <c r="E21412" s="5">
        <f t="shared" si="350"/>
        <v>2007</v>
      </c>
      <c r="F21412" s="3" t="s">
        <v>3460</v>
      </c>
      <c r="G21412" s="6">
        <v>44.85</v>
      </c>
      <c r="H21412" s="5">
        <v>2097</v>
      </c>
    </row>
    <row r="21413" spans="2:8" ht="15" customHeight="1" x14ac:dyDescent="0.4">
      <c r="B21413" s="3" t="s">
        <v>7</v>
      </c>
      <c r="C21413" s="3" t="s">
        <v>138</v>
      </c>
      <c r="D21413" s="4">
        <f>DATE(2007,3,5)</f>
        <v>39146</v>
      </c>
      <c r="E21413" s="5">
        <f t="shared" si="350"/>
        <v>2007</v>
      </c>
      <c r="F21413" s="3" t="s">
        <v>3460</v>
      </c>
      <c r="G21413" s="6">
        <v>360</v>
      </c>
      <c r="H21413" s="5">
        <v>2098</v>
      </c>
    </row>
    <row r="21414" spans="2:8" ht="15" customHeight="1" x14ac:dyDescent="0.4">
      <c r="B21414" s="3" t="s">
        <v>7</v>
      </c>
      <c r="C21414" s="3" t="s">
        <v>138</v>
      </c>
      <c r="D21414" s="4">
        <f>DATE(2007,3,5)</f>
        <v>39146</v>
      </c>
      <c r="E21414" s="5">
        <f t="shared" si="350"/>
        <v>2007</v>
      </c>
      <c r="F21414" s="3" t="s">
        <v>3460</v>
      </c>
      <c r="G21414" s="6">
        <v>65.45</v>
      </c>
      <c r="H21414" s="5">
        <v>2101</v>
      </c>
    </row>
    <row r="21415" spans="2:8" ht="15" customHeight="1" x14ac:dyDescent="0.4">
      <c r="B21415" s="3" t="s">
        <v>7</v>
      </c>
      <c r="C21415" s="3" t="s">
        <v>138</v>
      </c>
      <c r="D21415" s="4">
        <f>DATE(2007,3,1)</f>
        <v>39142</v>
      </c>
      <c r="E21415" s="5">
        <f t="shared" si="350"/>
        <v>2007</v>
      </c>
      <c r="F21415" s="3" t="s">
        <v>3460</v>
      </c>
      <c r="G21415" s="6">
        <v>5496</v>
      </c>
      <c r="H21415" s="5">
        <v>2050</v>
      </c>
    </row>
    <row r="21416" spans="2:8" ht="15" customHeight="1" x14ac:dyDescent="0.4">
      <c r="B21416" s="3" t="s">
        <v>7</v>
      </c>
      <c r="C21416" s="3" t="s">
        <v>138</v>
      </c>
      <c r="D21416" s="4">
        <f>DATE(2007,3,6)</f>
        <v>39147</v>
      </c>
      <c r="E21416" s="5">
        <f t="shared" si="350"/>
        <v>2007</v>
      </c>
      <c r="F21416" s="3" t="s">
        <v>3460</v>
      </c>
      <c r="G21416" s="6">
        <v>248.75</v>
      </c>
      <c r="H21416" s="5">
        <v>2103</v>
      </c>
    </row>
    <row r="21417" spans="2:8" ht="15" customHeight="1" x14ac:dyDescent="0.4">
      <c r="B21417" s="3" t="s">
        <v>7</v>
      </c>
      <c r="C21417" s="3" t="s">
        <v>138</v>
      </c>
      <c r="D21417" s="4">
        <f>DATE(2007,3,7)</f>
        <v>39148</v>
      </c>
      <c r="E21417" s="5">
        <f t="shared" si="350"/>
        <v>2007</v>
      </c>
      <c r="F21417" s="3" t="s">
        <v>3460</v>
      </c>
      <c r="G21417" s="6">
        <v>179</v>
      </c>
      <c r="H21417" s="5">
        <v>2104</v>
      </c>
    </row>
    <row r="21418" spans="2:8" ht="15" customHeight="1" x14ac:dyDescent="0.4">
      <c r="B21418" s="3" t="s">
        <v>7</v>
      </c>
      <c r="C21418" s="3" t="s">
        <v>138</v>
      </c>
      <c r="D21418" s="4">
        <f>DATE(2007,3,15)</f>
        <v>39156</v>
      </c>
      <c r="E21418" s="5">
        <f t="shared" si="350"/>
        <v>2007</v>
      </c>
      <c r="F21418" s="3" t="s">
        <v>3460</v>
      </c>
      <c r="G21418" s="6">
        <v>420.75</v>
      </c>
      <c r="H21418" s="5">
        <v>2118</v>
      </c>
    </row>
    <row r="21419" spans="2:8" ht="15" customHeight="1" x14ac:dyDescent="0.4">
      <c r="B21419" s="3" t="s">
        <v>7</v>
      </c>
      <c r="C21419" s="3" t="s">
        <v>138</v>
      </c>
      <c r="D21419" s="4">
        <f>DATE(2007,3,15)</f>
        <v>39156</v>
      </c>
      <c r="E21419" s="5">
        <f t="shared" si="350"/>
        <v>2007</v>
      </c>
      <c r="F21419" s="3" t="s">
        <v>3460</v>
      </c>
      <c r="G21419" s="6">
        <v>597.5</v>
      </c>
      <c r="H21419" s="5">
        <v>2119</v>
      </c>
    </row>
    <row r="21420" spans="2:8" ht="15" customHeight="1" x14ac:dyDescent="0.4">
      <c r="B21420" s="3" t="s">
        <v>7</v>
      </c>
      <c r="C21420" s="3" t="s">
        <v>138</v>
      </c>
      <c r="D21420" s="4">
        <f>DATE(2007,3,15)</f>
        <v>39156</v>
      </c>
      <c r="E21420" s="5">
        <f t="shared" si="350"/>
        <v>2007</v>
      </c>
      <c r="F21420" s="3" t="s">
        <v>3460</v>
      </c>
      <c r="G21420" s="6">
        <v>235.6</v>
      </c>
      <c r="H21420" s="5">
        <v>2121</v>
      </c>
    </row>
    <row r="21421" spans="2:8" ht="15" customHeight="1" x14ac:dyDescent="0.4">
      <c r="B21421" s="3" t="s">
        <v>7</v>
      </c>
      <c r="C21421" s="3" t="s">
        <v>138</v>
      </c>
      <c r="D21421" s="4">
        <f>DATE(2007,3,19)</f>
        <v>39160</v>
      </c>
      <c r="E21421" s="5">
        <f t="shared" si="350"/>
        <v>2007</v>
      </c>
      <c r="F21421" s="3" t="s">
        <v>3460</v>
      </c>
      <c r="G21421" s="6">
        <v>211.8</v>
      </c>
      <c r="H21421" s="5">
        <v>2120</v>
      </c>
    </row>
    <row r="21422" spans="2:8" ht="15" customHeight="1" x14ac:dyDescent="0.4">
      <c r="B21422" s="3" t="s">
        <v>7</v>
      </c>
      <c r="C21422" s="3" t="s">
        <v>138</v>
      </c>
      <c r="D21422" s="4">
        <f>DATE(2007,3,29)</f>
        <v>39170</v>
      </c>
      <c r="E21422" s="5">
        <f t="shared" si="350"/>
        <v>2007</v>
      </c>
      <c r="F21422" s="3" t="s">
        <v>3460</v>
      </c>
      <c r="G21422" s="6">
        <v>1087.5</v>
      </c>
      <c r="H21422" s="5">
        <v>2128</v>
      </c>
    </row>
    <row r="21423" spans="2:8" ht="15" customHeight="1" x14ac:dyDescent="0.4">
      <c r="B21423" s="3" t="s">
        <v>7</v>
      </c>
      <c r="C21423" s="3" t="s">
        <v>138</v>
      </c>
      <c r="D21423" s="4">
        <f>DATE(2007,4,6)</f>
        <v>39178</v>
      </c>
      <c r="E21423" s="5">
        <f t="shared" si="350"/>
        <v>2007</v>
      </c>
      <c r="F21423" s="3" t="s">
        <v>3460</v>
      </c>
      <c r="G21423" s="6">
        <v>44.85</v>
      </c>
      <c r="H21423" s="5">
        <v>2165</v>
      </c>
    </row>
    <row r="21424" spans="2:8" ht="15" customHeight="1" x14ac:dyDescent="0.4">
      <c r="B21424" s="3" t="s">
        <v>7</v>
      </c>
      <c r="C21424" s="3" t="s">
        <v>138</v>
      </c>
      <c r="D21424" s="4">
        <f>DATE(2007,4,6)</f>
        <v>39178</v>
      </c>
      <c r="E21424" s="5">
        <f t="shared" si="350"/>
        <v>2007</v>
      </c>
      <c r="F21424" s="3" t="s">
        <v>3460</v>
      </c>
      <c r="G21424" s="6">
        <v>248.75</v>
      </c>
      <c r="H21424" s="5">
        <v>2166</v>
      </c>
    </row>
    <row r="21425" spans="2:8" ht="15" customHeight="1" x14ac:dyDescent="0.4">
      <c r="B21425" s="3" t="s">
        <v>7</v>
      </c>
      <c r="C21425" s="3" t="s">
        <v>138</v>
      </c>
      <c r="D21425" s="4">
        <f>DATE(2007,4,6)</f>
        <v>39178</v>
      </c>
      <c r="E21425" s="5">
        <f t="shared" si="350"/>
        <v>2007</v>
      </c>
      <c r="F21425" s="3" t="s">
        <v>3460</v>
      </c>
      <c r="G21425" s="6">
        <v>29.25</v>
      </c>
      <c r="H21425" s="5">
        <v>2167</v>
      </c>
    </row>
    <row r="21426" spans="2:8" ht="15" customHeight="1" x14ac:dyDescent="0.4">
      <c r="B21426" s="3" t="s">
        <v>7</v>
      </c>
      <c r="C21426" s="3" t="s">
        <v>138</v>
      </c>
      <c r="D21426" s="4">
        <f>DATE(2007,4,17)</f>
        <v>39189</v>
      </c>
      <c r="E21426" s="5">
        <f t="shared" si="350"/>
        <v>2007</v>
      </c>
      <c r="F21426" s="3" t="s">
        <v>3460</v>
      </c>
      <c r="G21426" s="6">
        <v>575</v>
      </c>
      <c r="H21426" s="5">
        <v>2188</v>
      </c>
    </row>
    <row r="21427" spans="2:8" ht="15" customHeight="1" x14ac:dyDescent="0.4">
      <c r="B21427" s="3" t="s">
        <v>7</v>
      </c>
      <c r="C21427" s="3" t="s">
        <v>138</v>
      </c>
      <c r="D21427" s="4">
        <f>DATE(2007,4,17)</f>
        <v>39189</v>
      </c>
      <c r="E21427" s="5">
        <f t="shared" si="350"/>
        <v>2007</v>
      </c>
      <c r="F21427" s="3" t="s">
        <v>3460</v>
      </c>
      <c r="G21427" s="6">
        <v>575</v>
      </c>
      <c r="H21427" s="5">
        <v>2189</v>
      </c>
    </row>
    <row r="21428" spans="2:8" ht="15" customHeight="1" x14ac:dyDescent="0.4">
      <c r="B21428" s="3" t="s">
        <v>7</v>
      </c>
      <c r="C21428" s="3" t="s">
        <v>138</v>
      </c>
      <c r="D21428" s="4">
        <f t="shared" ref="D21428:D21433" si="352">DATE(2007,4,25)</f>
        <v>39197</v>
      </c>
      <c r="E21428" s="5">
        <f t="shared" si="350"/>
        <v>2007</v>
      </c>
      <c r="F21428" s="3" t="s">
        <v>3460</v>
      </c>
      <c r="G21428" s="6">
        <v>287.5</v>
      </c>
      <c r="H21428" s="5">
        <v>2210</v>
      </c>
    </row>
    <row r="21429" spans="2:8" ht="15" customHeight="1" x14ac:dyDescent="0.4">
      <c r="B21429" s="3" t="s">
        <v>7</v>
      </c>
      <c r="C21429" s="3" t="s">
        <v>138</v>
      </c>
      <c r="D21429" s="4">
        <f t="shared" si="352"/>
        <v>39197</v>
      </c>
      <c r="E21429" s="5">
        <f t="shared" si="350"/>
        <v>2007</v>
      </c>
      <c r="F21429" s="3" t="s">
        <v>3460</v>
      </c>
      <c r="G21429" s="6">
        <v>226.25</v>
      </c>
      <c r="H21429" s="5">
        <v>2211</v>
      </c>
    </row>
    <row r="21430" spans="2:8" ht="15" customHeight="1" x14ac:dyDescent="0.4">
      <c r="B21430" s="3" t="s">
        <v>7</v>
      </c>
      <c r="C21430" s="3" t="s">
        <v>138</v>
      </c>
      <c r="D21430" s="4">
        <f t="shared" si="352"/>
        <v>39197</v>
      </c>
      <c r="E21430" s="5">
        <f t="shared" si="350"/>
        <v>2007</v>
      </c>
      <c r="F21430" s="3" t="s">
        <v>3460</v>
      </c>
      <c r="G21430" s="6">
        <v>134.25</v>
      </c>
      <c r="H21430" s="5">
        <v>2212</v>
      </c>
    </row>
    <row r="21431" spans="2:8" ht="15" customHeight="1" x14ac:dyDescent="0.4">
      <c r="B21431" s="3" t="s">
        <v>7</v>
      </c>
      <c r="C21431" s="3" t="s">
        <v>138</v>
      </c>
      <c r="D21431" s="4">
        <f t="shared" si="352"/>
        <v>39197</v>
      </c>
      <c r="E21431" s="5">
        <f t="shared" si="350"/>
        <v>2007</v>
      </c>
      <c r="F21431" s="3" t="s">
        <v>3460</v>
      </c>
      <c r="G21431" s="6">
        <v>224.25</v>
      </c>
      <c r="H21431" s="5">
        <v>2213</v>
      </c>
    </row>
    <row r="21432" spans="2:8" ht="15" customHeight="1" x14ac:dyDescent="0.4">
      <c r="B21432" s="3" t="s">
        <v>7</v>
      </c>
      <c r="C21432" s="3" t="s">
        <v>138</v>
      </c>
      <c r="D21432" s="4">
        <f t="shared" si="352"/>
        <v>39197</v>
      </c>
      <c r="E21432" s="5">
        <f t="shared" si="350"/>
        <v>2007</v>
      </c>
      <c r="F21432" s="3" t="s">
        <v>3460</v>
      </c>
      <c r="G21432" s="6">
        <v>194.35</v>
      </c>
      <c r="H21432" s="5">
        <v>2214</v>
      </c>
    </row>
    <row r="21433" spans="2:8" ht="15" customHeight="1" x14ac:dyDescent="0.4">
      <c r="B21433" s="3" t="s">
        <v>7</v>
      </c>
      <c r="C21433" s="3" t="s">
        <v>138</v>
      </c>
      <c r="D21433" s="4">
        <f t="shared" si="352"/>
        <v>39197</v>
      </c>
      <c r="E21433" s="5">
        <f t="shared" si="350"/>
        <v>2007</v>
      </c>
      <c r="F21433" s="3" t="s">
        <v>3460</v>
      </c>
      <c r="G21433" s="6">
        <v>248.75</v>
      </c>
      <c r="H21433" s="5">
        <v>2215</v>
      </c>
    </row>
    <row r="21434" spans="2:8" ht="15" customHeight="1" x14ac:dyDescent="0.4">
      <c r="B21434" s="3" t="s">
        <v>7</v>
      </c>
      <c r="C21434" s="3" t="s">
        <v>138</v>
      </c>
      <c r="D21434" s="4">
        <f>DATE(2007,5,1)</f>
        <v>39203</v>
      </c>
      <c r="E21434" s="5">
        <f t="shared" si="350"/>
        <v>2007</v>
      </c>
      <c r="F21434" s="3" t="s">
        <v>3460</v>
      </c>
      <c r="G21434" s="6">
        <v>187</v>
      </c>
      <c r="H21434" s="5">
        <v>2260</v>
      </c>
    </row>
    <row r="21435" spans="2:8" ht="15" customHeight="1" x14ac:dyDescent="0.4">
      <c r="B21435" s="3" t="s">
        <v>7</v>
      </c>
      <c r="C21435" s="3" t="s">
        <v>138</v>
      </c>
      <c r="D21435" s="4">
        <f>DATE(2007,5,30)</f>
        <v>39232</v>
      </c>
      <c r="E21435" s="5">
        <f t="shared" si="350"/>
        <v>2007</v>
      </c>
      <c r="F21435" s="3" t="s">
        <v>3460</v>
      </c>
      <c r="G21435" s="6">
        <v>10500</v>
      </c>
      <c r="H21435" s="5">
        <v>2262</v>
      </c>
    </row>
    <row r="21436" spans="2:8" ht="15" customHeight="1" x14ac:dyDescent="0.4">
      <c r="B21436" s="3" t="s">
        <v>7</v>
      </c>
      <c r="C21436" s="3" t="s">
        <v>138</v>
      </c>
      <c r="D21436" s="4">
        <f>DATE(2007,5,30)</f>
        <v>39232</v>
      </c>
      <c r="E21436" s="5">
        <f t="shared" si="350"/>
        <v>2007</v>
      </c>
      <c r="F21436" s="3" t="s">
        <v>3460</v>
      </c>
      <c r="G21436" s="6">
        <v>597.5</v>
      </c>
      <c r="H21436" s="5">
        <v>2272</v>
      </c>
    </row>
    <row r="21437" spans="2:8" ht="15" customHeight="1" x14ac:dyDescent="0.4">
      <c r="B21437" s="3" t="s">
        <v>7</v>
      </c>
      <c r="C21437" s="3" t="s">
        <v>138</v>
      </c>
      <c r="D21437" s="4">
        <f>DATE(2007,5,31)</f>
        <v>39233</v>
      </c>
      <c r="E21437" s="5">
        <f t="shared" si="350"/>
        <v>2007</v>
      </c>
      <c r="F21437" s="3" t="s">
        <v>3460</v>
      </c>
      <c r="G21437" s="6">
        <v>124</v>
      </c>
      <c r="H21437" s="5">
        <v>2273</v>
      </c>
    </row>
    <row r="21438" spans="2:8" ht="15" customHeight="1" x14ac:dyDescent="0.4">
      <c r="B21438" s="3" t="s">
        <v>7</v>
      </c>
      <c r="C21438" s="3" t="s">
        <v>138</v>
      </c>
      <c r="D21438" s="4">
        <f>DATE(2007,5,31)</f>
        <v>39233</v>
      </c>
      <c r="E21438" s="5">
        <f t="shared" si="350"/>
        <v>2007</v>
      </c>
      <c r="F21438" s="3" t="s">
        <v>3460</v>
      </c>
      <c r="G21438" s="6">
        <v>195</v>
      </c>
      <c r="H21438" s="5">
        <v>2274</v>
      </c>
    </row>
    <row r="21439" spans="2:8" ht="15" customHeight="1" x14ac:dyDescent="0.4">
      <c r="B21439" s="3" t="s">
        <v>7</v>
      </c>
      <c r="C21439" s="3" t="s">
        <v>138</v>
      </c>
      <c r="D21439" s="4">
        <f t="shared" ref="D21439:D21444" si="353">DATE(2007,6,4)</f>
        <v>39237</v>
      </c>
      <c r="E21439" s="5">
        <f t="shared" si="350"/>
        <v>2007</v>
      </c>
      <c r="F21439" s="3" t="s">
        <v>3460</v>
      </c>
      <c r="G21439" s="6">
        <v>1957</v>
      </c>
      <c r="H21439" s="5">
        <v>2279</v>
      </c>
    </row>
    <row r="21440" spans="2:8" ht="15" customHeight="1" x14ac:dyDescent="0.4">
      <c r="B21440" s="3" t="s">
        <v>7</v>
      </c>
      <c r="C21440" s="3" t="s">
        <v>138</v>
      </c>
      <c r="D21440" s="4">
        <f t="shared" si="353"/>
        <v>39237</v>
      </c>
      <c r="E21440" s="5">
        <f t="shared" si="350"/>
        <v>2007</v>
      </c>
      <c r="F21440" s="3" t="s">
        <v>3460</v>
      </c>
      <c r="G21440" s="6">
        <v>61.25</v>
      </c>
      <c r="H21440" s="5">
        <v>2280</v>
      </c>
    </row>
    <row r="21441" spans="2:8" ht="15" customHeight="1" x14ac:dyDescent="0.4">
      <c r="B21441" s="3" t="s">
        <v>7</v>
      </c>
      <c r="C21441" s="3" t="s">
        <v>138</v>
      </c>
      <c r="D21441" s="4">
        <f t="shared" si="353"/>
        <v>39237</v>
      </c>
      <c r="E21441" s="5">
        <f t="shared" si="350"/>
        <v>2007</v>
      </c>
      <c r="F21441" s="3" t="s">
        <v>3460</v>
      </c>
      <c r="G21441" s="6">
        <v>927</v>
      </c>
      <c r="H21441" s="5">
        <v>2281</v>
      </c>
    </row>
    <row r="21442" spans="2:8" ht="15" customHeight="1" x14ac:dyDescent="0.4">
      <c r="B21442" s="3" t="s">
        <v>7</v>
      </c>
      <c r="C21442" s="3" t="s">
        <v>138</v>
      </c>
      <c r="D21442" s="4">
        <f t="shared" si="353"/>
        <v>39237</v>
      </c>
      <c r="E21442" s="5">
        <f t="shared" si="350"/>
        <v>2007</v>
      </c>
      <c r="F21442" s="3" t="s">
        <v>3460</v>
      </c>
      <c r="G21442" s="6">
        <v>44.85</v>
      </c>
      <c r="H21442" s="5">
        <v>2282</v>
      </c>
    </row>
    <row r="21443" spans="2:8" ht="15" customHeight="1" x14ac:dyDescent="0.4">
      <c r="B21443" s="3" t="s">
        <v>7</v>
      </c>
      <c r="C21443" s="3" t="s">
        <v>138</v>
      </c>
      <c r="D21443" s="4">
        <f t="shared" si="353"/>
        <v>39237</v>
      </c>
      <c r="E21443" s="5">
        <f t="shared" ref="E21443:E21506" si="354">YEAR(D21443)</f>
        <v>2007</v>
      </c>
      <c r="F21443" s="3" t="s">
        <v>3460</v>
      </c>
      <c r="G21443" s="6">
        <v>248.75</v>
      </c>
      <c r="H21443" s="5">
        <v>2283</v>
      </c>
    </row>
    <row r="21444" spans="2:8" ht="15" customHeight="1" x14ac:dyDescent="0.4">
      <c r="B21444" s="3" t="s">
        <v>7</v>
      </c>
      <c r="C21444" s="3" t="s">
        <v>138</v>
      </c>
      <c r="D21444" s="4">
        <f t="shared" si="353"/>
        <v>39237</v>
      </c>
      <c r="E21444" s="5">
        <f t="shared" si="354"/>
        <v>2007</v>
      </c>
      <c r="F21444" s="3" t="s">
        <v>3460</v>
      </c>
      <c r="G21444" s="6">
        <v>179.25</v>
      </c>
      <c r="H21444" s="5">
        <v>2284</v>
      </c>
    </row>
    <row r="21445" spans="2:8" ht="15" customHeight="1" x14ac:dyDescent="0.4">
      <c r="B21445" s="3" t="s">
        <v>7</v>
      </c>
      <c r="C21445" s="3" t="s">
        <v>138</v>
      </c>
      <c r="D21445" s="4">
        <f>DATE(2007,6,5)</f>
        <v>39238</v>
      </c>
      <c r="E21445" s="5">
        <f t="shared" si="354"/>
        <v>2007</v>
      </c>
      <c r="F21445" s="3" t="s">
        <v>3460</v>
      </c>
      <c r="G21445" s="6">
        <v>3244.5</v>
      </c>
      <c r="H21445" s="5">
        <v>2288</v>
      </c>
    </row>
    <row r="21446" spans="2:8" ht="15" customHeight="1" x14ac:dyDescent="0.4">
      <c r="B21446" s="3" t="s">
        <v>7</v>
      </c>
      <c r="C21446" s="3" t="s">
        <v>138</v>
      </c>
      <c r="D21446" s="4">
        <f>DATE(2007,6,5)</f>
        <v>39238</v>
      </c>
      <c r="E21446" s="5">
        <f t="shared" si="354"/>
        <v>2007</v>
      </c>
      <c r="F21446" s="3" t="s">
        <v>3460</v>
      </c>
      <c r="G21446" s="6">
        <v>3045</v>
      </c>
      <c r="H21446" s="5">
        <v>2289</v>
      </c>
    </row>
    <row r="21447" spans="2:8" ht="15" customHeight="1" x14ac:dyDescent="0.4">
      <c r="B21447" s="3" t="s">
        <v>7</v>
      </c>
      <c r="C21447" s="3" t="s">
        <v>138</v>
      </c>
      <c r="D21447" s="4">
        <f>DATE(2007,6,8)</f>
        <v>39241</v>
      </c>
      <c r="E21447" s="5">
        <f t="shared" si="354"/>
        <v>2007</v>
      </c>
      <c r="F21447" s="3" t="s">
        <v>3460</v>
      </c>
      <c r="G21447" s="6">
        <v>134.25</v>
      </c>
      <c r="H21447" s="5">
        <v>2297</v>
      </c>
    </row>
    <row r="21448" spans="2:8" ht="15" customHeight="1" x14ac:dyDescent="0.4">
      <c r="B21448" s="3" t="s">
        <v>7</v>
      </c>
      <c r="C21448" s="3" t="s">
        <v>138</v>
      </c>
      <c r="D21448" s="4">
        <f>DATE(2007,6,8)</f>
        <v>39241</v>
      </c>
      <c r="E21448" s="5">
        <f t="shared" si="354"/>
        <v>2007</v>
      </c>
      <c r="F21448" s="3" t="s">
        <v>3460</v>
      </c>
      <c r="G21448" s="6">
        <v>107.8</v>
      </c>
      <c r="H21448" s="5">
        <v>2298</v>
      </c>
    </row>
    <row r="21449" spans="2:8" ht="15" customHeight="1" x14ac:dyDescent="0.4">
      <c r="B21449" s="3" t="s">
        <v>7</v>
      </c>
      <c r="C21449" s="3" t="s">
        <v>138</v>
      </c>
      <c r="D21449" s="4">
        <f>DATE(2007,6,18)</f>
        <v>39251</v>
      </c>
      <c r="E21449" s="5">
        <f t="shared" si="354"/>
        <v>2007</v>
      </c>
      <c r="F21449" s="3" t="s">
        <v>3460</v>
      </c>
      <c r="G21449" s="6">
        <v>5496</v>
      </c>
      <c r="H21449" s="5">
        <v>2293</v>
      </c>
    </row>
    <row r="21450" spans="2:8" ht="15" customHeight="1" x14ac:dyDescent="0.4">
      <c r="B21450" s="3" t="s">
        <v>7</v>
      </c>
      <c r="C21450" s="3" t="s">
        <v>138</v>
      </c>
      <c r="D21450" s="4">
        <f t="shared" ref="D21450:D21455" si="355">DATE(2009,3,27)</f>
        <v>39899</v>
      </c>
      <c r="E21450" s="5">
        <f t="shared" si="354"/>
        <v>2009</v>
      </c>
      <c r="F21450" s="3" t="s">
        <v>3460</v>
      </c>
      <c r="G21450" s="6">
        <v>259.92</v>
      </c>
      <c r="H21450" s="5">
        <v>3331</v>
      </c>
    </row>
    <row r="21451" spans="2:8" ht="15" customHeight="1" x14ac:dyDescent="0.4">
      <c r="B21451" s="3" t="s">
        <v>7</v>
      </c>
      <c r="C21451" s="3" t="s">
        <v>138</v>
      </c>
      <c r="D21451" s="4">
        <f t="shared" si="355"/>
        <v>39899</v>
      </c>
      <c r="E21451" s="5">
        <f t="shared" si="354"/>
        <v>2009</v>
      </c>
      <c r="F21451" s="3" t="s">
        <v>3460</v>
      </c>
      <c r="G21451" s="6">
        <v>2262</v>
      </c>
      <c r="H21451" s="5">
        <v>3328</v>
      </c>
    </row>
    <row r="21452" spans="2:8" ht="15" customHeight="1" x14ac:dyDescent="0.4">
      <c r="B21452" s="3" t="s">
        <v>7</v>
      </c>
      <c r="C21452" s="3" t="s">
        <v>138</v>
      </c>
      <c r="D21452" s="4">
        <f t="shared" si="355"/>
        <v>39899</v>
      </c>
      <c r="E21452" s="5">
        <f t="shared" si="354"/>
        <v>2009</v>
      </c>
      <c r="F21452" s="3" t="s">
        <v>3460</v>
      </c>
      <c r="G21452" s="6">
        <v>161.47</v>
      </c>
      <c r="H21452" s="5">
        <v>3353</v>
      </c>
    </row>
    <row r="21453" spans="2:8" ht="15" customHeight="1" x14ac:dyDescent="0.4">
      <c r="B21453" s="3" t="s">
        <v>7</v>
      </c>
      <c r="C21453" s="3" t="s">
        <v>138</v>
      </c>
      <c r="D21453" s="4">
        <f t="shared" si="355"/>
        <v>39899</v>
      </c>
      <c r="E21453" s="5">
        <f t="shared" si="354"/>
        <v>2009</v>
      </c>
      <c r="F21453" s="3" t="s">
        <v>3460</v>
      </c>
      <c r="G21453" s="6">
        <v>4343.1000000000004</v>
      </c>
      <c r="H21453" s="5">
        <v>3330</v>
      </c>
    </row>
    <row r="21454" spans="2:8" ht="15" customHeight="1" x14ac:dyDescent="0.4">
      <c r="B21454" s="3" t="s">
        <v>7</v>
      </c>
      <c r="C21454" s="3" t="s">
        <v>138</v>
      </c>
      <c r="D21454" s="4">
        <f t="shared" si="355"/>
        <v>39899</v>
      </c>
      <c r="E21454" s="5">
        <f t="shared" si="354"/>
        <v>2009</v>
      </c>
      <c r="F21454" s="3" t="s">
        <v>3460</v>
      </c>
      <c r="G21454" s="6">
        <v>2655.96</v>
      </c>
      <c r="H21454" s="5">
        <v>3325</v>
      </c>
    </row>
    <row r="21455" spans="2:8" ht="15" customHeight="1" x14ac:dyDescent="0.4">
      <c r="B21455" s="3" t="s">
        <v>7</v>
      </c>
      <c r="C21455" s="3" t="s">
        <v>138</v>
      </c>
      <c r="D21455" s="4">
        <f t="shared" si="355"/>
        <v>39899</v>
      </c>
      <c r="E21455" s="5">
        <f t="shared" si="354"/>
        <v>2009</v>
      </c>
      <c r="F21455" s="3" t="s">
        <v>3460</v>
      </c>
      <c r="G21455" s="6">
        <v>844</v>
      </c>
      <c r="H21455" s="5">
        <v>3329</v>
      </c>
    </row>
    <row r="21456" spans="2:8" ht="15" customHeight="1" x14ac:dyDescent="0.4">
      <c r="B21456" s="3" t="s">
        <v>7</v>
      </c>
      <c r="C21456" s="3" t="s">
        <v>138</v>
      </c>
      <c r="D21456" s="4">
        <f>DATE(2009,6,22)</f>
        <v>39986</v>
      </c>
      <c r="E21456" s="5">
        <f t="shared" si="354"/>
        <v>2009</v>
      </c>
      <c r="F21456" s="3" t="s">
        <v>3460</v>
      </c>
      <c r="G21456" s="6">
        <v>1460.25</v>
      </c>
      <c r="H21456" s="5">
        <v>3490</v>
      </c>
    </row>
    <row r="21457" spans="2:8" ht="15" customHeight="1" x14ac:dyDescent="0.4">
      <c r="B21457" s="3" t="s">
        <v>7</v>
      </c>
      <c r="C21457" s="3" t="s">
        <v>138</v>
      </c>
      <c r="D21457" s="4">
        <f>DATE(2009,6,22)</f>
        <v>39986</v>
      </c>
      <c r="E21457" s="5">
        <f t="shared" si="354"/>
        <v>2009</v>
      </c>
      <c r="F21457" s="3" t="s">
        <v>3460</v>
      </c>
      <c r="G21457" s="6">
        <v>383.6</v>
      </c>
      <c r="H21457" s="5">
        <v>3491</v>
      </c>
    </row>
    <row r="21458" spans="2:8" ht="15" customHeight="1" x14ac:dyDescent="0.4">
      <c r="B21458" s="3" t="s">
        <v>7</v>
      </c>
      <c r="C21458" s="3" t="s">
        <v>138</v>
      </c>
      <c r="D21458" s="4">
        <f>DATE(2009,9,17)</f>
        <v>40073</v>
      </c>
      <c r="E21458" s="5">
        <f t="shared" si="354"/>
        <v>2009</v>
      </c>
      <c r="F21458" s="3" t="s">
        <v>3460</v>
      </c>
      <c r="G21458" s="6">
        <v>837.3</v>
      </c>
      <c r="H21458" s="5">
        <v>3573</v>
      </c>
    </row>
    <row r="21459" spans="2:8" ht="15" customHeight="1" x14ac:dyDescent="0.4">
      <c r="B21459" s="3" t="s">
        <v>7</v>
      </c>
      <c r="C21459" s="3" t="s">
        <v>138</v>
      </c>
      <c r="D21459" s="4">
        <f>DATE(2009,11,3)</f>
        <v>40120</v>
      </c>
      <c r="E21459" s="5">
        <f t="shared" si="354"/>
        <v>2009</v>
      </c>
      <c r="F21459" s="3" t="s">
        <v>3460</v>
      </c>
      <c r="G21459" s="6">
        <v>643.79999999999995</v>
      </c>
      <c r="H21459" s="5">
        <v>3623</v>
      </c>
    </row>
    <row r="21460" spans="2:8" ht="15" customHeight="1" x14ac:dyDescent="0.4">
      <c r="B21460" s="3" t="s">
        <v>7</v>
      </c>
      <c r="C21460" s="3" t="s">
        <v>138</v>
      </c>
      <c r="D21460" s="4">
        <f>DATE(2009,11,3)</f>
        <v>40120</v>
      </c>
      <c r="E21460" s="5">
        <f t="shared" si="354"/>
        <v>2009</v>
      </c>
      <c r="F21460" s="3" t="s">
        <v>3460</v>
      </c>
      <c r="G21460" s="6">
        <v>679.8</v>
      </c>
      <c r="H21460" s="5">
        <v>3647</v>
      </c>
    </row>
    <row r="21461" spans="2:8" ht="15" customHeight="1" x14ac:dyDescent="0.4">
      <c r="B21461" s="3" t="s">
        <v>7</v>
      </c>
      <c r="C21461" s="3" t="s">
        <v>138</v>
      </c>
      <c r="D21461" s="4">
        <f>DATE(2009,12,3)</f>
        <v>40150</v>
      </c>
      <c r="E21461" s="5">
        <f t="shared" si="354"/>
        <v>2009</v>
      </c>
      <c r="F21461" s="3" t="s">
        <v>3460</v>
      </c>
      <c r="G21461" s="6">
        <v>4343.1000000000004</v>
      </c>
      <c r="H21461" s="5">
        <v>3671</v>
      </c>
    </row>
    <row r="21462" spans="2:8" ht="15" customHeight="1" x14ac:dyDescent="0.4">
      <c r="B21462" s="3" t="s">
        <v>7</v>
      </c>
      <c r="C21462" s="3" t="s">
        <v>138</v>
      </c>
      <c r="D21462" s="4">
        <f>DATE(2009,12,3)</f>
        <v>40150</v>
      </c>
      <c r="E21462" s="5">
        <f t="shared" si="354"/>
        <v>2009</v>
      </c>
      <c r="F21462" s="3" t="s">
        <v>3460</v>
      </c>
      <c r="G21462" s="6">
        <v>1636.25</v>
      </c>
      <c r="H21462" s="5">
        <v>3683</v>
      </c>
    </row>
    <row r="21463" spans="2:8" ht="15" customHeight="1" x14ac:dyDescent="0.4">
      <c r="B21463" s="3" t="s">
        <v>7</v>
      </c>
      <c r="C21463" s="3" t="s">
        <v>138</v>
      </c>
      <c r="D21463" s="4">
        <f>DATE(2009,12,11)</f>
        <v>40158</v>
      </c>
      <c r="E21463" s="5">
        <f t="shared" si="354"/>
        <v>2009</v>
      </c>
      <c r="F21463" s="3" t="s">
        <v>3460</v>
      </c>
      <c r="G21463" s="6">
        <v>6781.74</v>
      </c>
      <c r="H21463" s="5">
        <v>3687</v>
      </c>
    </row>
    <row r="21464" spans="2:8" ht="15" customHeight="1" x14ac:dyDescent="0.4">
      <c r="B21464" s="3" t="s">
        <v>7</v>
      </c>
      <c r="C21464" s="3" t="s">
        <v>138</v>
      </c>
      <c r="D21464" s="4">
        <f>DATE(2009,12,11)</f>
        <v>40158</v>
      </c>
      <c r="E21464" s="5">
        <f t="shared" si="354"/>
        <v>2009</v>
      </c>
      <c r="F21464" s="3" t="s">
        <v>3460</v>
      </c>
      <c r="G21464" s="6">
        <v>1614.7</v>
      </c>
      <c r="H21464" s="5">
        <v>3690</v>
      </c>
    </row>
    <row r="21465" spans="2:8" ht="15" customHeight="1" x14ac:dyDescent="0.4">
      <c r="B21465" s="3" t="s">
        <v>7</v>
      </c>
      <c r="C21465" s="3" t="s">
        <v>138</v>
      </c>
      <c r="D21465" s="4">
        <f>DATE(2009,12,23)</f>
        <v>40170</v>
      </c>
      <c r="E21465" s="5">
        <f t="shared" si="354"/>
        <v>2009</v>
      </c>
      <c r="F21465" s="3" t="s">
        <v>3460</v>
      </c>
      <c r="G21465" s="6">
        <v>5794.7</v>
      </c>
      <c r="H21465" s="5">
        <v>3696</v>
      </c>
    </row>
    <row r="21466" spans="2:8" ht="15" customHeight="1" x14ac:dyDescent="0.4">
      <c r="B21466" s="3" t="s">
        <v>7</v>
      </c>
      <c r="C21466" s="3" t="s">
        <v>138</v>
      </c>
      <c r="D21466" s="4">
        <f>DATE(2009,12,23)</f>
        <v>40170</v>
      </c>
      <c r="E21466" s="5">
        <f t="shared" si="354"/>
        <v>2009</v>
      </c>
      <c r="F21466" s="3" t="s">
        <v>3460</v>
      </c>
      <c r="G21466" s="6">
        <v>329.1</v>
      </c>
      <c r="H21466" s="5">
        <v>3709</v>
      </c>
    </row>
    <row r="21467" spans="2:8" ht="15" customHeight="1" x14ac:dyDescent="0.4">
      <c r="B21467" s="3" t="s">
        <v>7</v>
      </c>
      <c r="C21467" s="3" t="s">
        <v>138</v>
      </c>
      <c r="D21467" s="4">
        <f>DATE(2010,1,25)</f>
        <v>40203</v>
      </c>
      <c r="E21467" s="5">
        <f t="shared" si="354"/>
        <v>2010</v>
      </c>
      <c r="F21467" s="3" t="s">
        <v>3460</v>
      </c>
      <c r="G21467" s="6">
        <v>2090</v>
      </c>
      <c r="H21467" s="5">
        <v>3759</v>
      </c>
    </row>
    <row r="21468" spans="2:8" ht="15" customHeight="1" x14ac:dyDescent="0.4">
      <c r="B21468" s="3" t="s">
        <v>7</v>
      </c>
      <c r="C21468" s="3" t="s">
        <v>138</v>
      </c>
      <c r="D21468" s="4">
        <f>DATE(2010,1,25)</f>
        <v>40203</v>
      </c>
      <c r="E21468" s="5">
        <f t="shared" si="354"/>
        <v>2010</v>
      </c>
      <c r="F21468" s="3" t="s">
        <v>3460</v>
      </c>
      <c r="G21468" s="6">
        <v>3097.6</v>
      </c>
      <c r="H21468" s="5">
        <v>3761</v>
      </c>
    </row>
    <row r="21469" spans="2:8" ht="15" customHeight="1" x14ac:dyDescent="0.4">
      <c r="B21469" s="3" t="s">
        <v>7</v>
      </c>
      <c r="C21469" s="3" t="s">
        <v>138</v>
      </c>
      <c r="D21469" s="4">
        <f>DATE(2010,1,25)</f>
        <v>40203</v>
      </c>
      <c r="E21469" s="5">
        <f t="shared" si="354"/>
        <v>2010</v>
      </c>
      <c r="F21469" s="3" t="s">
        <v>3460</v>
      </c>
      <c r="G21469" s="6">
        <v>1460.25</v>
      </c>
      <c r="H21469" s="5">
        <v>3740</v>
      </c>
    </row>
    <row r="21470" spans="2:8" ht="15" customHeight="1" x14ac:dyDescent="0.4">
      <c r="B21470" s="3" t="s">
        <v>7</v>
      </c>
      <c r="C21470" s="3" t="s">
        <v>138</v>
      </c>
      <c r="D21470" s="4">
        <f>DATE(2010,2,22)</f>
        <v>40231</v>
      </c>
      <c r="E21470" s="5">
        <f t="shared" si="354"/>
        <v>2010</v>
      </c>
      <c r="F21470" s="3" t="s">
        <v>3460</v>
      </c>
      <c r="G21470" s="6">
        <v>2598.75</v>
      </c>
      <c r="H21470" s="5">
        <v>3783</v>
      </c>
    </row>
    <row r="21471" spans="2:8" ht="15" customHeight="1" x14ac:dyDescent="0.4">
      <c r="B21471" s="3" t="s">
        <v>7</v>
      </c>
      <c r="C21471" s="3" t="s">
        <v>138</v>
      </c>
      <c r="D21471" s="4">
        <f>DATE(2010,2,22)</f>
        <v>40231</v>
      </c>
      <c r="E21471" s="5">
        <f t="shared" si="354"/>
        <v>2010</v>
      </c>
      <c r="F21471" s="3" t="s">
        <v>3460</v>
      </c>
      <c r="G21471" s="6">
        <v>935</v>
      </c>
      <c r="H21471" s="5">
        <v>3774</v>
      </c>
    </row>
    <row r="21472" spans="2:8" ht="15" customHeight="1" x14ac:dyDescent="0.4">
      <c r="B21472" s="3" t="s">
        <v>7</v>
      </c>
      <c r="C21472" s="3" t="s">
        <v>138</v>
      </c>
      <c r="D21472" s="4">
        <f t="shared" ref="D21472:D21481" si="356">DATE(2010,3,3)</f>
        <v>40240</v>
      </c>
      <c r="E21472" s="5">
        <f t="shared" si="354"/>
        <v>2010</v>
      </c>
      <c r="F21472" s="3" t="s">
        <v>3460</v>
      </c>
      <c r="G21472" s="6">
        <v>1508</v>
      </c>
      <c r="H21472" s="5">
        <v>3813</v>
      </c>
    </row>
    <row r="21473" spans="2:8" ht="15" customHeight="1" x14ac:dyDescent="0.4">
      <c r="B21473" s="3" t="s">
        <v>7</v>
      </c>
      <c r="C21473" s="3" t="s">
        <v>138</v>
      </c>
      <c r="D21473" s="4">
        <f t="shared" si="356"/>
        <v>40240</v>
      </c>
      <c r="E21473" s="5">
        <f t="shared" si="354"/>
        <v>2010</v>
      </c>
      <c r="F21473" s="3" t="s">
        <v>3460</v>
      </c>
      <c r="G21473" s="6">
        <v>136.4</v>
      </c>
      <c r="H21473" s="5">
        <v>3815</v>
      </c>
    </row>
    <row r="21474" spans="2:8" ht="15" customHeight="1" x14ac:dyDescent="0.4">
      <c r="B21474" s="3" t="s">
        <v>7</v>
      </c>
      <c r="C21474" s="3" t="s">
        <v>138</v>
      </c>
      <c r="D21474" s="4">
        <f t="shared" si="356"/>
        <v>40240</v>
      </c>
      <c r="E21474" s="5">
        <f t="shared" si="354"/>
        <v>2010</v>
      </c>
      <c r="F21474" s="3" t="s">
        <v>3460</v>
      </c>
      <c r="G21474" s="6">
        <v>455.3</v>
      </c>
      <c r="H21474" s="5">
        <v>3823</v>
      </c>
    </row>
    <row r="21475" spans="2:8" ht="15" customHeight="1" x14ac:dyDescent="0.4">
      <c r="B21475" s="3" t="s">
        <v>7</v>
      </c>
      <c r="C21475" s="3" t="s">
        <v>138</v>
      </c>
      <c r="D21475" s="4">
        <f t="shared" si="356"/>
        <v>40240</v>
      </c>
      <c r="E21475" s="5">
        <f t="shared" si="354"/>
        <v>2010</v>
      </c>
      <c r="F21475" s="3" t="s">
        <v>3460</v>
      </c>
      <c r="G21475" s="6">
        <v>455.3</v>
      </c>
      <c r="H21475" s="5">
        <v>3825</v>
      </c>
    </row>
    <row r="21476" spans="2:8" ht="15" customHeight="1" x14ac:dyDescent="0.4">
      <c r="B21476" s="3" t="s">
        <v>7</v>
      </c>
      <c r="C21476" s="3" t="s">
        <v>138</v>
      </c>
      <c r="D21476" s="4">
        <f t="shared" si="356"/>
        <v>40240</v>
      </c>
      <c r="E21476" s="5">
        <f t="shared" si="354"/>
        <v>2010</v>
      </c>
      <c r="F21476" s="3" t="s">
        <v>3460</v>
      </c>
      <c r="G21476" s="6">
        <v>54.5</v>
      </c>
      <c r="H21476" s="5">
        <v>3824</v>
      </c>
    </row>
    <row r="21477" spans="2:8" ht="15" customHeight="1" x14ac:dyDescent="0.4">
      <c r="B21477" s="3" t="s">
        <v>7</v>
      </c>
      <c r="C21477" s="3" t="s">
        <v>138</v>
      </c>
      <c r="D21477" s="4">
        <f t="shared" si="356"/>
        <v>40240</v>
      </c>
      <c r="E21477" s="5">
        <f t="shared" si="354"/>
        <v>2010</v>
      </c>
      <c r="F21477" s="3" t="s">
        <v>3460</v>
      </c>
      <c r="G21477" s="6">
        <v>133.13999999999999</v>
      </c>
      <c r="H21477" s="5">
        <v>3819</v>
      </c>
    </row>
    <row r="21478" spans="2:8" ht="15" customHeight="1" x14ac:dyDescent="0.4">
      <c r="B21478" s="3" t="s">
        <v>7</v>
      </c>
      <c r="C21478" s="3" t="s">
        <v>138</v>
      </c>
      <c r="D21478" s="4">
        <f t="shared" si="356"/>
        <v>40240</v>
      </c>
      <c r="E21478" s="5">
        <f t="shared" si="354"/>
        <v>2010</v>
      </c>
      <c r="F21478" s="3" t="s">
        <v>3460</v>
      </c>
      <c r="G21478" s="6">
        <v>3016</v>
      </c>
      <c r="H21478" s="5">
        <v>3817</v>
      </c>
    </row>
    <row r="21479" spans="2:8" ht="15" customHeight="1" x14ac:dyDescent="0.4">
      <c r="B21479" s="3" t="s">
        <v>7</v>
      </c>
      <c r="C21479" s="3" t="s">
        <v>138</v>
      </c>
      <c r="D21479" s="4">
        <f t="shared" si="356"/>
        <v>40240</v>
      </c>
      <c r="E21479" s="5">
        <f t="shared" si="354"/>
        <v>2010</v>
      </c>
      <c r="F21479" s="3" t="s">
        <v>3460</v>
      </c>
      <c r="G21479" s="6">
        <v>3016</v>
      </c>
      <c r="H21479" s="5">
        <v>3816</v>
      </c>
    </row>
    <row r="21480" spans="2:8" ht="15" customHeight="1" x14ac:dyDescent="0.4">
      <c r="B21480" s="3" t="s">
        <v>7</v>
      </c>
      <c r="C21480" s="3" t="s">
        <v>138</v>
      </c>
      <c r="D21480" s="4">
        <f t="shared" si="356"/>
        <v>40240</v>
      </c>
      <c r="E21480" s="5">
        <f t="shared" si="354"/>
        <v>2010</v>
      </c>
      <c r="F21480" s="3" t="s">
        <v>3460</v>
      </c>
      <c r="G21480" s="6">
        <v>1508</v>
      </c>
      <c r="H21480" s="5">
        <v>3777</v>
      </c>
    </row>
    <row r="21481" spans="2:8" ht="15" customHeight="1" x14ac:dyDescent="0.4">
      <c r="B21481" s="3" t="s">
        <v>7</v>
      </c>
      <c r="C21481" s="3" t="s">
        <v>138</v>
      </c>
      <c r="D21481" s="4">
        <f t="shared" si="356"/>
        <v>40240</v>
      </c>
      <c r="E21481" s="5">
        <f t="shared" si="354"/>
        <v>2010</v>
      </c>
      <c r="F21481" s="3" t="s">
        <v>3460</v>
      </c>
      <c r="G21481" s="6">
        <v>288.75</v>
      </c>
      <c r="H21481" s="5">
        <v>3831</v>
      </c>
    </row>
    <row r="21482" spans="2:8" ht="15" customHeight="1" x14ac:dyDescent="0.4">
      <c r="B21482" s="3" t="s">
        <v>7</v>
      </c>
      <c r="C21482" s="3" t="s">
        <v>138</v>
      </c>
      <c r="D21482" s="4">
        <f>DATE(2010,3,10)</f>
        <v>40247</v>
      </c>
      <c r="E21482" s="5">
        <f t="shared" si="354"/>
        <v>2010</v>
      </c>
      <c r="F21482" s="3" t="s">
        <v>3460</v>
      </c>
      <c r="G21482" s="6">
        <v>5459.5</v>
      </c>
      <c r="H21482" s="5">
        <v>3795</v>
      </c>
    </row>
    <row r="21483" spans="2:8" ht="15" customHeight="1" x14ac:dyDescent="0.4">
      <c r="B21483" s="3" t="s">
        <v>7</v>
      </c>
      <c r="C21483" s="3" t="s">
        <v>138</v>
      </c>
      <c r="D21483" s="4">
        <f>DATE(2010,3,19)</f>
        <v>40256</v>
      </c>
      <c r="E21483" s="5">
        <f t="shared" si="354"/>
        <v>2010</v>
      </c>
      <c r="F21483" s="3" t="s">
        <v>3460</v>
      </c>
      <c r="G21483" s="6">
        <v>3074.95</v>
      </c>
      <c r="H21483" s="5">
        <v>3830</v>
      </c>
    </row>
    <row r="21484" spans="2:8" ht="15" customHeight="1" x14ac:dyDescent="0.4">
      <c r="B21484" s="3" t="s">
        <v>7</v>
      </c>
      <c r="C21484" s="3" t="s">
        <v>138</v>
      </c>
      <c r="D21484" s="4">
        <f>DATE(2010,3,19)</f>
        <v>40256</v>
      </c>
      <c r="E21484" s="5">
        <f t="shared" si="354"/>
        <v>2010</v>
      </c>
      <c r="F21484" s="3" t="s">
        <v>3460</v>
      </c>
      <c r="G21484" s="6">
        <v>1236</v>
      </c>
      <c r="H21484" s="5">
        <v>3829</v>
      </c>
    </row>
    <row r="21485" spans="2:8" ht="15" customHeight="1" x14ac:dyDescent="0.4">
      <c r="B21485" s="3" t="s">
        <v>7</v>
      </c>
      <c r="C21485" s="3" t="s">
        <v>138</v>
      </c>
      <c r="D21485" s="4">
        <f>DATE(2010,3,19)</f>
        <v>40256</v>
      </c>
      <c r="E21485" s="5">
        <f t="shared" si="354"/>
        <v>2010</v>
      </c>
      <c r="F21485" s="3" t="s">
        <v>3460</v>
      </c>
      <c r="G21485" s="6">
        <v>276.75</v>
      </c>
      <c r="H21485" s="5">
        <v>3822</v>
      </c>
    </row>
    <row r="21486" spans="2:8" ht="15" customHeight="1" x14ac:dyDescent="0.4">
      <c r="B21486" s="3" t="s">
        <v>7</v>
      </c>
      <c r="C21486" s="3" t="s">
        <v>138</v>
      </c>
      <c r="D21486" s="4">
        <f>DATE(2010,4,1)</f>
        <v>40269</v>
      </c>
      <c r="E21486" s="5">
        <f t="shared" si="354"/>
        <v>2010</v>
      </c>
      <c r="F21486" s="3" t="s">
        <v>3460</v>
      </c>
      <c r="G21486" s="6">
        <v>553.5</v>
      </c>
      <c r="H21486" s="5">
        <v>3853</v>
      </c>
    </row>
    <row r="21487" spans="2:8" ht="15" customHeight="1" x14ac:dyDescent="0.4">
      <c r="B21487" s="3" t="s">
        <v>7</v>
      </c>
      <c r="C21487" s="3" t="s">
        <v>138</v>
      </c>
      <c r="D21487" s="4">
        <f>DATE(2010,4,8)</f>
        <v>40276</v>
      </c>
      <c r="E21487" s="5">
        <f t="shared" si="354"/>
        <v>2010</v>
      </c>
      <c r="F21487" s="3" t="s">
        <v>3460</v>
      </c>
      <c r="G21487" s="6">
        <v>2737.35</v>
      </c>
      <c r="H21487" s="5">
        <v>3794</v>
      </c>
    </row>
    <row r="21488" spans="2:8" ht="15" customHeight="1" x14ac:dyDescent="0.4">
      <c r="B21488" s="3" t="s">
        <v>7</v>
      </c>
      <c r="C21488" s="3" t="s">
        <v>138</v>
      </c>
      <c r="D21488" s="4">
        <f>DATE(2010,4,9)</f>
        <v>40277</v>
      </c>
      <c r="E21488" s="5">
        <f t="shared" si="354"/>
        <v>2010</v>
      </c>
      <c r="F21488" s="3" t="s">
        <v>3460</v>
      </c>
      <c r="G21488" s="6">
        <v>259.16000000000003</v>
      </c>
      <c r="H21488" s="5">
        <v>3897</v>
      </c>
    </row>
    <row r="21489" spans="2:8" ht="15" customHeight="1" x14ac:dyDescent="0.4">
      <c r="B21489" s="3" t="s">
        <v>7</v>
      </c>
      <c r="C21489" s="3" t="s">
        <v>138</v>
      </c>
      <c r="D21489" s="4">
        <f>DATE(2010,4,9)</f>
        <v>40277</v>
      </c>
      <c r="E21489" s="5">
        <f t="shared" si="354"/>
        <v>2010</v>
      </c>
      <c r="F21489" s="3" t="s">
        <v>3460</v>
      </c>
      <c r="G21489" s="6">
        <v>4343.1000000000004</v>
      </c>
      <c r="H21489" s="5">
        <v>3814</v>
      </c>
    </row>
    <row r="21490" spans="2:8" ht="15" customHeight="1" x14ac:dyDescent="0.4">
      <c r="B21490" s="3" t="s">
        <v>7</v>
      </c>
      <c r="C21490" s="3" t="s">
        <v>138</v>
      </c>
      <c r="D21490" s="4">
        <f>DATE(2010,4,21)</f>
        <v>40289</v>
      </c>
      <c r="E21490" s="5">
        <f t="shared" si="354"/>
        <v>2010</v>
      </c>
      <c r="F21490" s="3" t="s">
        <v>3460</v>
      </c>
      <c r="G21490" s="6">
        <v>776.94</v>
      </c>
      <c r="H21490" s="5">
        <v>3898</v>
      </c>
    </row>
    <row r="21491" spans="2:8" ht="15" customHeight="1" x14ac:dyDescent="0.4">
      <c r="B21491" s="3" t="s">
        <v>7</v>
      </c>
      <c r="C21491" s="3" t="s">
        <v>138</v>
      </c>
      <c r="D21491" s="4">
        <f>DATE(2010,4,21)</f>
        <v>40289</v>
      </c>
      <c r="E21491" s="5">
        <f t="shared" si="354"/>
        <v>2010</v>
      </c>
      <c r="F21491" s="3" t="s">
        <v>3460</v>
      </c>
      <c r="G21491" s="6">
        <v>3016</v>
      </c>
      <c r="H21491" s="5">
        <v>3836</v>
      </c>
    </row>
    <row r="21492" spans="2:8" ht="15" customHeight="1" x14ac:dyDescent="0.4">
      <c r="B21492" s="3" t="s">
        <v>7</v>
      </c>
      <c r="C21492" s="3" t="s">
        <v>138</v>
      </c>
      <c r="D21492" s="4">
        <f>DATE(2010,4,21)</f>
        <v>40289</v>
      </c>
      <c r="E21492" s="5">
        <f t="shared" si="354"/>
        <v>2010</v>
      </c>
      <c r="F21492" s="3" t="s">
        <v>3460</v>
      </c>
      <c r="G21492" s="6">
        <v>1460.25</v>
      </c>
      <c r="H21492" s="5">
        <v>3895</v>
      </c>
    </row>
    <row r="21493" spans="2:8" ht="15" customHeight="1" x14ac:dyDescent="0.4">
      <c r="B21493" s="3" t="s">
        <v>7</v>
      </c>
      <c r="C21493" s="3" t="s">
        <v>138</v>
      </c>
      <c r="D21493" s="4">
        <f>DATE(2010,5,3)</f>
        <v>40301</v>
      </c>
      <c r="E21493" s="5">
        <f t="shared" si="354"/>
        <v>2010</v>
      </c>
      <c r="F21493" s="3" t="s">
        <v>3460</v>
      </c>
      <c r="G21493" s="6">
        <v>1622.5</v>
      </c>
      <c r="H21493" s="5">
        <v>3919</v>
      </c>
    </row>
    <row r="21494" spans="2:8" ht="15" customHeight="1" x14ac:dyDescent="0.4">
      <c r="B21494" s="3" t="s">
        <v>7</v>
      </c>
      <c r="C21494" s="3" t="s">
        <v>138</v>
      </c>
      <c r="D21494" s="4">
        <f>DATE(2010,5,3)</f>
        <v>40301</v>
      </c>
      <c r="E21494" s="5">
        <f t="shared" si="354"/>
        <v>2010</v>
      </c>
      <c r="F21494" s="3" t="s">
        <v>3460</v>
      </c>
      <c r="G21494" s="6">
        <v>3132.5</v>
      </c>
      <c r="H21494" s="5">
        <v>3848</v>
      </c>
    </row>
    <row r="21495" spans="2:8" ht="15" customHeight="1" x14ac:dyDescent="0.4">
      <c r="B21495" s="3" t="s">
        <v>7</v>
      </c>
      <c r="C21495" s="3" t="s">
        <v>138</v>
      </c>
      <c r="D21495" s="4">
        <f t="shared" ref="D21495:D21500" si="357">DATE(2010,5,6)</f>
        <v>40304</v>
      </c>
      <c r="E21495" s="5">
        <f t="shared" si="354"/>
        <v>2010</v>
      </c>
      <c r="F21495" s="3" t="s">
        <v>3460</v>
      </c>
      <c r="G21495" s="6">
        <v>3245</v>
      </c>
      <c r="H21495" s="5">
        <v>3908</v>
      </c>
    </row>
    <row r="21496" spans="2:8" ht="15" customHeight="1" x14ac:dyDescent="0.4">
      <c r="B21496" s="3" t="s">
        <v>7</v>
      </c>
      <c r="C21496" s="3" t="s">
        <v>138</v>
      </c>
      <c r="D21496" s="4">
        <f t="shared" si="357"/>
        <v>40304</v>
      </c>
      <c r="E21496" s="5">
        <f t="shared" si="354"/>
        <v>2010</v>
      </c>
      <c r="F21496" s="3" t="s">
        <v>3460</v>
      </c>
      <c r="G21496" s="6">
        <v>6376</v>
      </c>
      <c r="H21496" s="5">
        <v>3910</v>
      </c>
    </row>
    <row r="21497" spans="2:8" ht="15" customHeight="1" x14ac:dyDescent="0.4">
      <c r="B21497" s="3" t="s">
        <v>7</v>
      </c>
      <c r="C21497" s="3" t="s">
        <v>138</v>
      </c>
      <c r="D21497" s="4">
        <f t="shared" si="357"/>
        <v>40304</v>
      </c>
      <c r="E21497" s="5">
        <f t="shared" si="354"/>
        <v>2010</v>
      </c>
      <c r="F21497" s="3" t="s">
        <v>3460</v>
      </c>
      <c r="G21497" s="6">
        <v>136.4</v>
      </c>
      <c r="H21497" s="5">
        <v>3927</v>
      </c>
    </row>
    <row r="21498" spans="2:8" ht="15" customHeight="1" x14ac:dyDescent="0.4">
      <c r="B21498" s="3" t="s">
        <v>7</v>
      </c>
      <c r="C21498" s="3" t="s">
        <v>138</v>
      </c>
      <c r="D21498" s="4">
        <f t="shared" si="357"/>
        <v>40304</v>
      </c>
      <c r="E21498" s="5">
        <f t="shared" si="354"/>
        <v>2010</v>
      </c>
      <c r="F21498" s="3" t="s">
        <v>3460</v>
      </c>
      <c r="G21498" s="6">
        <v>319.81</v>
      </c>
      <c r="H21498" s="5">
        <v>3925</v>
      </c>
    </row>
    <row r="21499" spans="2:8" ht="15" customHeight="1" x14ac:dyDescent="0.4">
      <c r="B21499" s="3" t="s">
        <v>7</v>
      </c>
      <c r="C21499" s="3" t="s">
        <v>138</v>
      </c>
      <c r="D21499" s="4">
        <f t="shared" si="357"/>
        <v>40304</v>
      </c>
      <c r="E21499" s="5">
        <f t="shared" si="354"/>
        <v>2010</v>
      </c>
      <c r="F21499" s="3" t="s">
        <v>3460</v>
      </c>
      <c r="G21499" s="6">
        <v>643.79999999999995</v>
      </c>
      <c r="H21499" s="5">
        <v>3926</v>
      </c>
    </row>
    <row r="21500" spans="2:8" ht="15" customHeight="1" x14ac:dyDescent="0.4">
      <c r="B21500" s="3" t="s">
        <v>7</v>
      </c>
      <c r="C21500" s="3" t="s">
        <v>138</v>
      </c>
      <c r="D21500" s="4">
        <f t="shared" si="357"/>
        <v>40304</v>
      </c>
      <c r="E21500" s="5">
        <f t="shared" si="354"/>
        <v>2010</v>
      </c>
      <c r="F21500" s="3" t="s">
        <v>3460</v>
      </c>
      <c r="G21500" s="6">
        <v>7238.5</v>
      </c>
      <c r="H21500" s="5">
        <v>3907</v>
      </c>
    </row>
    <row r="21501" spans="2:8" ht="15" customHeight="1" x14ac:dyDescent="0.4">
      <c r="B21501" s="3" t="s">
        <v>7</v>
      </c>
      <c r="C21501" s="3" t="s">
        <v>138</v>
      </c>
      <c r="D21501" s="4">
        <f>DATE(2010,5,17)</f>
        <v>40315</v>
      </c>
      <c r="E21501" s="5">
        <f t="shared" si="354"/>
        <v>2010</v>
      </c>
      <c r="F21501" s="3" t="s">
        <v>3460</v>
      </c>
      <c r="G21501" s="6">
        <v>3245</v>
      </c>
      <c r="H21501" s="5">
        <v>3900</v>
      </c>
    </row>
    <row r="21502" spans="2:8" ht="15" customHeight="1" x14ac:dyDescent="0.4">
      <c r="B21502" s="3" t="s">
        <v>7</v>
      </c>
      <c r="C21502" s="3" t="s">
        <v>138</v>
      </c>
      <c r="D21502" s="4">
        <f>DATE(2010,5,17)</f>
        <v>40315</v>
      </c>
      <c r="E21502" s="5">
        <f t="shared" si="354"/>
        <v>2010</v>
      </c>
      <c r="F21502" s="3" t="s">
        <v>3460</v>
      </c>
      <c r="G21502" s="6">
        <v>3043</v>
      </c>
      <c r="H21502" s="5">
        <v>3935</v>
      </c>
    </row>
    <row r="21503" spans="2:8" ht="15" customHeight="1" x14ac:dyDescent="0.4">
      <c r="B21503" s="3" t="s">
        <v>7</v>
      </c>
      <c r="C21503" s="3" t="s">
        <v>138</v>
      </c>
      <c r="D21503" s="4">
        <f>DATE(2010,5,17)</f>
        <v>40315</v>
      </c>
      <c r="E21503" s="5">
        <f t="shared" si="354"/>
        <v>2010</v>
      </c>
      <c r="F21503" s="3" t="s">
        <v>3460</v>
      </c>
      <c r="G21503" s="6">
        <v>2146</v>
      </c>
      <c r="H21503" s="5">
        <v>3936</v>
      </c>
    </row>
    <row r="21504" spans="2:8" ht="15" customHeight="1" x14ac:dyDescent="0.4">
      <c r="B21504" s="3" t="s">
        <v>7</v>
      </c>
      <c r="C21504" s="3" t="s">
        <v>138</v>
      </c>
      <c r="D21504" s="4">
        <f>DATE(2010,5,27)</f>
        <v>40325</v>
      </c>
      <c r="E21504" s="5">
        <f t="shared" si="354"/>
        <v>2010</v>
      </c>
      <c r="F21504" s="3" t="s">
        <v>3460</v>
      </c>
      <c r="G21504" s="6">
        <v>6376</v>
      </c>
      <c r="H21504" s="5">
        <v>3928</v>
      </c>
    </row>
    <row r="21505" spans="2:8" ht="15" customHeight="1" x14ac:dyDescent="0.4">
      <c r="B21505" s="3" t="s">
        <v>7</v>
      </c>
      <c r="C21505" s="3" t="s">
        <v>138</v>
      </c>
      <c r="D21505" s="4">
        <f>DATE(2010,5,27)</f>
        <v>40325</v>
      </c>
      <c r="E21505" s="5">
        <f t="shared" si="354"/>
        <v>2010</v>
      </c>
      <c r="F21505" s="3" t="s">
        <v>3460</v>
      </c>
      <c r="G21505" s="6">
        <v>4689.6499999999996</v>
      </c>
      <c r="H21505" s="5">
        <v>3957</v>
      </c>
    </row>
    <row r="21506" spans="2:8" ht="15" customHeight="1" x14ac:dyDescent="0.4">
      <c r="B21506" s="3" t="s">
        <v>7</v>
      </c>
      <c r="C21506" s="3" t="s">
        <v>138</v>
      </c>
      <c r="D21506" s="4">
        <f>DATE(2010,6,8)</f>
        <v>40337</v>
      </c>
      <c r="E21506" s="5">
        <f t="shared" si="354"/>
        <v>2010</v>
      </c>
      <c r="F21506" s="3" t="s">
        <v>3460</v>
      </c>
      <c r="G21506" s="6">
        <v>5150.3999999999996</v>
      </c>
      <c r="H21506" s="5">
        <v>3964</v>
      </c>
    </row>
    <row r="21507" spans="2:8" ht="15" customHeight="1" x14ac:dyDescent="0.4">
      <c r="B21507" s="3" t="s">
        <v>7</v>
      </c>
      <c r="C21507" s="3" t="s">
        <v>138</v>
      </c>
      <c r="D21507" s="4">
        <f>DATE(2010,6,8)</f>
        <v>40337</v>
      </c>
      <c r="E21507" s="5">
        <f t="shared" ref="E21507:E21570" si="358">YEAR(D21507)</f>
        <v>2010</v>
      </c>
      <c r="F21507" s="3" t="s">
        <v>3460</v>
      </c>
      <c r="G21507" s="6">
        <v>345.93</v>
      </c>
      <c r="H21507" s="5">
        <v>3972</v>
      </c>
    </row>
    <row r="21508" spans="2:8" ht="15" customHeight="1" x14ac:dyDescent="0.4">
      <c r="B21508" s="3" t="s">
        <v>7</v>
      </c>
      <c r="C21508" s="3" t="s">
        <v>138</v>
      </c>
      <c r="D21508" s="4">
        <f>DATE(2010,6,8)</f>
        <v>40337</v>
      </c>
      <c r="E21508" s="5">
        <f t="shared" si="358"/>
        <v>2010</v>
      </c>
      <c r="F21508" s="3" t="s">
        <v>3460</v>
      </c>
      <c r="G21508" s="6">
        <v>133.13999999999999</v>
      </c>
      <c r="H21508" s="5">
        <v>3970</v>
      </c>
    </row>
    <row r="21509" spans="2:8" ht="15" customHeight="1" x14ac:dyDescent="0.4">
      <c r="B21509" s="3" t="s">
        <v>7</v>
      </c>
      <c r="C21509" s="3" t="s">
        <v>138</v>
      </c>
      <c r="D21509" s="4">
        <f>DATE(2010,6,10)</f>
        <v>40339</v>
      </c>
      <c r="E21509" s="5">
        <f t="shared" si="358"/>
        <v>2010</v>
      </c>
      <c r="F21509" s="3" t="s">
        <v>3460</v>
      </c>
      <c r="G21509" s="6">
        <v>1450</v>
      </c>
      <c r="H21509" s="5">
        <v>3956</v>
      </c>
    </row>
    <row r="21510" spans="2:8" ht="15" customHeight="1" x14ac:dyDescent="0.4">
      <c r="B21510" s="3" t="s">
        <v>7</v>
      </c>
      <c r="C21510" s="3" t="s">
        <v>138</v>
      </c>
      <c r="D21510" s="4">
        <f>DATE(2010,6,10)</f>
        <v>40339</v>
      </c>
      <c r="E21510" s="5">
        <f t="shared" si="358"/>
        <v>2010</v>
      </c>
      <c r="F21510" s="3" t="s">
        <v>3460</v>
      </c>
      <c r="G21510" s="6">
        <v>2129</v>
      </c>
      <c r="H21510" s="5">
        <v>3974</v>
      </c>
    </row>
    <row r="21511" spans="2:8" ht="15" customHeight="1" x14ac:dyDescent="0.4">
      <c r="B21511" s="3" t="s">
        <v>7</v>
      </c>
      <c r="C21511" s="3" t="s">
        <v>138</v>
      </c>
      <c r="D21511" s="4">
        <f>DATE(2010,6,10)</f>
        <v>40339</v>
      </c>
      <c r="E21511" s="5">
        <f t="shared" si="358"/>
        <v>2010</v>
      </c>
      <c r="F21511" s="3" t="s">
        <v>3460</v>
      </c>
      <c r="G21511" s="6">
        <v>772.56</v>
      </c>
      <c r="H21511" s="5">
        <v>3971</v>
      </c>
    </row>
    <row r="21512" spans="2:8" ht="15" customHeight="1" x14ac:dyDescent="0.4">
      <c r="B21512" s="3" t="s">
        <v>7</v>
      </c>
      <c r="C21512" s="3" t="s">
        <v>138</v>
      </c>
      <c r="D21512" s="4">
        <f>DATE(2010,6,10)</f>
        <v>40339</v>
      </c>
      <c r="E21512" s="5">
        <f t="shared" si="358"/>
        <v>2010</v>
      </c>
      <c r="F21512" s="3" t="s">
        <v>3460</v>
      </c>
      <c r="G21512" s="6">
        <v>1394.26</v>
      </c>
      <c r="H21512" s="5">
        <v>3973</v>
      </c>
    </row>
    <row r="21513" spans="2:8" ht="15" customHeight="1" x14ac:dyDescent="0.4">
      <c r="B21513" s="3" t="s">
        <v>7</v>
      </c>
      <c r="C21513" s="3" t="s">
        <v>138</v>
      </c>
      <c r="D21513" s="4">
        <f>DATE(2010,6,29)</f>
        <v>40358</v>
      </c>
      <c r="E21513" s="5">
        <f t="shared" si="358"/>
        <v>2010</v>
      </c>
      <c r="F21513" s="3" t="s">
        <v>3460</v>
      </c>
      <c r="G21513" s="6">
        <v>2575.1999999999998</v>
      </c>
      <c r="H21513" s="5">
        <v>4011</v>
      </c>
    </row>
    <row r="21514" spans="2:8" ht="15" customHeight="1" x14ac:dyDescent="0.4">
      <c r="B21514" s="3" t="s">
        <v>7</v>
      </c>
      <c r="C21514" s="3" t="s">
        <v>138</v>
      </c>
      <c r="D21514" s="4">
        <f>DATE(2010,6,30)</f>
        <v>40359</v>
      </c>
      <c r="E21514" s="5">
        <f t="shared" si="358"/>
        <v>2010</v>
      </c>
      <c r="F21514" s="3" t="s">
        <v>3460</v>
      </c>
      <c r="G21514" s="6">
        <v>170.5</v>
      </c>
      <c r="H21514" s="5">
        <v>4014</v>
      </c>
    </row>
    <row r="21515" spans="2:8" ht="15" customHeight="1" x14ac:dyDescent="0.4">
      <c r="B21515" s="3" t="s">
        <v>7</v>
      </c>
      <c r="C21515" s="3" t="s">
        <v>138</v>
      </c>
      <c r="D21515" s="4">
        <f>DATE(2010,6,30)</f>
        <v>40359</v>
      </c>
      <c r="E21515" s="5">
        <f t="shared" si="358"/>
        <v>2010</v>
      </c>
      <c r="F21515" s="3" t="s">
        <v>3460</v>
      </c>
      <c r="G21515" s="6">
        <v>514.29999999999995</v>
      </c>
      <c r="H21515" s="5">
        <v>4012</v>
      </c>
    </row>
    <row r="21516" spans="2:8" ht="15" customHeight="1" x14ac:dyDescent="0.4">
      <c r="B21516" s="3" t="s">
        <v>7</v>
      </c>
      <c r="C21516" s="3" t="s">
        <v>138</v>
      </c>
      <c r="D21516" s="4">
        <f>DATE(2010,6,30)</f>
        <v>40359</v>
      </c>
      <c r="E21516" s="5">
        <f t="shared" si="358"/>
        <v>2010</v>
      </c>
      <c r="F21516" s="3" t="s">
        <v>3460</v>
      </c>
      <c r="G21516" s="6">
        <v>157.11000000000001</v>
      </c>
      <c r="H21516" s="5">
        <v>4015</v>
      </c>
    </row>
    <row r="21517" spans="2:8" ht="15" customHeight="1" x14ac:dyDescent="0.4">
      <c r="B21517" s="3" t="s">
        <v>7</v>
      </c>
      <c r="C21517" s="3" t="s">
        <v>138</v>
      </c>
      <c r="D21517" s="4">
        <f>DATE(2010,7,20)</f>
        <v>40379</v>
      </c>
      <c r="E21517" s="5">
        <f t="shared" si="358"/>
        <v>2010</v>
      </c>
      <c r="F21517" s="3" t="s">
        <v>3460</v>
      </c>
      <c r="G21517" s="6">
        <v>170.5</v>
      </c>
      <c r="H21517" s="5">
        <v>4028</v>
      </c>
    </row>
    <row r="21518" spans="2:8" ht="15" customHeight="1" x14ac:dyDescent="0.4">
      <c r="B21518" s="3" t="s">
        <v>7</v>
      </c>
      <c r="C21518" s="3" t="s">
        <v>138</v>
      </c>
      <c r="D21518" s="4">
        <f>DATE(2010,7,29)</f>
        <v>40388</v>
      </c>
      <c r="E21518" s="5">
        <f t="shared" si="358"/>
        <v>2010</v>
      </c>
      <c r="F21518" s="3" t="s">
        <v>3460</v>
      </c>
      <c r="G21518" s="6">
        <v>6376</v>
      </c>
      <c r="H21518" s="5">
        <v>4001</v>
      </c>
    </row>
    <row r="21519" spans="2:8" ht="15" customHeight="1" x14ac:dyDescent="0.4">
      <c r="B21519" s="3" t="s">
        <v>7</v>
      </c>
      <c r="C21519" s="3" t="s">
        <v>138</v>
      </c>
      <c r="D21519" s="4">
        <f>DATE(2010,7,29)</f>
        <v>40388</v>
      </c>
      <c r="E21519" s="5">
        <f t="shared" si="358"/>
        <v>2010</v>
      </c>
      <c r="F21519" s="3" t="s">
        <v>3460</v>
      </c>
      <c r="G21519" s="6">
        <v>895</v>
      </c>
      <c r="H21519" s="5">
        <v>4010</v>
      </c>
    </row>
    <row r="21520" spans="2:8" ht="15" customHeight="1" x14ac:dyDescent="0.4">
      <c r="B21520" s="3" t="s">
        <v>7</v>
      </c>
      <c r="C21520" s="3" t="s">
        <v>138</v>
      </c>
      <c r="D21520" s="4">
        <f>DATE(2010,7,29)</f>
        <v>40388</v>
      </c>
      <c r="E21520" s="5">
        <f t="shared" si="358"/>
        <v>2010</v>
      </c>
      <c r="F21520" s="3" t="s">
        <v>3460</v>
      </c>
      <c r="G21520" s="6">
        <v>895</v>
      </c>
      <c r="H21520" s="5">
        <v>4024</v>
      </c>
    </row>
    <row r="21521" spans="2:8" ht="15" customHeight="1" x14ac:dyDescent="0.4">
      <c r="B21521" s="3" t="s">
        <v>7</v>
      </c>
      <c r="C21521" s="3" t="s">
        <v>138</v>
      </c>
      <c r="D21521" s="4">
        <f>DATE(2010,8,12)</f>
        <v>40402</v>
      </c>
      <c r="E21521" s="5">
        <f t="shared" si="358"/>
        <v>2010</v>
      </c>
      <c r="F21521" s="3" t="s">
        <v>3460</v>
      </c>
      <c r="G21521" s="6">
        <v>4196.55</v>
      </c>
      <c r="H21521" s="5">
        <v>4027</v>
      </c>
    </row>
    <row r="21522" spans="2:8" ht="15" customHeight="1" x14ac:dyDescent="0.4">
      <c r="B21522" s="3" t="s">
        <v>7</v>
      </c>
      <c r="C21522" s="3" t="s">
        <v>138</v>
      </c>
      <c r="D21522" s="4">
        <f t="shared" ref="D21522:D21533" si="359">DATE(2010,8,26)</f>
        <v>40416</v>
      </c>
      <c r="E21522" s="5">
        <f t="shared" si="358"/>
        <v>2010</v>
      </c>
      <c r="F21522" s="3" t="s">
        <v>3460</v>
      </c>
      <c r="G21522" s="6">
        <v>2685</v>
      </c>
      <c r="H21522" s="5">
        <v>4062</v>
      </c>
    </row>
    <row r="21523" spans="2:8" ht="15" customHeight="1" x14ac:dyDescent="0.4">
      <c r="B21523" s="3" t="s">
        <v>7</v>
      </c>
      <c r="C21523" s="3" t="s">
        <v>138</v>
      </c>
      <c r="D21523" s="4">
        <f t="shared" si="359"/>
        <v>40416</v>
      </c>
      <c r="E21523" s="5">
        <f t="shared" si="358"/>
        <v>2010</v>
      </c>
      <c r="F21523" s="3" t="s">
        <v>3460</v>
      </c>
      <c r="G21523" s="6">
        <v>170.5</v>
      </c>
      <c r="H21523" s="5">
        <v>4066</v>
      </c>
    </row>
    <row r="21524" spans="2:8" ht="15" customHeight="1" x14ac:dyDescent="0.4">
      <c r="B21524" s="3" t="s">
        <v>7</v>
      </c>
      <c r="C21524" s="3" t="s">
        <v>138</v>
      </c>
      <c r="D21524" s="4">
        <f t="shared" si="359"/>
        <v>40416</v>
      </c>
      <c r="E21524" s="5">
        <f t="shared" si="358"/>
        <v>2010</v>
      </c>
      <c r="F21524" s="3" t="s">
        <v>3460</v>
      </c>
      <c r="G21524" s="6">
        <v>523.70000000000005</v>
      </c>
      <c r="H21524" s="5">
        <v>4063</v>
      </c>
    </row>
    <row r="21525" spans="2:8" ht="15" customHeight="1" x14ac:dyDescent="0.4">
      <c r="B21525" s="3" t="s">
        <v>7</v>
      </c>
      <c r="C21525" s="3" t="s">
        <v>138</v>
      </c>
      <c r="D21525" s="4">
        <f t="shared" si="359"/>
        <v>40416</v>
      </c>
      <c r="E21525" s="5">
        <f t="shared" si="358"/>
        <v>2010</v>
      </c>
      <c r="F21525" s="3" t="s">
        <v>3460</v>
      </c>
      <c r="G21525" s="6">
        <v>523.70000000000005</v>
      </c>
      <c r="H21525" s="5">
        <v>4070</v>
      </c>
    </row>
    <row r="21526" spans="2:8" ht="15" customHeight="1" x14ac:dyDescent="0.4">
      <c r="B21526" s="3" t="s">
        <v>7</v>
      </c>
      <c r="C21526" s="3" t="s">
        <v>138</v>
      </c>
      <c r="D21526" s="4">
        <f t="shared" si="359"/>
        <v>40416</v>
      </c>
      <c r="E21526" s="5">
        <f t="shared" si="358"/>
        <v>2010</v>
      </c>
      <c r="F21526" s="3" t="s">
        <v>3460</v>
      </c>
      <c r="G21526" s="6">
        <v>157.11000000000001</v>
      </c>
      <c r="H21526" s="5">
        <v>4023</v>
      </c>
    </row>
    <row r="21527" spans="2:8" ht="15" customHeight="1" x14ac:dyDescent="0.4">
      <c r="B21527" s="3" t="s">
        <v>7</v>
      </c>
      <c r="C21527" s="3" t="s">
        <v>138</v>
      </c>
      <c r="D21527" s="4">
        <f t="shared" si="359"/>
        <v>40416</v>
      </c>
      <c r="E21527" s="5">
        <f t="shared" si="358"/>
        <v>2010</v>
      </c>
      <c r="F21527" s="3" t="s">
        <v>3460</v>
      </c>
      <c r="G21527" s="6">
        <v>1047.4000000000001</v>
      </c>
      <c r="H21527" s="5">
        <v>4074</v>
      </c>
    </row>
    <row r="21528" spans="2:8" ht="15" customHeight="1" x14ac:dyDescent="0.4">
      <c r="B21528" s="3" t="s">
        <v>7</v>
      </c>
      <c r="C21528" s="3" t="s">
        <v>138</v>
      </c>
      <c r="D21528" s="4">
        <f t="shared" si="359"/>
        <v>40416</v>
      </c>
      <c r="E21528" s="5">
        <f t="shared" si="358"/>
        <v>2010</v>
      </c>
      <c r="F21528" s="3" t="s">
        <v>3460</v>
      </c>
      <c r="G21528" s="6">
        <v>822.96</v>
      </c>
      <c r="H21528" s="5">
        <v>4065</v>
      </c>
    </row>
    <row r="21529" spans="2:8" ht="15" customHeight="1" x14ac:dyDescent="0.4">
      <c r="B21529" s="3" t="s">
        <v>7</v>
      </c>
      <c r="C21529" s="3" t="s">
        <v>138</v>
      </c>
      <c r="D21529" s="4">
        <f t="shared" si="359"/>
        <v>40416</v>
      </c>
      <c r="E21529" s="5">
        <f t="shared" si="358"/>
        <v>2010</v>
      </c>
      <c r="F21529" s="3" t="s">
        <v>3460</v>
      </c>
      <c r="G21529" s="6">
        <v>3589.25</v>
      </c>
      <c r="H21529" s="5">
        <v>4078</v>
      </c>
    </row>
    <row r="21530" spans="2:8" ht="15" customHeight="1" x14ac:dyDescent="0.4">
      <c r="B21530" s="3" t="s">
        <v>7</v>
      </c>
      <c r="C21530" s="3" t="s">
        <v>138</v>
      </c>
      <c r="D21530" s="4">
        <f t="shared" si="359"/>
        <v>40416</v>
      </c>
      <c r="E21530" s="5">
        <f t="shared" si="358"/>
        <v>2010</v>
      </c>
      <c r="F21530" s="3" t="s">
        <v>3460</v>
      </c>
      <c r="G21530" s="6">
        <v>3590.03</v>
      </c>
      <c r="H21530" s="5">
        <v>4071</v>
      </c>
    </row>
    <row r="21531" spans="2:8" ht="15" customHeight="1" x14ac:dyDescent="0.4">
      <c r="B21531" s="3" t="s">
        <v>7</v>
      </c>
      <c r="C21531" s="3" t="s">
        <v>138</v>
      </c>
      <c r="D21531" s="4">
        <f t="shared" si="359"/>
        <v>40416</v>
      </c>
      <c r="E21531" s="5">
        <f t="shared" si="358"/>
        <v>2010</v>
      </c>
      <c r="F21531" s="3" t="s">
        <v>3460</v>
      </c>
      <c r="G21531" s="6">
        <v>170.5</v>
      </c>
      <c r="H21531" s="5">
        <v>4091</v>
      </c>
    </row>
    <row r="21532" spans="2:8" ht="15" customHeight="1" x14ac:dyDescent="0.4">
      <c r="B21532" s="3" t="s">
        <v>7</v>
      </c>
      <c r="C21532" s="3" t="s">
        <v>138</v>
      </c>
      <c r="D21532" s="4">
        <f t="shared" si="359"/>
        <v>40416</v>
      </c>
      <c r="E21532" s="5">
        <f t="shared" si="358"/>
        <v>2010</v>
      </c>
      <c r="F21532" s="3" t="s">
        <v>3460</v>
      </c>
      <c r="G21532" s="6">
        <v>322.94</v>
      </c>
      <c r="H21532" s="5">
        <v>4089</v>
      </c>
    </row>
    <row r="21533" spans="2:8" ht="15" customHeight="1" x14ac:dyDescent="0.4">
      <c r="B21533" s="3" t="s">
        <v>7</v>
      </c>
      <c r="C21533" s="3" t="s">
        <v>138</v>
      </c>
      <c r="D21533" s="4">
        <f t="shared" si="359"/>
        <v>40416</v>
      </c>
      <c r="E21533" s="5">
        <f t="shared" si="358"/>
        <v>2010</v>
      </c>
      <c r="F21533" s="3" t="s">
        <v>3460</v>
      </c>
      <c r="G21533" s="6">
        <v>537.29999999999995</v>
      </c>
      <c r="H21533" s="5">
        <v>4100</v>
      </c>
    </row>
    <row r="21534" spans="2:8" ht="15" customHeight="1" x14ac:dyDescent="0.4">
      <c r="B21534" s="3" t="s">
        <v>7</v>
      </c>
      <c r="C21534" s="3" t="s">
        <v>138</v>
      </c>
      <c r="D21534" s="4">
        <f>DATE(2010,9,7)</f>
        <v>40428</v>
      </c>
      <c r="E21534" s="5">
        <f t="shared" si="358"/>
        <v>2010</v>
      </c>
      <c r="F21534" s="3" t="s">
        <v>3460</v>
      </c>
      <c r="G21534" s="6">
        <v>3838</v>
      </c>
      <c r="H21534" s="5">
        <v>4027</v>
      </c>
    </row>
    <row r="21535" spans="2:8" ht="15" customHeight="1" x14ac:dyDescent="0.4">
      <c r="B21535" s="3" t="s">
        <v>7</v>
      </c>
      <c r="C21535" s="3" t="s">
        <v>138</v>
      </c>
      <c r="D21535" s="4">
        <f>DATE(2010,9,7)</f>
        <v>40428</v>
      </c>
      <c r="E21535" s="5">
        <f t="shared" si="358"/>
        <v>2010</v>
      </c>
      <c r="F21535" s="3" t="s">
        <v>3460</v>
      </c>
      <c r="G21535" s="6">
        <v>322.94</v>
      </c>
      <c r="H21535" s="5">
        <v>4111</v>
      </c>
    </row>
    <row r="21536" spans="2:8" ht="15" customHeight="1" x14ac:dyDescent="0.4">
      <c r="B21536" s="3" t="s">
        <v>7</v>
      </c>
      <c r="C21536" s="3" t="s">
        <v>138</v>
      </c>
      <c r="D21536" s="4">
        <f>DATE(2010,9,7)</f>
        <v>40428</v>
      </c>
      <c r="E21536" s="5">
        <f t="shared" si="358"/>
        <v>2010</v>
      </c>
      <c r="F21536" s="3" t="s">
        <v>3460</v>
      </c>
      <c r="G21536" s="6">
        <v>995.9</v>
      </c>
      <c r="H21536" s="5">
        <v>4093</v>
      </c>
    </row>
    <row r="21537" spans="2:8" ht="15" customHeight="1" x14ac:dyDescent="0.4">
      <c r="B21537" s="3" t="s">
        <v>7</v>
      </c>
      <c r="C21537" s="3" t="s">
        <v>138</v>
      </c>
      <c r="D21537" s="4">
        <f>DATE(2010,9,7)</f>
        <v>40428</v>
      </c>
      <c r="E21537" s="5">
        <f t="shared" si="358"/>
        <v>2010</v>
      </c>
      <c r="F21537" s="3" t="s">
        <v>3460</v>
      </c>
      <c r="G21537" s="6">
        <v>1614.7</v>
      </c>
      <c r="H21537" s="5">
        <v>4095</v>
      </c>
    </row>
    <row r="21538" spans="2:8" ht="15" customHeight="1" x14ac:dyDescent="0.4">
      <c r="B21538" s="3" t="s">
        <v>7</v>
      </c>
      <c r="C21538" s="3" t="s">
        <v>138</v>
      </c>
      <c r="D21538" s="4">
        <f>DATE(2010,9,14)</f>
        <v>40435</v>
      </c>
      <c r="E21538" s="5">
        <f t="shared" si="358"/>
        <v>2010</v>
      </c>
      <c r="F21538" s="3" t="s">
        <v>3460</v>
      </c>
      <c r="G21538" s="6">
        <v>4273.6000000000004</v>
      </c>
      <c r="H21538" s="5">
        <v>4094</v>
      </c>
    </row>
    <row r="21539" spans="2:8" ht="15" customHeight="1" x14ac:dyDescent="0.4">
      <c r="B21539" s="3" t="s">
        <v>7</v>
      </c>
      <c r="C21539" s="3" t="s">
        <v>138</v>
      </c>
      <c r="D21539" s="4">
        <f>DATE(2010,9,14)</f>
        <v>40435</v>
      </c>
      <c r="E21539" s="5">
        <f t="shared" si="358"/>
        <v>2010</v>
      </c>
      <c r="F21539" s="3" t="s">
        <v>3460</v>
      </c>
      <c r="G21539" s="6">
        <v>7503</v>
      </c>
      <c r="H21539" s="5">
        <v>4075</v>
      </c>
    </row>
    <row r="21540" spans="2:8" ht="15" customHeight="1" x14ac:dyDescent="0.4">
      <c r="B21540" s="3" t="s">
        <v>7</v>
      </c>
      <c r="C21540" s="3" t="s">
        <v>138</v>
      </c>
      <c r="D21540" s="4">
        <f>DATE(2010,9,22)</f>
        <v>40443</v>
      </c>
      <c r="E21540" s="5">
        <f t="shared" si="358"/>
        <v>2010</v>
      </c>
      <c r="F21540" s="3" t="s">
        <v>3460</v>
      </c>
      <c r="G21540" s="6">
        <v>537.29999999999995</v>
      </c>
      <c r="H21540" s="5">
        <v>4137</v>
      </c>
    </row>
    <row r="21541" spans="2:8" ht="15" customHeight="1" x14ac:dyDescent="0.4">
      <c r="B21541" s="3" t="s">
        <v>7</v>
      </c>
      <c r="C21541" s="3" t="s">
        <v>138</v>
      </c>
      <c r="D21541" s="4">
        <f>DATE(2010,9,22)</f>
        <v>40443</v>
      </c>
      <c r="E21541" s="5">
        <f t="shared" si="358"/>
        <v>2010</v>
      </c>
      <c r="F21541" s="3" t="s">
        <v>3460</v>
      </c>
      <c r="G21541" s="6">
        <v>170.5</v>
      </c>
      <c r="H21541" s="5">
        <v>4139</v>
      </c>
    </row>
    <row r="21542" spans="2:8" ht="15" customHeight="1" x14ac:dyDescent="0.4">
      <c r="B21542" s="3" t="s">
        <v>7</v>
      </c>
      <c r="C21542" s="3" t="s">
        <v>138</v>
      </c>
      <c r="D21542" s="4">
        <f>DATE(2010,9,22)</f>
        <v>40443</v>
      </c>
      <c r="E21542" s="5">
        <f t="shared" si="358"/>
        <v>2010</v>
      </c>
      <c r="F21542" s="3" t="s">
        <v>3460</v>
      </c>
      <c r="G21542" s="6">
        <v>1291.76</v>
      </c>
      <c r="H21542" s="5">
        <v>4119</v>
      </c>
    </row>
    <row r="21543" spans="2:8" ht="15" customHeight="1" x14ac:dyDescent="0.4">
      <c r="B21543" s="3" t="s">
        <v>7</v>
      </c>
      <c r="C21543" s="3" t="s">
        <v>138</v>
      </c>
      <c r="D21543" s="4">
        <f>DATE(2010,9,22)</f>
        <v>40443</v>
      </c>
      <c r="E21543" s="5">
        <f t="shared" si="358"/>
        <v>2010</v>
      </c>
      <c r="F21543" s="3" t="s">
        <v>3460</v>
      </c>
      <c r="G21543" s="6">
        <v>3759.3</v>
      </c>
      <c r="H21543" s="5">
        <v>4110</v>
      </c>
    </row>
    <row r="21544" spans="2:8" ht="15" customHeight="1" x14ac:dyDescent="0.4">
      <c r="B21544" s="3" t="s">
        <v>7</v>
      </c>
      <c r="C21544" s="3" t="s">
        <v>138</v>
      </c>
      <c r="D21544" s="4">
        <f>DATE(2010,9,29)</f>
        <v>40450</v>
      </c>
      <c r="E21544" s="5">
        <f t="shared" si="358"/>
        <v>2010</v>
      </c>
      <c r="F21544" s="3" t="s">
        <v>3460</v>
      </c>
      <c r="G21544" s="6">
        <v>649</v>
      </c>
      <c r="H21544" s="5">
        <v>4143</v>
      </c>
    </row>
    <row r="21545" spans="2:8" ht="15" customHeight="1" x14ac:dyDescent="0.4">
      <c r="B21545" s="3" t="s">
        <v>7</v>
      </c>
      <c r="C21545" s="3" t="s">
        <v>138</v>
      </c>
      <c r="D21545" s="4">
        <f>DATE(2010,9,29)</f>
        <v>40450</v>
      </c>
      <c r="E21545" s="5">
        <f t="shared" si="358"/>
        <v>2010</v>
      </c>
      <c r="F21545" s="3" t="s">
        <v>3460</v>
      </c>
      <c r="G21545" s="6">
        <v>890.29</v>
      </c>
      <c r="H21545" s="5">
        <v>4142</v>
      </c>
    </row>
    <row r="21546" spans="2:8" ht="15" customHeight="1" x14ac:dyDescent="0.4">
      <c r="B21546" s="3" t="s">
        <v>7</v>
      </c>
      <c r="C21546" s="3" t="s">
        <v>138</v>
      </c>
      <c r="D21546" s="4">
        <f>DATE(2010,10,6)</f>
        <v>40457</v>
      </c>
      <c r="E21546" s="5">
        <f t="shared" si="358"/>
        <v>2010</v>
      </c>
      <c r="F21546" s="3" t="s">
        <v>3460</v>
      </c>
      <c r="G21546" s="6">
        <v>345.93</v>
      </c>
      <c r="H21546" s="5">
        <v>4133</v>
      </c>
    </row>
    <row r="21547" spans="2:8" ht="15" customHeight="1" x14ac:dyDescent="0.4">
      <c r="B21547" s="3" t="s">
        <v>7</v>
      </c>
      <c r="C21547" s="3" t="s">
        <v>138</v>
      </c>
      <c r="D21547" s="4">
        <f>DATE(2010,10,6)</f>
        <v>40457</v>
      </c>
      <c r="E21547" s="5">
        <f t="shared" si="358"/>
        <v>2010</v>
      </c>
      <c r="F21547" s="3" t="s">
        <v>3460</v>
      </c>
      <c r="G21547" s="6">
        <v>295.8</v>
      </c>
      <c r="H21547" s="5">
        <v>4162</v>
      </c>
    </row>
    <row r="21548" spans="2:8" ht="15" customHeight="1" x14ac:dyDescent="0.4">
      <c r="B21548" s="3" t="s">
        <v>7</v>
      </c>
      <c r="C21548" s="3" t="s">
        <v>138</v>
      </c>
      <c r="D21548" s="4">
        <f>DATE(2010,10,6)</f>
        <v>40457</v>
      </c>
      <c r="E21548" s="5">
        <f t="shared" si="358"/>
        <v>2010</v>
      </c>
      <c r="F21548" s="3" t="s">
        <v>3460</v>
      </c>
      <c r="G21548" s="6">
        <v>189</v>
      </c>
      <c r="H21548" s="5">
        <v>4160</v>
      </c>
    </row>
    <row r="21549" spans="2:8" ht="15" customHeight="1" x14ac:dyDescent="0.4">
      <c r="B21549" s="3" t="s">
        <v>7</v>
      </c>
      <c r="C21549" s="3" t="s">
        <v>138</v>
      </c>
      <c r="D21549" s="4">
        <f>DATE(2010,10,6)</f>
        <v>40457</v>
      </c>
      <c r="E21549" s="5">
        <f t="shared" si="358"/>
        <v>2010</v>
      </c>
      <c r="F21549" s="3" t="s">
        <v>3460</v>
      </c>
      <c r="G21549" s="6">
        <v>3872</v>
      </c>
      <c r="H21549" s="5">
        <v>4166</v>
      </c>
    </row>
    <row r="21550" spans="2:8" ht="15" customHeight="1" x14ac:dyDescent="0.4">
      <c r="B21550" s="3" t="s">
        <v>7</v>
      </c>
      <c r="C21550" s="3" t="s">
        <v>138</v>
      </c>
      <c r="D21550" s="4">
        <f>DATE(2010,7,21)</f>
        <v>40380</v>
      </c>
      <c r="E21550" s="5">
        <f t="shared" si="358"/>
        <v>2010</v>
      </c>
      <c r="F21550" s="3" t="s">
        <v>3460</v>
      </c>
      <c r="G21550" s="6">
        <v>4844.1000000000004</v>
      </c>
      <c r="H21550" s="5">
        <v>4201</v>
      </c>
    </row>
    <row r="21551" spans="2:8" ht="15" customHeight="1" x14ac:dyDescent="0.4">
      <c r="B21551" s="3" t="s">
        <v>7</v>
      </c>
      <c r="C21551" s="3" t="s">
        <v>138</v>
      </c>
      <c r="D21551" s="4">
        <f>DATE(2010,10,29)</f>
        <v>40480</v>
      </c>
      <c r="E21551" s="5">
        <f t="shared" si="358"/>
        <v>2010</v>
      </c>
      <c r="F21551" s="3" t="s">
        <v>3460</v>
      </c>
      <c r="G21551" s="6">
        <v>1460.25</v>
      </c>
      <c r="H21551" s="5">
        <v>4090</v>
      </c>
    </row>
    <row r="21552" spans="2:8" ht="15" customHeight="1" x14ac:dyDescent="0.4">
      <c r="B21552" s="3" t="s">
        <v>7</v>
      </c>
      <c r="C21552" s="3" t="s">
        <v>138</v>
      </c>
      <c r="D21552" s="4">
        <f>DATE(2010,11,17)</f>
        <v>40499</v>
      </c>
      <c r="E21552" s="5">
        <f t="shared" si="358"/>
        <v>2010</v>
      </c>
      <c r="F21552" s="3" t="s">
        <v>3460</v>
      </c>
      <c r="G21552" s="6">
        <v>483.57</v>
      </c>
      <c r="H21552" s="5">
        <v>4193</v>
      </c>
    </row>
    <row r="21553" spans="2:8" ht="15" customHeight="1" x14ac:dyDescent="0.4">
      <c r="B21553" s="3" t="s">
        <v>7</v>
      </c>
      <c r="C21553" s="3" t="s">
        <v>138</v>
      </c>
      <c r="D21553" s="4">
        <f>DATE(2010,11,17)</f>
        <v>40499</v>
      </c>
      <c r="E21553" s="5">
        <f t="shared" si="358"/>
        <v>2010</v>
      </c>
      <c r="F21553" s="3" t="s">
        <v>3460</v>
      </c>
      <c r="G21553" s="6">
        <v>7654.2</v>
      </c>
      <c r="H21553" s="5">
        <v>4192</v>
      </c>
    </row>
    <row r="21554" spans="2:8" ht="15" customHeight="1" x14ac:dyDescent="0.4">
      <c r="B21554" s="3" t="s">
        <v>7</v>
      </c>
      <c r="C21554" s="3" t="s">
        <v>138</v>
      </c>
      <c r="D21554" s="4">
        <f>DATE(2010,11,17)</f>
        <v>40499</v>
      </c>
      <c r="E21554" s="5">
        <f t="shared" si="358"/>
        <v>2010</v>
      </c>
      <c r="F21554" s="3" t="s">
        <v>3460</v>
      </c>
      <c r="G21554" s="6">
        <v>4595.2</v>
      </c>
      <c r="H21554" s="5">
        <v>4211</v>
      </c>
    </row>
    <row r="21555" spans="2:8" ht="15" customHeight="1" x14ac:dyDescent="0.4">
      <c r="B21555" s="3" t="s">
        <v>7</v>
      </c>
      <c r="C21555" s="3" t="s">
        <v>138</v>
      </c>
      <c r="D21555" s="4">
        <f>DATE(2010,11,19)</f>
        <v>40501</v>
      </c>
      <c r="E21555" s="5">
        <f t="shared" si="358"/>
        <v>2010</v>
      </c>
      <c r="F21555" s="3" t="s">
        <v>3460</v>
      </c>
      <c r="G21555" s="6">
        <v>136.19999999999999</v>
      </c>
      <c r="H21555" s="5">
        <v>4221</v>
      </c>
    </row>
    <row r="21556" spans="2:8" ht="15" customHeight="1" x14ac:dyDescent="0.4">
      <c r="B21556" s="3" t="s">
        <v>7</v>
      </c>
      <c r="C21556" s="3" t="s">
        <v>138</v>
      </c>
      <c r="D21556" s="4">
        <f>DATE(2010,11,29)</f>
        <v>40511</v>
      </c>
      <c r="E21556" s="5">
        <f t="shared" si="358"/>
        <v>2010</v>
      </c>
      <c r="F21556" s="3" t="s">
        <v>3460</v>
      </c>
      <c r="G21556" s="6">
        <v>10942.72</v>
      </c>
      <c r="H21556" s="5">
        <v>4225</v>
      </c>
    </row>
    <row r="21557" spans="2:8" ht="15" customHeight="1" x14ac:dyDescent="0.4">
      <c r="B21557" s="3" t="s">
        <v>7</v>
      </c>
      <c r="C21557" s="3" t="s">
        <v>138</v>
      </c>
      <c r="D21557" s="4">
        <f>DATE(2010,11,29)</f>
        <v>40511</v>
      </c>
      <c r="E21557" s="5">
        <f t="shared" si="358"/>
        <v>2010</v>
      </c>
      <c r="F21557" s="3" t="s">
        <v>3460</v>
      </c>
      <c r="G21557" s="6">
        <v>2020</v>
      </c>
      <c r="H21557" s="5">
        <v>4223</v>
      </c>
    </row>
    <row r="21558" spans="2:8" ht="15" customHeight="1" x14ac:dyDescent="0.4">
      <c r="B21558" s="3" t="s">
        <v>7</v>
      </c>
      <c r="C21558" s="3" t="s">
        <v>138</v>
      </c>
      <c r="D21558" s="4">
        <f>DATE(2010,12,17)</f>
        <v>40529</v>
      </c>
      <c r="E21558" s="5">
        <f t="shared" si="358"/>
        <v>2010</v>
      </c>
      <c r="F21558" s="3" t="s">
        <v>3460</v>
      </c>
      <c r="G21558" s="6">
        <v>1792.62</v>
      </c>
      <c r="H21558" s="5">
        <v>4227</v>
      </c>
    </row>
    <row r="21559" spans="2:8" ht="15" customHeight="1" x14ac:dyDescent="0.4">
      <c r="B21559" s="3" t="s">
        <v>7</v>
      </c>
      <c r="C21559" s="3" t="s">
        <v>138</v>
      </c>
      <c r="D21559" s="4">
        <f>DATE(2011,1,4)</f>
        <v>40547</v>
      </c>
      <c r="E21559" s="5">
        <f t="shared" si="358"/>
        <v>2011</v>
      </c>
      <c r="F21559" s="3" t="s">
        <v>3460</v>
      </c>
      <c r="G21559" s="6">
        <v>323.95</v>
      </c>
      <c r="H21559" s="5">
        <v>4254</v>
      </c>
    </row>
    <row r="21560" spans="2:8" ht="15" customHeight="1" x14ac:dyDescent="0.4">
      <c r="B21560" s="3" t="s">
        <v>7</v>
      </c>
      <c r="C21560" s="3" t="s">
        <v>138</v>
      </c>
      <c r="D21560" s="4">
        <f>DATE(2011,1,17)</f>
        <v>40560</v>
      </c>
      <c r="E21560" s="5">
        <f t="shared" si="358"/>
        <v>2011</v>
      </c>
      <c r="F21560" s="3" t="s">
        <v>3460</v>
      </c>
      <c r="G21560" s="6">
        <v>85.5</v>
      </c>
      <c r="H21560" s="5">
        <v>4256</v>
      </c>
    </row>
    <row r="21561" spans="2:8" ht="15" customHeight="1" x14ac:dyDescent="0.4">
      <c r="B21561" s="3" t="s">
        <v>7</v>
      </c>
      <c r="C21561" s="3" t="s">
        <v>138</v>
      </c>
      <c r="D21561" s="4">
        <f>DATE(2011,1,17)</f>
        <v>40560</v>
      </c>
      <c r="E21561" s="5">
        <f t="shared" si="358"/>
        <v>2011</v>
      </c>
      <c r="F21561" s="3" t="s">
        <v>3460</v>
      </c>
      <c r="G21561" s="6">
        <v>360</v>
      </c>
      <c r="H21561" s="5">
        <v>4271</v>
      </c>
    </row>
    <row r="21562" spans="2:8" ht="15" customHeight="1" x14ac:dyDescent="0.4">
      <c r="B21562" s="3" t="s">
        <v>7</v>
      </c>
      <c r="C21562" s="3" t="s">
        <v>138</v>
      </c>
      <c r="D21562" s="4">
        <f>DATE(2011,1,17)</f>
        <v>40560</v>
      </c>
      <c r="E21562" s="5">
        <f t="shared" si="358"/>
        <v>2011</v>
      </c>
      <c r="F21562" s="3" t="s">
        <v>3460</v>
      </c>
      <c r="G21562" s="6">
        <v>2714.4</v>
      </c>
      <c r="H21562" s="5">
        <v>4255</v>
      </c>
    </row>
    <row r="21563" spans="2:8" ht="15" customHeight="1" x14ac:dyDescent="0.4">
      <c r="B21563" s="3" t="s">
        <v>7</v>
      </c>
      <c r="C21563" s="3" t="s">
        <v>138</v>
      </c>
      <c r="D21563" s="4">
        <f>DATE(2011,1,25)</f>
        <v>40568</v>
      </c>
      <c r="E21563" s="5">
        <f t="shared" si="358"/>
        <v>2011</v>
      </c>
      <c r="F21563" s="3" t="s">
        <v>3460</v>
      </c>
      <c r="G21563" s="6">
        <v>4549.75</v>
      </c>
      <c r="H21563" s="5">
        <v>4272</v>
      </c>
    </row>
    <row r="21564" spans="2:8" ht="15" customHeight="1" x14ac:dyDescent="0.4">
      <c r="B21564" s="3" t="s">
        <v>7</v>
      </c>
      <c r="C21564" s="3" t="s">
        <v>138</v>
      </c>
      <c r="D21564" s="4">
        <f>DATE(2011,1,25)</f>
        <v>40568</v>
      </c>
      <c r="E21564" s="5">
        <f t="shared" si="358"/>
        <v>2011</v>
      </c>
      <c r="F21564" s="3" t="s">
        <v>3460</v>
      </c>
      <c r="G21564" s="6">
        <v>274.5</v>
      </c>
      <c r="H21564" s="5">
        <v>4293</v>
      </c>
    </row>
    <row r="21565" spans="2:8" ht="15" customHeight="1" x14ac:dyDescent="0.4">
      <c r="B21565" s="3" t="s">
        <v>7</v>
      </c>
      <c r="C21565" s="3" t="s">
        <v>138</v>
      </c>
      <c r="D21565" s="4">
        <f>DATE(2011,1,25)</f>
        <v>40568</v>
      </c>
      <c r="E21565" s="5">
        <f t="shared" si="358"/>
        <v>2011</v>
      </c>
      <c r="F21565" s="3" t="s">
        <v>3460</v>
      </c>
      <c r="G21565" s="6">
        <v>995.9</v>
      </c>
      <c r="H21565" s="5">
        <v>4253</v>
      </c>
    </row>
    <row r="21566" spans="2:8" ht="15" customHeight="1" x14ac:dyDescent="0.4">
      <c r="B21566" s="3" t="s">
        <v>7</v>
      </c>
      <c r="C21566" s="3" t="s">
        <v>138</v>
      </c>
      <c r="D21566" s="4">
        <f>DATE(2011,1,28)</f>
        <v>40571</v>
      </c>
      <c r="E21566" s="5">
        <f t="shared" si="358"/>
        <v>2011</v>
      </c>
      <c r="F21566" s="3" t="s">
        <v>3460</v>
      </c>
      <c r="G21566" s="6">
        <v>895</v>
      </c>
      <c r="H21566" s="5">
        <v>4303</v>
      </c>
    </row>
    <row r="21567" spans="2:8" ht="15" customHeight="1" x14ac:dyDescent="0.4">
      <c r="B21567" s="3" t="s">
        <v>7</v>
      </c>
      <c r="C21567" s="3" t="s">
        <v>138</v>
      </c>
      <c r="D21567" s="4">
        <f>DATE(2011,2,15)</f>
        <v>40589</v>
      </c>
      <c r="E21567" s="5">
        <f t="shared" si="358"/>
        <v>2011</v>
      </c>
      <c r="F21567" s="3" t="s">
        <v>3460</v>
      </c>
      <c r="G21567" s="6">
        <v>1974.55</v>
      </c>
      <c r="H21567" s="5">
        <v>4306</v>
      </c>
    </row>
    <row r="21568" spans="2:8" ht="15" customHeight="1" x14ac:dyDescent="0.4">
      <c r="B21568" s="3" t="s">
        <v>7</v>
      </c>
      <c r="C21568" s="3" t="s">
        <v>138</v>
      </c>
      <c r="D21568" s="4">
        <f>DATE(2011,2,15)</f>
        <v>40589</v>
      </c>
      <c r="E21568" s="5">
        <f t="shared" si="358"/>
        <v>2011</v>
      </c>
      <c r="F21568" s="3" t="s">
        <v>3460</v>
      </c>
      <c r="G21568" s="6">
        <v>2714.4</v>
      </c>
      <c r="H21568" s="5">
        <v>4305</v>
      </c>
    </row>
    <row r="21569" spans="2:8" ht="15" customHeight="1" x14ac:dyDescent="0.4">
      <c r="B21569" s="3" t="s">
        <v>7</v>
      </c>
      <c r="C21569" s="3" t="s">
        <v>138</v>
      </c>
      <c r="D21569" s="4">
        <f>DATE(2011,2,23)</f>
        <v>40597</v>
      </c>
      <c r="E21569" s="5">
        <f t="shared" si="358"/>
        <v>2011</v>
      </c>
      <c r="F21569" s="3" t="s">
        <v>3460</v>
      </c>
      <c r="G21569" s="6">
        <v>102.6</v>
      </c>
      <c r="H21569" s="5">
        <v>4320</v>
      </c>
    </row>
    <row r="21570" spans="2:8" ht="15" customHeight="1" x14ac:dyDescent="0.4">
      <c r="B21570" s="3" t="s">
        <v>7</v>
      </c>
      <c r="C21570" s="3" t="s">
        <v>138</v>
      </c>
      <c r="D21570" s="4">
        <f>DATE(2011,2,23)</f>
        <v>40597</v>
      </c>
      <c r="E21570" s="5">
        <f t="shared" si="358"/>
        <v>2011</v>
      </c>
      <c r="F21570" s="3" t="s">
        <v>3460</v>
      </c>
      <c r="G21570" s="6">
        <v>2239.66</v>
      </c>
      <c r="H21570" s="5">
        <v>4304</v>
      </c>
    </row>
    <row r="21571" spans="2:8" ht="15" customHeight="1" x14ac:dyDescent="0.4">
      <c r="B21571" s="3" t="s">
        <v>7</v>
      </c>
      <c r="C21571" s="3" t="s">
        <v>138</v>
      </c>
      <c r="D21571" s="4">
        <f>DATE(2011,2,23)</f>
        <v>40597</v>
      </c>
      <c r="E21571" s="5">
        <f t="shared" ref="E21571:E21634" si="360">YEAR(D21571)</f>
        <v>2011</v>
      </c>
      <c r="F21571" s="3" t="s">
        <v>3460</v>
      </c>
      <c r="G21571" s="6">
        <v>411.44</v>
      </c>
      <c r="H21571" s="5">
        <v>4304</v>
      </c>
    </row>
    <row r="21572" spans="2:8" ht="15" customHeight="1" x14ac:dyDescent="0.4">
      <c r="B21572" s="3" t="s">
        <v>7</v>
      </c>
      <c r="C21572" s="3" t="s">
        <v>138</v>
      </c>
      <c r="D21572" s="4">
        <f>DATE(2011,3,24)</f>
        <v>40626</v>
      </c>
      <c r="E21572" s="5">
        <f t="shared" si="360"/>
        <v>2011</v>
      </c>
      <c r="F21572" s="3" t="s">
        <v>3460</v>
      </c>
      <c r="G21572" s="6">
        <v>1460.25</v>
      </c>
      <c r="H21572" s="5">
        <v>4347</v>
      </c>
    </row>
    <row r="21573" spans="2:8" ht="15" customHeight="1" x14ac:dyDescent="0.4">
      <c r="B21573" s="3" t="s">
        <v>7</v>
      </c>
      <c r="C21573" s="3" t="s">
        <v>138</v>
      </c>
      <c r="D21573" s="4">
        <f>DATE(2011,4,1)</f>
        <v>40634</v>
      </c>
      <c r="E21573" s="5">
        <f t="shared" si="360"/>
        <v>2011</v>
      </c>
      <c r="F21573" s="3" t="s">
        <v>3460</v>
      </c>
      <c r="G21573" s="6">
        <v>895</v>
      </c>
      <c r="H21573" s="5">
        <v>4378</v>
      </c>
    </row>
    <row r="21574" spans="2:8" ht="15" customHeight="1" x14ac:dyDescent="0.4">
      <c r="B21574" s="3" t="s">
        <v>7</v>
      </c>
      <c r="C21574" s="3" t="s">
        <v>138</v>
      </c>
      <c r="D21574" s="4">
        <f>DATE(2011,4,1)</f>
        <v>40634</v>
      </c>
      <c r="E21574" s="5">
        <f t="shared" si="360"/>
        <v>2011</v>
      </c>
      <c r="F21574" s="3" t="s">
        <v>3460</v>
      </c>
      <c r="G21574" s="6">
        <v>15308.4</v>
      </c>
      <c r="H21574" s="5">
        <v>4352</v>
      </c>
    </row>
    <row r="21575" spans="2:8" ht="15" customHeight="1" x14ac:dyDescent="0.4">
      <c r="B21575" s="3" t="s">
        <v>7</v>
      </c>
      <c r="C21575" s="3" t="s">
        <v>138</v>
      </c>
      <c r="D21575" s="4">
        <f>DATE(2011,4,1)</f>
        <v>40634</v>
      </c>
      <c r="E21575" s="5">
        <f t="shared" si="360"/>
        <v>2011</v>
      </c>
      <c r="F21575" s="3" t="s">
        <v>3460</v>
      </c>
      <c r="G21575" s="6">
        <v>61.41</v>
      </c>
      <c r="H21575" s="5">
        <v>4390</v>
      </c>
    </row>
    <row r="21576" spans="2:8" ht="15" customHeight="1" x14ac:dyDescent="0.4">
      <c r="B21576" s="3" t="s">
        <v>7</v>
      </c>
      <c r="C21576" s="3" t="s">
        <v>138</v>
      </c>
      <c r="D21576" s="4">
        <f>DATE(2011,4,19)</f>
        <v>40652</v>
      </c>
      <c r="E21576" s="5">
        <f t="shared" si="360"/>
        <v>2011</v>
      </c>
      <c r="F21576" s="3" t="s">
        <v>3460</v>
      </c>
      <c r="G21576" s="6">
        <v>1622.5</v>
      </c>
      <c r="H21576" s="5">
        <v>4383</v>
      </c>
    </row>
    <row r="21577" spans="2:8" ht="15" customHeight="1" x14ac:dyDescent="0.4">
      <c r="B21577" s="3" t="s">
        <v>7</v>
      </c>
      <c r="C21577" s="3" t="s">
        <v>138</v>
      </c>
      <c r="D21577" s="4">
        <f>DATE(2011,4,19)</f>
        <v>40652</v>
      </c>
      <c r="E21577" s="5">
        <f t="shared" si="360"/>
        <v>2011</v>
      </c>
      <c r="F21577" s="3" t="s">
        <v>3460</v>
      </c>
      <c r="G21577" s="6">
        <v>1974.55</v>
      </c>
      <c r="H21577" s="5">
        <v>4377</v>
      </c>
    </row>
    <row r="21578" spans="2:8" ht="15" customHeight="1" x14ac:dyDescent="0.4">
      <c r="B21578" s="3" t="s">
        <v>7</v>
      </c>
      <c r="C21578" s="3" t="s">
        <v>138</v>
      </c>
      <c r="D21578" s="4">
        <f>DATE(2011,5,4)</f>
        <v>40667</v>
      </c>
      <c r="E21578" s="5">
        <f t="shared" si="360"/>
        <v>2011</v>
      </c>
      <c r="F21578" s="3" t="s">
        <v>3460</v>
      </c>
      <c r="G21578" s="6">
        <v>2714.4</v>
      </c>
      <c r="H21578" s="5">
        <v>4419</v>
      </c>
    </row>
    <row r="21579" spans="2:8" ht="15" customHeight="1" x14ac:dyDescent="0.4">
      <c r="B21579" s="3" t="s">
        <v>7</v>
      </c>
      <c r="C21579" s="3" t="s">
        <v>138</v>
      </c>
      <c r="D21579" s="4">
        <f>DATE(2011,5,4)</f>
        <v>40667</v>
      </c>
      <c r="E21579" s="5">
        <f t="shared" si="360"/>
        <v>2011</v>
      </c>
      <c r="F21579" s="3" t="s">
        <v>3460</v>
      </c>
      <c r="G21579" s="6">
        <v>3619.2</v>
      </c>
      <c r="H21579" s="5">
        <v>4409</v>
      </c>
    </row>
    <row r="21580" spans="2:8" ht="15" customHeight="1" x14ac:dyDescent="0.4">
      <c r="B21580" s="3" t="s">
        <v>7</v>
      </c>
      <c r="C21580" s="3" t="s">
        <v>138</v>
      </c>
      <c r="D21580" s="4">
        <f>DATE(2011,5,4)</f>
        <v>40667</v>
      </c>
      <c r="E21580" s="5">
        <f t="shared" si="360"/>
        <v>2011</v>
      </c>
      <c r="F21580" s="3" t="s">
        <v>3460</v>
      </c>
      <c r="G21580" s="6">
        <v>2136.8000000000002</v>
      </c>
      <c r="H21580" s="5">
        <v>4403</v>
      </c>
    </row>
    <row r="21581" spans="2:8" ht="15" customHeight="1" x14ac:dyDescent="0.4">
      <c r="B21581" s="3" t="s">
        <v>7</v>
      </c>
      <c r="C21581" s="3" t="s">
        <v>138</v>
      </c>
      <c r="D21581" s="4">
        <f>DATE(2011,5,4)</f>
        <v>40667</v>
      </c>
      <c r="E21581" s="5">
        <f t="shared" si="360"/>
        <v>2011</v>
      </c>
      <c r="F21581" s="3" t="s">
        <v>3460</v>
      </c>
      <c r="G21581" s="6">
        <v>796.72</v>
      </c>
      <c r="H21581" s="5">
        <v>4385</v>
      </c>
    </row>
    <row r="21582" spans="2:8" ht="15" customHeight="1" x14ac:dyDescent="0.4">
      <c r="B21582" s="3" t="s">
        <v>7</v>
      </c>
      <c r="C21582" s="3" t="s">
        <v>138</v>
      </c>
      <c r="D21582" s="4">
        <f>DATE(2011,5,4)</f>
        <v>40667</v>
      </c>
      <c r="E21582" s="5">
        <f t="shared" si="360"/>
        <v>2011</v>
      </c>
      <c r="F21582" s="3" t="s">
        <v>3460</v>
      </c>
      <c r="G21582" s="6">
        <v>895</v>
      </c>
      <c r="H21582" s="5">
        <v>4402</v>
      </c>
    </row>
    <row r="21583" spans="2:8" ht="15" customHeight="1" x14ac:dyDescent="0.4">
      <c r="B21583" s="3" t="s">
        <v>7</v>
      </c>
      <c r="C21583" s="3" t="s">
        <v>138</v>
      </c>
      <c r="D21583" s="4">
        <f>DATE(2011,5,11)</f>
        <v>40674</v>
      </c>
      <c r="E21583" s="5">
        <f t="shared" si="360"/>
        <v>2011</v>
      </c>
      <c r="F21583" s="3" t="s">
        <v>3460</v>
      </c>
      <c r="G21583" s="6">
        <v>1790</v>
      </c>
      <c r="H21583" s="5">
        <v>4445</v>
      </c>
    </row>
    <row r="21584" spans="2:8" ht="15" customHeight="1" x14ac:dyDescent="0.4">
      <c r="B21584" s="3" t="s">
        <v>7</v>
      </c>
      <c r="C21584" s="3" t="s">
        <v>138</v>
      </c>
      <c r="D21584" s="4">
        <f>DATE(2011,5,13)</f>
        <v>40676</v>
      </c>
      <c r="E21584" s="5">
        <f t="shared" si="360"/>
        <v>2011</v>
      </c>
      <c r="F21584" s="3" t="s">
        <v>3460</v>
      </c>
      <c r="G21584" s="6">
        <v>4554.3</v>
      </c>
      <c r="H21584" s="5">
        <v>4449</v>
      </c>
    </row>
    <row r="21585" spans="2:8" ht="15" customHeight="1" x14ac:dyDescent="0.4">
      <c r="B21585" s="3" t="s">
        <v>7</v>
      </c>
      <c r="C21585" s="3" t="s">
        <v>138</v>
      </c>
      <c r="D21585" s="4">
        <f>DATE(2011,6,8)</f>
        <v>40702</v>
      </c>
      <c r="E21585" s="5">
        <f t="shared" si="360"/>
        <v>2011</v>
      </c>
      <c r="F21585" s="3" t="s">
        <v>3460</v>
      </c>
      <c r="G21585" s="6">
        <v>9133.1</v>
      </c>
      <c r="H21585" s="5">
        <v>4433</v>
      </c>
    </row>
    <row r="21586" spans="2:8" ht="15" customHeight="1" x14ac:dyDescent="0.4">
      <c r="B21586" s="3" t="s">
        <v>7</v>
      </c>
      <c r="C21586" s="3" t="s">
        <v>138</v>
      </c>
      <c r="D21586" s="4">
        <f>DATE(2011,6,8)</f>
        <v>40702</v>
      </c>
      <c r="E21586" s="5">
        <f t="shared" si="360"/>
        <v>2011</v>
      </c>
      <c r="F21586" s="3" t="s">
        <v>3460</v>
      </c>
      <c r="G21586" s="6">
        <v>1622.5</v>
      </c>
      <c r="H21586" s="5">
        <v>4450</v>
      </c>
    </row>
    <row r="21587" spans="2:8" ht="15" customHeight="1" x14ac:dyDescent="0.4">
      <c r="B21587" s="3" t="s">
        <v>7</v>
      </c>
      <c r="C21587" s="3" t="s">
        <v>138</v>
      </c>
      <c r="D21587" s="4">
        <f>DATE(2011,6,16)</f>
        <v>40710</v>
      </c>
      <c r="E21587" s="5">
        <f t="shared" si="360"/>
        <v>2011</v>
      </c>
      <c r="F21587" s="3" t="s">
        <v>3460</v>
      </c>
      <c r="G21587" s="6">
        <v>1622.5</v>
      </c>
      <c r="H21587" s="5">
        <v>4483</v>
      </c>
    </row>
    <row r="21588" spans="2:8" ht="15" customHeight="1" x14ac:dyDescent="0.4">
      <c r="B21588" s="3" t="s">
        <v>7</v>
      </c>
      <c r="C21588" s="3" t="s">
        <v>138</v>
      </c>
      <c r="D21588" s="4">
        <f>DATE(2011,7,14)</f>
        <v>40738</v>
      </c>
      <c r="E21588" s="5">
        <f t="shared" si="360"/>
        <v>2011</v>
      </c>
      <c r="F21588" s="3" t="s">
        <v>3460</v>
      </c>
      <c r="G21588" s="6">
        <v>170.5</v>
      </c>
      <c r="H21588" s="5">
        <v>4524</v>
      </c>
    </row>
    <row r="21589" spans="2:8" ht="15" customHeight="1" x14ac:dyDescent="0.4">
      <c r="B21589" s="3" t="s">
        <v>7</v>
      </c>
      <c r="C21589" s="3" t="s">
        <v>138</v>
      </c>
      <c r="D21589" s="4">
        <f>DATE(2011,8,4)</f>
        <v>40759</v>
      </c>
      <c r="E21589" s="5">
        <f t="shared" si="360"/>
        <v>2011</v>
      </c>
      <c r="F21589" s="3" t="s">
        <v>3460</v>
      </c>
      <c r="G21589" s="6">
        <v>772.56</v>
      </c>
      <c r="H21589" s="5">
        <v>4522</v>
      </c>
    </row>
    <row r="21590" spans="2:8" ht="15" customHeight="1" x14ac:dyDescent="0.4">
      <c r="B21590" s="3" t="s">
        <v>7</v>
      </c>
      <c r="C21590" s="3" t="s">
        <v>138</v>
      </c>
      <c r="D21590" s="4">
        <f>DATE(2011,8,19)</f>
        <v>40774</v>
      </c>
      <c r="E21590" s="5">
        <f t="shared" si="360"/>
        <v>2011</v>
      </c>
      <c r="F21590" s="3" t="s">
        <v>3460</v>
      </c>
      <c r="G21590" s="6">
        <v>6732</v>
      </c>
      <c r="H21590" s="5">
        <v>4530</v>
      </c>
    </row>
    <row r="21591" spans="2:8" ht="15" customHeight="1" x14ac:dyDescent="0.4">
      <c r="B21591" s="3" t="s">
        <v>7</v>
      </c>
      <c r="C21591" s="3" t="s">
        <v>138</v>
      </c>
      <c r="D21591" s="4">
        <f>DATE(2011,8,19)</f>
        <v>40774</v>
      </c>
      <c r="E21591" s="5">
        <f t="shared" si="360"/>
        <v>2011</v>
      </c>
      <c r="F21591" s="3" t="s">
        <v>3460</v>
      </c>
      <c r="G21591" s="6">
        <v>2944.8</v>
      </c>
      <c r="H21591" s="5">
        <v>4588</v>
      </c>
    </row>
    <row r="21592" spans="2:8" ht="15" customHeight="1" x14ac:dyDescent="0.4">
      <c r="B21592" s="3" t="s">
        <v>7</v>
      </c>
      <c r="C21592" s="3" t="s">
        <v>138</v>
      </c>
      <c r="D21592" s="4">
        <f>DATE(2011,8,24)</f>
        <v>40779</v>
      </c>
      <c r="E21592" s="5">
        <f t="shared" si="360"/>
        <v>2011</v>
      </c>
      <c r="F21592" s="3" t="s">
        <v>3460</v>
      </c>
      <c r="G21592" s="6">
        <v>2251</v>
      </c>
      <c r="H21592" s="5">
        <v>4568</v>
      </c>
    </row>
    <row r="21593" spans="2:8" ht="15" customHeight="1" x14ac:dyDescent="0.4">
      <c r="B21593" s="3" t="s">
        <v>7</v>
      </c>
      <c r="C21593" s="3" t="s">
        <v>138</v>
      </c>
      <c r="D21593" s="4">
        <f>DATE(2011,8,24)</f>
        <v>40779</v>
      </c>
      <c r="E21593" s="5">
        <f t="shared" si="360"/>
        <v>2011</v>
      </c>
      <c r="F21593" s="3" t="s">
        <v>3460</v>
      </c>
      <c r="G21593" s="6">
        <v>247.5</v>
      </c>
      <c r="H21593" s="5">
        <v>4564</v>
      </c>
    </row>
    <row r="21594" spans="2:8" ht="15" customHeight="1" x14ac:dyDescent="0.4">
      <c r="B21594" s="3" t="s">
        <v>7</v>
      </c>
      <c r="C21594" s="3" t="s">
        <v>138</v>
      </c>
      <c r="D21594" s="4">
        <f>DATE(2011,9,2)</f>
        <v>40788</v>
      </c>
      <c r="E21594" s="5">
        <f t="shared" si="360"/>
        <v>2011</v>
      </c>
      <c r="F21594" s="3" t="s">
        <v>3460</v>
      </c>
      <c r="G21594" s="6">
        <v>2651.1</v>
      </c>
      <c r="H21594" s="5">
        <v>4623</v>
      </c>
    </row>
    <row r="21595" spans="2:8" ht="15" customHeight="1" x14ac:dyDescent="0.4">
      <c r="B21595" s="3" t="s">
        <v>7</v>
      </c>
      <c r="C21595" s="3" t="s">
        <v>138</v>
      </c>
      <c r="D21595" s="4">
        <f>DATE(2011,9,2)</f>
        <v>40788</v>
      </c>
      <c r="E21595" s="5">
        <f t="shared" si="360"/>
        <v>2011</v>
      </c>
      <c r="F21595" s="3" t="s">
        <v>3460</v>
      </c>
      <c r="G21595" s="6">
        <v>3305.75</v>
      </c>
      <c r="H21595" s="5">
        <v>4587</v>
      </c>
    </row>
    <row r="21596" spans="2:8" ht="15" customHeight="1" x14ac:dyDescent="0.4">
      <c r="B21596" s="3" t="s">
        <v>7</v>
      </c>
      <c r="C21596" s="3" t="s">
        <v>138</v>
      </c>
      <c r="D21596" s="4">
        <f>DATE(2011,9,12)</f>
        <v>40798</v>
      </c>
      <c r="E21596" s="5">
        <f t="shared" si="360"/>
        <v>2011</v>
      </c>
      <c r="F21596" s="3" t="s">
        <v>3460</v>
      </c>
      <c r="G21596" s="6">
        <v>189</v>
      </c>
      <c r="H21596" s="5">
        <v>4622</v>
      </c>
    </row>
    <row r="21597" spans="2:8" ht="15" customHeight="1" x14ac:dyDescent="0.4">
      <c r="B21597" s="3" t="s">
        <v>7</v>
      </c>
      <c r="C21597" s="3" t="s">
        <v>138</v>
      </c>
      <c r="D21597" s="4">
        <f>DATE(2011,9,12)</f>
        <v>40798</v>
      </c>
      <c r="E21597" s="5">
        <f t="shared" si="360"/>
        <v>2011</v>
      </c>
      <c r="F21597" s="3" t="s">
        <v>3460</v>
      </c>
      <c r="G21597" s="6">
        <v>537.29999999999995</v>
      </c>
      <c r="H21597" s="5">
        <v>4563</v>
      </c>
    </row>
    <row r="21598" spans="2:8" ht="15" customHeight="1" x14ac:dyDescent="0.4">
      <c r="B21598" s="3" t="s">
        <v>7</v>
      </c>
      <c r="C21598" s="3" t="s">
        <v>138</v>
      </c>
      <c r="D21598" s="4">
        <f>DATE(2011,9,12)</f>
        <v>40798</v>
      </c>
      <c r="E21598" s="5">
        <f t="shared" si="360"/>
        <v>2011</v>
      </c>
      <c r="F21598" s="3" t="s">
        <v>3460</v>
      </c>
      <c r="G21598" s="6">
        <v>1622.5</v>
      </c>
      <c r="H21598" s="5">
        <v>4623</v>
      </c>
    </row>
    <row r="21599" spans="2:8" ht="15" customHeight="1" x14ac:dyDescent="0.4">
      <c r="B21599" s="3" t="s">
        <v>7</v>
      </c>
      <c r="C21599" s="3" t="s">
        <v>138</v>
      </c>
      <c r="D21599" s="4">
        <f>DATE(2011,10,19)</f>
        <v>40835</v>
      </c>
      <c r="E21599" s="5">
        <f t="shared" si="360"/>
        <v>2011</v>
      </c>
      <c r="F21599" s="3" t="s">
        <v>3460</v>
      </c>
      <c r="G21599" s="6">
        <v>1028.5999999999999</v>
      </c>
      <c r="H21599" s="5">
        <v>4551</v>
      </c>
    </row>
    <row r="21600" spans="2:8" ht="15" customHeight="1" x14ac:dyDescent="0.4">
      <c r="B21600" s="3" t="s">
        <v>7</v>
      </c>
      <c r="C21600" s="3" t="s">
        <v>138</v>
      </c>
      <c r="D21600" s="4">
        <f>DATE(2011,10,19)</f>
        <v>40835</v>
      </c>
      <c r="E21600" s="5">
        <f t="shared" si="360"/>
        <v>2011</v>
      </c>
      <c r="F21600" s="3" t="s">
        <v>3460</v>
      </c>
      <c r="G21600" s="6">
        <v>5226.3</v>
      </c>
      <c r="H21600" s="5">
        <v>4630</v>
      </c>
    </row>
    <row r="21601" spans="2:8" ht="15" customHeight="1" x14ac:dyDescent="0.4">
      <c r="B21601" s="3" t="s">
        <v>7</v>
      </c>
      <c r="C21601" s="3" t="s">
        <v>138</v>
      </c>
      <c r="D21601" s="4">
        <f>DATE(2011,10,19)</f>
        <v>40835</v>
      </c>
      <c r="E21601" s="5">
        <f t="shared" si="360"/>
        <v>2011</v>
      </c>
      <c r="F21601" s="3" t="s">
        <v>3460</v>
      </c>
      <c r="G21601" s="6">
        <v>1028.5999999999999</v>
      </c>
      <c r="H21601" s="5">
        <v>4631</v>
      </c>
    </row>
    <row r="21602" spans="2:8" ht="15" customHeight="1" x14ac:dyDescent="0.4">
      <c r="B21602" s="3" t="s">
        <v>7</v>
      </c>
      <c r="C21602" s="3" t="s">
        <v>138</v>
      </c>
      <c r="D21602" s="4">
        <f>DATE(2011,10,19)</f>
        <v>40835</v>
      </c>
      <c r="E21602" s="5">
        <f t="shared" si="360"/>
        <v>2011</v>
      </c>
      <c r="F21602" s="3" t="s">
        <v>3460</v>
      </c>
      <c r="G21602" s="6">
        <v>188.1</v>
      </c>
      <c r="H21602" s="5">
        <v>4632</v>
      </c>
    </row>
    <row r="21603" spans="2:8" ht="15" customHeight="1" x14ac:dyDescent="0.4">
      <c r="B21603" s="3" t="s">
        <v>7</v>
      </c>
      <c r="C21603" s="3" t="s">
        <v>138</v>
      </c>
      <c r="D21603" s="4">
        <f>DATE(2011,10,19)</f>
        <v>40835</v>
      </c>
      <c r="E21603" s="5">
        <f t="shared" si="360"/>
        <v>2011</v>
      </c>
      <c r="F21603" s="3" t="s">
        <v>3460</v>
      </c>
      <c r="G21603" s="6">
        <v>2020</v>
      </c>
      <c r="H21603" s="5">
        <v>4646</v>
      </c>
    </row>
    <row r="21604" spans="2:8" ht="15" customHeight="1" x14ac:dyDescent="0.4">
      <c r="B21604" s="3" t="s">
        <v>7</v>
      </c>
      <c r="C21604" s="3" t="s">
        <v>138</v>
      </c>
      <c r="D21604" s="4">
        <f>DATE(2011,10,26)</f>
        <v>40842</v>
      </c>
      <c r="E21604" s="5">
        <f t="shared" si="360"/>
        <v>2011</v>
      </c>
      <c r="F21604" s="3" t="s">
        <v>3460</v>
      </c>
      <c r="G21604" s="6">
        <v>7651.2</v>
      </c>
      <c r="H21604" s="5">
        <v>4648</v>
      </c>
    </row>
    <row r="21605" spans="2:8" ht="15" customHeight="1" x14ac:dyDescent="0.4">
      <c r="B21605" s="3" t="s">
        <v>7</v>
      </c>
      <c r="C21605" s="3" t="s">
        <v>138</v>
      </c>
      <c r="D21605" s="4">
        <f>DATE(2011,10,28)</f>
        <v>40844</v>
      </c>
      <c r="E21605" s="5">
        <f t="shared" si="360"/>
        <v>2011</v>
      </c>
      <c r="F21605" s="3" t="s">
        <v>3460</v>
      </c>
      <c r="G21605" s="6">
        <v>5779.3</v>
      </c>
      <c r="H21605" s="5">
        <v>4647</v>
      </c>
    </row>
    <row r="21606" spans="2:8" ht="15" customHeight="1" x14ac:dyDescent="0.4">
      <c r="B21606" s="3" t="s">
        <v>7</v>
      </c>
      <c r="C21606" s="3" t="s">
        <v>138</v>
      </c>
      <c r="D21606" s="4">
        <f>DATE(2011,11,18)</f>
        <v>40865</v>
      </c>
      <c r="E21606" s="5">
        <f t="shared" si="360"/>
        <v>2011</v>
      </c>
      <c r="F21606" s="3" t="s">
        <v>3460</v>
      </c>
      <c r="G21606" s="6">
        <v>895</v>
      </c>
      <c r="H21606" s="5">
        <v>4643</v>
      </c>
    </row>
    <row r="21607" spans="2:8" ht="15" customHeight="1" x14ac:dyDescent="0.4">
      <c r="B21607" s="3" t="s">
        <v>7</v>
      </c>
      <c r="C21607" s="3" t="s">
        <v>138</v>
      </c>
      <c r="D21607" s="4">
        <f>DATE(2011,11,18)</f>
        <v>40865</v>
      </c>
      <c r="E21607" s="5">
        <f t="shared" si="360"/>
        <v>2011</v>
      </c>
      <c r="F21607" s="3" t="s">
        <v>3460</v>
      </c>
      <c r="G21607" s="6">
        <v>345.93</v>
      </c>
      <c r="H21607" s="5">
        <v>4716</v>
      </c>
    </row>
    <row r="21608" spans="2:8" ht="15" customHeight="1" x14ac:dyDescent="0.4">
      <c r="B21608" s="3" t="s">
        <v>7</v>
      </c>
      <c r="C21608" s="3" t="s">
        <v>138</v>
      </c>
      <c r="D21608" s="4">
        <f>DATE(2011,12,2)</f>
        <v>40879</v>
      </c>
      <c r="E21608" s="5">
        <f t="shared" si="360"/>
        <v>2011</v>
      </c>
      <c r="F21608" s="3" t="s">
        <v>3460</v>
      </c>
      <c r="G21608" s="6">
        <v>1879.5</v>
      </c>
      <c r="H21608" s="5">
        <v>4732</v>
      </c>
    </row>
    <row r="21609" spans="2:8" ht="15" customHeight="1" x14ac:dyDescent="0.4">
      <c r="B21609" s="3" t="s">
        <v>7</v>
      </c>
      <c r="C21609" s="3" t="s">
        <v>138</v>
      </c>
      <c r="D21609" s="4">
        <f>DATE(2011,12,19)</f>
        <v>40896</v>
      </c>
      <c r="E21609" s="5">
        <f t="shared" si="360"/>
        <v>2011</v>
      </c>
      <c r="F21609" s="3" t="s">
        <v>3460</v>
      </c>
      <c r="G21609" s="6">
        <v>1622.5</v>
      </c>
      <c r="H21609" s="5">
        <v>4773</v>
      </c>
    </row>
    <row r="21610" spans="2:8" ht="15" customHeight="1" x14ac:dyDescent="0.4">
      <c r="B21610" s="3" t="s">
        <v>7</v>
      </c>
      <c r="C21610" s="3" t="s">
        <v>138</v>
      </c>
      <c r="D21610" s="4">
        <f>DATE(2012,1,6)</f>
        <v>40914</v>
      </c>
      <c r="E21610" s="5">
        <f t="shared" si="360"/>
        <v>2012</v>
      </c>
      <c r="F21610" s="3" t="s">
        <v>3460</v>
      </c>
      <c r="G21610" s="6">
        <v>2020</v>
      </c>
      <c r="H21610" s="5">
        <v>4766</v>
      </c>
    </row>
    <row r="21611" spans="2:8" ht="15" customHeight="1" x14ac:dyDescent="0.4">
      <c r="B21611" s="3" t="s">
        <v>7</v>
      </c>
      <c r="C21611" s="3" t="s">
        <v>138</v>
      </c>
      <c r="D21611" s="4">
        <f>DATE(2012,1,13)</f>
        <v>40921</v>
      </c>
      <c r="E21611" s="5">
        <f t="shared" si="360"/>
        <v>2012</v>
      </c>
      <c r="F21611" s="3" t="s">
        <v>3460</v>
      </c>
      <c r="G21611" s="6">
        <v>1961</v>
      </c>
      <c r="H21611" s="5">
        <v>4767</v>
      </c>
    </row>
    <row r="21612" spans="2:8" ht="15" customHeight="1" x14ac:dyDescent="0.4">
      <c r="B21612" s="3" t="s">
        <v>7</v>
      </c>
      <c r="C21612" s="3" t="s">
        <v>138</v>
      </c>
      <c r="D21612" s="4">
        <f>DATE(2012,1,13)</f>
        <v>40921</v>
      </c>
      <c r="E21612" s="5">
        <f t="shared" si="360"/>
        <v>2012</v>
      </c>
      <c r="F21612" s="3" t="s">
        <v>3460</v>
      </c>
      <c r="G21612" s="6">
        <v>1622.5</v>
      </c>
      <c r="H21612" s="5">
        <v>4766</v>
      </c>
    </row>
    <row r="21613" spans="2:8" ht="15" customHeight="1" x14ac:dyDescent="0.4">
      <c r="B21613" s="3" t="s">
        <v>7</v>
      </c>
      <c r="C21613" s="3" t="s">
        <v>138</v>
      </c>
      <c r="D21613" s="4">
        <f>DATE(2012,1,23)</f>
        <v>40931</v>
      </c>
      <c r="E21613" s="5">
        <f t="shared" si="360"/>
        <v>2012</v>
      </c>
      <c r="F21613" s="3" t="s">
        <v>3460</v>
      </c>
      <c r="G21613" s="6">
        <v>5820.2</v>
      </c>
      <c r="H21613" s="5">
        <v>4786</v>
      </c>
    </row>
    <row r="21614" spans="2:8" ht="15" customHeight="1" x14ac:dyDescent="0.4">
      <c r="B21614" s="3" t="s">
        <v>7</v>
      </c>
      <c r="C21614" s="3" t="s">
        <v>138</v>
      </c>
      <c r="D21614" s="4">
        <f>DATE(2012,1,23)</f>
        <v>40931</v>
      </c>
      <c r="E21614" s="5">
        <f t="shared" si="360"/>
        <v>2012</v>
      </c>
      <c r="F21614" s="3" t="s">
        <v>3460</v>
      </c>
      <c r="G21614" s="6">
        <v>2714.4</v>
      </c>
      <c r="H21614" s="5">
        <v>4769</v>
      </c>
    </row>
    <row r="21615" spans="2:8" ht="15" customHeight="1" x14ac:dyDescent="0.4">
      <c r="B21615" s="3" t="s">
        <v>7</v>
      </c>
      <c r="C21615" s="3" t="s">
        <v>138</v>
      </c>
      <c r="D21615" s="4">
        <f>DATE(2012,2,6)</f>
        <v>40945</v>
      </c>
      <c r="E21615" s="5">
        <f t="shared" si="360"/>
        <v>2012</v>
      </c>
      <c r="F21615" s="3" t="s">
        <v>3460</v>
      </c>
      <c r="G21615" s="6">
        <v>4197.7</v>
      </c>
      <c r="H21615" s="5">
        <v>4812</v>
      </c>
    </row>
    <row r="21616" spans="2:8" ht="15" customHeight="1" x14ac:dyDescent="0.4">
      <c r="B21616" s="3" t="s">
        <v>7</v>
      </c>
      <c r="C21616" s="3" t="s">
        <v>138</v>
      </c>
      <c r="D21616" s="4">
        <f>DATE(2012,2,6)</f>
        <v>40945</v>
      </c>
      <c r="E21616" s="5">
        <f t="shared" si="360"/>
        <v>2012</v>
      </c>
      <c r="F21616" s="3" t="s">
        <v>3460</v>
      </c>
      <c r="G21616" s="6">
        <v>3619.2</v>
      </c>
      <c r="H21616" s="5">
        <v>4809</v>
      </c>
    </row>
    <row r="21617" spans="2:8" ht="15" customHeight="1" x14ac:dyDescent="0.4">
      <c r="B21617" s="3" t="s">
        <v>7</v>
      </c>
      <c r="C21617" s="3" t="s">
        <v>138</v>
      </c>
      <c r="D21617" s="4">
        <f>DATE(2012,3,2)</f>
        <v>40970</v>
      </c>
      <c r="E21617" s="5">
        <f t="shared" si="360"/>
        <v>2012</v>
      </c>
      <c r="F21617" s="3" t="s">
        <v>3460</v>
      </c>
      <c r="G21617" s="6">
        <v>24354.400000000001</v>
      </c>
      <c r="H21617" s="5">
        <v>4792</v>
      </c>
    </row>
    <row r="21618" spans="2:8" ht="15" customHeight="1" x14ac:dyDescent="0.4">
      <c r="B21618" s="3" t="s">
        <v>7</v>
      </c>
      <c r="C21618" s="3" t="s">
        <v>138</v>
      </c>
      <c r="D21618" s="4">
        <f>DATE(2012,3,16)</f>
        <v>40984</v>
      </c>
      <c r="E21618" s="5">
        <f t="shared" si="360"/>
        <v>2012</v>
      </c>
      <c r="F21618" s="3" t="s">
        <v>3460</v>
      </c>
      <c r="G21618" s="6">
        <v>306.89999999999998</v>
      </c>
      <c r="H21618" s="5">
        <v>4878</v>
      </c>
    </row>
    <row r="21619" spans="2:8" ht="15" customHeight="1" x14ac:dyDescent="0.4">
      <c r="B21619" s="3" t="s">
        <v>7</v>
      </c>
      <c r="C21619" s="3" t="s">
        <v>138</v>
      </c>
      <c r="D21619" s="4">
        <f>DATE(2012,3,16)</f>
        <v>40984</v>
      </c>
      <c r="E21619" s="5">
        <f t="shared" si="360"/>
        <v>2012</v>
      </c>
      <c r="F21619" s="3" t="s">
        <v>3460</v>
      </c>
      <c r="G21619" s="6">
        <v>1790</v>
      </c>
      <c r="H21619" s="5">
        <v>4882</v>
      </c>
    </row>
    <row r="21620" spans="2:8" ht="15" customHeight="1" x14ac:dyDescent="0.4">
      <c r="B21620" s="3" t="s">
        <v>7</v>
      </c>
      <c r="C21620" s="3" t="s">
        <v>138</v>
      </c>
      <c r="D21620" s="4">
        <f>DATE(2012,3,21)</f>
        <v>40989</v>
      </c>
      <c r="E21620" s="5">
        <f t="shared" si="360"/>
        <v>2012</v>
      </c>
      <c r="F21620" s="3" t="s">
        <v>3460</v>
      </c>
      <c r="G21620" s="6">
        <v>1647.96</v>
      </c>
      <c r="H21620" s="5">
        <v>4900</v>
      </c>
    </row>
    <row r="21621" spans="2:8" ht="15" customHeight="1" x14ac:dyDescent="0.4">
      <c r="B21621" s="3" t="s">
        <v>7</v>
      </c>
      <c r="C21621" s="3" t="s">
        <v>138</v>
      </c>
      <c r="D21621" s="4">
        <f>DATE(2012,3,21)</f>
        <v>40989</v>
      </c>
      <c r="E21621" s="5">
        <f t="shared" si="360"/>
        <v>2012</v>
      </c>
      <c r="F21621" s="3" t="s">
        <v>3460</v>
      </c>
      <c r="G21621" s="6">
        <v>4712</v>
      </c>
      <c r="H21621" s="5">
        <v>4873</v>
      </c>
    </row>
    <row r="21622" spans="2:8" ht="15" customHeight="1" x14ac:dyDescent="0.4">
      <c r="B21622" s="3" t="s">
        <v>7</v>
      </c>
      <c r="C21622" s="3" t="s">
        <v>138</v>
      </c>
      <c r="D21622" s="4">
        <f>DATE(2012,3,21)</f>
        <v>40989</v>
      </c>
      <c r="E21622" s="5">
        <f t="shared" si="360"/>
        <v>2012</v>
      </c>
      <c r="F21622" s="3" t="s">
        <v>3460</v>
      </c>
      <c r="G21622" s="6">
        <v>3089.5</v>
      </c>
      <c r="H21622" s="5">
        <v>4874</v>
      </c>
    </row>
    <row r="21623" spans="2:8" ht="15" customHeight="1" x14ac:dyDescent="0.4">
      <c r="B21623" s="3" t="s">
        <v>7</v>
      </c>
      <c r="C21623" s="3" t="s">
        <v>138</v>
      </c>
      <c r="D21623" s="4">
        <f>DATE(2012,3,28)</f>
        <v>40996</v>
      </c>
      <c r="E21623" s="5">
        <f t="shared" si="360"/>
        <v>2012</v>
      </c>
      <c r="F21623" s="3" t="s">
        <v>3460</v>
      </c>
      <c r="G21623" s="6">
        <v>691.86</v>
      </c>
      <c r="H21623" s="5">
        <v>4913</v>
      </c>
    </row>
    <row r="21624" spans="2:8" ht="15" customHeight="1" x14ac:dyDescent="0.4">
      <c r="B21624" s="3" t="s">
        <v>7</v>
      </c>
      <c r="C21624" s="3" t="s">
        <v>138</v>
      </c>
      <c r="D21624" s="4">
        <f>DATE(2012,3,28)</f>
        <v>40996</v>
      </c>
      <c r="E21624" s="5">
        <f t="shared" si="360"/>
        <v>2012</v>
      </c>
      <c r="F21624" s="3" t="s">
        <v>3460</v>
      </c>
      <c r="G21624" s="6">
        <v>345.93</v>
      </c>
      <c r="H21624" s="5">
        <v>4895</v>
      </c>
    </row>
    <row r="21625" spans="2:8" ht="15" customHeight="1" x14ac:dyDescent="0.4">
      <c r="B21625" s="3" t="s">
        <v>7</v>
      </c>
      <c r="C21625" s="3" t="s">
        <v>138</v>
      </c>
      <c r="D21625" s="4">
        <f>DATE(2012,4,9)</f>
        <v>41008</v>
      </c>
      <c r="E21625" s="5">
        <f t="shared" si="360"/>
        <v>2012</v>
      </c>
      <c r="F21625" s="3" t="s">
        <v>3460</v>
      </c>
      <c r="G21625" s="6">
        <v>630</v>
      </c>
      <c r="H21625" s="5">
        <v>4969</v>
      </c>
    </row>
    <row r="21626" spans="2:8" ht="15" customHeight="1" x14ac:dyDescent="0.4">
      <c r="B21626" s="3" t="s">
        <v>7</v>
      </c>
      <c r="C21626" s="3" t="s">
        <v>138</v>
      </c>
      <c r="D21626" s="4">
        <f>DATE(2012,4,18)</f>
        <v>41017</v>
      </c>
      <c r="E21626" s="5">
        <f t="shared" si="360"/>
        <v>2012</v>
      </c>
      <c r="F21626" s="3" t="s">
        <v>3460</v>
      </c>
      <c r="G21626" s="6">
        <v>597.54</v>
      </c>
      <c r="H21626" s="5">
        <v>4901</v>
      </c>
    </row>
    <row r="21627" spans="2:8" ht="15" customHeight="1" x14ac:dyDescent="0.4">
      <c r="B21627" s="3" t="s">
        <v>7</v>
      </c>
      <c r="C21627" s="3" t="s">
        <v>138</v>
      </c>
      <c r="D21627" s="4">
        <f>DATE(2012,4,18)</f>
        <v>41017</v>
      </c>
      <c r="E21627" s="5">
        <f t="shared" si="360"/>
        <v>2012</v>
      </c>
      <c r="F21627" s="3" t="s">
        <v>3460</v>
      </c>
      <c r="G21627" s="6">
        <v>3245</v>
      </c>
      <c r="H21627" s="5">
        <v>4975</v>
      </c>
    </row>
    <row r="21628" spans="2:8" ht="15" customHeight="1" x14ac:dyDescent="0.4">
      <c r="B21628" s="3" t="s">
        <v>7</v>
      </c>
      <c r="C21628" s="3" t="s">
        <v>138</v>
      </c>
      <c r="D21628" s="4">
        <f>DATE(2012,4,25)</f>
        <v>41024</v>
      </c>
      <c r="E21628" s="5">
        <f t="shared" si="360"/>
        <v>2012</v>
      </c>
      <c r="F21628" s="3" t="s">
        <v>3460</v>
      </c>
      <c r="G21628" s="6">
        <v>922.48</v>
      </c>
      <c r="H21628" s="5">
        <v>4968</v>
      </c>
    </row>
    <row r="21629" spans="2:8" ht="15" customHeight="1" x14ac:dyDescent="0.4">
      <c r="B21629" s="3" t="s">
        <v>7</v>
      </c>
      <c r="C21629" s="3" t="s">
        <v>138</v>
      </c>
      <c r="D21629" s="4">
        <f>DATE(2012,4,25)</f>
        <v>41024</v>
      </c>
      <c r="E21629" s="5">
        <f t="shared" si="360"/>
        <v>2012</v>
      </c>
      <c r="F21629" s="3" t="s">
        <v>3460</v>
      </c>
      <c r="G21629" s="6">
        <v>20.43</v>
      </c>
      <c r="H21629" s="5">
        <v>5024</v>
      </c>
    </row>
    <row r="21630" spans="2:8" ht="15" customHeight="1" x14ac:dyDescent="0.4">
      <c r="B21630" s="3" t="s">
        <v>7</v>
      </c>
      <c r="C21630" s="3" t="s">
        <v>138</v>
      </c>
      <c r="D21630" s="4">
        <f>DATE(2012,4,27)</f>
        <v>41026</v>
      </c>
      <c r="E21630" s="5">
        <f t="shared" si="360"/>
        <v>2012</v>
      </c>
      <c r="F21630" s="3" t="s">
        <v>3460</v>
      </c>
      <c r="G21630" s="6">
        <v>8246.32</v>
      </c>
      <c r="H21630" s="5">
        <v>5023</v>
      </c>
    </row>
    <row r="21631" spans="2:8" ht="15" customHeight="1" x14ac:dyDescent="0.4">
      <c r="B21631" s="3" t="s">
        <v>7</v>
      </c>
      <c r="C21631" s="3" t="s">
        <v>138</v>
      </c>
      <c r="D21631" s="4">
        <f>DATE(2012,5,10)</f>
        <v>41039</v>
      </c>
      <c r="E21631" s="5">
        <f t="shared" si="360"/>
        <v>2012</v>
      </c>
      <c r="F21631" s="3" t="s">
        <v>3460</v>
      </c>
      <c r="G21631" s="6">
        <v>995.9</v>
      </c>
      <c r="H21631" s="5">
        <v>4981</v>
      </c>
    </row>
    <row r="21632" spans="2:8" ht="15" customHeight="1" x14ac:dyDescent="0.4">
      <c r="B21632" s="3" t="s">
        <v>7</v>
      </c>
      <c r="C21632" s="3" t="s">
        <v>138</v>
      </c>
      <c r="D21632" s="4">
        <f>DATE(2012,5,14)</f>
        <v>41043</v>
      </c>
      <c r="E21632" s="5">
        <f t="shared" si="360"/>
        <v>2012</v>
      </c>
      <c r="F21632" s="3" t="s">
        <v>3460</v>
      </c>
      <c r="G21632" s="6">
        <v>1622.5</v>
      </c>
      <c r="H21632" s="5">
        <v>5079</v>
      </c>
    </row>
    <row r="21633" spans="2:8" ht="15" customHeight="1" x14ac:dyDescent="0.4">
      <c r="B21633" s="3" t="s">
        <v>7</v>
      </c>
      <c r="C21633" s="3" t="s">
        <v>138</v>
      </c>
      <c r="D21633" s="4">
        <f>DATE(2012,5,23)</f>
        <v>41052</v>
      </c>
      <c r="E21633" s="5">
        <f t="shared" si="360"/>
        <v>2012</v>
      </c>
      <c r="F21633" s="3" t="s">
        <v>3460</v>
      </c>
      <c r="G21633" s="6">
        <v>355.2</v>
      </c>
      <c r="H21633" s="5">
        <v>5054</v>
      </c>
    </row>
    <row r="21634" spans="2:8" ht="15" customHeight="1" x14ac:dyDescent="0.4">
      <c r="B21634" s="3" t="s">
        <v>7</v>
      </c>
      <c r="C21634" s="3" t="s">
        <v>138</v>
      </c>
      <c r="D21634" s="4">
        <f>DATE(2012,5,23)</f>
        <v>41052</v>
      </c>
      <c r="E21634" s="5">
        <f t="shared" si="360"/>
        <v>2012</v>
      </c>
      <c r="F21634" s="3" t="s">
        <v>3460</v>
      </c>
      <c r="G21634" s="6">
        <v>895</v>
      </c>
      <c r="H21634" s="5">
        <v>5086</v>
      </c>
    </row>
    <row r="21635" spans="2:8" ht="15" customHeight="1" x14ac:dyDescent="0.4">
      <c r="B21635" s="3" t="s">
        <v>7</v>
      </c>
      <c r="C21635" s="3" t="s">
        <v>138</v>
      </c>
      <c r="D21635" s="4">
        <f>DATE(2012,5,23)</f>
        <v>41052</v>
      </c>
      <c r="E21635" s="5">
        <f t="shared" ref="E21635:E21698" si="361">YEAR(D21635)</f>
        <v>2012</v>
      </c>
      <c r="F21635" s="3" t="s">
        <v>3460</v>
      </c>
      <c r="G21635" s="6">
        <v>796.72</v>
      </c>
      <c r="H21635" s="5">
        <v>4982</v>
      </c>
    </row>
    <row r="21636" spans="2:8" ht="15" customHeight="1" x14ac:dyDescent="0.4">
      <c r="B21636" s="3" t="s">
        <v>7</v>
      </c>
      <c r="C21636" s="3" t="s">
        <v>138</v>
      </c>
      <c r="D21636" s="4">
        <f>DATE(2012,6,7)</f>
        <v>41067</v>
      </c>
      <c r="E21636" s="5">
        <f t="shared" si="361"/>
        <v>2012</v>
      </c>
      <c r="F21636" s="3" t="s">
        <v>3460</v>
      </c>
      <c r="G21636" s="6">
        <v>68.099999999999994</v>
      </c>
      <c r="H21636" s="5">
        <v>5101</v>
      </c>
    </row>
    <row r="21637" spans="2:8" ht="15" customHeight="1" x14ac:dyDescent="0.4">
      <c r="B21637" s="3" t="s">
        <v>7</v>
      </c>
      <c r="C21637" s="3" t="s">
        <v>138</v>
      </c>
      <c r="D21637" s="4">
        <f>DATE(2012,6,8)</f>
        <v>41068</v>
      </c>
      <c r="E21637" s="5">
        <f t="shared" si="361"/>
        <v>2012</v>
      </c>
      <c r="F21637" s="3" t="s">
        <v>3460</v>
      </c>
      <c r="G21637" s="6">
        <v>691.86</v>
      </c>
      <c r="H21637" s="5">
        <v>5087</v>
      </c>
    </row>
    <row r="21638" spans="2:8" ht="15" customHeight="1" x14ac:dyDescent="0.4">
      <c r="B21638" s="3" t="s">
        <v>7</v>
      </c>
      <c r="C21638" s="3" t="s">
        <v>138</v>
      </c>
      <c r="D21638" s="4">
        <f>DATE(2012,6,8)</f>
        <v>41068</v>
      </c>
      <c r="E21638" s="5">
        <f t="shared" si="361"/>
        <v>2012</v>
      </c>
      <c r="F21638" s="3" t="s">
        <v>3460</v>
      </c>
      <c r="G21638" s="6">
        <v>341</v>
      </c>
      <c r="H21638" s="5">
        <v>5103</v>
      </c>
    </row>
    <row r="21639" spans="2:8" ht="15" customHeight="1" x14ac:dyDescent="0.4">
      <c r="B21639" s="3" t="s">
        <v>7</v>
      </c>
      <c r="C21639" s="3" t="s">
        <v>138</v>
      </c>
      <c r="D21639" s="4">
        <f>DATE(2012,6,18)</f>
        <v>41078</v>
      </c>
      <c r="E21639" s="5">
        <f t="shared" si="361"/>
        <v>2012</v>
      </c>
      <c r="F21639" s="3" t="s">
        <v>3460</v>
      </c>
      <c r="G21639" s="6">
        <v>4273.6000000000004</v>
      </c>
      <c r="H21639" s="5">
        <v>5104</v>
      </c>
    </row>
    <row r="21640" spans="2:8" ht="15" customHeight="1" x14ac:dyDescent="0.4">
      <c r="B21640" s="3" t="s">
        <v>7</v>
      </c>
      <c r="C21640" s="3" t="s">
        <v>138</v>
      </c>
      <c r="D21640" s="4">
        <f>DATE(2012,6,22)</f>
        <v>41082</v>
      </c>
      <c r="E21640" s="5">
        <f t="shared" si="361"/>
        <v>2012</v>
      </c>
      <c r="F21640" s="3" t="s">
        <v>3460</v>
      </c>
      <c r="G21640" s="6">
        <v>1790</v>
      </c>
      <c r="H21640" s="5">
        <v>5102</v>
      </c>
    </row>
    <row r="21641" spans="2:8" ht="15" customHeight="1" x14ac:dyDescent="0.4">
      <c r="B21641" s="3" t="s">
        <v>7</v>
      </c>
      <c r="C21641" s="3" t="s">
        <v>138</v>
      </c>
      <c r="D21641" s="4">
        <f>DATE(2012,6,29)</f>
        <v>41089</v>
      </c>
      <c r="E21641" s="5">
        <f t="shared" si="361"/>
        <v>2012</v>
      </c>
      <c r="F21641" s="3" t="s">
        <v>3460</v>
      </c>
      <c r="G21641" s="6">
        <v>895</v>
      </c>
      <c r="H21641" s="5">
        <v>5132</v>
      </c>
    </row>
    <row r="21642" spans="2:8" ht="15" customHeight="1" x14ac:dyDescent="0.4">
      <c r="B21642" s="3" t="s">
        <v>7</v>
      </c>
      <c r="C21642" s="3" t="s">
        <v>138</v>
      </c>
      <c r="D21642" s="4">
        <f>DATE(2012,6,29)</f>
        <v>41089</v>
      </c>
      <c r="E21642" s="5">
        <f t="shared" si="361"/>
        <v>2012</v>
      </c>
      <c r="F21642" s="3" t="s">
        <v>3460</v>
      </c>
      <c r="G21642" s="6">
        <v>1622.5</v>
      </c>
      <c r="H21642" s="5">
        <v>5131</v>
      </c>
    </row>
    <row r="21643" spans="2:8" ht="15" customHeight="1" x14ac:dyDescent="0.4">
      <c r="B21643" s="3" t="s">
        <v>7</v>
      </c>
      <c r="C21643" s="3" t="s">
        <v>138</v>
      </c>
      <c r="D21643" s="4">
        <f>DATE(2012,7,6)</f>
        <v>41096</v>
      </c>
      <c r="E21643" s="5">
        <f t="shared" si="361"/>
        <v>2012</v>
      </c>
      <c r="F21643" s="3" t="s">
        <v>3460</v>
      </c>
      <c r="G21643" s="6">
        <v>68.099999999999994</v>
      </c>
      <c r="H21643" s="5">
        <v>5149</v>
      </c>
    </row>
    <row r="21644" spans="2:8" ht="15" customHeight="1" x14ac:dyDescent="0.4">
      <c r="B21644" s="3" t="s">
        <v>7</v>
      </c>
      <c r="C21644" s="3" t="s">
        <v>138</v>
      </c>
      <c r="D21644" s="4">
        <f>DATE(2012,8,7)</f>
        <v>41128</v>
      </c>
      <c r="E21644" s="5">
        <f t="shared" si="361"/>
        <v>2012</v>
      </c>
      <c r="F21644" s="3" t="s">
        <v>3460</v>
      </c>
      <c r="G21644" s="6">
        <v>1809.6</v>
      </c>
      <c r="H21644" s="5">
        <v>5133</v>
      </c>
    </row>
    <row r="21645" spans="2:8" ht="15" customHeight="1" x14ac:dyDescent="0.4">
      <c r="B21645" s="3" t="s">
        <v>7</v>
      </c>
      <c r="C21645" s="3" t="s">
        <v>138</v>
      </c>
      <c r="D21645" s="4">
        <f>DATE(2012,8,17)</f>
        <v>41138</v>
      </c>
      <c r="E21645" s="5">
        <f t="shared" si="361"/>
        <v>2012</v>
      </c>
      <c r="F21645" s="3" t="s">
        <v>3460</v>
      </c>
      <c r="G21645" s="6">
        <v>1074.5999999999999</v>
      </c>
      <c r="H21645" s="5">
        <v>5177</v>
      </c>
    </row>
    <row r="21646" spans="2:8" ht="15" customHeight="1" x14ac:dyDescent="0.4">
      <c r="B21646" s="3" t="s">
        <v>7</v>
      </c>
      <c r="C21646" s="3" t="s">
        <v>138</v>
      </c>
      <c r="D21646" s="4">
        <f>DATE(2012,8,17)</f>
        <v>41138</v>
      </c>
      <c r="E21646" s="5">
        <f t="shared" si="361"/>
        <v>2012</v>
      </c>
      <c r="F21646" s="3" t="s">
        <v>3460</v>
      </c>
      <c r="G21646" s="6">
        <v>2013.9</v>
      </c>
      <c r="H21646" s="5">
        <v>5180</v>
      </c>
    </row>
    <row r="21647" spans="2:8" ht="15" customHeight="1" x14ac:dyDescent="0.4">
      <c r="B21647" s="3" t="s">
        <v>7</v>
      </c>
      <c r="C21647" s="3" t="s">
        <v>138</v>
      </c>
      <c r="D21647" s="4">
        <f>DATE(2012,8,17)</f>
        <v>41138</v>
      </c>
      <c r="E21647" s="5">
        <f t="shared" si="361"/>
        <v>2012</v>
      </c>
      <c r="F21647" s="3" t="s">
        <v>3460</v>
      </c>
      <c r="G21647" s="6">
        <v>7651.2</v>
      </c>
      <c r="H21647" s="5">
        <v>5181</v>
      </c>
    </row>
    <row r="21648" spans="2:8" ht="15" customHeight="1" x14ac:dyDescent="0.4">
      <c r="B21648" s="3" t="s">
        <v>7</v>
      </c>
      <c r="C21648" s="3" t="s">
        <v>138</v>
      </c>
      <c r="D21648" s="4">
        <f>DATE(2012,8,17)</f>
        <v>41138</v>
      </c>
      <c r="E21648" s="5">
        <f t="shared" si="361"/>
        <v>2012</v>
      </c>
      <c r="F21648" s="3" t="s">
        <v>3460</v>
      </c>
      <c r="G21648" s="6">
        <v>3580</v>
      </c>
      <c r="H21648" s="5">
        <v>5176</v>
      </c>
    </row>
    <row r="21649" spans="2:8" ht="15" customHeight="1" x14ac:dyDescent="0.4">
      <c r="B21649" s="3" t="s">
        <v>7</v>
      </c>
      <c r="C21649" s="3" t="s">
        <v>138</v>
      </c>
      <c r="D21649" s="4">
        <f>DATE(2012,8,31)</f>
        <v>41152</v>
      </c>
      <c r="E21649" s="5">
        <f t="shared" si="361"/>
        <v>2012</v>
      </c>
      <c r="F21649" s="3" t="s">
        <v>3460</v>
      </c>
      <c r="G21649" s="6">
        <v>34.049999999999997</v>
      </c>
      <c r="H21649" s="5">
        <v>5201</v>
      </c>
    </row>
    <row r="21650" spans="2:8" ht="15" customHeight="1" x14ac:dyDescent="0.4">
      <c r="B21650" s="3" t="s">
        <v>7</v>
      </c>
      <c r="C21650" s="3" t="s">
        <v>138</v>
      </c>
      <c r="D21650" s="4">
        <f>DATE(2012,9,14)</f>
        <v>41166</v>
      </c>
      <c r="E21650" s="5">
        <f t="shared" si="361"/>
        <v>2012</v>
      </c>
      <c r="F21650" s="3" t="s">
        <v>3460</v>
      </c>
      <c r="G21650" s="6">
        <v>3619.2</v>
      </c>
      <c r="H21650" s="5">
        <v>5198</v>
      </c>
    </row>
    <row r="21651" spans="2:8" ht="15" customHeight="1" x14ac:dyDescent="0.4">
      <c r="B21651" s="3" t="s">
        <v>7</v>
      </c>
      <c r="C21651" s="3" t="s">
        <v>138</v>
      </c>
      <c r="D21651" s="4">
        <f>DATE(2012,9,14)</f>
        <v>41166</v>
      </c>
      <c r="E21651" s="5">
        <f t="shared" si="361"/>
        <v>2012</v>
      </c>
      <c r="F21651" s="3" t="s">
        <v>3460</v>
      </c>
      <c r="G21651" s="6">
        <v>153.44999999999999</v>
      </c>
      <c r="H21651" s="5">
        <v>5216</v>
      </c>
    </row>
    <row r="21652" spans="2:8" ht="15" customHeight="1" x14ac:dyDescent="0.4">
      <c r="B21652" s="3" t="s">
        <v>7</v>
      </c>
      <c r="C21652" s="3" t="s">
        <v>138</v>
      </c>
      <c r="D21652" s="4">
        <f>DATE(2012,9,21)</f>
        <v>41173</v>
      </c>
      <c r="E21652" s="5">
        <f t="shared" si="361"/>
        <v>2012</v>
      </c>
      <c r="F21652" s="3" t="s">
        <v>3460</v>
      </c>
      <c r="G21652" s="6">
        <v>1790</v>
      </c>
      <c r="H21652" s="5">
        <v>5197</v>
      </c>
    </row>
    <row r="21653" spans="2:8" ht="15" customHeight="1" x14ac:dyDescent="0.4">
      <c r="B21653" s="3" t="s">
        <v>7</v>
      </c>
      <c r="C21653" s="3" t="s">
        <v>138</v>
      </c>
      <c r="D21653" s="4">
        <f>DATE(2012,9,21)</f>
        <v>41173</v>
      </c>
      <c r="E21653" s="5">
        <f t="shared" si="361"/>
        <v>2012</v>
      </c>
      <c r="F21653" s="3" t="s">
        <v>3460</v>
      </c>
      <c r="G21653" s="6">
        <v>4273.6000000000004</v>
      </c>
      <c r="H21653" s="5">
        <v>5202</v>
      </c>
    </row>
    <row r="21654" spans="2:8" ht="15" customHeight="1" x14ac:dyDescent="0.4">
      <c r="B21654" s="3" t="s">
        <v>7</v>
      </c>
      <c r="C21654" s="3" t="s">
        <v>138</v>
      </c>
      <c r="D21654" s="4">
        <f>DATE(2012,9,21)</f>
        <v>41173</v>
      </c>
      <c r="E21654" s="5">
        <f t="shared" si="361"/>
        <v>2012</v>
      </c>
      <c r="F21654" s="3" t="s">
        <v>3460</v>
      </c>
      <c r="G21654" s="6">
        <v>4123.16</v>
      </c>
      <c r="H21654" s="5">
        <v>5215</v>
      </c>
    </row>
    <row r="21655" spans="2:8" ht="15" customHeight="1" x14ac:dyDescent="0.4">
      <c r="B21655" s="3" t="s">
        <v>7</v>
      </c>
      <c r="C21655" s="3" t="s">
        <v>138</v>
      </c>
      <c r="D21655" s="4">
        <f>DATE(2012,9,28)</f>
        <v>41180</v>
      </c>
      <c r="E21655" s="5">
        <f t="shared" si="361"/>
        <v>2012</v>
      </c>
      <c r="F21655" s="3" t="s">
        <v>3460</v>
      </c>
      <c r="G21655" s="6">
        <v>7651.2</v>
      </c>
      <c r="H21655" s="5">
        <v>5215</v>
      </c>
    </row>
    <row r="21656" spans="2:8" ht="15" customHeight="1" x14ac:dyDescent="0.4">
      <c r="B21656" s="3" t="s">
        <v>7</v>
      </c>
      <c r="C21656" s="3" t="s">
        <v>138</v>
      </c>
      <c r="D21656" s="4">
        <f>DATE(2012,10,9)</f>
        <v>41191</v>
      </c>
      <c r="E21656" s="5">
        <f t="shared" si="361"/>
        <v>2012</v>
      </c>
      <c r="F21656" s="3" t="s">
        <v>3460</v>
      </c>
      <c r="G21656" s="6">
        <v>2575.1999999999998</v>
      </c>
      <c r="H21656" s="5">
        <v>5234</v>
      </c>
    </row>
    <row r="21657" spans="2:8" ht="15" customHeight="1" x14ac:dyDescent="0.4">
      <c r="B21657" s="3" t="s">
        <v>7</v>
      </c>
      <c r="C21657" s="3" t="s">
        <v>138</v>
      </c>
      <c r="D21657" s="4">
        <f>DATE(2012,10,11)</f>
        <v>41193</v>
      </c>
      <c r="E21657" s="5">
        <f t="shared" si="361"/>
        <v>2012</v>
      </c>
      <c r="F21657" s="3" t="s">
        <v>3460</v>
      </c>
      <c r="G21657" s="6">
        <v>654</v>
      </c>
      <c r="H21657" s="5">
        <v>5237</v>
      </c>
    </row>
    <row r="21658" spans="2:8" ht="15" customHeight="1" x14ac:dyDescent="0.4">
      <c r="B21658" s="3" t="s">
        <v>7</v>
      </c>
      <c r="C21658" s="3" t="s">
        <v>138</v>
      </c>
      <c r="D21658" s="4">
        <f>DATE(2012,10,23)</f>
        <v>41205</v>
      </c>
      <c r="E21658" s="5">
        <f t="shared" si="361"/>
        <v>2012</v>
      </c>
      <c r="F21658" s="3" t="s">
        <v>3460</v>
      </c>
      <c r="G21658" s="6">
        <v>1622.5</v>
      </c>
      <c r="H21658" s="5">
        <v>5240</v>
      </c>
    </row>
    <row r="21659" spans="2:8" ht="15" customHeight="1" x14ac:dyDescent="0.4">
      <c r="B21659" s="3" t="s">
        <v>7</v>
      </c>
      <c r="C21659" s="3" t="s">
        <v>138</v>
      </c>
      <c r="D21659" s="4">
        <f>DATE(2012,10,15)</f>
        <v>41197</v>
      </c>
      <c r="E21659" s="5">
        <f t="shared" si="361"/>
        <v>2012</v>
      </c>
      <c r="F21659" s="3" t="s">
        <v>3460</v>
      </c>
      <c r="G21659" s="6">
        <v>5428.86</v>
      </c>
      <c r="H21659" s="5">
        <v>5200</v>
      </c>
    </row>
    <row r="21660" spans="2:8" ht="15" customHeight="1" x14ac:dyDescent="0.4">
      <c r="B21660" s="3" t="s">
        <v>7</v>
      </c>
      <c r="C21660" s="3" t="s">
        <v>138</v>
      </c>
      <c r="D21660" s="4">
        <f>DATE(2012,11,5)</f>
        <v>41218</v>
      </c>
      <c r="E21660" s="5">
        <f t="shared" si="361"/>
        <v>2012</v>
      </c>
      <c r="F21660" s="3" t="s">
        <v>3460</v>
      </c>
      <c r="G21660" s="6">
        <v>1700.5</v>
      </c>
      <c r="H21660" s="5">
        <v>5279</v>
      </c>
    </row>
    <row r="21661" spans="2:8" ht="15" customHeight="1" x14ac:dyDescent="0.4">
      <c r="B21661" s="3" t="s">
        <v>7</v>
      </c>
      <c r="C21661" s="3" t="s">
        <v>138</v>
      </c>
      <c r="D21661" s="4">
        <f>DATE(2012,11,9)</f>
        <v>41222</v>
      </c>
      <c r="E21661" s="5">
        <f t="shared" si="361"/>
        <v>2012</v>
      </c>
      <c r="F21661" s="3" t="s">
        <v>3460</v>
      </c>
      <c r="G21661" s="6">
        <v>591.03</v>
      </c>
      <c r="H21661" s="5">
        <v>5273</v>
      </c>
    </row>
    <row r="21662" spans="2:8" ht="15" customHeight="1" x14ac:dyDescent="0.4">
      <c r="B21662" s="3" t="s">
        <v>7</v>
      </c>
      <c r="C21662" s="3" t="s">
        <v>138</v>
      </c>
      <c r="D21662" s="4">
        <f>DATE(2012,11,19)</f>
        <v>41232</v>
      </c>
      <c r="E21662" s="5">
        <f t="shared" si="361"/>
        <v>2012</v>
      </c>
      <c r="F21662" s="3" t="s">
        <v>3460</v>
      </c>
      <c r="G21662" s="6">
        <v>5258.9</v>
      </c>
      <c r="H21662" s="5">
        <v>5285</v>
      </c>
    </row>
    <row r="21663" spans="2:8" ht="15" customHeight="1" x14ac:dyDescent="0.4">
      <c r="B21663" s="3" t="s">
        <v>7</v>
      </c>
      <c r="C21663" s="3" t="s">
        <v>138</v>
      </c>
      <c r="D21663" s="4">
        <f>DATE(2012,11,20)</f>
        <v>41233</v>
      </c>
      <c r="E21663" s="5">
        <f t="shared" si="361"/>
        <v>2012</v>
      </c>
      <c r="F21663" s="3" t="s">
        <v>3460</v>
      </c>
      <c r="G21663" s="6">
        <v>5656.45</v>
      </c>
      <c r="H21663" s="5">
        <v>5286</v>
      </c>
    </row>
    <row r="21664" spans="2:8" ht="15" customHeight="1" x14ac:dyDescent="0.4">
      <c r="B21664" s="3" t="s">
        <v>7</v>
      </c>
      <c r="C21664" s="3" t="s">
        <v>138</v>
      </c>
      <c r="D21664" s="4">
        <f>DATE(2012,11,26)</f>
        <v>41239</v>
      </c>
      <c r="E21664" s="5">
        <f t="shared" si="361"/>
        <v>2012</v>
      </c>
      <c r="F21664" s="3" t="s">
        <v>3460</v>
      </c>
      <c r="G21664" s="6">
        <v>291.12</v>
      </c>
      <c r="H21664" s="5">
        <v>5293</v>
      </c>
    </row>
    <row r="21665" spans="2:8" ht="15" customHeight="1" x14ac:dyDescent="0.4">
      <c r="B21665" s="3" t="s">
        <v>7</v>
      </c>
      <c r="C21665" s="3" t="s">
        <v>138</v>
      </c>
      <c r="D21665" s="4">
        <f>DATE(2012,12,10)</f>
        <v>41253</v>
      </c>
      <c r="E21665" s="5">
        <f t="shared" si="361"/>
        <v>2012</v>
      </c>
      <c r="F21665" s="3" t="s">
        <v>3460</v>
      </c>
      <c r="G21665" s="6">
        <v>733.18</v>
      </c>
      <c r="H21665" s="5">
        <v>5323</v>
      </c>
    </row>
    <row r="21666" spans="2:8" ht="15" customHeight="1" x14ac:dyDescent="0.4">
      <c r="B21666" s="3" t="s">
        <v>7</v>
      </c>
      <c r="C21666" s="3" t="s">
        <v>138</v>
      </c>
      <c r="D21666" s="4">
        <f>DATE(2012,12,10)</f>
        <v>41253</v>
      </c>
      <c r="E21666" s="5">
        <f t="shared" si="361"/>
        <v>2012</v>
      </c>
      <c r="F21666" s="3" t="s">
        <v>3460</v>
      </c>
      <c r="G21666" s="6">
        <v>6848.8</v>
      </c>
      <c r="H21666" s="5">
        <v>5320</v>
      </c>
    </row>
    <row r="21667" spans="2:8" ht="15" customHeight="1" x14ac:dyDescent="0.4">
      <c r="B21667" s="3" t="s">
        <v>7</v>
      </c>
      <c r="C21667" s="3" t="s">
        <v>138</v>
      </c>
      <c r="D21667" s="4">
        <f>DATE(2012,12,10)</f>
        <v>41253</v>
      </c>
      <c r="E21667" s="5">
        <f t="shared" si="361"/>
        <v>2012</v>
      </c>
      <c r="F21667" s="3" t="s">
        <v>3460</v>
      </c>
      <c r="G21667" s="6">
        <v>1287.5999999999999</v>
      </c>
      <c r="H21667" s="5">
        <v>5324</v>
      </c>
    </row>
    <row r="21668" spans="2:8" ht="15" customHeight="1" x14ac:dyDescent="0.4">
      <c r="B21668" s="3" t="s">
        <v>7</v>
      </c>
      <c r="C21668" s="3" t="s">
        <v>138</v>
      </c>
      <c r="D21668" s="4">
        <f>DATE(2012,12,20)</f>
        <v>41263</v>
      </c>
      <c r="E21668" s="5">
        <f t="shared" si="361"/>
        <v>2012</v>
      </c>
      <c r="F21668" s="3" t="s">
        <v>3460</v>
      </c>
      <c r="G21668" s="6">
        <v>314.22000000000003</v>
      </c>
      <c r="H21668" s="5">
        <v>5323</v>
      </c>
    </row>
    <row r="21669" spans="2:8" ht="15" customHeight="1" x14ac:dyDescent="0.4">
      <c r="B21669" s="3" t="s">
        <v>7</v>
      </c>
      <c r="C21669" s="3" t="s">
        <v>138</v>
      </c>
      <c r="D21669" s="4">
        <f>DATE(2012,12,18)</f>
        <v>41261</v>
      </c>
      <c r="E21669" s="5">
        <f t="shared" si="361"/>
        <v>2012</v>
      </c>
      <c r="F21669" s="3" t="s">
        <v>3460</v>
      </c>
      <c r="G21669" s="6">
        <v>1063.27</v>
      </c>
      <c r="H21669" s="5">
        <v>5362</v>
      </c>
    </row>
    <row r="21670" spans="2:8" ht="15" customHeight="1" x14ac:dyDescent="0.4">
      <c r="B21670" s="3" t="s">
        <v>7</v>
      </c>
      <c r="C21670" s="3" t="s">
        <v>138</v>
      </c>
      <c r="D21670" s="4">
        <f>DATE(2012,12,18)</f>
        <v>41261</v>
      </c>
      <c r="E21670" s="5">
        <f t="shared" si="361"/>
        <v>2012</v>
      </c>
      <c r="F21670" s="3" t="s">
        <v>3460</v>
      </c>
      <c r="G21670" s="6">
        <v>2079</v>
      </c>
      <c r="H21670" s="5">
        <v>5351</v>
      </c>
    </row>
    <row r="21671" spans="2:8" ht="15" customHeight="1" x14ac:dyDescent="0.4">
      <c r="B21671" s="3" t="s">
        <v>7</v>
      </c>
      <c r="C21671" s="3" t="s">
        <v>138</v>
      </c>
      <c r="D21671" s="4">
        <f>DATE(2012,12,18)</f>
        <v>41261</v>
      </c>
      <c r="E21671" s="5">
        <f t="shared" si="361"/>
        <v>2012</v>
      </c>
      <c r="F21671" s="3" t="s">
        <v>3460</v>
      </c>
      <c r="G21671" s="6">
        <v>855</v>
      </c>
      <c r="H21671" s="5">
        <v>5344</v>
      </c>
    </row>
    <row r="21672" spans="2:8" ht="15" customHeight="1" x14ac:dyDescent="0.4">
      <c r="B21672" s="3" t="s">
        <v>7</v>
      </c>
      <c r="C21672" s="3" t="s">
        <v>138</v>
      </c>
      <c r="D21672" s="4">
        <f>DATE(2012,12,20)</f>
        <v>41263</v>
      </c>
      <c r="E21672" s="5">
        <f t="shared" si="361"/>
        <v>2012</v>
      </c>
      <c r="F21672" s="3" t="s">
        <v>3460</v>
      </c>
      <c r="G21672" s="6">
        <v>61.41</v>
      </c>
      <c r="H21672" s="5">
        <v>5364</v>
      </c>
    </row>
    <row r="21673" spans="2:8" ht="15" customHeight="1" x14ac:dyDescent="0.4">
      <c r="B21673" s="3" t="s">
        <v>7</v>
      </c>
      <c r="C21673" s="3" t="s">
        <v>138</v>
      </c>
      <c r="D21673" s="4">
        <f>DATE(2012,12,20)</f>
        <v>41263</v>
      </c>
      <c r="E21673" s="5">
        <f t="shared" si="361"/>
        <v>2012</v>
      </c>
      <c r="F21673" s="3" t="s">
        <v>3460</v>
      </c>
      <c r="G21673" s="6">
        <v>409.4</v>
      </c>
      <c r="H21673" s="5">
        <v>5363</v>
      </c>
    </row>
    <row r="21674" spans="2:8" ht="15" customHeight="1" x14ac:dyDescent="0.4">
      <c r="B21674" s="3" t="s">
        <v>7</v>
      </c>
      <c r="C21674" s="3" t="s">
        <v>138</v>
      </c>
      <c r="D21674" s="4">
        <f>DATE(2013,1,21)</f>
        <v>41295</v>
      </c>
      <c r="E21674" s="5">
        <f t="shared" si="361"/>
        <v>2013</v>
      </c>
      <c r="F21674" s="3" t="s">
        <v>3460</v>
      </c>
      <c r="G21674" s="6">
        <v>6464</v>
      </c>
      <c r="H21674" s="5">
        <v>5372</v>
      </c>
    </row>
    <row r="21675" spans="2:8" ht="15" customHeight="1" x14ac:dyDescent="0.4">
      <c r="B21675" s="3" t="s">
        <v>7</v>
      </c>
      <c r="C21675" s="3" t="s">
        <v>138</v>
      </c>
      <c r="D21675" s="4">
        <f>DATE(2013,1,28)</f>
        <v>41302</v>
      </c>
      <c r="E21675" s="5">
        <f t="shared" si="361"/>
        <v>2013</v>
      </c>
      <c r="F21675" s="3" t="s">
        <v>3460</v>
      </c>
      <c r="G21675" s="6">
        <v>1576.8</v>
      </c>
      <c r="H21675" s="5">
        <v>5400</v>
      </c>
    </row>
    <row r="21676" spans="2:8" ht="15" customHeight="1" x14ac:dyDescent="0.4">
      <c r="B21676" s="3" t="s">
        <v>7</v>
      </c>
      <c r="C21676" s="3" t="s">
        <v>138</v>
      </c>
      <c r="D21676" s="4">
        <f>DATE(2013,1,29)</f>
        <v>41303</v>
      </c>
      <c r="E21676" s="5">
        <f t="shared" si="361"/>
        <v>2013</v>
      </c>
      <c r="F21676" s="3" t="s">
        <v>3460</v>
      </c>
      <c r="G21676" s="6">
        <v>8547.2000000000007</v>
      </c>
      <c r="H21676" s="5">
        <v>5352</v>
      </c>
    </row>
    <row r="21677" spans="2:8" ht="15" customHeight="1" x14ac:dyDescent="0.4">
      <c r="B21677" s="3" t="s">
        <v>7</v>
      </c>
      <c r="C21677" s="3" t="s">
        <v>138</v>
      </c>
      <c r="D21677" s="4">
        <f>DATE(2013,1,29)</f>
        <v>41303</v>
      </c>
      <c r="E21677" s="5">
        <f t="shared" si="361"/>
        <v>2013</v>
      </c>
      <c r="F21677" s="3" t="s">
        <v>3460</v>
      </c>
      <c r="G21677" s="6">
        <v>9133.1</v>
      </c>
      <c r="H21677" s="5">
        <v>5228</v>
      </c>
    </row>
    <row r="21678" spans="2:8" ht="15" customHeight="1" x14ac:dyDescent="0.4">
      <c r="B21678" s="3" t="s">
        <v>7</v>
      </c>
      <c r="C21678" s="3" t="s">
        <v>138</v>
      </c>
      <c r="D21678" s="4">
        <f>DATE(2013,1,29)</f>
        <v>41303</v>
      </c>
      <c r="E21678" s="5">
        <f t="shared" si="361"/>
        <v>2013</v>
      </c>
      <c r="F21678" s="3" t="s">
        <v>3460</v>
      </c>
      <c r="G21678" s="6">
        <v>7651.2</v>
      </c>
      <c r="H21678" s="5">
        <v>5305</v>
      </c>
    </row>
    <row r="21679" spans="2:8" ht="15" customHeight="1" x14ac:dyDescent="0.4">
      <c r="B21679" s="3" t="s">
        <v>7</v>
      </c>
      <c r="C21679" s="3" t="s">
        <v>138</v>
      </c>
      <c r="D21679" s="4">
        <f>DATE(2013,1,29)</f>
        <v>41303</v>
      </c>
      <c r="E21679" s="5">
        <f t="shared" si="361"/>
        <v>2013</v>
      </c>
      <c r="F21679" s="3" t="s">
        <v>3460</v>
      </c>
      <c r="G21679" s="6">
        <v>23548.720000000001</v>
      </c>
      <c r="H21679" s="5">
        <v>5373</v>
      </c>
    </row>
    <row r="21680" spans="2:8" ht="15" customHeight="1" x14ac:dyDescent="0.4">
      <c r="B21680" s="3" t="s">
        <v>7</v>
      </c>
      <c r="C21680" s="3" t="s">
        <v>138</v>
      </c>
      <c r="D21680" s="4">
        <f>DATE(2013,2,4)</f>
        <v>41309</v>
      </c>
      <c r="E21680" s="5">
        <f t="shared" si="361"/>
        <v>2013</v>
      </c>
      <c r="F21680" s="3" t="s">
        <v>3460</v>
      </c>
      <c r="G21680" s="6">
        <v>1635.8</v>
      </c>
      <c r="H21680" s="5">
        <v>5399</v>
      </c>
    </row>
    <row r="21681" spans="2:8" ht="15" customHeight="1" x14ac:dyDescent="0.4">
      <c r="B21681" s="3" t="s">
        <v>7</v>
      </c>
      <c r="C21681" s="3" t="s">
        <v>138</v>
      </c>
      <c r="D21681" s="4">
        <f>DATE(2013,2,4)</f>
        <v>41309</v>
      </c>
      <c r="E21681" s="5">
        <f t="shared" si="361"/>
        <v>2013</v>
      </c>
      <c r="F21681" s="3" t="s">
        <v>3460</v>
      </c>
      <c r="G21681" s="6">
        <v>5166.3</v>
      </c>
      <c r="H21681" s="5">
        <v>5389</v>
      </c>
    </row>
    <row r="21682" spans="2:8" ht="15" customHeight="1" x14ac:dyDescent="0.4">
      <c r="B21682" s="3" t="s">
        <v>7</v>
      </c>
      <c r="C21682" s="3" t="s">
        <v>138</v>
      </c>
      <c r="D21682" s="4">
        <f>DATE(2013,2,4)</f>
        <v>41309</v>
      </c>
      <c r="E21682" s="5">
        <f t="shared" si="361"/>
        <v>2013</v>
      </c>
      <c r="F21682" s="3" t="s">
        <v>3460</v>
      </c>
      <c r="G21682" s="6">
        <v>2575.1999999999998</v>
      </c>
      <c r="H21682" s="5">
        <v>5374</v>
      </c>
    </row>
    <row r="21683" spans="2:8" ht="15" customHeight="1" x14ac:dyDescent="0.4">
      <c r="B21683" s="3" t="s">
        <v>7</v>
      </c>
      <c r="C21683" s="3" t="s">
        <v>138</v>
      </c>
      <c r="D21683" s="4">
        <f>DATE(2013,2,8)</f>
        <v>41313</v>
      </c>
      <c r="E21683" s="5">
        <f t="shared" si="361"/>
        <v>2013</v>
      </c>
      <c r="F21683" s="3" t="s">
        <v>3460</v>
      </c>
      <c r="G21683" s="6">
        <v>817.9</v>
      </c>
      <c r="H21683" s="5">
        <v>5416</v>
      </c>
    </row>
    <row r="21684" spans="2:8" ht="15" customHeight="1" x14ac:dyDescent="0.4">
      <c r="B21684" s="3" t="s">
        <v>7</v>
      </c>
      <c r="C21684" s="3" t="s">
        <v>138</v>
      </c>
      <c r="D21684" s="4">
        <f>DATE(2013,2,8)</f>
        <v>41313</v>
      </c>
      <c r="E21684" s="5">
        <f t="shared" si="361"/>
        <v>2013</v>
      </c>
      <c r="F21684" s="3" t="s">
        <v>3460</v>
      </c>
      <c r="G21684" s="6">
        <v>6561.26</v>
      </c>
      <c r="H21684" s="5">
        <v>5424</v>
      </c>
    </row>
    <row r="21685" spans="2:8" ht="15" customHeight="1" x14ac:dyDescent="0.4">
      <c r="B21685" s="3" t="s">
        <v>7</v>
      </c>
      <c r="C21685" s="3" t="s">
        <v>138</v>
      </c>
      <c r="D21685" s="4">
        <f>DATE(2013,2,18)</f>
        <v>41323</v>
      </c>
      <c r="E21685" s="5">
        <f t="shared" si="361"/>
        <v>2013</v>
      </c>
      <c r="F21685" s="3" t="s">
        <v>3460</v>
      </c>
      <c r="G21685" s="6">
        <v>2575.1999999999998</v>
      </c>
      <c r="H21685" s="5">
        <v>5413</v>
      </c>
    </row>
    <row r="21686" spans="2:8" ht="15" customHeight="1" x14ac:dyDescent="0.4">
      <c r="B21686" s="3" t="s">
        <v>7</v>
      </c>
      <c r="C21686" s="3" t="s">
        <v>138</v>
      </c>
      <c r="D21686" s="4">
        <f>DATE(2013,2,18)</f>
        <v>41323</v>
      </c>
      <c r="E21686" s="5">
        <f t="shared" si="361"/>
        <v>2013</v>
      </c>
      <c r="F21686" s="3" t="s">
        <v>3460</v>
      </c>
      <c r="G21686" s="6">
        <v>796.72</v>
      </c>
      <c r="H21686" s="5">
        <v>5370</v>
      </c>
    </row>
    <row r="21687" spans="2:8" ht="15" customHeight="1" x14ac:dyDescent="0.4">
      <c r="B21687" s="3" t="s">
        <v>7</v>
      </c>
      <c r="C21687" s="3" t="s">
        <v>138</v>
      </c>
      <c r="D21687" s="4">
        <f>DATE(2013,3,1)</f>
        <v>41334</v>
      </c>
      <c r="E21687" s="5">
        <f t="shared" si="361"/>
        <v>2013</v>
      </c>
      <c r="F21687" s="3" t="s">
        <v>3460</v>
      </c>
      <c r="G21687" s="6">
        <v>441</v>
      </c>
      <c r="H21687" s="5">
        <v>5489</v>
      </c>
    </row>
    <row r="21688" spans="2:8" ht="15" customHeight="1" x14ac:dyDescent="0.4">
      <c r="B21688" s="3" t="s">
        <v>7</v>
      </c>
      <c r="C21688" s="3" t="s">
        <v>138</v>
      </c>
      <c r="D21688" s="4">
        <f>DATE(2013,3,1)</f>
        <v>41334</v>
      </c>
      <c r="E21688" s="5">
        <f t="shared" si="361"/>
        <v>2013</v>
      </c>
      <c r="F21688" s="3" t="s">
        <v>3460</v>
      </c>
      <c r="G21688" s="6">
        <v>985.3</v>
      </c>
      <c r="H21688" s="5">
        <v>5466</v>
      </c>
    </row>
    <row r="21689" spans="2:8" ht="15" customHeight="1" x14ac:dyDescent="0.4">
      <c r="B21689" s="3" t="s">
        <v>7</v>
      </c>
      <c r="C21689" s="3" t="s">
        <v>138</v>
      </c>
      <c r="D21689" s="4">
        <f>DATE(2013,3,1)</f>
        <v>41334</v>
      </c>
      <c r="E21689" s="5">
        <f t="shared" si="361"/>
        <v>2013</v>
      </c>
      <c r="F21689" s="3" t="s">
        <v>3460</v>
      </c>
      <c r="G21689" s="6">
        <v>404</v>
      </c>
      <c r="H21689" s="5">
        <v>5469</v>
      </c>
    </row>
    <row r="21690" spans="2:8" ht="15" customHeight="1" x14ac:dyDescent="0.4">
      <c r="B21690" s="3" t="s">
        <v>7</v>
      </c>
      <c r="C21690" s="3" t="s">
        <v>138</v>
      </c>
      <c r="D21690" s="4">
        <f>DATE(2013,3,13)</f>
        <v>41346</v>
      </c>
      <c r="E21690" s="5">
        <f t="shared" si="361"/>
        <v>2013</v>
      </c>
      <c r="F21690" s="3" t="s">
        <v>3460</v>
      </c>
      <c r="G21690" s="6">
        <v>3704.24</v>
      </c>
      <c r="H21690" s="5">
        <v>5465</v>
      </c>
    </row>
    <row r="21691" spans="2:8" ht="15" customHeight="1" x14ac:dyDescent="0.4">
      <c r="B21691" s="3" t="s">
        <v>7</v>
      </c>
      <c r="C21691" s="3" t="s">
        <v>138</v>
      </c>
      <c r="D21691" s="4">
        <f>DATE(2013,3,13)</f>
        <v>41346</v>
      </c>
      <c r="E21691" s="5">
        <f t="shared" si="361"/>
        <v>2013</v>
      </c>
      <c r="F21691" s="3" t="s">
        <v>3460</v>
      </c>
      <c r="G21691" s="6">
        <v>3704.24</v>
      </c>
      <c r="H21691" s="5">
        <v>5470</v>
      </c>
    </row>
    <row r="21692" spans="2:8" ht="15" customHeight="1" x14ac:dyDescent="0.4">
      <c r="B21692" s="3" t="s">
        <v>7</v>
      </c>
      <c r="C21692" s="3" t="s">
        <v>138</v>
      </c>
      <c r="D21692" s="4">
        <f>DATE(2013,3,13)</f>
        <v>41346</v>
      </c>
      <c r="E21692" s="5">
        <f t="shared" si="361"/>
        <v>2013</v>
      </c>
      <c r="F21692" s="3" t="s">
        <v>3460</v>
      </c>
      <c r="G21692" s="6">
        <v>2714.4</v>
      </c>
      <c r="H21692" s="5">
        <v>5426</v>
      </c>
    </row>
    <row r="21693" spans="2:8" ht="15" customHeight="1" x14ac:dyDescent="0.4">
      <c r="B21693" s="3" t="s">
        <v>7</v>
      </c>
      <c r="C21693" s="3" t="s">
        <v>138</v>
      </c>
      <c r="D21693" s="4">
        <f>DATE(2013,3,13)</f>
        <v>41346</v>
      </c>
      <c r="E21693" s="5">
        <f t="shared" si="361"/>
        <v>2013</v>
      </c>
      <c r="F21693" s="3" t="s">
        <v>3460</v>
      </c>
      <c r="G21693" s="6">
        <v>796.72</v>
      </c>
      <c r="H21693" s="5">
        <v>5427</v>
      </c>
    </row>
    <row r="21694" spans="2:8" ht="15" customHeight="1" x14ac:dyDescent="0.4">
      <c r="B21694" s="3" t="s">
        <v>7</v>
      </c>
      <c r="C21694" s="3" t="s">
        <v>138</v>
      </c>
      <c r="D21694" s="4">
        <f>DATE(2013,4,1)</f>
        <v>41365</v>
      </c>
      <c r="E21694" s="5">
        <f t="shared" si="361"/>
        <v>2013</v>
      </c>
      <c r="F21694" s="3" t="s">
        <v>3460</v>
      </c>
      <c r="G21694" s="6">
        <v>6490</v>
      </c>
      <c r="H21694" s="5">
        <v>5524</v>
      </c>
    </row>
    <row r="21695" spans="2:8" ht="15" customHeight="1" x14ac:dyDescent="0.4">
      <c r="B21695" s="3" t="s">
        <v>7</v>
      </c>
      <c r="C21695" s="3" t="s">
        <v>138</v>
      </c>
      <c r="D21695" s="4">
        <f>DATE(2013,4,10)</f>
        <v>41374</v>
      </c>
      <c r="E21695" s="5">
        <f t="shared" si="361"/>
        <v>2013</v>
      </c>
      <c r="F21695" s="3" t="s">
        <v>3460</v>
      </c>
      <c r="G21695" s="6">
        <v>895</v>
      </c>
      <c r="H21695" s="5">
        <v>5509</v>
      </c>
    </row>
    <row r="21696" spans="2:8" ht="15" customHeight="1" x14ac:dyDescent="0.4">
      <c r="B21696" s="3" t="s">
        <v>7</v>
      </c>
      <c r="C21696" s="3" t="s">
        <v>138</v>
      </c>
      <c r="D21696" s="4">
        <f>DATE(2013,4,11)</f>
        <v>41375</v>
      </c>
      <c r="E21696" s="5">
        <f t="shared" si="361"/>
        <v>2013</v>
      </c>
      <c r="F21696" s="3" t="s">
        <v>3460</v>
      </c>
      <c r="G21696" s="6">
        <v>3245</v>
      </c>
      <c r="H21696" s="5">
        <v>5531</v>
      </c>
    </row>
    <row r="21697" spans="2:8" ht="15" customHeight="1" x14ac:dyDescent="0.4">
      <c r="B21697" s="3" t="s">
        <v>7</v>
      </c>
      <c r="C21697" s="3" t="s">
        <v>138</v>
      </c>
      <c r="D21697" s="4">
        <f>DATE(2013,4,11)</f>
        <v>41375</v>
      </c>
      <c r="E21697" s="5">
        <f t="shared" si="361"/>
        <v>2013</v>
      </c>
      <c r="F21697" s="3" t="s">
        <v>3460</v>
      </c>
      <c r="G21697" s="6">
        <v>895</v>
      </c>
      <c r="H21697" s="5">
        <v>5536</v>
      </c>
    </row>
    <row r="21698" spans="2:8" ht="15" customHeight="1" x14ac:dyDescent="0.4">
      <c r="B21698" s="3" t="s">
        <v>7</v>
      </c>
      <c r="C21698" s="3" t="s">
        <v>138</v>
      </c>
      <c r="D21698" s="4">
        <f>DATE(2013,4,15)</f>
        <v>41379</v>
      </c>
      <c r="E21698" s="5">
        <f t="shared" si="361"/>
        <v>2013</v>
      </c>
      <c r="F21698" s="3" t="s">
        <v>3460</v>
      </c>
      <c r="G21698" s="6">
        <v>7725.6</v>
      </c>
      <c r="H21698" s="5">
        <v>5454</v>
      </c>
    </row>
    <row r="21699" spans="2:8" ht="15" customHeight="1" x14ac:dyDescent="0.4">
      <c r="B21699" s="3" t="s">
        <v>7</v>
      </c>
      <c r="C21699" s="3" t="s">
        <v>138</v>
      </c>
      <c r="D21699" s="4">
        <f>DATE(2013,5,3)</f>
        <v>41397</v>
      </c>
      <c r="E21699" s="5">
        <f t="shared" ref="E21699:E21762" si="362">YEAR(D21699)</f>
        <v>2013</v>
      </c>
      <c r="F21699" s="3" t="s">
        <v>3460</v>
      </c>
      <c r="G21699" s="6">
        <v>205.72</v>
      </c>
      <c r="H21699" s="5">
        <v>5559</v>
      </c>
    </row>
    <row r="21700" spans="2:8" ht="15" customHeight="1" x14ac:dyDescent="0.4">
      <c r="B21700" s="3" t="s">
        <v>7</v>
      </c>
      <c r="C21700" s="3" t="s">
        <v>138</v>
      </c>
      <c r="D21700" s="4">
        <f>DATE(2013,5,8)</f>
        <v>41402</v>
      </c>
      <c r="E21700" s="5">
        <f t="shared" si="362"/>
        <v>2013</v>
      </c>
      <c r="F21700" s="3" t="s">
        <v>3460</v>
      </c>
      <c r="G21700" s="6">
        <v>925.86</v>
      </c>
      <c r="H21700" s="5">
        <v>5568</v>
      </c>
    </row>
    <row r="21701" spans="2:8" ht="15" customHeight="1" x14ac:dyDescent="0.4">
      <c r="B21701" s="3" t="s">
        <v>7</v>
      </c>
      <c r="C21701" s="3" t="s">
        <v>138</v>
      </c>
      <c r="D21701" s="4">
        <f>DATE(2013,5,8)</f>
        <v>41402</v>
      </c>
      <c r="E21701" s="5">
        <f t="shared" si="362"/>
        <v>2013</v>
      </c>
      <c r="F21701" s="3" t="s">
        <v>3460</v>
      </c>
      <c r="G21701" s="6">
        <v>1790</v>
      </c>
      <c r="H21701" s="5">
        <v>5557</v>
      </c>
    </row>
    <row r="21702" spans="2:8" ht="15" customHeight="1" x14ac:dyDescent="0.4">
      <c r="B21702" s="3" t="s">
        <v>7</v>
      </c>
      <c r="C21702" s="3" t="s">
        <v>138</v>
      </c>
      <c r="D21702" s="4">
        <f>DATE(2013,5,16)</f>
        <v>41410</v>
      </c>
      <c r="E21702" s="5">
        <f t="shared" si="362"/>
        <v>2013</v>
      </c>
      <c r="F21702" s="3" t="s">
        <v>3460</v>
      </c>
      <c r="G21702" s="6">
        <v>822.88</v>
      </c>
      <c r="H21702" s="5">
        <v>5559</v>
      </c>
    </row>
    <row r="21703" spans="2:8" ht="15" customHeight="1" x14ac:dyDescent="0.4">
      <c r="B21703" s="3" t="s">
        <v>7</v>
      </c>
      <c r="C21703" s="3" t="s">
        <v>138</v>
      </c>
      <c r="D21703" s="4">
        <f>DATE(2013,5,23)</f>
        <v>41417</v>
      </c>
      <c r="E21703" s="5">
        <f t="shared" si="362"/>
        <v>2013</v>
      </c>
      <c r="F21703" s="3" t="s">
        <v>3460</v>
      </c>
      <c r="G21703" s="6">
        <v>7651.2</v>
      </c>
      <c r="H21703" s="5">
        <v>5569</v>
      </c>
    </row>
    <row r="21704" spans="2:8" ht="15" customHeight="1" x14ac:dyDescent="0.4">
      <c r="B21704" s="3" t="s">
        <v>7</v>
      </c>
      <c r="C21704" s="3" t="s">
        <v>138</v>
      </c>
      <c r="D21704" s="4">
        <f>DATE(2013,5,30)</f>
        <v>41424</v>
      </c>
      <c r="E21704" s="5">
        <f t="shared" si="362"/>
        <v>2013</v>
      </c>
      <c r="F21704" s="3" t="s">
        <v>3460</v>
      </c>
      <c r="G21704" s="6">
        <v>2999.2</v>
      </c>
      <c r="H21704" s="5">
        <v>5599</v>
      </c>
    </row>
    <row r="21705" spans="2:8" ht="15" customHeight="1" x14ac:dyDescent="0.4">
      <c r="B21705" s="3" t="s">
        <v>7</v>
      </c>
      <c r="C21705" s="3" t="s">
        <v>138</v>
      </c>
      <c r="D21705" s="4">
        <f>DATE(2013,5,31)</f>
        <v>41425</v>
      </c>
      <c r="E21705" s="5">
        <f t="shared" si="362"/>
        <v>2013</v>
      </c>
      <c r="F21705" s="3" t="s">
        <v>3460</v>
      </c>
      <c r="G21705" s="6">
        <v>1790</v>
      </c>
      <c r="H21705" s="5">
        <v>5598</v>
      </c>
    </row>
    <row r="21706" spans="2:8" ht="15" customHeight="1" x14ac:dyDescent="0.4">
      <c r="B21706" s="3" t="s">
        <v>7</v>
      </c>
      <c r="C21706" s="3" t="s">
        <v>138</v>
      </c>
      <c r="D21706" s="4">
        <f>DATE(2013,6,11)</f>
        <v>41436</v>
      </c>
      <c r="E21706" s="5">
        <f t="shared" si="362"/>
        <v>2013</v>
      </c>
      <c r="F21706" s="3" t="s">
        <v>3460</v>
      </c>
      <c r="G21706" s="6">
        <v>822.88</v>
      </c>
      <c r="H21706" s="5">
        <v>5614</v>
      </c>
    </row>
    <row r="21707" spans="2:8" ht="15" customHeight="1" x14ac:dyDescent="0.4">
      <c r="B21707" s="3" t="s">
        <v>7</v>
      </c>
      <c r="C21707" s="3" t="s">
        <v>138</v>
      </c>
      <c r="D21707" s="4">
        <f>DATE(2013,6,13)</f>
        <v>41438</v>
      </c>
      <c r="E21707" s="5">
        <f t="shared" si="362"/>
        <v>2013</v>
      </c>
      <c r="F21707" s="3" t="s">
        <v>3460</v>
      </c>
      <c r="G21707" s="6">
        <v>924.39</v>
      </c>
      <c r="H21707" s="5">
        <v>5615</v>
      </c>
    </row>
    <row r="21708" spans="2:8" ht="15" customHeight="1" x14ac:dyDescent="0.4">
      <c r="B21708" s="3" t="s">
        <v>7</v>
      </c>
      <c r="C21708" s="3" t="s">
        <v>138</v>
      </c>
      <c r="D21708" s="4">
        <f>DATE(2013,6,20)</f>
        <v>41445</v>
      </c>
      <c r="E21708" s="5">
        <f t="shared" si="362"/>
        <v>2013</v>
      </c>
      <c r="F21708" s="3" t="s">
        <v>3460</v>
      </c>
      <c r="G21708" s="6">
        <v>895</v>
      </c>
      <c r="H21708" s="5">
        <v>5624</v>
      </c>
    </row>
    <row r="21709" spans="2:8" ht="15" customHeight="1" x14ac:dyDescent="0.4">
      <c r="B21709" s="3" t="s">
        <v>7</v>
      </c>
      <c r="C21709" s="3" t="s">
        <v>138</v>
      </c>
      <c r="D21709" s="4">
        <f>DATE(2013,6,27)</f>
        <v>41452</v>
      </c>
      <c r="E21709" s="5">
        <f t="shared" si="362"/>
        <v>2013</v>
      </c>
      <c r="F21709" s="3" t="s">
        <v>3460</v>
      </c>
      <c r="G21709" s="6">
        <v>54.48</v>
      </c>
      <c r="H21709" s="5">
        <v>5669</v>
      </c>
    </row>
    <row r="21710" spans="2:8" ht="15" customHeight="1" x14ac:dyDescent="0.4">
      <c r="B21710" s="3" t="s">
        <v>7</v>
      </c>
      <c r="C21710" s="3" t="s">
        <v>138</v>
      </c>
      <c r="D21710" s="4">
        <f>DATE(2013,6,27)</f>
        <v>41452</v>
      </c>
      <c r="E21710" s="5">
        <f t="shared" si="362"/>
        <v>2013</v>
      </c>
      <c r="F21710" s="3" t="s">
        <v>3460</v>
      </c>
      <c r="G21710" s="6">
        <v>4524</v>
      </c>
      <c r="H21710" s="5">
        <v>5671</v>
      </c>
    </row>
    <row r="21711" spans="2:8" ht="15" customHeight="1" x14ac:dyDescent="0.4">
      <c r="B21711" s="3" t="s">
        <v>7</v>
      </c>
      <c r="C21711" s="3" t="s">
        <v>138</v>
      </c>
      <c r="D21711" s="4">
        <f>DATE(2013,6,28)</f>
        <v>41453</v>
      </c>
      <c r="E21711" s="5">
        <f t="shared" si="362"/>
        <v>2013</v>
      </c>
      <c r="F21711" s="3" t="s">
        <v>3460</v>
      </c>
      <c r="G21711" s="6">
        <v>255.75</v>
      </c>
      <c r="H21711" s="5">
        <v>5643</v>
      </c>
    </row>
    <row r="21712" spans="2:8" ht="15" customHeight="1" x14ac:dyDescent="0.4">
      <c r="B21712" s="3" t="s">
        <v>7</v>
      </c>
      <c r="C21712" s="3" t="s">
        <v>138</v>
      </c>
      <c r="D21712" s="4">
        <f>DATE(2013,7,17)</f>
        <v>41472</v>
      </c>
      <c r="E21712" s="5">
        <f t="shared" si="362"/>
        <v>2013</v>
      </c>
      <c r="F21712" s="3" t="s">
        <v>3460</v>
      </c>
      <c r="G21712" s="6">
        <v>771.45</v>
      </c>
      <c r="H21712" s="5">
        <v>5623</v>
      </c>
    </row>
    <row r="21713" spans="2:8" ht="15" customHeight="1" x14ac:dyDescent="0.4">
      <c r="B21713" s="3" t="s">
        <v>7</v>
      </c>
      <c r="C21713" s="3" t="s">
        <v>138</v>
      </c>
      <c r="D21713" s="4">
        <f>DATE(2013,7,25)</f>
        <v>41480</v>
      </c>
      <c r="E21713" s="5">
        <f t="shared" si="362"/>
        <v>2013</v>
      </c>
      <c r="F21713" s="3" t="s">
        <v>3460</v>
      </c>
      <c r="G21713" s="6">
        <v>136.19999999999999</v>
      </c>
      <c r="H21713" s="5">
        <v>5705</v>
      </c>
    </row>
    <row r="21714" spans="2:8" ht="15" customHeight="1" x14ac:dyDescent="0.4">
      <c r="B21714" s="3" t="s">
        <v>7</v>
      </c>
      <c r="C21714" s="3" t="s">
        <v>138</v>
      </c>
      <c r="D21714" s="4">
        <f>DATE(2013,7,25)</f>
        <v>41480</v>
      </c>
      <c r="E21714" s="5">
        <f t="shared" si="362"/>
        <v>2013</v>
      </c>
      <c r="F21714" s="3" t="s">
        <v>3460</v>
      </c>
      <c r="G21714" s="6">
        <v>1809.6</v>
      </c>
      <c r="H21714" s="5">
        <v>5706</v>
      </c>
    </row>
    <row r="21715" spans="2:8" ht="15" customHeight="1" x14ac:dyDescent="0.4">
      <c r="B21715" s="3" t="s">
        <v>7</v>
      </c>
      <c r="C21715" s="3" t="s">
        <v>138</v>
      </c>
      <c r="D21715" s="4">
        <f>DATE(2013,8,2)</f>
        <v>41488</v>
      </c>
      <c r="E21715" s="5">
        <f t="shared" si="362"/>
        <v>2013</v>
      </c>
      <c r="F21715" s="3" t="s">
        <v>3460</v>
      </c>
      <c r="G21715" s="6">
        <v>895</v>
      </c>
      <c r="H21715" s="5">
        <v>5747</v>
      </c>
    </row>
    <row r="21716" spans="2:8" ht="15" customHeight="1" x14ac:dyDescent="0.4">
      <c r="B21716" s="3" t="s">
        <v>7</v>
      </c>
      <c r="C21716" s="3" t="s">
        <v>138</v>
      </c>
      <c r="D21716" s="4">
        <f>DATE(2013,8,23)</f>
        <v>41509</v>
      </c>
      <c r="E21716" s="5">
        <f t="shared" si="362"/>
        <v>2013</v>
      </c>
      <c r="F21716" s="3" t="s">
        <v>3460</v>
      </c>
      <c r="G21716" s="6">
        <v>796.72</v>
      </c>
      <c r="H21716" s="5">
        <v>5707</v>
      </c>
    </row>
    <row r="21717" spans="2:8" ht="15" customHeight="1" x14ac:dyDescent="0.4">
      <c r="B21717" s="3" t="s">
        <v>7</v>
      </c>
      <c r="C21717" s="3" t="s">
        <v>138</v>
      </c>
      <c r="D21717" s="4">
        <f>DATE(2013,9,3)</f>
        <v>41520</v>
      </c>
      <c r="E21717" s="5">
        <f t="shared" si="362"/>
        <v>2013</v>
      </c>
      <c r="F21717" s="3" t="s">
        <v>3460</v>
      </c>
      <c r="G21717" s="6">
        <v>2136.8000000000002</v>
      </c>
      <c r="H21717" s="5">
        <v>5784</v>
      </c>
    </row>
    <row r="21718" spans="2:8" ht="15" customHeight="1" x14ac:dyDescent="0.4">
      <c r="B21718" s="3" t="s">
        <v>7</v>
      </c>
      <c r="C21718" s="3" t="s">
        <v>138</v>
      </c>
      <c r="D21718" s="4">
        <f>DATE(2013,9,3)</f>
        <v>41520</v>
      </c>
      <c r="E21718" s="5">
        <f t="shared" si="362"/>
        <v>2013</v>
      </c>
      <c r="F21718" s="3" t="s">
        <v>3460</v>
      </c>
      <c r="G21718" s="6">
        <v>2389.9</v>
      </c>
      <c r="H21718" s="5">
        <v>5786</v>
      </c>
    </row>
    <row r="21719" spans="2:8" ht="15" customHeight="1" x14ac:dyDescent="0.4">
      <c r="B21719" s="3" t="s">
        <v>7</v>
      </c>
      <c r="C21719" s="3" t="s">
        <v>138</v>
      </c>
      <c r="D21719" s="4">
        <f>DATE(2013,9,12)</f>
        <v>41529</v>
      </c>
      <c r="E21719" s="5">
        <f t="shared" si="362"/>
        <v>2013</v>
      </c>
      <c r="F21719" s="3" t="s">
        <v>3460</v>
      </c>
      <c r="G21719" s="6">
        <v>2714.4</v>
      </c>
      <c r="H21719" s="5">
        <v>5748</v>
      </c>
    </row>
    <row r="21720" spans="2:8" ht="15" customHeight="1" x14ac:dyDescent="0.4">
      <c r="B21720" s="3" t="s">
        <v>7</v>
      </c>
      <c r="C21720" s="3" t="s">
        <v>138</v>
      </c>
      <c r="D21720" s="4">
        <f>DATE(2013,10,8)</f>
        <v>41555</v>
      </c>
      <c r="E21720" s="5">
        <f t="shared" si="362"/>
        <v>2013</v>
      </c>
      <c r="F21720" s="3" t="s">
        <v>3460</v>
      </c>
      <c r="G21720" s="6">
        <v>4040</v>
      </c>
      <c r="H21720" s="5">
        <v>5810</v>
      </c>
    </row>
    <row r="21721" spans="2:8" ht="15" customHeight="1" x14ac:dyDescent="0.4">
      <c r="B21721" s="3" t="s">
        <v>7</v>
      </c>
      <c r="C21721" s="3" t="s">
        <v>138</v>
      </c>
      <c r="D21721" s="4">
        <f>DATE(2013,10,25)</f>
        <v>41572</v>
      </c>
      <c r="E21721" s="5">
        <f t="shared" si="362"/>
        <v>2013</v>
      </c>
      <c r="F21721" s="3" t="s">
        <v>3460</v>
      </c>
      <c r="G21721" s="6">
        <v>4040</v>
      </c>
      <c r="H21721" s="5">
        <v>5810</v>
      </c>
    </row>
    <row r="21722" spans="2:8" ht="15" customHeight="1" x14ac:dyDescent="0.4">
      <c r="B21722" s="3" t="s">
        <v>7</v>
      </c>
      <c r="C21722" s="3" t="s">
        <v>138</v>
      </c>
      <c r="D21722" s="4">
        <f>DATE(2013,10,25)</f>
        <v>41572</v>
      </c>
      <c r="E21722" s="5">
        <f t="shared" si="362"/>
        <v>2013</v>
      </c>
      <c r="F21722" s="3" t="s">
        <v>3460</v>
      </c>
      <c r="G21722" s="6">
        <v>347.99</v>
      </c>
      <c r="H21722" s="5">
        <v>5852</v>
      </c>
    </row>
    <row r="21723" spans="2:8" ht="15" customHeight="1" x14ac:dyDescent="0.4">
      <c r="B21723" s="3" t="s">
        <v>7</v>
      </c>
      <c r="C21723" s="3" t="s">
        <v>138</v>
      </c>
      <c r="D21723" s="4">
        <f>DATE(2013,10,30)</f>
        <v>41577</v>
      </c>
      <c r="E21723" s="5">
        <f t="shared" si="362"/>
        <v>2013</v>
      </c>
      <c r="F21723" s="3" t="s">
        <v>3460</v>
      </c>
      <c r="G21723" s="6">
        <v>1028.5999999999999</v>
      </c>
      <c r="H21723" s="5">
        <v>5871</v>
      </c>
    </row>
    <row r="21724" spans="2:8" ht="15" customHeight="1" x14ac:dyDescent="0.4">
      <c r="B21724" s="3" t="s">
        <v>7</v>
      </c>
      <c r="C21724" s="3" t="s">
        <v>138</v>
      </c>
      <c r="D21724" s="4">
        <f>DATE(2013,11,11)</f>
        <v>41589</v>
      </c>
      <c r="E21724" s="5">
        <f t="shared" si="362"/>
        <v>2013</v>
      </c>
      <c r="F21724" s="3" t="s">
        <v>3460</v>
      </c>
      <c r="G21724" s="6">
        <v>514.29999999999995</v>
      </c>
      <c r="H21724" s="5">
        <v>5884</v>
      </c>
    </row>
    <row r="21725" spans="2:8" ht="15" customHeight="1" x14ac:dyDescent="0.4">
      <c r="B21725" s="3" t="s">
        <v>7</v>
      </c>
      <c r="C21725" s="3" t="s">
        <v>138</v>
      </c>
      <c r="D21725" s="4">
        <f>DATE(2013,11,13)</f>
        <v>41591</v>
      </c>
      <c r="E21725" s="5">
        <f t="shared" si="362"/>
        <v>2013</v>
      </c>
      <c r="F21725" s="3" t="s">
        <v>3460</v>
      </c>
      <c r="G21725" s="6">
        <v>2148</v>
      </c>
      <c r="H21725" s="5">
        <v>5886</v>
      </c>
    </row>
    <row r="21726" spans="2:8" ht="15" customHeight="1" x14ac:dyDescent="0.4">
      <c r="B21726" s="3" t="s">
        <v>7</v>
      </c>
      <c r="C21726" s="3" t="s">
        <v>138</v>
      </c>
      <c r="D21726" s="4">
        <f>DATE(2013,11,26)</f>
        <v>41604</v>
      </c>
      <c r="E21726" s="5">
        <f t="shared" si="362"/>
        <v>2013</v>
      </c>
      <c r="F21726" s="3" t="s">
        <v>3460</v>
      </c>
      <c r="G21726" s="6">
        <v>4867.5</v>
      </c>
      <c r="H21726" s="5">
        <v>5924</v>
      </c>
    </row>
    <row r="21727" spans="2:8" ht="15" customHeight="1" x14ac:dyDescent="0.4">
      <c r="B21727" s="3" t="s">
        <v>7</v>
      </c>
      <c r="C21727" s="3" t="s">
        <v>138</v>
      </c>
      <c r="D21727" s="4">
        <f>DATE(2013,11,26)</f>
        <v>41604</v>
      </c>
      <c r="E21727" s="5">
        <f t="shared" si="362"/>
        <v>2013</v>
      </c>
      <c r="F21727" s="3" t="s">
        <v>3460</v>
      </c>
      <c r="G21727" s="6">
        <v>895</v>
      </c>
      <c r="H21727" s="5">
        <v>5923</v>
      </c>
    </row>
    <row r="21728" spans="2:8" ht="15" customHeight="1" x14ac:dyDescent="0.4">
      <c r="B21728" s="3" t="s">
        <v>7</v>
      </c>
      <c r="C21728" s="3" t="s">
        <v>138</v>
      </c>
      <c r="D21728" s="4">
        <f>DATE(2013,11,26)</f>
        <v>41604</v>
      </c>
      <c r="E21728" s="5">
        <f t="shared" si="362"/>
        <v>2013</v>
      </c>
      <c r="F21728" s="3" t="s">
        <v>3460</v>
      </c>
      <c r="G21728" s="6">
        <v>4040</v>
      </c>
      <c r="H21728" s="5">
        <v>5925</v>
      </c>
    </row>
    <row r="21729" spans="2:8" ht="15" customHeight="1" x14ac:dyDescent="0.4">
      <c r="B21729" s="3" t="s">
        <v>7</v>
      </c>
      <c r="C21729" s="3" t="s">
        <v>138</v>
      </c>
      <c r="D21729" s="4">
        <f>DATE(2013,11,26)</f>
        <v>41604</v>
      </c>
      <c r="E21729" s="5">
        <f t="shared" si="362"/>
        <v>2013</v>
      </c>
      <c r="F21729" s="3" t="s">
        <v>3460</v>
      </c>
      <c r="G21729" s="6">
        <v>1616</v>
      </c>
      <c r="H21729" s="5">
        <v>5927</v>
      </c>
    </row>
    <row r="21730" spans="2:8" ht="15" customHeight="1" x14ac:dyDescent="0.4">
      <c r="B21730" s="3" t="s">
        <v>7</v>
      </c>
      <c r="C21730" s="3" t="s">
        <v>138</v>
      </c>
      <c r="D21730" s="4">
        <f>DATE(2013,11,26)</f>
        <v>41604</v>
      </c>
      <c r="E21730" s="5">
        <f t="shared" si="362"/>
        <v>2013</v>
      </c>
      <c r="F21730" s="3" t="s">
        <v>3460</v>
      </c>
      <c r="G21730" s="6">
        <v>782.73</v>
      </c>
      <c r="H21730" s="5">
        <v>5929</v>
      </c>
    </row>
    <row r="21731" spans="2:8" ht="15" customHeight="1" x14ac:dyDescent="0.4">
      <c r="B21731" s="3" t="s">
        <v>7</v>
      </c>
      <c r="C21731" s="3" t="s">
        <v>138</v>
      </c>
      <c r="D21731" s="4">
        <f>DATE(2013,12,9)</f>
        <v>41617</v>
      </c>
      <c r="E21731" s="5">
        <f t="shared" si="362"/>
        <v>2013</v>
      </c>
      <c r="F21731" s="3" t="s">
        <v>3460</v>
      </c>
      <c r="G21731" s="6">
        <v>3245</v>
      </c>
      <c r="H21731" s="5">
        <v>5928</v>
      </c>
    </row>
    <row r="21732" spans="2:8" ht="15" customHeight="1" x14ac:dyDescent="0.4">
      <c r="B21732" s="3" t="s">
        <v>7</v>
      </c>
      <c r="C21732" s="3" t="s">
        <v>138</v>
      </c>
      <c r="D21732" s="4">
        <f>DATE(2013,12,17)</f>
        <v>41625</v>
      </c>
      <c r="E21732" s="5">
        <f t="shared" si="362"/>
        <v>2013</v>
      </c>
      <c r="F21732" s="3" t="s">
        <v>3460</v>
      </c>
      <c r="G21732" s="6">
        <v>922.48</v>
      </c>
      <c r="H21732" s="5">
        <v>5931</v>
      </c>
    </row>
    <row r="21733" spans="2:8" ht="15" customHeight="1" x14ac:dyDescent="0.4">
      <c r="B21733" s="3" t="s">
        <v>7</v>
      </c>
      <c r="C21733" s="3" t="s">
        <v>138</v>
      </c>
      <c r="D21733" s="4">
        <f>DATE(2013,12,17)</f>
        <v>41625</v>
      </c>
      <c r="E21733" s="5">
        <f t="shared" si="362"/>
        <v>2013</v>
      </c>
      <c r="F21733" s="3" t="s">
        <v>3460</v>
      </c>
      <c r="G21733" s="6">
        <v>68.099999999999994</v>
      </c>
      <c r="H21733" s="5">
        <v>5951</v>
      </c>
    </row>
    <row r="21734" spans="2:8" ht="15" customHeight="1" x14ac:dyDescent="0.4">
      <c r="B21734" s="3" t="s">
        <v>7</v>
      </c>
      <c r="C21734" s="3" t="s">
        <v>138</v>
      </c>
      <c r="D21734" s="4">
        <f>DATE(2014,1,15)</f>
        <v>41654</v>
      </c>
      <c r="E21734" s="5">
        <f t="shared" si="362"/>
        <v>2014</v>
      </c>
      <c r="F21734" s="3" t="s">
        <v>3460</v>
      </c>
      <c r="G21734" s="6">
        <v>4140</v>
      </c>
      <c r="H21734" s="5">
        <v>5958</v>
      </c>
    </row>
    <row r="21735" spans="2:8" ht="15" customHeight="1" x14ac:dyDescent="0.4">
      <c r="B21735" s="3" t="s">
        <v>7</v>
      </c>
      <c r="C21735" s="3" t="s">
        <v>138</v>
      </c>
      <c r="D21735" s="4">
        <f>DATE(2014,1,15)</f>
        <v>41654</v>
      </c>
      <c r="E21735" s="5">
        <f t="shared" si="362"/>
        <v>2014</v>
      </c>
      <c r="F21735" s="3" t="s">
        <v>3460</v>
      </c>
      <c r="G21735" s="6">
        <v>1028.5999999999999</v>
      </c>
      <c r="H21735" s="5">
        <v>5971</v>
      </c>
    </row>
    <row r="21736" spans="2:8" ht="15" customHeight="1" x14ac:dyDescent="0.4">
      <c r="B21736" s="3" t="s">
        <v>7</v>
      </c>
      <c r="C21736" s="3" t="s">
        <v>138</v>
      </c>
      <c r="D21736" s="4">
        <f>DATE(2014,1,15)</f>
        <v>41654</v>
      </c>
      <c r="E21736" s="5">
        <f t="shared" si="362"/>
        <v>2014</v>
      </c>
      <c r="F21736" s="3" t="s">
        <v>3460</v>
      </c>
      <c r="G21736" s="6">
        <v>1790</v>
      </c>
      <c r="H21736" s="5">
        <v>5972</v>
      </c>
    </row>
    <row r="21737" spans="2:8" ht="15" customHeight="1" x14ac:dyDescent="0.4">
      <c r="B21737" s="3" t="s">
        <v>7</v>
      </c>
      <c r="C21737" s="3" t="s">
        <v>138</v>
      </c>
      <c r="D21737" s="4">
        <f>DATE(2014,1,15)</f>
        <v>41654</v>
      </c>
      <c r="E21737" s="5">
        <f t="shared" si="362"/>
        <v>2014</v>
      </c>
      <c r="F21737" s="3" t="s">
        <v>3460</v>
      </c>
      <c r="G21737" s="6">
        <v>3245</v>
      </c>
      <c r="H21737" s="5">
        <v>5969</v>
      </c>
    </row>
    <row r="21738" spans="2:8" ht="15" customHeight="1" x14ac:dyDescent="0.4">
      <c r="B21738" s="3" t="s">
        <v>7</v>
      </c>
      <c r="C21738" s="3" t="s">
        <v>138</v>
      </c>
      <c r="D21738" s="4">
        <f>DATE(2014,1,20)</f>
        <v>41659</v>
      </c>
      <c r="E21738" s="5">
        <f t="shared" si="362"/>
        <v>2014</v>
      </c>
      <c r="F21738" s="3" t="s">
        <v>3460</v>
      </c>
      <c r="G21738" s="6">
        <v>2020</v>
      </c>
      <c r="H21738" s="5">
        <v>5956</v>
      </c>
    </row>
    <row r="21739" spans="2:8" ht="15" customHeight="1" x14ac:dyDescent="0.4">
      <c r="B21739" s="3" t="s">
        <v>7</v>
      </c>
      <c r="C21739" s="3" t="s">
        <v>138</v>
      </c>
      <c r="D21739" s="4">
        <f>DATE(2014,1,29)</f>
        <v>41668</v>
      </c>
      <c r="E21739" s="5">
        <f t="shared" si="362"/>
        <v>2014</v>
      </c>
      <c r="F21739" s="3" t="s">
        <v>3460</v>
      </c>
      <c r="G21739" s="6">
        <v>5428.86</v>
      </c>
      <c r="H21739" s="5">
        <v>5954</v>
      </c>
    </row>
    <row r="21740" spans="2:8" ht="15" customHeight="1" x14ac:dyDescent="0.4">
      <c r="B21740" s="3" t="s">
        <v>7</v>
      </c>
      <c r="C21740" s="3" t="s">
        <v>138</v>
      </c>
      <c r="D21740" s="4">
        <f>DATE(2014,1,29)</f>
        <v>41668</v>
      </c>
      <c r="E21740" s="5">
        <f t="shared" si="362"/>
        <v>2014</v>
      </c>
      <c r="F21740" s="3" t="s">
        <v>3460</v>
      </c>
      <c r="G21740" s="6">
        <v>7676</v>
      </c>
      <c r="H21740" s="5">
        <v>5956</v>
      </c>
    </row>
    <row r="21741" spans="2:8" ht="15" customHeight="1" x14ac:dyDescent="0.4">
      <c r="B21741" s="3" t="s">
        <v>7</v>
      </c>
      <c r="C21741" s="3" t="s">
        <v>138</v>
      </c>
      <c r="D21741" s="4">
        <f>DATE(2014,2,6)</f>
        <v>41676</v>
      </c>
      <c r="E21741" s="5">
        <f t="shared" si="362"/>
        <v>2014</v>
      </c>
      <c r="F21741" s="3" t="s">
        <v>3460</v>
      </c>
      <c r="G21741" s="6">
        <v>102.15</v>
      </c>
      <c r="H21741" s="5">
        <v>5998</v>
      </c>
    </row>
    <row r="21742" spans="2:8" ht="15" customHeight="1" x14ac:dyDescent="0.4">
      <c r="B21742" s="3" t="s">
        <v>7</v>
      </c>
      <c r="C21742" s="3" t="s">
        <v>138</v>
      </c>
      <c r="D21742" s="4">
        <f>DATE(2014,2,6)</f>
        <v>41676</v>
      </c>
      <c r="E21742" s="5">
        <f t="shared" si="362"/>
        <v>2014</v>
      </c>
      <c r="F21742" s="3" t="s">
        <v>3460</v>
      </c>
      <c r="G21742" s="6">
        <v>1622.5</v>
      </c>
      <c r="H21742" s="5">
        <v>6024</v>
      </c>
    </row>
    <row r="21743" spans="2:8" ht="15" customHeight="1" x14ac:dyDescent="0.4">
      <c r="B21743" s="3" t="s">
        <v>7</v>
      </c>
      <c r="C21743" s="3" t="s">
        <v>138</v>
      </c>
      <c r="D21743" s="4">
        <f>DATE(2014,2,11)</f>
        <v>41681</v>
      </c>
      <c r="E21743" s="5">
        <f t="shared" si="362"/>
        <v>2014</v>
      </c>
      <c r="F21743" s="3" t="s">
        <v>3460</v>
      </c>
      <c r="G21743" s="6">
        <v>1790</v>
      </c>
      <c r="H21743" s="5">
        <v>6025</v>
      </c>
    </row>
    <row r="21744" spans="2:8" ht="15" customHeight="1" x14ac:dyDescent="0.4">
      <c r="B21744" s="3" t="s">
        <v>7</v>
      </c>
      <c r="C21744" s="3" t="s">
        <v>138</v>
      </c>
      <c r="D21744" s="4">
        <f>DATE(2014,2,14)</f>
        <v>41684</v>
      </c>
      <c r="E21744" s="5">
        <f t="shared" si="362"/>
        <v>2014</v>
      </c>
      <c r="F21744" s="3" t="s">
        <v>3460</v>
      </c>
      <c r="G21744" s="6">
        <v>7651.2</v>
      </c>
      <c r="H21744" s="5">
        <v>5968</v>
      </c>
    </row>
    <row r="21745" spans="2:8" ht="15" customHeight="1" x14ac:dyDescent="0.4">
      <c r="B21745" s="3" t="s">
        <v>7</v>
      </c>
      <c r="C21745" s="3" t="s">
        <v>138</v>
      </c>
      <c r="D21745" s="4">
        <f>DATE(2014,2,18)</f>
        <v>41688</v>
      </c>
      <c r="E21745" s="5">
        <f t="shared" si="362"/>
        <v>2014</v>
      </c>
      <c r="F21745" s="3" t="s">
        <v>3460</v>
      </c>
      <c r="G21745" s="6">
        <v>796.72</v>
      </c>
      <c r="H21745" s="5">
        <v>6026</v>
      </c>
    </row>
    <row r="21746" spans="2:8" ht="15" customHeight="1" x14ac:dyDescent="0.4">
      <c r="B21746" s="3" t="s">
        <v>7</v>
      </c>
      <c r="C21746" s="3" t="s">
        <v>138</v>
      </c>
      <c r="D21746" s="4">
        <f>DATE(2014,2,25)</f>
        <v>41695</v>
      </c>
      <c r="E21746" s="5">
        <f t="shared" si="362"/>
        <v>2014</v>
      </c>
      <c r="F21746" s="3" t="s">
        <v>3460</v>
      </c>
      <c r="G21746" s="6">
        <v>450</v>
      </c>
      <c r="H21746" s="5">
        <v>6009</v>
      </c>
    </row>
    <row r="21747" spans="2:8" ht="15" customHeight="1" x14ac:dyDescent="0.4">
      <c r="B21747" s="3" t="s">
        <v>7</v>
      </c>
      <c r="C21747" s="3" t="s">
        <v>138</v>
      </c>
      <c r="D21747" s="4">
        <f>DATE(2014,3,11)</f>
        <v>41709</v>
      </c>
      <c r="E21747" s="5">
        <f t="shared" si="362"/>
        <v>2014</v>
      </c>
      <c r="F21747" s="3" t="s">
        <v>3460</v>
      </c>
      <c r="G21747" s="6">
        <v>2159.8000000000002</v>
      </c>
      <c r="H21747" s="5">
        <v>6068</v>
      </c>
    </row>
    <row r="21748" spans="2:8" ht="15" customHeight="1" x14ac:dyDescent="0.4">
      <c r="B21748" s="3" t="s">
        <v>7</v>
      </c>
      <c r="C21748" s="3" t="s">
        <v>138</v>
      </c>
      <c r="D21748" s="4">
        <f>DATE(2014,3,13)</f>
        <v>41711</v>
      </c>
      <c r="E21748" s="5">
        <f t="shared" si="362"/>
        <v>2014</v>
      </c>
      <c r="F21748" s="3" t="s">
        <v>3460</v>
      </c>
      <c r="G21748" s="6">
        <v>985.3</v>
      </c>
      <c r="H21748" s="5">
        <v>6051</v>
      </c>
    </row>
    <row r="21749" spans="2:8" ht="15" customHeight="1" x14ac:dyDescent="0.4">
      <c r="B21749" s="3" t="s">
        <v>7</v>
      </c>
      <c r="C21749" s="3" t="s">
        <v>138</v>
      </c>
      <c r="D21749" s="4">
        <f>DATE(2014,3,14)</f>
        <v>41712</v>
      </c>
      <c r="E21749" s="5">
        <f t="shared" si="362"/>
        <v>2014</v>
      </c>
      <c r="F21749" s="3" t="s">
        <v>3460</v>
      </c>
      <c r="G21749" s="6">
        <v>1790</v>
      </c>
      <c r="H21749" s="5">
        <v>6066</v>
      </c>
    </row>
    <row r="21750" spans="2:8" ht="15" customHeight="1" x14ac:dyDescent="0.4">
      <c r="B21750" s="3" t="s">
        <v>7</v>
      </c>
      <c r="C21750" s="3" t="s">
        <v>138</v>
      </c>
      <c r="D21750" s="4">
        <f>DATE(2014,3,14)</f>
        <v>41712</v>
      </c>
      <c r="E21750" s="5">
        <f t="shared" si="362"/>
        <v>2014</v>
      </c>
      <c r="F21750" s="3" t="s">
        <v>3460</v>
      </c>
      <c r="G21750" s="6">
        <v>918.34</v>
      </c>
      <c r="H21750" s="5">
        <v>6073</v>
      </c>
    </row>
    <row r="21751" spans="2:8" ht="15" customHeight="1" x14ac:dyDescent="0.4">
      <c r="B21751" s="3" t="s">
        <v>7</v>
      </c>
      <c r="C21751" s="3" t="s">
        <v>138</v>
      </c>
      <c r="D21751" s="4">
        <f>DATE(2014,3,14)</f>
        <v>41712</v>
      </c>
      <c r="E21751" s="5">
        <f t="shared" si="362"/>
        <v>2014</v>
      </c>
      <c r="F21751" s="3" t="s">
        <v>3460</v>
      </c>
      <c r="G21751" s="6">
        <v>1627.2</v>
      </c>
      <c r="H21751" s="5">
        <v>6089</v>
      </c>
    </row>
    <row r="21752" spans="2:8" ht="15" customHeight="1" x14ac:dyDescent="0.4">
      <c r="B21752" s="3" t="s">
        <v>7</v>
      </c>
      <c r="C21752" s="3" t="s">
        <v>138</v>
      </c>
      <c r="D21752" s="4">
        <f>DATE(2014,3,14)</f>
        <v>41712</v>
      </c>
      <c r="E21752" s="5">
        <f t="shared" si="362"/>
        <v>2014</v>
      </c>
      <c r="F21752" s="3" t="s">
        <v>3460</v>
      </c>
      <c r="G21752" s="6">
        <v>1790</v>
      </c>
      <c r="H21752" s="5">
        <v>6053</v>
      </c>
    </row>
    <row r="21753" spans="2:8" ht="15" customHeight="1" x14ac:dyDescent="0.4">
      <c r="B21753" s="3" t="s">
        <v>7</v>
      </c>
      <c r="C21753" s="3" t="s">
        <v>138</v>
      </c>
      <c r="D21753" s="4">
        <f>DATE(2014,3,19)</f>
        <v>41717</v>
      </c>
      <c r="E21753" s="5">
        <f t="shared" si="362"/>
        <v>2014</v>
      </c>
      <c r="F21753" s="3" t="s">
        <v>3460</v>
      </c>
      <c r="G21753" s="6">
        <v>2013.9</v>
      </c>
      <c r="H21753" s="5">
        <v>6055</v>
      </c>
    </row>
    <row r="21754" spans="2:8" ht="15" customHeight="1" x14ac:dyDescent="0.4">
      <c r="B21754" s="3" t="s">
        <v>7</v>
      </c>
      <c r="C21754" s="3" t="s">
        <v>138</v>
      </c>
      <c r="D21754" s="4">
        <f>DATE(2014,3,26)</f>
        <v>41724</v>
      </c>
      <c r="E21754" s="5">
        <f t="shared" si="362"/>
        <v>2014</v>
      </c>
      <c r="F21754" s="3" t="s">
        <v>3460</v>
      </c>
      <c r="G21754" s="6">
        <v>68.099999999999994</v>
      </c>
      <c r="H21754" s="5">
        <v>6117</v>
      </c>
    </row>
    <row r="21755" spans="2:8" ht="15" customHeight="1" x14ac:dyDescent="0.4">
      <c r="B21755" s="3" t="s">
        <v>7</v>
      </c>
      <c r="C21755" s="3" t="s">
        <v>138</v>
      </c>
      <c r="D21755" s="4">
        <f>DATE(2014,3,27)</f>
        <v>41725</v>
      </c>
      <c r="E21755" s="5">
        <f t="shared" si="362"/>
        <v>2014</v>
      </c>
      <c r="F21755" s="3" t="s">
        <v>3460</v>
      </c>
      <c r="G21755" s="6">
        <v>523.70000000000005</v>
      </c>
      <c r="H21755" s="5">
        <v>6115</v>
      </c>
    </row>
    <row r="21756" spans="2:8" ht="15" customHeight="1" x14ac:dyDescent="0.4">
      <c r="B21756" s="3" t="s">
        <v>7</v>
      </c>
      <c r="C21756" s="3" t="s">
        <v>138</v>
      </c>
      <c r="D21756" s="4">
        <f>DATE(2014,3,27)</f>
        <v>41725</v>
      </c>
      <c r="E21756" s="5">
        <f t="shared" si="362"/>
        <v>2014</v>
      </c>
      <c r="F21756" s="3" t="s">
        <v>3460</v>
      </c>
      <c r="G21756" s="6">
        <v>985.3</v>
      </c>
      <c r="H21756" s="5">
        <v>6123</v>
      </c>
    </row>
    <row r="21757" spans="2:8" ht="15" customHeight="1" x14ac:dyDescent="0.4">
      <c r="B21757" s="3" t="s">
        <v>7</v>
      </c>
      <c r="C21757" s="3" t="s">
        <v>138</v>
      </c>
      <c r="D21757" s="4">
        <f>DATE(2014,4,1)</f>
        <v>41730</v>
      </c>
      <c r="E21757" s="5">
        <f t="shared" si="362"/>
        <v>2014</v>
      </c>
      <c r="F21757" s="3" t="s">
        <v>3460</v>
      </c>
      <c r="G21757" s="6">
        <v>1074.5999999999999</v>
      </c>
      <c r="H21757" s="5">
        <v>6075</v>
      </c>
    </row>
    <row r="21758" spans="2:8" ht="15" customHeight="1" x14ac:dyDescent="0.4">
      <c r="B21758" s="3" t="s">
        <v>7</v>
      </c>
      <c r="C21758" s="3" t="s">
        <v>138</v>
      </c>
      <c r="D21758" s="4">
        <f>DATE(2014,4,3)</f>
        <v>41732</v>
      </c>
      <c r="E21758" s="5">
        <f t="shared" si="362"/>
        <v>2014</v>
      </c>
      <c r="F21758" s="3" t="s">
        <v>3460</v>
      </c>
      <c r="G21758" s="6">
        <v>5293.1</v>
      </c>
      <c r="H21758" s="5">
        <v>6114</v>
      </c>
    </row>
    <row r="21759" spans="2:8" ht="15" customHeight="1" x14ac:dyDescent="0.4">
      <c r="B21759" s="3" t="s">
        <v>7</v>
      </c>
      <c r="C21759" s="3" t="s">
        <v>138</v>
      </c>
      <c r="D21759" s="4">
        <f>DATE(2014,5,8)</f>
        <v>41767</v>
      </c>
      <c r="E21759" s="5">
        <f t="shared" si="362"/>
        <v>2014</v>
      </c>
      <c r="F21759" s="3" t="s">
        <v>3460</v>
      </c>
      <c r="G21759" s="6">
        <v>26239.49</v>
      </c>
      <c r="H21759" s="5">
        <v>6122</v>
      </c>
    </row>
    <row r="21760" spans="2:8" ht="15" customHeight="1" x14ac:dyDescent="0.4">
      <c r="B21760" s="3" t="s">
        <v>7</v>
      </c>
      <c r="C21760" s="3" t="s">
        <v>138</v>
      </c>
      <c r="D21760" s="4">
        <f>DATE(2014,5,8)</f>
        <v>41767</v>
      </c>
      <c r="E21760" s="5">
        <f t="shared" si="362"/>
        <v>2014</v>
      </c>
      <c r="F21760" s="3" t="s">
        <v>3460</v>
      </c>
      <c r="G21760" s="6">
        <v>626.5</v>
      </c>
      <c r="H21760" s="5">
        <v>6179</v>
      </c>
    </row>
    <row r="21761" spans="2:8" ht="15" customHeight="1" x14ac:dyDescent="0.4">
      <c r="B21761" s="3" t="s">
        <v>7</v>
      </c>
      <c r="C21761" s="3" t="s">
        <v>138</v>
      </c>
      <c r="D21761" s="4">
        <f>DATE(2014,7,16)</f>
        <v>41836</v>
      </c>
      <c r="E21761" s="5">
        <f t="shared" si="362"/>
        <v>2014</v>
      </c>
      <c r="F21761" s="3" t="s">
        <v>3460</v>
      </c>
      <c r="G21761" s="6">
        <v>4514.2</v>
      </c>
      <c r="H21761" s="5">
        <v>6283</v>
      </c>
    </row>
    <row r="21762" spans="2:8" ht="15" customHeight="1" x14ac:dyDescent="0.4">
      <c r="B21762" s="3" t="s">
        <v>7</v>
      </c>
      <c r="C21762" s="3" t="s">
        <v>138</v>
      </c>
      <c r="D21762" s="4">
        <f>DATE(2014,8,4)</f>
        <v>41855</v>
      </c>
      <c r="E21762" s="5">
        <f t="shared" si="362"/>
        <v>2014</v>
      </c>
      <c r="F21762" s="3" t="s">
        <v>3460</v>
      </c>
      <c r="G21762" s="6">
        <v>654</v>
      </c>
      <c r="H21762" s="5">
        <v>6281</v>
      </c>
    </row>
    <row r="21763" spans="2:8" ht="15" customHeight="1" x14ac:dyDescent="0.4">
      <c r="B21763" s="3" t="s">
        <v>7</v>
      </c>
      <c r="C21763" s="3" t="s">
        <v>138</v>
      </c>
      <c r="D21763" s="4">
        <f>DATE(2014,8,7)</f>
        <v>41858</v>
      </c>
      <c r="E21763" s="5">
        <f t="shared" ref="E21763:E21826" si="363">YEAR(D21763)</f>
        <v>2014</v>
      </c>
      <c r="F21763" s="3" t="s">
        <v>3460</v>
      </c>
      <c r="G21763" s="6">
        <v>5959.4</v>
      </c>
      <c r="H21763" s="5">
        <v>6284</v>
      </c>
    </row>
    <row r="21764" spans="2:8" ht="15" customHeight="1" x14ac:dyDescent="0.4">
      <c r="B21764" s="3" t="s">
        <v>7</v>
      </c>
      <c r="C21764" s="3" t="s">
        <v>138</v>
      </c>
      <c r="D21764" s="4">
        <f>DATE(2014,8,15)</f>
        <v>41866</v>
      </c>
      <c r="E21764" s="5">
        <f t="shared" si="363"/>
        <v>2014</v>
      </c>
      <c r="F21764" s="3" t="s">
        <v>3460</v>
      </c>
      <c r="G21764" s="6">
        <v>3245</v>
      </c>
      <c r="H21764" s="5">
        <v>6330</v>
      </c>
    </row>
    <row r="21765" spans="2:8" ht="15" customHeight="1" x14ac:dyDescent="0.4">
      <c r="B21765" s="3" t="s">
        <v>7</v>
      </c>
      <c r="C21765" s="3" t="s">
        <v>138</v>
      </c>
      <c r="D21765" s="4">
        <f>DATE(2014,8,21)</f>
        <v>41872</v>
      </c>
      <c r="E21765" s="5">
        <f t="shared" si="363"/>
        <v>2014</v>
      </c>
      <c r="F21765" s="3" t="s">
        <v>3460</v>
      </c>
      <c r="G21765" s="6">
        <v>5426</v>
      </c>
      <c r="H21765" s="5">
        <v>6322</v>
      </c>
    </row>
    <row r="21766" spans="2:8" ht="15" customHeight="1" x14ac:dyDescent="0.4">
      <c r="B21766" s="3" t="s">
        <v>7</v>
      </c>
      <c r="C21766" s="3" t="s">
        <v>138</v>
      </c>
      <c r="D21766" s="4">
        <f>DATE(2014,8,21)</f>
        <v>41872</v>
      </c>
      <c r="E21766" s="5">
        <f t="shared" si="363"/>
        <v>2014</v>
      </c>
      <c r="F21766" s="3" t="s">
        <v>3460</v>
      </c>
      <c r="G21766" s="6">
        <v>1542.9</v>
      </c>
      <c r="H21766" s="5">
        <v>6331</v>
      </c>
    </row>
    <row r="21767" spans="2:8" ht="15" customHeight="1" x14ac:dyDescent="0.4">
      <c r="B21767" s="3" t="s">
        <v>7</v>
      </c>
      <c r="C21767" s="3" t="s">
        <v>138</v>
      </c>
      <c r="D21767" s="4">
        <f>DATE(2014,8,22)</f>
        <v>41873</v>
      </c>
      <c r="E21767" s="5">
        <f t="shared" si="363"/>
        <v>2014</v>
      </c>
      <c r="F21767" s="3" t="s">
        <v>3460</v>
      </c>
      <c r="G21767" s="6">
        <v>4415.92</v>
      </c>
      <c r="H21767" s="5">
        <v>6320</v>
      </c>
    </row>
    <row r="21768" spans="2:8" ht="15" customHeight="1" x14ac:dyDescent="0.4">
      <c r="B21768" s="3" t="s">
        <v>7</v>
      </c>
      <c r="C21768" s="3" t="s">
        <v>138</v>
      </c>
      <c r="D21768" s="4">
        <f>DATE(2014,9,12)</f>
        <v>41894</v>
      </c>
      <c r="E21768" s="5">
        <f t="shared" si="363"/>
        <v>2014</v>
      </c>
      <c r="F21768" s="3" t="s">
        <v>3460</v>
      </c>
      <c r="G21768" s="6">
        <v>136.19999999999999</v>
      </c>
      <c r="H21768" s="5">
        <v>6395</v>
      </c>
    </row>
    <row r="21769" spans="2:8" ht="15" customHeight="1" x14ac:dyDescent="0.4">
      <c r="B21769" s="3" t="s">
        <v>7</v>
      </c>
      <c r="C21769" s="3" t="s">
        <v>138</v>
      </c>
      <c r="D21769" s="4">
        <f>DATE(2014,9,18)</f>
        <v>41900</v>
      </c>
      <c r="E21769" s="5">
        <f t="shared" si="363"/>
        <v>2014</v>
      </c>
      <c r="F21769" s="3" t="s">
        <v>3460</v>
      </c>
      <c r="G21769" s="6">
        <v>345.93</v>
      </c>
      <c r="H21769" s="5">
        <v>6413</v>
      </c>
    </row>
    <row r="21770" spans="2:8" ht="15" customHeight="1" x14ac:dyDescent="0.4">
      <c r="B21770" s="3" t="s">
        <v>7</v>
      </c>
      <c r="C21770" s="3" t="s">
        <v>138</v>
      </c>
      <c r="D21770" s="4">
        <f>DATE(2014,9,25)</f>
        <v>41907</v>
      </c>
      <c r="E21770" s="5">
        <f t="shared" si="363"/>
        <v>2014</v>
      </c>
      <c r="F21770" s="3" t="s">
        <v>3460</v>
      </c>
      <c r="G21770" s="6">
        <v>2996.79</v>
      </c>
      <c r="H21770" s="5">
        <v>6414</v>
      </c>
    </row>
    <row r="21771" spans="2:8" ht="15" customHeight="1" x14ac:dyDescent="0.4">
      <c r="B21771" s="3" t="s">
        <v>7</v>
      </c>
      <c r="C21771" s="3" t="s">
        <v>138</v>
      </c>
      <c r="D21771" s="4">
        <f>DATE(2014,9,25)</f>
        <v>41907</v>
      </c>
      <c r="E21771" s="5">
        <f t="shared" si="363"/>
        <v>2014</v>
      </c>
      <c r="F21771" s="3" t="s">
        <v>3460</v>
      </c>
      <c r="G21771" s="6">
        <v>1809.6</v>
      </c>
      <c r="H21771" s="5">
        <v>6417</v>
      </c>
    </row>
    <row r="21772" spans="2:8" ht="15" customHeight="1" x14ac:dyDescent="0.4">
      <c r="B21772" s="3" t="s">
        <v>7</v>
      </c>
      <c r="C21772" s="3" t="s">
        <v>138</v>
      </c>
      <c r="D21772" s="4">
        <f>DATE(2014,10,30)</f>
        <v>41942</v>
      </c>
      <c r="E21772" s="5">
        <f t="shared" si="363"/>
        <v>2014</v>
      </c>
      <c r="F21772" s="3" t="s">
        <v>3460</v>
      </c>
      <c r="G21772" s="6">
        <v>925.86</v>
      </c>
      <c r="H21772" s="5">
        <v>6439</v>
      </c>
    </row>
    <row r="21773" spans="2:8" ht="15" customHeight="1" x14ac:dyDescent="0.4">
      <c r="B21773" s="3" t="s">
        <v>7</v>
      </c>
      <c r="C21773" s="3" t="s">
        <v>138</v>
      </c>
      <c r="D21773" s="4">
        <f>DATE(2014,11,7)</f>
        <v>41950</v>
      </c>
      <c r="E21773" s="5">
        <f t="shared" si="363"/>
        <v>2014</v>
      </c>
      <c r="F21773" s="3" t="s">
        <v>3460</v>
      </c>
      <c r="G21773" s="6">
        <v>7651.2</v>
      </c>
      <c r="H21773" s="5">
        <v>6444</v>
      </c>
    </row>
    <row r="21774" spans="2:8" ht="15" customHeight="1" x14ac:dyDescent="0.4">
      <c r="B21774" s="3" t="s">
        <v>7</v>
      </c>
      <c r="C21774" s="3" t="s">
        <v>138</v>
      </c>
      <c r="D21774" s="4">
        <f>DATE(2014,11,12)</f>
        <v>41955</v>
      </c>
      <c r="E21774" s="5">
        <f t="shared" si="363"/>
        <v>2014</v>
      </c>
      <c r="F21774" s="3" t="s">
        <v>3460</v>
      </c>
      <c r="G21774" s="6">
        <v>1622.5</v>
      </c>
      <c r="H21774" s="5">
        <v>6442</v>
      </c>
    </row>
    <row r="21775" spans="2:8" ht="15" customHeight="1" x14ac:dyDescent="0.4">
      <c r="B21775" s="3" t="s">
        <v>7</v>
      </c>
      <c r="C21775" s="3" t="s">
        <v>138</v>
      </c>
      <c r="D21775" s="4">
        <f>DATE(2014,11,20)</f>
        <v>41963</v>
      </c>
      <c r="E21775" s="5">
        <f t="shared" si="363"/>
        <v>2014</v>
      </c>
      <c r="F21775" s="3" t="s">
        <v>3460</v>
      </c>
      <c r="G21775" s="6">
        <v>4336.8999999999996</v>
      </c>
      <c r="H21775" s="5">
        <v>6468</v>
      </c>
    </row>
    <row r="21776" spans="2:8" ht="15" customHeight="1" x14ac:dyDescent="0.4">
      <c r="B21776" s="3" t="s">
        <v>7</v>
      </c>
      <c r="C21776" s="3" t="s">
        <v>138</v>
      </c>
      <c r="D21776" s="4">
        <f>DATE(2014,11,20)</f>
        <v>41963</v>
      </c>
      <c r="E21776" s="5">
        <f t="shared" si="363"/>
        <v>2014</v>
      </c>
      <c r="F21776" s="3" t="s">
        <v>3460</v>
      </c>
      <c r="G21776" s="6">
        <v>2714.4</v>
      </c>
      <c r="H21776" s="5">
        <v>6443</v>
      </c>
    </row>
    <row r="21777" spans="2:8" ht="15" customHeight="1" x14ac:dyDescent="0.4">
      <c r="B21777" s="3" t="s">
        <v>7</v>
      </c>
      <c r="C21777" s="3" t="s">
        <v>138</v>
      </c>
      <c r="D21777" s="4">
        <f>DATE(2014,11,20)</f>
        <v>41963</v>
      </c>
      <c r="E21777" s="5">
        <f t="shared" si="363"/>
        <v>2014</v>
      </c>
      <c r="F21777" s="3" t="s">
        <v>3460</v>
      </c>
      <c r="G21777" s="6">
        <v>1753.1</v>
      </c>
      <c r="H21777" s="5">
        <v>6482</v>
      </c>
    </row>
    <row r="21778" spans="2:8" ht="15" customHeight="1" x14ac:dyDescent="0.4">
      <c r="B21778" s="3" t="s">
        <v>7</v>
      </c>
      <c r="C21778" s="3" t="s">
        <v>138</v>
      </c>
      <c r="D21778" s="4">
        <f>DATE(2014,11,20)</f>
        <v>41963</v>
      </c>
      <c r="E21778" s="5">
        <f t="shared" si="363"/>
        <v>2014</v>
      </c>
      <c r="F21778" s="3" t="s">
        <v>3460</v>
      </c>
      <c r="G21778" s="6">
        <v>771.45</v>
      </c>
      <c r="H21778" s="5">
        <v>6490</v>
      </c>
    </row>
    <row r="21779" spans="2:8" ht="15" customHeight="1" x14ac:dyDescent="0.4">
      <c r="B21779" s="3" t="s">
        <v>7</v>
      </c>
      <c r="C21779" s="3" t="s">
        <v>138</v>
      </c>
      <c r="D21779" s="4">
        <f>DATE(2014,12,4)</f>
        <v>41977</v>
      </c>
      <c r="E21779" s="5">
        <f t="shared" si="363"/>
        <v>2014</v>
      </c>
      <c r="F21779" s="3" t="s">
        <v>3460</v>
      </c>
      <c r="G21779" s="6">
        <v>1030.08</v>
      </c>
      <c r="H21779" s="5">
        <v>6499</v>
      </c>
    </row>
    <row r="21780" spans="2:8" ht="15" customHeight="1" x14ac:dyDescent="0.4">
      <c r="B21780" s="3" t="s">
        <v>7</v>
      </c>
      <c r="C21780" s="3" t="s">
        <v>138</v>
      </c>
      <c r="D21780" s="4">
        <f>DATE(2005,9,21)</f>
        <v>38616</v>
      </c>
      <c r="E21780" s="5">
        <f t="shared" si="363"/>
        <v>2005</v>
      </c>
      <c r="F21780" s="3" t="s">
        <v>3460</v>
      </c>
      <c r="G21780" s="6">
        <v>25065</v>
      </c>
      <c r="H21780" s="5">
        <v>1272</v>
      </c>
    </row>
    <row r="21781" spans="2:8" ht="15" customHeight="1" x14ac:dyDescent="0.4">
      <c r="B21781" s="3" t="s">
        <v>7</v>
      </c>
      <c r="C21781" s="3" t="s">
        <v>138</v>
      </c>
      <c r="D21781" s="4">
        <f>DATE(2005,12,21)</f>
        <v>38707</v>
      </c>
      <c r="E21781" s="5">
        <f t="shared" si="363"/>
        <v>2005</v>
      </c>
      <c r="F21781" s="3" t="s">
        <v>3460</v>
      </c>
      <c r="G21781" s="6">
        <v>3160</v>
      </c>
      <c r="H21781" s="5">
        <v>1395</v>
      </c>
    </row>
    <row r="21782" spans="2:8" ht="15" customHeight="1" x14ac:dyDescent="0.4">
      <c r="B21782" s="3" t="s">
        <v>7</v>
      </c>
      <c r="C21782" s="3" t="s">
        <v>138</v>
      </c>
      <c r="D21782" s="4">
        <f>DATE(2006,2,21)</f>
        <v>38769</v>
      </c>
      <c r="E21782" s="5">
        <f t="shared" si="363"/>
        <v>2006</v>
      </c>
      <c r="F21782" s="3" t="s">
        <v>3460</v>
      </c>
      <c r="G21782" s="6">
        <v>127446.2</v>
      </c>
      <c r="H21782" s="5">
        <v>1458</v>
      </c>
    </row>
    <row r="21783" spans="2:8" ht="15" customHeight="1" x14ac:dyDescent="0.4">
      <c r="B21783" s="3" t="s">
        <v>16</v>
      </c>
      <c r="C21783" s="3" t="s">
        <v>138</v>
      </c>
      <c r="D21783" s="4">
        <f>DATE(2006,7,28)</f>
        <v>38926</v>
      </c>
      <c r="E21783" s="5">
        <f t="shared" si="363"/>
        <v>2006</v>
      </c>
      <c r="F21783" s="3" t="s">
        <v>3460</v>
      </c>
      <c r="G21783" s="6">
        <v>97.5</v>
      </c>
      <c r="H21783" s="5">
        <v>1710</v>
      </c>
    </row>
    <row r="21784" spans="2:8" ht="15" customHeight="1" x14ac:dyDescent="0.4">
      <c r="B21784" s="3" t="s">
        <v>16</v>
      </c>
      <c r="C21784" s="3" t="s">
        <v>138</v>
      </c>
      <c r="D21784" s="4">
        <f>DATE(2006,7,27)</f>
        <v>38925</v>
      </c>
      <c r="E21784" s="5">
        <f t="shared" si="363"/>
        <v>2006</v>
      </c>
      <c r="F21784" s="3" t="s">
        <v>3460</v>
      </c>
      <c r="G21784" s="6">
        <v>467</v>
      </c>
      <c r="H21784" s="5">
        <v>1711</v>
      </c>
    </row>
    <row r="21785" spans="2:8" ht="15" customHeight="1" x14ac:dyDescent="0.4">
      <c r="B21785" s="3" t="s">
        <v>16</v>
      </c>
      <c r="C21785" s="3" t="s">
        <v>138</v>
      </c>
      <c r="D21785" s="4">
        <f>DATE(2006,8,2)</f>
        <v>38931</v>
      </c>
      <c r="E21785" s="5">
        <f t="shared" si="363"/>
        <v>2006</v>
      </c>
      <c r="F21785" s="3" t="s">
        <v>3460</v>
      </c>
      <c r="G21785" s="6">
        <v>573.75</v>
      </c>
      <c r="H21785" s="5">
        <v>1724</v>
      </c>
    </row>
    <row r="21786" spans="2:8" ht="15" customHeight="1" x14ac:dyDescent="0.4">
      <c r="B21786" s="3" t="s">
        <v>16</v>
      </c>
      <c r="C21786" s="3" t="s">
        <v>138</v>
      </c>
      <c r="D21786" s="4">
        <f>DATE(2006,8,2)</f>
        <v>38931</v>
      </c>
      <c r="E21786" s="5">
        <f t="shared" si="363"/>
        <v>2006</v>
      </c>
      <c r="F21786" s="3" t="s">
        <v>3460</v>
      </c>
      <c r="G21786" s="6">
        <v>187</v>
      </c>
      <c r="H21786" s="5">
        <v>1725</v>
      </c>
    </row>
    <row r="21787" spans="2:8" ht="15" customHeight="1" x14ac:dyDescent="0.4">
      <c r="B21787" s="3" t="s">
        <v>16</v>
      </c>
      <c r="C21787" s="3" t="s">
        <v>138</v>
      </c>
      <c r="D21787" s="4">
        <f>DATE(2006,8,2)</f>
        <v>38931</v>
      </c>
      <c r="E21787" s="5">
        <f t="shared" si="363"/>
        <v>2006</v>
      </c>
      <c r="F21787" s="3" t="s">
        <v>3460</v>
      </c>
      <c r="G21787" s="6">
        <v>112.2</v>
      </c>
      <c r="H21787" s="5">
        <v>1726</v>
      </c>
    </row>
    <row r="21788" spans="2:8" ht="15" customHeight="1" x14ac:dyDescent="0.4">
      <c r="B21788" s="3" t="s">
        <v>16</v>
      </c>
      <c r="C21788" s="3" t="s">
        <v>138</v>
      </c>
      <c r="D21788" s="4">
        <f>DATE(2006,8,9)</f>
        <v>38938</v>
      </c>
      <c r="E21788" s="5">
        <f t="shared" si="363"/>
        <v>2006</v>
      </c>
      <c r="F21788" s="3" t="s">
        <v>3460</v>
      </c>
      <c r="G21788" s="6">
        <v>150</v>
      </c>
      <c r="H21788" s="5">
        <v>1766</v>
      </c>
    </row>
    <row r="21789" spans="2:8" ht="15" customHeight="1" x14ac:dyDescent="0.4">
      <c r="B21789" s="3" t="s">
        <v>16</v>
      </c>
      <c r="C21789" s="3" t="s">
        <v>138</v>
      </c>
      <c r="D21789" s="4">
        <f>DATE(2006,11,16)</f>
        <v>39037</v>
      </c>
      <c r="E21789" s="5">
        <f t="shared" si="363"/>
        <v>2006</v>
      </c>
      <c r="F21789" s="3" t="s">
        <v>3460</v>
      </c>
      <c r="G21789" s="6">
        <v>112.2</v>
      </c>
      <c r="H21789" s="5">
        <v>1915</v>
      </c>
    </row>
    <row r="21790" spans="2:8" ht="15" customHeight="1" x14ac:dyDescent="0.4">
      <c r="B21790" s="3" t="s">
        <v>16</v>
      </c>
      <c r="C21790" s="3" t="s">
        <v>138</v>
      </c>
      <c r="D21790" s="4">
        <f>DATE(2009,12,3)</f>
        <v>40150</v>
      </c>
      <c r="E21790" s="5">
        <f t="shared" si="363"/>
        <v>2009</v>
      </c>
      <c r="F21790" s="3" t="s">
        <v>3460</v>
      </c>
      <c r="G21790" s="6">
        <v>1636.25</v>
      </c>
      <c r="H21790" s="5">
        <v>3708</v>
      </c>
    </row>
    <row r="21791" spans="2:8" ht="15" customHeight="1" x14ac:dyDescent="0.4">
      <c r="B21791" s="3" t="s">
        <v>16</v>
      </c>
      <c r="C21791" s="3" t="s">
        <v>138</v>
      </c>
      <c r="D21791" s="4">
        <f>DATE(2010,7,21)</f>
        <v>40380</v>
      </c>
      <c r="E21791" s="5">
        <f t="shared" si="363"/>
        <v>2010</v>
      </c>
      <c r="F21791" s="3" t="s">
        <v>3460</v>
      </c>
      <c r="G21791" s="6">
        <v>6060</v>
      </c>
      <c r="H21791" s="5">
        <v>4200</v>
      </c>
    </row>
    <row r="21792" spans="2:8" ht="15" customHeight="1" x14ac:dyDescent="0.4">
      <c r="B21792" s="3" t="s">
        <v>16</v>
      </c>
      <c r="C21792" s="3" t="s">
        <v>138</v>
      </c>
      <c r="D21792" s="4">
        <f>DATE(2010,6,10)</f>
        <v>40339</v>
      </c>
      <c r="E21792" s="5">
        <f t="shared" si="363"/>
        <v>2010</v>
      </c>
      <c r="F21792" s="3" t="s">
        <v>3460</v>
      </c>
      <c r="G21792" s="6">
        <v>1450</v>
      </c>
      <c r="H21792" s="5">
        <v>4748</v>
      </c>
    </row>
    <row r="21793" spans="2:8" ht="15" customHeight="1" x14ac:dyDescent="0.4">
      <c r="B21793" s="3" t="s">
        <v>7</v>
      </c>
      <c r="C21793" s="3" t="s">
        <v>138</v>
      </c>
      <c r="D21793" s="4">
        <f>DATE(2014,3,24)</f>
        <v>41722</v>
      </c>
      <c r="E21793" s="5">
        <f t="shared" si="363"/>
        <v>2014</v>
      </c>
      <c r="F21793" s="3" t="s">
        <v>3460</v>
      </c>
      <c r="G21793" s="6">
        <v>133.30000000000001</v>
      </c>
      <c r="H21793" s="5">
        <v>19740</v>
      </c>
    </row>
    <row r="21794" spans="2:8" ht="15" customHeight="1" x14ac:dyDescent="0.4">
      <c r="B21794" s="3" t="s">
        <v>7</v>
      </c>
      <c r="C21794" s="3" t="s">
        <v>138</v>
      </c>
      <c r="D21794" s="4">
        <f>DATE(2014,11,25)</f>
        <v>41968</v>
      </c>
      <c r="E21794" s="5">
        <f t="shared" si="363"/>
        <v>2014</v>
      </c>
      <c r="F21794" s="3" t="s">
        <v>3460</v>
      </c>
      <c r="G21794" s="6">
        <v>308.25</v>
      </c>
      <c r="H21794" s="5">
        <v>20666</v>
      </c>
    </row>
    <row r="21795" spans="2:8" ht="15" customHeight="1" x14ac:dyDescent="0.4">
      <c r="B21795" s="3" t="s">
        <v>7</v>
      </c>
      <c r="C21795" s="3" t="s">
        <v>138</v>
      </c>
      <c r="D21795" s="4">
        <f>DATE(2005,10,29)</f>
        <v>38654</v>
      </c>
      <c r="E21795" s="5">
        <f t="shared" si="363"/>
        <v>2005</v>
      </c>
      <c r="F21795" s="3" t="s">
        <v>3461</v>
      </c>
      <c r="G21795" s="6">
        <v>131994.6</v>
      </c>
      <c r="H21795" s="5">
        <v>1273</v>
      </c>
    </row>
    <row r="21796" spans="2:8" ht="15" customHeight="1" x14ac:dyDescent="0.4">
      <c r="B21796" t="s">
        <v>7</v>
      </c>
      <c r="C21796" t="s">
        <v>3462</v>
      </c>
      <c r="D21796" s="7">
        <f>DATE(2015,1,27)</f>
        <v>42031</v>
      </c>
      <c r="E21796" s="8">
        <f t="shared" si="363"/>
        <v>2015</v>
      </c>
      <c r="F21796" t="s">
        <v>3463</v>
      </c>
      <c r="G21796" s="9">
        <v>661.3</v>
      </c>
      <c r="H21796" s="8">
        <v>198</v>
      </c>
    </row>
    <row r="21797" spans="2:8" ht="15" customHeight="1" x14ac:dyDescent="0.4">
      <c r="B21797" t="s">
        <v>7</v>
      </c>
      <c r="C21797" t="s">
        <v>3462</v>
      </c>
      <c r="D21797" s="7">
        <f>DATE(2015,1,27)</f>
        <v>42031</v>
      </c>
      <c r="E21797" s="8">
        <f t="shared" si="363"/>
        <v>2015</v>
      </c>
      <c r="F21797" t="s">
        <v>3463</v>
      </c>
      <c r="G21797" s="9">
        <v>2109.75</v>
      </c>
      <c r="H21797" s="8">
        <v>38</v>
      </c>
    </row>
    <row r="21798" spans="2:8" ht="15" customHeight="1" x14ac:dyDescent="0.4">
      <c r="B21798" t="s">
        <v>7</v>
      </c>
      <c r="C21798" t="s">
        <v>3462</v>
      </c>
      <c r="D21798" s="7">
        <f>DATE(2015,5,7)</f>
        <v>42131</v>
      </c>
      <c r="E21798" s="8">
        <f t="shared" si="363"/>
        <v>2015</v>
      </c>
      <c r="F21798" t="s">
        <v>3463</v>
      </c>
      <c r="G21798" s="9">
        <v>628</v>
      </c>
      <c r="H21798" s="8">
        <v>20559</v>
      </c>
    </row>
    <row r="21799" spans="2:8" ht="15" customHeight="1" x14ac:dyDescent="0.4">
      <c r="B21799" t="s">
        <v>7</v>
      </c>
      <c r="C21799" t="s">
        <v>3462</v>
      </c>
      <c r="D21799" s="7">
        <f>DATE(2015,6,16)</f>
        <v>42171</v>
      </c>
      <c r="E21799" s="8">
        <f t="shared" si="363"/>
        <v>2015</v>
      </c>
      <c r="F21799" t="s">
        <v>3463</v>
      </c>
      <c r="G21799" s="9">
        <v>816</v>
      </c>
      <c r="H21799" s="8">
        <v>20795</v>
      </c>
    </row>
    <row r="21800" spans="2:8" ht="15" customHeight="1" x14ac:dyDescent="0.4">
      <c r="B21800" t="s">
        <v>7</v>
      </c>
      <c r="C21800" t="s">
        <v>3462</v>
      </c>
      <c r="D21800" s="7">
        <f>DATE(2017,4,18)</f>
        <v>42843</v>
      </c>
      <c r="E21800" s="8">
        <f t="shared" si="363"/>
        <v>2017</v>
      </c>
      <c r="F21800" t="s">
        <v>3463</v>
      </c>
      <c r="G21800" s="9">
        <v>431.61</v>
      </c>
      <c r="H21800" s="8">
        <v>24673</v>
      </c>
    </row>
    <row r="21801" spans="2:8" ht="15" customHeight="1" x14ac:dyDescent="0.4">
      <c r="B21801" t="s">
        <v>7</v>
      </c>
      <c r="C21801" t="s">
        <v>3462</v>
      </c>
      <c r="D21801" s="7">
        <f>DATE(2017,5,25)</f>
        <v>42880</v>
      </c>
      <c r="E21801" s="8">
        <f t="shared" si="363"/>
        <v>2017</v>
      </c>
      <c r="F21801" t="s">
        <v>3463</v>
      </c>
      <c r="G21801" s="9">
        <v>62.85</v>
      </c>
      <c r="H21801" s="8">
        <v>25018</v>
      </c>
    </row>
    <row r="21802" spans="2:8" ht="15" customHeight="1" x14ac:dyDescent="0.4">
      <c r="B21802" t="s">
        <v>7</v>
      </c>
      <c r="C21802" t="s">
        <v>3462</v>
      </c>
      <c r="D21802" s="7">
        <f>DATE(2007,7,6)</f>
        <v>39269</v>
      </c>
      <c r="E21802" s="8">
        <f t="shared" si="363"/>
        <v>2007</v>
      </c>
      <c r="F21802" t="s">
        <v>3463</v>
      </c>
      <c r="G21802" s="9">
        <v>250</v>
      </c>
      <c r="H21802" s="8">
        <v>6157</v>
      </c>
    </row>
    <row r="21803" spans="2:8" ht="15" customHeight="1" x14ac:dyDescent="0.4">
      <c r="B21803" t="s">
        <v>7</v>
      </c>
      <c r="C21803" t="s">
        <v>3462</v>
      </c>
      <c r="D21803" s="7">
        <f>DATE(2008,6,7)</f>
        <v>39606</v>
      </c>
      <c r="E21803" s="8">
        <f t="shared" si="363"/>
        <v>2008</v>
      </c>
      <c r="F21803" t="s">
        <v>3463</v>
      </c>
      <c r="G21803" s="9">
        <v>1850</v>
      </c>
      <c r="H21803" s="8">
        <v>7553</v>
      </c>
    </row>
    <row r="21804" spans="2:8" ht="15" customHeight="1" x14ac:dyDescent="0.4">
      <c r="B21804" t="s">
        <v>7</v>
      </c>
      <c r="C21804" t="s">
        <v>3462</v>
      </c>
      <c r="D21804" s="7">
        <f>DATE(2005,6,9)</f>
        <v>38512</v>
      </c>
      <c r="E21804" s="8">
        <f t="shared" si="363"/>
        <v>2005</v>
      </c>
      <c r="F21804" t="s">
        <v>3463</v>
      </c>
      <c r="G21804" s="9">
        <v>8181.4</v>
      </c>
      <c r="H21804" s="8">
        <v>3264</v>
      </c>
    </row>
    <row r="21805" spans="2:8" ht="15" customHeight="1" x14ac:dyDescent="0.4">
      <c r="B21805" t="s">
        <v>7</v>
      </c>
      <c r="C21805" t="s">
        <v>3462</v>
      </c>
      <c r="D21805" s="7">
        <f>DATE(2006,6,2)</f>
        <v>38870</v>
      </c>
      <c r="E21805" s="8">
        <f t="shared" si="363"/>
        <v>2006</v>
      </c>
      <c r="F21805" t="s">
        <v>3463</v>
      </c>
      <c r="G21805" s="9">
        <v>3678.18</v>
      </c>
      <c r="H21805" s="8">
        <v>4661</v>
      </c>
    </row>
    <row r="21806" spans="2:8" ht="15" customHeight="1" x14ac:dyDescent="0.4">
      <c r="B21806" t="s">
        <v>7</v>
      </c>
      <c r="C21806" t="s">
        <v>3462</v>
      </c>
      <c r="D21806" s="7">
        <f>DATE(2008,5,1)</f>
        <v>39569</v>
      </c>
      <c r="E21806" s="8">
        <f t="shared" si="363"/>
        <v>2008</v>
      </c>
      <c r="F21806" t="s">
        <v>3463</v>
      </c>
      <c r="G21806" s="9">
        <v>201194.85</v>
      </c>
      <c r="H21806" s="8">
        <v>6776</v>
      </c>
    </row>
    <row r="21807" spans="2:8" ht="15" customHeight="1" x14ac:dyDescent="0.4">
      <c r="B21807" t="s">
        <v>7</v>
      </c>
      <c r="C21807" t="s">
        <v>3462</v>
      </c>
      <c r="D21807" s="7">
        <f>DATE(2008,6,1)</f>
        <v>39600</v>
      </c>
      <c r="E21807" s="8">
        <f t="shared" si="363"/>
        <v>2008</v>
      </c>
      <c r="F21807" t="s">
        <v>3463</v>
      </c>
      <c r="G21807" s="9">
        <v>195195.38</v>
      </c>
      <c r="H21807" s="8">
        <v>7622</v>
      </c>
    </row>
    <row r="21808" spans="2:8" ht="15" customHeight="1" x14ac:dyDescent="0.4">
      <c r="B21808" t="s">
        <v>7</v>
      </c>
      <c r="C21808" t="s">
        <v>3462</v>
      </c>
      <c r="D21808" s="7">
        <f>DATE(2008,7,4)</f>
        <v>39633</v>
      </c>
      <c r="E21808" s="8">
        <f t="shared" si="363"/>
        <v>2008</v>
      </c>
      <c r="F21808" t="s">
        <v>3463</v>
      </c>
      <c r="G21808" s="9">
        <v>5275.84</v>
      </c>
      <c r="H21808" s="8">
        <v>7580</v>
      </c>
    </row>
    <row r="21809" spans="2:8" ht="15" customHeight="1" x14ac:dyDescent="0.4">
      <c r="B21809" t="s">
        <v>7</v>
      </c>
      <c r="C21809" t="s">
        <v>3462</v>
      </c>
      <c r="D21809" s="7">
        <f>DATE(2008,9,23)</f>
        <v>39714</v>
      </c>
      <c r="E21809" s="8">
        <f t="shared" si="363"/>
        <v>2008</v>
      </c>
      <c r="F21809" t="s">
        <v>3463</v>
      </c>
      <c r="G21809" s="9">
        <v>17024</v>
      </c>
      <c r="H21809" s="8">
        <v>7474</v>
      </c>
    </row>
    <row r="21810" spans="2:8" ht="15" customHeight="1" x14ac:dyDescent="0.4">
      <c r="B21810" t="s">
        <v>16</v>
      </c>
      <c r="C21810" t="s">
        <v>3462</v>
      </c>
      <c r="D21810" s="7">
        <f>DATE(2008,6,1)</f>
        <v>39600</v>
      </c>
      <c r="E21810" s="8">
        <f t="shared" si="363"/>
        <v>2008</v>
      </c>
      <c r="F21810" t="s">
        <v>3463</v>
      </c>
      <c r="G21810" s="9">
        <v>201194.85</v>
      </c>
      <c r="H21810" s="8">
        <v>7623</v>
      </c>
    </row>
    <row r="21811" spans="2:8" ht="15" customHeight="1" x14ac:dyDescent="0.4">
      <c r="B21811" s="3" t="s">
        <v>7</v>
      </c>
      <c r="C21811" s="3" t="s">
        <v>3462</v>
      </c>
      <c r="D21811" s="4">
        <f>DATE(2003,1,14)</f>
        <v>37635</v>
      </c>
      <c r="E21811" s="5">
        <f t="shared" si="363"/>
        <v>2003</v>
      </c>
      <c r="F21811" s="3" t="s">
        <v>3463</v>
      </c>
      <c r="G21811" s="6">
        <v>1381</v>
      </c>
      <c r="H21811" s="5">
        <v>13</v>
      </c>
    </row>
    <row r="21812" spans="2:8" ht="15" customHeight="1" x14ac:dyDescent="0.4">
      <c r="B21812" s="3" t="s">
        <v>7</v>
      </c>
      <c r="C21812" s="3" t="s">
        <v>3462</v>
      </c>
      <c r="D21812" s="4">
        <f>DATE(2003,3,19)</f>
        <v>37699</v>
      </c>
      <c r="E21812" s="5">
        <f t="shared" si="363"/>
        <v>2003</v>
      </c>
      <c r="F21812" s="3" t="s">
        <v>3463</v>
      </c>
      <c r="G21812" s="6">
        <v>7020</v>
      </c>
      <c r="H21812" s="5">
        <v>566</v>
      </c>
    </row>
    <row r="21813" spans="2:8" ht="15" customHeight="1" x14ac:dyDescent="0.4">
      <c r="B21813" s="3" t="s">
        <v>7</v>
      </c>
      <c r="C21813" s="3" t="s">
        <v>3462</v>
      </c>
      <c r="D21813" s="4">
        <f>DATE(2003,6,25)</f>
        <v>37797</v>
      </c>
      <c r="E21813" s="5">
        <f t="shared" si="363"/>
        <v>2003</v>
      </c>
      <c r="F21813" s="3" t="s">
        <v>3463</v>
      </c>
      <c r="G21813" s="6">
        <v>600</v>
      </c>
      <c r="H21813" s="5">
        <v>1132</v>
      </c>
    </row>
    <row r="21814" spans="2:8" ht="15" customHeight="1" x14ac:dyDescent="0.4">
      <c r="B21814" s="3" t="s">
        <v>7</v>
      </c>
      <c r="C21814" s="3" t="s">
        <v>3462</v>
      </c>
      <c r="D21814" s="4">
        <f>DATE(2003,7,1)</f>
        <v>37803</v>
      </c>
      <c r="E21814" s="5">
        <f t="shared" si="363"/>
        <v>2003</v>
      </c>
      <c r="F21814" s="3" t="s">
        <v>3463</v>
      </c>
      <c r="G21814" s="6">
        <v>1215</v>
      </c>
      <c r="H21814" s="5">
        <v>1138</v>
      </c>
    </row>
    <row r="21815" spans="2:8" ht="15" customHeight="1" x14ac:dyDescent="0.4">
      <c r="B21815" s="3" t="s">
        <v>7</v>
      </c>
      <c r="C21815" s="3" t="s">
        <v>3462</v>
      </c>
      <c r="D21815" s="4">
        <f>DATE(2003,8,19)</f>
        <v>37852</v>
      </c>
      <c r="E21815" s="5">
        <f t="shared" si="363"/>
        <v>2003</v>
      </c>
      <c r="F21815" s="3" t="s">
        <v>3463</v>
      </c>
      <c r="G21815" s="6">
        <v>70</v>
      </c>
      <c r="H21815" s="5">
        <v>1133</v>
      </c>
    </row>
    <row r="21816" spans="2:8" ht="15" customHeight="1" x14ac:dyDescent="0.4">
      <c r="B21816" s="3" t="s">
        <v>7</v>
      </c>
      <c r="C21816" s="3" t="s">
        <v>3462</v>
      </c>
      <c r="D21816" s="4">
        <f>DATE(2003,8,26)</f>
        <v>37859</v>
      </c>
      <c r="E21816" s="5">
        <f t="shared" si="363"/>
        <v>2003</v>
      </c>
      <c r="F21816" s="3" t="s">
        <v>3463</v>
      </c>
      <c r="G21816" s="6">
        <v>177</v>
      </c>
      <c r="H21816" s="5">
        <v>1415</v>
      </c>
    </row>
    <row r="21817" spans="2:8" ht="15" customHeight="1" x14ac:dyDescent="0.4">
      <c r="B21817" s="3" t="s">
        <v>7</v>
      </c>
      <c r="C21817" s="3" t="s">
        <v>3462</v>
      </c>
      <c r="D21817" s="4">
        <f>DATE(2003,8,29)</f>
        <v>37862</v>
      </c>
      <c r="E21817" s="5">
        <f t="shared" si="363"/>
        <v>2003</v>
      </c>
      <c r="F21817" s="3" t="s">
        <v>3463</v>
      </c>
      <c r="G21817" s="6">
        <v>132</v>
      </c>
      <c r="H21817" s="5">
        <v>1444</v>
      </c>
    </row>
    <row r="21818" spans="2:8" ht="15" customHeight="1" x14ac:dyDescent="0.4">
      <c r="B21818" s="3" t="s">
        <v>7</v>
      </c>
      <c r="C21818" s="3" t="s">
        <v>3462</v>
      </c>
      <c r="D21818" s="4">
        <f>DATE(2003,9,3)</f>
        <v>37867</v>
      </c>
      <c r="E21818" s="5">
        <f t="shared" si="363"/>
        <v>2003</v>
      </c>
      <c r="F21818" s="3" t="s">
        <v>3463</v>
      </c>
      <c r="G21818" s="6">
        <v>620</v>
      </c>
      <c r="H21818" s="5">
        <v>1376</v>
      </c>
    </row>
    <row r="21819" spans="2:8" ht="15" customHeight="1" x14ac:dyDescent="0.4">
      <c r="B21819" s="3" t="s">
        <v>7</v>
      </c>
      <c r="C21819" s="3" t="s">
        <v>3462</v>
      </c>
      <c r="D21819" s="4">
        <f>DATE(2003,9,3)</f>
        <v>37867</v>
      </c>
      <c r="E21819" s="5">
        <f t="shared" si="363"/>
        <v>2003</v>
      </c>
      <c r="F21819" s="3" t="s">
        <v>3463</v>
      </c>
      <c r="G21819" s="6">
        <v>87.59</v>
      </c>
      <c r="H21819" s="5">
        <v>1548</v>
      </c>
    </row>
    <row r="21820" spans="2:8" ht="15" customHeight="1" x14ac:dyDescent="0.4">
      <c r="B21820" s="3" t="s">
        <v>7</v>
      </c>
      <c r="C21820" s="3" t="s">
        <v>3462</v>
      </c>
      <c r="D21820" s="4">
        <f>DATE(2003,10,7)</f>
        <v>37901</v>
      </c>
      <c r="E21820" s="5">
        <f t="shared" si="363"/>
        <v>2003</v>
      </c>
      <c r="F21820" s="3" t="s">
        <v>3463</v>
      </c>
      <c r="G21820" s="6">
        <v>400</v>
      </c>
      <c r="H21820" s="5">
        <v>1578</v>
      </c>
    </row>
    <row r="21821" spans="2:8" ht="15" customHeight="1" x14ac:dyDescent="0.4">
      <c r="B21821" s="3" t="s">
        <v>7</v>
      </c>
      <c r="C21821" s="3" t="s">
        <v>3462</v>
      </c>
      <c r="D21821" s="4">
        <f>DATE(2003,11,14)</f>
        <v>37939</v>
      </c>
      <c r="E21821" s="5">
        <f t="shared" si="363"/>
        <v>2003</v>
      </c>
      <c r="F21821" s="3" t="s">
        <v>3463</v>
      </c>
      <c r="G21821" s="6">
        <v>1422</v>
      </c>
      <c r="H21821" s="5">
        <v>1691</v>
      </c>
    </row>
    <row r="21822" spans="2:8" ht="15" customHeight="1" x14ac:dyDescent="0.4">
      <c r="B21822" s="3" t="s">
        <v>7</v>
      </c>
      <c r="C21822" s="3" t="s">
        <v>3462</v>
      </c>
      <c r="D21822" s="4">
        <f>DATE(2003,12,2)</f>
        <v>37957</v>
      </c>
      <c r="E21822" s="5">
        <f t="shared" si="363"/>
        <v>2003</v>
      </c>
      <c r="F21822" s="3" t="s">
        <v>3463</v>
      </c>
      <c r="G21822" s="6">
        <v>166</v>
      </c>
      <c r="H21822" s="5">
        <v>1816</v>
      </c>
    </row>
    <row r="21823" spans="2:8" ht="15" customHeight="1" x14ac:dyDescent="0.4">
      <c r="B21823" s="3" t="s">
        <v>7</v>
      </c>
      <c r="C21823" s="3" t="s">
        <v>3462</v>
      </c>
      <c r="D21823" s="4">
        <f>DATE(2004,2,3)</f>
        <v>38020</v>
      </c>
      <c r="E21823" s="5">
        <f t="shared" si="363"/>
        <v>2004</v>
      </c>
      <c r="F21823" s="3" t="s">
        <v>3463</v>
      </c>
      <c r="G21823" s="6">
        <v>70</v>
      </c>
      <c r="H21823" s="5">
        <v>1988</v>
      </c>
    </row>
    <row r="21824" spans="2:8" ht="15" customHeight="1" x14ac:dyDescent="0.4">
      <c r="B21824" s="3" t="s">
        <v>7</v>
      </c>
      <c r="C21824" s="3" t="s">
        <v>3462</v>
      </c>
      <c r="D21824" s="4">
        <f>DATE(2004,4,5)</f>
        <v>38082</v>
      </c>
      <c r="E21824" s="5">
        <f t="shared" si="363"/>
        <v>2004</v>
      </c>
      <c r="F21824" s="3" t="s">
        <v>3463</v>
      </c>
      <c r="G21824" s="6">
        <v>17900</v>
      </c>
      <c r="H21824" s="5">
        <v>2375</v>
      </c>
    </row>
    <row r="21825" spans="2:8" ht="15" customHeight="1" x14ac:dyDescent="0.4">
      <c r="B21825" s="3" t="s">
        <v>7</v>
      </c>
      <c r="C21825" s="3" t="s">
        <v>3462</v>
      </c>
      <c r="D21825" s="4">
        <f>DATE(2004,5,5)</f>
        <v>38112</v>
      </c>
      <c r="E21825" s="5">
        <f t="shared" si="363"/>
        <v>2004</v>
      </c>
      <c r="F21825" s="3" t="s">
        <v>3463</v>
      </c>
      <c r="G21825" s="6">
        <v>268</v>
      </c>
      <c r="H21825" s="5">
        <v>2790</v>
      </c>
    </row>
    <row r="21826" spans="2:8" ht="15" customHeight="1" x14ac:dyDescent="0.4">
      <c r="B21826" s="3" t="s">
        <v>7</v>
      </c>
      <c r="C21826" s="3" t="s">
        <v>3462</v>
      </c>
      <c r="D21826" s="4">
        <f>DATE(2004,5,5)</f>
        <v>38112</v>
      </c>
      <c r="E21826" s="5">
        <f t="shared" si="363"/>
        <v>2004</v>
      </c>
      <c r="F21826" s="3" t="s">
        <v>3463</v>
      </c>
      <c r="G21826" s="6">
        <v>71.75</v>
      </c>
      <c r="H21826" s="5">
        <v>2962</v>
      </c>
    </row>
    <row r="21827" spans="2:8" ht="15" customHeight="1" x14ac:dyDescent="0.4">
      <c r="B21827" s="3" t="s">
        <v>7</v>
      </c>
      <c r="C21827" s="3" t="s">
        <v>3462</v>
      </c>
      <c r="D21827" s="4">
        <f>DATE(2004,6,30)</f>
        <v>38168</v>
      </c>
      <c r="E21827" s="5">
        <f t="shared" ref="E21827:E21890" si="364">YEAR(D21827)</f>
        <v>2004</v>
      </c>
      <c r="F21827" s="3" t="s">
        <v>3463</v>
      </c>
      <c r="G21827" s="6">
        <v>13050</v>
      </c>
      <c r="H21827" s="5">
        <v>3094</v>
      </c>
    </row>
    <row r="21828" spans="2:8" ht="15" customHeight="1" x14ac:dyDescent="0.4">
      <c r="B21828" s="3" t="s">
        <v>7</v>
      </c>
      <c r="C21828" s="3" t="s">
        <v>3462</v>
      </c>
      <c r="D21828" s="4">
        <f>DATE(2004,9,13)</f>
        <v>38243</v>
      </c>
      <c r="E21828" s="5">
        <f t="shared" si="364"/>
        <v>2004</v>
      </c>
      <c r="F21828" s="3" t="s">
        <v>3463</v>
      </c>
      <c r="G21828" s="6">
        <v>70</v>
      </c>
      <c r="H21828" s="5">
        <v>3369</v>
      </c>
    </row>
    <row r="21829" spans="2:8" ht="15" customHeight="1" x14ac:dyDescent="0.4">
      <c r="B21829" s="3" t="s">
        <v>7</v>
      </c>
      <c r="C21829" s="3" t="s">
        <v>3462</v>
      </c>
      <c r="D21829" s="4">
        <f>DATE(2004,10,15)</f>
        <v>38275</v>
      </c>
      <c r="E21829" s="5">
        <f t="shared" si="364"/>
        <v>2004</v>
      </c>
      <c r="F21829" s="3" t="s">
        <v>3463</v>
      </c>
      <c r="G21829" s="6">
        <v>70</v>
      </c>
      <c r="H21829" s="5">
        <v>3573</v>
      </c>
    </row>
    <row r="21830" spans="2:8" ht="15" customHeight="1" x14ac:dyDescent="0.4">
      <c r="B21830" s="3" t="s">
        <v>7</v>
      </c>
      <c r="C21830" s="3" t="s">
        <v>3462</v>
      </c>
      <c r="D21830" s="4">
        <f>DATE(2004,11,3)</f>
        <v>38294</v>
      </c>
      <c r="E21830" s="5">
        <f t="shared" si="364"/>
        <v>2004</v>
      </c>
      <c r="F21830" s="3" t="s">
        <v>3463</v>
      </c>
      <c r="G21830" s="6">
        <v>882.5</v>
      </c>
      <c r="H21830" s="5">
        <v>3466</v>
      </c>
    </row>
    <row r="21831" spans="2:8" ht="15" customHeight="1" x14ac:dyDescent="0.4">
      <c r="B21831" s="3" t="s">
        <v>7</v>
      </c>
      <c r="C21831" s="3" t="s">
        <v>3462</v>
      </c>
      <c r="D21831" s="4">
        <f>DATE(2004,10,15)</f>
        <v>38275</v>
      </c>
      <c r="E21831" s="5">
        <f t="shared" si="364"/>
        <v>2004</v>
      </c>
      <c r="F21831" s="3" t="s">
        <v>3463</v>
      </c>
      <c r="G21831" s="6">
        <v>66.349999999999994</v>
      </c>
      <c r="H21831" s="5">
        <v>3664</v>
      </c>
    </row>
    <row r="21832" spans="2:8" ht="15" customHeight="1" x14ac:dyDescent="0.4">
      <c r="B21832" s="3" t="s">
        <v>7</v>
      </c>
      <c r="C21832" s="3" t="s">
        <v>3462</v>
      </c>
      <c r="D21832" s="4">
        <f>DATE(2004,11,8)</f>
        <v>38299</v>
      </c>
      <c r="E21832" s="5">
        <f t="shared" si="364"/>
        <v>2004</v>
      </c>
      <c r="F21832" s="3" t="s">
        <v>3463</v>
      </c>
      <c r="G21832" s="6">
        <v>1100</v>
      </c>
      <c r="H21832" s="5">
        <v>3676</v>
      </c>
    </row>
    <row r="21833" spans="2:8" ht="15" customHeight="1" x14ac:dyDescent="0.4">
      <c r="B21833" s="3" t="s">
        <v>7</v>
      </c>
      <c r="C21833" s="3" t="s">
        <v>3462</v>
      </c>
      <c r="D21833" s="4">
        <f>DATE(2004,12,2)</f>
        <v>38323</v>
      </c>
      <c r="E21833" s="5">
        <f t="shared" si="364"/>
        <v>2004</v>
      </c>
      <c r="F21833" s="3" t="s">
        <v>3463</v>
      </c>
      <c r="G21833" s="6">
        <v>155</v>
      </c>
      <c r="H21833" s="5">
        <v>3783</v>
      </c>
    </row>
    <row r="21834" spans="2:8" ht="15" customHeight="1" x14ac:dyDescent="0.4">
      <c r="B21834" s="3" t="s">
        <v>7</v>
      </c>
      <c r="C21834" s="3" t="s">
        <v>3462</v>
      </c>
      <c r="D21834" s="4">
        <f>DATE(2005,3,15)</f>
        <v>38426</v>
      </c>
      <c r="E21834" s="5">
        <f t="shared" si="364"/>
        <v>2005</v>
      </c>
      <c r="F21834" s="3" t="s">
        <v>3463</v>
      </c>
      <c r="G21834" s="6">
        <v>9845</v>
      </c>
      <c r="H21834" s="5">
        <v>4173</v>
      </c>
    </row>
    <row r="21835" spans="2:8" ht="15" customHeight="1" x14ac:dyDescent="0.4">
      <c r="B21835" s="3" t="s">
        <v>7</v>
      </c>
      <c r="C21835" s="3" t="s">
        <v>3462</v>
      </c>
      <c r="D21835" s="4">
        <f>DATE(2005,4,20)</f>
        <v>38462</v>
      </c>
      <c r="E21835" s="5">
        <f t="shared" si="364"/>
        <v>2005</v>
      </c>
      <c r="F21835" s="3" t="s">
        <v>3463</v>
      </c>
      <c r="G21835" s="6">
        <v>10800</v>
      </c>
      <c r="H21835" s="5">
        <v>4562</v>
      </c>
    </row>
    <row r="21836" spans="2:8" ht="15" customHeight="1" x14ac:dyDescent="0.4">
      <c r="B21836" s="3" t="s">
        <v>7</v>
      </c>
      <c r="C21836" s="3" t="s">
        <v>3462</v>
      </c>
      <c r="D21836" s="4">
        <f>DATE(2005,7,13)</f>
        <v>38546</v>
      </c>
      <c r="E21836" s="5">
        <f t="shared" si="364"/>
        <v>2005</v>
      </c>
      <c r="F21836" s="3" t="s">
        <v>3463</v>
      </c>
      <c r="G21836" s="6">
        <v>8400</v>
      </c>
      <c r="H21836" s="5">
        <v>4959</v>
      </c>
    </row>
    <row r="21837" spans="2:8" ht="15" customHeight="1" x14ac:dyDescent="0.4">
      <c r="B21837" s="3" t="s">
        <v>7</v>
      </c>
      <c r="C21837" s="3" t="s">
        <v>3462</v>
      </c>
      <c r="D21837" s="4">
        <f>DATE(2005,7,15)</f>
        <v>38548</v>
      </c>
      <c r="E21837" s="5">
        <f t="shared" si="364"/>
        <v>2005</v>
      </c>
      <c r="F21837" s="3" t="s">
        <v>3463</v>
      </c>
      <c r="G21837" s="6">
        <v>550</v>
      </c>
      <c r="H21837" s="5">
        <v>4989</v>
      </c>
    </row>
    <row r="21838" spans="2:8" ht="15" customHeight="1" x14ac:dyDescent="0.4">
      <c r="B21838" s="3" t="s">
        <v>7</v>
      </c>
      <c r="C21838" s="3" t="s">
        <v>3462</v>
      </c>
      <c r="D21838" s="4">
        <f>DATE(2005,8,18)</f>
        <v>38582</v>
      </c>
      <c r="E21838" s="5">
        <f t="shared" si="364"/>
        <v>2005</v>
      </c>
      <c r="F21838" s="3" t="s">
        <v>3463</v>
      </c>
      <c r="G21838" s="6">
        <v>10800</v>
      </c>
      <c r="H21838" s="5">
        <v>5133</v>
      </c>
    </row>
    <row r="21839" spans="2:8" ht="15" customHeight="1" x14ac:dyDescent="0.4">
      <c r="B21839" s="3" t="s">
        <v>7</v>
      </c>
      <c r="C21839" s="3" t="s">
        <v>3462</v>
      </c>
      <c r="D21839" s="4">
        <f>DATE(2005,8,26)</f>
        <v>38590</v>
      </c>
      <c r="E21839" s="5">
        <f t="shared" si="364"/>
        <v>2005</v>
      </c>
      <c r="F21839" s="3" t="s">
        <v>3463</v>
      </c>
      <c r="G21839" s="6">
        <v>128</v>
      </c>
      <c r="H21839" s="5">
        <v>5172</v>
      </c>
    </row>
    <row r="21840" spans="2:8" ht="15" customHeight="1" x14ac:dyDescent="0.4">
      <c r="B21840" s="3" t="s">
        <v>7</v>
      </c>
      <c r="C21840" s="3" t="s">
        <v>3462</v>
      </c>
      <c r="D21840" s="4">
        <f>DATE(2005,9,16)</f>
        <v>38611</v>
      </c>
      <c r="E21840" s="5">
        <f t="shared" si="364"/>
        <v>2005</v>
      </c>
      <c r="F21840" s="3" t="s">
        <v>3463</v>
      </c>
      <c r="G21840" s="6">
        <v>400</v>
      </c>
      <c r="H21840" s="5">
        <v>5276</v>
      </c>
    </row>
    <row r="21841" spans="2:8" ht="15" customHeight="1" x14ac:dyDescent="0.4">
      <c r="B21841" s="3" t="s">
        <v>7</v>
      </c>
      <c r="C21841" s="3" t="s">
        <v>3462</v>
      </c>
      <c r="D21841" s="4">
        <f>DATE(2005,10,24)</f>
        <v>38649</v>
      </c>
      <c r="E21841" s="5">
        <f t="shared" si="364"/>
        <v>2005</v>
      </c>
      <c r="F21841" s="3" t="s">
        <v>3463</v>
      </c>
      <c r="G21841" s="6">
        <v>3477</v>
      </c>
      <c r="H21841" s="5">
        <v>5469</v>
      </c>
    </row>
    <row r="21842" spans="2:8" ht="15" customHeight="1" x14ac:dyDescent="0.4">
      <c r="B21842" s="3" t="s">
        <v>7</v>
      </c>
      <c r="C21842" s="3" t="s">
        <v>3462</v>
      </c>
      <c r="D21842" s="4">
        <f>DATE(2005,10,26)</f>
        <v>38651</v>
      </c>
      <c r="E21842" s="5">
        <f t="shared" si="364"/>
        <v>2005</v>
      </c>
      <c r="F21842" s="3" t="s">
        <v>3463</v>
      </c>
      <c r="G21842" s="6">
        <v>6039</v>
      </c>
      <c r="H21842" s="5">
        <v>5469</v>
      </c>
    </row>
    <row r="21843" spans="2:8" ht="15" customHeight="1" x14ac:dyDescent="0.4">
      <c r="B21843" s="3" t="s">
        <v>7</v>
      </c>
      <c r="C21843" s="3" t="s">
        <v>3462</v>
      </c>
      <c r="D21843" s="4">
        <f>DATE(2005,11,11)</f>
        <v>38667</v>
      </c>
      <c r="E21843" s="5">
        <f t="shared" si="364"/>
        <v>2005</v>
      </c>
      <c r="F21843" s="3" t="s">
        <v>3463</v>
      </c>
      <c r="G21843" s="6">
        <v>21600</v>
      </c>
      <c r="H21843" s="5">
        <v>5558</v>
      </c>
    </row>
    <row r="21844" spans="2:8" ht="15" customHeight="1" x14ac:dyDescent="0.4">
      <c r="B21844" s="3" t="s">
        <v>7</v>
      </c>
      <c r="C21844" s="3" t="s">
        <v>3462</v>
      </c>
      <c r="D21844" s="4">
        <f>DATE(2005,11,16)</f>
        <v>38672</v>
      </c>
      <c r="E21844" s="5">
        <f t="shared" si="364"/>
        <v>2005</v>
      </c>
      <c r="F21844" s="3" t="s">
        <v>3463</v>
      </c>
      <c r="G21844" s="6">
        <v>1830</v>
      </c>
      <c r="H21844" s="5">
        <v>5548</v>
      </c>
    </row>
    <row r="21845" spans="2:8" ht="15" customHeight="1" x14ac:dyDescent="0.4">
      <c r="B21845" s="3" t="s">
        <v>7</v>
      </c>
      <c r="C21845" s="3" t="s">
        <v>3462</v>
      </c>
      <c r="D21845" s="4">
        <f>DATE(2005,12,13)</f>
        <v>38699</v>
      </c>
      <c r="E21845" s="5">
        <f t="shared" si="364"/>
        <v>2005</v>
      </c>
      <c r="F21845" s="3" t="s">
        <v>3463</v>
      </c>
      <c r="G21845" s="6">
        <v>1830</v>
      </c>
      <c r="H21845" s="5">
        <v>5703</v>
      </c>
    </row>
    <row r="21846" spans="2:8" ht="15" customHeight="1" x14ac:dyDescent="0.4">
      <c r="B21846" s="3" t="s">
        <v>7</v>
      </c>
      <c r="C21846" s="3" t="s">
        <v>3462</v>
      </c>
      <c r="D21846" s="4">
        <f>DATE(2005,12,16)</f>
        <v>38702</v>
      </c>
      <c r="E21846" s="5">
        <f t="shared" si="364"/>
        <v>2005</v>
      </c>
      <c r="F21846" s="3" t="s">
        <v>3463</v>
      </c>
      <c r="G21846" s="6">
        <v>4026</v>
      </c>
      <c r="H21846" s="5">
        <v>5703</v>
      </c>
    </row>
    <row r="21847" spans="2:8" ht="15" customHeight="1" x14ac:dyDescent="0.4">
      <c r="B21847" s="3" t="s">
        <v>7</v>
      </c>
      <c r="C21847" s="3" t="s">
        <v>3462</v>
      </c>
      <c r="D21847" s="4">
        <f>DATE(2006,1,6)</f>
        <v>38723</v>
      </c>
      <c r="E21847" s="5">
        <f t="shared" si="364"/>
        <v>2006</v>
      </c>
      <c r="F21847" s="3" t="s">
        <v>3463</v>
      </c>
      <c r="G21847" s="6">
        <v>128</v>
      </c>
      <c r="H21847" s="5">
        <v>5804</v>
      </c>
    </row>
    <row r="21848" spans="2:8" ht="15" customHeight="1" x14ac:dyDescent="0.4">
      <c r="B21848" s="3" t="s">
        <v>7</v>
      </c>
      <c r="C21848" s="3" t="s">
        <v>3462</v>
      </c>
      <c r="D21848" s="4">
        <f>DATE(2006,2,8)</f>
        <v>38756</v>
      </c>
      <c r="E21848" s="5">
        <f t="shared" si="364"/>
        <v>2006</v>
      </c>
      <c r="F21848" s="3" t="s">
        <v>3463</v>
      </c>
      <c r="G21848" s="6">
        <v>204</v>
      </c>
      <c r="H21848" s="5">
        <v>5923</v>
      </c>
    </row>
    <row r="21849" spans="2:8" ht="15" customHeight="1" x14ac:dyDescent="0.4">
      <c r="B21849" s="3" t="s">
        <v>7</v>
      </c>
      <c r="C21849" s="3" t="s">
        <v>3462</v>
      </c>
      <c r="D21849" s="4">
        <f>DATE(2006,4,26)</f>
        <v>38833</v>
      </c>
      <c r="E21849" s="5">
        <f t="shared" si="364"/>
        <v>2006</v>
      </c>
      <c r="F21849" s="3" t="s">
        <v>3463</v>
      </c>
      <c r="G21849" s="6">
        <v>549</v>
      </c>
      <c r="H21849" s="5">
        <v>6510</v>
      </c>
    </row>
    <row r="21850" spans="2:8" ht="15" customHeight="1" x14ac:dyDescent="0.4">
      <c r="B21850" s="3" t="s">
        <v>7</v>
      </c>
      <c r="C21850" s="3" t="s">
        <v>3462</v>
      </c>
      <c r="D21850" s="4">
        <f>DATE(2006,5,9)</f>
        <v>38846</v>
      </c>
      <c r="E21850" s="5">
        <f t="shared" si="364"/>
        <v>2006</v>
      </c>
      <c r="F21850" s="3" t="s">
        <v>3463</v>
      </c>
      <c r="G21850" s="6">
        <v>6405</v>
      </c>
      <c r="H21850" s="5">
        <v>6510</v>
      </c>
    </row>
    <row r="21851" spans="2:8" ht="15" customHeight="1" x14ac:dyDescent="0.4">
      <c r="B21851" s="3" t="s">
        <v>7</v>
      </c>
      <c r="C21851" s="3" t="s">
        <v>3462</v>
      </c>
      <c r="D21851" s="4">
        <f>DATE(2006,5,16)</f>
        <v>38853</v>
      </c>
      <c r="E21851" s="5">
        <f t="shared" si="364"/>
        <v>2006</v>
      </c>
      <c r="F21851" s="3" t="s">
        <v>3463</v>
      </c>
      <c r="G21851" s="6">
        <v>140</v>
      </c>
      <c r="H21851" s="5">
        <v>6719</v>
      </c>
    </row>
    <row r="21852" spans="2:8" ht="15" customHeight="1" x14ac:dyDescent="0.4">
      <c r="B21852" s="3" t="s">
        <v>7</v>
      </c>
      <c r="C21852" s="3" t="s">
        <v>3462</v>
      </c>
      <c r="D21852" s="4">
        <f>DATE(2006,5,23)</f>
        <v>38860</v>
      </c>
      <c r="E21852" s="5">
        <f t="shared" si="364"/>
        <v>2006</v>
      </c>
      <c r="F21852" s="3" t="s">
        <v>3463</v>
      </c>
      <c r="G21852" s="6">
        <v>11346</v>
      </c>
      <c r="H21852" s="5">
        <v>6510</v>
      </c>
    </row>
    <row r="21853" spans="2:8" ht="15" customHeight="1" x14ac:dyDescent="0.4">
      <c r="B21853" s="3" t="s">
        <v>7</v>
      </c>
      <c r="C21853" s="3" t="s">
        <v>3462</v>
      </c>
      <c r="D21853" s="4">
        <f>DATE(2006,6,8)</f>
        <v>38876</v>
      </c>
      <c r="E21853" s="5">
        <f t="shared" si="364"/>
        <v>2006</v>
      </c>
      <c r="F21853" s="3" t="s">
        <v>3463</v>
      </c>
      <c r="G21853" s="6">
        <v>63</v>
      </c>
      <c r="H21853" s="5">
        <v>6788</v>
      </c>
    </row>
    <row r="21854" spans="2:8" ht="15" customHeight="1" x14ac:dyDescent="0.4">
      <c r="B21854" s="3" t="s">
        <v>7</v>
      </c>
      <c r="C21854" s="3" t="s">
        <v>3462</v>
      </c>
      <c r="D21854" s="4">
        <f>DATE(2006,8,22)</f>
        <v>38951</v>
      </c>
      <c r="E21854" s="5">
        <f t="shared" si="364"/>
        <v>2006</v>
      </c>
      <c r="F21854" s="3" t="s">
        <v>3463</v>
      </c>
      <c r="G21854" s="6">
        <v>105</v>
      </c>
      <c r="H21854" s="5">
        <v>7122</v>
      </c>
    </row>
    <row r="21855" spans="2:8" ht="15" customHeight="1" x14ac:dyDescent="0.4">
      <c r="B21855" s="3" t="s">
        <v>7</v>
      </c>
      <c r="C21855" s="3" t="s">
        <v>3462</v>
      </c>
      <c r="D21855" s="4">
        <f>DATE(2006,9,8)</f>
        <v>38968</v>
      </c>
      <c r="E21855" s="5">
        <f t="shared" si="364"/>
        <v>2006</v>
      </c>
      <c r="F21855" s="3" t="s">
        <v>3463</v>
      </c>
      <c r="G21855" s="6">
        <v>10800</v>
      </c>
      <c r="H21855" s="5">
        <v>7208</v>
      </c>
    </row>
    <row r="21856" spans="2:8" ht="15" customHeight="1" x14ac:dyDescent="0.4">
      <c r="B21856" s="3" t="s">
        <v>7</v>
      </c>
      <c r="C21856" s="3" t="s">
        <v>3462</v>
      </c>
      <c r="D21856" s="4">
        <f>DATE(2006,10,24)</f>
        <v>39014</v>
      </c>
      <c r="E21856" s="5">
        <f t="shared" si="364"/>
        <v>2006</v>
      </c>
      <c r="F21856" s="3" t="s">
        <v>3463</v>
      </c>
      <c r="G21856" s="6">
        <v>70</v>
      </c>
      <c r="H21856" s="5">
        <v>7392</v>
      </c>
    </row>
    <row r="21857" spans="2:8" ht="15" customHeight="1" x14ac:dyDescent="0.4">
      <c r="B21857" s="3" t="s">
        <v>7</v>
      </c>
      <c r="C21857" s="3" t="s">
        <v>3462</v>
      </c>
      <c r="D21857" s="4">
        <f>DATE(2006,12,29)</f>
        <v>39080</v>
      </c>
      <c r="E21857" s="5">
        <f t="shared" si="364"/>
        <v>2006</v>
      </c>
      <c r="F21857" s="3" t="s">
        <v>3463</v>
      </c>
      <c r="G21857" s="6">
        <v>336</v>
      </c>
      <c r="H21857" s="5">
        <v>7643</v>
      </c>
    </row>
    <row r="21858" spans="2:8" ht="15" customHeight="1" x14ac:dyDescent="0.4">
      <c r="B21858" s="3" t="s">
        <v>7</v>
      </c>
      <c r="C21858" s="3" t="s">
        <v>3462</v>
      </c>
      <c r="D21858" s="4">
        <f>DATE(2007,1,15)</f>
        <v>39097</v>
      </c>
      <c r="E21858" s="5">
        <f t="shared" si="364"/>
        <v>2007</v>
      </c>
      <c r="F21858" s="3" t="s">
        <v>3463</v>
      </c>
      <c r="G21858" s="6">
        <v>600</v>
      </c>
      <c r="H21858" s="5">
        <v>7742</v>
      </c>
    </row>
    <row r="21859" spans="2:8" ht="15" customHeight="1" x14ac:dyDescent="0.4">
      <c r="B21859" s="3" t="s">
        <v>7</v>
      </c>
      <c r="C21859" s="3" t="s">
        <v>3462</v>
      </c>
      <c r="D21859" s="4">
        <f>DATE(2007,1,25)</f>
        <v>39107</v>
      </c>
      <c r="E21859" s="5">
        <f t="shared" si="364"/>
        <v>2007</v>
      </c>
      <c r="F21859" s="3" t="s">
        <v>3463</v>
      </c>
      <c r="G21859" s="6">
        <v>2806</v>
      </c>
      <c r="H21859" s="5">
        <v>7759</v>
      </c>
    </row>
    <row r="21860" spans="2:8" ht="15" customHeight="1" x14ac:dyDescent="0.4">
      <c r="B21860" s="3" t="s">
        <v>7</v>
      </c>
      <c r="C21860" s="3" t="s">
        <v>3462</v>
      </c>
      <c r="D21860" s="4">
        <f>DATE(2007,1,29)</f>
        <v>39111</v>
      </c>
      <c r="E21860" s="5">
        <f t="shared" si="364"/>
        <v>2007</v>
      </c>
      <c r="F21860" s="3" t="s">
        <v>3463</v>
      </c>
      <c r="G21860" s="6">
        <v>2487</v>
      </c>
      <c r="H21860" s="5">
        <v>7724</v>
      </c>
    </row>
    <row r="21861" spans="2:8" ht="15" customHeight="1" x14ac:dyDescent="0.4">
      <c r="B21861" s="3" t="s">
        <v>7</v>
      </c>
      <c r="C21861" s="3" t="s">
        <v>3462</v>
      </c>
      <c r="D21861" s="4">
        <f>DATE(2007,3,22)</f>
        <v>39163</v>
      </c>
      <c r="E21861" s="5">
        <f t="shared" si="364"/>
        <v>2007</v>
      </c>
      <c r="F21861" s="3" t="s">
        <v>3463</v>
      </c>
      <c r="G21861" s="6">
        <v>21600</v>
      </c>
      <c r="H21861" s="5">
        <v>8193</v>
      </c>
    </row>
    <row r="21862" spans="2:8" ht="15" customHeight="1" x14ac:dyDescent="0.4">
      <c r="B21862" s="3" t="s">
        <v>7</v>
      </c>
      <c r="C21862" s="3" t="s">
        <v>3462</v>
      </c>
      <c r="D21862" s="4">
        <f>DATE(2007,4,26)</f>
        <v>39198</v>
      </c>
      <c r="E21862" s="5">
        <f t="shared" si="364"/>
        <v>2007</v>
      </c>
      <c r="F21862" s="3" t="s">
        <v>3463</v>
      </c>
      <c r="G21862" s="6">
        <v>1218</v>
      </c>
      <c r="H21862" s="5">
        <v>8392</v>
      </c>
    </row>
    <row r="21863" spans="2:8" ht="15" customHeight="1" x14ac:dyDescent="0.4">
      <c r="B21863" s="3" t="s">
        <v>7</v>
      </c>
      <c r="C21863" s="3" t="s">
        <v>3462</v>
      </c>
      <c r="D21863" s="4">
        <f>DATE(2007,5,16)</f>
        <v>39218</v>
      </c>
      <c r="E21863" s="5">
        <f t="shared" si="364"/>
        <v>2007</v>
      </c>
      <c r="F21863" s="3" t="s">
        <v>3463</v>
      </c>
      <c r="G21863" s="6">
        <v>35</v>
      </c>
      <c r="H21863" s="5">
        <v>8544</v>
      </c>
    </row>
    <row r="21864" spans="2:8" ht="15" customHeight="1" x14ac:dyDescent="0.4">
      <c r="B21864" s="3" t="s">
        <v>7</v>
      </c>
      <c r="C21864" s="3" t="s">
        <v>3462</v>
      </c>
      <c r="D21864" s="4">
        <f>DATE(2007,6,29)</f>
        <v>39262</v>
      </c>
      <c r="E21864" s="5">
        <f t="shared" si="364"/>
        <v>2007</v>
      </c>
      <c r="F21864" s="3" t="s">
        <v>3463</v>
      </c>
      <c r="G21864" s="6">
        <v>22800</v>
      </c>
      <c r="H21864" s="5">
        <v>8851</v>
      </c>
    </row>
    <row r="21865" spans="2:8" ht="15" customHeight="1" x14ac:dyDescent="0.4">
      <c r="B21865" s="3" t="s">
        <v>7</v>
      </c>
      <c r="C21865" s="3" t="s">
        <v>3462</v>
      </c>
      <c r="D21865" s="4">
        <f>DATE(2007,6,29)</f>
        <v>39262</v>
      </c>
      <c r="E21865" s="5">
        <f t="shared" si="364"/>
        <v>2007</v>
      </c>
      <c r="F21865" s="3" t="s">
        <v>3463</v>
      </c>
      <c r="G21865" s="6">
        <v>1150</v>
      </c>
      <c r="H21865" s="5">
        <v>8848</v>
      </c>
    </row>
    <row r="21866" spans="2:8" ht="15" customHeight="1" x14ac:dyDescent="0.4">
      <c r="B21866" s="3" t="s">
        <v>7</v>
      </c>
      <c r="C21866" s="3" t="s">
        <v>3462</v>
      </c>
      <c r="D21866" s="4">
        <f>DATE(2007,7,20)</f>
        <v>39283</v>
      </c>
      <c r="E21866" s="5">
        <f t="shared" si="364"/>
        <v>2007</v>
      </c>
      <c r="F21866" s="3" t="s">
        <v>3463</v>
      </c>
      <c r="G21866" s="6">
        <v>11400</v>
      </c>
      <c r="H21866" s="5">
        <v>8884</v>
      </c>
    </row>
    <row r="21867" spans="2:8" ht="15" customHeight="1" x14ac:dyDescent="0.4">
      <c r="B21867" s="3" t="s">
        <v>7</v>
      </c>
      <c r="C21867" s="3" t="s">
        <v>3462</v>
      </c>
      <c r="D21867" s="4">
        <f>DATE(2007,8,14)</f>
        <v>39308</v>
      </c>
      <c r="E21867" s="5">
        <f t="shared" si="364"/>
        <v>2007</v>
      </c>
      <c r="F21867" s="3" t="s">
        <v>3463</v>
      </c>
      <c r="G21867" s="6">
        <v>400</v>
      </c>
      <c r="H21867" s="5">
        <v>8952</v>
      </c>
    </row>
    <row r="21868" spans="2:8" ht="15" customHeight="1" x14ac:dyDescent="0.4">
      <c r="B21868" s="3" t="s">
        <v>7</v>
      </c>
      <c r="C21868" s="3" t="s">
        <v>3462</v>
      </c>
      <c r="D21868" s="4">
        <f>DATE(2007,11,2)</f>
        <v>39388</v>
      </c>
      <c r="E21868" s="5">
        <f t="shared" si="364"/>
        <v>2007</v>
      </c>
      <c r="F21868" s="3" t="s">
        <v>3463</v>
      </c>
      <c r="G21868" s="6">
        <v>210</v>
      </c>
      <c r="H21868" s="5">
        <v>9426</v>
      </c>
    </row>
    <row r="21869" spans="2:8" ht="15" customHeight="1" x14ac:dyDescent="0.4">
      <c r="B21869" s="3" t="s">
        <v>7</v>
      </c>
      <c r="C21869" s="3" t="s">
        <v>3462</v>
      </c>
      <c r="D21869" s="4">
        <f>DATE(2007,11,8)</f>
        <v>39394</v>
      </c>
      <c r="E21869" s="5">
        <f t="shared" si="364"/>
        <v>2007</v>
      </c>
      <c r="F21869" s="3" t="s">
        <v>3463</v>
      </c>
      <c r="G21869" s="6">
        <v>167.37</v>
      </c>
      <c r="H21869" s="5">
        <v>9439</v>
      </c>
    </row>
    <row r="21870" spans="2:8" ht="15" customHeight="1" x14ac:dyDescent="0.4">
      <c r="B21870" s="3" t="s">
        <v>7</v>
      </c>
      <c r="C21870" s="3" t="s">
        <v>3462</v>
      </c>
      <c r="D21870" s="4">
        <f>DATE(2007,11,9)</f>
        <v>39395</v>
      </c>
      <c r="E21870" s="5">
        <f t="shared" si="364"/>
        <v>2007</v>
      </c>
      <c r="F21870" s="3" t="s">
        <v>3463</v>
      </c>
      <c r="G21870" s="6">
        <v>3590</v>
      </c>
      <c r="H21870" s="5">
        <v>9393</v>
      </c>
    </row>
    <row r="21871" spans="2:8" ht="15" customHeight="1" x14ac:dyDescent="0.4">
      <c r="B21871" s="3" t="s">
        <v>7</v>
      </c>
      <c r="C21871" s="3" t="s">
        <v>3462</v>
      </c>
      <c r="D21871" s="4">
        <f>DATE(2007,12,6)</f>
        <v>39422</v>
      </c>
      <c r="E21871" s="5">
        <f t="shared" si="364"/>
        <v>2007</v>
      </c>
      <c r="F21871" s="3" t="s">
        <v>3463</v>
      </c>
      <c r="G21871" s="6">
        <v>200</v>
      </c>
      <c r="H21871" s="5">
        <v>9554</v>
      </c>
    </row>
    <row r="21872" spans="2:8" ht="15" customHeight="1" x14ac:dyDescent="0.4">
      <c r="B21872" s="3" t="s">
        <v>7</v>
      </c>
      <c r="C21872" s="3" t="s">
        <v>3462</v>
      </c>
      <c r="D21872" s="4">
        <f>DATE(2007,12,11)</f>
        <v>39427</v>
      </c>
      <c r="E21872" s="5">
        <f t="shared" si="364"/>
        <v>2007</v>
      </c>
      <c r="F21872" s="3" t="s">
        <v>3463</v>
      </c>
      <c r="G21872" s="6">
        <v>1150</v>
      </c>
      <c r="H21872" s="5">
        <v>9563</v>
      </c>
    </row>
    <row r="21873" spans="2:8" ht="15" customHeight="1" x14ac:dyDescent="0.4">
      <c r="B21873" s="3" t="s">
        <v>7</v>
      </c>
      <c r="C21873" s="3" t="s">
        <v>3462</v>
      </c>
      <c r="D21873" s="4">
        <f>DATE(2007,12,17)</f>
        <v>39433</v>
      </c>
      <c r="E21873" s="5">
        <f t="shared" si="364"/>
        <v>2007</v>
      </c>
      <c r="F21873" s="3" t="s">
        <v>3463</v>
      </c>
      <c r="G21873" s="6">
        <v>720</v>
      </c>
      <c r="H21873" s="5">
        <v>9584</v>
      </c>
    </row>
    <row r="21874" spans="2:8" ht="15" customHeight="1" x14ac:dyDescent="0.4">
      <c r="B21874" s="3" t="s">
        <v>7</v>
      </c>
      <c r="C21874" s="3" t="s">
        <v>3462</v>
      </c>
      <c r="D21874" s="4">
        <f>DATE(2008,1,21)</f>
        <v>39468</v>
      </c>
      <c r="E21874" s="5">
        <f t="shared" si="364"/>
        <v>2008</v>
      </c>
      <c r="F21874" s="3" t="s">
        <v>3463</v>
      </c>
      <c r="G21874" s="6">
        <v>35</v>
      </c>
      <c r="H21874" s="5">
        <v>9775</v>
      </c>
    </row>
    <row r="21875" spans="2:8" ht="15" customHeight="1" x14ac:dyDescent="0.4">
      <c r="B21875" s="3" t="s">
        <v>7</v>
      </c>
      <c r="C21875" s="3" t="s">
        <v>3462</v>
      </c>
      <c r="D21875" s="4">
        <f>DATE(2008,1,24)</f>
        <v>39471</v>
      </c>
      <c r="E21875" s="5">
        <f t="shared" si="364"/>
        <v>2008</v>
      </c>
      <c r="F21875" s="3" t="s">
        <v>3463</v>
      </c>
      <c r="G21875" s="6">
        <v>760</v>
      </c>
      <c r="H21875" s="5">
        <v>9723</v>
      </c>
    </row>
    <row r="21876" spans="2:8" ht="15" customHeight="1" x14ac:dyDescent="0.4">
      <c r="B21876" s="3" t="s">
        <v>7</v>
      </c>
      <c r="C21876" s="3" t="s">
        <v>3462</v>
      </c>
      <c r="D21876" s="4">
        <f>DATE(2008,1,30)</f>
        <v>39477</v>
      </c>
      <c r="E21876" s="5">
        <f t="shared" si="364"/>
        <v>2008</v>
      </c>
      <c r="F21876" s="3" t="s">
        <v>3463</v>
      </c>
      <c r="G21876" s="6">
        <v>18720</v>
      </c>
      <c r="H21876" s="5">
        <v>9579</v>
      </c>
    </row>
    <row r="21877" spans="2:8" ht="15" customHeight="1" x14ac:dyDescent="0.4">
      <c r="B21877" s="3" t="s">
        <v>7</v>
      </c>
      <c r="C21877" s="3" t="s">
        <v>3462</v>
      </c>
      <c r="D21877" s="4">
        <f>DATE(2008,4,15)</f>
        <v>39553</v>
      </c>
      <c r="E21877" s="5">
        <f t="shared" si="364"/>
        <v>2008</v>
      </c>
      <c r="F21877" s="3" t="s">
        <v>3463</v>
      </c>
      <c r="G21877" s="6">
        <v>10450.25</v>
      </c>
      <c r="H21877" s="5">
        <v>10474</v>
      </c>
    </row>
    <row r="21878" spans="2:8" ht="15" customHeight="1" x14ac:dyDescent="0.4">
      <c r="B21878" s="3" t="s">
        <v>7</v>
      </c>
      <c r="C21878" s="3" t="s">
        <v>3462</v>
      </c>
      <c r="D21878" s="4">
        <f>DATE(2008,4,17)</f>
        <v>39555</v>
      </c>
      <c r="E21878" s="5">
        <f t="shared" si="364"/>
        <v>2008</v>
      </c>
      <c r="F21878" s="3" t="s">
        <v>3463</v>
      </c>
      <c r="G21878" s="6">
        <v>26600</v>
      </c>
      <c r="H21878" s="5">
        <v>10485</v>
      </c>
    </row>
    <row r="21879" spans="2:8" ht="15" customHeight="1" x14ac:dyDescent="0.4">
      <c r="B21879" s="3" t="s">
        <v>7</v>
      </c>
      <c r="C21879" s="3" t="s">
        <v>3462</v>
      </c>
      <c r="D21879" s="4">
        <f>DATE(2008,4,23)</f>
        <v>39561</v>
      </c>
      <c r="E21879" s="5">
        <f t="shared" si="364"/>
        <v>2008</v>
      </c>
      <c r="F21879" s="3" t="s">
        <v>3463</v>
      </c>
      <c r="G21879" s="6">
        <v>10545</v>
      </c>
      <c r="H21879" s="5">
        <v>10491</v>
      </c>
    </row>
    <row r="21880" spans="2:8" ht="15" customHeight="1" x14ac:dyDescent="0.4">
      <c r="B21880" s="3" t="s">
        <v>7</v>
      </c>
      <c r="C21880" s="3" t="s">
        <v>3462</v>
      </c>
      <c r="D21880" s="4">
        <f>DATE(2008,5,6)</f>
        <v>39574</v>
      </c>
      <c r="E21880" s="5">
        <f t="shared" si="364"/>
        <v>2008</v>
      </c>
      <c r="F21880" s="3" t="s">
        <v>3463</v>
      </c>
      <c r="G21880" s="6">
        <v>148</v>
      </c>
      <c r="H21880" s="5">
        <v>10563</v>
      </c>
    </row>
    <row r="21881" spans="2:8" ht="15" customHeight="1" x14ac:dyDescent="0.4">
      <c r="B21881" s="3" t="s">
        <v>7</v>
      </c>
      <c r="C21881" s="3" t="s">
        <v>3462</v>
      </c>
      <c r="D21881" s="4">
        <f>DATE(2008,5,13)</f>
        <v>39581</v>
      </c>
      <c r="E21881" s="5">
        <f t="shared" si="364"/>
        <v>2008</v>
      </c>
      <c r="F21881" s="3" t="s">
        <v>3463</v>
      </c>
      <c r="G21881" s="6">
        <v>296</v>
      </c>
      <c r="H21881" s="5">
        <v>10664</v>
      </c>
    </row>
    <row r="21882" spans="2:8" ht="15" customHeight="1" x14ac:dyDescent="0.4">
      <c r="B21882" s="3" t="s">
        <v>7</v>
      </c>
      <c r="C21882" s="3" t="s">
        <v>3462</v>
      </c>
      <c r="D21882" s="4">
        <f>DATE(2008,6,12)</f>
        <v>39611</v>
      </c>
      <c r="E21882" s="5">
        <f t="shared" si="364"/>
        <v>2008</v>
      </c>
      <c r="F21882" s="3" t="s">
        <v>3463</v>
      </c>
      <c r="G21882" s="6">
        <v>148</v>
      </c>
      <c r="H21882" s="5">
        <v>10824</v>
      </c>
    </row>
    <row r="21883" spans="2:8" ht="15" customHeight="1" x14ac:dyDescent="0.4">
      <c r="B21883" s="3" t="s">
        <v>7</v>
      </c>
      <c r="C21883" s="3" t="s">
        <v>3462</v>
      </c>
      <c r="D21883" s="4">
        <f>DATE(2008,6,18)</f>
        <v>39617</v>
      </c>
      <c r="E21883" s="5">
        <f t="shared" si="364"/>
        <v>2008</v>
      </c>
      <c r="F21883" s="3" t="s">
        <v>3463</v>
      </c>
      <c r="G21883" s="6">
        <v>575</v>
      </c>
      <c r="H21883" s="5">
        <v>10819</v>
      </c>
    </row>
    <row r="21884" spans="2:8" ht="15" customHeight="1" x14ac:dyDescent="0.4">
      <c r="B21884" s="3" t="s">
        <v>7</v>
      </c>
      <c r="C21884" s="3" t="s">
        <v>3462</v>
      </c>
      <c r="D21884" s="4">
        <f>DATE(2008,9,3)</f>
        <v>39694</v>
      </c>
      <c r="E21884" s="5">
        <f t="shared" si="364"/>
        <v>2008</v>
      </c>
      <c r="F21884" s="3" t="s">
        <v>3463</v>
      </c>
      <c r="G21884" s="6">
        <v>400</v>
      </c>
      <c r="H21884" s="5">
        <v>10899</v>
      </c>
    </row>
    <row r="21885" spans="2:8" ht="15" customHeight="1" x14ac:dyDescent="0.4">
      <c r="B21885" s="3" t="s">
        <v>7</v>
      </c>
      <c r="C21885" s="3" t="s">
        <v>3462</v>
      </c>
      <c r="D21885" s="4">
        <f>DATE(2008,9,10)</f>
        <v>39701</v>
      </c>
      <c r="E21885" s="5">
        <f t="shared" si="364"/>
        <v>2008</v>
      </c>
      <c r="F21885" s="3" t="s">
        <v>3463</v>
      </c>
      <c r="G21885" s="6">
        <v>6990</v>
      </c>
      <c r="H21885" s="5">
        <v>11131</v>
      </c>
    </row>
    <row r="21886" spans="2:8" ht="15" customHeight="1" x14ac:dyDescent="0.4">
      <c r="B21886" s="3" t="s">
        <v>7</v>
      </c>
      <c r="C21886" s="3" t="s">
        <v>3462</v>
      </c>
      <c r="D21886" s="4">
        <f>DATE(2008,11,4)</f>
        <v>39756</v>
      </c>
      <c r="E21886" s="5">
        <f t="shared" si="364"/>
        <v>2008</v>
      </c>
      <c r="F21886" s="3" t="s">
        <v>3463</v>
      </c>
      <c r="G21886" s="6">
        <v>1012.5</v>
      </c>
      <c r="H21886" s="5">
        <v>11506</v>
      </c>
    </row>
    <row r="21887" spans="2:8" ht="15" customHeight="1" x14ac:dyDescent="0.4">
      <c r="B21887" s="3" t="s">
        <v>7</v>
      </c>
      <c r="C21887" s="3" t="s">
        <v>3462</v>
      </c>
      <c r="D21887" s="4">
        <f>DATE(2008,12,15)</f>
        <v>39797</v>
      </c>
      <c r="E21887" s="5">
        <f t="shared" si="364"/>
        <v>2008</v>
      </c>
      <c r="F21887" s="3" t="s">
        <v>3463</v>
      </c>
      <c r="G21887" s="6">
        <v>400</v>
      </c>
      <c r="H21887" s="5">
        <v>11669</v>
      </c>
    </row>
    <row r="21888" spans="2:8" ht="15" customHeight="1" x14ac:dyDescent="0.4">
      <c r="B21888" s="3" t="s">
        <v>7</v>
      </c>
      <c r="C21888" s="3" t="s">
        <v>3462</v>
      </c>
      <c r="D21888" s="4">
        <f>DATE(2009,3,25)</f>
        <v>39897</v>
      </c>
      <c r="E21888" s="5">
        <f t="shared" si="364"/>
        <v>2009</v>
      </c>
      <c r="F21888" s="3" t="s">
        <v>3463</v>
      </c>
      <c r="G21888" s="6">
        <v>37</v>
      </c>
      <c r="H21888" s="5">
        <v>12041</v>
      </c>
    </row>
    <row r="21889" spans="2:8" ht="15" customHeight="1" x14ac:dyDescent="0.4">
      <c r="B21889" s="3" t="s">
        <v>7</v>
      </c>
      <c r="C21889" s="3" t="s">
        <v>3462</v>
      </c>
      <c r="D21889" s="4">
        <f>DATE(2009,7,20)</f>
        <v>40014</v>
      </c>
      <c r="E21889" s="5">
        <f t="shared" si="364"/>
        <v>2009</v>
      </c>
      <c r="F21889" s="3" t="s">
        <v>3463</v>
      </c>
      <c r="G21889" s="6">
        <v>200</v>
      </c>
      <c r="H21889" s="5">
        <v>12672</v>
      </c>
    </row>
    <row r="21890" spans="2:8" ht="15" customHeight="1" x14ac:dyDescent="0.4">
      <c r="B21890" s="3" t="s">
        <v>7</v>
      </c>
      <c r="C21890" s="3" t="s">
        <v>3462</v>
      </c>
      <c r="D21890" s="4">
        <f>DATE(2010,1,12)</f>
        <v>40190</v>
      </c>
      <c r="E21890" s="5">
        <f t="shared" si="364"/>
        <v>2010</v>
      </c>
      <c r="F21890" s="3" t="s">
        <v>3463</v>
      </c>
      <c r="G21890" s="6">
        <v>925</v>
      </c>
      <c r="H21890" s="5">
        <v>13322</v>
      </c>
    </row>
    <row r="21891" spans="2:8" ht="15" customHeight="1" x14ac:dyDescent="0.4">
      <c r="B21891" s="3" t="s">
        <v>7</v>
      </c>
      <c r="C21891" s="3" t="s">
        <v>3462</v>
      </c>
      <c r="D21891" s="4">
        <f>DATE(2010,1,18)</f>
        <v>40196</v>
      </c>
      <c r="E21891" s="5">
        <f t="shared" ref="E21891:E21954" si="365">YEAR(D21891)</f>
        <v>2010</v>
      </c>
      <c r="F21891" s="3" t="s">
        <v>3463</v>
      </c>
      <c r="G21891" s="6">
        <v>80</v>
      </c>
      <c r="H21891" s="5">
        <v>13229</v>
      </c>
    </row>
    <row r="21892" spans="2:8" ht="15" customHeight="1" x14ac:dyDescent="0.4">
      <c r="B21892" s="3" t="s">
        <v>7</v>
      </c>
      <c r="C21892" s="3" t="s">
        <v>3462</v>
      </c>
      <c r="D21892" s="4">
        <f>DATE(2010,5,6)</f>
        <v>40304</v>
      </c>
      <c r="E21892" s="5">
        <f t="shared" si="365"/>
        <v>2010</v>
      </c>
      <c r="F21892" s="3" t="s">
        <v>3463</v>
      </c>
      <c r="G21892" s="6">
        <v>245</v>
      </c>
      <c r="H21892" s="5">
        <v>13778</v>
      </c>
    </row>
    <row r="21893" spans="2:8" ht="15" customHeight="1" x14ac:dyDescent="0.4">
      <c r="B21893" s="3" t="s">
        <v>7</v>
      </c>
      <c r="C21893" s="3" t="s">
        <v>3462</v>
      </c>
      <c r="D21893" s="4">
        <f>DATE(2010,6,10)</f>
        <v>40339</v>
      </c>
      <c r="E21893" s="5">
        <f t="shared" si="365"/>
        <v>2010</v>
      </c>
      <c r="F21893" s="3" t="s">
        <v>3463</v>
      </c>
      <c r="G21893" s="6">
        <v>4100</v>
      </c>
      <c r="H21893" s="5">
        <v>14161</v>
      </c>
    </row>
    <row r="21894" spans="2:8" ht="15" customHeight="1" x14ac:dyDescent="0.4">
      <c r="B21894" s="3" t="s">
        <v>7</v>
      </c>
      <c r="C21894" s="3" t="s">
        <v>3462</v>
      </c>
      <c r="D21894" s="4">
        <f>DATE(2010,6,29)</f>
        <v>40358</v>
      </c>
      <c r="E21894" s="5">
        <f t="shared" si="365"/>
        <v>2010</v>
      </c>
      <c r="F21894" s="3" t="s">
        <v>3463</v>
      </c>
      <c r="G21894" s="6">
        <v>470</v>
      </c>
      <c r="H21894" s="5">
        <v>13917</v>
      </c>
    </row>
    <row r="21895" spans="2:8" ht="15" customHeight="1" x14ac:dyDescent="0.4">
      <c r="B21895" s="3" t="s">
        <v>7</v>
      </c>
      <c r="C21895" s="3" t="s">
        <v>3462</v>
      </c>
      <c r="D21895" s="4">
        <f>DATE(2010,7,22)</f>
        <v>40381</v>
      </c>
      <c r="E21895" s="5">
        <f t="shared" si="365"/>
        <v>2010</v>
      </c>
      <c r="F21895" s="3" t="s">
        <v>3463</v>
      </c>
      <c r="G21895" s="6">
        <v>1800</v>
      </c>
      <c r="H21895" s="5">
        <v>14264</v>
      </c>
    </row>
    <row r="21896" spans="2:8" ht="15" customHeight="1" x14ac:dyDescent="0.4">
      <c r="B21896" s="3" t="s">
        <v>7</v>
      </c>
      <c r="C21896" s="3" t="s">
        <v>3462</v>
      </c>
      <c r="D21896" s="4">
        <f>DATE(2010,10,12)</f>
        <v>40463</v>
      </c>
      <c r="E21896" s="5">
        <f t="shared" si="365"/>
        <v>2010</v>
      </c>
      <c r="F21896" s="3" t="s">
        <v>3463</v>
      </c>
      <c r="G21896" s="6">
        <v>160</v>
      </c>
      <c r="H21896" s="5">
        <v>14515</v>
      </c>
    </row>
    <row r="21897" spans="2:8" ht="15" customHeight="1" x14ac:dyDescent="0.4">
      <c r="B21897" s="3" t="s">
        <v>7</v>
      </c>
      <c r="C21897" s="3" t="s">
        <v>3462</v>
      </c>
      <c r="D21897" s="4">
        <f>DATE(2011,6,16)</f>
        <v>40710</v>
      </c>
      <c r="E21897" s="5">
        <f t="shared" si="365"/>
        <v>2011</v>
      </c>
      <c r="F21897" s="3" t="s">
        <v>3463</v>
      </c>
      <c r="G21897" s="6">
        <v>690</v>
      </c>
      <c r="H21897" s="5">
        <v>15158</v>
      </c>
    </row>
    <row r="21898" spans="2:8" ht="15" customHeight="1" x14ac:dyDescent="0.4">
      <c r="B21898" s="3" t="s">
        <v>7</v>
      </c>
      <c r="C21898" s="3" t="s">
        <v>3462</v>
      </c>
      <c r="D21898" s="4">
        <f>DATE(2011,11,14)</f>
        <v>40861</v>
      </c>
      <c r="E21898" s="5">
        <f t="shared" si="365"/>
        <v>2011</v>
      </c>
      <c r="F21898" s="3" t="s">
        <v>3463</v>
      </c>
      <c r="G21898" s="6">
        <v>2919</v>
      </c>
      <c r="H21898" s="5">
        <v>16103</v>
      </c>
    </row>
    <row r="21899" spans="2:8" ht="15" customHeight="1" x14ac:dyDescent="0.4">
      <c r="B21899" s="3" t="s">
        <v>7</v>
      </c>
      <c r="C21899" s="3" t="s">
        <v>3462</v>
      </c>
      <c r="D21899" s="4">
        <f>DATE(2012,8,28)</f>
        <v>41149</v>
      </c>
      <c r="E21899" s="5">
        <f t="shared" si="365"/>
        <v>2012</v>
      </c>
      <c r="F21899" s="3" t="s">
        <v>3463</v>
      </c>
      <c r="G21899" s="6">
        <v>930</v>
      </c>
      <c r="H21899" s="5">
        <v>17451</v>
      </c>
    </row>
    <row r="21900" spans="2:8" ht="15" customHeight="1" x14ac:dyDescent="0.4">
      <c r="B21900" s="3" t="s">
        <v>7</v>
      </c>
      <c r="C21900" s="3" t="s">
        <v>3462</v>
      </c>
      <c r="D21900" s="4">
        <f>DATE(2012,9,12)</f>
        <v>41164</v>
      </c>
      <c r="E21900" s="5">
        <f t="shared" si="365"/>
        <v>2012</v>
      </c>
      <c r="F21900" s="3" t="s">
        <v>3463</v>
      </c>
      <c r="G21900" s="6">
        <v>4500</v>
      </c>
      <c r="H21900" s="5">
        <v>17531</v>
      </c>
    </row>
    <row r="21901" spans="2:8" ht="15" customHeight="1" x14ac:dyDescent="0.4">
      <c r="B21901" s="3" t="s">
        <v>7</v>
      </c>
      <c r="C21901" s="3" t="s">
        <v>3462</v>
      </c>
      <c r="D21901" s="4">
        <f>DATE(2012,10,12)</f>
        <v>41194</v>
      </c>
      <c r="E21901" s="5">
        <f t="shared" si="365"/>
        <v>2012</v>
      </c>
      <c r="F21901" s="3" t="s">
        <v>3463</v>
      </c>
      <c r="G21901" s="6">
        <v>1150</v>
      </c>
      <c r="H21901" s="5">
        <v>17669</v>
      </c>
    </row>
    <row r="21902" spans="2:8" ht="15" customHeight="1" x14ac:dyDescent="0.4">
      <c r="B21902" s="3" t="s">
        <v>7</v>
      </c>
      <c r="C21902" s="3" t="s">
        <v>3462</v>
      </c>
      <c r="D21902" s="4">
        <f>DATE(2012,11,7)</f>
        <v>41220</v>
      </c>
      <c r="E21902" s="5">
        <f t="shared" si="365"/>
        <v>2012</v>
      </c>
      <c r="F21902" s="3" t="s">
        <v>3463</v>
      </c>
      <c r="G21902" s="6">
        <v>30120</v>
      </c>
      <c r="H21902" s="5">
        <v>17725</v>
      </c>
    </row>
    <row r="21903" spans="2:8" ht="15" customHeight="1" x14ac:dyDescent="0.4">
      <c r="B21903" s="3" t="s">
        <v>7</v>
      </c>
      <c r="C21903" s="3" t="s">
        <v>3462</v>
      </c>
      <c r="D21903" s="4">
        <f>DATE(2013,2,8)</f>
        <v>41313</v>
      </c>
      <c r="E21903" s="5">
        <f t="shared" si="365"/>
        <v>2013</v>
      </c>
      <c r="F21903" s="3" t="s">
        <v>3463</v>
      </c>
      <c r="G21903" s="6">
        <v>1105</v>
      </c>
      <c r="H21903" s="5">
        <v>18100</v>
      </c>
    </row>
    <row r="21904" spans="2:8" ht="15" customHeight="1" x14ac:dyDescent="0.4">
      <c r="B21904" s="3" t="s">
        <v>7</v>
      </c>
      <c r="C21904" s="3" t="s">
        <v>3462</v>
      </c>
      <c r="D21904" s="4">
        <f>DATE(2013,3,19)</f>
        <v>41352</v>
      </c>
      <c r="E21904" s="5">
        <f t="shared" si="365"/>
        <v>2013</v>
      </c>
      <c r="F21904" s="3" t="s">
        <v>3463</v>
      </c>
      <c r="G21904" s="6">
        <v>4500</v>
      </c>
      <c r="H21904" s="5">
        <v>18235</v>
      </c>
    </row>
    <row r="21905" spans="2:8" ht="15" customHeight="1" x14ac:dyDescent="0.4">
      <c r="B21905" s="3" t="s">
        <v>7</v>
      </c>
      <c r="C21905" s="3" t="s">
        <v>3462</v>
      </c>
      <c r="D21905" s="4">
        <f>DATE(2013,4,5)</f>
        <v>41369</v>
      </c>
      <c r="E21905" s="5">
        <f t="shared" si="365"/>
        <v>2013</v>
      </c>
      <c r="F21905" s="3" t="s">
        <v>3463</v>
      </c>
      <c r="G21905" s="6">
        <v>246.1</v>
      </c>
      <c r="H21905" s="5">
        <v>18318</v>
      </c>
    </row>
    <row r="21906" spans="2:8" ht="15" customHeight="1" x14ac:dyDescent="0.4">
      <c r="B21906" s="3" t="s">
        <v>7</v>
      </c>
      <c r="C21906" s="3" t="s">
        <v>3462</v>
      </c>
      <c r="D21906" s="4">
        <f>DATE(2013,10,2)</f>
        <v>41549</v>
      </c>
      <c r="E21906" s="5">
        <f t="shared" si="365"/>
        <v>2013</v>
      </c>
      <c r="F21906" s="3" t="s">
        <v>3463</v>
      </c>
      <c r="G21906" s="6">
        <v>284</v>
      </c>
      <c r="H21906" s="5">
        <v>19034</v>
      </c>
    </row>
    <row r="21907" spans="2:8" ht="15" customHeight="1" x14ac:dyDescent="0.4">
      <c r="B21907" s="3" t="s">
        <v>7</v>
      </c>
      <c r="C21907" s="3" t="s">
        <v>3462</v>
      </c>
      <c r="D21907" s="4">
        <f>DATE(2013,11,21)</f>
        <v>41599</v>
      </c>
      <c r="E21907" s="5">
        <f t="shared" si="365"/>
        <v>2013</v>
      </c>
      <c r="F21907" s="3" t="s">
        <v>3463</v>
      </c>
      <c r="G21907" s="6">
        <v>516</v>
      </c>
      <c r="H21907" s="5">
        <v>19119</v>
      </c>
    </row>
    <row r="21908" spans="2:8" ht="15" customHeight="1" x14ac:dyDescent="0.4">
      <c r="B21908" s="3" t="s">
        <v>7</v>
      </c>
      <c r="C21908" s="3" t="s">
        <v>3462</v>
      </c>
      <c r="D21908" s="4">
        <f>DATE(2014,1,16)</f>
        <v>41655</v>
      </c>
      <c r="E21908" s="5">
        <f t="shared" si="365"/>
        <v>2014</v>
      </c>
      <c r="F21908" s="3" t="s">
        <v>3463</v>
      </c>
      <c r="G21908" s="6">
        <v>342</v>
      </c>
      <c r="H21908" s="5">
        <v>19383</v>
      </c>
    </row>
    <row r="21909" spans="2:8" ht="15" customHeight="1" x14ac:dyDescent="0.4">
      <c r="B21909" s="3" t="s">
        <v>7</v>
      </c>
      <c r="C21909" s="3" t="s">
        <v>3462</v>
      </c>
      <c r="D21909" s="4">
        <f>DATE(2014,3,6)</f>
        <v>41704</v>
      </c>
      <c r="E21909" s="5">
        <f t="shared" si="365"/>
        <v>2014</v>
      </c>
      <c r="F21909" s="3" t="s">
        <v>3463</v>
      </c>
      <c r="G21909" s="6">
        <v>351</v>
      </c>
      <c r="H21909" s="5">
        <v>19632</v>
      </c>
    </row>
    <row r="21910" spans="2:8" ht="15" customHeight="1" x14ac:dyDescent="0.4">
      <c r="B21910" s="3" t="s">
        <v>7</v>
      </c>
      <c r="C21910" s="3" t="s">
        <v>3462</v>
      </c>
      <c r="D21910" s="4">
        <f>DATE(2014,3,12)</f>
        <v>41710</v>
      </c>
      <c r="E21910" s="5">
        <f t="shared" si="365"/>
        <v>2014</v>
      </c>
      <c r="F21910" s="3" t="s">
        <v>3463</v>
      </c>
      <c r="G21910" s="6">
        <v>2134</v>
      </c>
      <c r="H21910" s="5">
        <v>19534</v>
      </c>
    </row>
    <row r="21911" spans="2:8" ht="15" customHeight="1" x14ac:dyDescent="0.4">
      <c r="B21911" s="3" t="s">
        <v>7</v>
      </c>
      <c r="C21911" s="3" t="s">
        <v>3462</v>
      </c>
      <c r="D21911" s="4">
        <f>DATE(2014,4,14)</f>
        <v>41743</v>
      </c>
      <c r="E21911" s="5">
        <f t="shared" si="365"/>
        <v>2014</v>
      </c>
      <c r="F21911" s="3" t="s">
        <v>3463</v>
      </c>
      <c r="G21911" s="6">
        <v>272</v>
      </c>
      <c r="H21911" s="5">
        <v>19787</v>
      </c>
    </row>
    <row r="21912" spans="2:8" ht="15" customHeight="1" x14ac:dyDescent="0.4">
      <c r="B21912" s="3" t="s">
        <v>7</v>
      </c>
      <c r="C21912" s="3" t="s">
        <v>3462</v>
      </c>
      <c r="D21912" s="4">
        <f>DATE(2014,8,20)</f>
        <v>41871</v>
      </c>
      <c r="E21912" s="5">
        <f t="shared" si="365"/>
        <v>2014</v>
      </c>
      <c r="F21912" s="3" t="s">
        <v>3463</v>
      </c>
      <c r="G21912" s="6">
        <v>22212</v>
      </c>
      <c r="H21912" s="5">
        <v>20308</v>
      </c>
    </row>
    <row r="21913" spans="2:8" ht="15" customHeight="1" x14ac:dyDescent="0.4">
      <c r="B21913" s="3" t="s">
        <v>7</v>
      </c>
      <c r="C21913" s="3" t="s">
        <v>3462</v>
      </c>
      <c r="D21913" s="4">
        <f>DATE(2014,10,6)</f>
        <v>41918</v>
      </c>
      <c r="E21913" s="5">
        <f t="shared" si="365"/>
        <v>2014</v>
      </c>
      <c r="F21913" s="3" t="s">
        <v>3463</v>
      </c>
      <c r="G21913" s="6">
        <v>280</v>
      </c>
      <c r="H21913" s="5">
        <v>20475</v>
      </c>
    </row>
    <row r="21914" spans="2:8" ht="15" customHeight="1" x14ac:dyDescent="0.4">
      <c r="B21914" s="3" t="s">
        <v>7</v>
      </c>
      <c r="C21914" s="3" t="s">
        <v>3462</v>
      </c>
      <c r="D21914" s="4">
        <f>DATE(2014,10,13)</f>
        <v>41925</v>
      </c>
      <c r="E21914" s="5">
        <f t="shared" si="365"/>
        <v>2014</v>
      </c>
      <c r="F21914" s="3" t="s">
        <v>3463</v>
      </c>
      <c r="G21914" s="6">
        <v>370</v>
      </c>
      <c r="H21914" s="5">
        <v>20515</v>
      </c>
    </row>
    <row r="21915" spans="2:8" ht="15" customHeight="1" x14ac:dyDescent="0.4">
      <c r="B21915" s="3" t="s">
        <v>7</v>
      </c>
      <c r="C21915" s="3" t="s">
        <v>3462</v>
      </c>
      <c r="D21915" s="4">
        <f>DATE(2014,11,5)</f>
        <v>41948</v>
      </c>
      <c r="E21915" s="5">
        <f t="shared" si="365"/>
        <v>2014</v>
      </c>
      <c r="F21915" s="3" t="s">
        <v>3463</v>
      </c>
      <c r="G21915" s="6">
        <v>816</v>
      </c>
      <c r="H21915" s="5">
        <v>20594</v>
      </c>
    </row>
    <row r="21916" spans="2:8" ht="15" customHeight="1" x14ac:dyDescent="0.4">
      <c r="B21916" s="3" t="s">
        <v>7</v>
      </c>
      <c r="C21916" s="3" t="s">
        <v>3462</v>
      </c>
      <c r="D21916" s="4">
        <f>DATE(2014,11,17)</f>
        <v>41960</v>
      </c>
      <c r="E21916" s="5">
        <f t="shared" si="365"/>
        <v>2014</v>
      </c>
      <c r="F21916" s="3" t="s">
        <v>3463</v>
      </c>
      <c r="G21916" s="6">
        <v>3240</v>
      </c>
      <c r="H21916" s="5">
        <v>20489</v>
      </c>
    </row>
    <row r="21917" spans="2:8" ht="15" customHeight="1" x14ac:dyDescent="0.4">
      <c r="B21917" s="3" t="s">
        <v>7</v>
      </c>
      <c r="C21917" s="3" t="s">
        <v>3462</v>
      </c>
      <c r="D21917" s="4">
        <f>DATE(2014,11,19)</f>
        <v>41962</v>
      </c>
      <c r="E21917" s="5">
        <f t="shared" si="365"/>
        <v>2014</v>
      </c>
      <c r="F21917" s="3" t="s">
        <v>3463</v>
      </c>
      <c r="G21917" s="6">
        <v>21600</v>
      </c>
      <c r="H21917" s="5">
        <v>20637</v>
      </c>
    </row>
    <row r="21918" spans="2:8" ht="15" customHeight="1" x14ac:dyDescent="0.4">
      <c r="B21918" s="3" t="s">
        <v>16</v>
      </c>
      <c r="C21918" s="3" t="s">
        <v>3462</v>
      </c>
      <c r="D21918" s="4">
        <f>DATE(2005,9,16)</f>
        <v>38611</v>
      </c>
      <c r="E21918" s="5">
        <f t="shared" si="365"/>
        <v>2005</v>
      </c>
      <c r="F21918" s="3" t="s">
        <v>3463</v>
      </c>
      <c r="G21918" s="6">
        <v>45</v>
      </c>
      <c r="H21918" s="5">
        <v>5447</v>
      </c>
    </row>
    <row r="21919" spans="2:8" ht="15" customHeight="1" x14ac:dyDescent="0.4">
      <c r="B21919" s="3" t="s">
        <v>16</v>
      </c>
      <c r="C21919" s="3" t="s">
        <v>3462</v>
      </c>
      <c r="D21919" s="4">
        <f>DATE(2014,9,18)</f>
        <v>41900</v>
      </c>
      <c r="E21919" s="5">
        <f t="shared" si="365"/>
        <v>2014</v>
      </c>
      <c r="F21919" s="3" t="s">
        <v>3463</v>
      </c>
      <c r="G21919" s="6">
        <v>2066</v>
      </c>
      <c r="H21919" s="5">
        <v>20434</v>
      </c>
    </row>
    <row r="21920" spans="2:8" ht="15" customHeight="1" x14ac:dyDescent="0.4">
      <c r="B21920" s="3" t="s">
        <v>7</v>
      </c>
      <c r="C21920" s="3" t="s">
        <v>3464</v>
      </c>
      <c r="D21920" s="4">
        <f>DATE(2012,4,5)</f>
        <v>41004</v>
      </c>
      <c r="E21920" s="5">
        <f t="shared" si="365"/>
        <v>2012</v>
      </c>
      <c r="F21920" s="3" t="s">
        <v>3465</v>
      </c>
      <c r="G21920" s="6">
        <v>6897.21</v>
      </c>
      <c r="H21920" s="5">
        <v>4962</v>
      </c>
    </row>
    <row r="21921" spans="2:8" ht="15" customHeight="1" x14ac:dyDescent="0.4">
      <c r="B21921" t="s">
        <v>7</v>
      </c>
      <c r="C21921" t="s">
        <v>3466</v>
      </c>
      <c r="D21921" s="7">
        <f>DATE(2017,8,1)</f>
        <v>42948</v>
      </c>
      <c r="E21921" s="8">
        <f t="shared" si="365"/>
        <v>2017</v>
      </c>
      <c r="F21921" t="s">
        <v>3467</v>
      </c>
      <c r="G21921" s="9">
        <v>7617</v>
      </c>
      <c r="H21921" s="8">
        <v>25183</v>
      </c>
    </row>
    <row r="21922" spans="2:8" ht="15" customHeight="1" x14ac:dyDescent="0.4">
      <c r="B21922" t="s">
        <v>7</v>
      </c>
      <c r="C21922" t="s">
        <v>3468</v>
      </c>
      <c r="D21922" s="7">
        <f>DATE(2016,3,16)</f>
        <v>42445</v>
      </c>
      <c r="E21922" s="8">
        <f t="shared" si="365"/>
        <v>2016</v>
      </c>
      <c r="F21922" t="s">
        <v>3469</v>
      </c>
      <c r="G21922" s="9">
        <v>658</v>
      </c>
      <c r="H21922" s="8">
        <v>22404</v>
      </c>
    </row>
    <row r="21923" spans="2:8" ht="15" customHeight="1" x14ac:dyDescent="0.4">
      <c r="B21923" t="s">
        <v>7</v>
      </c>
      <c r="C21923" t="s">
        <v>3468</v>
      </c>
      <c r="D21923" s="7">
        <f>DATE(2016,3,16)</f>
        <v>42445</v>
      </c>
      <c r="E21923" s="8">
        <f t="shared" si="365"/>
        <v>2016</v>
      </c>
      <c r="F21923" t="s">
        <v>3469</v>
      </c>
      <c r="G21923" s="9">
        <v>1040</v>
      </c>
      <c r="H21923" s="8">
        <v>22403</v>
      </c>
    </row>
    <row r="21924" spans="2:8" ht="15" customHeight="1" x14ac:dyDescent="0.4">
      <c r="B21924" t="s">
        <v>7</v>
      </c>
      <c r="C21924" t="s">
        <v>3468</v>
      </c>
      <c r="D21924" s="7">
        <f>DATE(2017,1,12)</f>
        <v>42747</v>
      </c>
      <c r="E21924" s="8">
        <f t="shared" si="365"/>
        <v>2017</v>
      </c>
      <c r="F21924" t="s">
        <v>3469</v>
      </c>
      <c r="G21924" s="9">
        <v>1327</v>
      </c>
      <c r="H21924" s="8">
        <v>24055</v>
      </c>
    </row>
    <row r="21925" spans="2:8" ht="15" customHeight="1" x14ac:dyDescent="0.4">
      <c r="B21925" t="s">
        <v>7</v>
      </c>
      <c r="C21925" t="s">
        <v>3468</v>
      </c>
      <c r="D21925" s="7">
        <f>DATE(2019,2,28)</f>
        <v>43524</v>
      </c>
      <c r="E21925" s="8">
        <f t="shared" si="365"/>
        <v>2019</v>
      </c>
      <c r="F21925" t="s">
        <v>3469</v>
      </c>
      <c r="G21925" s="9">
        <v>897</v>
      </c>
      <c r="H21925" s="8">
        <v>28460</v>
      </c>
    </row>
    <row r="21926" spans="2:8" ht="15" customHeight="1" x14ac:dyDescent="0.4">
      <c r="B21926" s="3" t="s">
        <v>7</v>
      </c>
      <c r="C21926" s="3" t="s">
        <v>3468</v>
      </c>
      <c r="D21926" s="4">
        <f>DATE(2010,2,23)</f>
        <v>40232</v>
      </c>
      <c r="E21926" s="5">
        <f t="shared" si="365"/>
        <v>2010</v>
      </c>
      <c r="F21926" s="3" t="s">
        <v>3469</v>
      </c>
      <c r="G21926" s="6">
        <v>993.1</v>
      </c>
      <c r="H21926" s="5">
        <v>3802</v>
      </c>
    </row>
    <row r="21927" spans="2:8" ht="15" customHeight="1" x14ac:dyDescent="0.4">
      <c r="B21927" s="3" t="s">
        <v>7</v>
      </c>
      <c r="C21927" s="3" t="s">
        <v>3468</v>
      </c>
      <c r="D21927" s="4">
        <f>DATE(2011,4,1)</f>
        <v>40634</v>
      </c>
      <c r="E21927" s="5">
        <f t="shared" si="365"/>
        <v>2011</v>
      </c>
      <c r="F21927" s="3" t="s">
        <v>3469</v>
      </c>
      <c r="G21927" s="6">
        <v>888</v>
      </c>
      <c r="H21927" s="5">
        <v>4370</v>
      </c>
    </row>
    <row r="21928" spans="2:8" ht="15" customHeight="1" x14ac:dyDescent="0.4">
      <c r="B21928" s="3" t="s">
        <v>7</v>
      </c>
      <c r="C21928" s="3" t="s">
        <v>3468</v>
      </c>
      <c r="D21928" s="4">
        <f>DATE(2011,4,1)</f>
        <v>40634</v>
      </c>
      <c r="E21928" s="5">
        <f t="shared" si="365"/>
        <v>2011</v>
      </c>
      <c r="F21928" s="3" t="s">
        <v>3469</v>
      </c>
      <c r="G21928" s="6">
        <v>499.5</v>
      </c>
      <c r="H21928" s="5">
        <v>4370</v>
      </c>
    </row>
    <row r="21929" spans="2:8" ht="15" customHeight="1" x14ac:dyDescent="0.4">
      <c r="B21929" s="3" t="s">
        <v>7</v>
      </c>
      <c r="C21929" s="3" t="s">
        <v>3468</v>
      </c>
      <c r="D21929" s="4">
        <f>DATE(2012,5,23)</f>
        <v>41052</v>
      </c>
      <c r="E21929" s="5">
        <f t="shared" si="365"/>
        <v>2012</v>
      </c>
      <c r="F21929" s="3" t="s">
        <v>3469</v>
      </c>
      <c r="G21929" s="6">
        <v>933</v>
      </c>
      <c r="H21929" s="5">
        <v>5093</v>
      </c>
    </row>
    <row r="21930" spans="2:8" ht="15" customHeight="1" x14ac:dyDescent="0.4">
      <c r="B21930" s="3" t="s">
        <v>7</v>
      </c>
      <c r="C21930" s="3" t="s">
        <v>3468</v>
      </c>
      <c r="D21930" s="4">
        <f>DATE(2012,6,8)</f>
        <v>41068</v>
      </c>
      <c r="E21930" s="5">
        <f t="shared" si="365"/>
        <v>2012</v>
      </c>
      <c r="F21930" s="3" t="s">
        <v>3469</v>
      </c>
      <c r="G21930" s="6">
        <v>2785</v>
      </c>
      <c r="H21930" s="5">
        <v>5119</v>
      </c>
    </row>
    <row r="21931" spans="2:8" ht="15" customHeight="1" x14ac:dyDescent="0.4">
      <c r="B21931" s="3" t="s">
        <v>7</v>
      </c>
      <c r="C21931" s="3" t="s">
        <v>3468</v>
      </c>
      <c r="D21931" s="4">
        <f>DATE(2013,6,20)</f>
        <v>41445</v>
      </c>
      <c r="E21931" s="5">
        <f t="shared" si="365"/>
        <v>2013</v>
      </c>
      <c r="F21931" s="3" t="s">
        <v>3469</v>
      </c>
      <c r="G21931" s="6">
        <v>3700</v>
      </c>
      <c r="H21931" s="5">
        <v>5616</v>
      </c>
    </row>
    <row r="21932" spans="2:8" ht="15" customHeight="1" x14ac:dyDescent="0.4">
      <c r="B21932" s="3" t="s">
        <v>7</v>
      </c>
      <c r="C21932" s="3" t="s">
        <v>3468</v>
      </c>
      <c r="D21932" s="4">
        <f>DATE(2014,1,15)</f>
        <v>41654</v>
      </c>
      <c r="E21932" s="5">
        <f t="shared" si="365"/>
        <v>2014</v>
      </c>
      <c r="F21932" s="3" t="s">
        <v>3469</v>
      </c>
      <c r="G21932" s="6">
        <v>4701.34</v>
      </c>
      <c r="H21932" s="5">
        <v>5975</v>
      </c>
    </row>
    <row r="21933" spans="2:8" ht="15" customHeight="1" x14ac:dyDescent="0.4">
      <c r="B21933" s="3" t="s">
        <v>7</v>
      </c>
      <c r="C21933" s="3" t="s">
        <v>3468</v>
      </c>
      <c r="D21933" s="4">
        <f>DATE(2014,1,15)</f>
        <v>41654</v>
      </c>
      <c r="E21933" s="5">
        <f t="shared" si="365"/>
        <v>2014</v>
      </c>
      <c r="F21933" s="3" t="s">
        <v>3469</v>
      </c>
      <c r="G21933" s="6">
        <v>4680.0600000000004</v>
      </c>
      <c r="H21933" s="5">
        <v>5977</v>
      </c>
    </row>
    <row r="21934" spans="2:8" ht="15" customHeight="1" x14ac:dyDescent="0.4">
      <c r="B21934" t="s">
        <v>7</v>
      </c>
      <c r="C21934" t="s">
        <v>3466</v>
      </c>
      <c r="D21934" s="7">
        <f>DATE(2017,12,11)</f>
        <v>43080</v>
      </c>
      <c r="E21934" s="8">
        <f t="shared" si="365"/>
        <v>2017</v>
      </c>
      <c r="F21934" t="s">
        <v>3470</v>
      </c>
      <c r="G21934" s="9">
        <v>6454.68</v>
      </c>
      <c r="H21934" s="8">
        <v>25842</v>
      </c>
    </row>
    <row r="21935" spans="2:8" ht="15" customHeight="1" x14ac:dyDescent="0.4">
      <c r="B21935" t="s">
        <v>16</v>
      </c>
      <c r="C21935" t="s">
        <v>3466</v>
      </c>
      <c r="D21935" s="7">
        <f>DATE(2017,8,2)</f>
        <v>42949</v>
      </c>
      <c r="E21935" s="8">
        <f t="shared" si="365"/>
        <v>2017</v>
      </c>
      <c r="F21935" t="s">
        <v>3470</v>
      </c>
      <c r="G21935" s="9">
        <v>450</v>
      </c>
      <c r="H21935" s="8">
        <v>25354</v>
      </c>
    </row>
    <row r="21936" spans="2:8" ht="15" customHeight="1" x14ac:dyDescent="0.4">
      <c r="B21936" t="s">
        <v>7</v>
      </c>
      <c r="C21936" t="s">
        <v>3471</v>
      </c>
      <c r="D21936" s="7">
        <f>DATE(2006,11,15)</f>
        <v>39036</v>
      </c>
      <c r="E21936" s="8">
        <f t="shared" si="365"/>
        <v>2006</v>
      </c>
      <c r="F21936" t="s">
        <v>3472</v>
      </c>
      <c r="G21936" s="9">
        <v>5693.8</v>
      </c>
      <c r="H21936" s="8">
        <v>5171</v>
      </c>
    </row>
    <row r="21937" spans="2:8" ht="15" customHeight="1" x14ac:dyDescent="0.4">
      <c r="B21937" s="3" t="s">
        <v>7</v>
      </c>
      <c r="C21937" s="3" t="s">
        <v>3471</v>
      </c>
      <c r="D21937" s="4">
        <f>DATE(2006,12,1)</f>
        <v>39052</v>
      </c>
      <c r="E21937" s="5">
        <f t="shared" si="365"/>
        <v>2006</v>
      </c>
      <c r="F21937" s="3" t="s">
        <v>3472</v>
      </c>
      <c r="G21937" s="6">
        <v>17707.599999999999</v>
      </c>
      <c r="H21937" s="5">
        <v>1872</v>
      </c>
    </row>
    <row r="21938" spans="2:8" ht="15" customHeight="1" x14ac:dyDescent="0.4">
      <c r="B21938" s="3" t="s">
        <v>7</v>
      </c>
      <c r="C21938" s="3" t="s">
        <v>3473</v>
      </c>
      <c r="D21938" s="4">
        <f>DATE(2003,2,4)</f>
        <v>37656</v>
      </c>
      <c r="E21938" s="5">
        <f t="shared" si="365"/>
        <v>2003</v>
      </c>
      <c r="F21938" s="3" t="s">
        <v>3474</v>
      </c>
      <c r="G21938" s="6">
        <v>1175.5</v>
      </c>
      <c r="H21938" s="5">
        <v>216</v>
      </c>
    </row>
    <row r="21939" spans="2:8" ht="15" customHeight="1" x14ac:dyDescent="0.4">
      <c r="B21939" s="3" t="s">
        <v>7</v>
      </c>
      <c r="C21939" s="3" t="s">
        <v>3473</v>
      </c>
      <c r="D21939" s="4">
        <f>DATE(2003,3,25)</f>
        <v>37705</v>
      </c>
      <c r="E21939" s="5">
        <f t="shared" si="365"/>
        <v>2003</v>
      </c>
      <c r="F21939" s="3" t="s">
        <v>3474</v>
      </c>
      <c r="G21939" s="6">
        <v>2157.5</v>
      </c>
      <c r="H21939" s="5">
        <v>627</v>
      </c>
    </row>
    <row r="21940" spans="2:8" ht="15" customHeight="1" x14ac:dyDescent="0.4">
      <c r="B21940" s="3" t="s">
        <v>7</v>
      </c>
      <c r="C21940" s="3" t="s">
        <v>3473</v>
      </c>
      <c r="D21940" s="4">
        <f>DATE(2003,6,3)</f>
        <v>37775</v>
      </c>
      <c r="E21940" s="5">
        <f t="shared" si="365"/>
        <v>2003</v>
      </c>
      <c r="F21940" s="3" t="s">
        <v>3474</v>
      </c>
      <c r="G21940" s="6">
        <v>2147.5</v>
      </c>
      <c r="H21940" s="5">
        <v>1047</v>
      </c>
    </row>
    <row r="21941" spans="2:8" ht="15" customHeight="1" x14ac:dyDescent="0.4">
      <c r="B21941" s="3" t="s">
        <v>7</v>
      </c>
      <c r="C21941" s="3" t="s">
        <v>3473</v>
      </c>
      <c r="D21941" s="4">
        <f>DATE(2003,9,15)</f>
        <v>37879</v>
      </c>
      <c r="E21941" s="5">
        <f t="shared" si="365"/>
        <v>2003</v>
      </c>
      <c r="F21941" s="3" t="s">
        <v>3474</v>
      </c>
      <c r="G21941" s="6">
        <v>1253.5</v>
      </c>
      <c r="H21941" s="5">
        <v>1513</v>
      </c>
    </row>
    <row r="21942" spans="2:8" ht="15" customHeight="1" x14ac:dyDescent="0.4">
      <c r="B21942" s="3" t="s">
        <v>7</v>
      </c>
      <c r="C21942" s="3" t="s">
        <v>3473</v>
      </c>
      <c r="D21942" s="4">
        <f>DATE(2004,3,2)</f>
        <v>38048</v>
      </c>
      <c r="E21942" s="5">
        <f t="shared" si="365"/>
        <v>2004</v>
      </c>
      <c r="F21942" s="3" t="s">
        <v>3474</v>
      </c>
      <c r="G21942" s="6">
        <v>2745.5</v>
      </c>
      <c r="H21942" s="5">
        <v>2307</v>
      </c>
    </row>
    <row r="21943" spans="2:8" ht="15" customHeight="1" x14ac:dyDescent="0.4">
      <c r="B21943" s="3" t="s">
        <v>7</v>
      </c>
      <c r="C21943" s="3" t="s">
        <v>3473</v>
      </c>
      <c r="D21943" s="4">
        <f>DATE(2004,4,29)</f>
        <v>38106</v>
      </c>
      <c r="E21943" s="5">
        <f t="shared" si="365"/>
        <v>2004</v>
      </c>
      <c r="F21943" s="3" t="s">
        <v>3474</v>
      </c>
      <c r="G21943" s="6">
        <v>9187.64</v>
      </c>
      <c r="H21943" s="5">
        <v>2741</v>
      </c>
    </row>
    <row r="21944" spans="2:8" ht="15" customHeight="1" x14ac:dyDescent="0.4">
      <c r="B21944" s="3" t="s">
        <v>7</v>
      </c>
      <c r="C21944" s="3" t="s">
        <v>3473</v>
      </c>
      <c r="D21944" s="4">
        <f>DATE(2004,5,5)</f>
        <v>38112</v>
      </c>
      <c r="E21944" s="5">
        <f t="shared" si="365"/>
        <v>2004</v>
      </c>
      <c r="F21944" s="3" t="s">
        <v>3474</v>
      </c>
      <c r="G21944" s="6">
        <v>4215.26</v>
      </c>
      <c r="H21944" s="5">
        <v>2742</v>
      </c>
    </row>
    <row r="21945" spans="2:8" ht="15" customHeight="1" x14ac:dyDescent="0.4">
      <c r="B21945" s="3" t="s">
        <v>7</v>
      </c>
      <c r="C21945" s="3" t="s">
        <v>3473</v>
      </c>
      <c r="D21945" s="4">
        <f>DATE(2004,6,4)</f>
        <v>38142</v>
      </c>
      <c r="E21945" s="5">
        <f t="shared" si="365"/>
        <v>2004</v>
      </c>
      <c r="F21945" s="3" t="s">
        <v>3474</v>
      </c>
      <c r="G21945" s="6">
        <v>964.57</v>
      </c>
      <c r="H21945" s="5">
        <v>2997</v>
      </c>
    </row>
    <row r="21946" spans="2:8" ht="15" customHeight="1" x14ac:dyDescent="0.4">
      <c r="B21946" s="3" t="s">
        <v>7</v>
      </c>
      <c r="C21946" s="3" t="s">
        <v>3473</v>
      </c>
      <c r="D21946" s="4">
        <f>DATE(2004,8,13)</f>
        <v>38212</v>
      </c>
      <c r="E21946" s="5">
        <f t="shared" si="365"/>
        <v>2004</v>
      </c>
      <c r="F21946" s="3" t="s">
        <v>3474</v>
      </c>
      <c r="G21946" s="6">
        <v>2281.5</v>
      </c>
      <c r="H21946" s="5">
        <v>3267</v>
      </c>
    </row>
    <row r="21947" spans="2:8" ht="15" customHeight="1" x14ac:dyDescent="0.4">
      <c r="B21947" s="3" t="s">
        <v>7</v>
      </c>
      <c r="C21947" s="3" t="s">
        <v>3473</v>
      </c>
      <c r="D21947" s="4">
        <f>DATE(2004,10,8)</f>
        <v>38268</v>
      </c>
      <c r="E21947" s="5">
        <f t="shared" si="365"/>
        <v>2004</v>
      </c>
      <c r="F21947" s="3" t="s">
        <v>3474</v>
      </c>
      <c r="G21947" s="6">
        <v>1610.2</v>
      </c>
      <c r="H21947" s="5">
        <v>3551</v>
      </c>
    </row>
    <row r="21948" spans="2:8" ht="15" customHeight="1" x14ac:dyDescent="0.4">
      <c r="B21948" s="3" t="s">
        <v>7</v>
      </c>
      <c r="C21948" s="3" t="s">
        <v>3473</v>
      </c>
      <c r="D21948" s="4">
        <f>DATE(2005,1,11)</f>
        <v>38363</v>
      </c>
      <c r="E21948" s="5">
        <f t="shared" si="365"/>
        <v>2005</v>
      </c>
      <c r="F21948" s="3" t="s">
        <v>3474</v>
      </c>
      <c r="G21948" s="6">
        <v>2571.85</v>
      </c>
      <c r="H21948" s="5">
        <v>3940</v>
      </c>
    </row>
    <row r="21949" spans="2:8" ht="15" customHeight="1" x14ac:dyDescent="0.4">
      <c r="B21949" s="3" t="s">
        <v>7</v>
      </c>
      <c r="C21949" s="3" t="s">
        <v>3473</v>
      </c>
      <c r="D21949" s="4">
        <f>DATE(2005,3,3)</f>
        <v>38414</v>
      </c>
      <c r="E21949" s="5">
        <f t="shared" si="365"/>
        <v>2005</v>
      </c>
      <c r="F21949" s="3" t="s">
        <v>3474</v>
      </c>
      <c r="G21949" s="6">
        <v>2077.5</v>
      </c>
      <c r="H21949" s="5">
        <v>4244</v>
      </c>
    </row>
    <row r="21950" spans="2:8" ht="15" customHeight="1" x14ac:dyDescent="0.4">
      <c r="B21950" s="3" t="s">
        <v>7</v>
      </c>
      <c r="C21950" s="3" t="s">
        <v>3473</v>
      </c>
      <c r="D21950" s="4">
        <f>DATE(2005,3,4)</f>
        <v>38415</v>
      </c>
      <c r="E21950" s="5">
        <f t="shared" si="365"/>
        <v>2005</v>
      </c>
      <c r="F21950" s="3" t="s">
        <v>3474</v>
      </c>
      <c r="G21950" s="6">
        <v>8005.68</v>
      </c>
      <c r="H21950" s="5">
        <v>4197</v>
      </c>
    </row>
    <row r="21951" spans="2:8" ht="15" customHeight="1" x14ac:dyDescent="0.4">
      <c r="B21951" s="3" t="s">
        <v>7</v>
      </c>
      <c r="C21951" s="3" t="s">
        <v>3473</v>
      </c>
      <c r="D21951" s="4">
        <f>DATE(2005,3,18)</f>
        <v>38429</v>
      </c>
      <c r="E21951" s="5">
        <f t="shared" si="365"/>
        <v>2005</v>
      </c>
      <c r="F21951" s="3" t="s">
        <v>3474</v>
      </c>
      <c r="G21951" s="6">
        <v>1099.5</v>
      </c>
      <c r="H21951" s="5">
        <v>4362</v>
      </c>
    </row>
    <row r="21952" spans="2:8" ht="15" customHeight="1" x14ac:dyDescent="0.4">
      <c r="B21952" s="3" t="s">
        <v>7</v>
      </c>
      <c r="C21952" s="3" t="s">
        <v>3473</v>
      </c>
      <c r="D21952" s="4">
        <f>DATE(2005,6,8)</f>
        <v>38511</v>
      </c>
      <c r="E21952" s="5">
        <f t="shared" si="365"/>
        <v>2005</v>
      </c>
      <c r="F21952" s="3" t="s">
        <v>3474</v>
      </c>
      <c r="G21952" s="6">
        <v>31661.95</v>
      </c>
      <c r="H21952" s="5">
        <v>4816</v>
      </c>
    </row>
    <row r="21953" spans="2:8" ht="15" customHeight="1" x14ac:dyDescent="0.4">
      <c r="B21953" s="3" t="s">
        <v>7</v>
      </c>
      <c r="C21953" s="3" t="s">
        <v>3473</v>
      </c>
      <c r="D21953" s="4">
        <f>DATE(2005,8,4)</f>
        <v>38568</v>
      </c>
      <c r="E21953" s="5">
        <f t="shared" si="365"/>
        <v>2005</v>
      </c>
      <c r="F21953" s="3" t="s">
        <v>3474</v>
      </c>
      <c r="G21953" s="6">
        <v>2073.5</v>
      </c>
      <c r="H21953" s="5">
        <v>5059</v>
      </c>
    </row>
    <row r="21954" spans="2:8" ht="15" customHeight="1" x14ac:dyDescent="0.4">
      <c r="B21954" s="3" t="s">
        <v>7</v>
      </c>
      <c r="C21954" s="3" t="s">
        <v>3473</v>
      </c>
      <c r="D21954" s="4">
        <f>DATE(2005,9,26)</f>
        <v>38621</v>
      </c>
      <c r="E21954" s="5">
        <f t="shared" si="365"/>
        <v>2005</v>
      </c>
      <c r="F21954" s="3" t="s">
        <v>3474</v>
      </c>
      <c r="G21954" s="6">
        <v>3206.2</v>
      </c>
      <c r="H21954" s="5">
        <v>5330</v>
      </c>
    </row>
    <row r="21955" spans="2:8" ht="15" customHeight="1" x14ac:dyDescent="0.4">
      <c r="B21955" s="3" t="s">
        <v>7</v>
      </c>
      <c r="C21955" s="3" t="s">
        <v>3473</v>
      </c>
      <c r="D21955" s="4">
        <f>DATE(2005,10,10)</f>
        <v>38635</v>
      </c>
      <c r="E21955" s="5">
        <f t="shared" ref="E21955:E22018" si="366">YEAR(D21955)</f>
        <v>2005</v>
      </c>
      <c r="F21955" s="3" t="s">
        <v>3474</v>
      </c>
      <c r="G21955" s="6">
        <v>15545.87</v>
      </c>
      <c r="H21955" s="5">
        <v>5408</v>
      </c>
    </row>
    <row r="21956" spans="2:8" ht="15" customHeight="1" x14ac:dyDescent="0.4">
      <c r="B21956" s="3" t="s">
        <v>7</v>
      </c>
      <c r="C21956" s="3" t="s">
        <v>3473</v>
      </c>
      <c r="D21956" s="4">
        <f>DATE(2005,11,29)</f>
        <v>38685</v>
      </c>
      <c r="E21956" s="5">
        <f t="shared" si="366"/>
        <v>2005</v>
      </c>
      <c r="F21956" s="3" t="s">
        <v>3474</v>
      </c>
      <c r="G21956" s="6">
        <v>1451.5</v>
      </c>
      <c r="H21956" s="5">
        <v>5629</v>
      </c>
    </row>
    <row r="21957" spans="2:8" ht="15" customHeight="1" x14ac:dyDescent="0.4">
      <c r="B21957" s="3" t="s">
        <v>7</v>
      </c>
      <c r="C21957" s="3" t="s">
        <v>3473</v>
      </c>
      <c r="D21957" s="4">
        <f>DATE(2006,3,27)</f>
        <v>38803</v>
      </c>
      <c r="E21957" s="5">
        <f t="shared" si="366"/>
        <v>2006</v>
      </c>
      <c r="F21957" s="3" t="s">
        <v>3474</v>
      </c>
      <c r="G21957" s="6">
        <v>15511.92</v>
      </c>
      <c r="H21957" s="5">
        <v>6307</v>
      </c>
    </row>
    <row r="21958" spans="2:8" ht="15" customHeight="1" x14ac:dyDescent="0.4">
      <c r="B21958" s="3" t="s">
        <v>7</v>
      </c>
      <c r="C21958" s="3" t="s">
        <v>3473</v>
      </c>
      <c r="D21958" s="4">
        <f>DATE(2006,3,31)</f>
        <v>38807</v>
      </c>
      <c r="E21958" s="5">
        <f t="shared" si="366"/>
        <v>2006</v>
      </c>
      <c r="F21958" s="3" t="s">
        <v>3474</v>
      </c>
      <c r="G21958" s="6">
        <v>599</v>
      </c>
      <c r="H21958" s="5">
        <v>6421</v>
      </c>
    </row>
    <row r="21959" spans="2:8" ht="15" customHeight="1" x14ac:dyDescent="0.4">
      <c r="B21959" s="3" t="s">
        <v>7</v>
      </c>
      <c r="C21959" s="3" t="s">
        <v>3473</v>
      </c>
      <c r="D21959" s="4">
        <f>DATE(2006,5,12)</f>
        <v>38849</v>
      </c>
      <c r="E21959" s="5">
        <f t="shared" si="366"/>
        <v>2006</v>
      </c>
      <c r="F21959" s="3" t="s">
        <v>3474</v>
      </c>
      <c r="G21959" s="6">
        <v>15843</v>
      </c>
      <c r="H21959" s="5">
        <v>6676</v>
      </c>
    </row>
    <row r="21960" spans="2:8" ht="15" customHeight="1" x14ac:dyDescent="0.4">
      <c r="B21960" s="3" t="s">
        <v>7</v>
      </c>
      <c r="C21960" s="3" t="s">
        <v>3473</v>
      </c>
      <c r="D21960" s="4">
        <f>DATE(2006,5,15)</f>
        <v>38852</v>
      </c>
      <c r="E21960" s="5">
        <f t="shared" si="366"/>
        <v>2006</v>
      </c>
      <c r="F21960" s="3" t="s">
        <v>3474</v>
      </c>
      <c r="G21960" s="6">
        <v>764.13</v>
      </c>
      <c r="H21960" s="5">
        <v>6726</v>
      </c>
    </row>
    <row r="21961" spans="2:8" ht="15" customHeight="1" x14ac:dyDescent="0.4">
      <c r="B21961" s="3" t="s">
        <v>7</v>
      </c>
      <c r="C21961" s="3" t="s">
        <v>3473</v>
      </c>
      <c r="D21961" s="4">
        <f>DATE(2006,7,6)</f>
        <v>38904</v>
      </c>
      <c r="E21961" s="5">
        <f t="shared" si="366"/>
        <v>2006</v>
      </c>
      <c r="F21961" s="3" t="s">
        <v>3474</v>
      </c>
      <c r="G21961" s="6">
        <v>7808.37</v>
      </c>
      <c r="H21961" s="5">
        <v>6929</v>
      </c>
    </row>
    <row r="21962" spans="2:8" ht="15" customHeight="1" x14ac:dyDescent="0.4">
      <c r="B21962" s="3" t="s">
        <v>7</v>
      </c>
      <c r="C21962" s="3" t="s">
        <v>3473</v>
      </c>
      <c r="D21962" s="4">
        <f>DATE(2006,8,9)</f>
        <v>38938</v>
      </c>
      <c r="E21962" s="5">
        <f t="shared" si="366"/>
        <v>2006</v>
      </c>
      <c r="F21962" s="3" t="s">
        <v>3474</v>
      </c>
      <c r="G21962" s="6">
        <v>2632.1</v>
      </c>
      <c r="H21962" s="5">
        <v>7061</v>
      </c>
    </row>
    <row r="21963" spans="2:8" ht="15" customHeight="1" x14ac:dyDescent="0.4">
      <c r="B21963" s="3" t="s">
        <v>7</v>
      </c>
      <c r="C21963" s="3" t="s">
        <v>3473</v>
      </c>
      <c r="D21963" s="4">
        <f>DATE(2006,9,18)</f>
        <v>38978</v>
      </c>
      <c r="E21963" s="5">
        <f t="shared" si="366"/>
        <v>2006</v>
      </c>
      <c r="F21963" s="3" t="s">
        <v>3474</v>
      </c>
      <c r="G21963" s="6">
        <v>1361.6</v>
      </c>
      <c r="H21963" s="5">
        <v>7252</v>
      </c>
    </row>
    <row r="21964" spans="2:8" ht="15" customHeight="1" x14ac:dyDescent="0.4">
      <c r="B21964" s="3" t="s">
        <v>7</v>
      </c>
      <c r="C21964" s="3" t="s">
        <v>3473</v>
      </c>
      <c r="D21964" s="4">
        <f>DATE(2007,1,18)</f>
        <v>39100</v>
      </c>
      <c r="E21964" s="5">
        <f t="shared" si="366"/>
        <v>2007</v>
      </c>
      <c r="F21964" s="3" t="s">
        <v>3474</v>
      </c>
      <c r="G21964" s="6">
        <v>2686.63</v>
      </c>
      <c r="H21964" s="5">
        <v>7778</v>
      </c>
    </row>
    <row r="21965" spans="2:8" ht="15" customHeight="1" x14ac:dyDescent="0.4">
      <c r="B21965" s="3" t="s">
        <v>7</v>
      </c>
      <c r="C21965" s="3" t="s">
        <v>3473</v>
      </c>
      <c r="D21965" s="4">
        <f>DATE(2007,2,13)</f>
        <v>39126</v>
      </c>
      <c r="E21965" s="5">
        <f t="shared" si="366"/>
        <v>2007</v>
      </c>
      <c r="F21965" s="3" t="s">
        <v>3474</v>
      </c>
      <c r="G21965" s="6">
        <v>3112.36</v>
      </c>
      <c r="H21965" s="5">
        <v>7934</v>
      </c>
    </row>
    <row r="21966" spans="2:8" ht="15" customHeight="1" x14ac:dyDescent="0.4">
      <c r="B21966" s="3" t="s">
        <v>7</v>
      </c>
      <c r="C21966" s="3" t="s">
        <v>3473</v>
      </c>
      <c r="D21966" s="4">
        <f>DATE(2007,3,23)</f>
        <v>39164</v>
      </c>
      <c r="E21966" s="5">
        <f t="shared" si="366"/>
        <v>2007</v>
      </c>
      <c r="F21966" s="3" t="s">
        <v>3474</v>
      </c>
      <c r="G21966" s="6">
        <v>1664.88</v>
      </c>
      <c r="H21966" s="5">
        <v>8210</v>
      </c>
    </row>
    <row r="21967" spans="2:8" ht="15" customHeight="1" x14ac:dyDescent="0.4">
      <c r="B21967" s="3" t="s">
        <v>7</v>
      </c>
      <c r="C21967" s="3" t="s">
        <v>3473</v>
      </c>
      <c r="D21967" s="4">
        <f>DATE(2007,3,1)</f>
        <v>39142</v>
      </c>
      <c r="E21967" s="5">
        <f t="shared" si="366"/>
        <v>2007</v>
      </c>
      <c r="F21967" s="3" t="s">
        <v>3474</v>
      </c>
      <c r="G21967" s="6">
        <v>17250</v>
      </c>
      <c r="H21967" s="5">
        <v>8311</v>
      </c>
    </row>
    <row r="21968" spans="2:8" ht="15" customHeight="1" x14ac:dyDescent="0.4">
      <c r="B21968" s="3" t="s">
        <v>7</v>
      </c>
      <c r="C21968" s="3" t="s">
        <v>3473</v>
      </c>
      <c r="D21968" s="4">
        <f>DATE(2007,4,9)</f>
        <v>39181</v>
      </c>
      <c r="E21968" s="5">
        <f t="shared" si="366"/>
        <v>2007</v>
      </c>
      <c r="F21968" s="3" t="s">
        <v>3474</v>
      </c>
      <c r="G21968" s="6">
        <v>3170.56</v>
      </c>
      <c r="H21968" s="5">
        <v>8328</v>
      </c>
    </row>
    <row r="21969" spans="2:8" ht="15" customHeight="1" x14ac:dyDescent="0.4">
      <c r="B21969" s="3" t="s">
        <v>7</v>
      </c>
      <c r="C21969" s="3" t="s">
        <v>3473</v>
      </c>
      <c r="D21969" s="4">
        <f>DATE(2007,5,1)</f>
        <v>39203</v>
      </c>
      <c r="E21969" s="5">
        <f t="shared" si="366"/>
        <v>2007</v>
      </c>
      <c r="F21969" s="3" t="s">
        <v>3474</v>
      </c>
      <c r="G21969" s="6">
        <v>391.95</v>
      </c>
      <c r="H21969" s="5">
        <v>8481</v>
      </c>
    </row>
    <row r="21970" spans="2:8" ht="15" customHeight="1" x14ac:dyDescent="0.4">
      <c r="B21970" s="3" t="s">
        <v>7</v>
      </c>
      <c r="C21970" s="3" t="s">
        <v>3473</v>
      </c>
      <c r="D21970" s="4">
        <f>DATE(2007,8,17)</f>
        <v>39311</v>
      </c>
      <c r="E21970" s="5">
        <f t="shared" si="366"/>
        <v>2007</v>
      </c>
      <c r="F21970" s="3" t="s">
        <v>3474</v>
      </c>
      <c r="G21970" s="6">
        <v>3169.02</v>
      </c>
      <c r="H21970" s="5">
        <v>9044</v>
      </c>
    </row>
    <row r="21971" spans="2:8" ht="15" customHeight="1" x14ac:dyDescent="0.4">
      <c r="B21971" s="3" t="s">
        <v>7</v>
      </c>
      <c r="C21971" s="3" t="s">
        <v>3473</v>
      </c>
      <c r="D21971" s="4">
        <f>DATE(2007,10,3)</f>
        <v>39358</v>
      </c>
      <c r="E21971" s="5">
        <f t="shared" si="366"/>
        <v>2007</v>
      </c>
      <c r="F21971" s="3" t="s">
        <v>3474</v>
      </c>
      <c r="G21971" s="6">
        <v>613</v>
      </c>
      <c r="H21971" s="5">
        <v>9262</v>
      </c>
    </row>
    <row r="21972" spans="2:8" ht="15" customHeight="1" x14ac:dyDescent="0.4">
      <c r="B21972" s="3" t="s">
        <v>7</v>
      </c>
      <c r="C21972" s="3" t="s">
        <v>3473</v>
      </c>
      <c r="D21972" s="4">
        <f>DATE(2007,11,28)</f>
        <v>39414</v>
      </c>
      <c r="E21972" s="5">
        <f t="shared" si="366"/>
        <v>2007</v>
      </c>
      <c r="F21972" s="3" t="s">
        <v>3474</v>
      </c>
      <c r="G21972" s="6">
        <v>3175.1</v>
      </c>
      <c r="H21972" s="5">
        <v>9514</v>
      </c>
    </row>
    <row r="21973" spans="2:8" ht="15" customHeight="1" x14ac:dyDescent="0.4">
      <c r="B21973" s="3" t="s">
        <v>7</v>
      </c>
      <c r="C21973" s="3" t="s">
        <v>3473</v>
      </c>
      <c r="D21973" s="4">
        <f>DATE(2008,2,19)</f>
        <v>39497</v>
      </c>
      <c r="E21973" s="5">
        <f t="shared" si="366"/>
        <v>2008</v>
      </c>
      <c r="F21973" s="3" t="s">
        <v>3474</v>
      </c>
      <c r="G21973" s="6">
        <v>1087.5</v>
      </c>
      <c r="H21973" s="5">
        <v>9985</v>
      </c>
    </row>
    <row r="21974" spans="2:8" ht="15" customHeight="1" x14ac:dyDescent="0.4">
      <c r="B21974" s="3" t="s">
        <v>7</v>
      </c>
      <c r="C21974" s="3" t="s">
        <v>3473</v>
      </c>
      <c r="D21974" s="4">
        <f>DATE(2008,6,25)</f>
        <v>39624</v>
      </c>
      <c r="E21974" s="5">
        <f t="shared" si="366"/>
        <v>2008</v>
      </c>
      <c r="F21974" s="3" t="s">
        <v>3474</v>
      </c>
      <c r="G21974" s="6">
        <v>728.96</v>
      </c>
      <c r="H21974" s="5">
        <v>10884</v>
      </c>
    </row>
    <row r="21975" spans="2:8" ht="15" customHeight="1" x14ac:dyDescent="0.4">
      <c r="B21975" s="3" t="s">
        <v>7</v>
      </c>
      <c r="C21975" s="3" t="s">
        <v>3473</v>
      </c>
      <c r="D21975" s="4">
        <f>DATE(2008,7,29)</f>
        <v>39658</v>
      </c>
      <c r="E21975" s="5">
        <f t="shared" si="366"/>
        <v>2008</v>
      </c>
      <c r="F21975" s="3" t="s">
        <v>3474</v>
      </c>
      <c r="G21975" s="6">
        <v>11491.38</v>
      </c>
      <c r="H21975" s="5">
        <v>11016</v>
      </c>
    </row>
    <row r="21976" spans="2:8" ht="15" customHeight="1" x14ac:dyDescent="0.4">
      <c r="B21976" s="3" t="s">
        <v>7</v>
      </c>
      <c r="C21976" s="3" t="s">
        <v>3473</v>
      </c>
      <c r="D21976" s="4">
        <f>DATE(2008,8,25)</f>
        <v>39685</v>
      </c>
      <c r="E21976" s="5">
        <f t="shared" si="366"/>
        <v>2008</v>
      </c>
      <c r="F21976" s="3" t="s">
        <v>3474</v>
      </c>
      <c r="G21976" s="6">
        <v>5344.12</v>
      </c>
      <c r="H21976" s="5">
        <v>11167</v>
      </c>
    </row>
    <row r="21977" spans="2:8" ht="15" customHeight="1" x14ac:dyDescent="0.4">
      <c r="B21977" s="3" t="s">
        <v>7</v>
      </c>
      <c r="C21977" s="3" t="s">
        <v>3473</v>
      </c>
      <c r="D21977" s="4">
        <f>DATE(2009,5,15)</f>
        <v>39948</v>
      </c>
      <c r="E21977" s="5">
        <f t="shared" si="366"/>
        <v>2009</v>
      </c>
      <c r="F21977" s="3" t="s">
        <v>3474</v>
      </c>
      <c r="G21977" s="6">
        <v>11256.27</v>
      </c>
      <c r="H21977" s="5">
        <v>12545</v>
      </c>
    </row>
    <row r="21978" spans="2:8" ht="15" customHeight="1" x14ac:dyDescent="0.4">
      <c r="B21978" s="3" t="s">
        <v>7</v>
      </c>
      <c r="C21978" s="3" t="s">
        <v>3473</v>
      </c>
      <c r="D21978" s="4">
        <f>DATE(2009,7,8)</f>
        <v>40002</v>
      </c>
      <c r="E21978" s="5">
        <f t="shared" si="366"/>
        <v>2009</v>
      </c>
      <c r="F21978" s="3" t="s">
        <v>3474</v>
      </c>
      <c r="G21978" s="6">
        <v>2427.52</v>
      </c>
      <c r="H21978" s="5">
        <v>12784</v>
      </c>
    </row>
    <row r="21979" spans="2:8" ht="15" customHeight="1" x14ac:dyDescent="0.4">
      <c r="B21979" s="3" t="s">
        <v>7</v>
      </c>
      <c r="C21979" s="3" t="s">
        <v>3473</v>
      </c>
      <c r="D21979" s="4">
        <f>DATE(2009,9,29)</f>
        <v>40085</v>
      </c>
      <c r="E21979" s="5">
        <f t="shared" si="366"/>
        <v>2009</v>
      </c>
      <c r="F21979" s="3" t="s">
        <v>3474</v>
      </c>
      <c r="G21979" s="6">
        <v>504.34</v>
      </c>
      <c r="H21979" s="5">
        <v>13079</v>
      </c>
    </row>
    <row r="21980" spans="2:8" ht="15" customHeight="1" x14ac:dyDescent="0.4">
      <c r="B21980" s="3" t="s">
        <v>16</v>
      </c>
      <c r="C21980" s="3" t="s">
        <v>3473</v>
      </c>
      <c r="D21980" s="4">
        <f>DATE(2007,3,1)</f>
        <v>39142</v>
      </c>
      <c r="E21980" s="5">
        <f t="shared" si="366"/>
        <v>2007</v>
      </c>
      <c r="F21980" s="3" t="s">
        <v>3474</v>
      </c>
      <c r="G21980" s="6">
        <v>30600</v>
      </c>
      <c r="H21980" s="5">
        <v>8292</v>
      </c>
    </row>
    <row r="21981" spans="2:8" ht="15" customHeight="1" x14ac:dyDescent="0.4">
      <c r="B21981" s="3" t="s">
        <v>7</v>
      </c>
      <c r="C21981" s="3" t="s">
        <v>3475</v>
      </c>
      <c r="D21981" s="4">
        <f>DATE(2003,5,3)</f>
        <v>37744</v>
      </c>
      <c r="E21981" s="5">
        <f t="shared" si="366"/>
        <v>2003</v>
      </c>
      <c r="F21981" s="3" t="s">
        <v>3476</v>
      </c>
      <c r="G21981" s="6">
        <v>3725.88</v>
      </c>
      <c r="H21981" s="5">
        <v>140</v>
      </c>
    </row>
    <row r="21982" spans="2:8" ht="15" customHeight="1" x14ac:dyDescent="0.4">
      <c r="B21982" s="3" t="s">
        <v>7</v>
      </c>
      <c r="C21982" s="3" t="s">
        <v>3475</v>
      </c>
      <c r="D21982" s="4">
        <f>DATE(2004,1,9)</f>
        <v>37995</v>
      </c>
      <c r="E21982" s="5">
        <f t="shared" si="366"/>
        <v>2004</v>
      </c>
      <c r="F21982" s="3" t="s">
        <v>3476</v>
      </c>
      <c r="G21982" s="6">
        <v>6209.75</v>
      </c>
      <c r="H21982" s="5">
        <v>461</v>
      </c>
    </row>
    <row r="21983" spans="2:8" ht="15" customHeight="1" x14ac:dyDescent="0.4">
      <c r="B21983" s="3" t="s">
        <v>7</v>
      </c>
      <c r="C21983" s="3" t="s">
        <v>3475</v>
      </c>
      <c r="D21983" s="4">
        <f>DATE(2004,10,12)</f>
        <v>38272</v>
      </c>
      <c r="E21983" s="5">
        <f t="shared" si="366"/>
        <v>2004</v>
      </c>
      <c r="F21983" s="3" t="s">
        <v>3476</v>
      </c>
      <c r="G21983" s="6">
        <v>3142.33</v>
      </c>
      <c r="H21983" s="5">
        <v>786</v>
      </c>
    </row>
    <row r="21984" spans="2:8" ht="15" customHeight="1" x14ac:dyDescent="0.4">
      <c r="B21984" s="3" t="s">
        <v>7</v>
      </c>
      <c r="C21984" s="3" t="s">
        <v>3475</v>
      </c>
      <c r="D21984" s="4">
        <f>DATE(2005,10,26)</f>
        <v>38651</v>
      </c>
      <c r="E21984" s="5">
        <f t="shared" si="366"/>
        <v>2005</v>
      </c>
      <c r="F21984" s="3" t="s">
        <v>3476</v>
      </c>
      <c r="G21984" s="6">
        <v>12095</v>
      </c>
      <c r="H21984" s="5">
        <v>1288</v>
      </c>
    </row>
    <row r="21985" spans="2:8" ht="15" customHeight="1" x14ac:dyDescent="0.4">
      <c r="B21985" s="3" t="s">
        <v>7</v>
      </c>
      <c r="C21985" s="3" t="s">
        <v>3475</v>
      </c>
      <c r="D21985" s="4">
        <f>DATE(2005,12,16)</f>
        <v>38702</v>
      </c>
      <c r="E21985" s="5">
        <f t="shared" si="366"/>
        <v>2005</v>
      </c>
      <c r="F21985" s="3" t="s">
        <v>3476</v>
      </c>
      <c r="G21985" s="6">
        <v>35888.43</v>
      </c>
      <c r="H21985" s="5">
        <v>1332</v>
      </c>
    </row>
    <row r="21986" spans="2:8" ht="15" customHeight="1" x14ac:dyDescent="0.4">
      <c r="B21986" s="3" t="s">
        <v>7</v>
      </c>
      <c r="C21986" s="3" t="s">
        <v>3475</v>
      </c>
      <c r="D21986" s="4">
        <f>DATE(2010,12,22)</f>
        <v>40534</v>
      </c>
      <c r="E21986" s="5">
        <f t="shared" si="366"/>
        <v>2010</v>
      </c>
      <c r="F21986" s="3" t="s">
        <v>3476</v>
      </c>
      <c r="G21986" s="6">
        <v>3639.71</v>
      </c>
      <c r="H21986" s="5">
        <v>4236</v>
      </c>
    </row>
    <row r="21987" spans="2:8" ht="15" customHeight="1" x14ac:dyDescent="0.4">
      <c r="B21987" s="3" t="s">
        <v>16</v>
      </c>
      <c r="C21987" s="3" t="s">
        <v>3475</v>
      </c>
      <c r="D21987" s="4">
        <f>DATE(2010,12,22)</f>
        <v>40534</v>
      </c>
      <c r="E21987" s="5">
        <f t="shared" si="366"/>
        <v>2010</v>
      </c>
      <c r="F21987" s="3" t="s">
        <v>3476</v>
      </c>
      <c r="G21987" s="6">
        <v>3639.71</v>
      </c>
      <c r="H21987" s="5">
        <v>4615</v>
      </c>
    </row>
    <row r="21988" spans="2:8" ht="15" customHeight="1" x14ac:dyDescent="0.4">
      <c r="B21988" t="s">
        <v>7</v>
      </c>
      <c r="C21988" t="s">
        <v>3477</v>
      </c>
      <c r="D21988" s="7">
        <f>DATE(2016,11,23)</f>
        <v>42697</v>
      </c>
      <c r="E21988" s="8">
        <f t="shared" si="366"/>
        <v>2016</v>
      </c>
      <c r="F21988" t="s">
        <v>3478</v>
      </c>
      <c r="G21988" s="9">
        <v>44564.23</v>
      </c>
      <c r="H21988" s="8">
        <v>23701</v>
      </c>
    </row>
    <row r="21989" spans="2:8" ht="15" customHeight="1" x14ac:dyDescent="0.4">
      <c r="B21989" t="s">
        <v>7</v>
      </c>
      <c r="C21989" t="s">
        <v>3477</v>
      </c>
      <c r="D21989" s="7">
        <f>DATE(2017,12,1)</f>
        <v>43070</v>
      </c>
      <c r="E21989" s="8">
        <f t="shared" si="366"/>
        <v>2017</v>
      </c>
      <c r="F21989" t="s">
        <v>3478</v>
      </c>
      <c r="G21989" s="9">
        <v>62894.38</v>
      </c>
      <c r="H21989" s="8">
        <v>25891</v>
      </c>
    </row>
    <row r="21990" spans="2:8" ht="15" customHeight="1" x14ac:dyDescent="0.4">
      <c r="B21990" t="s">
        <v>7</v>
      </c>
      <c r="C21990" t="s">
        <v>3477</v>
      </c>
      <c r="D21990" s="7">
        <f>DATE(2018,4,2)</f>
        <v>43192</v>
      </c>
      <c r="E21990" s="8">
        <f t="shared" si="366"/>
        <v>2018</v>
      </c>
      <c r="F21990" t="s">
        <v>3478</v>
      </c>
      <c r="G21990" s="9">
        <v>4209</v>
      </c>
      <c r="H21990" s="8">
        <v>26624</v>
      </c>
    </row>
    <row r="21991" spans="2:8" ht="15" customHeight="1" x14ac:dyDescent="0.4">
      <c r="B21991" t="s">
        <v>7</v>
      </c>
      <c r="C21991" t="s">
        <v>3477</v>
      </c>
      <c r="D21991" s="7">
        <f>DATE(2018,4,2)</f>
        <v>43192</v>
      </c>
      <c r="E21991" s="8">
        <f t="shared" si="366"/>
        <v>2018</v>
      </c>
      <c r="F21991" t="s">
        <v>3478</v>
      </c>
      <c r="G21991" s="9">
        <v>57573</v>
      </c>
      <c r="H21991" s="8">
        <v>26682</v>
      </c>
    </row>
    <row r="21992" spans="2:8" ht="15" customHeight="1" x14ac:dyDescent="0.4">
      <c r="B21992" t="s">
        <v>7</v>
      </c>
      <c r="C21992" t="s">
        <v>3477</v>
      </c>
      <c r="D21992" s="7">
        <f>DATE(2019,3,6)</f>
        <v>43530</v>
      </c>
      <c r="E21992" s="8">
        <f t="shared" si="366"/>
        <v>2019</v>
      </c>
      <c r="F21992" t="s">
        <v>3478</v>
      </c>
      <c r="G21992" s="9">
        <v>73554.720000000001</v>
      </c>
      <c r="H21992" s="8">
        <v>28502</v>
      </c>
    </row>
    <row r="21993" spans="2:8" ht="15" customHeight="1" x14ac:dyDescent="0.4">
      <c r="B21993" t="s">
        <v>7</v>
      </c>
      <c r="C21993" t="s">
        <v>3477</v>
      </c>
      <c r="D21993" s="7">
        <f>DATE(2016,5,9)</f>
        <v>42499</v>
      </c>
      <c r="E21993" s="8">
        <f t="shared" si="366"/>
        <v>2016</v>
      </c>
      <c r="F21993" t="s">
        <v>3478</v>
      </c>
      <c r="G21993" s="9">
        <v>9684.07</v>
      </c>
      <c r="H21993" s="8">
        <v>22781</v>
      </c>
    </row>
    <row r="21994" spans="2:8" ht="15" customHeight="1" x14ac:dyDescent="0.4">
      <c r="B21994" t="s">
        <v>7</v>
      </c>
      <c r="C21994" t="s">
        <v>3477</v>
      </c>
      <c r="D21994" s="7">
        <f>DATE(2016,5,13)</f>
        <v>42503</v>
      </c>
      <c r="E21994" s="8">
        <f t="shared" si="366"/>
        <v>2016</v>
      </c>
      <c r="F21994" t="s">
        <v>3478</v>
      </c>
      <c r="G21994" s="9">
        <v>7515.94</v>
      </c>
      <c r="H21994" s="8">
        <v>22826</v>
      </c>
    </row>
    <row r="21995" spans="2:8" ht="15" customHeight="1" x14ac:dyDescent="0.4">
      <c r="B21995" t="s">
        <v>7</v>
      </c>
      <c r="C21995" t="s">
        <v>3477</v>
      </c>
      <c r="D21995" s="7">
        <f>DATE(2018,1,3)</f>
        <v>43103</v>
      </c>
      <c r="E21995" s="8">
        <f t="shared" si="366"/>
        <v>2018</v>
      </c>
      <c r="F21995" t="s">
        <v>3478</v>
      </c>
      <c r="G21995" s="9">
        <v>11806.99</v>
      </c>
      <c r="H21995" s="8">
        <v>26033</v>
      </c>
    </row>
    <row r="21996" spans="2:8" ht="15" customHeight="1" x14ac:dyDescent="0.4">
      <c r="B21996" t="s">
        <v>16</v>
      </c>
      <c r="C21996" t="s">
        <v>3477</v>
      </c>
      <c r="D21996" s="7">
        <f>DATE(2018,8,31)</f>
        <v>43343</v>
      </c>
      <c r="E21996" s="8">
        <f t="shared" si="366"/>
        <v>2018</v>
      </c>
      <c r="F21996" t="s">
        <v>3478</v>
      </c>
      <c r="G21996" s="9">
        <v>4877.5600000000004</v>
      </c>
      <c r="H21996" s="8">
        <v>27580</v>
      </c>
    </row>
    <row r="21997" spans="2:8" ht="15" customHeight="1" x14ac:dyDescent="0.4">
      <c r="B21997" t="s">
        <v>7</v>
      </c>
      <c r="C21997" t="s">
        <v>3477</v>
      </c>
      <c r="D21997" s="7">
        <f>DATE(2004,2,29)</f>
        <v>38046</v>
      </c>
      <c r="E21997" s="8">
        <f t="shared" si="366"/>
        <v>2004</v>
      </c>
      <c r="F21997" t="s">
        <v>3478</v>
      </c>
      <c r="G21997" s="9">
        <v>14400</v>
      </c>
      <c r="H21997" s="8">
        <v>1200</v>
      </c>
    </row>
    <row r="21998" spans="2:8" ht="15" customHeight="1" x14ac:dyDescent="0.4">
      <c r="B21998" t="s">
        <v>7</v>
      </c>
      <c r="C21998" t="s">
        <v>3477</v>
      </c>
      <c r="D21998" s="7">
        <f>DATE(2004,9,3)</f>
        <v>38233</v>
      </c>
      <c r="E21998" s="8">
        <f t="shared" si="366"/>
        <v>2004</v>
      </c>
      <c r="F21998" t="s">
        <v>3478</v>
      </c>
      <c r="G21998" s="9">
        <v>7073.65</v>
      </c>
      <c r="H21998" s="8">
        <v>2116</v>
      </c>
    </row>
    <row r="21999" spans="2:8" ht="15" customHeight="1" x14ac:dyDescent="0.4">
      <c r="B21999" t="s">
        <v>7</v>
      </c>
      <c r="C21999" t="s">
        <v>3477</v>
      </c>
      <c r="D21999" s="7">
        <f>DATE(2004,12,20)</f>
        <v>38341</v>
      </c>
      <c r="E21999" s="8">
        <f t="shared" si="366"/>
        <v>2004</v>
      </c>
      <c r="F21999" t="s">
        <v>3478</v>
      </c>
      <c r="G21999" s="9">
        <v>17700</v>
      </c>
      <c r="H21999" s="8">
        <v>2453</v>
      </c>
    </row>
    <row r="22000" spans="2:8" ht="15" customHeight="1" x14ac:dyDescent="0.4">
      <c r="B22000" t="s">
        <v>7</v>
      </c>
      <c r="C22000" t="s">
        <v>3477</v>
      </c>
      <c r="D22000" s="7">
        <f>DATE(2004,12,20)</f>
        <v>38341</v>
      </c>
      <c r="E22000" s="8">
        <f t="shared" si="366"/>
        <v>2004</v>
      </c>
      <c r="F22000" t="s">
        <v>3478</v>
      </c>
      <c r="G22000" s="9">
        <v>17700</v>
      </c>
      <c r="H22000" s="8">
        <v>2516</v>
      </c>
    </row>
    <row r="22001" spans="2:8" ht="15" customHeight="1" x14ac:dyDescent="0.4">
      <c r="B22001" t="s">
        <v>7</v>
      </c>
      <c r="C22001" t="s">
        <v>3477</v>
      </c>
      <c r="D22001" s="7">
        <f>DATE(2005,3,5)</f>
        <v>38416</v>
      </c>
      <c r="E22001" s="8">
        <f t="shared" si="366"/>
        <v>2005</v>
      </c>
      <c r="F22001" t="s">
        <v>3478</v>
      </c>
      <c r="G22001" s="9">
        <v>12900</v>
      </c>
      <c r="H22001" s="8">
        <v>2741</v>
      </c>
    </row>
    <row r="22002" spans="2:8" ht="15" customHeight="1" x14ac:dyDescent="0.4">
      <c r="B22002" t="s">
        <v>7</v>
      </c>
      <c r="C22002" t="s">
        <v>3477</v>
      </c>
      <c r="D22002" s="7">
        <f>DATE(2006,5,24)</f>
        <v>38861</v>
      </c>
      <c r="E22002" s="8">
        <f t="shared" si="366"/>
        <v>2006</v>
      </c>
      <c r="F22002" t="s">
        <v>3478</v>
      </c>
      <c r="G22002" s="9">
        <v>10967.31</v>
      </c>
      <c r="H22002" s="8">
        <v>4644</v>
      </c>
    </row>
    <row r="22003" spans="2:8" ht="15" customHeight="1" x14ac:dyDescent="0.4">
      <c r="B22003" s="3" t="s">
        <v>7</v>
      </c>
      <c r="C22003" s="3" t="s">
        <v>3477</v>
      </c>
      <c r="D22003" s="4">
        <f>DATE(2004,6,30)</f>
        <v>38168</v>
      </c>
      <c r="E22003" s="5">
        <f t="shared" si="366"/>
        <v>2004</v>
      </c>
      <c r="F22003" s="3" t="s">
        <v>3478</v>
      </c>
      <c r="G22003" s="6">
        <v>3750</v>
      </c>
      <c r="H22003" s="5">
        <v>3084</v>
      </c>
    </row>
    <row r="22004" spans="2:8" ht="15" customHeight="1" x14ac:dyDescent="0.4">
      <c r="B22004" s="3" t="s">
        <v>7</v>
      </c>
      <c r="C22004" s="3" t="s">
        <v>3477</v>
      </c>
      <c r="D22004" s="4">
        <f>DATE(2004,10,4)</f>
        <v>38264</v>
      </c>
      <c r="E22004" s="5">
        <f t="shared" si="366"/>
        <v>2004</v>
      </c>
      <c r="F22004" s="3" t="s">
        <v>3478</v>
      </c>
      <c r="G22004" s="6">
        <v>8516.8799999999992</v>
      </c>
      <c r="H22004" s="5">
        <v>3516</v>
      </c>
    </row>
    <row r="22005" spans="2:8" ht="15" customHeight="1" x14ac:dyDescent="0.4">
      <c r="B22005" s="3" t="s">
        <v>7</v>
      </c>
      <c r="C22005" s="3" t="s">
        <v>3477</v>
      </c>
      <c r="D22005" s="4">
        <f>DATE(2004,10,22)</f>
        <v>38282</v>
      </c>
      <c r="E22005" s="5">
        <f t="shared" si="366"/>
        <v>2004</v>
      </c>
      <c r="F22005" s="3" t="s">
        <v>3478</v>
      </c>
      <c r="G22005" s="6">
        <v>6750</v>
      </c>
      <c r="H22005" s="5">
        <v>3565</v>
      </c>
    </row>
    <row r="22006" spans="2:8" ht="15" customHeight="1" x14ac:dyDescent="0.4">
      <c r="B22006" s="3" t="s">
        <v>7</v>
      </c>
      <c r="C22006" s="3" t="s">
        <v>3477</v>
      </c>
      <c r="D22006" s="4">
        <f>DATE(2005,2,28)</f>
        <v>38411</v>
      </c>
      <c r="E22006" s="5">
        <f t="shared" si="366"/>
        <v>2005</v>
      </c>
      <c r="F22006" s="3" t="s">
        <v>3478</v>
      </c>
      <c r="G22006" s="6">
        <v>13350</v>
      </c>
      <c r="H22006" s="5">
        <v>4049</v>
      </c>
    </row>
    <row r="22007" spans="2:8" ht="15" customHeight="1" x14ac:dyDescent="0.4">
      <c r="B22007" s="3" t="s">
        <v>7</v>
      </c>
      <c r="C22007" s="3" t="s">
        <v>3477</v>
      </c>
      <c r="D22007" s="4">
        <f>DATE(2005,12,20)</f>
        <v>38706</v>
      </c>
      <c r="E22007" s="5">
        <f t="shared" si="366"/>
        <v>2005</v>
      </c>
      <c r="F22007" s="3" t="s">
        <v>3478</v>
      </c>
      <c r="G22007" s="6">
        <v>6000</v>
      </c>
      <c r="H22007" s="5">
        <v>5740</v>
      </c>
    </row>
    <row r="22008" spans="2:8" ht="15" customHeight="1" x14ac:dyDescent="0.4">
      <c r="B22008" s="3" t="s">
        <v>7</v>
      </c>
      <c r="C22008" s="3" t="s">
        <v>3477</v>
      </c>
      <c r="D22008" s="4">
        <f>DATE(2006,7,7)</f>
        <v>38905</v>
      </c>
      <c r="E22008" s="5">
        <f t="shared" si="366"/>
        <v>2006</v>
      </c>
      <c r="F22008" s="3" t="s">
        <v>3478</v>
      </c>
      <c r="G22008" s="6">
        <v>21050</v>
      </c>
      <c r="H22008" s="5">
        <v>6921</v>
      </c>
    </row>
    <row r="22009" spans="2:8" ht="15" customHeight="1" x14ac:dyDescent="0.4">
      <c r="B22009" s="3" t="s">
        <v>7</v>
      </c>
      <c r="C22009" s="3" t="s">
        <v>3477</v>
      </c>
      <c r="D22009" s="4">
        <f>DATE(2006,7,21)</f>
        <v>38919</v>
      </c>
      <c r="E22009" s="5">
        <f t="shared" si="366"/>
        <v>2006</v>
      </c>
      <c r="F22009" s="3" t="s">
        <v>3478</v>
      </c>
      <c r="G22009" s="6">
        <v>8520</v>
      </c>
      <c r="H22009" s="5">
        <v>6979</v>
      </c>
    </row>
    <row r="22010" spans="2:8" ht="15" customHeight="1" x14ac:dyDescent="0.4">
      <c r="B22010" s="3" t="s">
        <v>7</v>
      </c>
      <c r="C22010" s="3" t="s">
        <v>3477</v>
      </c>
      <c r="D22010" s="4">
        <f>DATE(2007,10,25)</f>
        <v>39380</v>
      </c>
      <c r="E22010" s="5">
        <f t="shared" si="366"/>
        <v>2007</v>
      </c>
      <c r="F22010" s="3" t="s">
        <v>3478</v>
      </c>
      <c r="G22010" s="6">
        <v>8900</v>
      </c>
      <c r="H22010" s="5">
        <v>9293</v>
      </c>
    </row>
    <row r="22011" spans="2:8" ht="15" customHeight="1" x14ac:dyDescent="0.4">
      <c r="B22011" s="3" t="s">
        <v>7</v>
      </c>
      <c r="C22011" s="3" t="s">
        <v>3477</v>
      </c>
      <c r="D22011" s="4">
        <f>DATE(2008,7,30)</f>
        <v>39659</v>
      </c>
      <c r="E22011" s="5">
        <f t="shared" si="366"/>
        <v>2008</v>
      </c>
      <c r="F22011" s="3" t="s">
        <v>3478</v>
      </c>
      <c r="G22011" s="6">
        <v>7100</v>
      </c>
      <c r="H22011" s="5">
        <v>11032</v>
      </c>
    </row>
    <row r="22012" spans="2:8" ht="15" customHeight="1" x14ac:dyDescent="0.4">
      <c r="B22012" s="3" t="s">
        <v>7</v>
      </c>
      <c r="C22012" s="3" t="s">
        <v>3477</v>
      </c>
      <c r="D22012" s="4">
        <f>DATE(2008,7,31)</f>
        <v>39660</v>
      </c>
      <c r="E22012" s="5">
        <f t="shared" si="366"/>
        <v>2008</v>
      </c>
      <c r="F22012" s="3" t="s">
        <v>3478</v>
      </c>
      <c r="G22012" s="6">
        <v>1420</v>
      </c>
      <c r="H22012" s="5">
        <v>11032</v>
      </c>
    </row>
    <row r="22013" spans="2:8" ht="15" customHeight="1" x14ac:dyDescent="0.4">
      <c r="B22013" s="3" t="s">
        <v>7</v>
      </c>
      <c r="C22013" s="3" t="s">
        <v>3477</v>
      </c>
      <c r="D22013" s="4">
        <f>DATE(2009,5,11)</f>
        <v>39944</v>
      </c>
      <c r="E22013" s="5">
        <f t="shared" si="366"/>
        <v>2009</v>
      </c>
      <c r="F22013" s="3" t="s">
        <v>3478</v>
      </c>
      <c r="G22013" s="6">
        <v>3649</v>
      </c>
      <c r="H22013" s="5">
        <v>12504</v>
      </c>
    </row>
    <row r="22014" spans="2:8" ht="15" customHeight="1" x14ac:dyDescent="0.4">
      <c r="B22014" s="3" t="s">
        <v>7</v>
      </c>
      <c r="C22014" s="3" t="s">
        <v>3477</v>
      </c>
      <c r="D22014" s="4">
        <f>DATE(2009,12,10)</f>
        <v>40157</v>
      </c>
      <c r="E22014" s="5">
        <f t="shared" si="366"/>
        <v>2009</v>
      </c>
      <c r="F22014" s="3" t="s">
        <v>3478</v>
      </c>
      <c r="G22014" s="6">
        <v>8520</v>
      </c>
      <c r="H22014" s="5">
        <v>13241</v>
      </c>
    </row>
    <row r="22015" spans="2:8" ht="15" customHeight="1" x14ac:dyDescent="0.4">
      <c r="B22015" s="3" t="s">
        <v>7</v>
      </c>
      <c r="C22015" s="3" t="s">
        <v>3477</v>
      </c>
      <c r="D22015" s="4">
        <f>DATE(2010,8,4)</f>
        <v>40394</v>
      </c>
      <c r="E22015" s="5">
        <f t="shared" si="366"/>
        <v>2010</v>
      </c>
      <c r="F22015" s="3" t="s">
        <v>3478</v>
      </c>
      <c r="G22015" s="6">
        <v>8520</v>
      </c>
      <c r="H22015" s="5">
        <v>14338</v>
      </c>
    </row>
    <row r="22016" spans="2:8" ht="15" customHeight="1" x14ac:dyDescent="0.4">
      <c r="B22016" s="3" t="s">
        <v>7</v>
      </c>
      <c r="C22016" s="3" t="s">
        <v>3477</v>
      </c>
      <c r="D22016" s="4">
        <f>DATE(2011,4,22)</f>
        <v>40655</v>
      </c>
      <c r="E22016" s="5">
        <f t="shared" si="366"/>
        <v>2011</v>
      </c>
      <c r="F22016" s="3" t="s">
        <v>3478</v>
      </c>
      <c r="G22016" s="6">
        <v>7032.35</v>
      </c>
      <c r="H22016" s="5">
        <v>15447</v>
      </c>
    </row>
    <row r="22017" spans="2:8" ht="15" customHeight="1" x14ac:dyDescent="0.4">
      <c r="B22017" s="3" t="s">
        <v>7</v>
      </c>
      <c r="C22017" s="3" t="s">
        <v>3477</v>
      </c>
      <c r="D22017" s="4">
        <f>DATE(2011,4,22)</f>
        <v>40655</v>
      </c>
      <c r="E22017" s="5">
        <f t="shared" si="366"/>
        <v>2011</v>
      </c>
      <c r="F22017" s="3" t="s">
        <v>3478</v>
      </c>
      <c r="G22017" s="6">
        <v>7032.35</v>
      </c>
      <c r="H22017" s="5">
        <v>15452</v>
      </c>
    </row>
    <row r="22018" spans="2:8" ht="15" customHeight="1" x14ac:dyDescent="0.4">
      <c r="B22018" s="3" t="s">
        <v>7</v>
      </c>
      <c r="C22018" s="3" t="s">
        <v>3477</v>
      </c>
      <c r="D22018" s="4">
        <f>DATE(2011,9,28)</f>
        <v>40814</v>
      </c>
      <c r="E22018" s="5">
        <f t="shared" si="366"/>
        <v>2011</v>
      </c>
      <c r="F22018" s="3" t="s">
        <v>3478</v>
      </c>
      <c r="G22018" s="6">
        <v>6879.7</v>
      </c>
      <c r="H22018" s="5">
        <v>15988</v>
      </c>
    </row>
    <row r="22019" spans="2:8" ht="15" customHeight="1" x14ac:dyDescent="0.4">
      <c r="B22019" s="3" t="s">
        <v>7</v>
      </c>
      <c r="C22019" s="3" t="s">
        <v>3477</v>
      </c>
      <c r="D22019" s="4">
        <f>DATE(2012,2,29)</f>
        <v>40968</v>
      </c>
      <c r="E22019" s="5">
        <f t="shared" ref="E22019:E22082" si="367">YEAR(D22019)</f>
        <v>2012</v>
      </c>
      <c r="F22019" s="3" t="s">
        <v>3478</v>
      </c>
      <c r="G22019" s="6">
        <v>8236</v>
      </c>
      <c r="H22019" s="5">
        <v>16655</v>
      </c>
    </row>
    <row r="22020" spans="2:8" ht="15" customHeight="1" x14ac:dyDescent="0.4">
      <c r="B22020" t="s">
        <v>7</v>
      </c>
      <c r="C22020" t="s">
        <v>3477</v>
      </c>
      <c r="D22020" s="7">
        <f>DATE(2003,4,6)</f>
        <v>37717</v>
      </c>
      <c r="E22020" s="8">
        <f t="shared" si="367"/>
        <v>2003</v>
      </c>
      <c r="F22020" t="s">
        <v>3479</v>
      </c>
      <c r="G22020" s="9">
        <v>27000</v>
      </c>
      <c r="H22020" s="8">
        <v>444</v>
      </c>
    </row>
    <row r="22021" spans="2:8" ht="15" customHeight="1" x14ac:dyDescent="0.4">
      <c r="B22021" s="3" t="s">
        <v>7</v>
      </c>
      <c r="C22021" s="3" t="s">
        <v>3477</v>
      </c>
      <c r="D22021" s="4">
        <f>DATE(2003,3,11)</f>
        <v>37691</v>
      </c>
      <c r="E22021" s="5">
        <f t="shared" si="367"/>
        <v>2003</v>
      </c>
      <c r="F22021" s="3" t="s">
        <v>3479</v>
      </c>
      <c r="G22021" s="6">
        <v>8700</v>
      </c>
      <c r="H22021" s="5">
        <v>497</v>
      </c>
    </row>
    <row r="22022" spans="2:8" ht="15" customHeight="1" x14ac:dyDescent="0.4">
      <c r="B22022" s="3" t="s">
        <v>7</v>
      </c>
      <c r="C22022" s="3" t="s">
        <v>3477</v>
      </c>
      <c r="D22022" s="4">
        <f>DATE(2003,3,19)</f>
        <v>37699</v>
      </c>
      <c r="E22022" s="5">
        <f t="shared" si="367"/>
        <v>2003</v>
      </c>
      <c r="F22022" s="3" t="s">
        <v>3479</v>
      </c>
      <c r="G22022" s="6">
        <v>6200</v>
      </c>
      <c r="H22022" s="5">
        <v>555</v>
      </c>
    </row>
    <row r="22023" spans="2:8" ht="15" customHeight="1" x14ac:dyDescent="0.4">
      <c r="B22023" s="3" t="s">
        <v>7</v>
      </c>
      <c r="C22023" s="3" t="s">
        <v>3477</v>
      </c>
      <c r="D22023" s="4">
        <f>DATE(2003,5,13)</f>
        <v>37754</v>
      </c>
      <c r="E22023" s="5">
        <f t="shared" si="367"/>
        <v>2003</v>
      </c>
      <c r="F22023" s="3" t="s">
        <v>3479</v>
      </c>
      <c r="G22023" s="6">
        <v>448.8</v>
      </c>
      <c r="H22023" s="5">
        <v>957</v>
      </c>
    </row>
    <row r="22024" spans="2:8" ht="15" customHeight="1" x14ac:dyDescent="0.4">
      <c r="B22024" s="3" t="s">
        <v>7</v>
      </c>
      <c r="C22024" s="3" t="s">
        <v>3480</v>
      </c>
      <c r="D22024" s="4">
        <f>DATE(2011,8,9)</f>
        <v>40764</v>
      </c>
      <c r="E22024" s="5">
        <f t="shared" si="367"/>
        <v>2011</v>
      </c>
      <c r="F22024" s="3" t="s">
        <v>3481</v>
      </c>
      <c r="G22024" s="6">
        <v>829</v>
      </c>
      <c r="H22024" s="5">
        <v>15821</v>
      </c>
    </row>
    <row r="22025" spans="2:8" ht="15" customHeight="1" x14ac:dyDescent="0.4">
      <c r="B22025" t="s">
        <v>7</v>
      </c>
      <c r="C22025" t="s">
        <v>1329</v>
      </c>
      <c r="D22025" s="7">
        <f>DATE(2017,1,19)</f>
        <v>42754</v>
      </c>
      <c r="E22025" s="8">
        <f t="shared" si="367"/>
        <v>2017</v>
      </c>
      <c r="F22025" t="s">
        <v>3482</v>
      </c>
      <c r="G22025" s="9">
        <v>5426.48</v>
      </c>
      <c r="H22025" s="8">
        <v>24127</v>
      </c>
    </row>
    <row r="22026" spans="2:8" ht="15" customHeight="1" x14ac:dyDescent="0.4">
      <c r="B22026" t="s">
        <v>7</v>
      </c>
      <c r="C22026" t="s">
        <v>1329</v>
      </c>
      <c r="D22026" s="7">
        <f>DATE(2017,1,19)</f>
        <v>42754</v>
      </c>
      <c r="E22026" s="8">
        <f t="shared" si="367"/>
        <v>2017</v>
      </c>
      <c r="F22026" t="s">
        <v>3482</v>
      </c>
      <c r="G22026" s="9">
        <v>8550</v>
      </c>
      <c r="H22026" s="8">
        <v>24126</v>
      </c>
    </row>
    <row r="22027" spans="2:8" ht="15" customHeight="1" x14ac:dyDescent="0.4">
      <c r="B22027" t="s">
        <v>7</v>
      </c>
      <c r="C22027" t="s">
        <v>1329</v>
      </c>
      <c r="D22027" s="7">
        <f>DATE(2007,5,1)</f>
        <v>39203</v>
      </c>
      <c r="E22027" s="8">
        <f t="shared" si="367"/>
        <v>2007</v>
      </c>
      <c r="F22027" t="s">
        <v>3482</v>
      </c>
      <c r="G22027" s="9">
        <v>6915.46</v>
      </c>
      <c r="H22027" s="8">
        <v>5888</v>
      </c>
    </row>
    <row r="22028" spans="2:8" ht="15" customHeight="1" x14ac:dyDescent="0.4">
      <c r="B22028" t="s">
        <v>7</v>
      </c>
      <c r="C22028" t="s">
        <v>1329</v>
      </c>
      <c r="D22028" s="7">
        <f>DATE(2007,5,1)</f>
        <v>39203</v>
      </c>
      <c r="E22028" s="8">
        <f t="shared" si="367"/>
        <v>2007</v>
      </c>
      <c r="F22028" t="s">
        <v>3482</v>
      </c>
      <c r="G22028" s="9">
        <v>2600</v>
      </c>
      <c r="H22028" s="8">
        <v>5901</v>
      </c>
    </row>
    <row r="22029" spans="2:8" ht="15" customHeight="1" x14ac:dyDescent="0.4">
      <c r="B22029" t="s">
        <v>7</v>
      </c>
      <c r="C22029" t="s">
        <v>1329</v>
      </c>
      <c r="D22029" s="7">
        <f>DATE(2008,5,8)</f>
        <v>39576</v>
      </c>
      <c r="E22029" s="8">
        <f t="shared" si="367"/>
        <v>2008</v>
      </c>
      <c r="F22029" t="s">
        <v>3482</v>
      </c>
      <c r="G22029" s="9">
        <v>5681.2</v>
      </c>
      <c r="H22029" s="8">
        <v>7293</v>
      </c>
    </row>
    <row r="22030" spans="2:8" ht="15" customHeight="1" x14ac:dyDescent="0.4">
      <c r="B22030" t="s">
        <v>7</v>
      </c>
      <c r="C22030" t="s">
        <v>1329</v>
      </c>
      <c r="D22030" s="7">
        <f>DATE(2008,5,8)</f>
        <v>39576</v>
      </c>
      <c r="E22030" s="8">
        <f t="shared" si="367"/>
        <v>2008</v>
      </c>
      <c r="F22030" t="s">
        <v>3482</v>
      </c>
      <c r="G22030" s="9">
        <v>2507</v>
      </c>
      <c r="H22030" s="8">
        <v>7291</v>
      </c>
    </row>
    <row r="22031" spans="2:8" ht="15" customHeight="1" x14ac:dyDescent="0.4">
      <c r="B22031" t="s">
        <v>7</v>
      </c>
      <c r="C22031" t="s">
        <v>1329</v>
      </c>
      <c r="D22031" s="7">
        <f>DATE(2013,3,6)</f>
        <v>41339</v>
      </c>
      <c r="E22031" s="8">
        <f t="shared" si="367"/>
        <v>2013</v>
      </c>
      <c r="F22031" t="s">
        <v>3482</v>
      </c>
      <c r="G22031" s="9">
        <v>9852.8799999999992</v>
      </c>
      <c r="H22031" s="8">
        <v>12250</v>
      </c>
    </row>
    <row r="22032" spans="2:8" ht="15" customHeight="1" x14ac:dyDescent="0.4">
      <c r="B22032" t="s">
        <v>7</v>
      </c>
      <c r="C22032" t="s">
        <v>1329</v>
      </c>
      <c r="D22032" s="7">
        <f>DATE(2013,3,6)</f>
        <v>41339</v>
      </c>
      <c r="E22032" s="8">
        <f t="shared" si="367"/>
        <v>2013</v>
      </c>
      <c r="F22032" t="s">
        <v>3482</v>
      </c>
      <c r="G22032" s="9">
        <v>610.74</v>
      </c>
      <c r="H22032" s="8">
        <v>12257</v>
      </c>
    </row>
    <row r="22033" spans="2:8" ht="15" customHeight="1" x14ac:dyDescent="0.4">
      <c r="B22033" s="3" t="s">
        <v>7</v>
      </c>
      <c r="C22033" s="3" t="s">
        <v>1329</v>
      </c>
      <c r="D22033" s="4">
        <f>DATE(2007,5,3)</f>
        <v>39205</v>
      </c>
      <c r="E22033" s="5">
        <f t="shared" si="367"/>
        <v>2007</v>
      </c>
      <c r="F22033" s="3" t="s">
        <v>3482</v>
      </c>
      <c r="G22033" s="6">
        <v>294.87</v>
      </c>
      <c r="H22033" s="5">
        <v>8511</v>
      </c>
    </row>
    <row r="22034" spans="2:8" ht="15" customHeight="1" x14ac:dyDescent="0.4">
      <c r="B22034" t="s">
        <v>7</v>
      </c>
      <c r="C22034" t="s">
        <v>3483</v>
      </c>
      <c r="D22034" s="7">
        <f>DATE(2015,6,24)</f>
        <v>42179</v>
      </c>
      <c r="E22034" s="8">
        <f t="shared" si="367"/>
        <v>2015</v>
      </c>
      <c r="F22034" t="s">
        <v>3484</v>
      </c>
      <c r="G22034" s="9">
        <v>12248.5</v>
      </c>
      <c r="H22034" s="8">
        <v>20498</v>
      </c>
    </row>
    <row r="22035" spans="2:8" ht="15" customHeight="1" x14ac:dyDescent="0.4">
      <c r="B22035" t="s">
        <v>7</v>
      </c>
      <c r="C22035" t="s">
        <v>3483</v>
      </c>
      <c r="D22035" s="7">
        <f>DATE(2015,11,23)</f>
        <v>42331</v>
      </c>
      <c r="E22035" s="8">
        <f t="shared" si="367"/>
        <v>2015</v>
      </c>
      <c r="F22035" t="s">
        <v>3484</v>
      </c>
      <c r="G22035" s="9">
        <v>13159.57</v>
      </c>
      <c r="H22035" s="8">
        <v>21554</v>
      </c>
    </row>
    <row r="22036" spans="2:8" ht="15" customHeight="1" x14ac:dyDescent="0.4">
      <c r="B22036" t="s">
        <v>7</v>
      </c>
      <c r="C22036" t="s">
        <v>3485</v>
      </c>
      <c r="D22036" s="7">
        <f>DATE(2015,4,6)</f>
        <v>42100</v>
      </c>
      <c r="E22036" s="8">
        <f t="shared" si="367"/>
        <v>2015</v>
      </c>
      <c r="F22036" t="s">
        <v>3486</v>
      </c>
      <c r="G22036" s="9">
        <v>22843.13</v>
      </c>
      <c r="H22036" s="8">
        <v>363</v>
      </c>
    </row>
    <row r="22037" spans="2:8" ht="15" customHeight="1" x14ac:dyDescent="0.4">
      <c r="B22037" t="s">
        <v>7</v>
      </c>
      <c r="C22037" t="s">
        <v>3485</v>
      </c>
      <c r="D22037" s="7">
        <f>DATE(2015,7,10)</f>
        <v>42195</v>
      </c>
      <c r="E22037" s="8">
        <f t="shared" si="367"/>
        <v>2015</v>
      </c>
      <c r="F22037" t="s">
        <v>3486</v>
      </c>
      <c r="G22037" s="9">
        <v>41400</v>
      </c>
      <c r="H22037" s="8">
        <v>20892</v>
      </c>
    </row>
    <row r="22038" spans="2:8" ht="15" customHeight="1" x14ac:dyDescent="0.4">
      <c r="B22038" t="s">
        <v>7</v>
      </c>
      <c r="C22038" t="s">
        <v>3485</v>
      </c>
      <c r="D22038" s="7">
        <f>DATE(2016,5,17)</f>
        <v>42507</v>
      </c>
      <c r="E22038" s="8">
        <f t="shared" si="367"/>
        <v>2016</v>
      </c>
      <c r="F22038" t="s">
        <v>3486</v>
      </c>
      <c r="G22038" s="9">
        <v>29561</v>
      </c>
      <c r="H22038" s="8">
        <v>22382</v>
      </c>
    </row>
    <row r="22039" spans="2:8" ht="15" customHeight="1" x14ac:dyDescent="0.4">
      <c r="B22039" t="s">
        <v>7</v>
      </c>
      <c r="C22039" t="s">
        <v>3485</v>
      </c>
      <c r="D22039" s="7">
        <f>DATE(2017,4,20)</f>
        <v>42845</v>
      </c>
      <c r="E22039" s="8">
        <f t="shared" si="367"/>
        <v>2017</v>
      </c>
      <c r="F22039" t="s">
        <v>3486</v>
      </c>
      <c r="G22039" s="9">
        <v>23230</v>
      </c>
      <c r="H22039" s="8">
        <v>24400</v>
      </c>
    </row>
    <row r="22040" spans="2:8" ht="15" customHeight="1" x14ac:dyDescent="0.4">
      <c r="B22040" t="s">
        <v>7</v>
      </c>
      <c r="C22040" t="s">
        <v>3485</v>
      </c>
      <c r="D22040" s="7">
        <f>DATE(2013,5,2)</f>
        <v>41396</v>
      </c>
      <c r="E22040" s="8">
        <f t="shared" si="367"/>
        <v>2013</v>
      </c>
      <c r="F22040" t="s">
        <v>3486</v>
      </c>
      <c r="G22040" s="9">
        <v>15018</v>
      </c>
      <c r="H22040" s="8">
        <v>12255</v>
      </c>
    </row>
    <row r="22041" spans="2:8" ht="15" customHeight="1" x14ac:dyDescent="0.4">
      <c r="B22041" t="s">
        <v>7</v>
      </c>
      <c r="C22041" t="s">
        <v>3485</v>
      </c>
      <c r="D22041" s="7">
        <f>DATE(2013,12,9)</f>
        <v>41617</v>
      </c>
      <c r="E22041" s="8">
        <f t="shared" si="367"/>
        <v>2013</v>
      </c>
      <c r="F22041" t="s">
        <v>3486</v>
      </c>
      <c r="G22041" s="9">
        <v>15018</v>
      </c>
      <c r="H22041" s="8">
        <v>12742</v>
      </c>
    </row>
    <row r="22042" spans="2:8" ht="15" customHeight="1" x14ac:dyDescent="0.4">
      <c r="B22042" t="s">
        <v>7</v>
      </c>
      <c r="C22042" t="s">
        <v>3485</v>
      </c>
      <c r="D22042" s="7">
        <f>DATE(2011,5,19)</f>
        <v>40682</v>
      </c>
      <c r="E22042" s="8">
        <f t="shared" si="367"/>
        <v>2011</v>
      </c>
      <c r="F22042" t="s">
        <v>3486</v>
      </c>
      <c r="G22042" s="9">
        <v>3500</v>
      </c>
      <c r="H22042" s="8">
        <v>10717</v>
      </c>
    </row>
    <row r="22043" spans="2:8" ht="15" customHeight="1" x14ac:dyDescent="0.4">
      <c r="B22043" t="s">
        <v>7</v>
      </c>
      <c r="C22043" t="s">
        <v>3485</v>
      </c>
      <c r="D22043" s="7">
        <f>DATE(2013,5,2)</f>
        <v>41396</v>
      </c>
      <c r="E22043" s="8">
        <f t="shared" si="367"/>
        <v>2013</v>
      </c>
      <c r="F22043" t="s">
        <v>3486</v>
      </c>
      <c r="G22043" s="9">
        <v>22582.799999999999</v>
      </c>
      <c r="H22043" s="8">
        <v>12256</v>
      </c>
    </row>
    <row r="22044" spans="2:8" ht="15" customHeight="1" x14ac:dyDescent="0.4">
      <c r="B22044" t="s">
        <v>7</v>
      </c>
      <c r="C22044" t="s">
        <v>3485</v>
      </c>
      <c r="D22044" s="7">
        <f>DATE(2013,11,26)</f>
        <v>41604</v>
      </c>
      <c r="E22044" s="8">
        <f t="shared" si="367"/>
        <v>2013</v>
      </c>
      <c r="F22044" t="s">
        <v>3486</v>
      </c>
      <c r="G22044" s="9">
        <v>22582.799999999999</v>
      </c>
      <c r="H22044" s="8">
        <v>12743</v>
      </c>
    </row>
    <row r="22045" spans="2:8" ht="15" customHeight="1" x14ac:dyDescent="0.4">
      <c r="B22045" t="s">
        <v>7</v>
      </c>
      <c r="C22045" t="s">
        <v>3485</v>
      </c>
      <c r="D22045" s="7">
        <f>DATE(2014,5,27)</f>
        <v>41786</v>
      </c>
      <c r="E22045" s="8">
        <f t="shared" si="367"/>
        <v>2014</v>
      </c>
      <c r="F22045" t="s">
        <v>3486</v>
      </c>
      <c r="G22045" s="9">
        <v>22529.88</v>
      </c>
      <c r="H22045" s="8">
        <v>13154</v>
      </c>
    </row>
    <row r="22046" spans="2:8" ht="15" customHeight="1" x14ac:dyDescent="0.4">
      <c r="B22046" t="s">
        <v>7</v>
      </c>
      <c r="C22046" t="s">
        <v>3485</v>
      </c>
      <c r="D22046" s="7">
        <f>DATE(2014,10,27)</f>
        <v>41939</v>
      </c>
      <c r="E22046" s="8">
        <f t="shared" si="367"/>
        <v>2014</v>
      </c>
      <c r="F22046" t="s">
        <v>3486</v>
      </c>
      <c r="G22046" s="9">
        <v>22610.880000000001</v>
      </c>
      <c r="H22046" s="8">
        <v>13361</v>
      </c>
    </row>
    <row r="22047" spans="2:8" ht="15" customHeight="1" x14ac:dyDescent="0.4">
      <c r="B22047" s="3" t="s">
        <v>7</v>
      </c>
      <c r="C22047" s="3" t="s">
        <v>3485</v>
      </c>
      <c r="D22047" s="4">
        <f>DATE(2013,4,30)</f>
        <v>41394</v>
      </c>
      <c r="E22047" s="5">
        <f t="shared" si="367"/>
        <v>2013</v>
      </c>
      <c r="F22047" s="3" t="s">
        <v>3486</v>
      </c>
      <c r="G22047" s="6">
        <v>160.54</v>
      </c>
      <c r="H22047" s="5">
        <v>18531</v>
      </c>
    </row>
    <row r="22048" spans="2:8" ht="15" customHeight="1" x14ac:dyDescent="0.4">
      <c r="B22048" t="s">
        <v>7</v>
      </c>
      <c r="C22048" t="s">
        <v>3487</v>
      </c>
      <c r="D22048" s="7">
        <f>DATE(2017,1,25)</f>
        <v>42760</v>
      </c>
      <c r="E22048" s="8">
        <f t="shared" si="367"/>
        <v>2017</v>
      </c>
      <c r="F22048" t="s">
        <v>3488</v>
      </c>
      <c r="G22048" s="9">
        <v>4897.3100000000004</v>
      </c>
      <c r="H22048" s="8">
        <v>24094</v>
      </c>
    </row>
    <row r="22049" spans="2:8" ht="15" customHeight="1" x14ac:dyDescent="0.4">
      <c r="B22049" t="s">
        <v>7</v>
      </c>
      <c r="C22049" t="s">
        <v>3487</v>
      </c>
      <c r="D22049" s="7">
        <f>DATE(2018,10,17)</f>
        <v>43390</v>
      </c>
      <c r="E22049" s="8">
        <f t="shared" si="367"/>
        <v>2018</v>
      </c>
      <c r="F22049" t="s">
        <v>3488</v>
      </c>
      <c r="G22049" s="9">
        <v>5452.62</v>
      </c>
      <c r="H22049" s="8">
        <v>27785</v>
      </c>
    </row>
    <row r="22050" spans="2:8" ht="15" customHeight="1" x14ac:dyDescent="0.4">
      <c r="B22050" t="s">
        <v>7</v>
      </c>
      <c r="C22050" t="s">
        <v>3489</v>
      </c>
      <c r="D22050" s="7">
        <f>DATE(2011,6,30)</f>
        <v>40724</v>
      </c>
      <c r="E22050" s="8">
        <f t="shared" si="367"/>
        <v>2011</v>
      </c>
      <c r="F22050" t="s">
        <v>3490</v>
      </c>
      <c r="G22050" s="9">
        <v>261813.8</v>
      </c>
      <c r="H22050" s="8">
        <v>10728</v>
      </c>
    </row>
    <row r="22051" spans="2:8" ht="15" customHeight="1" x14ac:dyDescent="0.4">
      <c r="B22051" t="s">
        <v>16</v>
      </c>
      <c r="C22051" t="s">
        <v>3489</v>
      </c>
      <c r="D22051" s="7">
        <f>DATE(2011,6,30)</f>
        <v>40724</v>
      </c>
      <c r="E22051" s="8">
        <f t="shared" si="367"/>
        <v>2011</v>
      </c>
      <c r="F22051" t="s">
        <v>3490</v>
      </c>
      <c r="G22051" s="9">
        <v>34813.800000000003</v>
      </c>
      <c r="H22051" s="8">
        <v>11100</v>
      </c>
    </row>
    <row r="22052" spans="2:8" ht="15" customHeight="1" x14ac:dyDescent="0.4">
      <c r="B22052" s="3" t="s">
        <v>7</v>
      </c>
      <c r="C22052" s="3" t="s">
        <v>3491</v>
      </c>
      <c r="D22052" s="4">
        <f>DATE(2005,3,22)</f>
        <v>38433</v>
      </c>
      <c r="E22052" s="5">
        <f t="shared" si="367"/>
        <v>2005</v>
      </c>
      <c r="F22052" s="3" t="s">
        <v>3492</v>
      </c>
      <c r="G22052" s="6">
        <v>46.5</v>
      </c>
      <c r="H22052" s="5">
        <v>4387</v>
      </c>
    </row>
    <row r="22053" spans="2:8" ht="15" customHeight="1" x14ac:dyDescent="0.4">
      <c r="B22053" s="3" t="s">
        <v>7</v>
      </c>
      <c r="C22053" s="3" t="s">
        <v>3491</v>
      </c>
      <c r="D22053" s="4">
        <f>DATE(2007,10,3)</f>
        <v>39358</v>
      </c>
      <c r="E22053" s="5">
        <f t="shared" si="367"/>
        <v>2007</v>
      </c>
      <c r="F22053" s="3" t="s">
        <v>3492</v>
      </c>
      <c r="G22053" s="6">
        <v>67.8</v>
      </c>
      <c r="H22053" s="5">
        <v>9273</v>
      </c>
    </row>
    <row r="22054" spans="2:8" ht="15" customHeight="1" x14ac:dyDescent="0.4">
      <c r="B22054" t="s">
        <v>7</v>
      </c>
      <c r="C22054" t="s">
        <v>3493</v>
      </c>
      <c r="D22054" s="7">
        <f>DATE(2015,8,13)</f>
        <v>42229</v>
      </c>
      <c r="E22054" s="8">
        <f t="shared" si="367"/>
        <v>2015</v>
      </c>
      <c r="F22054" t="s">
        <v>3494</v>
      </c>
      <c r="G22054" s="9">
        <v>1395</v>
      </c>
      <c r="H22054" s="8">
        <v>21071</v>
      </c>
    </row>
    <row r="22055" spans="2:8" ht="15" customHeight="1" x14ac:dyDescent="0.4">
      <c r="B22055" t="s">
        <v>7</v>
      </c>
      <c r="C22055" t="s">
        <v>3493</v>
      </c>
      <c r="D22055" s="7">
        <f>DATE(2016,1,8)</f>
        <v>42377</v>
      </c>
      <c r="E22055" s="8">
        <f t="shared" si="367"/>
        <v>2016</v>
      </c>
      <c r="F22055" t="s">
        <v>3494</v>
      </c>
      <c r="G22055" s="9">
        <v>936</v>
      </c>
      <c r="H22055" s="8">
        <v>21902</v>
      </c>
    </row>
    <row r="22056" spans="2:8" ht="15" customHeight="1" x14ac:dyDescent="0.4">
      <c r="B22056" t="s">
        <v>7</v>
      </c>
      <c r="C22056" t="s">
        <v>3493</v>
      </c>
      <c r="D22056" s="7">
        <f>DATE(2016,6,15)</f>
        <v>42536</v>
      </c>
      <c r="E22056" s="8">
        <f t="shared" si="367"/>
        <v>2016</v>
      </c>
      <c r="F22056" t="s">
        <v>3494</v>
      </c>
      <c r="G22056" s="9">
        <v>2603.1999999999998</v>
      </c>
      <c r="H22056" s="8">
        <v>22998</v>
      </c>
    </row>
    <row r="22057" spans="2:8" ht="15" customHeight="1" x14ac:dyDescent="0.4">
      <c r="B22057" t="s">
        <v>7</v>
      </c>
      <c r="C22057" t="s">
        <v>3493</v>
      </c>
      <c r="D22057" s="7">
        <f>DATE(2008,12,30)</f>
        <v>39812</v>
      </c>
      <c r="E22057" s="8">
        <f t="shared" si="367"/>
        <v>2008</v>
      </c>
      <c r="F22057" t="s">
        <v>3494</v>
      </c>
      <c r="G22057" s="9">
        <v>293</v>
      </c>
      <c r="H22057" s="8">
        <v>8153</v>
      </c>
    </row>
    <row r="22058" spans="2:8" ht="15" customHeight="1" x14ac:dyDescent="0.4">
      <c r="B22058" t="s">
        <v>7</v>
      </c>
      <c r="C22058" t="s">
        <v>3493</v>
      </c>
      <c r="D22058" s="7">
        <f>DATE(2009,2,26)</f>
        <v>39870</v>
      </c>
      <c r="E22058" s="8">
        <f t="shared" si="367"/>
        <v>2009</v>
      </c>
      <c r="F22058" t="s">
        <v>3494</v>
      </c>
      <c r="G22058" s="9">
        <v>168</v>
      </c>
      <c r="H22058" s="8">
        <v>8357</v>
      </c>
    </row>
    <row r="22059" spans="2:8" ht="15" customHeight="1" x14ac:dyDescent="0.4">
      <c r="B22059" t="s">
        <v>7</v>
      </c>
      <c r="C22059" t="s">
        <v>3493</v>
      </c>
      <c r="D22059" s="7">
        <f>DATE(2009,10,15)</f>
        <v>40101</v>
      </c>
      <c r="E22059" s="8">
        <f t="shared" si="367"/>
        <v>2009</v>
      </c>
      <c r="F22059" t="s">
        <v>3494</v>
      </c>
      <c r="G22059" s="9">
        <v>82</v>
      </c>
      <c r="H22059" s="8">
        <v>9137</v>
      </c>
    </row>
    <row r="22060" spans="2:8" ht="15" customHeight="1" x14ac:dyDescent="0.4">
      <c r="B22060" t="s">
        <v>7</v>
      </c>
      <c r="C22060" t="s">
        <v>3493</v>
      </c>
      <c r="D22060" s="7">
        <f>DATE(2010,12,3)</f>
        <v>40515</v>
      </c>
      <c r="E22060" s="8">
        <f t="shared" si="367"/>
        <v>2010</v>
      </c>
      <c r="F22060" t="s">
        <v>3494</v>
      </c>
      <c r="G22060" s="9">
        <v>144</v>
      </c>
      <c r="H22060" s="8">
        <v>10296</v>
      </c>
    </row>
    <row r="22061" spans="2:8" ht="15" customHeight="1" x14ac:dyDescent="0.4">
      <c r="B22061" t="s">
        <v>7</v>
      </c>
      <c r="C22061" t="s">
        <v>3493</v>
      </c>
      <c r="D22061" s="7">
        <f>DATE(2011,1,10)</f>
        <v>40553</v>
      </c>
      <c r="E22061" s="8">
        <f t="shared" si="367"/>
        <v>2011</v>
      </c>
      <c r="F22061" t="s">
        <v>3494</v>
      </c>
      <c r="G22061" s="9">
        <v>191</v>
      </c>
      <c r="H22061" s="8">
        <v>10336</v>
      </c>
    </row>
    <row r="22062" spans="2:8" ht="15" customHeight="1" x14ac:dyDescent="0.4">
      <c r="B22062" s="3" t="s">
        <v>7</v>
      </c>
      <c r="C22062" s="3" t="s">
        <v>3493</v>
      </c>
      <c r="D22062" s="4">
        <f>DATE(2010,9,2)</f>
        <v>40423</v>
      </c>
      <c r="E22062" s="5">
        <f t="shared" si="367"/>
        <v>2010</v>
      </c>
      <c r="F22062" s="3" t="s">
        <v>3494</v>
      </c>
      <c r="G22062" s="6">
        <v>1389</v>
      </c>
      <c r="H22062" s="5">
        <v>14449</v>
      </c>
    </row>
    <row r="22063" spans="2:8" ht="15" customHeight="1" x14ac:dyDescent="0.4">
      <c r="B22063" s="3" t="s">
        <v>7</v>
      </c>
      <c r="C22063" s="3" t="s">
        <v>3493</v>
      </c>
      <c r="D22063" s="4">
        <f>DATE(2012,4,17)</f>
        <v>41016</v>
      </c>
      <c r="E22063" s="5">
        <f t="shared" si="367"/>
        <v>2012</v>
      </c>
      <c r="F22063" s="3" t="s">
        <v>3494</v>
      </c>
      <c r="G22063" s="6">
        <v>4111</v>
      </c>
      <c r="H22063" s="5">
        <v>16942</v>
      </c>
    </row>
    <row r="22064" spans="2:8" ht="15" customHeight="1" x14ac:dyDescent="0.4">
      <c r="B22064" s="3" t="s">
        <v>7</v>
      </c>
      <c r="C22064" s="3" t="s">
        <v>3493</v>
      </c>
      <c r="D22064" s="4">
        <f>DATE(2014,7,25)</f>
        <v>41845</v>
      </c>
      <c r="E22064" s="5">
        <f t="shared" si="367"/>
        <v>2014</v>
      </c>
      <c r="F22064" s="3" t="s">
        <v>3494</v>
      </c>
      <c r="G22064" s="6">
        <v>1852</v>
      </c>
      <c r="H22064" s="5">
        <v>20203</v>
      </c>
    </row>
    <row r="22065" spans="2:8" ht="15" customHeight="1" x14ac:dyDescent="0.4">
      <c r="B22065" s="3" t="s">
        <v>7</v>
      </c>
      <c r="C22065" s="3" t="s">
        <v>3493</v>
      </c>
      <c r="D22065" s="4">
        <f>DATE(2006,2,9)</f>
        <v>38757</v>
      </c>
      <c r="E22065" s="5">
        <f t="shared" si="367"/>
        <v>2006</v>
      </c>
      <c r="F22065" s="3" t="s">
        <v>3495</v>
      </c>
      <c r="G22065" s="6">
        <v>4108</v>
      </c>
      <c r="H22065" s="5">
        <v>5946</v>
      </c>
    </row>
    <row r="22066" spans="2:8" ht="15" customHeight="1" x14ac:dyDescent="0.4">
      <c r="B22066" t="s">
        <v>7</v>
      </c>
      <c r="C22066" t="s">
        <v>3496</v>
      </c>
      <c r="D22066" s="7">
        <f>DATE(2003,12,3)</f>
        <v>37958</v>
      </c>
      <c r="E22066" s="8">
        <f t="shared" si="367"/>
        <v>2003</v>
      </c>
      <c r="F22066" t="s">
        <v>3497</v>
      </c>
      <c r="G22066" s="9">
        <v>2514.1999999999998</v>
      </c>
      <c r="H22066" s="8">
        <v>1062</v>
      </c>
    </row>
    <row r="22067" spans="2:8" ht="15" customHeight="1" x14ac:dyDescent="0.4">
      <c r="B22067" t="s">
        <v>7</v>
      </c>
      <c r="C22067" t="s">
        <v>3496</v>
      </c>
      <c r="D22067" s="7">
        <f>DATE(2005,4,30)</f>
        <v>38472</v>
      </c>
      <c r="E22067" s="8">
        <f t="shared" si="367"/>
        <v>2005</v>
      </c>
      <c r="F22067" t="s">
        <v>3497</v>
      </c>
      <c r="G22067" s="9">
        <v>4865.28</v>
      </c>
      <c r="H22067" s="8">
        <v>3112</v>
      </c>
    </row>
    <row r="22068" spans="2:8" ht="15" customHeight="1" x14ac:dyDescent="0.4">
      <c r="B22068" s="3" t="s">
        <v>7</v>
      </c>
      <c r="C22068" s="3" t="s">
        <v>3496</v>
      </c>
      <c r="D22068" s="4">
        <f>DATE(2008,3,5)</f>
        <v>39512</v>
      </c>
      <c r="E22068" s="5">
        <f t="shared" si="367"/>
        <v>2008</v>
      </c>
      <c r="F22068" s="3" t="s">
        <v>3498</v>
      </c>
      <c r="G22068" s="6">
        <v>3550</v>
      </c>
      <c r="H22068" s="5">
        <v>9974</v>
      </c>
    </row>
    <row r="22069" spans="2:8" ht="15" customHeight="1" x14ac:dyDescent="0.4">
      <c r="B22069" t="s">
        <v>7</v>
      </c>
      <c r="C22069" t="s">
        <v>3499</v>
      </c>
      <c r="D22069" s="7">
        <f>DATE(2015,1,28)</f>
        <v>42032</v>
      </c>
      <c r="E22069" s="8">
        <f t="shared" si="367"/>
        <v>2015</v>
      </c>
      <c r="F22069" t="s">
        <v>3500</v>
      </c>
      <c r="G22069" s="9">
        <v>2704.5</v>
      </c>
      <c r="H22069" s="8">
        <v>146</v>
      </c>
    </row>
    <row r="22070" spans="2:8" ht="15" customHeight="1" x14ac:dyDescent="0.4">
      <c r="B22070" t="s">
        <v>7</v>
      </c>
      <c r="C22070" t="s">
        <v>3499</v>
      </c>
      <c r="D22070" s="7">
        <f>DATE(2015,6,11)</f>
        <v>42166</v>
      </c>
      <c r="E22070" s="8">
        <f t="shared" si="367"/>
        <v>2015</v>
      </c>
      <c r="F22070" t="s">
        <v>3500</v>
      </c>
      <c r="G22070" s="9">
        <v>2744.5</v>
      </c>
      <c r="H22070" s="8">
        <v>20716</v>
      </c>
    </row>
    <row r="22071" spans="2:8" ht="15" customHeight="1" x14ac:dyDescent="0.4">
      <c r="B22071" t="s">
        <v>7</v>
      </c>
      <c r="C22071" t="s">
        <v>3499</v>
      </c>
      <c r="D22071" s="7">
        <f>DATE(2015,7,10)</f>
        <v>42195</v>
      </c>
      <c r="E22071" s="8">
        <f t="shared" si="367"/>
        <v>2015</v>
      </c>
      <c r="F22071" t="s">
        <v>3500</v>
      </c>
      <c r="G22071" s="9">
        <v>82.16</v>
      </c>
      <c r="H22071" s="8">
        <v>20817</v>
      </c>
    </row>
    <row r="22072" spans="2:8" ht="15" customHeight="1" x14ac:dyDescent="0.4">
      <c r="B22072" t="s">
        <v>7</v>
      </c>
      <c r="C22072" t="s">
        <v>3499</v>
      </c>
      <c r="D22072" s="7">
        <f>DATE(2015,7,10)</f>
        <v>42195</v>
      </c>
      <c r="E22072" s="8">
        <f t="shared" si="367"/>
        <v>2015</v>
      </c>
      <c r="F22072" t="s">
        <v>3500</v>
      </c>
      <c r="G22072" s="9">
        <v>613.86</v>
      </c>
      <c r="H22072" s="8">
        <v>20816</v>
      </c>
    </row>
    <row r="22073" spans="2:8" ht="15" customHeight="1" x14ac:dyDescent="0.4">
      <c r="B22073" t="s">
        <v>7</v>
      </c>
      <c r="C22073" t="s">
        <v>3499</v>
      </c>
      <c r="D22073" s="7">
        <f>DATE(2016,8,17)</f>
        <v>42599</v>
      </c>
      <c r="E22073" s="8">
        <f t="shared" si="367"/>
        <v>2016</v>
      </c>
      <c r="F22073" t="s">
        <v>3500</v>
      </c>
      <c r="G22073" s="9">
        <v>2449.7600000000002</v>
      </c>
      <c r="H22073" s="8">
        <v>23247</v>
      </c>
    </row>
    <row r="22074" spans="2:8" ht="15" customHeight="1" x14ac:dyDescent="0.4">
      <c r="B22074" t="s">
        <v>7</v>
      </c>
      <c r="C22074" t="s">
        <v>3499</v>
      </c>
      <c r="D22074" s="7">
        <f>DATE(2016,9,7)</f>
        <v>42620</v>
      </c>
      <c r="E22074" s="8">
        <f t="shared" si="367"/>
        <v>2016</v>
      </c>
      <c r="F22074" t="s">
        <v>3500</v>
      </c>
      <c r="G22074" s="9">
        <v>2602.6999999999998</v>
      </c>
      <c r="H22074" s="8">
        <v>23409</v>
      </c>
    </row>
    <row r="22075" spans="2:8" ht="15" customHeight="1" x14ac:dyDescent="0.4">
      <c r="B22075" t="s">
        <v>7</v>
      </c>
      <c r="C22075" t="s">
        <v>3499</v>
      </c>
      <c r="D22075" s="7">
        <f>DATE(2018,3,26)</f>
        <v>43185</v>
      </c>
      <c r="E22075" s="8">
        <f t="shared" si="367"/>
        <v>2018</v>
      </c>
      <c r="F22075" t="s">
        <v>3500</v>
      </c>
      <c r="G22075" s="9">
        <v>9318.31</v>
      </c>
      <c r="H22075" s="8">
        <v>26696</v>
      </c>
    </row>
    <row r="22076" spans="2:8" ht="15" customHeight="1" x14ac:dyDescent="0.4">
      <c r="B22076" s="3" t="s">
        <v>7</v>
      </c>
      <c r="C22076" s="3" t="s">
        <v>3499</v>
      </c>
      <c r="D22076" s="4">
        <f>DATE(2012,4,10)</f>
        <v>41009</v>
      </c>
      <c r="E22076" s="5">
        <f t="shared" si="367"/>
        <v>2012</v>
      </c>
      <c r="F22076" s="3" t="s">
        <v>3500</v>
      </c>
      <c r="G22076" s="6">
        <v>2873.32</v>
      </c>
      <c r="H22076" s="5">
        <v>16935</v>
      </c>
    </row>
    <row r="22077" spans="2:8" ht="15" customHeight="1" x14ac:dyDescent="0.4">
      <c r="B22077" s="3" t="s">
        <v>7</v>
      </c>
      <c r="C22077" s="3" t="s">
        <v>3499</v>
      </c>
      <c r="D22077" s="4">
        <f>DATE(2012,4,12)</f>
        <v>41011</v>
      </c>
      <c r="E22077" s="5">
        <f t="shared" si="367"/>
        <v>2012</v>
      </c>
      <c r="F22077" s="3" t="s">
        <v>3500</v>
      </c>
      <c r="G22077" s="6">
        <v>2732</v>
      </c>
      <c r="H22077" s="5">
        <v>16943</v>
      </c>
    </row>
    <row r="22078" spans="2:8" ht="15" customHeight="1" x14ac:dyDescent="0.4">
      <c r="B22078" s="3" t="s">
        <v>7</v>
      </c>
      <c r="C22078" s="3" t="s">
        <v>3499</v>
      </c>
      <c r="D22078" s="4">
        <f>DATE(2012,4,12)</f>
        <v>41011</v>
      </c>
      <c r="E22078" s="5">
        <f t="shared" si="367"/>
        <v>2012</v>
      </c>
      <c r="F22078" s="3" t="s">
        <v>3500</v>
      </c>
      <c r="G22078" s="6">
        <v>2732</v>
      </c>
      <c r="H22078" s="5">
        <v>16944</v>
      </c>
    </row>
    <row r="22079" spans="2:8" ht="15" customHeight="1" x14ac:dyDescent="0.4">
      <c r="B22079" s="3" t="s">
        <v>7</v>
      </c>
      <c r="C22079" s="3" t="s">
        <v>3499</v>
      </c>
      <c r="D22079" s="4">
        <f>DATE(2012,4,12)</f>
        <v>41011</v>
      </c>
      <c r="E22079" s="5">
        <f t="shared" si="367"/>
        <v>2012</v>
      </c>
      <c r="F22079" s="3" t="s">
        <v>3500</v>
      </c>
      <c r="G22079" s="6">
        <v>2732</v>
      </c>
      <c r="H22079" s="5">
        <v>16945</v>
      </c>
    </row>
    <row r="22080" spans="2:8" ht="15" customHeight="1" x14ac:dyDescent="0.4">
      <c r="B22080" s="3" t="s">
        <v>7</v>
      </c>
      <c r="C22080" s="3" t="s">
        <v>3499</v>
      </c>
      <c r="D22080" s="4">
        <f>DATE(2012,4,12)</f>
        <v>41011</v>
      </c>
      <c r="E22080" s="5">
        <f t="shared" si="367"/>
        <v>2012</v>
      </c>
      <c r="F22080" s="3" t="s">
        <v>3500</v>
      </c>
      <c r="G22080" s="6">
        <v>2732</v>
      </c>
      <c r="H22080" s="5">
        <v>16946</v>
      </c>
    </row>
    <row r="22081" spans="2:8" ht="15" customHeight="1" x14ac:dyDescent="0.4">
      <c r="B22081" t="s">
        <v>7</v>
      </c>
      <c r="C22081" t="s">
        <v>3501</v>
      </c>
      <c r="D22081" s="7">
        <f>DATE(2007,2,17)</f>
        <v>39130</v>
      </c>
      <c r="E22081" s="8">
        <f t="shared" si="367"/>
        <v>2007</v>
      </c>
      <c r="F22081" t="s">
        <v>3502</v>
      </c>
      <c r="G22081" s="9">
        <v>12000</v>
      </c>
      <c r="H22081" s="8">
        <v>5422</v>
      </c>
    </row>
    <row r="22082" spans="2:8" ht="15" customHeight="1" x14ac:dyDescent="0.4">
      <c r="B22082" t="s">
        <v>7</v>
      </c>
      <c r="C22082" t="s">
        <v>3503</v>
      </c>
      <c r="D22082" s="7">
        <f>DATE(2015,4,14)</f>
        <v>42108</v>
      </c>
      <c r="E22082" s="8">
        <f t="shared" si="367"/>
        <v>2015</v>
      </c>
      <c r="F22082" t="s">
        <v>3504</v>
      </c>
      <c r="G22082" s="9">
        <v>15485</v>
      </c>
      <c r="H22082" s="8">
        <v>20009</v>
      </c>
    </row>
    <row r="22083" spans="2:8" ht="15" customHeight="1" x14ac:dyDescent="0.4">
      <c r="B22083" t="s">
        <v>7</v>
      </c>
      <c r="C22083" t="s">
        <v>3503</v>
      </c>
      <c r="D22083" s="7">
        <f>DATE(2017,5,22)</f>
        <v>42877</v>
      </c>
      <c r="E22083" s="8">
        <f t="shared" ref="E22083:E22146" si="368">YEAR(D22083)</f>
        <v>2017</v>
      </c>
      <c r="F22083" t="s">
        <v>3504</v>
      </c>
      <c r="G22083" s="9">
        <v>3722.33</v>
      </c>
      <c r="H22083" s="8">
        <v>24947</v>
      </c>
    </row>
    <row r="22084" spans="2:8" ht="15" customHeight="1" x14ac:dyDescent="0.4">
      <c r="B22084" t="s">
        <v>7</v>
      </c>
      <c r="C22084" t="s">
        <v>3503</v>
      </c>
      <c r="D22084" s="7">
        <f>DATE(2003,2,20)</f>
        <v>37672</v>
      </c>
      <c r="E22084" s="8">
        <f t="shared" si="368"/>
        <v>2003</v>
      </c>
      <c r="F22084" t="s">
        <v>3504</v>
      </c>
      <c r="G22084" s="9">
        <v>3029.98</v>
      </c>
      <c r="H22084" s="8">
        <v>259</v>
      </c>
    </row>
    <row r="22085" spans="2:8" ht="15" customHeight="1" x14ac:dyDescent="0.4">
      <c r="B22085" t="s">
        <v>7</v>
      </c>
      <c r="C22085" t="s">
        <v>3503</v>
      </c>
      <c r="D22085" s="7">
        <f>DATE(2003,2,14)</f>
        <v>37666</v>
      </c>
      <c r="E22085" s="8">
        <f t="shared" si="368"/>
        <v>2003</v>
      </c>
      <c r="F22085" t="s">
        <v>3504</v>
      </c>
      <c r="G22085" s="9">
        <v>2625.21</v>
      </c>
      <c r="H22085" s="8">
        <v>233</v>
      </c>
    </row>
    <row r="22086" spans="2:8" ht="15" customHeight="1" x14ac:dyDescent="0.4">
      <c r="B22086" t="s">
        <v>7</v>
      </c>
      <c r="C22086" t="s">
        <v>3503</v>
      </c>
      <c r="D22086" s="7">
        <f>DATE(2003,3,18)</f>
        <v>37698</v>
      </c>
      <c r="E22086" s="8">
        <f t="shared" si="368"/>
        <v>2003</v>
      </c>
      <c r="F22086" t="s">
        <v>3504</v>
      </c>
      <c r="G22086" s="9">
        <v>25402.959999999999</v>
      </c>
      <c r="H22086" s="8">
        <v>313</v>
      </c>
    </row>
    <row r="22087" spans="2:8" ht="15" customHeight="1" x14ac:dyDescent="0.4">
      <c r="B22087" t="s">
        <v>7</v>
      </c>
      <c r="C22087" t="s">
        <v>3503</v>
      </c>
      <c r="D22087" s="7">
        <f>DATE(2004,5,3)</f>
        <v>38110</v>
      </c>
      <c r="E22087" s="8">
        <f t="shared" si="368"/>
        <v>2004</v>
      </c>
      <c r="F22087" t="s">
        <v>3504</v>
      </c>
      <c r="G22087" s="9">
        <v>1407.55</v>
      </c>
      <c r="H22087" s="8">
        <v>1740</v>
      </c>
    </row>
    <row r="22088" spans="2:8" ht="15" customHeight="1" x14ac:dyDescent="0.4">
      <c r="B22088" t="s">
        <v>7</v>
      </c>
      <c r="C22088" t="s">
        <v>3503</v>
      </c>
      <c r="D22088" s="7">
        <f>DATE(2004,5,12)</f>
        <v>38119</v>
      </c>
      <c r="E22088" s="8">
        <f t="shared" si="368"/>
        <v>2004</v>
      </c>
      <c r="F22088" t="s">
        <v>3504</v>
      </c>
      <c r="G22088" s="9">
        <v>5644.94</v>
      </c>
      <c r="H22088" s="8">
        <v>1764</v>
      </c>
    </row>
    <row r="22089" spans="2:8" ht="15" customHeight="1" x14ac:dyDescent="0.4">
      <c r="B22089" t="s">
        <v>7</v>
      </c>
      <c r="C22089" t="s">
        <v>3503</v>
      </c>
      <c r="D22089" s="7">
        <f>DATE(2004,5,26)</f>
        <v>38133</v>
      </c>
      <c r="E22089" s="8">
        <f t="shared" si="368"/>
        <v>2004</v>
      </c>
      <c r="F22089" t="s">
        <v>3504</v>
      </c>
      <c r="G22089" s="9">
        <v>1648.2</v>
      </c>
      <c r="H22089" s="8">
        <v>1830</v>
      </c>
    </row>
    <row r="22090" spans="2:8" ht="15" customHeight="1" x14ac:dyDescent="0.4">
      <c r="B22090" t="s">
        <v>7</v>
      </c>
      <c r="C22090" t="s">
        <v>3503</v>
      </c>
      <c r="D22090" s="7">
        <f>DATE(2004,6,21)</f>
        <v>38159</v>
      </c>
      <c r="E22090" s="8">
        <f t="shared" si="368"/>
        <v>2004</v>
      </c>
      <c r="F22090" t="s">
        <v>3504</v>
      </c>
      <c r="G22090" s="9">
        <v>45238.29</v>
      </c>
      <c r="H22090" s="8">
        <v>1909</v>
      </c>
    </row>
    <row r="22091" spans="2:8" ht="15" customHeight="1" x14ac:dyDescent="0.4">
      <c r="B22091" t="s">
        <v>7</v>
      </c>
      <c r="C22091" t="s">
        <v>3503</v>
      </c>
      <c r="D22091" s="7">
        <f>DATE(2005,6,30)</f>
        <v>38533</v>
      </c>
      <c r="E22091" s="8">
        <f t="shared" si="368"/>
        <v>2005</v>
      </c>
      <c r="F22091" t="s">
        <v>3504</v>
      </c>
      <c r="G22091" s="9">
        <v>3276.2</v>
      </c>
      <c r="H22091" s="8">
        <v>3337</v>
      </c>
    </row>
    <row r="22092" spans="2:8" ht="15" customHeight="1" x14ac:dyDescent="0.4">
      <c r="B22092" t="s">
        <v>7</v>
      </c>
      <c r="C22092" t="s">
        <v>3503</v>
      </c>
      <c r="D22092" s="7">
        <f>DATE(2005,7,8)</f>
        <v>38541</v>
      </c>
      <c r="E22092" s="8">
        <f t="shared" si="368"/>
        <v>2005</v>
      </c>
      <c r="F22092" t="s">
        <v>3504</v>
      </c>
      <c r="G22092" s="9">
        <v>2590.9299999999998</v>
      </c>
      <c r="H22092" s="8">
        <v>3361</v>
      </c>
    </row>
    <row r="22093" spans="2:8" ht="15" customHeight="1" x14ac:dyDescent="0.4">
      <c r="B22093" t="s">
        <v>7</v>
      </c>
      <c r="C22093" t="s">
        <v>3503</v>
      </c>
      <c r="D22093" s="7">
        <f>DATE(2005,8,6)</f>
        <v>38570</v>
      </c>
      <c r="E22093" s="8">
        <f t="shared" si="368"/>
        <v>2005</v>
      </c>
      <c r="F22093" t="s">
        <v>3504</v>
      </c>
      <c r="G22093" s="9">
        <v>6256.45</v>
      </c>
      <c r="H22093" s="8">
        <v>3455</v>
      </c>
    </row>
    <row r="22094" spans="2:8" ht="15" customHeight="1" x14ac:dyDescent="0.4">
      <c r="B22094" t="s">
        <v>7</v>
      </c>
      <c r="C22094" t="s">
        <v>3503</v>
      </c>
      <c r="D22094" s="7">
        <f>DATE(2005,8,13)</f>
        <v>38577</v>
      </c>
      <c r="E22094" s="8">
        <f t="shared" si="368"/>
        <v>2005</v>
      </c>
      <c r="F22094" t="s">
        <v>3504</v>
      </c>
      <c r="G22094" s="9">
        <v>4902</v>
      </c>
      <c r="H22094" s="8">
        <v>3475</v>
      </c>
    </row>
    <row r="22095" spans="2:8" ht="15" customHeight="1" x14ac:dyDescent="0.4">
      <c r="B22095" t="s">
        <v>7</v>
      </c>
      <c r="C22095" t="s">
        <v>3503</v>
      </c>
      <c r="D22095" s="7">
        <f>DATE(2005,11,11)</f>
        <v>38667</v>
      </c>
      <c r="E22095" s="8">
        <f t="shared" si="368"/>
        <v>2005</v>
      </c>
      <c r="F22095" t="s">
        <v>3504</v>
      </c>
      <c r="G22095" s="9">
        <v>40995.769999999997</v>
      </c>
      <c r="H22095" s="8">
        <v>3660</v>
      </c>
    </row>
    <row r="22096" spans="2:8" ht="15" customHeight="1" x14ac:dyDescent="0.4">
      <c r="B22096" t="s">
        <v>7</v>
      </c>
      <c r="C22096" t="s">
        <v>3503</v>
      </c>
      <c r="D22096" s="7">
        <f>DATE(2006,4,30)</f>
        <v>38837</v>
      </c>
      <c r="E22096" s="8">
        <f t="shared" si="368"/>
        <v>2006</v>
      </c>
      <c r="F22096" t="s">
        <v>3504</v>
      </c>
      <c r="G22096" s="9">
        <v>62434.42</v>
      </c>
      <c r="H22096" s="8">
        <v>4253</v>
      </c>
    </row>
    <row r="22097" spans="2:8" ht="15" customHeight="1" x14ac:dyDescent="0.4">
      <c r="B22097" t="s">
        <v>7</v>
      </c>
      <c r="C22097" t="s">
        <v>3503</v>
      </c>
      <c r="D22097" s="7">
        <f>DATE(2006,5,31)</f>
        <v>38868</v>
      </c>
      <c r="E22097" s="8">
        <f t="shared" si="368"/>
        <v>2006</v>
      </c>
      <c r="F22097" t="s">
        <v>3504</v>
      </c>
      <c r="G22097" s="9">
        <v>10450</v>
      </c>
      <c r="H22097" s="8">
        <v>4645</v>
      </c>
    </row>
    <row r="22098" spans="2:8" ht="15" customHeight="1" x14ac:dyDescent="0.4">
      <c r="B22098" t="s">
        <v>7</v>
      </c>
      <c r="C22098" t="s">
        <v>3503</v>
      </c>
      <c r="D22098" s="7">
        <f>DATE(2006,6,20)</f>
        <v>38888</v>
      </c>
      <c r="E22098" s="8">
        <f t="shared" si="368"/>
        <v>2006</v>
      </c>
      <c r="F22098" t="s">
        <v>3504</v>
      </c>
      <c r="G22098" s="9">
        <v>6733.99</v>
      </c>
      <c r="H22098" s="8">
        <v>4717</v>
      </c>
    </row>
    <row r="22099" spans="2:8" ht="15" customHeight="1" x14ac:dyDescent="0.4">
      <c r="B22099" t="s">
        <v>7</v>
      </c>
      <c r="C22099" t="s">
        <v>3503</v>
      </c>
      <c r="D22099" s="7">
        <f>DATE(2006,5,11)</f>
        <v>38848</v>
      </c>
      <c r="E22099" s="8">
        <f t="shared" si="368"/>
        <v>2006</v>
      </c>
      <c r="F22099" t="s">
        <v>3504</v>
      </c>
      <c r="G22099" s="9">
        <v>18787.919999999998</v>
      </c>
      <c r="H22099" s="8">
        <v>4071</v>
      </c>
    </row>
    <row r="22100" spans="2:8" ht="15" customHeight="1" x14ac:dyDescent="0.4">
      <c r="B22100" t="s">
        <v>7</v>
      </c>
      <c r="C22100" t="s">
        <v>3503</v>
      </c>
      <c r="D22100" s="7">
        <f>DATE(2006,7,19)</f>
        <v>38917</v>
      </c>
      <c r="E22100" s="8">
        <f t="shared" si="368"/>
        <v>2006</v>
      </c>
      <c r="F22100" t="s">
        <v>3504</v>
      </c>
      <c r="G22100" s="9">
        <v>1857.15</v>
      </c>
      <c r="H22100" s="8">
        <v>4803</v>
      </c>
    </row>
    <row r="22101" spans="2:8" ht="15" customHeight="1" x14ac:dyDescent="0.4">
      <c r="B22101" t="s">
        <v>7</v>
      </c>
      <c r="C22101" t="s">
        <v>3503</v>
      </c>
      <c r="D22101" s="7">
        <f>DATE(2006,8,4)</f>
        <v>38933</v>
      </c>
      <c r="E22101" s="8">
        <f t="shared" si="368"/>
        <v>2006</v>
      </c>
      <c r="F22101" t="s">
        <v>3504</v>
      </c>
      <c r="G22101" s="9">
        <v>1046.4000000000001</v>
      </c>
      <c r="H22101" s="8">
        <v>4868</v>
      </c>
    </row>
    <row r="22102" spans="2:8" ht="15" customHeight="1" x14ac:dyDescent="0.4">
      <c r="B22102" t="s">
        <v>7</v>
      </c>
      <c r="C22102" t="s">
        <v>3503</v>
      </c>
      <c r="D22102" s="7">
        <f>DATE(2006,7,31)</f>
        <v>38929</v>
      </c>
      <c r="E22102" s="8">
        <f t="shared" si="368"/>
        <v>2006</v>
      </c>
      <c r="F22102" t="s">
        <v>3504</v>
      </c>
      <c r="G22102" s="9">
        <v>21652.83</v>
      </c>
      <c r="H22102" s="8">
        <v>4831</v>
      </c>
    </row>
    <row r="22103" spans="2:8" ht="15" customHeight="1" x14ac:dyDescent="0.4">
      <c r="B22103" t="s">
        <v>7</v>
      </c>
      <c r="C22103" t="s">
        <v>3503</v>
      </c>
      <c r="D22103" s="7">
        <f>DATE(2006,8,7)</f>
        <v>38936</v>
      </c>
      <c r="E22103" s="8">
        <f t="shared" si="368"/>
        <v>2006</v>
      </c>
      <c r="F22103" t="s">
        <v>3504</v>
      </c>
      <c r="G22103" s="9">
        <v>24065</v>
      </c>
      <c r="H22103" s="8">
        <v>4864</v>
      </c>
    </row>
    <row r="22104" spans="2:8" ht="15" customHeight="1" x14ac:dyDescent="0.4">
      <c r="B22104" t="s">
        <v>7</v>
      </c>
      <c r="C22104" t="s">
        <v>3503</v>
      </c>
      <c r="D22104" s="7">
        <f>DATE(2006,8,9)</f>
        <v>38938</v>
      </c>
      <c r="E22104" s="8">
        <f t="shared" si="368"/>
        <v>2006</v>
      </c>
      <c r="F22104" t="s">
        <v>3504</v>
      </c>
      <c r="G22104" s="9">
        <v>3205.35</v>
      </c>
      <c r="H22104" s="8">
        <v>4876</v>
      </c>
    </row>
    <row r="22105" spans="2:8" ht="15" customHeight="1" x14ac:dyDescent="0.4">
      <c r="B22105" t="s">
        <v>7</v>
      </c>
      <c r="C22105" t="s">
        <v>3503</v>
      </c>
      <c r="D22105" s="7">
        <f>DATE(2007,5,1)</f>
        <v>39203</v>
      </c>
      <c r="E22105" s="8">
        <f t="shared" si="368"/>
        <v>2007</v>
      </c>
      <c r="F22105" t="s">
        <v>3504</v>
      </c>
      <c r="G22105" s="9">
        <v>59028.04</v>
      </c>
      <c r="H22105" s="8">
        <v>5844</v>
      </c>
    </row>
    <row r="22106" spans="2:8" ht="15" customHeight="1" x14ac:dyDescent="0.4">
      <c r="B22106" t="s">
        <v>7</v>
      </c>
      <c r="C22106" t="s">
        <v>3503</v>
      </c>
      <c r="D22106" s="7">
        <f>DATE(2007,7,22)</f>
        <v>39285</v>
      </c>
      <c r="E22106" s="8">
        <f t="shared" si="368"/>
        <v>2007</v>
      </c>
      <c r="F22106" t="s">
        <v>3504</v>
      </c>
      <c r="G22106" s="9">
        <v>45249.24</v>
      </c>
      <c r="H22106" s="8">
        <v>6170</v>
      </c>
    </row>
    <row r="22107" spans="2:8" ht="15" customHeight="1" x14ac:dyDescent="0.4">
      <c r="B22107" t="s">
        <v>7</v>
      </c>
      <c r="C22107" t="s">
        <v>3503</v>
      </c>
      <c r="D22107" s="7">
        <f>DATE(2008,3,18)</f>
        <v>39525</v>
      </c>
      <c r="E22107" s="8">
        <f t="shared" si="368"/>
        <v>2008</v>
      </c>
      <c r="F22107" t="s">
        <v>3504</v>
      </c>
      <c r="G22107" s="9">
        <v>39436.25</v>
      </c>
      <c r="H22107" s="8">
        <v>6966</v>
      </c>
    </row>
    <row r="22108" spans="2:8" ht="15" customHeight="1" x14ac:dyDescent="0.4">
      <c r="B22108" t="s">
        <v>7</v>
      </c>
      <c r="C22108" t="s">
        <v>3503</v>
      </c>
      <c r="D22108" s="7">
        <f>DATE(2008,5,25)</f>
        <v>39593</v>
      </c>
      <c r="E22108" s="8">
        <f t="shared" si="368"/>
        <v>2008</v>
      </c>
      <c r="F22108" t="s">
        <v>3504</v>
      </c>
      <c r="G22108" s="9">
        <v>45249.24</v>
      </c>
      <c r="H22108" s="8">
        <v>7124</v>
      </c>
    </row>
    <row r="22109" spans="2:8" ht="15" customHeight="1" x14ac:dyDescent="0.4">
      <c r="B22109" t="s">
        <v>7</v>
      </c>
      <c r="C22109" t="s">
        <v>3503</v>
      </c>
      <c r="D22109" s="7">
        <f>DATE(2009,5,8)</f>
        <v>39941</v>
      </c>
      <c r="E22109" s="8">
        <f t="shared" si="368"/>
        <v>2009</v>
      </c>
      <c r="F22109" t="s">
        <v>3504</v>
      </c>
      <c r="G22109" s="9">
        <v>54238.95</v>
      </c>
      <c r="H22109" s="8">
        <v>8450</v>
      </c>
    </row>
    <row r="22110" spans="2:8" ht="15" customHeight="1" x14ac:dyDescent="0.4">
      <c r="B22110" t="s">
        <v>7</v>
      </c>
      <c r="C22110" t="s">
        <v>3503</v>
      </c>
      <c r="D22110" s="7">
        <f>DATE(2009,8,14)</f>
        <v>40039</v>
      </c>
      <c r="E22110" s="8">
        <f t="shared" si="368"/>
        <v>2009</v>
      </c>
      <c r="F22110" t="s">
        <v>3504</v>
      </c>
      <c r="G22110" s="9">
        <v>26326</v>
      </c>
      <c r="H22110" s="8">
        <v>8908</v>
      </c>
    </row>
    <row r="22111" spans="2:8" ht="15" customHeight="1" x14ac:dyDescent="0.4">
      <c r="B22111" t="s">
        <v>7</v>
      </c>
      <c r="C22111" t="s">
        <v>3503</v>
      </c>
      <c r="D22111" s="7">
        <f>DATE(2010,1,20)</f>
        <v>40198</v>
      </c>
      <c r="E22111" s="8">
        <f t="shared" si="368"/>
        <v>2010</v>
      </c>
      <c r="F22111" t="s">
        <v>3504</v>
      </c>
      <c r="G22111" s="9">
        <v>30185.74</v>
      </c>
      <c r="H22111" s="8">
        <v>9360</v>
      </c>
    </row>
    <row r="22112" spans="2:8" ht="15" customHeight="1" x14ac:dyDescent="0.4">
      <c r="B22112" t="s">
        <v>7</v>
      </c>
      <c r="C22112" t="s">
        <v>3503</v>
      </c>
      <c r="D22112" s="7">
        <f>DATE(2010,4,14)</f>
        <v>40282</v>
      </c>
      <c r="E22112" s="8">
        <f t="shared" si="368"/>
        <v>2010</v>
      </c>
      <c r="F22112" t="s">
        <v>3504</v>
      </c>
      <c r="G22112" s="9">
        <v>10074</v>
      </c>
      <c r="H22112" s="8">
        <v>9631</v>
      </c>
    </row>
    <row r="22113" spans="2:8" ht="15" customHeight="1" x14ac:dyDescent="0.4">
      <c r="B22113" t="s">
        <v>7</v>
      </c>
      <c r="C22113" t="s">
        <v>3503</v>
      </c>
      <c r="D22113" s="7">
        <f>DATE(2010,8,3)</f>
        <v>40393</v>
      </c>
      <c r="E22113" s="8">
        <f t="shared" si="368"/>
        <v>2010</v>
      </c>
      <c r="F22113" t="s">
        <v>3504</v>
      </c>
      <c r="G22113" s="9">
        <v>45249.24</v>
      </c>
      <c r="H22113" s="8">
        <v>10018</v>
      </c>
    </row>
    <row r="22114" spans="2:8" ht="15" customHeight="1" x14ac:dyDescent="0.4">
      <c r="B22114" t="s">
        <v>7</v>
      </c>
      <c r="C22114" t="s">
        <v>3503</v>
      </c>
      <c r="D22114" s="7">
        <f>DATE(2010,8,31)</f>
        <v>40421</v>
      </c>
      <c r="E22114" s="8">
        <f t="shared" si="368"/>
        <v>2010</v>
      </c>
      <c r="F22114" t="s">
        <v>3504</v>
      </c>
      <c r="G22114" s="9">
        <v>19440.439999999999</v>
      </c>
      <c r="H22114" s="8">
        <v>10086</v>
      </c>
    </row>
    <row r="22115" spans="2:8" ht="15" customHeight="1" x14ac:dyDescent="0.4">
      <c r="B22115" t="s">
        <v>7</v>
      </c>
      <c r="C22115" t="s">
        <v>3503</v>
      </c>
      <c r="D22115" s="7">
        <f>DATE(2011,6,3)</f>
        <v>40697</v>
      </c>
      <c r="E22115" s="8">
        <f t="shared" si="368"/>
        <v>2011</v>
      </c>
      <c r="F22115" t="s">
        <v>3504</v>
      </c>
      <c r="G22115" s="9">
        <v>71707.06</v>
      </c>
      <c r="H22115" s="8">
        <v>10703</v>
      </c>
    </row>
    <row r="22116" spans="2:8" ht="15" customHeight="1" x14ac:dyDescent="0.4">
      <c r="B22116" t="s">
        <v>7</v>
      </c>
      <c r="C22116" t="s">
        <v>3503</v>
      </c>
      <c r="D22116" s="7">
        <f>DATE(2012,5,23)</f>
        <v>41052</v>
      </c>
      <c r="E22116" s="8">
        <f t="shared" si="368"/>
        <v>2012</v>
      </c>
      <c r="F22116" t="s">
        <v>3504</v>
      </c>
      <c r="G22116" s="9">
        <v>71419</v>
      </c>
      <c r="H22116" s="8">
        <v>11502</v>
      </c>
    </row>
    <row r="22117" spans="2:8" ht="15" customHeight="1" x14ac:dyDescent="0.4">
      <c r="B22117" t="s">
        <v>7</v>
      </c>
      <c r="C22117" t="s">
        <v>3503</v>
      </c>
      <c r="D22117" s="7">
        <f>DATE(2013,5,17)</f>
        <v>41411</v>
      </c>
      <c r="E22117" s="8">
        <f t="shared" si="368"/>
        <v>2013</v>
      </c>
      <c r="F22117" t="s">
        <v>3504</v>
      </c>
      <c r="G22117" s="9">
        <v>104365.62</v>
      </c>
      <c r="H22117" s="8">
        <v>12402</v>
      </c>
    </row>
    <row r="22118" spans="2:8" ht="15" customHeight="1" x14ac:dyDescent="0.4">
      <c r="B22118" t="s">
        <v>7</v>
      </c>
      <c r="C22118" t="s">
        <v>3503</v>
      </c>
      <c r="D22118" s="7">
        <f>DATE(2013,8,6)</f>
        <v>41492</v>
      </c>
      <c r="E22118" s="8">
        <f t="shared" si="368"/>
        <v>2013</v>
      </c>
      <c r="F22118" t="s">
        <v>3504</v>
      </c>
      <c r="G22118" s="9">
        <v>20515.95</v>
      </c>
      <c r="H22118" s="8">
        <v>12594</v>
      </c>
    </row>
    <row r="22119" spans="2:8" ht="15" customHeight="1" x14ac:dyDescent="0.4">
      <c r="B22119" t="s">
        <v>7</v>
      </c>
      <c r="C22119" t="s">
        <v>3503</v>
      </c>
      <c r="D22119" s="7">
        <f>DATE(2014,5,5)</f>
        <v>41764</v>
      </c>
      <c r="E22119" s="8">
        <f t="shared" si="368"/>
        <v>2014</v>
      </c>
      <c r="F22119" t="s">
        <v>3504</v>
      </c>
      <c r="G22119" s="9">
        <v>75355</v>
      </c>
      <c r="H22119" s="8">
        <v>13004</v>
      </c>
    </row>
    <row r="22120" spans="2:8" ht="15" customHeight="1" x14ac:dyDescent="0.4">
      <c r="B22120" t="s">
        <v>7</v>
      </c>
      <c r="C22120" t="s">
        <v>3503</v>
      </c>
      <c r="D22120" s="7">
        <f>DATE(2011,11,23)</f>
        <v>40870</v>
      </c>
      <c r="E22120" s="8">
        <f t="shared" si="368"/>
        <v>2011</v>
      </c>
      <c r="F22120" t="s">
        <v>3504</v>
      </c>
      <c r="G22120" s="9">
        <v>2651.98</v>
      </c>
      <c r="H22120" s="8">
        <v>11114</v>
      </c>
    </row>
    <row r="22121" spans="2:8" ht="15" customHeight="1" x14ac:dyDescent="0.4">
      <c r="B22121" t="s">
        <v>7</v>
      </c>
      <c r="C22121" t="s">
        <v>3503</v>
      </c>
      <c r="D22121" s="7">
        <f>DATE(2014,7,15)</f>
        <v>41835</v>
      </c>
      <c r="E22121" s="8">
        <f t="shared" si="368"/>
        <v>2014</v>
      </c>
      <c r="F22121" t="s">
        <v>3504</v>
      </c>
      <c r="G22121" s="9">
        <v>3559.9</v>
      </c>
      <c r="H22121" s="8">
        <v>13323</v>
      </c>
    </row>
    <row r="22122" spans="2:8" ht="15" customHeight="1" x14ac:dyDescent="0.4">
      <c r="B22122" t="s">
        <v>7</v>
      </c>
      <c r="C22122" t="s">
        <v>3503</v>
      </c>
      <c r="D22122" s="7">
        <f>DATE(2014,8,27)</f>
        <v>41878</v>
      </c>
      <c r="E22122" s="8">
        <f t="shared" si="368"/>
        <v>2014</v>
      </c>
      <c r="F22122" t="s">
        <v>3504</v>
      </c>
      <c r="G22122" s="9">
        <v>3345.5</v>
      </c>
      <c r="H22122" s="8">
        <v>13421</v>
      </c>
    </row>
    <row r="22123" spans="2:8" ht="15" customHeight="1" x14ac:dyDescent="0.4">
      <c r="B22123" s="3" t="s">
        <v>7</v>
      </c>
      <c r="C22123" s="3" t="s">
        <v>3503</v>
      </c>
      <c r="D22123" s="4">
        <f>DATE(2003,2,14)</f>
        <v>37666</v>
      </c>
      <c r="E22123" s="5">
        <f t="shared" si="368"/>
        <v>2003</v>
      </c>
      <c r="F22123" s="3" t="s">
        <v>3504</v>
      </c>
      <c r="G22123" s="6">
        <v>173.75</v>
      </c>
      <c r="H22123" s="5">
        <v>269</v>
      </c>
    </row>
    <row r="22124" spans="2:8" ht="15" customHeight="1" x14ac:dyDescent="0.4">
      <c r="B22124" s="3" t="s">
        <v>7</v>
      </c>
      <c r="C22124" s="3" t="s">
        <v>3503</v>
      </c>
      <c r="D22124" s="4">
        <f>DATE(2003,3,11)</f>
        <v>37691</v>
      </c>
      <c r="E22124" s="5">
        <f t="shared" si="368"/>
        <v>2003</v>
      </c>
      <c r="F22124" s="3" t="s">
        <v>3504</v>
      </c>
      <c r="G22124" s="6">
        <v>868.75</v>
      </c>
      <c r="H22124" s="5">
        <v>449</v>
      </c>
    </row>
    <row r="22125" spans="2:8" ht="15" customHeight="1" x14ac:dyDescent="0.4">
      <c r="B22125" s="3" t="s">
        <v>7</v>
      </c>
      <c r="C22125" s="3" t="s">
        <v>3503</v>
      </c>
      <c r="D22125" s="4">
        <f>DATE(2004,5,19)</f>
        <v>38126</v>
      </c>
      <c r="E22125" s="5">
        <f t="shared" si="368"/>
        <v>2004</v>
      </c>
      <c r="F22125" s="3" t="s">
        <v>3504</v>
      </c>
      <c r="G22125" s="6">
        <v>20273</v>
      </c>
      <c r="H22125" s="5">
        <v>2716</v>
      </c>
    </row>
    <row r="22126" spans="2:8" ht="15" customHeight="1" x14ac:dyDescent="0.4">
      <c r="B22126" s="3" t="s">
        <v>7</v>
      </c>
      <c r="C22126" s="3" t="s">
        <v>3503</v>
      </c>
      <c r="D22126" s="4">
        <f>DATE(2005,3,11)</f>
        <v>38422</v>
      </c>
      <c r="E22126" s="5">
        <f t="shared" si="368"/>
        <v>2005</v>
      </c>
      <c r="F22126" s="3" t="s">
        <v>3504</v>
      </c>
      <c r="G22126" s="6">
        <v>184.2</v>
      </c>
      <c r="H22126" s="5">
        <v>4185</v>
      </c>
    </row>
    <row r="22127" spans="2:8" ht="15" customHeight="1" x14ac:dyDescent="0.4">
      <c r="B22127" s="3" t="s">
        <v>7</v>
      </c>
      <c r="C22127" s="3" t="s">
        <v>3503</v>
      </c>
      <c r="D22127" s="4">
        <f>DATE(2005,4,7)</f>
        <v>38449</v>
      </c>
      <c r="E22127" s="5">
        <f t="shared" si="368"/>
        <v>2005</v>
      </c>
      <c r="F22127" s="3" t="s">
        <v>3504</v>
      </c>
      <c r="G22127" s="6">
        <v>8241.5</v>
      </c>
      <c r="H22127" s="5">
        <v>4524</v>
      </c>
    </row>
    <row r="22128" spans="2:8" ht="15" customHeight="1" x14ac:dyDescent="0.4">
      <c r="B22128" s="3" t="s">
        <v>7</v>
      </c>
      <c r="C22128" s="3" t="s">
        <v>3503</v>
      </c>
      <c r="D22128" s="4">
        <f>DATE(2005,5,3)</f>
        <v>38475</v>
      </c>
      <c r="E22128" s="5">
        <f t="shared" si="368"/>
        <v>2005</v>
      </c>
      <c r="F22128" s="3" t="s">
        <v>3504</v>
      </c>
      <c r="G22128" s="6">
        <v>788</v>
      </c>
      <c r="H22128" s="5">
        <v>4686</v>
      </c>
    </row>
    <row r="22129" spans="2:8" ht="15" customHeight="1" x14ac:dyDescent="0.4">
      <c r="B22129" s="3" t="s">
        <v>7</v>
      </c>
      <c r="C22129" s="3" t="s">
        <v>3503</v>
      </c>
      <c r="D22129" s="4">
        <f>DATE(2005,5,12)</f>
        <v>38484</v>
      </c>
      <c r="E22129" s="5">
        <f t="shared" si="368"/>
        <v>2005</v>
      </c>
      <c r="F22129" s="3" t="s">
        <v>3504</v>
      </c>
      <c r="G22129" s="6">
        <v>302.5</v>
      </c>
      <c r="H22129" s="5">
        <v>4745</v>
      </c>
    </row>
    <row r="22130" spans="2:8" ht="15" customHeight="1" x14ac:dyDescent="0.4">
      <c r="B22130" s="3" t="s">
        <v>7</v>
      </c>
      <c r="C22130" s="3" t="s">
        <v>3503</v>
      </c>
      <c r="D22130" s="4">
        <f>DATE(2005,6,16)</f>
        <v>38519</v>
      </c>
      <c r="E22130" s="5">
        <f t="shared" si="368"/>
        <v>2005</v>
      </c>
      <c r="F22130" s="3" t="s">
        <v>3504</v>
      </c>
      <c r="G22130" s="6">
        <v>410</v>
      </c>
      <c r="H22130" s="5">
        <v>4888</v>
      </c>
    </row>
    <row r="22131" spans="2:8" ht="15" customHeight="1" x14ac:dyDescent="0.4">
      <c r="B22131" s="3" t="s">
        <v>7</v>
      </c>
      <c r="C22131" s="3" t="s">
        <v>3503</v>
      </c>
      <c r="D22131" s="4">
        <f>DATE(2005,8,9)</f>
        <v>38573</v>
      </c>
      <c r="E22131" s="5">
        <f t="shared" si="368"/>
        <v>2005</v>
      </c>
      <c r="F22131" s="3" t="s">
        <v>3504</v>
      </c>
      <c r="G22131" s="6">
        <v>803</v>
      </c>
      <c r="H22131" s="5">
        <v>5061</v>
      </c>
    </row>
    <row r="22132" spans="2:8" ht="15" customHeight="1" x14ac:dyDescent="0.4">
      <c r="B22132" s="3" t="s">
        <v>7</v>
      </c>
      <c r="C22132" s="3" t="s">
        <v>3503</v>
      </c>
      <c r="D22132" s="4">
        <f>DATE(2005,10,18)</f>
        <v>38643</v>
      </c>
      <c r="E22132" s="5">
        <f t="shared" si="368"/>
        <v>2005</v>
      </c>
      <c r="F22132" s="3" t="s">
        <v>3504</v>
      </c>
      <c r="G22132" s="6">
        <v>1101</v>
      </c>
      <c r="H22132" s="5">
        <v>5428</v>
      </c>
    </row>
    <row r="22133" spans="2:8" ht="15" customHeight="1" x14ac:dyDescent="0.4">
      <c r="B22133" s="3" t="s">
        <v>7</v>
      </c>
      <c r="C22133" s="3" t="s">
        <v>3503</v>
      </c>
      <c r="D22133" s="4">
        <f>DATE(2006,2,13)</f>
        <v>38761</v>
      </c>
      <c r="E22133" s="5">
        <f t="shared" si="368"/>
        <v>2006</v>
      </c>
      <c r="F22133" s="3" t="s">
        <v>3504</v>
      </c>
      <c r="G22133" s="6">
        <v>1095</v>
      </c>
      <c r="H22133" s="5">
        <v>5962</v>
      </c>
    </row>
    <row r="22134" spans="2:8" ht="15" customHeight="1" x14ac:dyDescent="0.4">
      <c r="B22134" s="3" t="s">
        <v>7</v>
      </c>
      <c r="C22134" s="3" t="s">
        <v>3503</v>
      </c>
      <c r="D22134" s="4">
        <f>DATE(2006,5,18)</f>
        <v>38855</v>
      </c>
      <c r="E22134" s="5">
        <f t="shared" si="368"/>
        <v>2006</v>
      </c>
      <c r="F22134" s="3" t="s">
        <v>3504</v>
      </c>
      <c r="G22134" s="6">
        <v>2685</v>
      </c>
      <c r="H22134" s="5">
        <v>6747</v>
      </c>
    </row>
    <row r="22135" spans="2:8" ht="15" customHeight="1" x14ac:dyDescent="0.4">
      <c r="B22135" s="3" t="s">
        <v>7</v>
      </c>
      <c r="C22135" s="3" t="s">
        <v>3503</v>
      </c>
      <c r="D22135" s="4">
        <f>DATE(2006,6,13)</f>
        <v>38881</v>
      </c>
      <c r="E22135" s="5">
        <f t="shared" si="368"/>
        <v>2006</v>
      </c>
      <c r="F22135" s="3" t="s">
        <v>3504</v>
      </c>
      <c r="G22135" s="6">
        <v>6570</v>
      </c>
      <c r="H22135" s="5">
        <v>6834</v>
      </c>
    </row>
    <row r="22136" spans="2:8" ht="15" customHeight="1" x14ac:dyDescent="0.4">
      <c r="B22136" s="3" t="s">
        <v>7</v>
      </c>
      <c r="C22136" s="3" t="s">
        <v>3503</v>
      </c>
      <c r="D22136" s="4">
        <f>DATE(2006,6,26)</f>
        <v>38894</v>
      </c>
      <c r="E22136" s="5">
        <f t="shared" si="368"/>
        <v>2006</v>
      </c>
      <c r="F22136" s="3" t="s">
        <v>3504</v>
      </c>
      <c r="G22136" s="6">
        <v>895</v>
      </c>
      <c r="H22136" s="5">
        <v>6890</v>
      </c>
    </row>
    <row r="22137" spans="2:8" ht="15" customHeight="1" x14ac:dyDescent="0.4">
      <c r="B22137" s="3" t="s">
        <v>7</v>
      </c>
      <c r="C22137" s="3" t="s">
        <v>3503</v>
      </c>
      <c r="D22137" s="4">
        <f>DATE(2007,8,20)</f>
        <v>39314</v>
      </c>
      <c r="E22137" s="5">
        <f t="shared" si="368"/>
        <v>2007</v>
      </c>
      <c r="F22137" s="3" t="s">
        <v>3504</v>
      </c>
      <c r="G22137" s="6">
        <v>4380</v>
      </c>
      <c r="H22137" s="5">
        <v>8995</v>
      </c>
    </row>
    <row r="22138" spans="2:8" ht="15" customHeight="1" x14ac:dyDescent="0.4">
      <c r="B22138" s="3" t="s">
        <v>7</v>
      </c>
      <c r="C22138" s="3" t="s">
        <v>3503</v>
      </c>
      <c r="D22138" s="4">
        <f>DATE(2008,6,24)</f>
        <v>39623</v>
      </c>
      <c r="E22138" s="5">
        <f t="shared" si="368"/>
        <v>2008</v>
      </c>
      <c r="F22138" s="3" t="s">
        <v>3504</v>
      </c>
      <c r="G22138" s="6">
        <v>1800</v>
      </c>
      <c r="H22138" s="5">
        <v>10769</v>
      </c>
    </row>
    <row r="22139" spans="2:8" ht="15" customHeight="1" x14ac:dyDescent="0.4">
      <c r="B22139" s="3" t="s">
        <v>7</v>
      </c>
      <c r="C22139" s="3" t="s">
        <v>3503</v>
      </c>
      <c r="D22139" s="4">
        <f>DATE(2014,11,25)</f>
        <v>41968</v>
      </c>
      <c r="E22139" s="5">
        <f t="shared" si="368"/>
        <v>2014</v>
      </c>
      <c r="F22139" s="3" t="s">
        <v>3504</v>
      </c>
      <c r="G22139" s="6">
        <v>476.5</v>
      </c>
      <c r="H22139" s="5">
        <v>20674</v>
      </c>
    </row>
    <row r="22140" spans="2:8" ht="15" customHeight="1" x14ac:dyDescent="0.4">
      <c r="B22140" s="3" t="s">
        <v>7</v>
      </c>
      <c r="C22140" s="3" t="s">
        <v>3503</v>
      </c>
      <c r="D22140" s="4">
        <f>DATE(2014,11,28)</f>
        <v>41971</v>
      </c>
      <c r="E22140" s="5">
        <f t="shared" si="368"/>
        <v>2014</v>
      </c>
      <c r="F22140" s="3" t="s">
        <v>3504</v>
      </c>
      <c r="G22140" s="6">
        <v>1906</v>
      </c>
      <c r="H22140" s="5">
        <v>20680</v>
      </c>
    </row>
    <row r="22141" spans="2:8" ht="15" customHeight="1" x14ac:dyDescent="0.4">
      <c r="B22141" s="3" t="s">
        <v>16</v>
      </c>
      <c r="C22141" s="3" t="s">
        <v>3503</v>
      </c>
      <c r="D22141" s="4">
        <f>DATE(2002,12,5)</f>
        <v>37595</v>
      </c>
      <c r="E22141" s="5">
        <f t="shared" si="368"/>
        <v>2002</v>
      </c>
      <c r="F22141" s="3" t="s">
        <v>3504</v>
      </c>
      <c r="G22141" s="6">
        <v>2080</v>
      </c>
      <c r="H22141" s="5">
        <v>40</v>
      </c>
    </row>
    <row r="22142" spans="2:8" ht="15" customHeight="1" x14ac:dyDescent="0.4">
      <c r="B22142" t="s">
        <v>7</v>
      </c>
      <c r="C22142" t="s">
        <v>3503</v>
      </c>
      <c r="D22142" s="7">
        <f>DATE(2003,2,5)</f>
        <v>37657</v>
      </c>
      <c r="E22142" s="8">
        <f t="shared" si="368"/>
        <v>2003</v>
      </c>
      <c r="F22142" t="s">
        <v>3505</v>
      </c>
      <c r="G22142" s="9">
        <v>2842.31</v>
      </c>
      <c r="H22142" s="8">
        <v>180</v>
      </c>
    </row>
    <row r="22143" spans="2:8" ht="15" customHeight="1" x14ac:dyDescent="0.4">
      <c r="B22143" t="s">
        <v>7</v>
      </c>
      <c r="C22143" t="s">
        <v>3503</v>
      </c>
      <c r="D22143" s="7">
        <f>DATE(2015,6,1)</f>
        <v>42156</v>
      </c>
      <c r="E22143" s="8">
        <f t="shared" si="368"/>
        <v>2015</v>
      </c>
      <c r="F22143" t="s">
        <v>3506</v>
      </c>
      <c r="G22143" s="9">
        <v>63040</v>
      </c>
      <c r="H22143" s="8">
        <v>20638</v>
      </c>
    </row>
    <row r="22144" spans="2:8" ht="15" customHeight="1" x14ac:dyDescent="0.4">
      <c r="B22144" t="s">
        <v>7</v>
      </c>
      <c r="C22144" t="s">
        <v>3503</v>
      </c>
      <c r="D22144" s="7">
        <f>DATE(2015,7,15)</f>
        <v>42200</v>
      </c>
      <c r="E22144" s="8">
        <f t="shared" si="368"/>
        <v>2015</v>
      </c>
      <c r="F22144" t="s">
        <v>3506</v>
      </c>
      <c r="G22144" s="9">
        <v>21982.86</v>
      </c>
      <c r="H22144" s="8">
        <v>20876</v>
      </c>
    </row>
    <row r="22145" spans="2:8" ht="15" customHeight="1" x14ac:dyDescent="0.4">
      <c r="B22145" t="s">
        <v>7</v>
      </c>
      <c r="C22145" t="s">
        <v>3503</v>
      </c>
      <c r="D22145" s="7">
        <f>DATE(2016,5,27)</f>
        <v>42517</v>
      </c>
      <c r="E22145" s="8">
        <f t="shared" si="368"/>
        <v>2016</v>
      </c>
      <c r="F22145" t="s">
        <v>3506</v>
      </c>
      <c r="G22145" s="9">
        <v>69500</v>
      </c>
      <c r="H22145" s="8">
        <v>22856</v>
      </c>
    </row>
    <row r="22146" spans="2:8" ht="15" customHeight="1" x14ac:dyDescent="0.4">
      <c r="B22146" t="s">
        <v>7</v>
      </c>
      <c r="C22146" t="s">
        <v>3503</v>
      </c>
      <c r="D22146" s="7">
        <f>DATE(2016,8,8)</f>
        <v>42590</v>
      </c>
      <c r="E22146" s="8">
        <f t="shared" si="368"/>
        <v>2016</v>
      </c>
      <c r="F22146" t="s">
        <v>3506</v>
      </c>
      <c r="G22146" s="9">
        <v>21607.86</v>
      </c>
      <c r="H22146" s="8">
        <v>23229</v>
      </c>
    </row>
    <row r="22147" spans="2:8" ht="15" customHeight="1" x14ac:dyDescent="0.4">
      <c r="B22147" t="s">
        <v>7</v>
      </c>
      <c r="C22147" t="s">
        <v>3503</v>
      </c>
      <c r="D22147" s="7">
        <f>DATE(2017,6,1)</f>
        <v>42887</v>
      </c>
      <c r="E22147" s="8">
        <f t="shared" ref="E22147:E22210" si="369">YEAR(D22147)</f>
        <v>2017</v>
      </c>
      <c r="F22147" t="s">
        <v>3506</v>
      </c>
      <c r="G22147" s="9">
        <v>68316.03</v>
      </c>
      <c r="H22147" s="8">
        <v>24942</v>
      </c>
    </row>
    <row r="22148" spans="2:8" ht="15" customHeight="1" x14ac:dyDescent="0.4">
      <c r="B22148" t="s">
        <v>7</v>
      </c>
      <c r="C22148" t="s">
        <v>3503</v>
      </c>
      <c r="D22148" s="7">
        <f>DATE(2017,6,2)</f>
        <v>42888</v>
      </c>
      <c r="E22148" s="8">
        <f t="shared" si="369"/>
        <v>2017</v>
      </c>
      <c r="F22148" t="s">
        <v>3506</v>
      </c>
      <c r="G22148" s="9">
        <v>34682.42</v>
      </c>
      <c r="H22148" s="8">
        <v>24932</v>
      </c>
    </row>
    <row r="22149" spans="2:8" ht="15" customHeight="1" x14ac:dyDescent="0.4">
      <c r="B22149" t="s">
        <v>7</v>
      </c>
      <c r="C22149" t="s">
        <v>3503</v>
      </c>
      <c r="D22149" s="7">
        <f>DATE(2019,4,10)</f>
        <v>43565</v>
      </c>
      <c r="E22149" s="8">
        <f t="shared" si="369"/>
        <v>2019</v>
      </c>
      <c r="F22149" t="s">
        <v>3506</v>
      </c>
      <c r="G22149" s="9">
        <v>17553.169999999998</v>
      </c>
      <c r="H22149" s="8">
        <v>28274</v>
      </c>
    </row>
    <row r="22150" spans="2:8" ht="15" customHeight="1" x14ac:dyDescent="0.4">
      <c r="B22150" t="s">
        <v>7</v>
      </c>
      <c r="C22150" t="s">
        <v>3503</v>
      </c>
      <c r="D22150" s="7">
        <f>DATE(2019,4,18)</f>
        <v>43573</v>
      </c>
      <c r="E22150" s="8">
        <f t="shared" si="369"/>
        <v>2019</v>
      </c>
      <c r="F22150" t="s">
        <v>3506</v>
      </c>
      <c r="G22150" s="9">
        <v>44250</v>
      </c>
      <c r="H22150" s="8">
        <v>28273</v>
      </c>
    </row>
    <row r="22151" spans="2:8" ht="15" customHeight="1" x14ac:dyDescent="0.4">
      <c r="B22151" t="s">
        <v>7</v>
      </c>
      <c r="C22151" t="s">
        <v>3503</v>
      </c>
      <c r="D22151" s="7">
        <f>DATE(2016,8,3)</f>
        <v>42585</v>
      </c>
      <c r="E22151" s="8">
        <f t="shared" si="369"/>
        <v>2016</v>
      </c>
      <c r="F22151" t="s">
        <v>3506</v>
      </c>
      <c r="G22151" s="9">
        <v>649.5</v>
      </c>
      <c r="H22151" s="8">
        <v>23220</v>
      </c>
    </row>
    <row r="22152" spans="2:8" ht="15" customHeight="1" x14ac:dyDescent="0.4">
      <c r="B22152" t="s">
        <v>7</v>
      </c>
      <c r="C22152" t="s">
        <v>3503</v>
      </c>
      <c r="D22152" s="7">
        <f>DATE(2016,8,10)</f>
        <v>42592</v>
      </c>
      <c r="E22152" s="8">
        <f t="shared" si="369"/>
        <v>2016</v>
      </c>
      <c r="F22152" t="s">
        <v>3506</v>
      </c>
      <c r="G22152" s="9">
        <v>649.5</v>
      </c>
      <c r="H22152" s="8">
        <v>23213</v>
      </c>
    </row>
    <row r="22153" spans="2:8" ht="15" customHeight="1" x14ac:dyDescent="0.4">
      <c r="B22153" t="s">
        <v>7</v>
      </c>
      <c r="C22153" t="s">
        <v>3503</v>
      </c>
      <c r="D22153" s="7">
        <f>DATE(2016,9,29)</f>
        <v>42642</v>
      </c>
      <c r="E22153" s="8">
        <f t="shared" si="369"/>
        <v>2016</v>
      </c>
      <c r="F22153" t="s">
        <v>3506</v>
      </c>
      <c r="G22153" s="9">
        <v>779.4</v>
      </c>
      <c r="H22153" s="8">
        <v>23535</v>
      </c>
    </row>
    <row r="22154" spans="2:8" ht="15" customHeight="1" x14ac:dyDescent="0.4">
      <c r="B22154" t="s">
        <v>7</v>
      </c>
      <c r="C22154" t="s">
        <v>3503</v>
      </c>
      <c r="D22154" s="7">
        <f>DATE(2016,10,5)</f>
        <v>42648</v>
      </c>
      <c r="E22154" s="8">
        <f t="shared" si="369"/>
        <v>2016</v>
      </c>
      <c r="F22154" t="s">
        <v>3506</v>
      </c>
      <c r="G22154" s="9">
        <v>519.6</v>
      </c>
      <c r="H22154" s="8">
        <v>23559</v>
      </c>
    </row>
    <row r="22155" spans="2:8" ht="15" customHeight="1" x14ac:dyDescent="0.4">
      <c r="B22155" t="s">
        <v>7</v>
      </c>
      <c r="C22155" t="s">
        <v>3503</v>
      </c>
      <c r="D22155" s="7">
        <f>DATE(2017,10,16)</f>
        <v>43024</v>
      </c>
      <c r="E22155" s="8">
        <f t="shared" si="369"/>
        <v>2017</v>
      </c>
      <c r="F22155" t="s">
        <v>3506</v>
      </c>
      <c r="G22155" s="9">
        <v>259.8</v>
      </c>
      <c r="H22155" s="8">
        <v>25689</v>
      </c>
    </row>
    <row r="22156" spans="2:8" ht="15" customHeight="1" x14ac:dyDescent="0.4">
      <c r="B22156" t="s">
        <v>16</v>
      </c>
      <c r="C22156" t="s">
        <v>3503</v>
      </c>
      <c r="D22156" s="7">
        <f>DATE(2016,8,10)</f>
        <v>42592</v>
      </c>
      <c r="E22156" s="8">
        <f t="shared" si="369"/>
        <v>2016</v>
      </c>
      <c r="F22156" t="s">
        <v>3506</v>
      </c>
      <c r="G22156" s="9">
        <v>1330</v>
      </c>
      <c r="H22156" s="8">
        <v>23272</v>
      </c>
    </row>
    <row r="22157" spans="2:8" ht="15" customHeight="1" x14ac:dyDescent="0.4">
      <c r="B22157" s="3" t="s">
        <v>7</v>
      </c>
      <c r="C22157" s="3" t="s">
        <v>3507</v>
      </c>
      <c r="D22157" s="4">
        <f>DATE(2014,6,12)</f>
        <v>41802</v>
      </c>
      <c r="E22157" s="5">
        <f t="shared" si="369"/>
        <v>2014</v>
      </c>
      <c r="F22157" s="3" t="s">
        <v>3508</v>
      </c>
      <c r="G22157" s="6">
        <v>20201.86</v>
      </c>
      <c r="H22157" s="5">
        <v>6127</v>
      </c>
    </row>
    <row r="22158" spans="2:8" ht="15" customHeight="1" x14ac:dyDescent="0.4">
      <c r="B22158" s="3" t="s">
        <v>7</v>
      </c>
      <c r="C22158" s="3" t="s">
        <v>3507</v>
      </c>
      <c r="D22158" s="4">
        <f>DATE(2008,9,18)</f>
        <v>39709</v>
      </c>
      <c r="E22158" s="5">
        <f t="shared" si="369"/>
        <v>2008</v>
      </c>
      <c r="F22158" s="3" t="s">
        <v>3508</v>
      </c>
      <c r="G22158" s="6">
        <v>16404.900000000001</v>
      </c>
      <c r="H22158" s="5">
        <v>3017</v>
      </c>
    </row>
    <row r="22159" spans="2:8" ht="15" customHeight="1" x14ac:dyDescent="0.4">
      <c r="B22159" s="3" t="s">
        <v>7</v>
      </c>
      <c r="C22159" s="3" t="s">
        <v>3507</v>
      </c>
      <c r="D22159" s="4">
        <f>DATE(2010,4,19)</f>
        <v>40287</v>
      </c>
      <c r="E22159" s="5">
        <f t="shared" si="369"/>
        <v>2010</v>
      </c>
      <c r="F22159" s="3" t="s">
        <v>3508</v>
      </c>
      <c r="G22159" s="6">
        <v>8478.5</v>
      </c>
      <c r="H22159" s="5">
        <v>3878</v>
      </c>
    </row>
    <row r="22160" spans="2:8" ht="15" customHeight="1" x14ac:dyDescent="0.4">
      <c r="B22160" s="3" t="s">
        <v>7</v>
      </c>
      <c r="C22160" s="3" t="s">
        <v>3507</v>
      </c>
      <c r="D22160" s="4">
        <f>DATE(2010,4,19)</f>
        <v>40287</v>
      </c>
      <c r="E22160" s="5">
        <f t="shared" si="369"/>
        <v>2010</v>
      </c>
      <c r="F22160" s="3" t="s">
        <v>3508</v>
      </c>
      <c r="G22160" s="6">
        <v>8478.5</v>
      </c>
      <c r="H22160" s="5">
        <v>3879</v>
      </c>
    </row>
    <row r="22161" spans="2:8" ht="15" customHeight="1" x14ac:dyDescent="0.4">
      <c r="B22161" s="3" t="s">
        <v>7</v>
      </c>
      <c r="C22161" s="3" t="s">
        <v>3507</v>
      </c>
      <c r="D22161" s="4">
        <f>DATE(2010,9,15)</f>
        <v>40436</v>
      </c>
      <c r="E22161" s="5">
        <f t="shared" si="369"/>
        <v>2010</v>
      </c>
      <c r="F22161" s="3" t="s">
        <v>3508</v>
      </c>
      <c r="G22161" s="6">
        <v>20000</v>
      </c>
      <c r="H22161" s="5">
        <v>4109</v>
      </c>
    </row>
    <row r="22162" spans="2:8" ht="15" customHeight="1" x14ac:dyDescent="0.4">
      <c r="B22162" s="3" t="s">
        <v>7</v>
      </c>
      <c r="C22162" s="3" t="s">
        <v>3507</v>
      </c>
      <c r="D22162" s="4">
        <f>DATE(2014,6,12)</f>
        <v>41802</v>
      </c>
      <c r="E22162" s="5">
        <f t="shared" si="369"/>
        <v>2014</v>
      </c>
      <c r="F22162" s="3" t="s">
        <v>3508</v>
      </c>
      <c r="G22162" s="6">
        <v>30158</v>
      </c>
      <c r="H22162" s="5">
        <v>6126</v>
      </c>
    </row>
    <row r="22163" spans="2:8" ht="15" customHeight="1" x14ac:dyDescent="0.4">
      <c r="B22163" t="s">
        <v>7</v>
      </c>
      <c r="C22163" t="s">
        <v>3509</v>
      </c>
      <c r="D22163" s="7">
        <f>DATE(2010,3,18)</f>
        <v>40255</v>
      </c>
      <c r="E22163" s="8">
        <f t="shared" si="369"/>
        <v>2010</v>
      </c>
      <c r="F22163" t="s">
        <v>3510</v>
      </c>
      <c r="G22163" s="9">
        <v>32900</v>
      </c>
      <c r="H22163" s="8">
        <v>9621</v>
      </c>
    </row>
    <row r="22164" spans="2:8" ht="15" customHeight="1" x14ac:dyDescent="0.4">
      <c r="B22164" t="s">
        <v>7</v>
      </c>
      <c r="C22164" t="s">
        <v>3509</v>
      </c>
      <c r="D22164" s="7">
        <f>DATE(2010,4,12)</f>
        <v>40280</v>
      </c>
      <c r="E22164" s="8">
        <f t="shared" si="369"/>
        <v>2010</v>
      </c>
      <c r="F22164" t="s">
        <v>3510</v>
      </c>
      <c r="G22164" s="9">
        <v>79010.75</v>
      </c>
      <c r="H22164" s="8">
        <v>9635</v>
      </c>
    </row>
    <row r="22165" spans="2:8" ht="15" customHeight="1" x14ac:dyDescent="0.4">
      <c r="B22165" t="s">
        <v>7</v>
      </c>
      <c r="C22165" t="s">
        <v>3509</v>
      </c>
      <c r="D22165" s="7">
        <f>DATE(2010,7,19)</f>
        <v>40378</v>
      </c>
      <c r="E22165" s="8">
        <f t="shared" si="369"/>
        <v>2010</v>
      </c>
      <c r="F22165" t="s">
        <v>3510</v>
      </c>
      <c r="G22165" s="9">
        <v>13017.87</v>
      </c>
      <c r="H22165" s="8">
        <v>9981</v>
      </c>
    </row>
    <row r="22166" spans="2:8" ht="15" customHeight="1" x14ac:dyDescent="0.4">
      <c r="B22166" t="s">
        <v>7</v>
      </c>
      <c r="C22166" t="s">
        <v>3509</v>
      </c>
      <c r="D22166" s="7">
        <f>DATE(2011,1,5)</f>
        <v>40548</v>
      </c>
      <c r="E22166" s="8">
        <f t="shared" si="369"/>
        <v>2011</v>
      </c>
      <c r="F22166" t="s">
        <v>3510</v>
      </c>
      <c r="G22166" s="9">
        <v>19974.29</v>
      </c>
      <c r="H22166" s="8">
        <v>10340</v>
      </c>
    </row>
    <row r="22167" spans="2:8" ht="15" customHeight="1" x14ac:dyDescent="0.4">
      <c r="B22167" t="s">
        <v>7</v>
      </c>
      <c r="C22167" t="s">
        <v>3509</v>
      </c>
      <c r="D22167" s="7">
        <f>DATE(2011,2,2)</f>
        <v>40576</v>
      </c>
      <c r="E22167" s="8">
        <f t="shared" si="369"/>
        <v>2011</v>
      </c>
      <c r="F22167" t="s">
        <v>3510</v>
      </c>
      <c r="G22167" s="9">
        <v>14209</v>
      </c>
      <c r="H22167" s="8">
        <v>10393</v>
      </c>
    </row>
    <row r="22168" spans="2:8" ht="15" customHeight="1" x14ac:dyDescent="0.4">
      <c r="B22168" t="s">
        <v>7</v>
      </c>
      <c r="C22168" t="s">
        <v>3509</v>
      </c>
      <c r="D22168" s="7">
        <f>DATE(2012,6,7)</f>
        <v>41067</v>
      </c>
      <c r="E22168" s="8">
        <f t="shared" si="369"/>
        <v>2012</v>
      </c>
      <c r="F22168" t="s">
        <v>3510</v>
      </c>
      <c r="G22168" s="9">
        <v>14395.73</v>
      </c>
      <c r="H22168" s="8">
        <v>11688</v>
      </c>
    </row>
    <row r="22169" spans="2:8" ht="15" customHeight="1" x14ac:dyDescent="0.4">
      <c r="B22169" s="3" t="s">
        <v>7</v>
      </c>
      <c r="C22169" s="3" t="s">
        <v>3509</v>
      </c>
      <c r="D22169" s="4">
        <f>DATE(2003,1,27)</f>
        <v>37648</v>
      </c>
      <c r="E22169" s="5">
        <f t="shared" si="369"/>
        <v>2003</v>
      </c>
      <c r="F22169" s="3" t="s">
        <v>3510</v>
      </c>
      <c r="G22169" s="6">
        <v>4079.82</v>
      </c>
      <c r="H22169" s="5">
        <v>138</v>
      </c>
    </row>
    <row r="22170" spans="2:8" ht="15" customHeight="1" x14ac:dyDescent="0.4">
      <c r="B22170" s="3" t="s">
        <v>7</v>
      </c>
      <c r="C22170" s="3" t="s">
        <v>3509</v>
      </c>
      <c r="D22170" s="4">
        <f>DATE(2011,8,8)</f>
        <v>40763</v>
      </c>
      <c r="E22170" s="5">
        <f t="shared" si="369"/>
        <v>2011</v>
      </c>
      <c r="F22170" s="3" t="s">
        <v>3510</v>
      </c>
      <c r="G22170" s="6">
        <v>661.5</v>
      </c>
      <c r="H22170" s="5">
        <v>15847</v>
      </c>
    </row>
    <row r="22171" spans="2:8" ht="15" customHeight="1" x14ac:dyDescent="0.4">
      <c r="B22171" s="3" t="s">
        <v>7</v>
      </c>
      <c r="C22171" s="3" t="s">
        <v>3509</v>
      </c>
      <c r="D22171" s="4">
        <f>DATE(2012,6,11)</f>
        <v>41071</v>
      </c>
      <c r="E22171" s="5">
        <f t="shared" si="369"/>
        <v>2012</v>
      </c>
      <c r="F22171" s="3" t="s">
        <v>3510</v>
      </c>
      <c r="G22171" s="6">
        <v>1323</v>
      </c>
      <c r="H22171" s="5">
        <v>17251</v>
      </c>
    </row>
    <row r="22172" spans="2:8" ht="15" customHeight="1" x14ac:dyDescent="0.4">
      <c r="B22172" s="3" t="s">
        <v>7</v>
      </c>
      <c r="C22172" s="3" t="s">
        <v>3509</v>
      </c>
      <c r="D22172" s="4">
        <f>DATE(2012,7,18)</f>
        <v>41108</v>
      </c>
      <c r="E22172" s="5">
        <f t="shared" si="369"/>
        <v>2012</v>
      </c>
      <c r="F22172" s="3" t="s">
        <v>3510</v>
      </c>
      <c r="G22172" s="6">
        <v>1323</v>
      </c>
      <c r="H22172" s="5">
        <v>17363</v>
      </c>
    </row>
    <row r="22173" spans="2:8" ht="15" customHeight="1" x14ac:dyDescent="0.4">
      <c r="B22173" t="s">
        <v>7</v>
      </c>
      <c r="C22173" t="s">
        <v>3511</v>
      </c>
      <c r="D22173" s="7">
        <f>DATE(2007,5,2)</f>
        <v>39204</v>
      </c>
      <c r="E22173" s="8">
        <f t="shared" si="369"/>
        <v>2007</v>
      </c>
      <c r="F22173" t="s">
        <v>3512</v>
      </c>
      <c r="G22173" s="9">
        <v>10688.21</v>
      </c>
      <c r="H22173" s="8">
        <v>5558</v>
      </c>
    </row>
    <row r="22174" spans="2:8" ht="15" customHeight="1" x14ac:dyDescent="0.4">
      <c r="B22174" t="s">
        <v>7</v>
      </c>
      <c r="C22174" t="s">
        <v>3480</v>
      </c>
      <c r="D22174" s="7">
        <f>DATE(2012,9,27)</f>
        <v>41179</v>
      </c>
      <c r="E22174" s="8">
        <f t="shared" si="369"/>
        <v>2012</v>
      </c>
      <c r="F22174" t="s">
        <v>3513</v>
      </c>
      <c r="G22174" s="9">
        <v>58346.96</v>
      </c>
      <c r="H22174" s="8">
        <v>10395</v>
      </c>
    </row>
    <row r="22175" spans="2:8" ht="15" customHeight="1" x14ac:dyDescent="0.4">
      <c r="B22175" t="s">
        <v>7</v>
      </c>
      <c r="C22175" t="s">
        <v>3480</v>
      </c>
      <c r="D22175" s="7">
        <f>DATE(2008,11,27)</f>
        <v>39779</v>
      </c>
      <c r="E22175" s="8">
        <f t="shared" si="369"/>
        <v>2008</v>
      </c>
      <c r="F22175" t="s">
        <v>3513</v>
      </c>
      <c r="G22175" s="9">
        <v>20089.04</v>
      </c>
      <c r="H22175" s="8">
        <v>8054</v>
      </c>
    </row>
    <row r="22176" spans="2:8" ht="15" customHeight="1" x14ac:dyDescent="0.4">
      <c r="B22176" t="s">
        <v>7</v>
      </c>
      <c r="C22176" t="s">
        <v>3480</v>
      </c>
      <c r="D22176" s="7">
        <f>DATE(2008,12,8)</f>
        <v>39790</v>
      </c>
      <c r="E22176" s="8">
        <f t="shared" si="369"/>
        <v>2008</v>
      </c>
      <c r="F22176" t="s">
        <v>3513</v>
      </c>
      <c r="G22176" s="9">
        <v>21888.78</v>
      </c>
      <c r="H22176" s="8">
        <v>8077</v>
      </c>
    </row>
    <row r="22177" spans="2:8" ht="15" customHeight="1" x14ac:dyDescent="0.4">
      <c r="B22177" t="s">
        <v>7</v>
      </c>
      <c r="C22177" t="s">
        <v>3480</v>
      </c>
      <c r="D22177" s="7">
        <f>DATE(2009,1,1)</f>
        <v>39814</v>
      </c>
      <c r="E22177" s="8">
        <f t="shared" si="369"/>
        <v>2009</v>
      </c>
      <c r="F22177" t="s">
        <v>3513</v>
      </c>
      <c r="G22177" s="9">
        <v>23614.67</v>
      </c>
      <c r="H22177" s="8">
        <v>8148</v>
      </c>
    </row>
    <row r="22178" spans="2:8" ht="15" customHeight="1" x14ac:dyDescent="0.4">
      <c r="B22178" t="s">
        <v>7</v>
      </c>
      <c r="C22178" t="s">
        <v>3480</v>
      </c>
      <c r="D22178" s="7">
        <f>DATE(2009,1,21)</f>
        <v>39834</v>
      </c>
      <c r="E22178" s="8">
        <f t="shared" si="369"/>
        <v>2009</v>
      </c>
      <c r="F22178" t="s">
        <v>3513</v>
      </c>
      <c r="G22178" s="9">
        <v>12141.27</v>
      </c>
      <c r="H22178" s="8">
        <v>8251</v>
      </c>
    </row>
    <row r="22179" spans="2:8" ht="15" customHeight="1" x14ac:dyDescent="0.4">
      <c r="B22179" t="s">
        <v>7</v>
      </c>
      <c r="C22179" t="s">
        <v>3480</v>
      </c>
      <c r="D22179" s="7">
        <f>DATE(2009,4,23)</f>
        <v>39926</v>
      </c>
      <c r="E22179" s="8">
        <f t="shared" si="369"/>
        <v>2009</v>
      </c>
      <c r="F22179" t="s">
        <v>3513</v>
      </c>
      <c r="G22179" s="9">
        <v>12570.26</v>
      </c>
      <c r="H22179" s="8">
        <v>8611</v>
      </c>
    </row>
    <row r="22180" spans="2:8" ht="15" customHeight="1" x14ac:dyDescent="0.4">
      <c r="B22180" t="s">
        <v>7</v>
      </c>
      <c r="C22180" t="s">
        <v>3480</v>
      </c>
      <c r="D22180" s="7">
        <f>DATE(2009,4,28)</f>
        <v>39931</v>
      </c>
      <c r="E22180" s="8">
        <f t="shared" si="369"/>
        <v>2009</v>
      </c>
      <c r="F22180" t="s">
        <v>3513</v>
      </c>
      <c r="G22180" s="9">
        <v>5161.5</v>
      </c>
      <c r="H22180" s="8">
        <v>8597</v>
      </c>
    </row>
    <row r="22181" spans="2:8" ht="15" customHeight="1" x14ac:dyDescent="0.4">
      <c r="B22181" t="s">
        <v>7</v>
      </c>
      <c r="C22181" t="s">
        <v>3480</v>
      </c>
      <c r="D22181" s="7">
        <f>DATE(2009,7,23)</f>
        <v>40017</v>
      </c>
      <c r="E22181" s="8">
        <f t="shared" si="369"/>
        <v>2009</v>
      </c>
      <c r="F22181" t="s">
        <v>3513</v>
      </c>
      <c r="G22181" s="9">
        <v>16942.43</v>
      </c>
      <c r="H22181" s="8">
        <v>8891</v>
      </c>
    </row>
    <row r="22182" spans="2:8" ht="15" customHeight="1" x14ac:dyDescent="0.4">
      <c r="B22182" t="s">
        <v>7</v>
      </c>
      <c r="C22182" t="s">
        <v>3480</v>
      </c>
      <c r="D22182" s="7">
        <f>DATE(2009,9,4)</f>
        <v>40060</v>
      </c>
      <c r="E22182" s="8">
        <f t="shared" si="369"/>
        <v>2009</v>
      </c>
      <c r="F22182" t="s">
        <v>3513</v>
      </c>
      <c r="G22182" s="9">
        <v>12494.71</v>
      </c>
      <c r="H22182" s="8">
        <v>9012</v>
      </c>
    </row>
    <row r="22183" spans="2:8" ht="15" customHeight="1" x14ac:dyDescent="0.4">
      <c r="B22183" t="s">
        <v>7</v>
      </c>
      <c r="C22183" t="s">
        <v>3480</v>
      </c>
      <c r="D22183" s="7">
        <f>DATE(2010,3,10)</f>
        <v>40247</v>
      </c>
      <c r="E22183" s="8">
        <f t="shared" si="369"/>
        <v>2010</v>
      </c>
      <c r="F22183" t="s">
        <v>3513</v>
      </c>
      <c r="G22183" s="9">
        <v>15594.81</v>
      </c>
      <c r="H22183" s="8">
        <v>9546</v>
      </c>
    </row>
    <row r="22184" spans="2:8" ht="15" customHeight="1" x14ac:dyDescent="0.4">
      <c r="B22184" t="s">
        <v>7</v>
      </c>
      <c r="C22184" t="s">
        <v>3480</v>
      </c>
      <c r="D22184" s="7">
        <f>DATE(2010,4,12)</f>
        <v>40280</v>
      </c>
      <c r="E22184" s="8">
        <f t="shared" si="369"/>
        <v>2010</v>
      </c>
      <c r="F22184" t="s">
        <v>3513</v>
      </c>
      <c r="G22184" s="9">
        <v>14150.71</v>
      </c>
      <c r="H22184" s="8">
        <v>9668</v>
      </c>
    </row>
    <row r="22185" spans="2:8" ht="15" customHeight="1" x14ac:dyDescent="0.4">
      <c r="B22185" t="s">
        <v>7</v>
      </c>
      <c r="C22185" t="s">
        <v>3480</v>
      </c>
      <c r="D22185" s="7">
        <f>DATE(2010,5,3)</f>
        <v>40301</v>
      </c>
      <c r="E22185" s="8">
        <f t="shared" si="369"/>
        <v>2010</v>
      </c>
      <c r="F22185" t="s">
        <v>3513</v>
      </c>
      <c r="G22185" s="9">
        <v>5549.99</v>
      </c>
      <c r="H22185" s="8">
        <v>9774</v>
      </c>
    </row>
    <row r="22186" spans="2:8" ht="15" customHeight="1" x14ac:dyDescent="0.4">
      <c r="B22186" t="s">
        <v>7</v>
      </c>
      <c r="C22186" t="s">
        <v>3480</v>
      </c>
      <c r="D22186" s="7">
        <f>DATE(2010,7,1)</f>
        <v>40360</v>
      </c>
      <c r="E22186" s="8">
        <f t="shared" si="369"/>
        <v>2010</v>
      </c>
      <c r="F22186" t="s">
        <v>3513</v>
      </c>
      <c r="G22186" s="9">
        <v>7363.04</v>
      </c>
      <c r="H22186" s="8">
        <v>9921</v>
      </c>
    </row>
    <row r="22187" spans="2:8" ht="15" customHeight="1" x14ac:dyDescent="0.4">
      <c r="B22187" t="s">
        <v>7</v>
      </c>
      <c r="C22187" t="s">
        <v>3480</v>
      </c>
      <c r="D22187" s="7">
        <f>DATE(2010,7,30)</f>
        <v>40389</v>
      </c>
      <c r="E22187" s="8">
        <f t="shared" si="369"/>
        <v>2010</v>
      </c>
      <c r="F22187" t="s">
        <v>3513</v>
      </c>
      <c r="G22187" s="9">
        <v>6750.87</v>
      </c>
      <c r="H22187" s="8">
        <v>9992</v>
      </c>
    </row>
    <row r="22188" spans="2:8" ht="15" customHeight="1" x14ac:dyDescent="0.4">
      <c r="B22188" t="s">
        <v>7</v>
      </c>
      <c r="C22188" t="s">
        <v>3480</v>
      </c>
      <c r="D22188" s="7">
        <f>DATE(2010,8,27)</f>
        <v>40417</v>
      </c>
      <c r="E22188" s="8">
        <f t="shared" si="369"/>
        <v>2010</v>
      </c>
      <c r="F22188" t="s">
        <v>3513</v>
      </c>
      <c r="G22188" s="9">
        <v>13852.78</v>
      </c>
      <c r="H22188" s="8">
        <v>10020</v>
      </c>
    </row>
    <row r="22189" spans="2:8" ht="15" customHeight="1" x14ac:dyDescent="0.4">
      <c r="B22189" t="s">
        <v>7</v>
      </c>
      <c r="C22189" t="s">
        <v>3480</v>
      </c>
      <c r="D22189" s="7">
        <f>DATE(2010,9,30)</f>
        <v>40451</v>
      </c>
      <c r="E22189" s="8">
        <f t="shared" si="369"/>
        <v>2010</v>
      </c>
      <c r="F22189" t="s">
        <v>3513</v>
      </c>
      <c r="G22189" s="9">
        <v>13250.56</v>
      </c>
      <c r="H22189" s="8">
        <v>10149</v>
      </c>
    </row>
    <row r="22190" spans="2:8" ht="15" customHeight="1" x14ac:dyDescent="0.4">
      <c r="B22190" t="s">
        <v>7</v>
      </c>
      <c r="C22190" t="s">
        <v>3480</v>
      </c>
      <c r="D22190" s="7">
        <f>DATE(2010,10,20)</f>
        <v>40471</v>
      </c>
      <c r="E22190" s="8">
        <f t="shared" si="369"/>
        <v>2010</v>
      </c>
      <c r="F22190" t="s">
        <v>3513</v>
      </c>
      <c r="G22190" s="9">
        <v>13324.95</v>
      </c>
      <c r="H22190" s="8">
        <v>10168</v>
      </c>
    </row>
    <row r="22191" spans="2:8" ht="15" customHeight="1" x14ac:dyDescent="0.4">
      <c r="B22191" t="s">
        <v>7</v>
      </c>
      <c r="C22191" t="s">
        <v>3480</v>
      </c>
      <c r="D22191" s="7">
        <f>DATE(2011,1,11)</f>
        <v>40554</v>
      </c>
      <c r="E22191" s="8">
        <f t="shared" si="369"/>
        <v>2011</v>
      </c>
      <c r="F22191" t="s">
        <v>3513</v>
      </c>
      <c r="G22191" s="9">
        <v>1738.54</v>
      </c>
      <c r="H22191" s="8">
        <v>10331</v>
      </c>
    </row>
    <row r="22192" spans="2:8" ht="15" customHeight="1" x14ac:dyDescent="0.4">
      <c r="B22192" t="s">
        <v>7</v>
      </c>
      <c r="C22192" t="s">
        <v>3480</v>
      </c>
      <c r="D22192" s="7">
        <f>DATE(2011,8,30)</f>
        <v>40785</v>
      </c>
      <c r="E22192" s="8">
        <f t="shared" si="369"/>
        <v>2011</v>
      </c>
      <c r="F22192" t="s">
        <v>3513</v>
      </c>
      <c r="G22192" s="9">
        <v>21850.32</v>
      </c>
      <c r="H22192" s="8">
        <v>10861</v>
      </c>
    </row>
    <row r="22193" spans="2:8" ht="15" customHeight="1" x14ac:dyDescent="0.4">
      <c r="B22193" t="s">
        <v>7</v>
      </c>
      <c r="C22193" t="s">
        <v>3480</v>
      </c>
      <c r="D22193" s="7">
        <f>DATE(2012,3,15)</f>
        <v>40983</v>
      </c>
      <c r="E22193" s="8">
        <f t="shared" si="369"/>
        <v>2012</v>
      </c>
      <c r="F22193" t="s">
        <v>3513</v>
      </c>
      <c r="G22193" s="9">
        <v>14388.64</v>
      </c>
      <c r="H22193" s="8">
        <v>11406</v>
      </c>
    </row>
    <row r="22194" spans="2:8" ht="15" customHeight="1" x14ac:dyDescent="0.4">
      <c r="B22194" s="3" t="s">
        <v>7</v>
      </c>
      <c r="C22194" s="3" t="s">
        <v>3480</v>
      </c>
      <c r="D22194" s="4">
        <f>DATE(2003,8,25)</f>
        <v>37858</v>
      </c>
      <c r="E22194" s="5">
        <f t="shared" si="369"/>
        <v>2003</v>
      </c>
      <c r="F22194" s="3" t="s">
        <v>3513</v>
      </c>
      <c r="G22194" s="6">
        <v>9000</v>
      </c>
      <c r="H22194" s="5">
        <v>1179</v>
      </c>
    </row>
    <row r="22195" spans="2:8" ht="15" customHeight="1" x14ac:dyDescent="0.4">
      <c r="B22195" s="3" t="s">
        <v>7</v>
      </c>
      <c r="C22195" s="3" t="s">
        <v>3480</v>
      </c>
      <c r="D22195" s="4">
        <f>DATE(2003,8,26)</f>
        <v>37859</v>
      </c>
      <c r="E22195" s="5">
        <f t="shared" si="369"/>
        <v>2003</v>
      </c>
      <c r="F22195" s="3" t="s">
        <v>3513</v>
      </c>
      <c r="G22195" s="6">
        <v>23750</v>
      </c>
      <c r="H22195" s="5">
        <v>1179</v>
      </c>
    </row>
    <row r="22196" spans="2:8" ht="15" customHeight="1" x14ac:dyDescent="0.4">
      <c r="B22196" s="3" t="s">
        <v>7</v>
      </c>
      <c r="C22196" s="3" t="s">
        <v>3480</v>
      </c>
      <c r="D22196" s="4">
        <f>DATE(2004,6,22)</f>
        <v>38160</v>
      </c>
      <c r="E22196" s="5">
        <f t="shared" si="369"/>
        <v>2004</v>
      </c>
      <c r="F22196" s="3" t="s">
        <v>3513</v>
      </c>
      <c r="G22196" s="6">
        <v>175</v>
      </c>
      <c r="H22196" s="5">
        <v>2848</v>
      </c>
    </row>
    <row r="22197" spans="2:8" ht="15" customHeight="1" x14ac:dyDescent="0.4">
      <c r="B22197" s="3" t="s">
        <v>7</v>
      </c>
      <c r="C22197" s="3" t="s">
        <v>3480</v>
      </c>
      <c r="D22197" s="4">
        <f>DATE(2005,9,27)</f>
        <v>38622</v>
      </c>
      <c r="E22197" s="5">
        <f t="shared" si="369"/>
        <v>2005</v>
      </c>
      <c r="F22197" s="3" t="s">
        <v>3513</v>
      </c>
      <c r="G22197" s="6">
        <v>35250</v>
      </c>
      <c r="H22197" s="5">
        <v>5257</v>
      </c>
    </row>
    <row r="22198" spans="2:8" ht="15" customHeight="1" x14ac:dyDescent="0.4">
      <c r="B22198" s="3" t="s">
        <v>7</v>
      </c>
      <c r="C22198" s="3" t="s">
        <v>3480</v>
      </c>
      <c r="D22198" s="4">
        <f>DATE(2006,2,21)</f>
        <v>38769</v>
      </c>
      <c r="E22198" s="5">
        <f t="shared" si="369"/>
        <v>2006</v>
      </c>
      <c r="F22198" s="3" t="s">
        <v>3513</v>
      </c>
      <c r="G22198" s="6">
        <v>87300</v>
      </c>
      <c r="H22198" s="5">
        <v>5756</v>
      </c>
    </row>
    <row r="22199" spans="2:8" ht="15" customHeight="1" x14ac:dyDescent="0.4">
      <c r="B22199" s="3" t="s">
        <v>7</v>
      </c>
      <c r="C22199" s="3" t="s">
        <v>3480</v>
      </c>
      <c r="D22199" s="4">
        <f>DATE(2007,7,6)</f>
        <v>39269</v>
      </c>
      <c r="E22199" s="5">
        <f t="shared" si="369"/>
        <v>2007</v>
      </c>
      <c r="F22199" s="3" t="s">
        <v>3513</v>
      </c>
      <c r="G22199" s="6">
        <v>58900</v>
      </c>
      <c r="H22199" s="5">
        <v>8841</v>
      </c>
    </row>
    <row r="22200" spans="2:8" ht="15" customHeight="1" x14ac:dyDescent="0.4">
      <c r="B22200" s="3" t="s">
        <v>7</v>
      </c>
      <c r="C22200" s="3" t="s">
        <v>3480</v>
      </c>
      <c r="D22200" s="4">
        <f>DATE(2008,1,4)</f>
        <v>39451</v>
      </c>
      <c r="E22200" s="5">
        <f t="shared" si="369"/>
        <v>2008</v>
      </c>
      <c r="F22200" s="3" t="s">
        <v>3513</v>
      </c>
      <c r="G22200" s="6">
        <v>50550</v>
      </c>
      <c r="H22200" s="5">
        <v>9605</v>
      </c>
    </row>
    <row r="22201" spans="2:8" ht="15" customHeight="1" x14ac:dyDescent="0.4">
      <c r="B22201" s="3" t="s">
        <v>7</v>
      </c>
      <c r="C22201" s="3" t="s">
        <v>3480</v>
      </c>
      <c r="D22201" s="4">
        <f>DATE(2008,2,22)</f>
        <v>39500</v>
      </c>
      <c r="E22201" s="5">
        <f t="shared" si="369"/>
        <v>2008</v>
      </c>
      <c r="F22201" s="3" t="s">
        <v>3513</v>
      </c>
      <c r="G22201" s="6">
        <v>43650</v>
      </c>
      <c r="H22201" s="5">
        <v>9898</v>
      </c>
    </row>
    <row r="22202" spans="2:8" ht="15" customHeight="1" x14ac:dyDescent="0.4">
      <c r="B22202" s="3" t="s">
        <v>7</v>
      </c>
      <c r="C22202" s="3" t="s">
        <v>3480</v>
      </c>
      <c r="D22202" s="4">
        <f>DATE(2008,4,29)</f>
        <v>39567</v>
      </c>
      <c r="E22202" s="5">
        <f t="shared" si="369"/>
        <v>2008</v>
      </c>
      <c r="F22202" s="3" t="s">
        <v>3513</v>
      </c>
      <c r="G22202" s="6">
        <v>6150</v>
      </c>
      <c r="H22202" s="5">
        <v>10458</v>
      </c>
    </row>
    <row r="22203" spans="2:8" ht="15" customHeight="1" x14ac:dyDescent="0.4">
      <c r="B22203" s="3" t="s">
        <v>7</v>
      </c>
      <c r="C22203" s="3" t="s">
        <v>3480</v>
      </c>
      <c r="D22203" s="4">
        <f>DATE(2008,6,6)</f>
        <v>39605</v>
      </c>
      <c r="E22203" s="5">
        <f t="shared" si="369"/>
        <v>2008</v>
      </c>
      <c r="F22203" s="3" t="s">
        <v>3513</v>
      </c>
      <c r="G22203" s="6">
        <v>10157.5</v>
      </c>
      <c r="H22203" s="5">
        <v>10139</v>
      </c>
    </row>
    <row r="22204" spans="2:8" ht="15" customHeight="1" x14ac:dyDescent="0.4">
      <c r="B22204" s="3" t="s">
        <v>7</v>
      </c>
      <c r="C22204" s="3" t="s">
        <v>3480</v>
      </c>
      <c r="D22204" s="4">
        <f>DATE(2008,12,10)</f>
        <v>39792</v>
      </c>
      <c r="E22204" s="5">
        <f t="shared" si="369"/>
        <v>2008</v>
      </c>
      <c r="F22204" s="3" t="s">
        <v>3513</v>
      </c>
      <c r="G22204" s="6">
        <v>829</v>
      </c>
      <c r="H22204" s="5">
        <v>11640</v>
      </c>
    </row>
    <row r="22205" spans="2:8" ht="15" customHeight="1" x14ac:dyDescent="0.4">
      <c r="B22205" s="3" t="s">
        <v>7</v>
      </c>
      <c r="C22205" s="3" t="s">
        <v>3480</v>
      </c>
      <c r="D22205" s="4">
        <f>DATE(2008,12,29)</f>
        <v>39811</v>
      </c>
      <c r="E22205" s="5">
        <f t="shared" si="369"/>
        <v>2008</v>
      </c>
      <c r="F22205" s="3" t="s">
        <v>3513</v>
      </c>
      <c r="G22205" s="6">
        <v>2787.5</v>
      </c>
      <c r="H22205" s="5">
        <v>11670</v>
      </c>
    </row>
    <row r="22206" spans="2:8" ht="15" customHeight="1" x14ac:dyDescent="0.4">
      <c r="B22206" s="3" t="s">
        <v>7</v>
      </c>
      <c r="C22206" s="3" t="s">
        <v>3480</v>
      </c>
      <c r="D22206" s="4">
        <f>DATE(2009,5,29)</f>
        <v>39962</v>
      </c>
      <c r="E22206" s="5">
        <f t="shared" si="369"/>
        <v>2009</v>
      </c>
      <c r="F22206" s="3" t="s">
        <v>3513</v>
      </c>
      <c r="G22206" s="6">
        <v>1288</v>
      </c>
      <c r="H22206" s="5">
        <v>12607</v>
      </c>
    </row>
    <row r="22207" spans="2:8" ht="15" customHeight="1" x14ac:dyDescent="0.4">
      <c r="B22207" s="3" t="s">
        <v>7</v>
      </c>
      <c r="C22207" s="3" t="s">
        <v>3480</v>
      </c>
      <c r="D22207" s="4">
        <f>DATE(2009,6,22)</f>
        <v>39986</v>
      </c>
      <c r="E22207" s="5">
        <f t="shared" si="369"/>
        <v>2009</v>
      </c>
      <c r="F22207" s="3" t="s">
        <v>3513</v>
      </c>
      <c r="G22207" s="6">
        <v>3398.48</v>
      </c>
      <c r="H22207" s="5">
        <v>12647</v>
      </c>
    </row>
    <row r="22208" spans="2:8" ht="15" customHeight="1" x14ac:dyDescent="0.4">
      <c r="B22208" s="3" t="s">
        <v>7</v>
      </c>
      <c r="C22208" s="3" t="s">
        <v>3480</v>
      </c>
      <c r="D22208" s="4">
        <f>DATE(2009,6,22)</f>
        <v>39986</v>
      </c>
      <c r="E22208" s="5">
        <f t="shared" si="369"/>
        <v>2009</v>
      </c>
      <c r="F22208" s="3" t="s">
        <v>3513</v>
      </c>
      <c r="G22208" s="6">
        <v>82200</v>
      </c>
      <c r="H22208" s="5">
        <v>12656</v>
      </c>
    </row>
    <row r="22209" spans="2:8" ht="15" customHeight="1" x14ac:dyDescent="0.4">
      <c r="B22209" s="3" t="s">
        <v>7</v>
      </c>
      <c r="C22209" s="3" t="s">
        <v>3480</v>
      </c>
      <c r="D22209" s="4">
        <f>DATE(2011,6,16)</f>
        <v>40710</v>
      </c>
      <c r="E22209" s="5">
        <f t="shared" si="369"/>
        <v>2011</v>
      </c>
      <c r="F22209" s="3" t="s">
        <v>3513</v>
      </c>
      <c r="G22209" s="6">
        <v>86640</v>
      </c>
      <c r="H22209" s="5">
        <v>15616</v>
      </c>
    </row>
    <row r="22210" spans="2:8" ht="15" customHeight="1" x14ac:dyDescent="0.4">
      <c r="B22210" s="3" t="s">
        <v>7</v>
      </c>
      <c r="C22210" s="3" t="s">
        <v>3480</v>
      </c>
      <c r="D22210" s="4">
        <f>DATE(2004,7,24)</f>
        <v>38192</v>
      </c>
      <c r="E22210" s="5">
        <f t="shared" si="369"/>
        <v>2004</v>
      </c>
      <c r="F22210" s="3" t="s">
        <v>3513</v>
      </c>
      <c r="G22210" s="6">
        <v>3264</v>
      </c>
      <c r="H22210" s="5">
        <v>3235</v>
      </c>
    </row>
    <row r="22211" spans="2:8" ht="15" customHeight="1" x14ac:dyDescent="0.4">
      <c r="B22211" t="s">
        <v>7</v>
      </c>
      <c r="C22211" t="s">
        <v>3514</v>
      </c>
      <c r="D22211" s="7">
        <f>DATE(2007,1,3)</f>
        <v>39085</v>
      </c>
      <c r="E22211" s="8">
        <f t="shared" ref="E22211:E22274" si="370">YEAR(D22211)</f>
        <v>2007</v>
      </c>
      <c r="F22211" t="s">
        <v>3515</v>
      </c>
      <c r="G22211" s="9">
        <v>4872.1499999999996</v>
      </c>
      <c r="H22211" s="8">
        <v>5335</v>
      </c>
    </row>
    <row r="22212" spans="2:8" ht="15" customHeight="1" x14ac:dyDescent="0.4">
      <c r="B22212" t="s">
        <v>7</v>
      </c>
      <c r="C22212" t="s">
        <v>3516</v>
      </c>
      <c r="D22212" s="7">
        <f>DATE(2011,2,24)</f>
        <v>40598</v>
      </c>
      <c r="E22212" s="8">
        <f t="shared" si="370"/>
        <v>2011</v>
      </c>
      <c r="F22212" t="s">
        <v>3517</v>
      </c>
      <c r="G22212" s="9">
        <v>5026.82</v>
      </c>
      <c r="H22212" s="8">
        <v>10439</v>
      </c>
    </row>
    <row r="22213" spans="2:8" ht="15" customHeight="1" x14ac:dyDescent="0.4">
      <c r="B22213" t="s">
        <v>7</v>
      </c>
      <c r="C22213" t="s">
        <v>3518</v>
      </c>
      <c r="D22213" s="7">
        <f>DATE(2010,6,8)</f>
        <v>40337</v>
      </c>
      <c r="E22213" s="8">
        <f t="shared" si="370"/>
        <v>2010</v>
      </c>
      <c r="F22213" t="s">
        <v>3519</v>
      </c>
      <c r="G22213" s="9">
        <v>1633.06</v>
      </c>
      <c r="H22213" s="8">
        <v>9866</v>
      </c>
    </row>
    <row r="22214" spans="2:8" ht="15" customHeight="1" x14ac:dyDescent="0.4">
      <c r="B22214" s="3" t="s">
        <v>7</v>
      </c>
      <c r="C22214" s="3" t="s">
        <v>3518</v>
      </c>
      <c r="D22214" s="4">
        <f>DATE(2010,6,8)</f>
        <v>40337</v>
      </c>
      <c r="E22214" s="5">
        <f t="shared" si="370"/>
        <v>2010</v>
      </c>
      <c r="F22214" s="3" t="s">
        <v>3519</v>
      </c>
      <c r="G22214" s="6">
        <v>865</v>
      </c>
      <c r="H22214" s="5">
        <v>14064</v>
      </c>
    </row>
    <row r="22215" spans="2:8" ht="15" customHeight="1" x14ac:dyDescent="0.4">
      <c r="B22215" t="s">
        <v>7</v>
      </c>
      <c r="C22215" t="s">
        <v>3520</v>
      </c>
      <c r="D22215" s="7">
        <f>DATE(2015,4,30)</f>
        <v>42124</v>
      </c>
      <c r="E22215" s="8">
        <f t="shared" si="370"/>
        <v>2015</v>
      </c>
      <c r="F22215" t="s">
        <v>3521</v>
      </c>
      <c r="G22215" s="9">
        <v>52276.99</v>
      </c>
      <c r="H22215" s="8">
        <v>379</v>
      </c>
    </row>
    <row r="22216" spans="2:8" ht="15" customHeight="1" x14ac:dyDescent="0.4">
      <c r="B22216" t="s">
        <v>7</v>
      </c>
      <c r="C22216" t="s">
        <v>3520</v>
      </c>
      <c r="D22216" s="7">
        <f>DATE(2015,4,30)</f>
        <v>42124</v>
      </c>
      <c r="E22216" s="8">
        <f t="shared" si="370"/>
        <v>2015</v>
      </c>
      <c r="F22216" t="s">
        <v>3521</v>
      </c>
      <c r="G22216" s="9">
        <v>12872.44</v>
      </c>
      <c r="H22216" s="8">
        <v>380</v>
      </c>
    </row>
    <row r="22217" spans="2:8" ht="15" customHeight="1" x14ac:dyDescent="0.4">
      <c r="B22217" t="s">
        <v>7</v>
      </c>
      <c r="C22217" t="s">
        <v>3520</v>
      </c>
      <c r="D22217" s="7">
        <f>DATE(2015,5,20)</f>
        <v>42144</v>
      </c>
      <c r="E22217" s="8">
        <f t="shared" si="370"/>
        <v>2015</v>
      </c>
      <c r="F22217" t="s">
        <v>3521</v>
      </c>
      <c r="G22217" s="9">
        <v>38634.230000000003</v>
      </c>
      <c r="H22217" s="8">
        <v>377</v>
      </c>
    </row>
    <row r="22218" spans="2:8" ht="15" customHeight="1" x14ac:dyDescent="0.4">
      <c r="B22218" t="s">
        <v>7</v>
      </c>
      <c r="C22218" t="s">
        <v>3520</v>
      </c>
      <c r="D22218" s="7">
        <f>DATE(2015,5,20)</f>
        <v>42144</v>
      </c>
      <c r="E22218" s="8">
        <f t="shared" si="370"/>
        <v>2015</v>
      </c>
      <c r="F22218" t="s">
        <v>3521</v>
      </c>
      <c r="G22218" s="9">
        <v>17312.25</v>
      </c>
      <c r="H22218" s="8">
        <v>378</v>
      </c>
    </row>
    <row r="22219" spans="2:8" ht="15" customHeight="1" x14ac:dyDescent="0.4">
      <c r="B22219" t="s">
        <v>7</v>
      </c>
      <c r="C22219" t="s">
        <v>3520</v>
      </c>
      <c r="D22219" s="7">
        <f>DATE(2016,3,7)</f>
        <v>42436</v>
      </c>
      <c r="E22219" s="8">
        <f t="shared" si="370"/>
        <v>2016</v>
      </c>
      <c r="F22219" t="s">
        <v>3521</v>
      </c>
      <c r="G22219" s="9">
        <v>52830.63</v>
      </c>
      <c r="H22219" s="8">
        <v>22110</v>
      </c>
    </row>
    <row r="22220" spans="2:8" ht="15" customHeight="1" x14ac:dyDescent="0.4">
      <c r="B22220" t="s">
        <v>7</v>
      </c>
      <c r="C22220" t="s">
        <v>3520</v>
      </c>
      <c r="D22220" s="7">
        <f>DATE(2016,7,19)</f>
        <v>42570</v>
      </c>
      <c r="E22220" s="8">
        <f t="shared" si="370"/>
        <v>2016</v>
      </c>
      <c r="F22220" t="s">
        <v>3521</v>
      </c>
      <c r="G22220" s="9">
        <v>99208.13</v>
      </c>
      <c r="H22220" s="8">
        <v>23091</v>
      </c>
    </row>
    <row r="22221" spans="2:8" ht="15" customHeight="1" x14ac:dyDescent="0.4">
      <c r="B22221" t="s">
        <v>7</v>
      </c>
      <c r="C22221" t="s">
        <v>3520</v>
      </c>
      <c r="D22221" s="7">
        <f>DATE(2016,10,13)</f>
        <v>42656</v>
      </c>
      <c r="E22221" s="8">
        <f t="shared" si="370"/>
        <v>2016</v>
      </c>
      <c r="F22221" t="s">
        <v>3521</v>
      </c>
      <c r="G22221" s="9">
        <v>30157.41</v>
      </c>
      <c r="H22221" s="8">
        <v>23371</v>
      </c>
    </row>
    <row r="22222" spans="2:8" ht="15" customHeight="1" x14ac:dyDescent="0.4">
      <c r="B22222" t="s">
        <v>7</v>
      </c>
      <c r="C22222" t="s">
        <v>3520</v>
      </c>
      <c r="D22222" s="7">
        <f>DATE(2017,4,25)</f>
        <v>42850</v>
      </c>
      <c r="E22222" s="8">
        <f t="shared" si="370"/>
        <v>2017</v>
      </c>
      <c r="F22222" t="s">
        <v>3521</v>
      </c>
      <c r="G22222" s="9">
        <v>44471.55</v>
      </c>
      <c r="H22222" s="8">
        <v>24594</v>
      </c>
    </row>
    <row r="22223" spans="2:8" ht="15" customHeight="1" x14ac:dyDescent="0.4">
      <c r="B22223" t="s">
        <v>7</v>
      </c>
      <c r="C22223" t="s">
        <v>3520</v>
      </c>
      <c r="D22223" s="7">
        <f>DATE(2018,1,17)</f>
        <v>43117</v>
      </c>
      <c r="E22223" s="8">
        <f t="shared" si="370"/>
        <v>2018</v>
      </c>
      <c r="F22223" t="s">
        <v>3521</v>
      </c>
      <c r="G22223" s="9">
        <v>13987.19</v>
      </c>
      <c r="H22223" s="8">
        <v>26191</v>
      </c>
    </row>
    <row r="22224" spans="2:8" ht="15" customHeight="1" x14ac:dyDescent="0.4">
      <c r="B22224" t="s">
        <v>7</v>
      </c>
      <c r="C22224" t="s">
        <v>3520</v>
      </c>
      <c r="D22224" s="7">
        <f>DATE(2018,10,5)</f>
        <v>43378</v>
      </c>
      <c r="E22224" s="8">
        <f t="shared" si="370"/>
        <v>2018</v>
      </c>
      <c r="F22224" t="s">
        <v>3521</v>
      </c>
      <c r="G22224" s="9">
        <v>23675.84</v>
      </c>
      <c r="H22224" s="8">
        <v>27692</v>
      </c>
    </row>
    <row r="22225" spans="2:8" ht="15" customHeight="1" x14ac:dyDescent="0.4">
      <c r="B22225" t="s">
        <v>7</v>
      </c>
      <c r="C22225" t="s">
        <v>3520</v>
      </c>
      <c r="D22225" s="7">
        <f>DATE(2018,4,19)</f>
        <v>43209</v>
      </c>
      <c r="E22225" s="8">
        <f t="shared" si="370"/>
        <v>2018</v>
      </c>
      <c r="F22225" t="s">
        <v>3521</v>
      </c>
      <c r="G22225" s="9">
        <v>137107.51999999999</v>
      </c>
      <c r="H22225" s="8">
        <v>26506</v>
      </c>
    </row>
    <row r="22226" spans="2:8" ht="15" customHeight="1" x14ac:dyDescent="0.4">
      <c r="B22226" t="s">
        <v>7</v>
      </c>
      <c r="C22226" t="s">
        <v>3520</v>
      </c>
      <c r="D22226" s="7">
        <f>DATE(2018,3,20)</f>
        <v>43179</v>
      </c>
      <c r="E22226" s="8">
        <f t="shared" si="370"/>
        <v>2018</v>
      </c>
      <c r="F22226" t="s">
        <v>3521</v>
      </c>
      <c r="G22226" s="9">
        <v>16500</v>
      </c>
      <c r="H22226" s="8">
        <v>26532</v>
      </c>
    </row>
    <row r="22227" spans="2:8" ht="15" customHeight="1" x14ac:dyDescent="0.4">
      <c r="B22227" t="s">
        <v>7</v>
      </c>
      <c r="C22227" t="s">
        <v>3520</v>
      </c>
      <c r="D22227" s="7">
        <f>DATE(2011,6,6)</f>
        <v>40700</v>
      </c>
      <c r="E22227" s="8">
        <f t="shared" si="370"/>
        <v>2011</v>
      </c>
      <c r="F22227" t="s">
        <v>3521</v>
      </c>
      <c r="G22227" s="9">
        <v>60145.22</v>
      </c>
      <c r="H22227" s="8">
        <v>10608</v>
      </c>
    </row>
    <row r="22228" spans="2:8" ht="15" customHeight="1" x14ac:dyDescent="0.4">
      <c r="B22228" t="s">
        <v>7</v>
      </c>
      <c r="C22228" t="s">
        <v>3520</v>
      </c>
      <c r="D22228" s="7">
        <f>DATE(2012,4,3)</f>
        <v>41002</v>
      </c>
      <c r="E22228" s="8">
        <f t="shared" si="370"/>
        <v>2012</v>
      </c>
      <c r="F22228" t="s">
        <v>3521</v>
      </c>
      <c r="G22228" s="9">
        <v>24719.17</v>
      </c>
      <c r="H22228" s="8">
        <v>11308</v>
      </c>
    </row>
    <row r="22229" spans="2:8" ht="15" customHeight="1" x14ac:dyDescent="0.4">
      <c r="B22229" t="s">
        <v>7</v>
      </c>
      <c r="C22229" t="s">
        <v>3520</v>
      </c>
      <c r="D22229" s="7">
        <f>DATE(2003,1,23)</f>
        <v>37644</v>
      </c>
      <c r="E22229" s="8">
        <f t="shared" si="370"/>
        <v>2003</v>
      </c>
      <c r="F22229" t="s">
        <v>3521</v>
      </c>
      <c r="G22229" s="9">
        <v>9264.86</v>
      </c>
      <c r="H22229" s="8">
        <v>44</v>
      </c>
    </row>
    <row r="22230" spans="2:8" ht="15" customHeight="1" x14ac:dyDescent="0.4">
      <c r="B22230" t="s">
        <v>7</v>
      </c>
      <c r="C22230" t="s">
        <v>3520</v>
      </c>
      <c r="D22230" s="7">
        <f>DATE(2003,6,2)</f>
        <v>37774</v>
      </c>
      <c r="E22230" s="8">
        <f t="shared" si="370"/>
        <v>2003</v>
      </c>
      <c r="F22230" t="s">
        <v>3521</v>
      </c>
      <c r="G22230" s="9">
        <v>7678.24</v>
      </c>
      <c r="H22230" s="8">
        <v>641</v>
      </c>
    </row>
    <row r="22231" spans="2:8" ht="15" customHeight="1" x14ac:dyDescent="0.4">
      <c r="B22231" t="s">
        <v>7</v>
      </c>
      <c r="C22231" t="s">
        <v>3520</v>
      </c>
      <c r="D22231" s="7">
        <f>DATE(2004,1,2)</f>
        <v>37988</v>
      </c>
      <c r="E22231" s="8">
        <f t="shared" si="370"/>
        <v>2004</v>
      </c>
      <c r="F22231" t="s">
        <v>3521</v>
      </c>
      <c r="G22231" s="9">
        <v>13766.76</v>
      </c>
      <c r="H22231" s="8">
        <v>1110</v>
      </c>
    </row>
    <row r="22232" spans="2:8" ht="15" customHeight="1" x14ac:dyDescent="0.4">
      <c r="B22232" t="s">
        <v>7</v>
      </c>
      <c r="C22232" t="s">
        <v>3520</v>
      </c>
      <c r="D22232" s="7">
        <f>DATE(2007,5,9)</f>
        <v>39211</v>
      </c>
      <c r="E22232" s="8">
        <f t="shared" si="370"/>
        <v>2007</v>
      </c>
      <c r="F22232" t="s">
        <v>3521</v>
      </c>
      <c r="G22232" s="9">
        <v>47014.51</v>
      </c>
      <c r="H22232" s="8">
        <v>5497</v>
      </c>
    </row>
    <row r="22233" spans="2:8" ht="15" customHeight="1" x14ac:dyDescent="0.4">
      <c r="B22233" t="s">
        <v>7</v>
      </c>
      <c r="C22233" t="s">
        <v>3520</v>
      </c>
      <c r="D22233" s="7">
        <f>DATE(2009,5,4)</f>
        <v>39937</v>
      </c>
      <c r="E22233" s="8">
        <f t="shared" si="370"/>
        <v>2009</v>
      </c>
      <c r="F22233" t="s">
        <v>3521</v>
      </c>
      <c r="G22233" s="9">
        <v>119206.15</v>
      </c>
      <c r="H22233" s="8">
        <v>8393</v>
      </c>
    </row>
    <row r="22234" spans="2:8" ht="15" customHeight="1" x14ac:dyDescent="0.4">
      <c r="B22234" t="s">
        <v>7</v>
      </c>
      <c r="C22234" t="s">
        <v>3520</v>
      </c>
      <c r="D22234" s="7">
        <f>DATE(2009,6,1)</f>
        <v>39965</v>
      </c>
      <c r="E22234" s="8">
        <f t="shared" si="370"/>
        <v>2009</v>
      </c>
      <c r="F22234" t="s">
        <v>3521</v>
      </c>
      <c r="G22234" s="9">
        <v>114036</v>
      </c>
      <c r="H22234" s="8">
        <v>8394</v>
      </c>
    </row>
    <row r="22235" spans="2:8" ht="15" customHeight="1" x14ac:dyDescent="0.4">
      <c r="B22235" t="s">
        <v>7</v>
      </c>
      <c r="C22235" t="s">
        <v>3520</v>
      </c>
      <c r="D22235" s="7">
        <f>DATE(2010,5,26)</f>
        <v>40324</v>
      </c>
      <c r="E22235" s="8">
        <f t="shared" si="370"/>
        <v>2010</v>
      </c>
      <c r="F22235" t="s">
        <v>3521</v>
      </c>
      <c r="G22235" s="9">
        <v>134424.82999999999</v>
      </c>
      <c r="H22235" s="8">
        <v>8999</v>
      </c>
    </row>
    <row r="22236" spans="2:8" ht="15" customHeight="1" x14ac:dyDescent="0.4">
      <c r="B22236" t="s">
        <v>7</v>
      </c>
      <c r="C22236" t="s">
        <v>3520</v>
      </c>
      <c r="D22236" s="7">
        <f>DATE(2010,5,26)</f>
        <v>40324</v>
      </c>
      <c r="E22236" s="8">
        <f t="shared" si="370"/>
        <v>2010</v>
      </c>
      <c r="F22236" t="s">
        <v>3521</v>
      </c>
      <c r="G22236" s="9">
        <v>134618.73000000001</v>
      </c>
      <c r="H22236" s="8">
        <v>9000</v>
      </c>
    </row>
    <row r="22237" spans="2:8" ht="15" customHeight="1" x14ac:dyDescent="0.4">
      <c r="B22237" t="s">
        <v>7</v>
      </c>
      <c r="C22237" t="s">
        <v>3520</v>
      </c>
      <c r="D22237" s="7">
        <f>DATE(2013,4,5)</f>
        <v>41369</v>
      </c>
      <c r="E22237" s="8">
        <f t="shared" si="370"/>
        <v>2013</v>
      </c>
      <c r="F22237" t="s">
        <v>3521</v>
      </c>
      <c r="G22237" s="9">
        <v>16573.28</v>
      </c>
      <c r="H22237" s="8">
        <v>12291</v>
      </c>
    </row>
    <row r="22238" spans="2:8" ht="15" customHeight="1" x14ac:dyDescent="0.4">
      <c r="B22238" t="s">
        <v>7</v>
      </c>
      <c r="C22238" t="s">
        <v>3520</v>
      </c>
      <c r="D22238" s="7">
        <f>DATE(2013,5,30)</f>
        <v>41424</v>
      </c>
      <c r="E22238" s="8">
        <f t="shared" si="370"/>
        <v>2013</v>
      </c>
      <c r="F22238" t="s">
        <v>3521</v>
      </c>
      <c r="G22238" s="9">
        <v>17763.490000000002</v>
      </c>
      <c r="H22238" s="8">
        <v>12442</v>
      </c>
    </row>
    <row r="22239" spans="2:8" ht="15" customHeight="1" x14ac:dyDescent="0.4">
      <c r="B22239" t="s">
        <v>7</v>
      </c>
      <c r="C22239" t="s">
        <v>3520</v>
      </c>
      <c r="D22239" s="7">
        <f>DATE(2013,5,30)</f>
        <v>41424</v>
      </c>
      <c r="E22239" s="8">
        <f t="shared" si="370"/>
        <v>2013</v>
      </c>
      <c r="F22239" t="s">
        <v>3521</v>
      </c>
      <c r="G22239" s="9">
        <v>41179.64</v>
      </c>
      <c r="H22239" s="8">
        <v>12445</v>
      </c>
    </row>
    <row r="22240" spans="2:8" ht="15" customHeight="1" x14ac:dyDescent="0.4">
      <c r="B22240" t="s">
        <v>7</v>
      </c>
      <c r="C22240" t="s">
        <v>3520</v>
      </c>
      <c r="D22240" s="7">
        <f>DATE(2013,11,21)</f>
        <v>41599</v>
      </c>
      <c r="E22240" s="8">
        <f t="shared" si="370"/>
        <v>2013</v>
      </c>
      <c r="F22240" t="s">
        <v>3521</v>
      </c>
      <c r="G22240" s="9">
        <v>21260.76</v>
      </c>
      <c r="H22240" s="8">
        <v>12786</v>
      </c>
    </row>
    <row r="22241" spans="2:8" ht="15" customHeight="1" x14ac:dyDescent="0.4">
      <c r="B22241" t="s">
        <v>7</v>
      </c>
      <c r="C22241" t="s">
        <v>3520</v>
      </c>
      <c r="D22241" s="7">
        <f>DATE(2014,6,10)</f>
        <v>41800</v>
      </c>
      <c r="E22241" s="8">
        <f t="shared" si="370"/>
        <v>2014</v>
      </c>
      <c r="F22241" t="s">
        <v>3521</v>
      </c>
      <c r="G22241" s="9">
        <v>23538.39</v>
      </c>
      <c r="H22241" s="8">
        <v>13049</v>
      </c>
    </row>
    <row r="22242" spans="2:8" ht="15" customHeight="1" x14ac:dyDescent="0.4">
      <c r="B22242" t="s">
        <v>7</v>
      </c>
      <c r="C22242" t="s">
        <v>3520</v>
      </c>
      <c r="D22242" s="7">
        <f>DATE(2014,6,10)</f>
        <v>41800</v>
      </c>
      <c r="E22242" s="8">
        <f t="shared" si="370"/>
        <v>2014</v>
      </c>
      <c r="F22242" t="s">
        <v>3521</v>
      </c>
      <c r="G22242" s="9">
        <v>11935.67</v>
      </c>
      <c r="H22242" s="8">
        <v>13051</v>
      </c>
    </row>
    <row r="22243" spans="2:8" ht="15" customHeight="1" x14ac:dyDescent="0.4">
      <c r="B22243" t="s">
        <v>7</v>
      </c>
      <c r="C22243" t="s">
        <v>3520</v>
      </c>
      <c r="D22243" s="7">
        <f>DATE(2014,6,10)</f>
        <v>41800</v>
      </c>
      <c r="E22243" s="8">
        <f t="shared" si="370"/>
        <v>2014</v>
      </c>
      <c r="F22243" t="s">
        <v>3521</v>
      </c>
      <c r="G22243" s="9">
        <v>39997.67</v>
      </c>
      <c r="H22243" s="8">
        <v>13180</v>
      </c>
    </row>
    <row r="22244" spans="2:8" ht="15" customHeight="1" x14ac:dyDescent="0.4">
      <c r="B22244" t="s">
        <v>7</v>
      </c>
      <c r="C22244" t="s">
        <v>3520</v>
      </c>
      <c r="D22244" s="7">
        <f>DATE(2014,6,10)</f>
        <v>41800</v>
      </c>
      <c r="E22244" s="8">
        <f t="shared" si="370"/>
        <v>2014</v>
      </c>
      <c r="F22244" t="s">
        <v>3521</v>
      </c>
      <c r="G22244" s="9">
        <v>92689</v>
      </c>
      <c r="H22244" s="8">
        <v>13181</v>
      </c>
    </row>
    <row r="22245" spans="2:8" ht="15" customHeight="1" x14ac:dyDescent="0.4">
      <c r="B22245" s="3" t="s">
        <v>7</v>
      </c>
      <c r="C22245" s="3" t="s">
        <v>3520</v>
      </c>
      <c r="D22245" s="4">
        <f>DATE(2007,5,1)</f>
        <v>39203</v>
      </c>
      <c r="E22245" s="5">
        <f t="shared" si="370"/>
        <v>2007</v>
      </c>
      <c r="F22245" s="3" t="s">
        <v>3521</v>
      </c>
      <c r="G22245" s="6">
        <v>2240</v>
      </c>
      <c r="H22245" s="5">
        <v>8401</v>
      </c>
    </row>
    <row r="22246" spans="2:8" ht="15" customHeight="1" x14ac:dyDescent="0.4">
      <c r="B22246" s="3" t="s">
        <v>7</v>
      </c>
      <c r="C22246" s="3" t="s">
        <v>3520</v>
      </c>
      <c r="D22246" s="4">
        <f>DATE(2007,5,1)</f>
        <v>39203</v>
      </c>
      <c r="E22246" s="5">
        <f t="shared" si="370"/>
        <v>2007</v>
      </c>
      <c r="F22246" s="3" t="s">
        <v>3521</v>
      </c>
      <c r="G22246" s="6">
        <v>1212.5999999999999</v>
      </c>
      <c r="H22246" s="5">
        <v>8493</v>
      </c>
    </row>
    <row r="22247" spans="2:8" ht="15" customHeight="1" x14ac:dyDescent="0.4">
      <c r="B22247" s="3" t="s">
        <v>7</v>
      </c>
      <c r="C22247" s="3" t="s">
        <v>3520</v>
      </c>
      <c r="D22247" s="4">
        <f>DATE(2007,5,2)</f>
        <v>39204</v>
      </c>
      <c r="E22247" s="5">
        <f t="shared" si="370"/>
        <v>2007</v>
      </c>
      <c r="F22247" s="3" t="s">
        <v>3521</v>
      </c>
      <c r="G22247" s="6">
        <v>1212.5999999999999</v>
      </c>
      <c r="H22247" s="5">
        <v>8493</v>
      </c>
    </row>
    <row r="22248" spans="2:8" ht="15" customHeight="1" x14ac:dyDescent="0.4">
      <c r="B22248" s="3" t="s">
        <v>7</v>
      </c>
      <c r="C22248" s="3" t="s">
        <v>3520</v>
      </c>
      <c r="D22248" s="4">
        <f>DATE(2008,7,30)</f>
        <v>39659</v>
      </c>
      <c r="E22248" s="5">
        <f t="shared" si="370"/>
        <v>2008</v>
      </c>
      <c r="F22248" s="3" t="s">
        <v>3521</v>
      </c>
      <c r="G22248" s="6">
        <v>19000</v>
      </c>
      <c r="H22248" s="5">
        <v>10974</v>
      </c>
    </row>
    <row r="22249" spans="2:8" ht="15" customHeight="1" x14ac:dyDescent="0.4">
      <c r="B22249" s="3" t="s">
        <v>7</v>
      </c>
      <c r="C22249" s="3" t="s">
        <v>3520</v>
      </c>
      <c r="D22249" s="4">
        <f>DATE(2008,7,5)</f>
        <v>39634</v>
      </c>
      <c r="E22249" s="5">
        <f t="shared" si="370"/>
        <v>2008</v>
      </c>
      <c r="F22249" s="3" t="s">
        <v>3521</v>
      </c>
      <c r="G22249" s="6">
        <v>11400</v>
      </c>
      <c r="H22249" s="5">
        <v>10900</v>
      </c>
    </row>
    <row r="22250" spans="2:8" ht="15" customHeight="1" x14ac:dyDescent="0.4">
      <c r="B22250" s="3" t="s">
        <v>7</v>
      </c>
      <c r="C22250" s="3" t="s">
        <v>3520</v>
      </c>
      <c r="D22250" s="4">
        <f>DATE(2009,10,29)</f>
        <v>40115</v>
      </c>
      <c r="E22250" s="5">
        <f t="shared" si="370"/>
        <v>2009</v>
      </c>
      <c r="F22250" s="3" t="s">
        <v>3521</v>
      </c>
      <c r="G22250" s="6">
        <v>10120</v>
      </c>
      <c r="H22250" s="5">
        <v>13155</v>
      </c>
    </row>
    <row r="22251" spans="2:8" ht="15" customHeight="1" x14ac:dyDescent="0.4">
      <c r="B22251" t="s">
        <v>7</v>
      </c>
      <c r="C22251" t="s">
        <v>3520</v>
      </c>
      <c r="D22251" s="7">
        <f>DATE(2005,5,12)</f>
        <v>38484</v>
      </c>
      <c r="E22251" s="8">
        <f t="shared" si="370"/>
        <v>2005</v>
      </c>
      <c r="F22251" t="s">
        <v>3521</v>
      </c>
      <c r="G22251" s="9">
        <v>29493</v>
      </c>
      <c r="H22251" s="8">
        <v>63</v>
      </c>
    </row>
    <row r="22252" spans="2:8" ht="15" customHeight="1" x14ac:dyDescent="0.4">
      <c r="B22252" t="s">
        <v>7</v>
      </c>
      <c r="C22252" t="s">
        <v>3520</v>
      </c>
      <c r="D22252" s="7">
        <f>DATE(2005,7,6)</f>
        <v>38539</v>
      </c>
      <c r="E22252" s="8">
        <f t="shared" si="370"/>
        <v>2005</v>
      </c>
      <c r="F22252" t="s">
        <v>3521</v>
      </c>
      <c r="G22252" s="9">
        <v>133859.31</v>
      </c>
      <c r="H22252" s="8">
        <v>84</v>
      </c>
    </row>
    <row r="22253" spans="2:8" ht="15" customHeight="1" x14ac:dyDescent="0.4">
      <c r="B22253" t="s">
        <v>7</v>
      </c>
      <c r="C22253" t="s">
        <v>3520</v>
      </c>
      <c r="D22253" s="7">
        <f>DATE(2005,7,22)</f>
        <v>38555</v>
      </c>
      <c r="E22253" s="8">
        <f t="shared" si="370"/>
        <v>2005</v>
      </c>
      <c r="F22253" t="s">
        <v>3521</v>
      </c>
      <c r="G22253" s="9">
        <v>9978.14</v>
      </c>
      <c r="H22253" s="8">
        <v>86</v>
      </c>
    </row>
    <row r="22254" spans="2:8" ht="15" customHeight="1" x14ac:dyDescent="0.4">
      <c r="B22254" t="s">
        <v>7</v>
      </c>
      <c r="C22254" t="s">
        <v>3520</v>
      </c>
      <c r="D22254" s="7">
        <f>DATE(2007,5,10)</f>
        <v>39212</v>
      </c>
      <c r="E22254" s="8">
        <f t="shared" si="370"/>
        <v>2007</v>
      </c>
      <c r="F22254" t="s">
        <v>3521</v>
      </c>
      <c r="G22254" s="9">
        <v>15120.5</v>
      </c>
      <c r="H22254" s="8">
        <v>126</v>
      </c>
    </row>
    <row r="22255" spans="2:8" ht="15" customHeight="1" x14ac:dyDescent="0.4">
      <c r="B22255" t="s">
        <v>7</v>
      </c>
      <c r="C22255" t="s">
        <v>3520</v>
      </c>
      <c r="D22255" s="7">
        <f>DATE(2008,7,5)</f>
        <v>39634</v>
      </c>
      <c r="E22255" s="8">
        <f t="shared" si="370"/>
        <v>2008</v>
      </c>
      <c r="F22255" t="s">
        <v>3521</v>
      </c>
      <c r="G22255" s="9">
        <v>25504.46</v>
      </c>
      <c r="H22255" s="8">
        <v>175</v>
      </c>
    </row>
    <row r="22256" spans="2:8" ht="15" customHeight="1" x14ac:dyDescent="0.4">
      <c r="B22256" t="s">
        <v>7</v>
      </c>
      <c r="C22256" t="s">
        <v>3520</v>
      </c>
      <c r="D22256" s="7">
        <f>DATE(2008,7,30)</f>
        <v>39659</v>
      </c>
      <c r="E22256" s="8">
        <f t="shared" si="370"/>
        <v>2008</v>
      </c>
      <c r="F22256" t="s">
        <v>3521</v>
      </c>
      <c r="G22256" s="9">
        <v>114415.15</v>
      </c>
      <c r="H22256" s="8">
        <v>176</v>
      </c>
    </row>
    <row r="22257" spans="2:8" ht="15" customHeight="1" x14ac:dyDescent="0.4">
      <c r="B22257" t="s">
        <v>7</v>
      </c>
      <c r="C22257" t="s">
        <v>3520</v>
      </c>
      <c r="D22257" s="7">
        <f>DATE(2009,5,11)</f>
        <v>39944</v>
      </c>
      <c r="E22257" s="8">
        <f t="shared" si="370"/>
        <v>2009</v>
      </c>
      <c r="F22257" t="s">
        <v>3521</v>
      </c>
      <c r="G22257" s="9">
        <v>282587.53999999998</v>
      </c>
      <c r="H22257" s="8">
        <v>208</v>
      </c>
    </row>
    <row r="22258" spans="2:8" ht="15" customHeight="1" x14ac:dyDescent="0.4">
      <c r="B22258" t="s">
        <v>7</v>
      </c>
      <c r="C22258" t="s">
        <v>3520</v>
      </c>
      <c r="D22258" s="7">
        <f>DATE(2009,5,11)</f>
        <v>39944</v>
      </c>
      <c r="E22258" s="8">
        <f t="shared" si="370"/>
        <v>2009</v>
      </c>
      <c r="F22258" t="s">
        <v>3521</v>
      </c>
      <c r="G22258" s="9">
        <v>51973.17</v>
      </c>
      <c r="H22258" s="8">
        <v>214</v>
      </c>
    </row>
    <row r="22259" spans="2:8" ht="15" customHeight="1" x14ac:dyDescent="0.4">
      <c r="B22259" t="s">
        <v>7</v>
      </c>
      <c r="C22259" t="s">
        <v>3520</v>
      </c>
      <c r="D22259" s="7">
        <f>DATE(2009,5,11)</f>
        <v>39944</v>
      </c>
      <c r="E22259" s="8">
        <f t="shared" si="370"/>
        <v>2009</v>
      </c>
      <c r="F22259" t="s">
        <v>3521</v>
      </c>
      <c r="G22259" s="9">
        <v>6066.15</v>
      </c>
      <c r="H22259" s="8">
        <v>220</v>
      </c>
    </row>
    <row r="22260" spans="2:8" ht="15" customHeight="1" x14ac:dyDescent="0.4">
      <c r="B22260" t="s">
        <v>7</v>
      </c>
      <c r="C22260" t="s">
        <v>3520</v>
      </c>
      <c r="D22260" s="7">
        <f>DATE(2009,5,11)</f>
        <v>39944</v>
      </c>
      <c r="E22260" s="8">
        <f t="shared" si="370"/>
        <v>2009</v>
      </c>
      <c r="F22260" t="s">
        <v>3521</v>
      </c>
      <c r="G22260" s="9">
        <v>13123.33</v>
      </c>
      <c r="H22260" s="8">
        <v>209</v>
      </c>
    </row>
    <row r="22261" spans="2:8" ht="15" customHeight="1" x14ac:dyDescent="0.4">
      <c r="B22261" t="s">
        <v>7</v>
      </c>
      <c r="C22261" t="s">
        <v>3520</v>
      </c>
      <c r="D22261" s="7">
        <f>DATE(2009,6,16)</f>
        <v>39980</v>
      </c>
      <c r="E22261" s="8">
        <f t="shared" si="370"/>
        <v>2009</v>
      </c>
      <c r="F22261" t="s">
        <v>3521</v>
      </c>
      <c r="G22261" s="9">
        <v>2292.64</v>
      </c>
      <c r="H22261" s="8">
        <v>222</v>
      </c>
    </row>
    <row r="22262" spans="2:8" ht="15" customHeight="1" x14ac:dyDescent="0.4">
      <c r="B22262" t="s">
        <v>7</v>
      </c>
      <c r="C22262" t="s">
        <v>3520</v>
      </c>
      <c r="D22262" s="7">
        <f>DATE(2009,6,16)</f>
        <v>39980</v>
      </c>
      <c r="E22262" s="8">
        <f t="shared" si="370"/>
        <v>2009</v>
      </c>
      <c r="F22262" t="s">
        <v>3521</v>
      </c>
      <c r="G22262" s="9">
        <v>10490.57</v>
      </c>
      <c r="H22262" s="8">
        <v>215</v>
      </c>
    </row>
    <row r="22263" spans="2:8" ht="15" customHeight="1" x14ac:dyDescent="0.4">
      <c r="B22263" t="s">
        <v>7</v>
      </c>
      <c r="C22263" t="s">
        <v>3520</v>
      </c>
      <c r="D22263" s="7">
        <f>DATE(2009,6,16)</f>
        <v>39980</v>
      </c>
      <c r="E22263" s="8">
        <f t="shared" si="370"/>
        <v>2009</v>
      </c>
      <c r="F22263" t="s">
        <v>3521</v>
      </c>
      <c r="G22263" s="9">
        <v>31567.77</v>
      </c>
      <c r="H22263" s="8">
        <v>211</v>
      </c>
    </row>
    <row r="22264" spans="2:8" ht="15" customHeight="1" x14ac:dyDescent="0.4">
      <c r="B22264" t="s">
        <v>7</v>
      </c>
      <c r="C22264" t="s">
        <v>3520</v>
      </c>
      <c r="D22264" s="7">
        <f>DATE(2009,6,16)</f>
        <v>39980</v>
      </c>
      <c r="E22264" s="8">
        <f t="shared" si="370"/>
        <v>2009</v>
      </c>
      <c r="F22264" t="s">
        <v>3521</v>
      </c>
      <c r="G22264" s="9">
        <v>379107.2</v>
      </c>
      <c r="H22264" s="8">
        <v>203</v>
      </c>
    </row>
    <row r="22265" spans="2:8" ht="15" customHeight="1" x14ac:dyDescent="0.4">
      <c r="B22265" t="s">
        <v>7</v>
      </c>
      <c r="C22265" t="s">
        <v>3520</v>
      </c>
      <c r="D22265" s="7">
        <f>DATE(2009,11,3)</f>
        <v>40120</v>
      </c>
      <c r="E22265" s="8">
        <f t="shared" si="370"/>
        <v>2009</v>
      </c>
      <c r="F22265" t="s">
        <v>3521</v>
      </c>
      <c r="G22265" s="9">
        <v>76737.75</v>
      </c>
      <c r="H22265" s="8">
        <v>233</v>
      </c>
    </row>
    <row r="22266" spans="2:8" ht="15" customHeight="1" x14ac:dyDescent="0.4">
      <c r="B22266" t="s">
        <v>7</v>
      </c>
      <c r="C22266" t="s">
        <v>3520</v>
      </c>
      <c r="D22266" s="7">
        <f>DATE(2010,6,30)</f>
        <v>40359</v>
      </c>
      <c r="E22266" s="8">
        <f t="shared" si="370"/>
        <v>2010</v>
      </c>
      <c r="F22266" t="s">
        <v>3521</v>
      </c>
      <c r="G22266" s="9">
        <v>372900.51</v>
      </c>
      <c r="H22266" s="8">
        <v>230</v>
      </c>
    </row>
    <row r="22267" spans="2:8" ht="15" customHeight="1" x14ac:dyDescent="0.4">
      <c r="B22267" t="s">
        <v>7</v>
      </c>
      <c r="C22267" t="s">
        <v>3520</v>
      </c>
      <c r="D22267" s="7">
        <f>DATE(2010,6,30)</f>
        <v>40359</v>
      </c>
      <c r="E22267" s="8">
        <f t="shared" si="370"/>
        <v>2010</v>
      </c>
      <c r="F22267" t="s">
        <v>3521</v>
      </c>
      <c r="G22267" s="9">
        <v>356775.65</v>
      </c>
      <c r="H22267" s="8">
        <v>231</v>
      </c>
    </row>
    <row r="22268" spans="2:8" ht="15" customHeight="1" x14ac:dyDescent="0.4">
      <c r="B22268" t="s">
        <v>7</v>
      </c>
      <c r="C22268" t="s">
        <v>3520</v>
      </c>
      <c r="D22268" s="7">
        <f>DATE(2011,6,6)</f>
        <v>40700</v>
      </c>
      <c r="E22268" s="8">
        <f t="shared" si="370"/>
        <v>2011</v>
      </c>
      <c r="F22268" t="s">
        <v>3521</v>
      </c>
      <c r="G22268" s="9">
        <v>192273.86</v>
      </c>
      <c r="H22268" s="8">
        <v>268</v>
      </c>
    </row>
    <row r="22269" spans="2:8" ht="15" customHeight="1" x14ac:dyDescent="0.4">
      <c r="B22269" t="s">
        <v>7</v>
      </c>
      <c r="C22269" t="s">
        <v>3520</v>
      </c>
      <c r="D22269" s="7">
        <f>DATE(2011,6,6)</f>
        <v>40700</v>
      </c>
      <c r="E22269" s="8">
        <f t="shared" si="370"/>
        <v>2011</v>
      </c>
      <c r="F22269" t="s">
        <v>3521</v>
      </c>
      <c r="G22269" s="9">
        <v>58405.59</v>
      </c>
      <c r="H22269" s="8">
        <v>272</v>
      </c>
    </row>
    <row r="22270" spans="2:8" ht="15" customHeight="1" x14ac:dyDescent="0.4">
      <c r="B22270" t="s">
        <v>7</v>
      </c>
      <c r="C22270" t="s">
        <v>3520</v>
      </c>
      <c r="D22270" s="7">
        <f>DATE(2011,6,6)</f>
        <v>40700</v>
      </c>
      <c r="E22270" s="8">
        <f t="shared" si="370"/>
        <v>2011</v>
      </c>
      <c r="F22270" t="s">
        <v>3521</v>
      </c>
      <c r="G22270" s="9">
        <v>162779.87</v>
      </c>
      <c r="H22270" s="8">
        <v>262</v>
      </c>
    </row>
    <row r="22271" spans="2:8" ht="15" customHeight="1" x14ac:dyDescent="0.4">
      <c r="B22271" t="s">
        <v>7</v>
      </c>
      <c r="C22271" t="s">
        <v>3520</v>
      </c>
      <c r="D22271" s="7">
        <f>DATE(2011,6,6)</f>
        <v>40700</v>
      </c>
      <c r="E22271" s="8">
        <f t="shared" si="370"/>
        <v>2011</v>
      </c>
      <c r="F22271" t="s">
        <v>3521</v>
      </c>
      <c r="G22271" s="9">
        <v>61253.03</v>
      </c>
      <c r="H22271" s="8">
        <v>269</v>
      </c>
    </row>
    <row r="22272" spans="2:8" ht="15" customHeight="1" x14ac:dyDescent="0.4">
      <c r="B22272" t="s">
        <v>7</v>
      </c>
      <c r="C22272" t="s">
        <v>3520</v>
      </c>
      <c r="D22272" s="7">
        <f>DATE(2012,4,12)</f>
        <v>41011</v>
      </c>
      <c r="E22272" s="8">
        <f t="shared" si="370"/>
        <v>2012</v>
      </c>
      <c r="F22272" t="s">
        <v>3521</v>
      </c>
      <c r="G22272" s="9">
        <v>176376.4</v>
      </c>
      <c r="H22272" s="8">
        <v>281</v>
      </c>
    </row>
    <row r="22273" spans="2:8" ht="15" customHeight="1" x14ac:dyDescent="0.4">
      <c r="B22273" t="s">
        <v>7</v>
      </c>
      <c r="C22273" t="s">
        <v>3520</v>
      </c>
      <c r="D22273" s="7">
        <f>DATE(2012,4,12)</f>
        <v>41011</v>
      </c>
      <c r="E22273" s="8">
        <f t="shared" si="370"/>
        <v>2012</v>
      </c>
      <c r="F22273" t="s">
        <v>3521</v>
      </c>
      <c r="G22273" s="9">
        <v>41984.91</v>
      </c>
      <c r="H22273" s="8">
        <v>282</v>
      </c>
    </row>
    <row r="22274" spans="2:8" ht="15" customHeight="1" x14ac:dyDescent="0.4">
      <c r="B22274" t="s">
        <v>7</v>
      </c>
      <c r="C22274" t="s">
        <v>3520</v>
      </c>
      <c r="D22274" s="7">
        <f>DATE(2012,4,12)</f>
        <v>41011</v>
      </c>
      <c r="E22274" s="8">
        <f t="shared" si="370"/>
        <v>2012</v>
      </c>
      <c r="F22274" t="s">
        <v>3521</v>
      </c>
      <c r="G22274" s="9">
        <v>49996.07</v>
      </c>
      <c r="H22274" s="8">
        <v>285</v>
      </c>
    </row>
    <row r="22275" spans="2:8" ht="15" customHeight="1" x14ac:dyDescent="0.4">
      <c r="B22275" t="s">
        <v>7</v>
      </c>
      <c r="C22275" t="s">
        <v>3520</v>
      </c>
      <c r="D22275" s="7">
        <f>DATE(2012,4,12)</f>
        <v>41011</v>
      </c>
      <c r="E22275" s="8">
        <f t="shared" ref="E22275:E22338" si="371">YEAR(D22275)</f>
        <v>2012</v>
      </c>
      <c r="F22275" t="s">
        <v>3521</v>
      </c>
      <c r="G22275" s="9">
        <v>420595.79</v>
      </c>
      <c r="H22275" s="8">
        <v>283</v>
      </c>
    </row>
    <row r="22276" spans="2:8" ht="15" customHeight="1" x14ac:dyDescent="0.4">
      <c r="B22276" t="s">
        <v>7</v>
      </c>
      <c r="C22276" t="s">
        <v>3522</v>
      </c>
      <c r="D22276" s="7">
        <f>DATE(2004,3,26)</f>
        <v>38072</v>
      </c>
      <c r="E22276" s="8">
        <f t="shared" si="371"/>
        <v>2004</v>
      </c>
      <c r="F22276" t="s">
        <v>3523</v>
      </c>
      <c r="G22276" s="9">
        <v>5941.39</v>
      </c>
      <c r="H22276" s="8">
        <v>1574</v>
      </c>
    </row>
    <row r="22277" spans="2:8" ht="15" customHeight="1" x14ac:dyDescent="0.4">
      <c r="B22277" t="s">
        <v>7</v>
      </c>
      <c r="C22277" t="s">
        <v>3522</v>
      </c>
      <c r="D22277" s="7">
        <f>DATE(2004,3,24)</f>
        <v>38070</v>
      </c>
      <c r="E22277" s="8">
        <f t="shared" si="371"/>
        <v>2004</v>
      </c>
      <c r="F22277" t="s">
        <v>3523</v>
      </c>
      <c r="G22277" s="9">
        <v>2407.5</v>
      </c>
      <c r="H22277" s="8">
        <v>1568</v>
      </c>
    </row>
    <row r="22278" spans="2:8" ht="15" customHeight="1" x14ac:dyDescent="0.4">
      <c r="B22278" s="3" t="s">
        <v>7</v>
      </c>
      <c r="C22278" s="3" t="s">
        <v>3524</v>
      </c>
      <c r="D22278" s="4">
        <f>DATE(2009,5,28)</f>
        <v>39961</v>
      </c>
      <c r="E22278" s="5">
        <f t="shared" si="371"/>
        <v>2009</v>
      </c>
      <c r="F22278" s="3" t="s">
        <v>3525</v>
      </c>
      <c r="G22278" s="6">
        <v>16622.400000000001</v>
      </c>
      <c r="H22278" s="5">
        <v>3444</v>
      </c>
    </row>
    <row r="22279" spans="2:8" ht="15" customHeight="1" x14ac:dyDescent="0.4">
      <c r="B22279" s="3" t="s">
        <v>7</v>
      </c>
      <c r="C22279" s="3" t="s">
        <v>3524</v>
      </c>
      <c r="D22279" s="4">
        <f>DATE(2009,7,8)</f>
        <v>40002</v>
      </c>
      <c r="E22279" s="5">
        <f t="shared" si="371"/>
        <v>2009</v>
      </c>
      <c r="F22279" s="3" t="s">
        <v>3525</v>
      </c>
      <c r="G22279" s="6">
        <v>9613</v>
      </c>
      <c r="H22279" s="5">
        <v>3487</v>
      </c>
    </row>
    <row r="22280" spans="2:8" ht="15" customHeight="1" x14ac:dyDescent="0.4">
      <c r="B22280" s="3" t="s">
        <v>7</v>
      </c>
      <c r="C22280" s="3" t="s">
        <v>3526</v>
      </c>
      <c r="D22280" s="4">
        <f>DATE(2005,8,10)</f>
        <v>38574</v>
      </c>
      <c r="E22280" s="5">
        <f t="shared" si="371"/>
        <v>2005</v>
      </c>
      <c r="F22280" s="3" t="s">
        <v>3525</v>
      </c>
      <c r="G22280" s="6">
        <v>1111</v>
      </c>
      <c r="H22280" s="5">
        <v>5102</v>
      </c>
    </row>
    <row r="22281" spans="2:8" ht="15" customHeight="1" x14ac:dyDescent="0.4">
      <c r="B22281" s="3" t="s">
        <v>7</v>
      </c>
      <c r="C22281" s="3" t="s">
        <v>3526</v>
      </c>
      <c r="D22281" s="4">
        <f>DATE(2005,8,9)</f>
        <v>38573</v>
      </c>
      <c r="E22281" s="5">
        <f t="shared" si="371"/>
        <v>2005</v>
      </c>
      <c r="F22281" s="3" t="s">
        <v>3525</v>
      </c>
      <c r="G22281" s="6">
        <v>842.75</v>
      </c>
      <c r="H22281" s="5">
        <v>5087</v>
      </c>
    </row>
    <row r="22282" spans="2:8" ht="15" customHeight="1" x14ac:dyDescent="0.4">
      <c r="B22282" s="3" t="s">
        <v>7</v>
      </c>
      <c r="C22282" s="3" t="s">
        <v>3526</v>
      </c>
      <c r="D22282" s="4">
        <f>DATE(2005,8,29)</f>
        <v>38593</v>
      </c>
      <c r="E22282" s="5">
        <f t="shared" si="371"/>
        <v>2005</v>
      </c>
      <c r="F22282" s="3" t="s">
        <v>3525</v>
      </c>
      <c r="G22282" s="6">
        <v>1113.5</v>
      </c>
      <c r="H22282" s="5">
        <v>5187</v>
      </c>
    </row>
    <row r="22283" spans="2:8" ht="15" customHeight="1" x14ac:dyDescent="0.4">
      <c r="B22283" s="3" t="s">
        <v>7</v>
      </c>
      <c r="C22283" s="3" t="s">
        <v>3526</v>
      </c>
      <c r="D22283" s="4">
        <f>DATE(2005,9,2)</f>
        <v>38597</v>
      </c>
      <c r="E22283" s="5">
        <f t="shared" si="371"/>
        <v>2005</v>
      </c>
      <c r="F22283" s="3" t="s">
        <v>3525</v>
      </c>
      <c r="G22283" s="6">
        <v>787</v>
      </c>
      <c r="H22283" s="5">
        <v>5214</v>
      </c>
    </row>
    <row r="22284" spans="2:8" ht="15" customHeight="1" x14ac:dyDescent="0.4">
      <c r="B22284" s="3" t="s">
        <v>7</v>
      </c>
      <c r="C22284" s="3" t="s">
        <v>3526</v>
      </c>
      <c r="D22284" s="4">
        <f>DATE(2005,9,9)</f>
        <v>38604</v>
      </c>
      <c r="E22284" s="5">
        <f t="shared" si="371"/>
        <v>2005</v>
      </c>
      <c r="F22284" s="3" t="s">
        <v>3525</v>
      </c>
      <c r="G22284" s="6">
        <v>1113.5</v>
      </c>
      <c r="H22284" s="5">
        <v>5228</v>
      </c>
    </row>
    <row r="22285" spans="2:8" ht="15" customHeight="1" x14ac:dyDescent="0.4">
      <c r="B22285" s="3" t="s">
        <v>7</v>
      </c>
      <c r="C22285" s="3" t="s">
        <v>3526</v>
      </c>
      <c r="D22285" s="4">
        <f>DATE(2005,9,21)</f>
        <v>38616</v>
      </c>
      <c r="E22285" s="5">
        <f t="shared" si="371"/>
        <v>2005</v>
      </c>
      <c r="F22285" s="3" t="s">
        <v>3525</v>
      </c>
      <c r="G22285" s="6">
        <v>2112</v>
      </c>
      <c r="H22285" s="5">
        <v>5289</v>
      </c>
    </row>
    <row r="22286" spans="2:8" ht="15" customHeight="1" x14ac:dyDescent="0.4">
      <c r="B22286" s="3" t="s">
        <v>7</v>
      </c>
      <c r="C22286" s="3" t="s">
        <v>3526</v>
      </c>
      <c r="D22286" s="4">
        <f>DATE(2006,1,18)</f>
        <v>38735</v>
      </c>
      <c r="E22286" s="5">
        <f t="shared" si="371"/>
        <v>2006</v>
      </c>
      <c r="F22286" s="3" t="s">
        <v>3525</v>
      </c>
      <c r="G22286" s="6">
        <v>3972</v>
      </c>
      <c r="H22286" s="5">
        <v>5847</v>
      </c>
    </row>
    <row r="22287" spans="2:8" ht="15" customHeight="1" x14ac:dyDescent="0.4">
      <c r="B22287" s="3" t="s">
        <v>7</v>
      </c>
      <c r="C22287" s="3" t="s">
        <v>3526</v>
      </c>
      <c r="D22287" s="4">
        <f>DATE(2006,4,26)</f>
        <v>38833</v>
      </c>
      <c r="E22287" s="5">
        <f t="shared" si="371"/>
        <v>2006</v>
      </c>
      <c r="F22287" s="3" t="s">
        <v>3525</v>
      </c>
      <c r="G22287" s="6">
        <v>1995</v>
      </c>
      <c r="H22287" s="5">
        <v>6608</v>
      </c>
    </row>
    <row r="22288" spans="2:8" ht="15" customHeight="1" x14ac:dyDescent="0.4">
      <c r="B22288" s="3" t="s">
        <v>7</v>
      </c>
      <c r="C22288" s="3" t="s">
        <v>3526</v>
      </c>
      <c r="D22288" s="4">
        <f>DATE(2006,8,8)</f>
        <v>38937</v>
      </c>
      <c r="E22288" s="5">
        <f t="shared" si="371"/>
        <v>2006</v>
      </c>
      <c r="F22288" s="3" t="s">
        <v>3525</v>
      </c>
      <c r="G22288" s="6">
        <v>2650</v>
      </c>
      <c r="H22288" s="5">
        <v>7056</v>
      </c>
    </row>
    <row r="22289" spans="2:8" ht="15" customHeight="1" x14ac:dyDescent="0.4">
      <c r="B22289" s="3" t="s">
        <v>7</v>
      </c>
      <c r="C22289" s="3" t="s">
        <v>3526</v>
      </c>
      <c r="D22289" s="4">
        <f>DATE(2007,6,4)</f>
        <v>39237</v>
      </c>
      <c r="E22289" s="5">
        <f t="shared" si="371"/>
        <v>2007</v>
      </c>
      <c r="F22289" s="3" t="s">
        <v>3525</v>
      </c>
      <c r="G22289" s="6">
        <v>1412.44</v>
      </c>
      <c r="H22289" s="5">
        <v>8709</v>
      </c>
    </row>
    <row r="22290" spans="2:8" ht="15" customHeight="1" x14ac:dyDescent="0.4">
      <c r="B22290" s="3" t="s">
        <v>7</v>
      </c>
      <c r="C22290" s="3" t="s">
        <v>3526</v>
      </c>
      <c r="D22290" s="4">
        <f>DATE(2007,6,14)</f>
        <v>39247</v>
      </c>
      <c r="E22290" s="5">
        <f t="shared" si="371"/>
        <v>2007</v>
      </c>
      <c r="F22290" s="3" t="s">
        <v>3525</v>
      </c>
      <c r="G22290" s="6">
        <v>1995</v>
      </c>
      <c r="H22290" s="5">
        <v>8760</v>
      </c>
    </row>
    <row r="22291" spans="2:8" ht="15" customHeight="1" x14ac:dyDescent="0.4">
      <c r="B22291" s="3" t="s">
        <v>7</v>
      </c>
      <c r="C22291" s="3" t="s">
        <v>3526</v>
      </c>
      <c r="D22291" s="4">
        <f>DATE(2008,10,13)</f>
        <v>39734</v>
      </c>
      <c r="E22291" s="5">
        <f t="shared" si="371"/>
        <v>2008</v>
      </c>
      <c r="F22291" s="3" t="s">
        <v>3525</v>
      </c>
      <c r="G22291" s="6">
        <v>1996</v>
      </c>
      <c r="H22291" s="5">
        <v>11412</v>
      </c>
    </row>
    <row r="22292" spans="2:8" ht="15" customHeight="1" x14ac:dyDescent="0.4">
      <c r="B22292" s="3" t="s">
        <v>7</v>
      </c>
      <c r="C22292" s="3" t="s">
        <v>3526</v>
      </c>
      <c r="D22292" s="4">
        <f>DATE(2009,10,5)</f>
        <v>40091</v>
      </c>
      <c r="E22292" s="5">
        <f t="shared" si="371"/>
        <v>2009</v>
      </c>
      <c r="F22292" s="3" t="s">
        <v>3525</v>
      </c>
      <c r="G22292" s="6">
        <v>1677</v>
      </c>
      <c r="H22292" s="5">
        <v>13078</v>
      </c>
    </row>
    <row r="22293" spans="2:8" ht="15" customHeight="1" x14ac:dyDescent="0.4">
      <c r="B22293" t="s">
        <v>7</v>
      </c>
      <c r="C22293" t="s">
        <v>3527</v>
      </c>
      <c r="D22293" s="7">
        <f>DATE(2003,9,15)</f>
        <v>37879</v>
      </c>
      <c r="E22293" s="8">
        <f t="shared" si="371"/>
        <v>2003</v>
      </c>
      <c r="F22293" t="s">
        <v>3528</v>
      </c>
      <c r="G22293" s="9">
        <v>10325.200000000001</v>
      </c>
      <c r="H22293" s="8">
        <v>867</v>
      </c>
    </row>
    <row r="22294" spans="2:8" ht="15" customHeight="1" x14ac:dyDescent="0.4">
      <c r="B22294" t="s">
        <v>7</v>
      </c>
      <c r="C22294" t="s">
        <v>3527</v>
      </c>
      <c r="D22294" s="7">
        <f>DATE(2004,5,24)</f>
        <v>38131</v>
      </c>
      <c r="E22294" s="8">
        <f t="shared" si="371"/>
        <v>2004</v>
      </c>
      <c r="F22294" t="s">
        <v>3528</v>
      </c>
      <c r="G22294" s="9">
        <v>58598.45</v>
      </c>
      <c r="H22294" s="8">
        <v>1730</v>
      </c>
    </row>
    <row r="22295" spans="2:8" ht="15" customHeight="1" x14ac:dyDescent="0.4">
      <c r="B22295" t="s">
        <v>7</v>
      </c>
      <c r="C22295" t="s">
        <v>3527</v>
      </c>
      <c r="D22295" s="7">
        <f>DATE(2004,9,26)</f>
        <v>38256</v>
      </c>
      <c r="E22295" s="8">
        <f t="shared" si="371"/>
        <v>2004</v>
      </c>
      <c r="F22295" t="s">
        <v>3528</v>
      </c>
      <c r="G22295" s="9">
        <v>25266</v>
      </c>
      <c r="H22295" s="8">
        <v>2227</v>
      </c>
    </row>
    <row r="22296" spans="2:8" ht="15" customHeight="1" x14ac:dyDescent="0.4">
      <c r="B22296" t="s">
        <v>7</v>
      </c>
      <c r="C22296" t="s">
        <v>3527</v>
      </c>
      <c r="D22296" s="7">
        <f>DATE(2005,3,5)</f>
        <v>38416</v>
      </c>
      <c r="E22296" s="8">
        <f t="shared" si="371"/>
        <v>2005</v>
      </c>
      <c r="F22296" t="s">
        <v>3528</v>
      </c>
      <c r="G22296" s="9">
        <v>45570</v>
      </c>
      <c r="H22296" s="8">
        <v>2840</v>
      </c>
    </row>
    <row r="22297" spans="2:8" ht="15" customHeight="1" x14ac:dyDescent="0.4">
      <c r="B22297" s="3" t="s">
        <v>7</v>
      </c>
      <c r="C22297" s="3" t="s">
        <v>3527</v>
      </c>
      <c r="D22297" s="4">
        <f>DATE(2003,9,15)</f>
        <v>37879</v>
      </c>
      <c r="E22297" s="5">
        <f t="shared" si="371"/>
        <v>2003</v>
      </c>
      <c r="F22297" s="3" t="s">
        <v>3528</v>
      </c>
      <c r="G22297" s="6">
        <v>79680.55</v>
      </c>
      <c r="H22297" s="5">
        <v>1490</v>
      </c>
    </row>
    <row r="22298" spans="2:8" ht="15" customHeight="1" x14ac:dyDescent="0.4">
      <c r="B22298" s="3" t="s">
        <v>7</v>
      </c>
      <c r="C22298" s="3" t="s">
        <v>3527</v>
      </c>
      <c r="D22298" s="4">
        <f>DATE(2004,9,20)</f>
        <v>38250</v>
      </c>
      <c r="E22298" s="5">
        <f t="shared" si="371"/>
        <v>2004</v>
      </c>
      <c r="F22298" s="3" t="s">
        <v>3528</v>
      </c>
      <c r="G22298" s="6">
        <v>30720</v>
      </c>
      <c r="H22298" s="5">
        <v>3420</v>
      </c>
    </row>
    <row r="22299" spans="2:8" ht="15" customHeight="1" x14ac:dyDescent="0.4">
      <c r="B22299" t="s">
        <v>7</v>
      </c>
      <c r="C22299" t="s">
        <v>3529</v>
      </c>
      <c r="D22299" s="7">
        <f>DATE(2015,10,20)</f>
        <v>42297</v>
      </c>
      <c r="E22299" s="8">
        <f t="shared" si="371"/>
        <v>2015</v>
      </c>
      <c r="F22299" t="s">
        <v>3530</v>
      </c>
      <c r="G22299" s="9">
        <v>17662.29</v>
      </c>
      <c r="H22299" s="8">
        <v>21336</v>
      </c>
    </row>
    <row r="22300" spans="2:8" ht="15" customHeight="1" x14ac:dyDescent="0.4">
      <c r="B22300" t="s">
        <v>7</v>
      </c>
      <c r="C22300" t="s">
        <v>3529</v>
      </c>
      <c r="D22300" s="7">
        <f>DATE(2016,6,1)</f>
        <v>42522</v>
      </c>
      <c r="E22300" s="8">
        <f t="shared" si="371"/>
        <v>2016</v>
      </c>
      <c r="F22300" t="s">
        <v>3530</v>
      </c>
      <c r="G22300" s="9">
        <v>16532.36</v>
      </c>
      <c r="H22300" s="8">
        <v>22873</v>
      </c>
    </row>
    <row r="22301" spans="2:8" ht="15" customHeight="1" x14ac:dyDescent="0.4">
      <c r="B22301" t="s">
        <v>7</v>
      </c>
      <c r="C22301" t="s">
        <v>3529</v>
      </c>
      <c r="D22301" s="7">
        <f>DATE(2016,12,1)</f>
        <v>42705</v>
      </c>
      <c r="E22301" s="8">
        <f t="shared" si="371"/>
        <v>2016</v>
      </c>
      <c r="F22301" t="s">
        <v>3530</v>
      </c>
      <c r="G22301" s="9">
        <v>17492.330000000002</v>
      </c>
      <c r="H22301" s="8">
        <v>23642</v>
      </c>
    </row>
    <row r="22302" spans="2:8" ht="15" customHeight="1" x14ac:dyDescent="0.4">
      <c r="B22302" t="s">
        <v>7</v>
      </c>
      <c r="C22302" t="s">
        <v>3529</v>
      </c>
      <c r="D22302" s="7">
        <f>DATE(2017,1,12)</f>
        <v>42747</v>
      </c>
      <c r="E22302" s="8">
        <f t="shared" si="371"/>
        <v>2017</v>
      </c>
      <c r="F22302" t="s">
        <v>3530</v>
      </c>
      <c r="G22302" s="9">
        <v>11677.15</v>
      </c>
      <c r="H22302" s="8">
        <v>24044</v>
      </c>
    </row>
    <row r="22303" spans="2:8" ht="15" customHeight="1" x14ac:dyDescent="0.4">
      <c r="B22303" t="s">
        <v>7</v>
      </c>
      <c r="C22303" t="s">
        <v>3529</v>
      </c>
      <c r="D22303" s="7">
        <f>DATE(2017,2,8)</f>
        <v>42774</v>
      </c>
      <c r="E22303" s="8">
        <f t="shared" si="371"/>
        <v>2017</v>
      </c>
      <c r="F22303" t="s">
        <v>3530</v>
      </c>
      <c r="G22303" s="9">
        <v>15689.88</v>
      </c>
      <c r="H22303" s="8">
        <v>24129</v>
      </c>
    </row>
    <row r="22304" spans="2:8" ht="15" customHeight="1" x14ac:dyDescent="0.4">
      <c r="B22304" t="s">
        <v>7</v>
      </c>
      <c r="C22304" t="s">
        <v>3529</v>
      </c>
      <c r="D22304" s="7">
        <f>DATE(2017,5,4)</f>
        <v>42859</v>
      </c>
      <c r="E22304" s="8">
        <f t="shared" si="371"/>
        <v>2017</v>
      </c>
      <c r="F22304" t="s">
        <v>3530</v>
      </c>
      <c r="G22304" s="9">
        <v>22360.1</v>
      </c>
      <c r="H22304" s="8">
        <v>24604</v>
      </c>
    </row>
    <row r="22305" spans="2:8" ht="15" customHeight="1" x14ac:dyDescent="0.4">
      <c r="B22305" t="s">
        <v>7</v>
      </c>
      <c r="C22305" t="s">
        <v>3529</v>
      </c>
      <c r="D22305" s="7">
        <f>DATE(2017,9,21)</f>
        <v>42999</v>
      </c>
      <c r="E22305" s="8">
        <f t="shared" si="371"/>
        <v>2017</v>
      </c>
      <c r="F22305" t="s">
        <v>3530</v>
      </c>
      <c r="G22305" s="9">
        <v>9647.25</v>
      </c>
      <c r="H22305" s="8">
        <v>25533</v>
      </c>
    </row>
    <row r="22306" spans="2:8" ht="15" customHeight="1" x14ac:dyDescent="0.4">
      <c r="B22306" t="s">
        <v>7</v>
      </c>
      <c r="C22306" t="s">
        <v>3529</v>
      </c>
      <c r="D22306" s="7">
        <f>DATE(2007,9,7)</f>
        <v>39332</v>
      </c>
      <c r="E22306" s="8">
        <f t="shared" si="371"/>
        <v>2007</v>
      </c>
      <c r="F22306" t="s">
        <v>3530</v>
      </c>
      <c r="G22306" s="9">
        <v>8998.43</v>
      </c>
      <c r="H22306" s="8">
        <v>6335</v>
      </c>
    </row>
    <row r="22307" spans="2:8" ht="15" customHeight="1" x14ac:dyDescent="0.4">
      <c r="B22307" t="s">
        <v>7</v>
      </c>
      <c r="C22307" t="s">
        <v>3529</v>
      </c>
      <c r="D22307" s="7">
        <f>DATE(2011,7,21)</f>
        <v>40745</v>
      </c>
      <c r="E22307" s="8">
        <f t="shared" si="371"/>
        <v>2011</v>
      </c>
      <c r="F22307" t="s">
        <v>3530</v>
      </c>
      <c r="G22307" s="9">
        <v>14332.03</v>
      </c>
      <c r="H22307" s="8">
        <v>10840</v>
      </c>
    </row>
    <row r="22308" spans="2:8" ht="15" customHeight="1" x14ac:dyDescent="0.4">
      <c r="B22308" t="s">
        <v>7</v>
      </c>
      <c r="C22308" t="s">
        <v>3529</v>
      </c>
      <c r="D22308" s="7">
        <f>DATE(2015,12,17)</f>
        <v>42355</v>
      </c>
      <c r="E22308" s="8">
        <f t="shared" si="371"/>
        <v>2015</v>
      </c>
      <c r="F22308" t="s">
        <v>3531</v>
      </c>
      <c r="G22308" s="9">
        <v>33539.839999999997</v>
      </c>
      <c r="H22308" s="8">
        <v>21584</v>
      </c>
    </row>
    <row r="22309" spans="2:8" ht="15" customHeight="1" x14ac:dyDescent="0.4">
      <c r="B22309" t="s">
        <v>7</v>
      </c>
      <c r="C22309" t="s">
        <v>3529</v>
      </c>
      <c r="D22309" s="7">
        <f>DATE(2003,2,15)</f>
        <v>37667</v>
      </c>
      <c r="E22309" s="8">
        <f t="shared" si="371"/>
        <v>2003</v>
      </c>
      <c r="F22309" t="s">
        <v>3531</v>
      </c>
      <c r="G22309" s="9">
        <v>5241.8</v>
      </c>
      <c r="H22309" s="8">
        <v>169</v>
      </c>
    </row>
    <row r="22310" spans="2:8" ht="15" customHeight="1" x14ac:dyDescent="0.4">
      <c r="B22310" t="s">
        <v>7</v>
      </c>
      <c r="C22310" t="s">
        <v>3529</v>
      </c>
      <c r="D22310" s="7">
        <f>DATE(2004,2,22)</f>
        <v>38039</v>
      </c>
      <c r="E22310" s="8">
        <f t="shared" si="371"/>
        <v>2004</v>
      </c>
      <c r="F22310" t="s">
        <v>3531</v>
      </c>
      <c r="G22310" s="9">
        <v>11882.39</v>
      </c>
      <c r="H22310" s="8">
        <v>1184</v>
      </c>
    </row>
    <row r="22311" spans="2:8" ht="15" customHeight="1" x14ac:dyDescent="0.4">
      <c r="B22311" t="s">
        <v>7</v>
      </c>
      <c r="C22311" t="s">
        <v>3529</v>
      </c>
      <c r="D22311" s="7">
        <f>DATE(2004,6,7)</f>
        <v>38145</v>
      </c>
      <c r="E22311" s="8">
        <f t="shared" si="371"/>
        <v>2004</v>
      </c>
      <c r="F22311" t="s">
        <v>3531</v>
      </c>
      <c r="G22311" s="9">
        <v>4271.22</v>
      </c>
      <c r="H22311" s="8">
        <v>1867</v>
      </c>
    </row>
    <row r="22312" spans="2:8" ht="15" customHeight="1" x14ac:dyDescent="0.4">
      <c r="B22312" t="s">
        <v>7</v>
      </c>
      <c r="C22312" t="s">
        <v>3529</v>
      </c>
      <c r="D22312" s="7">
        <f>DATE(2004,8,28)</f>
        <v>38227</v>
      </c>
      <c r="E22312" s="8">
        <f t="shared" si="371"/>
        <v>2004</v>
      </c>
      <c r="F22312" t="s">
        <v>3531</v>
      </c>
      <c r="G22312" s="9">
        <v>5014.24</v>
      </c>
      <c r="H22312" s="8">
        <v>2115</v>
      </c>
    </row>
    <row r="22313" spans="2:8" ht="15" customHeight="1" x14ac:dyDescent="0.4">
      <c r="B22313" t="s">
        <v>7</v>
      </c>
      <c r="C22313" t="s">
        <v>3529</v>
      </c>
      <c r="D22313" s="7">
        <f>DATE(2004,11,15)</f>
        <v>38306</v>
      </c>
      <c r="E22313" s="8">
        <f t="shared" si="371"/>
        <v>2004</v>
      </c>
      <c r="F22313" t="s">
        <v>3531</v>
      </c>
      <c r="G22313" s="9">
        <v>6817.78</v>
      </c>
      <c r="H22313" s="8">
        <v>2376</v>
      </c>
    </row>
    <row r="22314" spans="2:8" ht="15" customHeight="1" x14ac:dyDescent="0.4">
      <c r="B22314" t="s">
        <v>7</v>
      </c>
      <c r="C22314" t="s">
        <v>3529</v>
      </c>
      <c r="D22314" s="7">
        <f>DATE(2004,12,29)</f>
        <v>38350</v>
      </c>
      <c r="E22314" s="8">
        <f t="shared" si="371"/>
        <v>2004</v>
      </c>
      <c r="F22314" t="s">
        <v>3531</v>
      </c>
      <c r="G22314" s="9">
        <v>4708.08</v>
      </c>
      <c r="H22314" s="8">
        <v>2502</v>
      </c>
    </row>
    <row r="22315" spans="2:8" ht="15" customHeight="1" x14ac:dyDescent="0.4">
      <c r="B22315" t="s">
        <v>7</v>
      </c>
      <c r="C22315" t="s">
        <v>3529</v>
      </c>
      <c r="D22315" s="7">
        <f>DATE(2005,3,2)</f>
        <v>38413</v>
      </c>
      <c r="E22315" s="8">
        <f t="shared" si="371"/>
        <v>2005</v>
      </c>
      <c r="F22315" t="s">
        <v>3531</v>
      </c>
      <c r="G22315" s="9">
        <v>12540.26</v>
      </c>
      <c r="H22315" s="8">
        <v>2864</v>
      </c>
    </row>
    <row r="22316" spans="2:8" ht="15" customHeight="1" x14ac:dyDescent="0.4">
      <c r="B22316" t="s">
        <v>7</v>
      </c>
      <c r="C22316" t="s">
        <v>3529</v>
      </c>
      <c r="D22316" s="7">
        <f>DATE(2005,2,23)</f>
        <v>38406</v>
      </c>
      <c r="E22316" s="8">
        <f t="shared" si="371"/>
        <v>2005</v>
      </c>
      <c r="F22316" t="s">
        <v>3531</v>
      </c>
      <c r="G22316" s="9">
        <v>3374.89</v>
      </c>
      <c r="H22316" s="8">
        <v>2772</v>
      </c>
    </row>
    <row r="22317" spans="2:8" ht="15" customHeight="1" x14ac:dyDescent="0.4">
      <c r="B22317" t="s">
        <v>7</v>
      </c>
      <c r="C22317" t="s">
        <v>3529</v>
      </c>
      <c r="D22317" s="7">
        <f>DATE(2005,6,22)</f>
        <v>38525</v>
      </c>
      <c r="E22317" s="8">
        <f t="shared" si="371"/>
        <v>2005</v>
      </c>
      <c r="F22317" t="s">
        <v>3531</v>
      </c>
      <c r="G22317" s="9">
        <v>4450.4399999999996</v>
      </c>
      <c r="H22317" s="8">
        <v>3242</v>
      </c>
    </row>
    <row r="22318" spans="2:8" ht="15" customHeight="1" x14ac:dyDescent="0.4">
      <c r="B22318" t="s">
        <v>7</v>
      </c>
      <c r="C22318" t="s">
        <v>3529</v>
      </c>
      <c r="D22318" s="7">
        <f>DATE(2006,1,23)</f>
        <v>38740</v>
      </c>
      <c r="E22318" s="8">
        <f t="shared" si="371"/>
        <v>2006</v>
      </c>
      <c r="F22318" t="s">
        <v>3531</v>
      </c>
      <c r="G22318" s="9">
        <v>51052.41</v>
      </c>
      <c r="H22318" s="8">
        <v>3898</v>
      </c>
    </row>
    <row r="22319" spans="2:8" ht="15" customHeight="1" x14ac:dyDescent="0.4">
      <c r="B22319" s="3" t="s">
        <v>7</v>
      </c>
      <c r="C22319" s="3" t="s">
        <v>3529</v>
      </c>
      <c r="D22319" s="4">
        <f>DATE(2005,10,1)</f>
        <v>38626</v>
      </c>
      <c r="E22319" s="5">
        <f t="shared" si="371"/>
        <v>2005</v>
      </c>
      <c r="F22319" s="3" t="s">
        <v>3531</v>
      </c>
      <c r="G22319" s="6">
        <v>17.55</v>
      </c>
      <c r="H22319" s="5">
        <v>5564</v>
      </c>
    </row>
    <row r="22320" spans="2:8" ht="15" customHeight="1" x14ac:dyDescent="0.4">
      <c r="B22320" t="s">
        <v>7</v>
      </c>
      <c r="C22320" t="s">
        <v>3529</v>
      </c>
      <c r="D22320" s="7">
        <f>DATE(2003,3,2)</f>
        <v>37682</v>
      </c>
      <c r="E22320" s="8">
        <f t="shared" si="371"/>
        <v>2003</v>
      </c>
      <c r="F22320" t="s">
        <v>3532</v>
      </c>
      <c r="G22320" s="9">
        <v>12415.3</v>
      </c>
      <c r="H22320" s="8">
        <v>285</v>
      </c>
    </row>
    <row r="22321" spans="2:8" ht="15" customHeight="1" x14ac:dyDescent="0.4">
      <c r="B22321" t="s">
        <v>7</v>
      </c>
      <c r="C22321" t="s">
        <v>3533</v>
      </c>
      <c r="D22321" s="7">
        <f>DATE(2012,3,1)</f>
        <v>40969</v>
      </c>
      <c r="E22321" s="8">
        <f t="shared" si="371"/>
        <v>2012</v>
      </c>
      <c r="F22321" t="s">
        <v>3534</v>
      </c>
      <c r="G22321" s="9">
        <v>13612.5</v>
      </c>
      <c r="H22321" s="8">
        <v>11385</v>
      </c>
    </row>
    <row r="22322" spans="2:8" ht="15" customHeight="1" x14ac:dyDescent="0.4">
      <c r="B22322" t="s">
        <v>7</v>
      </c>
      <c r="C22322" t="s">
        <v>3533</v>
      </c>
      <c r="D22322" s="7">
        <f>DATE(2012,6,19)</f>
        <v>41079</v>
      </c>
      <c r="E22322" s="8">
        <f t="shared" si="371"/>
        <v>2012</v>
      </c>
      <c r="F22322" t="s">
        <v>3534</v>
      </c>
      <c r="G22322" s="9">
        <v>9203.59</v>
      </c>
      <c r="H22322" s="8">
        <v>11682</v>
      </c>
    </row>
    <row r="22323" spans="2:8" ht="15" customHeight="1" x14ac:dyDescent="0.4">
      <c r="B22323" t="s">
        <v>7</v>
      </c>
      <c r="C22323" t="s">
        <v>3533</v>
      </c>
      <c r="D22323" s="7">
        <f>DATE(2012,7,18)</f>
        <v>41108</v>
      </c>
      <c r="E22323" s="8">
        <f t="shared" si="371"/>
        <v>2012</v>
      </c>
      <c r="F22323" t="s">
        <v>3534</v>
      </c>
      <c r="G22323" s="9">
        <v>9183.99</v>
      </c>
      <c r="H22323" s="8">
        <v>11754</v>
      </c>
    </row>
    <row r="22324" spans="2:8" ht="15" customHeight="1" x14ac:dyDescent="0.4">
      <c r="B22324" t="s">
        <v>7</v>
      </c>
      <c r="C22324" t="s">
        <v>3533</v>
      </c>
      <c r="D22324" s="7">
        <f>DATE(2013,1,16)</f>
        <v>41290</v>
      </c>
      <c r="E22324" s="8">
        <f t="shared" si="371"/>
        <v>2013</v>
      </c>
      <c r="F22324" t="s">
        <v>3534</v>
      </c>
      <c r="G22324" s="9">
        <v>7886.57</v>
      </c>
      <c r="H22324" s="8">
        <v>12097</v>
      </c>
    </row>
    <row r="22325" spans="2:8" ht="15" customHeight="1" x14ac:dyDescent="0.4">
      <c r="B22325" t="s">
        <v>16</v>
      </c>
      <c r="C22325" t="s">
        <v>3533</v>
      </c>
      <c r="D22325" s="7">
        <f>DATE(2012,7,18)</f>
        <v>41108</v>
      </c>
      <c r="E22325" s="8">
        <f t="shared" si="371"/>
        <v>2012</v>
      </c>
      <c r="F22325" t="s">
        <v>3534</v>
      </c>
      <c r="G22325" s="9">
        <v>9203.59</v>
      </c>
      <c r="H22325" s="8">
        <v>11753</v>
      </c>
    </row>
    <row r="22326" spans="2:8" ht="15" customHeight="1" x14ac:dyDescent="0.4">
      <c r="B22326" t="s">
        <v>7</v>
      </c>
      <c r="C22326" t="s">
        <v>3533</v>
      </c>
      <c r="D22326" s="7">
        <f>DATE(2013,7,19)</f>
        <v>41474</v>
      </c>
      <c r="E22326" s="8">
        <f t="shared" si="371"/>
        <v>2013</v>
      </c>
      <c r="F22326" t="s">
        <v>3535</v>
      </c>
      <c r="G22326" s="9">
        <v>5081.38</v>
      </c>
      <c r="H22326" s="8">
        <v>12538</v>
      </c>
    </row>
    <row r="22327" spans="2:8" ht="15" customHeight="1" x14ac:dyDescent="0.4">
      <c r="B22327" t="s">
        <v>7</v>
      </c>
      <c r="C22327" t="s">
        <v>3533</v>
      </c>
      <c r="D22327" s="7">
        <f>DATE(2014,7,15)</f>
        <v>41835</v>
      </c>
      <c r="E22327" s="8">
        <f t="shared" si="371"/>
        <v>2014</v>
      </c>
      <c r="F22327" t="s">
        <v>3535</v>
      </c>
      <c r="G22327" s="9">
        <v>11414.81</v>
      </c>
      <c r="H22327" s="8">
        <v>13302</v>
      </c>
    </row>
    <row r="22328" spans="2:8" ht="15" customHeight="1" x14ac:dyDescent="0.4">
      <c r="B22328" t="s">
        <v>7</v>
      </c>
      <c r="C22328" t="s">
        <v>3536</v>
      </c>
      <c r="D22328" s="7">
        <f>DATE(2015,11,12)</f>
        <v>42320</v>
      </c>
      <c r="E22328" s="8">
        <f t="shared" si="371"/>
        <v>2015</v>
      </c>
      <c r="F22328" t="s">
        <v>3537</v>
      </c>
      <c r="G22328" s="9">
        <v>5578</v>
      </c>
      <c r="H22328" s="8">
        <v>21419</v>
      </c>
    </row>
    <row r="22329" spans="2:8" ht="15" customHeight="1" x14ac:dyDescent="0.4">
      <c r="B22329" t="s">
        <v>7</v>
      </c>
      <c r="C22329" t="s">
        <v>3536</v>
      </c>
      <c r="D22329" s="7">
        <f>DATE(2017,10,20)</f>
        <v>43028</v>
      </c>
      <c r="E22329" s="8">
        <f t="shared" si="371"/>
        <v>2017</v>
      </c>
      <c r="F22329" t="s">
        <v>3537</v>
      </c>
      <c r="G22329" s="9">
        <v>5648</v>
      </c>
      <c r="H22329" s="8">
        <v>25493</v>
      </c>
    </row>
    <row r="22330" spans="2:8" ht="15" customHeight="1" x14ac:dyDescent="0.4">
      <c r="B22330" t="s">
        <v>7</v>
      </c>
      <c r="C22330" t="s">
        <v>3538</v>
      </c>
      <c r="D22330" s="7">
        <f>DATE(2017,8,1)</f>
        <v>42948</v>
      </c>
      <c r="E22330" s="8">
        <f t="shared" si="371"/>
        <v>2017</v>
      </c>
      <c r="F22330" t="s">
        <v>3539</v>
      </c>
      <c r="G22330" s="9">
        <v>8988.6200000000008</v>
      </c>
      <c r="H22330" s="8">
        <v>25328</v>
      </c>
    </row>
    <row r="22331" spans="2:8" ht="15" customHeight="1" x14ac:dyDescent="0.4">
      <c r="B22331" t="s">
        <v>7</v>
      </c>
      <c r="C22331" t="s">
        <v>3538</v>
      </c>
      <c r="D22331" s="7">
        <f>DATE(2017,8,1)</f>
        <v>42948</v>
      </c>
      <c r="E22331" s="8">
        <f t="shared" si="371"/>
        <v>2017</v>
      </c>
      <c r="F22331" t="s">
        <v>3539</v>
      </c>
      <c r="G22331" s="9">
        <v>5034.8599999999997</v>
      </c>
      <c r="H22331" s="8">
        <v>25327</v>
      </c>
    </row>
    <row r="22332" spans="2:8" ht="15" customHeight="1" x14ac:dyDescent="0.4">
      <c r="B22332" s="3" t="s">
        <v>7</v>
      </c>
      <c r="C22332" s="3" t="s">
        <v>3540</v>
      </c>
      <c r="D22332" s="4">
        <f>DATE(2010,5,24)</f>
        <v>40322</v>
      </c>
      <c r="E22332" s="5">
        <f t="shared" si="371"/>
        <v>2010</v>
      </c>
      <c r="F22332" s="3" t="s">
        <v>3541</v>
      </c>
      <c r="G22332" s="6">
        <v>4028.8</v>
      </c>
      <c r="H22332" s="5">
        <v>3939</v>
      </c>
    </row>
    <row r="22333" spans="2:8" ht="15" customHeight="1" x14ac:dyDescent="0.4">
      <c r="B22333" s="3" t="s">
        <v>7</v>
      </c>
      <c r="C22333" s="3" t="s">
        <v>3540</v>
      </c>
      <c r="D22333" s="4">
        <f>DATE(2010,5,24)</f>
        <v>40322</v>
      </c>
      <c r="E22333" s="5">
        <f t="shared" si="371"/>
        <v>2010</v>
      </c>
      <c r="F22333" s="3" t="s">
        <v>3541</v>
      </c>
      <c r="G22333" s="6">
        <v>8162.25</v>
      </c>
      <c r="H22333" s="5">
        <v>3941</v>
      </c>
    </row>
    <row r="22334" spans="2:8" ht="15" customHeight="1" x14ac:dyDescent="0.4">
      <c r="B22334" s="3" t="s">
        <v>7</v>
      </c>
      <c r="C22334" s="3" t="s">
        <v>3540</v>
      </c>
      <c r="D22334" s="4">
        <f>DATE(2010,10,21)</f>
        <v>40472</v>
      </c>
      <c r="E22334" s="5">
        <f t="shared" si="371"/>
        <v>2010</v>
      </c>
      <c r="F22334" s="3" t="s">
        <v>3541</v>
      </c>
      <c r="G22334" s="6">
        <v>10135.61</v>
      </c>
      <c r="H22334" s="5">
        <v>4151</v>
      </c>
    </row>
    <row r="22335" spans="2:8" ht="15" customHeight="1" x14ac:dyDescent="0.4">
      <c r="B22335" s="3" t="s">
        <v>7</v>
      </c>
      <c r="C22335" s="3" t="s">
        <v>3540</v>
      </c>
      <c r="D22335" s="4">
        <f>DATE(2010,10,21)</f>
        <v>40472</v>
      </c>
      <c r="E22335" s="5">
        <f t="shared" si="371"/>
        <v>2010</v>
      </c>
      <c r="F22335" s="3" t="s">
        <v>3541</v>
      </c>
      <c r="G22335" s="6">
        <v>2528.6</v>
      </c>
      <c r="H22335" s="5">
        <v>4152</v>
      </c>
    </row>
    <row r="22336" spans="2:8" ht="15" customHeight="1" x14ac:dyDescent="0.4">
      <c r="B22336" s="3" t="s">
        <v>16</v>
      </c>
      <c r="C22336" s="3" t="s">
        <v>3540</v>
      </c>
      <c r="D22336" s="4">
        <f>DATE(2010,5,24)</f>
        <v>40322</v>
      </c>
      <c r="E22336" s="5">
        <f t="shared" si="371"/>
        <v>2010</v>
      </c>
      <c r="F22336" s="3" t="s">
        <v>3541</v>
      </c>
      <c r="G22336" s="6">
        <v>775</v>
      </c>
      <c r="H22336" s="5">
        <v>3981</v>
      </c>
    </row>
    <row r="22337" spans="2:8" ht="15" customHeight="1" x14ac:dyDescent="0.4">
      <c r="B22337" s="3" t="s">
        <v>16</v>
      </c>
      <c r="C22337" s="3" t="s">
        <v>3540</v>
      </c>
      <c r="D22337" s="4">
        <f>DATE(2010,5,24)</f>
        <v>40322</v>
      </c>
      <c r="E22337" s="5">
        <f t="shared" si="371"/>
        <v>2010</v>
      </c>
      <c r="F22337" s="3" t="s">
        <v>3541</v>
      </c>
      <c r="G22337" s="6">
        <v>775</v>
      </c>
      <c r="H22337" s="5">
        <v>4009</v>
      </c>
    </row>
    <row r="22338" spans="2:8" ht="15" customHeight="1" x14ac:dyDescent="0.4">
      <c r="B22338" t="s">
        <v>7</v>
      </c>
      <c r="C22338" t="s">
        <v>3538</v>
      </c>
      <c r="D22338" s="7">
        <f>DATE(2009,10,28)</f>
        <v>40114</v>
      </c>
      <c r="E22338" s="8">
        <f t="shared" si="371"/>
        <v>2009</v>
      </c>
      <c r="F22338" t="s">
        <v>3542</v>
      </c>
      <c r="G22338" s="9">
        <v>4312.17</v>
      </c>
      <c r="H22338" s="8">
        <v>9171</v>
      </c>
    </row>
    <row r="22339" spans="2:8" ht="15" customHeight="1" x14ac:dyDescent="0.4">
      <c r="B22339" s="3" t="s">
        <v>7</v>
      </c>
      <c r="C22339" s="3" t="s">
        <v>3538</v>
      </c>
      <c r="D22339" s="4">
        <f>DATE(2010,1,15)</f>
        <v>40193</v>
      </c>
      <c r="E22339" s="5">
        <f t="shared" ref="E22339:E22402" si="372">YEAR(D22339)</f>
        <v>2010</v>
      </c>
      <c r="F22339" s="3" t="s">
        <v>3542</v>
      </c>
      <c r="G22339" s="6">
        <v>4649.9799999999996</v>
      </c>
      <c r="H22339" s="5">
        <v>3756</v>
      </c>
    </row>
    <row r="22340" spans="2:8" ht="15" customHeight="1" x14ac:dyDescent="0.4">
      <c r="B22340" s="3" t="s">
        <v>7</v>
      </c>
      <c r="C22340" s="3" t="s">
        <v>3538</v>
      </c>
      <c r="D22340" s="4">
        <f>DATE(2010,10,20)</f>
        <v>40471</v>
      </c>
      <c r="E22340" s="5">
        <f t="shared" si="372"/>
        <v>2010</v>
      </c>
      <c r="F22340" s="3" t="s">
        <v>3542</v>
      </c>
      <c r="G22340" s="6">
        <v>4111.1499999999996</v>
      </c>
      <c r="H22340" s="5">
        <v>4174</v>
      </c>
    </row>
    <row r="22341" spans="2:8" ht="15" customHeight="1" x14ac:dyDescent="0.4">
      <c r="B22341" s="3" t="s">
        <v>7</v>
      </c>
      <c r="C22341" s="3" t="s">
        <v>3543</v>
      </c>
      <c r="D22341" s="4">
        <f>DATE(2011,5,23)</f>
        <v>40686</v>
      </c>
      <c r="E22341" s="5">
        <f t="shared" si="372"/>
        <v>2011</v>
      </c>
      <c r="F22341" s="3" t="s">
        <v>3544</v>
      </c>
      <c r="G22341" s="6">
        <v>11290</v>
      </c>
      <c r="H22341" s="5">
        <v>4379</v>
      </c>
    </row>
    <row r="22342" spans="2:8" ht="15" customHeight="1" x14ac:dyDescent="0.4">
      <c r="B22342" t="s">
        <v>7</v>
      </c>
      <c r="C22342" t="s">
        <v>3545</v>
      </c>
      <c r="D22342" s="7">
        <f>DATE(2015,5,29)</f>
        <v>42153</v>
      </c>
      <c r="E22342" s="8">
        <f t="shared" si="372"/>
        <v>2015</v>
      </c>
      <c r="F22342" t="s">
        <v>3546</v>
      </c>
      <c r="G22342" s="9">
        <v>5113.25</v>
      </c>
      <c r="H22342" s="8">
        <v>20647</v>
      </c>
    </row>
    <row r="22343" spans="2:8" ht="15" customHeight="1" x14ac:dyDescent="0.4">
      <c r="B22343" t="s">
        <v>7</v>
      </c>
      <c r="C22343" t="s">
        <v>3545</v>
      </c>
      <c r="D22343" s="7">
        <f>DATE(2015,5,29)</f>
        <v>42153</v>
      </c>
      <c r="E22343" s="8">
        <f t="shared" si="372"/>
        <v>2015</v>
      </c>
      <c r="F22343" t="s">
        <v>3546</v>
      </c>
      <c r="G22343" s="9">
        <v>2707</v>
      </c>
      <c r="H22343" s="8">
        <v>20651</v>
      </c>
    </row>
    <row r="22344" spans="2:8" ht="15" customHeight="1" x14ac:dyDescent="0.4">
      <c r="B22344" t="s">
        <v>7</v>
      </c>
      <c r="C22344" t="s">
        <v>3547</v>
      </c>
      <c r="D22344" s="7">
        <f>DATE(2016,9,29)</f>
        <v>42642</v>
      </c>
      <c r="E22344" s="8">
        <f t="shared" si="372"/>
        <v>2016</v>
      </c>
      <c r="F22344" t="s">
        <v>3548</v>
      </c>
      <c r="G22344" s="9">
        <v>393.73</v>
      </c>
      <c r="H22344" s="8">
        <v>23541</v>
      </c>
    </row>
    <row r="22345" spans="2:8" ht="15" customHeight="1" x14ac:dyDescent="0.4">
      <c r="B22345" t="s">
        <v>7</v>
      </c>
      <c r="C22345" t="s">
        <v>3547</v>
      </c>
      <c r="D22345" s="7">
        <f>DATE(2017,8,29)</f>
        <v>42976</v>
      </c>
      <c r="E22345" s="8">
        <f t="shared" si="372"/>
        <v>2017</v>
      </c>
      <c r="F22345" t="s">
        <v>3548</v>
      </c>
      <c r="G22345" s="9">
        <v>1542.64</v>
      </c>
      <c r="H22345" s="8">
        <v>25411</v>
      </c>
    </row>
    <row r="22346" spans="2:8" ht="15" customHeight="1" x14ac:dyDescent="0.4">
      <c r="B22346" t="s">
        <v>7</v>
      </c>
      <c r="C22346" t="s">
        <v>3547</v>
      </c>
      <c r="D22346" s="7">
        <f>DATE(2017,9,27)</f>
        <v>43005</v>
      </c>
      <c r="E22346" s="8">
        <f t="shared" si="372"/>
        <v>2017</v>
      </c>
      <c r="F22346" t="s">
        <v>3548</v>
      </c>
      <c r="G22346" s="9">
        <v>1529.04</v>
      </c>
      <c r="H22346" s="8">
        <v>25620</v>
      </c>
    </row>
    <row r="22347" spans="2:8" ht="15" customHeight="1" x14ac:dyDescent="0.4">
      <c r="B22347" t="s">
        <v>16</v>
      </c>
      <c r="C22347" t="s">
        <v>3547</v>
      </c>
      <c r="D22347" s="7">
        <f>DATE(2017,10,20)</f>
        <v>43028</v>
      </c>
      <c r="E22347" s="8">
        <f t="shared" si="372"/>
        <v>2017</v>
      </c>
      <c r="F22347" t="s">
        <v>3548</v>
      </c>
      <c r="G22347" s="9">
        <v>1528.64</v>
      </c>
      <c r="H22347" s="8">
        <v>25769</v>
      </c>
    </row>
    <row r="22348" spans="2:8" ht="15" customHeight="1" x14ac:dyDescent="0.4">
      <c r="B22348" t="s">
        <v>7</v>
      </c>
      <c r="C22348" t="s">
        <v>3549</v>
      </c>
      <c r="D22348" s="7">
        <f>DATE(2017,1,12)</f>
        <v>42747</v>
      </c>
      <c r="E22348" s="8">
        <f t="shared" si="372"/>
        <v>2017</v>
      </c>
      <c r="F22348" t="s">
        <v>3550</v>
      </c>
      <c r="G22348" s="9">
        <v>115.18</v>
      </c>
      <c r="H22348" s="8">
        <v>24095</v>
      </c>
    </row>
    <row r="22349" spans="2:8" ht="15" customHeight="1" x14ac:dyDescent="0.4">
      <c r="B22349" t="s">
        <v>7</v>
      </c>
      <c r="C22349" t="s">
        <v>3549</v>
      </c>
      <c r="D22349" s="7">
        <f>DATE(2017,5,11)</f>
        <v>42866</v>
      </c>
      <c r="E22349" s="8">
        <f t="shared" si="372"/>
        <v>2017</v>
      </c>
      <c r="F22349" t="s">
        <v>3550</v>
      </c>
      <c r="G22349" s="9">
        <v>78.66</v>
      </c>
      <c r="H22349" s="8">
        <v>24876</v>
      </c>
    </row>
    <row r="22350" spans="2:8" ht="15" customHeight="1" x14ac:dyDescent="0.4">
      <c r="B22350" s="3" t="s">
        <v>7</v>
      </c>
      <c r="C22350" s="3" t="s">
        <v>3549</v>
      </c>
      <c r="D22350" s="4">
        <f>DATE(2008,10,8)</f>
        <v>39729</v>
      </c>
      <c r="E22350" s="5">
        <f t="shared" si="372"/>
        <v>2008</v>
      </c>
      <c r="F22350" s="3" t="s">
        <v>3550</v>
      </c>
      <c r="G22350" s="6">
        <v>377.75</v>
      </c>
      <c r="H22350" s="5">
        <v>11385</v>
      </c>
    </row>
    <row r="22351" spans="2:8" ht="15" customHeight="1" x14ac:dyDescent="0.4">
      <c r="B22351" s="3" t="s">
        <v>7</v>
      </c>
      <c r="C22351" s="3" t="s">
        <v>3549</v>
      </c>
      <c r="D22351" s="4">
        <f>DATE(2009,1,19)</f>
        <v>39832</v>
      </c>
      <c r="E22351" s="5">
        <f t="shared" si="372"/>
        <v>2009</v>
      </c>
      <c r="F22351" s="3" t="s">
        <v>3550</v>
      </c>
      <c r="G22351" s="6">
        <v>100.8</v>
      </c>
      <c r="H22351" s="5">
        <v>11839</v>
      </c>
    </row>
    <row r="22352" spans="2:8" ht="15" customHeight="1" x14ac:dyDescent="0.4">
      <c r="B22352" s="3" t="s">
        <v>7</v>
      </c>
      <c r="C22352" s="3" t="s">
        <v>3549</v>
      </c>
      <c r="D22352" s="4">
        <f>DATE(2010,12,22)</f>
        <v>40534</v>
      </c>
      <c r="E22352" s="5">
        <f t="shared" si="372"/>
        <v>2010</v>
      </c>
      <c r="F22352" s="3" t="s">
        <v>3550</v>
      </c>
      <c r="G22352" s="6">
        <v>293.95999999999998</v>
      </c>
      <c r="H22352" s="5">
        <v>14851</v>
      </c>
    </row>
    <row r="22353" spans="2:8" ht="15" customHeight="1" x14ac:dyDescent="0.4">
      <c r="B22353" s="3" t="s">
        <v>7</v>
      </c>
      <c r="C22353" s="3" t="s">
        <v>3549</v>
      </c>
      <c r="D22353" s="4">
        <f>DATE(2011,1,24)</f>
        <v>40567</v>
      </c>
      <c r="E22353" s="5">
        <f t="shared" si="372"/>
        <v>2011</v>
      </c>
      <c r="F22353" s="3" t="s">
        <v>3550</v>
      </c>
      <c r="G22353" s="6">
        <v>244.5</v>
      </c>
      <c r="H22353" s="5">
        <v>14959</v>
      </c>
    </row>
    <row r="22354" spans="2:8" ht="15" customHeight="1" x14ac:dyDescent="0.4">
      <c r="B22354" s="3" t="s">
        <v>7</v>
      </c>
      <c r="C22354" s="3" t="s">
        <v>3549</v>
      </c>
      <c r="D22354" s="4">
        <f>DATE(2011,8,8)</f>
        <v>40763</v>
      </c>
      <c r="E22354" s="5">
        <f t="shared" si="372"/>
        <v>2011</v>
      </c>
      <c r="F22354" s="3" t="s">
        <v>3550</v>
      </c>
      <c r="G22354" s="6">
        <v>88.73</v>
      </c>
      <c r="H22354" s="5">
        <v>15835</v>
      </c>
    </row>
    <row r="22355" spans="2:8" ht="15" customHeight="1" x14ac:dyDescent="0.4">
      <c r="B22355" s="3" t="s">
        <v>7</v>
      </c>
      <c r="C22355" s="3" t="s">
        <v>3549</v>
      </c>
      <c r="D22355" s="4">
        <f>DATE(2011,10,21)</f>
        <v>40837</v>
      </c>
      <c r="E22355" s="5">
        <f t="shared" si="372"/>
        <v>2011</v>
      </c>
      <c r="F22355" s="3" t="s">
        <v>3550</v>
      </c>
      <c r="G22355" s="6">
        <v>244.5</v>
      </c>
      <c r="H22355" s="5">
        <v>16100</v>
      </c>
    </row>
    <row r="22356" spans="2:8" ht="15" customHeight="1" x14ac:dyDescent="0.4">
      <c r="B22356" s="3" t="s">
        <v>7</v>
      </c>
      <c r="C22356" s="3" t="s">
        <v>3549</v>
      </c>
      <c r="D22356" s="4">
        <f>DATE(2014,2,21)</f>
        <v>41691</v>
      </c>
      <c r="E22356" s="5">
        <f t="shared" si="372"/>
        <v>2014</v>
      </c>
      <c r="F22356" s="3" t="s">
        <v>3550</v>
      </c>
      <c r="G22356" s="6">
        <v>94.42</v>
      </c>
      <c r="H22356" s="5">
        <v>19571</v>
      </c>
    </row>
    <row r="22357" spans="2:8" ht="15" customHeight="1" x14ac:dyDescent="0.4">
      <c r="B22357" s="3" t="s">
        <v>7</v>
      </c>
      <c r="C22357" s="3" t="s">
        <v>3549</v>
      </c>
      <c r="D22357" s="4">
        <f>DATE(2014,4,1)</f>
        <v>41730</v>
      </c>
      <c r="E22357" s="5">
        <f t="shared" si="372"/>
        <v>2014</v>
      </c>
      <c r="F22357" s="3" t="s">
        <v>3550</v>
      </c>
      <c r="G22357" s="6">
        <v>955</v>
      </c>
      <c r="H22357" s="5">
        <v>19781</v>
      </c>
    </row>
    <row r="22358" spans="2:8" ht="15" customHeight="1" x14ac:dyDescent="0.4">
      <c r="B22358" t="s">
        <v>7</v>
      </c>
      <c r="C22358" t="s">
        <v>3551</v>
      </c>
      <c r="D22358" s="7">
        <f>DATE(2017,5,16)</f>
        <v>42871</v>
      </c>
      <c r="E22358" s="8">
        <f t="shared" si="372"/>
        <v>2017</v>
      </c>
      <c r="F22358" t="s">
        <v>3552</v>
      </c>
      <c r="G22358" s="9">
        <v>260</v>
      </c>
      <c r="H22358" s="8">
        <v>24944</v>
      </c>
    </row>
    <row r="22359" spans="2:8" ht="15" customHeight="1" x14ac:dyDescent="0.4">
      <c r="B22359" t="s">
        <v>7</v>
      </c>
      <c r="C22359" t="s">
        <v>3551</v>
      </c>
      <c r="D22359" s="7">
        <f>DATE(2017,5,18)</f>
        <v>42873</v>
      </c>
      <c r="E22359" s="8">
        <f t="shared" si="372"/>
        <v>2017</v>
      </c>
      <c r="F22359" t="s">
        <v>3552</v>
      </c>
      <c r="G22359" s="9">
        <v>260</v>
      </c>
      <c r="H22359" s="8">
        <v>24961</v>
      </c>
    </row>
    <row r="22360" spans="2:8" ht="15" customHeight="1" x14ac:dyDescent="0.4">
      <c r="B22360" t="s">
        <v>7</v>
      </c>
      <c r="C22360" t="s">
        <v>3551</v>
      </c>
      <c r="D22360" s="7">
        <f>DATE(2017,5,24)</f>
        <v>42879</v>
      </c>
      <c r="E22360" s="8">
        <f t="shared" si="372"/>
        <v>2017</v>
      </c>
      <c r="F22360" t="s">
        <v>3552</v>
      </c>
      <c r="G22360" s="9">
        <v>1320</v>
      </c>
      <c r="H22360" s="8">
        <v>24998</v>
      </c>
    </row>
    <row r="22361" spans="2:8" ht="15" customHeight="1" x14ac:dyDescent="0.4">
      <c r="B22361" t="s">
        <v>7</v>
      </c>
      <c r="C22361" t="s">
        <v>3551</v>
      </c>
      <c r="D22361" s="7">
        <f>DATE(2015,8,27)</f>
        <v>42243</v>
      </c>
      <c r="E22361" s="8">
        <f t="shared" si="372"/>
        <v>2015</v>
      </c>
      <c r="F22361" t="s">
        <v>3552</v>
      </c>
      <c r="G22361" s="9">
        <v>3936.42</v>
      </c>
      <c r="H22361" s="8">
        <v>21130</v>
      </c>
    </row>
    <row r="22362" spans="2:8" ht="15" customHeight="1" x14ac:dyDescent="0.4">
      <c r="B22362" t="s">
        <v>7</v>
      </c>
      <c r="C22362" t="s">
        <v>3551</v>
      </c>
      <c r="D22362" s="7">
        <f>DATE(2017,5,10)</f>
        <v>42865</v>
      </c>
      <c r="E22362" s="8">
        <f t="shared" si="372"/>
        <v>2017</v>
      </c>
      <c r="F22362" t="s">
        <v>3552</v>
      </c>
      <c r="G22362" s="9">
        <v>5784.35</v>
      </c>
      <c r="H22362" s="8">
        <v>24890</v>
      </c>
    </row>
    <row r="22363" spans="2:8" ht="15" customHeight="1" x14ac:dyDescent="0.4">
      <c r="B22363" t="s">
        <v>7</v>
      </c>
      <c r="C22363" t="s">
        <v>3551</v>
      </c>
      <c r="D22363" s="7">
        <f>DATE(2017,5,24)</f>
        <v>42879</v>
      </c>
      <c r="E22363" s="8">
        <f t="shared" si="372"/>
        <v>2017</v>
      </c>
      <c r="F22363" t="s">
        <v>3552</v>
      </c>
      <c r="G22363" s="9">
        <v>6102.36</v>
      </c>
      <c r="H22363" s="8">
        <v>24980</v>
      </c>
    </row>
    <row r="22364" spans="2:8" ht="15" customHeight="1" x14ac:dyDescent="0.4">
      <c r="B22364" t="s">
        <v>7</v>
      </c>
      <c r="C22364" t="s">
        <v>3551</v>
      </c>
      <c r="D22364" s="7">
        <f>DATE(2018,3,13)</f>
        <v>43172</v>
      </c>
      <c r="E22364" s="8">
        <f t="shared" si="372"/>
        <v>2018</v>
      </c>
      <c r="F22364" t="s">
        <v>3552</v>
      </c>
      <c r="G22364" s="9">
        <v>3691.68</v>
      </c>
      <c r="H22364" s="8">
        <v>26635</v>
      </c>
    </row>
    <row r="22365" spans="2:8" ht="15" customHeight="1" x14ac:dyDescent="0.4">
      <c r="B22365" t="s">
        <v>7</v>
      </c>
      <c r="C22365" t="s">
        <v>3551</v>
      </c>
      <c r="D22365" s="7">
        <f>DATE(2013,1,25)</f>
        <v>41299</v>
      </c>
      <c r="E22365" s="8">
        <f t="shared" si="372"/>
        <v>2013</v>
      </c>
      <c r="F22365" t="s">
        <v>3552</v>
      </c>
      <c r="G22365" s="9">
        <v>1708.46</v>
      </c>
      <c r="H22365" s="8">
        <v>12123</v>
      </c>
    </row>
    <row r="22366" spans="2:8" ht="15" customHeight="1" x14ac:dyDescent="0.4">
      <c r="B22366" t="s">
        <v>7</v>
      </c>
      <c r="C22366" t="s">
        <v>3551</v>
      </c>
      <c r="D22366" s="7">
        <f>DATE(2004,2,5)</f>
        <v>38022</v>
      </c>
      <c r="E22366" s="8">
        <f t="shared" si="372"/>
        <v>2004</v>
      </c>
      <c r="F22366" t="s">
        <v>3553</v>
      </c>
      <c r="G22366" s="9">
        <v>2117.08</v>
      </c>
      <c r="H22366" s="8">
        <v>1182</v>
      </c>
    </row>
    <row r="22367" spans="2:8" ht="15" customHeight="1" x14ac:dyDescent="0.4">
      <c r="B22367" t="s">
        <v>7</v>
      </c>
      <c r="C22367" t="s">
        <v>3551</v>
      </c>
      <c r="D22367" s="7">
        <f>DATE(2006,2,23)</f>
        <v>38771</v>
      </c>
      <c r="E22367" s="8">
        <f t="shared" si="372"/>
        <v>2006</v>
      </c>
      <c r="F22367" t="s">
        <v>3553</v>
      </c>
      <c r="G22367" s="9">
        <v>2663.64</v>
      </c>
      <c r="H22367" s="8">
        <v>4182</v>
      </c>
    </row>
    <row r="22368" spans="2:8" ht="15" customHeight="1" x14ac:dyDescent="0.4">
      <c r="B22368" t="s">
        <v>7</v>
      </c>
      <c r="C22368" t="s">
        <v>3551</v>
      </c>
      <c r="D22368" s="7">
        <f>DATE(2007,2,17)</f>
        <v>39130</v>
      </c>
      <c r="E22368" s="8">
        <f t="shared" si="372"/>
        <v>2007</v>
      </c>
      <c r="F22368" t="s">
        <v>3553</v>
      </c>
      <c r="G22368" s="9">
        <v>2805.45</v>
      </c>
      <c r="H22368" s="8">
        <v>5577</v>
      </c>
    </row>
    <row r="22369" spans="2:8" ht="15" customHeight="1" x14ac:dyDescent="0.4">
      <c r="B22369" t="s">
        <v>7</v>
      </c>
      <c r="C22369" t="s">
        <v>928</v>
      </c>
      <c r="D22369" s="7">
        <f>DATE(2007,3,29)</f>
        <v>39170</v>
      </c>
      <c r="E22369" s="8">
        <f t="shared" si="372"/>
        <v>2007</v>
      </c>
      <c r="F22369" t="s">
        <v>3554</v>
      </c>
      <c r="G22369" s="9">
        <v>6648.04</v>
      </c>
      <c r="H22369" s="8">
        <v>5761</v>
      </c>
    </row>
    <row r="22370" spans="2:8" ht="15" customHeight="1" x14ac:dyDescent="0.4">
      <c r="B22370" s="3" t="s">
        <v>7</v>
      </c>
      <c r="C22370" s="3" t="s">
        <v>3555</v>
      </c>
      <c r="D22370" s="4">
        <f>DATE(2006,8,7)</f>
        <v>38936</v>
      </c>
      <c r="E22370" s="5">
        <f t="shared" si="372"/>
        <v>2006</v>
      </c>
      <c r="F22370" s="3" t="s">
        <v>3556</v>
      </c>
      <c r="G22370" s="6">
        <v>1429.3</v>
      </c>
      <c r="H22370" s="5">
        <v>1717</v>
      </c>
    </row>
    <row r="22371" spans="2:8" ht="15" customHeight="1" x14ac:dyDescent="0.4">
      <c r="B22371" t="s">
        <v>7</v>
      </c>
      <c r="C22371" t="s">
        <v>3557</v>
      </c>
      <c r="D22371" s="7">
        <f>DATE(2016,5,27)</f>
        <v>42517</v>
      </c>
      <c r="E22371" s="8">
        <f t="shared" si="372"/>
        <v>2016</v>
      </c>
      <c r="F22371" t="s">
        <v>3558</v>
      </c>
      <c r="G22371" s="9">
        <v>11154.6</v>
      </c>
      <c r="H22371" s="8">
        <v>22398</v>
      </c>
    </row>
    <row r="22372" spans="2:8" ht="15" customHeight="1" x14ac:dyDescent="0.4">
      <c r="B22372" t="s">
        <v>7</v>
      </c>
      <c r="C22372" t="s">
        <v>3557</v>
      </c>
      <c r="D22372" s="7">
        <f>DATE(2016,5,27)</f>
        <v>42517</v>
      </c>
      <c r="E22372" s="8">
        <f t="shared" si="372"/>
        <v>2016</v>
      </c>
      <c r="F22372" t="s">
        <v>3558</v>
      </c>
      <c r="G22372" s="9">
        <v>4865.49</v>
      </c>
      <c r="H22372" s="8">
        <v>22795</v>
      </c>
    </row>
    <row r="22373" spans="2:8" ht="15" customHeight="1" x14ac:dyDescent="0.4">
      <c r="B22373" t="s">
        <v>7</v>
      </c>
      <c r="C22373" t="s">
        <v>3557</v>
      </c>
      <c r="D22373" s="7">
        <f>DATE(2016,8,29)</f>
        <v>42611</v>
      </c>
      <c r="E22373" s="8">
        <f t="shared" si="372"/>
        <v>2016</v>
      </c>
      <c r="F22373" t="s">
        <v>3558</v>
      </c>
      <c r="G22373" s="9">
        <v>34495</v>
      </c>
      <c r="H22373" s="8">
        <v>23298</v>
      </c>
    </row>
    <row r="22374" spans="2:8" ht="15" customHeight="1" x14ac:dyDescent="0.4">
      <c r="B22374" t="s">
        <v>7</v>
      </c>
      <c r="C22374" t="s">
        <v>3557</v>
      </c>
      <c r="D22374" s="7">
        <f t="shared" ref="D22374:D22383" si="373">DATE(2017,5,19)</f>
        <v>42874</v>
      </c>
      <c r="E22374" s="8">
        <f t="shared" si="372"/>
        <v>2017</v>
      </c>
      <c r="F22374" t="s">
        <v>3558</v>
      </c>
      <c r="G22374" s="9">
        <v>2094</v>
      </c>
      <c r="H22374" s="8">
        <v>24742</v>
      </c>
    </row>
    <row r="22375" spans="2:8" ht="15" customHeight="1" x14ac:dyDescent="0.4">
      <c r="B22375" t="s">
        <v>7</v>
      </c>
      <c r="C22375" t="s">
        <v>3557</v>
      </c>
      <c r="D22375" s="7">
        <f t="shared" si="373"/>
        <v>42874</v>
      </c>
      <c r="E22375" s="8">
        <f t="shared" si="372"/>
        <v>2017</v>
      </c>
      <c r="F22375" t="s">
        <v>3558</v>
      </c>
      <c r="G22375" s="9">
        <v>2144</v>
      </c>
      <c r="H22375" s="8">
        <v>24977</v>
      </c>
    </row>
    <row r="22376" spans="2:8" ht="15" customHeight="1" x14ac:dyDescent="0.4">
      <c r="B22376" t="s">
        <v>7</v>
      </c>
      <c r="C22376" t="s">
        <v>3557</v>
      </c>
      <c r="D22376" s="7">
        <f t="shared" si="373"/>
        <v>42874</v>
      </c>
      <c r="E22376" s="8">
        <f t="shared" si="372"/>
        <v>2017</v>
      </c>
      <c r="F22376" t="s">
        <v>3558</v>
      </c>
      <c r="G22376" s="9">
        <v>2359.9</v>
      </c>
      <c r="H22376" s="8">
        <v>24478</v>
      </c>
    </row>
    <row r="22377" spans="2:8" ht="15" customHeight="1" x14ac:dyDescent="0.4">
      <c r="B22377" t="s">
        <v>7</v>
      </c>
      <c r="C22377" t="s">
        <v>3557</v>
      </c>
      <c r="D22377" s="7">
        <f t="shared" si="373"/>
        <v>42874</v>
      </c>
      <c r="E22377" s="8">
        <f t="shared" si="372"/>
        <v>2017</v>
      </c>
      <c r="F22377" t="s">
        <v>3558</v>
      </c>
      <c r="G22377" s="9">
        <v>1644.4</v>
      </c>
      <c r="H22377" s="8">
        <v>24479</v>
      </c>
    </row>
    <row r="22378" spans="2:8" ht="15" customHeight="1" x14ac:dyDescent="0.4">
      <c r="B22378" t="s">
        <v>7</v>
      </c>
      <c r="C22378" t="s">
        <v>3557</v>
      </c>
      <c r="D22378" s="7">
        <f t="shared" si="373"/>
        <v>42874</v>
      </c>
      <c r="E22378" s="8">
        <f t="shared" si="372"/>
        <v>2017</v>
      </c>
      <c r="F22378" t="s">
        <v>3558</v>
      </c>
      <c r="G22378" s="9">
        <v>2034.35</v>
      </c>
      <c r="H22378" s="8">
        <v>24470</v>
      </c>
    </row>
    <row r="22379" spans="2:8" ht="15" customHeight="1" x14ac:dyDescent="0.4">
      <c r="B22379" t="s">
        <v>7</v>
      </c>
      <c r="C22379" t="s">
        <v>3557</v>
      </c>
      <c r="D22379" s="7">
        <f t="shared" si="373"/>
        <v>42874</v>
      </c>
      <c r="E22379" s="8">
        <f t="shared" si="372"/>
        <v>2017</v>
      </c>
      <c r="F22379" t="s">
        <v>3558</v>
      </c>
      <c r="G22379" s="9">
        <v>2792.5</v>
      </c>
      <c r="H22379" s="8">
        <v>24472</v>
      </c>
    </row>
    <row r="22380" spans="2:8" ht="15" customHeight="1" x14ac:dyDescent="0.4">
      <c r="B22380" t="s">
        <v>7</v>
      </c>
      <c r="C22380" t="s">
        <v>3557</v>
      </c>
      <c r="D22380" s="7">
        <f t="shared" si="373"/>
        <v>42874</v>
      </c>
      <c r="E22380" s="8">
        <f t="shared" si="372"/>
        <v>2017</v>
      </c>
      <c r="F22380" t="s">
        <v>3558</v>
      </c>
      <c r="G22380" s="9">
        <v>2780</v>
      </c>
      <c r="H22380" s="8">
        <v>24471</v>
      </c>
    </row>
    <row r="22381" spans="2:8" ht="15" customHeight="1" x14ac:dyDescent="0.4">
      <c r="B22381" t="s">
        <v>7</v>
      </c>
      <c r="C22381" t="s">
        <v>3557</v>
      </c>
      <c r="D22381" s="7">
        <f t="shared" si="373"/>
        <v>42874</v>
      </c>
      <c r="E22381" s="8">
        <f t="shared" si="372"/>
        <v>2017</v>
      </c>
      <c r="F22381" t="s">
        <v>3558</v>
      </c>
      <c r="G22381" s="9">
        <v>2365.4</v>
      </c>
      <c r="H22381" s="8">
        <v>24477</v>
      </c>
    </row>
    <row r="22382" spans="2:8" ht="15" customHeight="1" x14ac:dyDescent="0.4">
      <c r="B22382" t="s">
        <v>7</v>
      </c>
      <c r="C22382" t="s">
        <v>3557</v>
      </c>
      <c r="D22382" s="7">
        <f t="shared" si="373"/>
        <v>42874</v>
      </c>
      <c r="E22382" s="8">
        <f t="shared" si="372"/>
        <v>2017</v>
      </c>
      <c r="F22382" t="s">
        <v>3558</v>
      </c>
      <c r="G22382" s="9">
        <v>2164.6999999999998</v>
      </c>
      <c r="H22382" s="8">
        <v>24475</v>
      </c>
    </row>
    <row r="22383" spans="2:8" ht="15" customHeight="1" x14ac:dyDescent="0.4">
      <c r="B22383" t="s">
        <v>7</v>
      </c>
      <c r="C22383" t="s">
        <v>3557</v>
      </c>
      <c r="D22383" s="7">
        <f t="shared" si="373"/>
        <v>42874</v>
      </c>
      <c r="E22383" s="8">
        <f t="shared" si="372"/>
        <v>2017</v>
      </c>
      <c r="F22383" t="s">
        <v>3558</v>
      </c>
      <c r="G22383" s="9">
        <v>3416</v>
      </c>
      <c r="H22383" s="8">
        <v>24476</v>
      </c>
    </row>
    <row r="22384" spans="2:8" ht="15" customHeight="1" x14ac:dyDescent="0.4">
      <c r="B22384" t="s">
        <v>7</v>
      </c>
      <c r="C22384" t="s">
        <v>3557</v>
      </c>
      <c r="D22384" s="7">
        <f>DATE(2017,10,2)</f>
        <v>43010</v>
      </c>
      <c r="E22384" s="8">
        <f t="shared" si="372"/>
        <v>2017</v>
      </c>
      <c r="F22384" t="s">
        <v>3558</v>
      </c>
      <c r="G22384" s="9">
        <v>41404.51</v>
      </c>
      <c r="H22384" s="8">
        <v>25500</v>
      </c>
    </row>
    <row r="22385" spans="2:8" ht="15" customHeight="1" x14ac:dyDescent="0.4">
      <c r="B22385" t="s">
        <v>7</v>
      </c>
      <c r="C22385" t="s">
        <v>3557</v>
      </c>
      <c r="D22385" s="7">
        <f>DATE(2018,5,24)</f>
        <v>43244</v>
      </c>
      <c r="E22385" s="8">
        <f t="shared" si="372"/>
        <v>2018</v>
      </c>
      <c r="F22385" t="s">
        <v>3558</v>
      </c>
      <c r="G22385" s="9">
        <v>42871.31</v>
      </c>
      <c r="H22385" s="8">
        <v>26607</v>
      </c>
    </row>
    <row r="22386" spans="2:8" ht="15" customHeight="1" x14ac:dyDescent="0.4">
      <c r="B22386" t="s">
        <v>7</v>
      </c>
      <c r="C22386" t="s">
        <v>3557</v>
      </c>
      <c r="D22386" s="7">
        <f>DATE(2018,10,1)</f>
        <v>43374</v>
      </c>
      <c r="E22386" s="8">
        <f t="shared" si="372"/>
        <v>2018</v>
      </c>
      <c r="F22386" t="s">
        <v>3558</v>
      </c>
      <c r="G22386" s="9">
        <v>17107.259999999998</v>
      </c>
      <c r="H22386" s="8">
        <v>27442</v>
      </c>
    </row>
    <row r="22387" spans="2:8" ht="15" customHeight="1" x14ac:dyDescent="0.4">
      <c r="B22387" t="s">
        <v>7</v>
      </c>
      <c r="C22387" t="s">
        <v>3557</v>
      </c>
      <c r="D22387" s="7">
        <f>DATE(2015,11,17)</f>
        <v>42325</v>
      </c>
      <c r="E22387" s="8">
        <f t="shared" si="372"/>
        <v>2015</v>
      </c>
      <c r="F22387" t="s">
        <v>3559</v>
      </c>
      <c r="G22387" s="9">
        <v>64541.42</v>
      </c>
      <c r="H22387" s="8">
        <v>21169</v>
      </c>
    </row>
    <row r="22388" spans="2:8" ht="15" customHeight="1" x14ac:dyDescent="0.4">
      <c r="B22388" t="s">
        <v>7</v>
      </c>
      <c r="C22388" t="s">
        <v>3557</v>
      </c>
      <c r="D22388" s="7">
        <f>DATE(2015,11,2)</f>
        <v>42310</v>
      </c>
      <c r="E22388" s="8">
        <f t="shared" si="372"/>
        <v>2015</v>
      </c>
      <c r="F22388" t="s">
        <v>3559</v>
      </c>
      <c r="G22388" s="9">
        <v>9560.2000000000007</v>
      </c>
      <c r="H22388" s="8">
        <v>21168</v>
      </c>
    </row>
    <row r="22389" spans="2:8" ht="15" customHeight="1" x14ac:dyDescent="0.4">
      <c r="B22389" s="3" t="s">
        <v>7</v>
      </c>
      <c r="C22389" s="3" t="s">
        <v>3557</v>
      </c>
      <c r="D22389" s="4">
        <f>DATE(2013,6,6)</f>
        <v>41431</v>
      </c>
      <c r="E22389" s="5">
        <f t="shared" si="372"/>
        <v>2013</v>
      </c>
      <c r="F22389" s="3" t="s">
        <v>3559</v>
      </c>
      <c r="G22389" s="6">
        <v>27340.22</v>
      </c>
      <c r="H22389" s="5">
        <v>5576</v>
      </c>
    </row>
    <row r="22390" spans="2:8" ht="15" customHeight="1" x14ac:dyDescent="0.4">
      <c r="B22390" s="3" t="s">
        <v>7</v>
      </c>
      <c r="C22390" s="3" t="s">
        <v>3557</v>
      </c>
      <c r="D22390" s="4">
        <f>DATE(2013,10,15)</f>
        <v>41562</v>
      </c>
      <c r="E22390" s="5">
        <f t="shared" si="372"/>
        <v>2013</v>
      </c>
      <c r="F22390" s="3" t="s">
        <v>3559</v>
      </c>
      <c r="G22390" s="6">
        <v>37982.07</v>
      </c>
      <c r="H22390" s="5">
        <v>5826</v>
      </c>
    </row>
    <row r="22391" spans="2:8" ht="15" customHeight="1" x14ac:dyDescent="0.4">
      <c r="B22391" s="3" t="s">
        <v>7</v>
      </c>
      <c r="C22391" s="3" t="s">
        <v>3557</v>
      </c>
      <c r="D22391" s="4">
        <f>DATE(2013,6,6)</f>
        <v>41431</v>
      </c>
      <c r="E22391" s="5">
        <f t="shared" si="372"/>
        <v>2013</v>
      </c>
      <c r="F22391" s="3" t="s">
        <v>3559</v>
      </c>
      <c r="G22391" s="6">
        <v>190974.31</v>
      </c>
      <c r="H22391" s="5">
        <v>5573</v>
      </c>
    </row>
    <row r="22392" spans="2:8" ht="15" customHeight="1" x14ac:dyDescent="0.4">
      <c r="B22392" s="3" t="s">
        <v>7</v>
      </c>
      <c r="C22392" s="3" t="s">
        <v>3557</v>
      </c>
      <c r="D22392" s="4">
        <f>DATE(2013,10,15)</f>
        <v>41562</v>
      </c>
      <c r="E22392" s="5">
        <f t="shared" si="372"/>
        <v>2013</v>
      </c>
      <c r="F22392" s="3" t="s">
        <v>3559</v>
      </c>
      <c r="G22392" s="6">
        <v>80884.570000000007</v>
      </c>
      <c r="H22392" s="5">
        <v>5827</v>
      </c>
    </row>
    <row r="22393" spans="2:8" ht="15" customHeight="1" x14ac:dyDescent="0.4">
      <c r="B22393" s="3" t="s">
        <v>7</v>
      </c>
      <c r="C22393" s="3" t="s">
        <v>3557</v>
      </c>
      <c r="D22393" s="4">
        <f>DATE(2014,5,16)</f>
        <v>41775</v>
      </c>
      <c r="E22393" s="5">
        <f t="shared" si="372"/>
        <v>2014</v>
      </c>
      <c r="F22393" s="3" t="s">
        <v>3559</v>
      </c>
      <c r="G22393" s="6">
        <v>35389</v>
      </c>
      <c r="H22393" s="5">
        <v>6121</v>
      </c>
    </row>
    <row r="22394" spans="2:8" ht="15" customHeight="1" x14ac:dyDescent="0.4">
      <c r="B22394" s="3" t="s">
        <v>7</v>
      </c>
      <c r="C22394" s="3" t="s">
        <v>3560</v>
      </c>
      <c r="D22394" s="4">
        <f>DATE(2005,4,5)</f>
        <v>38447</v>
      </c>
      <c r="E22394" s="5">
        <f t="shared" si="372"/>
        <v>2005</v>
      </c>
      <c r="F22394" s="3" t="s">
        <v>3561</v>
      </c>
      <c r="G22394" s="6">
        <v>3750</v>
      </c>
      <c r="H22394" s="5">
        <v>3867</v>
      </c>
    </row>
    <row r="22395" spans="2:8" ht="15" customHeight="1" x14ac:dyDescent="0.4">
      <c r="B22395" s="3" t="s">
        <v>7</v>
      </c>
      <c r="C22395" s="3" t="s">
        <v>3560</v>
      </c>
      <c r="D22395" s="4">
        <f>DATE(2007,5,29)</f>
        <v>39231</v>
      </c>
      <c r="E22395" s="5">
        <f t="shared" si="372"/>
        <v>2007</v>
      </c>
      <c r="F22395" s="3" t="s">
        <v>3561</v>
      </c>
      <c r="G22395" s="6">
        <v>4000</v>
      </c>
      <c r="H22395" s="5">
        <v>8456</v>
      </c>
    </row>
    <row r="22396" spans="2:8" ht="15" customHeight="1" x14ac:dyDescent="0.4">
      <c r="B22396" t="s">
        <v>7</v>
      </c>
      <c r="C22396" t="s">
        <v>3562</v>
      </c>
      <c r="D22396" s="7">
        <f>DATE(2018,3,27)</f>
        <v>43186</v>
      </c>
      <c r="E22396" s="8">
        <f t="shared" si="372"/>
        <v>2018</v>
      </c>
      <c r="F22396" t="s">
        <v>3563</v>
      </c>
      <c r="G22396" s="9">
        <v>4341.7</v>
      </c>
      <c r="H22396" s="8">
        <v>26705</v>
      </c>
    </row>
    <row r="22397" spans="2:8" ht="15" customHeight="1" x14ac:dyDescent="0.4">
      <c r="B22397" s="3" t="s">
        <v>7</v>
      </c>
      <c r="C22397" s="3" t="s">
        <v>3564</v>
      </c>
      <c r="D22397" s="4">
        <f>DATE(2004,4,6)</f>
        <v>38083</v>
      </c>
      <c r="E22397" s="5">
        <f t="shared" si="372"/>
        <v>2004</v>
      </c>
      <c r="F22397" s="3" t="s">
        <v>3565</v>
      </c>
      <c r="G22397" s="6">
        <v>1549.36</v>
      </c>
      <c r="H22397" s="5">
        <v>602</v>
      </c>
    </row>
    <row r="22398" spans="2:8" ht="15" customHeight="1" x14ac:dyDescent="0.4">
      <c r="B22398" s="3" t="s">
        <v>7</v>
      </c>
      <c r="C22398" s="3" t="s">
        <v>3564</v>
      </c>
      <c r="D22398" s="4">
        <f>DATE(2004,4,6)</f>
        <v>38083</v>
      </c>
      <c r="E22398" s="5">
        <f t="shared" si="372"/>
        <v>2004</v>
      </c>
      <c r="F22398" s="3" t="s">
        <v>3565</v>
      </c>
      <c r="G22398" s="6">
        <v>127.83</v>
      </c>
      <c r="H22398" s="5">
        <v>605</v>
      </c>
    </row>
    <row r="22399" spans="2:8" ht="15" customHeight="1" x14ac:dyDescent="0.4">
      <c r="B22399" s="3" t="s">
        <v>7</v>
      </c>
      <c r="C22399" s="3" t="s">
        <v>3564</v>
      </c>
      <c r="D22399" s="4">
        <f>DATE(2004,6,16)</f>
        <v>38154</v>
      </c>
      <c r="E22399" s="5">
        <f t="shared" si="372"/>
        <v>2004</v>
      </c>
      <c r="F22399" s="3" t="s">
        <v>3565</v>
      </c>
      <c r="G22399" s="6">
        <v>1191</v>
      </c>
      <c r="H22399" s="5">
        <v>692</v>
      </c>
    </row>
    <row r="22400" spans="2:8" ht="15" customHeight="1" x14ac:dyDescent="0.4">
      <c r="B22400" s="3" t="s">
        <v>7</v>
      </c>
      <c r="C22400" s="3" t="s">
        <v>3564</v>
      </c>
      <c r="D22400" s="4">
        <f>DATE(2005,4,4)</f>
        <v>38446</v>
      </c>
      <c r="E22400" s="5">
        <f t="shared" si="372"/>
        <v>2005</v>
      </c>
      <c r="F22400" s="3" t="s">
        <v>3565</v>
      </c>
      <c r="G22400" s="6">
        <v>617.9</v>
      </c>
      <c r="H22400" s="5">
        <v>1021</v>
      </c>
    </row>
    <row r="22401" spans="2:8" ht="15" customHeight="1" x14ac:dyDescent="0.4">
      <c r="B22401" s="3" t="s">
        <v>7</v>
      </c>
      <c r="C22401" s="3" t="s">
        <v>3566</v>
      </c>
      <c r="D22401" s="4">
        <f>DATE(2003,3,8)</f>
        <v>37688</v>
      </c>
      <c r="E22401" s="5">
        <f t="shared" si="372"/>
        <v>2003</v>
      </c>
      <c r="F22401" s="3" t="s">
        <v>3567</v>
      </c>
      <c r="G22401" s="6">
        <v>9379.34</v>
      </c>
      <c r="H22401" s="5">
        <v>51</v>
      </c>
    </row>
    <row r="22402" spans="2:8" ht="15" customHeight="1" x14ac:dyDescent="0.4">
      <c r="B22402" t="s">
        <v>7</v>
      </c>
      <c r="C22402" t="s">
        <v>3568</v>
      </c>
      <c r="D22402" s="7">
        <f>DATE(2016,10,27)</f>
        <v>42670</v>
      </c>
      <c r="E22402" s="8">
        <f t="shared" si="372"/>
        <v>2016</v>
      </c>
      <c r="F22402" t="s">
        <v>3569</v>
      </c>
      <c r="G22402" s="9">
        <v>562.33000000000004</v>
      </c>
      <c r="H22402" s="8">
        <v>23720</v>
      </c>
    </row>
    <row r="22403" spans="2:8" ht="15" customHeight="1" x14ac:dyDescent="0.4">
      <c r="B22403" t="s">
        <v>7</v>
      </c>
      <c r="C22403" t="s">
        <v>3570</v>
      </c>
      <c r="D22403" s="7">
        <f>DATE(2015,6,2)</f>
        <v>42157</v>
      </c>
      <c r="E22403" s="8">
        <f t="shared" ref="E22403:E22466" si="374">YEAR(D22403)</f>
        <v>2015</v>
      </c>
      <c r="F22403" t="s">
        <v>3571</v>
      </c>
      <c r="G22403" s="9">
        <v>16742.46</v>
      </c>
      <c r="H22403" s="8">
        <v>20088</v>
      </c>
    </row>
    <row r="22404" spans="2:8" ht="15" customHeight="1" x14ac:dyDescent="0.4">
      <c r="B22404" t="s">
        <v>7</v>
      </c>
      <c r="C22404" t="s">
        <v>3570</v>
      </c>
      <c r="D22404" s="7">
        <f>DATE(2015,6,1)</f>
        <v>42156</v>
      </c>
      <c r="E22404" s="8">
        <f t="shared" si="374"/>
        <v>2015</v>
      </c>
      <c r="F22404" t="s">
        <v>3571</v>
      </c>
      <c r="G22404" s="9">
        <v>14710.61</v>
      </c>
      <c r="H22404" s="8">
        <v>20090</v>
      </c>
    </row>
    <row r="22405" spans="2:8" ht="15" customHeight="1" x14ac:dyDescent="0.4">
      <c r="B22405" t="s">
        <v>7</v>
      </c>
      <c r="C22405" t="s">
        <v>3570</v>
      </c>
      <c r="D22405" s="7">
        <f>DATE(2016,4,18)</f>
        <v>42478</v>
      </c>
      <c r="E22405" s="8">
        <f t="shared" si="374"/>
        <v>2016</v>
      </c>
      <c r="F22405" t="s">
        <v>3571</v>
      </c>
      <c r="G22405" s="9">
        <v>13596.85</v>
      </c>
      <c r="H22405" s="8">
        <v>22249</v>
      </c>
    </row>
    <row r="22406" spans="2:8" ht="15" customHeight="1" x14ac:dyDescent="0.4">
      <c r="B22406" t="s">
        <v>7</v>
      </c>
      <c r="C22406" t="s">
        <v>3570</v>
      </c>
      <c r="D22406" s="7">
        <f>DATE(2016,5,17)</f>
        <v>42507</v>
      </c>
      <c r="E22406" s="8">
        <f t="shared" si="374"/>
        <v>2016</v>
      </c>
      <c r="F22406" t="s">
        <v>3571</v>
      </c>
      <c r="G22406" s="9">
        <v>13596.85</v>
      </c>
      <c r="H22406" s="8">
        <v>22252</v>
      </c>
    </row>
    <row r="22407" spans="2:8" ht="15" customHeight="1" x14ac:dyDescent="0.4">
      <c r="B22407" t="s">
        <v>7</v>
      </c>
      <c r="C22407" t="s">
        <v>3570</v>
      </c>
      <c r="D22407" s="7">
        <f>DATE(2017,4,24)</f>
        <v>42849</v>
      </c>
      <c r="E22407" s="8">
        <f t="shared" si="374"/>
        <v>2017</v>
      </c>
      <c r="F22407" t="s">
        <v>3571</v>
      </c>
      <c r="G22407" s="9">
        <v>13875</v>
      </c>
      <c r="H22407" s="8">
        <v>24355</v>
      </c>
    </row>
    <row r="22408" spans="2:8" ht="15" customHeight="1" x14ac:dyDescent="0.4">
      <c r="B22408" t="s">
        <v>7</v>
      </c>
      <c r="C22408" t="s">
        <v>3570</v>
      </c>
      <c r="D22408" s="7">
        <f>DATE(2017,5,8)</f>
        <v>42863</v>
      </c>
      <c r="E22408" s="8">
        <f t="shared" si="374"/>
        <v>2017</v>
      </c>
      <c r="F22408" t="s">
        <v>3571</v>
      </c>
      <c r="G22408" s="9">
        <v>14320</v>
      </c>
      <c r="H22408" s="8">
        <v>24357</v>
      </c>
    </row>
    <row r="22409" spans="2:8" ht="15" customHeight="1" x14ac:dyDescent="0.4">
      <c r="B22409" t="s">
        <v>7</v>
      </c>
      <c r="C22409" t="s">
        <v>3570</v>
      </c>
      <c r="D22409" s="7">
        <f>DATE(2015,6,2)</f>
        <v>42157</v>
      </c>
      <c r="E22409" s="8">
        <f t="shared" si="374"/>
        <v>2015</v>
      </c>
      <c r="F22409" t="s">
        <v>3571</v>
      </c>
      <c r="G22409" s="9">
        <v>4574</v>
      </c>
      <c r="H22409" s="8">
        <v>20210</v>
      </c>
    </row>
    <row r="22410" spans="2:8" ht="15" customHeight="1" x14ac:dyDescent="0.4">
      <c r="B22410" t="s">
        <v>7</v>
      </c>
      <c r="C22410" t="s">
        <v>3570</v>
      </c>
      <c r="D22410" s="7">
        <f>DATE(2015,6,1)</f>
        <v>42156</v>
      </c>
      <c r="E22410" s="8">
        <f t="shared" si="374"/>
        <v>2015</v>
      </c>
      <c r="F22410" t="s">
        <v>3571</v>
      </c>
      <c r="G22410" s="9">
        <v>3674</v>
      </c>
      <c r="H22410" s="8">
        <v>20211</v>
      </c>
    </row>
    <row r="22411" spans="2:8" ht="15" customHeight="1" x14ac:dyDescent="0.4">
      <c r="B22411" t="s">
        <v>7</v>
      </c>
      <c r="C22411" t="s">
        <v>3570</v>
      </c>
      <c r="D22411" s="7">
        <f>DATE(2016,4,18)</f>
        <v>42478</v>
      </c>
      <c r="E22411" s="8">
        <f t="shared" si="374"/>
        <v>2016</v>
      </c>
      <c r="F22411" t="s">
        <v>3571</v>
      </c>
      <c r="G22411" s="9">
        <v>4368</v>
      </c>
      <c r="H22411" s="8">
        <v>22251</v>
      </c>
    </row>
    <row r="22412" spans="2:8" ht="15" customHeight="1" x14ac:dyDescent="0.4">
      <c r="B22412" t="s">
        <v>7</v>
      </c>
      <c r="C22412" t="s">
        <v>3570</v>
      </c>
      <c r="D22412" s="7">
        <f>DATE(2016,5,17)</f>
        <v>42507</v>
      </c>
      <c r="E22412" s="8">
        <f t="shared" si="374"/>
        <v>2016</v>
      </c>
      <c r="F22412" t="s">
        <v>3571</v>
      </c>
      <c r="G22412" s="9">
        <v>6038.02</v>
      </c>
      <c r="H22412" s="8">
        <v>22253</v>
      </c>
    </row>
    <row r="22413" spans="2:8" ht="15" customHeight="1" x14ac:dyDescent="0.4">
      <c r="B22413" t="s">
        <v>7</v>
      </c>
      <c r="C22413" t="s">
        <v>3570</v>
      </c>
      <c r="D22413" s="7">
        <f>DATE(2017,4,24)</f>
        <v>42849</v>
      </c>
      <c r="E22413" s="8">
        <f t="shared" si="374"/>
        <v>2017</v>
      </c>
      <c r="F22413" t="s">
        <v>3571</v>
      </c>
      <c r="G22413" s="9">
        <v>4307.79</v>
      </c>
      <c r="H22413" s="8">
        <v>24358</v>
      </c>
    </row>
    <row r="22414" spans="2:8" ht="15" customHeight="1" x14ac:dyDescent="0.4">
      <c r="B22414" t="s">
        <v>7</v>
      </c>
      <c r="C22414" t="s">
        <v>3570</v>
      </c>
      <c r="D22414" s="7">
        <f>DATE(2017,5,8)</f>
        <v>42863</v>
      </c>
      <c r="E22414" s="8">
        <f t="shared" si="374"/>
        <v>2017</v>
      </c>
      <c r="F22414" t="s">
        <v>3571</v>
      </c>
      <c r="G22414" s="9">
        <v>4720</v>
      </c>
      <c r="H22414" s="8">
        <v>24359</v>
      </c>
    </row>
    <row r="22415" spans="2:8" ht="15" customHeight="1" x14ac:dyDescent="0.4">
      <c r="B22415" t="s">
        <v>7</v>
      </c>
      <c r="C22415" t="s">
        <v>3246</v>
      </c>
      <c r="D22415" s="7">
        <f>DATE(2005,9,14)</f>
        <v>38609</v>
      </c>
      <c r="E22415" s="8">
        <f t="shared" si="374"/>
        <v>2005</v>
      </c>
      <c r="F22415" t="s">
        <v>3572</v>
      </c>
      <c r="G22415" s="9">
        <v>49175.61</v>
      </c>
      <c r="H22415" s="8">
        <v>3345</v>
      </c>
    </row>
    <row r="22416" spans="2:8" ht="15" customHeight="1" x14ac:dyDescent="0.4">
      <c r="B22416" t="s">
        <v>7</v>
      </c>
      <c r="C22416" t="s">
        <v>3246</v>
      </c>
      <c r="D22416" s="7">
        <f>DATE(2005,9,3)</f>
        <v>38598</v>
      </c>
      <c r="E22416" s="8">
        <f t="shared" si="374"/>
        <v>2005</v>
      </c>
      <c r="F22416" t="s">
        <v>3572</v>
      </c>
      <c r="G22416" s="9">
        <v>14029.87</v>
      </c>
      <c r="H22416" s="8">
        <v>3471</v>
      </c>
    </row>
    <row r="22417" spans="2:8" ht="15" customHeight="1" x14ac:dyDescent="0.4">
      <c r="B22417" s="3" t="s">
        <v>7</v>
      </c>
      <c r="C22417" s="3" t="s">
        <v>3246</v>
      </c>
      <c r="D22417" s="4">
        <f>DATE(2005,2,24)</f>
        <v>38407</v>
      </c>
      <c r="E22417" s="5">
        <f t="shared" si="374"/>
        <v>2005</v>
      </c>
      <c r="F22417" s="3" t="s">
        <v>3573</v>
      </c>
      <c r="G22417" s="6">
        <v>27800</v>
      </c>
      <c r="H22417" s="5">
        <v>3680</v>
      </c>
    </row>
    <row r="22418" spans="2:8" ht="15" customHeight="1" x14ac:dyDescent="0.4">
      <c r="B22418" t="s">
        <v>7</v>
      </c>
      <c r="C22418" t="s">
        <v>3574</v>
      </c>
      <c r="D22418" s="7">
        <f>DATE(2015,1,20)</f>
        <v>42024</v>
      </c>
      <c r="E22418" s="8">
        <f t="shared" si="374"/>
        <v>2015</v>
      </c>
      <c r="F22418" t="s">
        <v>3575</v>
      </c>
      <c r="G22418" s="9">
        <v>1889.42</v>
      </c>
      <c r="H22418" s="8">
        <v>174</v>
      </c>
    </row>
    <row r="22419" spans="2:8" ht="15" customHeight="1" x14ac:dyDescent="0.4">
      <c r="B22419" t="s">
        <v>7</v>
      </c>
      <c r="C22419" t="s">
        <v>3574</v>
      </c>
      <c r="D22419" s="7">
        <f>DATE(2015,3,23)</f>
        <v>42086</v>
      </c>
      <c r="E22419" s="8">
        <f t="shared" si="374"/>
        <v>2015</v>
      </c>
      <c r="F22419" t="s">
        <v>3575</v>
      </c>
      <c r="G22419" s="9">
        <v>18317.830000000002</v>
      </c>
      <c r="H22419" s="8">
        <v>170</v>
      </c>
    </row>
    <row r="22420" spans="2:8" ht="15" customHeight="1" x14ac:dyDescent="0.4">
      <c r="B22420" t="s">
        <v>7</v>
      </c>
      <c r="C22420" t="s">
        <v>3574</v>
      </c>
      <c r="D22420" s="7">
        <f>DATE(2015,1,23)</f>
        <v>42027</v>
      </c>
      <c r="E22420" s="8">
        <f t="shared" si="374"/>
        <v>2015</v>
      </c>
      <c r="F22420" t="s">
        <v>3575</v>
      </c>
      <c r="G22420" s="9">
        <v>2864.06</v>
      </c>
      <c r="H22420" s="8">
        <v>106</v>
      </c>
    </row>
    <row r="22421" spans="2:8" ht="15" customHeight="1" x14ac:dyDescent="0.4">
      <c r="B22421" t="s">
        <v>7</v>
      </c>
      <c r="C22421" t="s">
        <v>3574</v>
      </c>
      <c r="D22421" s="7">
        <f>DATE(2015,3,23)</f>
        <v>42086</v>
      </c>
      <c r="E22421" s="8">
        <f t="shared" si="374"/>
        <v>2015</v>
      </c>
      <c r="F22421" t="s">
        <v>3575</v>
      </c>
      <c r="G22421" s="9">
        <v>18145.02</v>
      </c>
      <c r="H22421" s="8">
        <v>20</v>
      </c>
    </row>
    <row r="22422" spans="2:8" ht="15" customHeight="1" x14ac:dyDescent="0.4">
      <c r="B22422" t="s">
        <v>7</v>
      </c>
      <c r="C22422" t="s">
        <v>3574</v>
      </c>
      <c r="D22422" s="7">
        <f>DATE(2015,3,13)</f>
        <v>42076</v>
      </c>
      <c r="E22422" s="8">
        <f t="shared" si="374"/>
        <v>2015</v>
      </c>
      <c r="F22422" t="s">
        <v>3575</v>
      </c>
      <c r="G22422" s="9">
        <v>1643.77</v>
      </c>
      <c r="H22422" s="8">
        <v>20105</v>
      </c>
    </row>
    <row r="22423" spans="2:8" ht="15" customHeight="1" x14ac:dyDescent="0.4">
      <c r="B22423" t="s">
        <v>7</v>
      </c>
      <c r="C22423" t="s">
        <v>3574</v>
      </c>
      <c r="D22423" s="7">
        <f>DATE(2015,3,26)</f>
        <v>42089</v>
      </c>
      <c r="E22423" s="8">
        <f t="shared" si="374"/>
        <v>2015</v>
      </c>
      <c r="F22423" t="s">
        <v>3575</v>
      </c>
      <c r="G22423" s="9">
        <v>1259.07</v>
      </c>
      <c r="H22423" s="8">
        <v>20230</v>
      </c>
    </row>
    <row r="22424" spans="2:8" ht="15" customHeight="1" x14ac:dyDescent="0.4">
      <c r="B22424" t="s">
        <v>7</v>
      </c>
      <c r="C22424" t="s">
        <v>3574</v>
      </c>
      <c r="D22424" s="7">
        <f>DATE(2015,3,26)</f>
        <v>42089</v>
      </c>
      <c r="E22424" s="8">
        <f t="shared" si="374"/>
        <v>2015</v>
      </c>
      <c r="F22424" t="s">
        <v>3575</v>
      </c>
      <c r="G22424" s="9">
        <v>2818.08</v>
      </c>
      <c r="H22424" s="8">
        <v>20243</v>
      </c>
    </row>
    <row r="22425" spans="2:8" ht="15" customHeight="1" x14ac:dyDescent="0.4">
      <c r="B22425" t="s">
        <v>7</v>
      </c>
      <c r="C22425" t="s">
        <v>3574</v>
      </c>
      <c r="D22425" s="7">
        <f>DATE(2015,7,6)</f>
        <v>42191</v>
      </c>
      <c r="E22425" s="8">
        <f t="shared" si="374"/>
        <v>2015</v>
      </c>
      <c r="F22425" t="s">
        <v>3575</v>
      </c>
      <c r="G22425" s="9">
        <v>1071.49</v>
      </c>
      <c r="H22425" s="8">
        <v>20827</v>
      </c>
    </row>
    <row r="22426" spans="2:8" ht="15" customHeight="1" x14ac:dyDescent="0.4">
      <c r="B22426" t="s">
        <v>7</v>
      </c>
      <c r="C22426" t="s">
        <v>3574</v>
      </c>
      <c r="D22426" s="7">
        <f>DATE(2015,9,23)</f>
        <v>42270</v>
      </c>
      <c r="E22426" s="8">
        <f t="shared" si="374"/>
        <v>2015</v>
      </c>
      <c r="F22426" t="s">
        <v>3575</v>
      </c>
      <c r="G22426" s="9">
        <v>46769.39</v>
      </c>
      <c r="H22426" s="8">
        <v>20880</v>
      </c>
    </row>
    <row r="22427" spans="2:8" ht="15" customHeight="1" x14ac:dyDescent="0.4">
      <c r="B22427" t="s">
        <v>7</v>
      </c>
      <c r="C22427" t="s">
        <v>3574</v>
      </c>
      <c r="D22427" s="7">
        <f>DATE(2015,8,21)</f>
        <v>42237</v>
      </c>
      <c r="E22427" s="8">
        <f t="shared" si="374"/>
        <v>2015</v>
      </c>
      <c r="F22427" t="s">
        <v>3575</v>
      </c>
      <c r="G22427" s="9">
        <v>219.76</v>
      </c>
      <c r="H22427" s="8">
        <v>21117</v>
      </c>
    </row>
    <row r="22428" spans="2:8" ht="15" customHeight="1" x14ac:dyDescent="0.4">
      <c r="B22428" t="s">
        <v>7</v>
      </c>
      <c r="C22428" t="s">
        <v>3574</v>
      </c>
      <c r="D22428" s="7">
        <f>DATE(2015,9,23)</f>
        <v>42270</v>
      </c>
      <c r="E22428" s="8">
        <f t="shared" si="374"/>
        <v>2015</v>
      </c>
      <c r="F22428" t="s">
        <v>3575</v>
      </c>
      <c r="G22428" s="9">
        <v>46766.25</v>
      </c>
      <c r="H22428" s="8">
        <v>20880</v>
      </c>
    </row>
    <row r="22429" spans="2:8" ht="15" customHeight="1" x14ac:dyDescent="0.4">
      <c r="B22429" t="s">
        <v>7</v>
      </c>
      <c r="C22429" t="s">
        <v>3574</v>
      </c>
      <c r="D22429" s="7">
        <f>DATE(2015,12,9)</f>
        <v>42347</v>
      </c>
      <c r="E22429" s="8">
        <f t="shared" si="374"/>
        <v>2015</v>
      </c>
      <c r="F22429" t="s">
        <v>3575</v>
      </c>
      <c r="G22429" s="9">
        <v>1612.45</v>
      </c>
      <c r="H22429" s="8">
        <v>21577</v>
      </c>
    </row>
    <row r="22430" spans="2:8" ht="15" customHeight="1" x14ac:dyDescent="0.4">
      <c r="B22430" t="s">
        <v>7</v>
      </c>
      <c r="C22430" t="s">
        <v>3574</v>
      </c>
      <c r="D22430" s="7">
        <f>DATE(2016,3,9)</f>
        <v>42438</v>
      </c>
      <c r="E22430" s="8">
        <f t="shared" si="374"/>
        <v>2016</v>
      </c>
      <c r="F22430" t="s">
        <v>3575</v>
      </c>
      <c r="G22430" s="9">
        <v>142.97</v>
      </c>
      <c r="H22430" s="8">
        <v>22348</v>
      </c>
    </row>
    <row r="22431" spans="2:8" ht="15" customHeight="1" x14ac:dyDescent="0.4">
      <c r="B22431" t="s">
        <v>7</v>
      </c>
      <c r="C22431" t="s">
        <v>3574</v>
      </c>
      <c r="D22431" s="7">
        <f>DATE(2016,3,16)</f>
        <v>42445</v>
      </c>
      <c r="E22431" s="8">
        <f t="shared" si="374"/>
        <v>2016</v>
      </c>
      <c r="F22431" t="s">
        <v>3575</v>
      </c>
      <c r="G22431" s="9">
        <v>2411.91</v>
      </c>
      <c r="H22431" s="8">
        <v>22250</v>
      </c>
    </row>
    <row r="22432" spans="2:8" ht="15" customHeight="1" x14ac:dyDescent="0.4">
      <c r="B22432" t="s">
        <v>7</v>
      </c>
      <c r="C22432" t="s">
        <v>3574</v>
      </c>
      <c r="D22432" s="7">
        <f>DATE(2016,9,6)</f>
        <v>42619</v>
      </c>
      <c r="E22432" s="8">
        <f t="shared" si="374"/>
        <v>2016</v>
      </c>
      <c r="F22432" t="s">
        <v>3575</v>
      </c>
      <c r="G22432" s="9">
        <v>1437.74</v>
      </c>
      <c r="H22432" s="8">
        <v>23307</v>
      </c>
    </row>
    <row r="22433" spans="2:8" ht="15" customHeight="1" x14ac:dyDescent="0.4">
      <c r="B22433" t="s">
        <v>7</v>
      </c>
      <c r="C22433" t="s">
        <v>3574</v>
      </c>
      <c r="D22433" s="7">
        <f>DATE(2016,12,1)</f>
        <v>42705</v>
      </c>
      <c r="E22433" s="8">
        <f t="shared" si="374"/>
        <v>2016</v>
      </c>
      <c r="F22433" t="s">
        <v>3575</v>
      </c>
      <c r="G22433" s="9">
        <v>84552.19</v>
      </c>
      <c r="H22433" s="8">
        <v>23494</v>
      </c>
    </row>
    <row r="22434" spans="2:8" ht="15" customHeight="1" x14ac:dyDescent="0.4">
      <c r="B22434" t="s">
        <v>7</v>
      </c>
      <c r="C22434" t="s">
        <v>3574</v>
      </c>
      <c r="D22434" s="7">
        <f>DATE(2017,2,27)</f>
        <v>42793</v>
      </c>
      <c r="E22434" s="8">
        <f t="shared" si="374"/>
        <v>2017</v>
      </c>
      <c r="F22434" t="s">
        <v>3575</v>
      </c>
      <c r="G22434" s="9">
        <v>11830.17</v>
      </c>
      <c r="H22434" s="8">
        <v>24178</v>
      </c>
    </row>
    <row r="22435" spans="2:8" ht="15" customHeight="1" x14ac:dyDescent="0.4">
      <c r="B22435" t="s">
        <v>7</v>
      </c>
      <c r="C22435" t="s">
        <v>3574</v>
      </c>
      <c r="D22435" s="7">
        <f>DATE(2017,2,15)</f>
        <v>42781</v>
      </c>
      <c r="E22435" s="8">
        <f t="shared" si="374"/>
        <v>2017</v>
      </c>
      <c r="F22435" t="s">
        <v>3575</v>
      </c>
      <c r="G22435" s="9">
        <v>1152.97</v>
      </c>
      <c r="H22435" s="8">
        <v>23834</v>
      </c>
    </row>
    <row r="22436" spans="2:8" ht="15" customHeight="1" x14ac:dyDescent="0.4">
      <c r="B22436" t="s">
        <v>7</v>
      </c>
      <c r="C22436" t="s">
        <v>3574</v>
      </c>
      <c r="D22436" s="7">
        <f>DATE(2017,4,3)</f>
        <v>42828</v>
      </c>
      <c r="E22436" s="8">
        <f t="shared" si="374"/>
        <v>2017</v>
      </c>
      <c r="F22436" t="s">
        <v>3575</v>
      </c>
      <c r="G22436" s="9">
        <v>11617.22</v>
      </c>
      <c r="H22436" s="8">
        <v>24365</v>
      </c>
    </row>
    <row r="22437" spans="2:8" ht="15" customHeight="1" x14ac:dyDescent="0.4">
      <c r="B22437" t="s">
        <v>7</v>
      </c>
      <c r="C22437" t="s">
        <v>3574</v>
      </c>
      <c r="D22437" s="7">
        <f>DATE(2019,2,11)</f>
        <v>43507</v>
      </c>
      <c r="E22437" s="8">
        <f t="shared" si="374"/>
        <v>2019</v>
      </c>
      <c r="F22437" t="s">
        <v>3575</v>
      </c>
      <c r="G22437" s="9">
        <v>259.5</v>
      </c>
      <c r="H22437" s="8">
        <v>28370</v>
      </c>
    </row>
    <row r="22438" spans="2:8" ht="15" customHeight="1" x14ac:dyDescent="0.4">
      <c r="B22438" t="s">
        <v>7</v>
      </c>
      <c r="C22438" t="s">
        <v>3574</v>
      </c>
      <c r="D22438" s="7">
        <f>DATE(2019,3,12)</f>
        <v>43536</v>
      </c>
      <c r="E22438" s="8">
        <f t="shared" si="374"/>
        <v>2019</v>
      </c>
      <c r="F22438" t="s">
        <v>3575</v>
      </c>
      <c r="G22438" s="9">
        <v>199.2</v>
      </c>
      <c r="H22438" s="8">
        <v>28536</v>
      </c>
    </row>
    <row r="22439" spans="2:8" ht="15" customHeight="1" x14ac:dyDescent="0.4">
      <c r="B22439" t="s">
        <v>7</v>
      </c>
      <c r="C22439" t="s">
        <v>3574</v>
      </c>
      <c r="D22439" s="7">
        <f>DATE(2019,5,7)</f>
        <v>43592</v>
      </c>
      <c r="E22439" s="8">
        <f t="shared" si="374"/>
        <v>2019</v>
      </c>
      <c r="F22439" t="s">
        <v>3575</v>
      </c>
      <c r="G22439" s="9">
        <v>262.5</v>
      </c>
      <c r="H22439" s="8">
        <v>28950</v>
      </c>
    </row>
    <row r="22440" spans="2:8" ht="15" customHeight="1" x14ac:dyDescent="0.4">
      <c r="B22440" t="s">
        <v>7</v>
      </c>
      <c r="C22440" t="s">
        <v>3574</v>
      </c>
      <c r="D22440" s="7">
        <f>DATE(2007,12,1)</f>
        <v>39417</v>
      </c>
      <c r="E22440" s="8">
        <f t="shared" si="374"/>
        <v>2007</v>
      </c>
      <c r="F22440" t="s">
        <v>3575</v>
      </c>
      <c r="G22440" s="9">
        <v>2507.6799999999998</v>
      </c>
      <c r="H22440" s="8">
        <v>6375</v>
      </c>
    </row>
    <row r="22441" spans="2:8" ht="15" customHeight="1" x14ac:dyDescent="0.4">
      <c r="B22441" t="s">
        <v>7</v>
      </c>
      <c r="C22441" t="s">
        <v>3574</v>
      </c>
      <c r="D22441" s="7">
        <f>DATE(2008,12,1)</f>
        <v>39783</v>
      </c>
      <c r="E22441" s="8">
        <f t="shared" si="374"/>
        <v>2008</v>
      </c>
      <c r="F22441" t="s">
        <v>3575</v>
      </c>
      <c r="G22441" s="9">
        <v>3900</v>
      </c>
      <c r="H22441" s="8">
        <v>6517</v>
      </c>
    </row>
    <row r="22442" spans="2:8" ht="15" customHeight="1" x14ac:dyDescent="0.4">
      <c r="B22442" s="3" t="s">
        <v>7</v>
      </c>
      <c r="C22442" s="3" t="s">
        <v>3574</v>
      </c>
      <c r="D22442" s="4">
        <f>DATE(2004,12,13)</f>
        <v>38334</v>
      </c>
      <c r="E22442" s="5">
        <f t="shared" si="374"/>
        <v>2004</v>
      </c>
      <c r="F22442" s="3" t="s">
        <v>3575</v>
      </c>
      <c r="G22442" s="6">
        <v>1408.5</v>
      </c>
      <c r="H22442" s="5">
        <v>3800</v>
      </c>
    </row>
    <row r="22443" spans="2:8" ht="15" customHeight="1" x14ac:dyDescent="0.4">
      <c r="B22443" s="3" t="s">
        <v>7</v>
      </c>
      <c r="C22443" s="3" t="s">
        <v>3574</v>
      </c>
      <c r="D22443" s="4">
        <f>DATE(2005,1,6)</f>
        <v>38358</v>
      </c>
      <c r="E22443" s="5">
        <f t="shared" si="374"/>
        <v>2005</v>
      </c>
      <c r="F22443" s="3" t="s">
        <v>3575</v>
      </c>
      <c r="G22443" s="6">
        <v>1200.4000000000001</v>
      </c>
      <c r="H22443" s="5">
        <v>3908</v>
      </c>
    </row>
    <row r="22444" spans="2:8" ht="15" customHeight="1" x14ac:dyDescent="0.4">
      <c r="B22444" s="3" t="s">
        <v>7</v>
      </c>
      <c r="C22444" s="3" t="s">
        <v>3574</v>
      </c>
      <c r="D22444" s="4">
        <f>DATE(2005,1,6)</f>
        <v>38358</v>
      </c>
      <c r="E22444" s="5">
        <f t="shared" si="374"/>
        <v>2005</v>
      </c>
      <c r="F22444" s="3" t="s">
        <v>3575</v>
      </c>
      <c r="G22444" s="6">
        <v>237.3</v>
      </c>
      <c r="H22444" s="5">
        <v>3898</v>
      </c>
    </row>
    <row r="22445" spans="2:8" ht="15" customHeight="1" x14ac:dyDescent="0.4">
      <c r="B22445" s="3" t="s">
        <v>7</v>
      </c>
      <c r="C22445" s="3" t="s">
        <v>3574</v>
      </c>
      <c r="D22445" s="4">
        <f>DATE(2005,1,6)</f>
        <v>38358</v>
      </c>
      <c r="E22445" s="5">
        <f t="shared" si="374"/>
        <v>2005</v>
      </c>
      <c r="F22445" s="3" t="s">
        <v>3575</v>
      </c>
      <c r="G22445" s="6">
        <v>41.4</v>
      </c>
      <c r="H22445" s="5">
        <v>3905</v>
      </c>
    </row>
    <row r="22446" spans="2:8" ht="15" customHeight="1" x14ac:dyDescent="0.4">
      <c r="B22446" s="3" t="s">
        <v>7</v>
      </c>
      <c r="C22446" s="3" t="s">
        <v>3574</v>
      </c>
      <c r="D22446" s="4">
        <f>DATE(2005,1,6)</f>
        <v>38358</v>
      </c>
      <c r="E22446" s="5">
        <f t="shared" si="374"/>
        <v>2005</v>
      </c>
      <c r="F22446" s="3" t="s">
        <v>3575</v>
      </c>
      <c r="G22446" s="6">
        <v>29125.88</v>
      </c>
      <c r="H22446" s="5">
        <v>3824</v>
      </c>
    </row>
    <row r="22447" spans="2:8" ht="15" customHeight="1" x14ac:dyDescent="0.4">
      <c r="B22447" s="3" t="s">
        <v>7</v>
      </c>
      <c r="C22447" s="3" t="s">
        <v>3574</v>
      </c>
      <c r="D22447" s="4">
        <f>DATE(2005,1,21)</f>
        <v>38373</v>
      </c>
      <c r="E22447" s="5">
        <f t="shared" si="374"/>
        <v>2005</v>
      </c>
      <c r="F22447" s="3" t="s">
        <v>3575</v>
      </c>
      <c r="G22447" s="6">
        <v>528.25</v>
      </c>
      <c r="H22447" s="5">
        <v>3731</v>
      </c>
    </row>
    <row r="22448" spans="2:8" ht="15" customHeight="1" x14ac:dyDescent="0.4">
      <c r="B22448" s="3" t="s">
        <v>7</v>
      </c>
      <c r="C22448" s="3" t="s">
        <v>3574</v>
      </c>
      <c r="D22448" s="4">
        <f>DATE(2005,1,24)</f>
        <v>38376</v>
      </c>
      <c r="E22448" s="5">
        <f t="shared" si="374"/>
        <v>2005</v>
      </c>
      <c r="F22448" s="3" t="s">
        <v>3575</v>
      </c>
      <c r="G22448" s="6">
        <v>1136.3</v>
      </c>
      <c r="H22448" s="5">
        <v>4007</v>
      </c>
    </row>
    <row r="22449" spans="2:8" ht="15" customHeight="1" x14ac:dyDescent="0.4">
      <c r="B22449" s="3" t="s">
        <v>7</v>
      </c>
      <c r="C22449" s="3" t="s">
        <v>3574</v>
      </c>
      <c r="D22449" s="4">
        <f>DATE(2005,2,8)</f>
        <v>38391</v>
      </c>
      <c r="E22449" s="5">
        <f t="shared" si="374"/>
        <v>2005</v>
      </c>
      <c r="F22449" s="3" t="s">
        <v>3575</v>
      </c>
      <c r="G22449" s="6">
        <v>2336.88</v>
      </c>
      <c r="H22449" s="5">
        <v>4098</v>
      </c>
    </row>
    <row r="22450" spans="2:8" ht="15" customHeight="1" x14ac:dyDescent="0.4">
      <c r="B22450" s="3" t="s">
        <v>7</v>
      </c>
      <c r="C22450" s="3" t="s">
        <v>3574</v>
      </c>
      <c r="D22450" s="4">
        <f>DATE(2005,2,17)</f>
        <v>38400</v>
      </c>
      <c r="E22450" s="5">
        <f t="shared" si="374"/>
        <v>2005</v>
      </c>
      <c r="F22450" s="3" t="s">
        <v>3575</v>
      </c>
      <c r="G22450" s="6">
        <v>13964.76</v>
      </c>
      <c r="H22450" s="5">
        <v>4105</v>
      </c>
    </row>
    <row r="22451" spans="2:8" ht="15" customHeight="1" x14ac:dyDescent="0.4">
      <c r="B22451" s="3" t="s">
        <v>7</v>
      </c>
      <c r="C22451" s="3" t="s">
        <v>3574</v>
      </c>
      <c r="D22451" s="4">
        <f>DATE(2005,2,23)</f>
        <v>38406</v>
      </c>
      <c r="E22451" s="5">
        <f t="shared" si="374"/>
        <v>2005</v>
      </c>
      <c r="F22451" s="3" t="s">
        <v>3575</v>
      </c>
      <c r="G22451" s="6">
        <v>15941.6</v>
      </c>
      <c r="H22451" s="5">
        <v>4105</v>
      </c>
    </row>
    <row r="22452" spans="2:8" ht="15" customHeight="1" x14ac:dyDescent="0.4">
      <c r="B22452" s="3" t="s">
        <v>7</v>
      </c>
      <c r="C22452" s="3" t="s">
        <v>3574</v>
      </c>
      <c r="D22452" s="4">
        <f>DATE(2005,5,5)</f>
        <v>38477</v>
      </c>
      <c r="E22452" s="5">
        <f t="shared" si="374"/>
        <v>2005</v>
      </c>
      <c r="F22452" s="3" t="s">
        <v>3575</v>
      </c>
      <c r="G22452" s="6">
        <v>970.65</v>
      </c>
      <c r="H22452" s="5">
        <v>4560</v>
      </c>
    </row>
    <row r="22453" spans="2:8" ht="15" customHeight="1" x14ac:dyDescent="0.4">
      <c r="B22453" s="3" t="s">
        <v>7</v>
      </c>
      <c r="C22453" s="3" t="s">
        <v>3574</v>
      </c>
      <c r="D22453" s="4">
        <f>DATE(2005,5,11)</f>
        <v>38483</v>
      </c>
      <c r="E22453" s="5">
        <f t="shared" si="374"/>
        <v>2005</v>
      </c>
      <c r="F22453" s="3" t="s">
        <v>3575</v>
      </c>
      <c r="G22453" s="6">
        <v>5225.6000000000004</v>
      </c>
      <c r="H22453" s="5">
        <v>4704</v>
      </c>
    </row>
    <row r="22454" spans="2:8" ht="15" customHeight="1" x14ac:dyDescent="0.4">
      <c r="B22454" s="3" t="s">
        <v>7</v>
      </c>
      <c r="C22454" s="3" t="s">
        <v>3574</v>
      </c>
      <c r="D22454" s="4">
        <f>DATE(2005,8,12)</f>
        <v>38576</v>
      </c>
      <c r="E22454" s="5">
        <f t="shared" si="374"/>
        <v>2005</v>
      </c>
      <c r="F22454" s="3" t="s">
        <v>3575</v>
      </c>
      <c r="G22454" s="6">
        <v>22040</v>
      </c>
      <c r="H22454" s="5">
        <v>5021</v>
      </c>
    </row>
    <row r="22455" spans="2:8" ht="15" customHeight="1" x14ac:dyDescent="0.4">
      <c r="B22455" s="3" t="s">
        <v>7</v>
      </c>
      <c r="C22455" s="3" t="s">
        <v>3574</v>
      </c>
      <c r="D22455" s="4">
        <f>DATE(2005,10,13)</f>
        <v>38638</v>
      </c>
      <c r="E22455" s="5">
        <f t="shared" si="374"/>
        <v>2005</v>
      </c>
      <c r="F22455" s="3" t="s">
        <v>3575</v>
      </c>
      <c r="G22455" s="6">
        <v>39580</v>
      </c>
      <c r="H22455" s="5">
        <v>5170</v>
      </c>
    </row>
    <row r="22456" spans="2:8" ht="15" customHeight="1" x14ac:dyDescent="0.4">
      <c r="B22456" s="3" t="s">
        <v>7</v>
      </c>
      <c r="C22456" s="3" t="s">
        <v>3574</v>
      </c>
      <c r="D22456" s="4">
        <f>DATE(2005,10,27)</f>
        <v>38652</v>
      </c>
      <c r="E22456" s="5">
        <f t="shared" si="374"/>
        <v>2005</v>
      </c>
      <c r="F22456" s="3" t="s">
        <v>3575</v>
      </c>
      <c r="G22456" s="6">
        <v>2411</v>
      </c>
      <c r="H22456" s="5">
        <v>5480</v>
      </c>
    </row>
    <row r="22457" spans="2:8" ht="15" customHeight="1" x14ac:dyDescent="0.4">
      <c r="B22457" s="3" t="s">
        <v>7</v>
      </c>
      <c r="C22457" s="3" t="s">
        <v>3574</v>
      </c>
      <c r="D22457" s="4">
        <f>DATE(2006,3,17)</f>
        <v>38793</v>
      </c>
      <c r="E22457" s="5">
        <f t="shared" si="374"/>
        <v>2006</v>
      </c>
      <c r="F22457" s="3" t="s">
        <v>3575</v>
      </c>
      <c r="G22457" s="6">
        <v>375.19</v>
      </c>
      <c r="H22457" s="5">
        <v>6326</v>
      </c>
    </row>
    <row r="22458" spans="2:8" ht="15" customHeight="1" x14ac:dyDescent="0.4">
      <c r="B22458" s="3" t="s">
        <v>7</v>
      </c>
      <c r="C22458" s="3" t="s">
        <v>3574</v>
      </c>
      <c r="D22458" s="4">
        <f>DATE(2006,7,24)</f>
        <v>38922</v>
      </c>
      <c r="E22458" s="5">
        <f t="shared" si="374"/>
        <v>2006</v>
      </c>
      <c r="F22458" s="3" t="s">
        <v>3575</v>
      </c>
      <c r="G22458" s="6">
        <v>46231.76</v>
      </c>
      <c r="H22458" s="5">
        <v>6902</v>
      </c>
    </row>
    <row r="22459" spans="2:8" ht="15" customHeight="1" x14ac:dyDescent="0.4">
      <c r="B22459" s="3" t="s">
        <v>7</v>
      </c>
      <c r="C22459" s="3" t="s">
        <v>3574</v>
      </c>
      <c r="D22459" s="4">
        <f>DATE(2006,10,5)</f>
        <v>38995</v>
      </c>
      <c r="E22459" s="5">
        <f t="shared" si="374"/>
        <v>2006</v>
      </c>
      <c r="F22459" s="3" t="s">
        <v>3575</v>
      </c>
      <c r="G22459" s="6">
        <v>1729.99</v>
      </c>
      <c r="H22459" s="5">
        <v>7350</v>
      </c>
    </row>
    <row r="22460" spans="2:8" ht="15" customHeight="1" x14ac:dyDescent="0.4">
      <c r="B22460" s="3" t="s">
        <v>7</v>
      </c>
      <c r="C22460" s="3" t="s">
        <v>3574</v>
      </c>
      <c r="D22460" s="4">
        <f>DATE(2006,9,28)</f>
        <v>38988</v>
      </c>
      <c r="E22460" s="5">
        <f t="shared" si="374"/>
        <v>2006</v>
      </c>
      <c r="F22460" s="3" t="s">
        <v>3575</v>
      </c>
      <c r="G22460" s="6">
        <v>9499.52</v>
      </c>
      <c r="H22460" s="5">
        <v>7315</v>
      </c>
    </row>
    <row r="22461" spans="2:8" ht="15" customHeight="1" x14ac:dyDescent="0.4">
      <c r="B22461" s="3" t="s">
        <v>7</v>
      </c>
      <c r="C22461" s="3" t="s">
        <v>3574</v>
      </c>
      <c r="D22461" s="4">
        <f>DATE(2006,9,29)</f>
        <v>38989</v>
      </c>
      <c r="E22461" s="5">
        <f t="shared" si="374"/>
        <v>2006</v>
      </c>
      <c r="F22461" s="3" t="s">
        <v>3575</v>
      </c>
      <c r="G22461" s="6">
        <v>9499.52</v>
      </c>
      <c r="H22461" s="5">
        <v>7315</v>
      </c>
    </row>
    <row r="22462" spans="2:8" ht="15" customHeight="1" x14ac:dyDescent="0.4">
      <c r="B22462" s="3" t="s">
        <v>7</v>
      </c>
      <c r="C22462" s="3" t="s">
        <v>3574</v>
      </c>
      <c r="D22462" s="4">
        <f>DATE(2006,10,2)</f>
        <v>38992</v>
      </c>
      <c r="E22462" s="5">
        <f t="shared" si="374"/>
        <v>2006</v>
      </c>
      <c r="F22462" s="3" t="s">
        <v>3575</v>
      </c>
      <c r="G22462" s="6">
        <v>7652.18</v>
      </c>
      <c r="H22462" s="5">
        <v>7315</v>
      </c>
    </row>
    <row r="22463" spans="2:8" ht="15" customHeight="1" x14ac:dyDescent="0.4">
      <c r="B22463" s="3" t="s">
        <v>7</v>
      </c>
      <c r="C22463" s="3" t="s">
        <v>3574</v>
      </c>
      <c r="D22463" s="4">
        <f>DATE(2006,10,18)</f>
        <v>39008</v>
      </c>
      <c r="E22463" s="5">
        <f t="shared" si="374"/>
        <v>2006</v>
      </c>
      <c r="F22463" s="3" t="s">
        <v>3575</v>
      </c>
      <c r="G22463" s="6">
        <v>3829.12</v>
      </c>
      <c r="H22463" s="5">
        <v>7315</v>
      </c>
    </row>
    <row r="22464" spans="2:8" ht="15" customHeight="1" x14ac:dyDescent="0.4">
      <c r="B22464" s="3" t="s">
        <v>7</v>
      </c>
      <c r="C22464" s="3" t="s">
        <v>3574</v>
      </c>
      <c r="D22464" s="4">
        <f>DATE(2006,10,19)</f>
        <v>39009</v>
      </c>
      <c r="E22464" s="5">
        <f t="shared" si="374"/>
        <v>2006</v>
      </c>
      <c r="F22464" s="3" t="s">
        <v>3575</v>
      </c>
      <c r="G22464" s="6">
        <v>9498.24</v>
      </c>
      <c r="H22464" s="5">
        <v>7315</v>
      </c>
    </row>
    <row r="22465" spans="2:8" ht="15" customHeight="1" x14ac:dyDescent="0.4">
      <c r="B22465" s="3" t="s">
        <v>7</v>
      </c>
      <c r="C22465" s="3" t="s">
        <v>3574</v>
      </c>
      <c r="D22465" s="4">
        <f>DATE(2006,10,24)</f>
        <v>39014</v>
      </c>
      <c r="E22465" s="5">
        <f t="shared" si="374"/>
        <v>2006</v>
      </c>
      <c r="F22465" s="3" t="s">
        <v>3575</v>
      </c>
      <c r="G22465" s="6">
        <v>7658.24</v>
      </c>
      <c r="H22465" s="5">
        <v>7315</v>
      </c>
    </row>
    <row r="22466" spans="2:8" ht="15" customHeight="1" x14ac:dyDescent="0.4">
      <c r="B22466" s="3" t="s">
        <v>7</v>
      </c>
      <c r="C22466" s="3" t="s">
        <v>3574</v>
      </c>
      <c r="D22466" s="4">
        <f>DATE(2007,2,8)</f>
        <v>39121</v>
      </c>
      <c r="E22466" s="5">
        <f t="shared" si="374"/>
        <v>2007</v>
      </c>
      <c r="F22466" s="3" t="s">
        <v>3575</v>
      </c>
      <c r="G22466" s="6">
        <v>2343.0500000000002</v>
      </c>
      <c r="H22466" s="5">
        <v>7780</v>
      </c>
    </row>
    <row r="22467" spans="2:8" ht="15" customHeight="1" x14ac:dyDescent="0.4">
      <c r="B22467" s="3" t="s">
        <v>7</v>
      </c>
      <c r="C22467" s="3" t="s">
        <v>3574</v>
      </c>
      <c r="D22467" s="4">
        <f>DATE(2007,5,22)</f>
        <v>39224</v>
      </c>
      <c r="E22467" s="5">
        <f t="shared" ref="E22467:E22530" si="375">YEAR(D22467)</f>
        <v>2007</v>
      </c>
      <c r="F22467" s="3" t="s">
        <v>3575</v>
      </c>
      <c r="G22467" s="6">
        <v>568.55999999999995</v>
      </c>
      <c r="H22467" s="5">
        <v>8624</v>
      </c>
    </row>
    <row r="22468" spans="2:8" ht="15" customHeight="1" x14ac:dyDescent="0.4">
      <c r="B22468" s="3" t="s">
        <v>7</v>
      </c>
      <c r="C22468" s="3" t="s">
        <v>3574</v>
      </c>
      <c r="D22468" s="4">
        <f>DATE(2007,6,19)</f>
        <v>39252</v>
      </c>
      <c r="E22468" s="5">
        <f t="shared" si="375"/>
        <v>2007</v>
      </c>
      <c r="F22468" s="3" t="s">
        <v>3575</v>
      </c>
      <c r="G22468" s="6">
        <v>11753.49</v>
      </c>
      <c r="H22468" s="5">
        <v>8769</v>
      </c>
    </row>
    <row r="22469" spans="2:8" ht="15" customHeight="1" x14ac:dyDescent="0.4">
      <c r="B22469" s="3" t="s">
        <v>7</v>
      </c>
      <c r="C22469" s="3" t="s">
        <v>3574</v>
      </c>
      <c r="D22469" s="4">
        <f>DATE(2007,6,25)</f>
        <v>39258</v>
      </c>
      <c r="E22469" s="5">
        <f t="shared" si="375"/>
        <v>2007</v>
      </c>
      <c r="F22469" s="3" t="s">
        <v>3575</v>
      </c>
      <c r="G22469" s="6">
        <v>2939.01</v>
      </c>
      <c r="H22469" s="5">
        <v>8817</v>
      </c>
    </row>
    <row r="22470" spans="2:8" ht="15" customHeight="1" x14ac:dyDescent="0.4">
      <c r="B22470" s="3" t="s">
        <v>7</v>
      </c>
      <c r="C22470" s="3" t="s">
        <v>3574</v>
      </c>
      <c r="D22470" s="4">
        <f>DATE(2007,8,2)</f>
        <v>39296</v>
      </c>
      <c r="E22470" s="5">
        <f t="shared" si="375"/>
        <v>2007</v>
      </c>
      <c r="F22470" s="3" t="s">
        <v>3575</v>
      </c>
      <c r="G22470" s="6">
        <v>624</v>
      </c>
      <c r="H22470" s="5">
        <v>8965</v>
      </c>
    </row>
    <row r="22471" spans="2:8" ht="15" customHeight="1" x14ac:dyDescent="0.4">
      <c r="B22471" s="3" t="s">
        <v>7</v>
      </c>
      <c r="C22471" s="3" t="s">
        <v>3574</v>
      </c>
      <c r="D22471" s="4">
        <f>DATE(2007,9,10)</f>
        <v>39335</v>
      </c>
      <c r="E22471" s="5">
        <f t="shared" si="375"/>
        <v>2007</v>
      </c>
      <c r="F22471" s="3" t="s">
        <v>3575</v>
      </c>
      <c r="G22471" s="6">
        <v>1474.26</v>
      </c>
      <c r="H22471" s="5">
        <v>9134</v>
      </c>
    </row>
    <row r="22472" spans="2:8" ht="15" customHeight="1" x14ac:dyDescent="0.4">
      <c r="B22472" s="3" t="s">
        <v>7</v>
      </c>
      <c r="C22472" s="3" t="s">
        <v>3574</v>
      </c>
      <c r="D22472" s="4">
        <f>DATE(2007,9,20)</f>
        <v>39345</v>
      </c>
      <c r="E22472" s="5">
        <f t="shared" si="375"/>
        <v>2007</v>
      </c>
      <c r="F22472" s="3" t="s">
        <v>3575</v>
      </c>
      <c r="G22472" s="6">
        <v>353</v>
      </c>
      <c r="H22472" s="5">
        <v>9207</v>
      </c>
    </row>
    <row r="22473" spans="2:8" ht="15" customHeight="1" x14ac:dyDescent="0.4">
      <c r="B22473" s="3" t="s">
        <v>7</v>
      </c>
      <c r="C22473" s="3" t="s">
        <v>3574</v>
      </c>
      <c r="D22473" s="4">
        <f>DATE(2007,10,5)</f>
        <v>39360</v>
      </c>
      <c r="E22473" s="5">
        <f t="shared" si="375"/>
        <v>2007</v>
      </c>
      <c r="F22473" s="3" t="s">
        <v>3575</v>
      </c>
      <c r="G22473" s="6">
        <v>2731.5</v>
      </c>
      <c r="H22473" s="5">
        <v>9283</v>
      </c>
    </row>
    <row r="22474" spans="2:8" ht="15" customHeight="1" x14ac:dyDescent="0.4">
      <c r="B22474" s="3" t="s">
        <v>7</v>
      </c>
      <c r="C22474" s="3" t="s">
        <v>3574</v>
      </c>
      <c r="D22474" s="4">
        <f>DATE(2007,12,1)</f>
        <v>39417</v>
      </c>
      <c r="E22474" s="5">
        <f t="shared" si="375"/>
        <v>2007</v>
      </c>
      <c r="F22474" s="3" t="s">
        <v>3575</v>
      </c>
      <c r="G22474" s="6">
        <v>9507.7999999999993</v>
      </c>
      <c r="H22474" s="5">
        <v>9289</v>
      </c>
    </row>
    <row r="22475" spans="2:8" ht="15" customHeight="1" x14ac:dyDescent="0.4">
      <c r="B22475" s="3" t="s">
        <v>7</v>
      </c>
      <c r="C22475" s="3" t="s">
        <v>3574</v>
      </c>
      <c r="D22475" s="4">
        <f>DATE(2007,10,10)</f>
        <v>39365</v>
      </c>
      <c r="E22475" s="5">
        <f t="shared" si="375"/>
        <v>2007</v>
      </c>
      <c r="F22475" s="3" t="s">
        <v>3575</v>
      </c>
      <c r="G22475" s="6">
        <v>2785.5</v>
      </c>
      <c r="H22475" s="5">
        <v>9314</v>
      </c>
    </row>
    <row r="22476" spans="2:8" ht="15" customHeight="1" x14ac:dyDescent="0.4">
      <c r="B22476" s="3" t="s">
        <v>7</v>
      </c>
      <c r="C22476" s="3" t="s">
        <v>3574</v>
      </c>
      <c r="D22476" s="4">
        <f>DATE(2007,10,22)</f>
        <v>39377</v>
      </c>
      <c r="E22476" s="5">
        <f t="shared" si="375"/>
        <v>2007</v>
      </c>
      <c r="F22476" s="3" t="s">
        <v>3575</v>
      </c>
      <c r="G22476" s="6">
        <v>103.24</v>
      </c>
      <c r="H22476" s="5">
        <v>9203</v>
      </c>
    </row>
    <row r="22477" spans="2:8" ht="15" customHeight="1" x14ac:dyDescent="0.4">
      <c r="B22477" s="3" t="s">
        <v>7</v>
      </c>
      <c r="C22477" s="3" t="s">
        <v>3574</v>
      </c>
      <c r="D22477" s="4">
        <f>DATE(2007,12,1)</f>
        <v>39417</v>
      </c>
      <c r="E22477" s="5">
        <f t="shared" si="375"/>
        <v>2007</v>
      </c>
      <c r="F22477" s="3" t="s">
        <v>3575</v>
      </c>
      <c r="G22477" s="6">
        <v>38006.58</v>
      </c>
      <c r="H22477" s="5">
        <v>9289</v>
      </c>
    </row>
    <row r="22478" spans="2:8" ht="15" customHeight="1" x14ac:dyDescent="0.4">
      <c r="B22478" s="3" t="s">
        <v>7</v>
      </c>
      <c r="C22478" s="3" t="s">
        <v>3574</v>
      </c>
      <c r="D22478" s="4">
        <f>DATE(2008,1,18)</f>
        <v>39465</v>
      </c>
      <c r="E22478" s="5">
        <f t="shared" si="375"/>
        <v>2008</v>
      </c>
      <c r="F22478" s="3" t="s">
        <v>3575</v>
      </c>
      <c r="G22478" s="6">
        <v>1083.0999999999999</v>
      </c>
      <c r="H22478" s="5">
        <v>9677</v>
      </c>
    </row>
    <row r="22479" spans="2:8" ht="15" customHeight="1" x14ac:dyDescent="0.4">
      <c r="B22479" s="3" t="s">
        <v>7</v>
      </c>
      <c r="C22479" s="3" t="s">
        <v>3574</v>
      </c>
      <c r="D22479" s="4">
        <f>DATE(2008,2,21)</f>
        <v>39499</v>
      </c>
      <c r="E22479" s="5">
        <f t="shared" si="375"/>
        <v>2008</v>
      </c>
      <c r="F22479" s="3" t="s">
        <v>3575</v>
      </c>
      <c r="G22479" s="6">
        <v>47638.14</v>
      </c>
      <c r="H22479" s="5">
        <v>9632</v>
      </c>
    </row>
    <row r="22480" spans="2:8" ht="15" customHeight="1" x14ac:dyDescent="0.4">
      <c r="B22480" s="3" t="s">
        <v>7</v>
      </c>
      <c r="C22480" s="3" t="s">
        <v>3574</v>
      </c>
      <c r="D22480" s="4">
        <f>DATE(2008,2,26)</f>
        <v>39504</v>
      </c>
      <c r="E22480" s="5">
        <f t="shared" si="375"/>
        <v>2008</v>
      </c>
      <c r="F22480" s="3" t="s">
        <v>3575</v>
      </c>
      <c r="G22480" s="6">
        <v>11439.3</v>
      </c>
      <c r="H22480" s="5">
        <v>9632</v>
      </c>
    </row>
    <row r="22481" spans="2:8" ht="15" customHeight="1" x14ac:dyDescent="0.4">
      <c r="B22481" s="3" t="s">
        <v>7</v>
      </c>
      <c r="C22481" s="3" t="s">
        <v>3574</v>
      </c>
      <c r="D22481" s="4">
        <f>DATE(2008,3,25)</f>
        <v>39532</v>
      </c>
      <c r="E22481" s="5">
        <f t="shared" si="375"/>
        <v>2008</v>
      </c>
      <c r="F22481" s="3" t="s">
        <v>3575</v>
      </c>
      <c r="G22481" s="6">
        <v>19173.09</v>
      </c>
      <c r="H22481" s="5">
        <v>9627</v>
      </c>
    </row>
    <row r="22482" spans="2:8" ht="15" customHeight="1" x14ac:dyDescent="0.4">
      <c r="B22482" s="3" t="s">
        <v>7</v>
      </c>
      <c r="C22482" s="3" t="s">
        <v>3574</v>
      </c>
      <c r="D22482" s="4">
        <f>DATE(2008,4,2)</f>
        <v>39540</v>
      </c>
      <c r="E22482" s="5">
        <f t="shared" si="375"/>
        <v>2008</v>
      </c>
      <c r="F22482" s="3" t="s">
        <v>3575</v>
      </c>
      <c r="G22482" s="6">
        <v>6821.34</v>
      </c>
      <c r="H22482" s="5">
        <v>10097</v>
      </c>
    </row>
    <row r="22483" spans="2:8" ht="15" customHeight="1" x14ac:dyDescent="0.4">
      <c r="B22483" s="3" t="s">
        <v>7</v>
      </c>
      <c r="C22483" s="3" t="s">
        <v>3574</v>
      </c>
      <c r="D22483" s="4">
        <f>DATE(2008,8,1)</f>
        <v>39661</v>
      </c>
      <c r="E22483" s="5">
        <f t="shared" si="375"/>
        <v>2008</v>
      </c>
      <c r="F22483" s="3" t="s">
        <v>3575</v>
      </c>
      <c r="G22483" s="6">
        <v>13121.16</v>
      </c>
      <c r="H22483" s="5">
        <v>10128</v>
      </c>
    </row>
    <row r="22484" spans="2:8" ht="15" customHeight="1" x14ac:dyDescent="0.4">
      <c r="B22484" s="3" t="s">
        <v>7</v>
      </c>
      <c r="C22484" s="3" t="s">
        <v>3574</v>
      </c>
      <c r="D22484" s="4">
        <f>DATE(2008,8,28)</f>
        <v>39688</v>
      </c>
      <c r="E22484" s="5">
        <f t="shared" si="375"/>
        <v>2008</v>
      </c>
      <c r="F22484" s="3" t="s">
        <v>3575</v>
      </c>
      <c r="G22484" s="6">
        <v>12128.07</v>
      </c>
      <c r="H22484" s="5">
        <v>10529</v>
      </c>
    </row>
    <row r="22485" spans="2:8" ht="15" customHeight="1" x14ac:dyDescent="0.4">
      <c r="B22485" s="3" t="s">
        <v>7</v>
      </c>
      <c r="C22485" s="3" t="s">
        <v>3574</v>
      </c>
      <c r="D22485" s="4">
        <f>DATE(2008,11,13)</f>
        <v>39765</v>
      </c>
      <c r="E22485" s="5">
        <f t="shared" si="375"/>
        <v>2008</v>
      </c>
      <c r="F22485" s="3" t="s">
        <v>3575</v>
      </c>
      <c r="G22485" s="6">
        <v>164.6</v>
      </c>
      <c r="H22485" s="5">
        <v>11580</v>
      </c>
    </row>
    <row r="22486" spans="2:8" ht="15" customHeight="1" x14ac:dyDescent="0.4">
      <c r="B22486" s="3" t="s">
        <v>7</v>
      </c>
      <c r="C22486" s="3" t="s">
        <v>3574</v>
      </c>
      <c r="D22486" s="4">
        <f>DATE(2008,12,16)</f>
        <v>39798</v>
      </c>
      <c r="E22486" s="5">
        <f t="shared" si="375"/>
        <v>2008</v>
      </c>
      <c r="F22486" s="3" t="s">
        <v>3575</v>
      </c>
      <c r="G22486" s="6">
        <v>934.5</v>
      </c>
      <c r="H22486" s="5">
        <v>11697</v>
      </c>
    </row>
    <row r="22487" spans="2:8" ht="15" customHeight="1" x14ac:dyDescent="0.4">
      <c r="B22487" s="3" t="s">
        <v>7</v>
      </c>
      <c r="C22487" s="3" t="s">
        <v>3574</v>
      </c>
      <c r="D22487" s="4">
        <f>DATE(2009,1,20)</f>
        <v>39833</v>
      </c>
      <c r="E22487" s="5">
        <f t="shared" si="375"/>
        <v>2009</v>
      </c>
      <c r="F22487" s="3" t="s">
        <v>3575</v>
      </c>
      <c r="G22487" s="6">
        <v>2801.69</v>
      </c>
      <c r="H22487" s="5">
        <v>11856</v>
      </c>
    </row>
    <row r="22488" spans="2:8" ht="15" customHeight="1" x14ac:dyDescent="0.4">
      <c r="B22488" s="3" t="s">
        <v>7</v>
      </c>
      <c r="C22488" s="3" t="s">
        <v>3574</v>
      </c>
      <c r="D22488" s="4">
        <f>DATE(2009,1,29)</f>
        <v>39842</v>
      </c>
      <c r="E22488" s="5">
        <f t="shared" si="375"/>
        <v>2009</v>
      </c>
      <c r="F22488" s="3" t="s">
        <v>3575</v>
      </c>
      <c r="G22488" s="6">
        <v>2801.69</v>
      </c>
      <c r="H22488" s="5">
        <v>11886</v>
      </c>
    </row>
    <row r="22489" spans="2:8" ht="15" customHeight="1" x14ac:dyDescent="0.4">
      <c r="B22489" s="3" t="s">
        <v>7</v>
      </c>
      <c r="C22489" s="3" t="s">
        <v>3574</v>
      </c>
      <c r="D22489" s="4">
        <f>DATE(2009,2,4)</f>
        <v>39848</v>
      </c>
      <c r="E22489" s="5">
        <f t="shared" si="375"/>
        <v>2009</v>
      </c>
      <c r="F22489" s="3" t="s">
        <v>3575</v>
      </c>
      <c r="G22489" s="6">
        <v>46277.33</v>
      </c>
      <c r="H22489" s="5">
        <v>11768</v>
      </c>
    </row>
    <row r="22490" spans="2:8" ht="15" customHeight="1" x14ac:dyDescent="0.4">
      <c r="B22490" s="3" t="s">
        <v>7</v>
      </c>
      <c r="C22490" s="3" t="s">
        <v>3574</v>
      </c>
      <c r="D22490" s="4">
        <f>DATE(2009,5,11)</f>
        <v>39944</v>
      </c>
      <c r="E22490" s="5">
        <f t="shared" si="375"/>
        <v>2009</v>
      </c>
      <c r="F22490" s="3" t="s">
        <v>3575</v>
      </c>
      <c r="G22490" s="6">
        <v>4246</v>
      </c>
      <c r="H22490" s="5">
        <v>12461</v>
      </c>
    </row>
    <row r="22491" spans="2:8" ht="15" customHeight="1" x14ac:dyDescent="0.4">
      <c r="B22491" s="3" t="s">
        <v>7</v>
      </c>
      <c r="C22491" s="3" t="s">
        <v>3574</v>
      </c>
      <c r="D22491" s="4">
        <f>DATE(2009,6,3)</f>
        <v>39967</v>
      </c>
      <c r="E22491" s="5">
        <f t="shared" si="375"/>
        <v>2009</v>
      </c>
      <c r="F22491" s="3" t="s">
        <v>3575</v>
      </c>
      <c r="G22491" s="6">
        <v>934.5</v>
      </c>
      <c r="H22491" s="5">
        <v>12633</v>
      </c>
    </row>
    <row r="22492" spans="2:8" ht="15" customHeight="1" x14ac:dyDescent="0.4">
      <c r="B22492" s="3" t="s">
        <v>7</v>
      </c>
      <c r="C22492" s="3" t="s">
        <v>3574</v>
      </c>
      <c r="D22492" s="4">
        <f>DATE(2009,6,17)</f>
        <v>39981</v>
      </c>
      <c r="E22492" s="5">
        <f t="shared" si="375"/>
        <v>2009</v>
      </c>
      <c r="F22492" s="3" t="s">
        <v>3575</v>
      </c>
      <c r="G22492" s="6">
        <v>11763.61</v>
      </c>
      <c r="H22492" s="5">
        <v>12585</v>
      </c>
    </row>
    <row r="22493" spans="2:8" ht="15" customHeight="1" x14ac:dyDescent="0.4">
      <c r="B22493" s="3" t="s">
        <v>7</v>
      </c>
      <c r="C22493" s="3" t="s">
        <v>3574</v>
      </c>
      <c r="D22493" s="4">
        <f>DATE(2009,6,24)</f>
        <v>39988</v>
      </c>
      <c r="E22493" s="5">
        <f t="shared" si="375"/>
        <v>2009</v>
      </c>
      <c r="F22493" s="3" t="s">
        <v>3575</v>
      </c>
      <c r="G22493" s="6">
        <v>11763.61</v>
      </c>
      <c r="H22493" s="5">
        <v>12624</v>
      </c>
    </row>
    <row r="22494" spans="2:8" ht="15" customHeight="1" x14ac:dyDescent="0.4">
      <c r="B22494" s="3" t="s">
        <v>7</v>
      </c>
      <c r="C22494" s="3" t="s">
        <v>3574</v>
      </c>
      <c r="D22494" s="4">
        <f>DATE(2009,6,24)</f>
        <v>39988</v>
      </c>
      <c r="E22494" s="5">
        <f t="shared" si="375"/>
        <v>2009</v>
      </c>
      <c r="F22494" s="3" t="s">
        <v>3575</v>
      </c>
      <c r="G22494" s="6">
        <v>240.65</v>
      </c>
      <c r="H22494" s="5">
        <v>12721</v>
      </c>
    </row>
    <row r="22495" spans="2:8" ht="15" customHeight="1" x14ac:dyDescent="0.4">
      <c r="B22495" s="3" t="s">
        <v>7</v>
      </c>
      <c r="C22495" s="3" t="s">
        <v>3574</v>
      </c>
      <c r="D22495" s="4">
        <f>DATE(2009,6,24)</f>
        <v>39988</v>
      </c>
      <c r="E22495" s="5">
        <f t="shared" si="375"/>
        <v>2009</v>
      </c>
      <c r="F22495" s="3" t="s">
        <v>3575</v>
      </c>
      <c r="G22495" s="6">
        <v>10987.61</v>
      </c>
      <c r="H22495" s="5">
        <v>12688</v>
      </c>
    </row>
    <row r="22496" spans="2:8" ht="15" customHeight="1" x14ac:dyDescent="0.4">
      <c r="B22496" s="3" t="s">
        <v>7</v>
      </c>
      <c r="C22496" s="3" t="s">
        <v>3574</v>
      </c>
      <c r="D22496" s="4">
        <f>DATE(2009,6,26)</f>
        <v>39990</v>
      </c>
      <c r="E22496" s="5">
        <f t="shared" si="375"/>
        <v>2009</v>
      </c>
      <c r="F22496" s="3" t="s">
        <v>3575</v>
      </c>
      <c r="G22496" s="6">
        <v>4246</v>
      </c>
      <c r="H22496" s="5">
        <v>12690</v>
      </c>
    </row>
    <row r="22497" spans="2:8" ht="15" customHeight="1" x14ac:dyDescent="0.4">
      <c r="B22497" s="3" t="s">
        <v>7</v>
      </c>
      <c r="C22497" s="3" t="s">
        <v>3574</v>
      </c>
      <c r="D22497" s="4">
        <f>DATE(2009,6,30)</f>
        <v>39994</v>
      </c>
      <c r="E22497" s="5">
        <f t="shared" si="375"/>
        <v>2009</v>
      </c>
      <c r="F22497" s="3" t="s">
        <v>3575</v>
      </c>
      <c r="G22497" s="6">
        <v>4235</v>
      </c>
      <c r="H22497" s="5">
        <v>12733</v>
      </c>
    </row>
    <row r="22498" spans="2:8" ht="15" customHeight="1" x14ac:dyDescent="0.4">
      <c r="B22498" s="3" t="s">
        <v>7</v>
      </c>
      <c r="C22498" s="3" t="s">
        <v>3574</v>
      </c>
      <c r="D22498" s="4">
        <f>DATE(2009,7,21)</f>
        <v>40015</v>
      </c>
      <c r="E22498" s="5">
        <f t="shared" si="375"/>
        <v>2009</v>
      </c>
      <c r="F22498" s="3" t="s">
        <v>3575</v>
      </c>
      <c r="G22498" s="6">
        <v>2070</v>
      </c>
      <c r="H22498" s="5">
        <v>12789</v>
      </c>
    </row>
    <row r="22499" spans="2:8" ht="15" customHeight="1" x14ac:dyDescent="0.4">
      <c r="B22499" s="3" t="s">
        <v>7</v>
      </c>
      <c r="C22499" s="3" t="s">
        <v>3574</v>
      </c>
      <c r="D22499" s="4">
        <f>DATE(2009,7,23)</f>
        <v>40017</v>
      </c>
      <c r="E22499" s="5">
        <f t="shared" si="375"/>
        <v>2009</v>
      </c>
      <c r="F22499" s="3" t="s">
        <v>3575</v>
      </c>
      <c r="G22499" s="6">
        <v>24475.5</v>
      </c>
      <c r="H22499" s="5">
        <v>12661</v>
      </c>
    </row>
    <row r="22500" spans="2:8" ht="15" customHeight="1" x14ac:dyDescent="0.4">
      <c r="B22500" s="3" t="s">
        <v>7</v>
      </c>
      <c r="C22500" s="3" t="s">
        <v>3574</v>
      </c>
      <c r="D22500" s="4">
        <f>DATE(2009,9,17)</f>
        <v>40073</v>
      </c>
      <c r="E22500" s="5">
        <f t="shared" si="375"/>
        <v>2009</v>
      </c>
      <c r="F22500" s="3" t="s">
        <v>3575</v>
      </c>
      <c r="G22500" s="6">
        <v>2689</v>
      </c>
      <c r="H22500" s="5">
        <v>12988</v>
      </c>
    </row>
    <row r="22501" spans="2:8" ht="15" customHeight="1" x14ac:dyDescent="0.4">
      <c r="B22501" s="3" t="s">
        <v>7</v>
      </c>
      <c r="C22501" s="3" t="s">
        <v>3574</v>
      </c>
      <c r="D22501" s="4">
        <f>DATE(2009,9,29)</f>
        <v>40085</v>
      </c>
      <c r="E22501" s="5">
        <f t="shared" si="375"/>
        <v>2009</v>
      </c>
      <c r="F22501" s="3" t="s">
        <v>3575</v>
      </c>
      <c r="G22501" s="6">
        <v>6249</v>
      </c>
      <c r="H22501" s="5">
        <v>12926</v>
      </c>
    </row>
    <row r="22502" spans="2:8" ht="15" customHeight="1" x14ac:dyDescent="0.4">
      <c r="B22502" s="3" t="s">
        <v>7</v>
      </c>
      <c r="C22502" s="3" t="s">
        <v>3574</v>
      </c>
      <c r="D22502" s="4">
        <f>DATE(2009,9,29)</f>
        <v>40085</v>
      </c>
      <c r="E22502" s="5">
        <f t="shared" si="375"/>
        <v>2009</v>
      </c>
      <c r="F22502" s="3" t="s">
        <v>3575</v>
      </c>
      <c r="G22502" s="6">
        <v>11764.81</v>
      </c>
      <c r="H22502" s="5">
        <v>12933</v>
      </c>
    </row>
    <row r="22503" spans="2:8" ht="15" customHeight="1" x14ac:dyDescent="0.4">
      <c r="B22503" s="3" t="s">
        <v>7</v>
      </c>
      <c r="C22503" s="3" t="s">
        <v>3574</v>
      </c>
      <c r="D22503" s="4">
        <f>DATE(2009,10,22)</f>
        <v>40108</v>
      </c>
      <c r="E22503" s="5">
        <f t="shared" si="375"/>
        <v>2009</v>
      </c>
      <c r="F22503" s="3" t="s">
        <v>3575</v>
      </c>
      <c r="G22503" s="6">
        <v>668.66</v>
      </c>
      <c r="H22503" s="5">
        <v>13164</v>
      </c>
    </row>
    <row r="22504" spans="2:8" ht="15" customHeight="1" x14ac:dyDescent="0.4">
      <c r="B22504" s="3" t="s">
        <v>7</v>
      </c>
      <c r="C22504" s="3" t="s">
        <v>3574</v>
      </c>
      <c r="D22504" s="4">
        <f>DATE(2010,1,28)</f>
        <v>40206</v>
      </c>
      <c r="E22504" s="5">
        <f t="shared" si="375"/>
        <v>2010</v>
      </c>
      <c r="F22504" s="3" t="s">
        <v>3575</v>
      </c>
      <c r="G22504" s="6">
        <v>46294.53</v>
      </c>
      <c r="H22504" s="5">
        <v>13291</v>
      </c>
    </row>
    <row r="22505" spans="2:8" ht="15" customHeight="1" x14ac:dyDescent="0.4">
      <c r="B22505" s="3" t="s">
        <v>7</v>
      </c>
      <c r="C22505" s="3" t="s">
        <v>3574</v>
      </c>
      <c r="D22505" s="4">
        <f>DATE(2010,2,11)</f>
        <v>40220</v>
      </c>
      <c r="E22505" s="5">
        <f t="shared" si="375"/>
        <v>2010</v>
      </c>
      <c r="F22505" s="3" t="s">
        <v>3575</v>
      </c>
      <c r="G22505" s="6">
        <v>2614.89</v>
      </c>
      <c r="H22505" s="5">
        <v>13482</v>
      </c>
    </row>
    <row r="22506" spans="2:8" ht="15" customHeight="1" x14ac:dyDescent="0.4">
      <c r="B22506" s="3" t="s">
        <v>7</v>
      </c>
      <c r="C22506" s="3" t="s">
        <v>3574</v>
      </c>
      <c r="D22506" s="4">
        <f>DATE(2010,3,3)</f>
        <v>40240</v>
      </c>
      <c r="E22506" s="5">
        <f t="shared" si="375"/>
        <v>2010</v>
      </c>
      <c r="F22506" s="3" t="s">
        <v>3575</v>
      </c>
      <c r="G22506" s="6">
        <v>1218</v>
      </c>
      <c r="H22506" s="5">
        <v>13633</v>
      </c>
    </row>
    <row r="22507" spans="2:8" ht="15" customHeight="1" x14ac:dyDescent="0.4">
      <c r="B22507" s="3" t="s">
        <v>7</v>
      </c>
      <c r="C22507" s="3" t="s">
        <v>3574</v>
      </c>
      <c r="D22507" s="4">
        <f>DATE(2010,5,11)</f>
        <v>40309</v>
      </c>
      <c r="E22507" s="5">
        <f t="shared" si="375"/>
        <v>2010</v>
      </c>
      <c r="F22507" s="3" t="s">
        <v>3575</v>
      </c>
      <c r="G22507" s="6">
        <v>37056.839999999997</v>
      </c>
      <c r="H22507" s="5">
        <v>13564</v>
      </c>
    </row>
    <row r="22508" spans="2:8" ht="15" customHeight="1" x14ac:dyDescent="0.4">
      <c r="B22508" s="3" t="s">
        <v>7</v>
      </c>
      <c r="C22508" s="3" t="s">
        <v>3574</v>
      </c>
      <c r="D22508" s="4">
        <f>DATE(2010,7,7)</f>
        <v>40366</v>
      </c>
      <c r="E22508" s="5">
        <f t="shared" si="375"/>
        <v>2010</v>
      </c>
      <c r="F22508" s="3" t="s">
        <v>3575</v>
      </c>
      <c r="G22508" s="6">
        <v>10958.98</v>
      </c>
      <c r="H22508" s="5">
        <v>13765</v>
      </c>
    </row>
    <row r="22509" spans="2:8" ht="15" customHeight="1" x14ac:dyDescent="0.4">
      <c r="B22509" s="3" t="s">
        <v>7</v>
      </c>
      <c r="C22509" s="3" t="s">
        <v>3574</v>
      </c>
      <c r="D22509" s="4">
        <f>DATE(2010,8,23)</f>
        <v>40413</v>
      </c>
      <c r="E22509" s="5">
        <f t="shared" si="375"/>
        <v>2010</v>
      </c>
      <c r="F22509" s="3" t="s">
        <v>3575</v>
      </c>
      <c r="G22509" s="6">
        <v>23787.05</v>
      </c>
      <c r="H22509" s="5">
        <v>13810</v>
      </c>
    </row>
    <row r="22510" spans="2:8" ht="15" customHeight="1" x14ac:dyDescent="0.4">
      <c r="B22510" s="3" t="s">
        <v>7</v>
      </c>
      <c r="C22510" s="3" t="s">
        <v>3574</v>
      </c>
      <c r="D22510" s="4">
        <f>DATE(2010,9,10)</f>
        <v>40431</v>
      </c>
      <c r="E22510" s="5">
        <f t="shared" si="375"/>
        <v>2010</v>
      </c>
      <c r="F22510" s="3" t="s">
        <v>3575</v>
      </c>
      <c r="G22510" s="6">
        <v>46295.93</v>
      </c>
      <c r="H22510" s="5">
        <v>14237</v>
      </c>
    </row>
    <row r="22511" spans="2:8" ht="15" customHeight="1" x14ac:dyDescent="0.4">
      <c r="B22511" s="3" t="s">
        <v>7</v>
      </c>
      <c r="C22511" s="3" t="s">
        <v>3574</v>
      </c>
      <c r="D22511" s="4">
        <f>DATE(2010,9,29)</f>
        <v>40450</v>
      </c>
      <c r="E22511" s="5">
        <f t="shared" si="375"/>
        <v>2010</v>
      </c>
      <c r="F22511" s="3" t="s">
        <v>3575</v>
      </c>
      <c r="G22511" s="6">
        <v>849.32</v>
      </c>
      <c r="H22511" s="5">
        <v>14557</v>
      </c>
    </row>
    <row r="22512" spans="2:8" ht="15" customHeight="1" x14ac:dyDescent="0.4">
      <c r="B22512" s="3" t="s">
        <v>7</v>
      </c>
      <c r="C22512" s="3" t="s">
        <v>3574</v>
      </c>
      <c r="D22512" s="4">
        <f>DATE(2010,12,21)</f>
        <v>40533</v>
      </c>
      <c r="E22512" s="5">
        <f t="shared" si="375"/>
        <v>2010</v>
      </c>
      <c r="F22512" s="3" t="s">
        <v>3575</v>
      </c>
      <c r="G22512" s="6">
        <v>240.65</v>
      </c>
      <c r="H22512" s="5">
        <v>14838</v>
      </c>
    </row>
    <row r="22513" spans="2:8" ht="15" customHeight="1" x14ac:dyDescent="0.4">
      <c r="B22513" s="3" t="s">
        <v>7</v>
      </c>
      <c r="C22513" s="3" t="s">
        <v>3574</v>
      </c>
      <c r="D22513" s="4">
        <f>DATE(2011,1,14)</f>
        <v>40557</v>
      </c>
      <c r="E22513" s="5">
        <f t="shared" si="375"/>
        <v>2011</v>
      </c>
      <c r="F22513" s="3" t="s">
        <v>3575</v>
      </c>
      <c r="G22513" s="6">
        <v>1710.25</v>
      </c>
      <c r="H22513" s="5">
        <v>14888</v>
      </c>
    </row>
    <row r="22514" spans="2:8" ht="15" customHeight="1" x14ac:dyDescent="0.4">
      <c r="B22514" s="3" t="s">
        <v>7</v>
      </c>
      <c r="C22514" s="3" t="s">
        <v>3574</v>
      </c>
      <c r="D22514" s="4">
        <f>DATE(2011,1,17)</f>
        <v>40560</v>
      </c>
      <c r="E22514" s="5">
        <f t="shared" si="375"/>
        <v>2011</v>
      </c>
      <c r="F22514" s="3" t="s">
        <v>3575</v>
      </c>
      <c r="G22514" s="6">
        <v>241.65</v>
      </c>
      <c r="H22514" s="5">
        <v>14919</v>
      </c>
    </row>
    <row r="22515" spans="2:8" ht="15" customHeight="1" x14ac:dyDescent="0.4">
      <c r="B22515" s="3" t="s">
        <v>7</v>
      </c>
      <c r="C22515" s="3" t="s">
        <v>3574</v>
      </c>
      <c r="D22515" s="4">
        <f>DATE(2011,2,2)</f>
        <v>40576</v>
      </c>
      <c r="E22515" s="5">
        <f t="shared" si="375"/>
        <v>2011</v>
      </c>
      <c r="F22515" s="3" t="s">
        <v>3575</v>
      </c>
      <c r="G22515" s="6">
        <v>1219</v>
      </c>
      <c r="H22515" s="5">
        <v>14992</v>
      </c>
    </row>
    <row r="22516" spans="2:8" ht="15" customHeight="1" x14ac:dyDescent="0.4">
      <c r="B22516" s="3" t="s">
        <v>7</v>
      </c>
      <c r="C22516" s="3" t="s">
        <v>3574</v>
      </c>
      <c r="D22516" s="4">
        <f>DATE(2011,2,21)</f>
        <v>40595</v>
      </c>
      <c r="E22516" s="5">
        <f t="shared" si="375"/>
        <v>2011</v>
      </c>
      <c r="F22516" s="3" t="s">
        <v>3575</v>
      </c>
      <c r="G22516" s="6">
        <v>3035.51</v>
      </c>
      <c r="H22516" s="5">
        <v>14997</v>
      </c>
    </row>
    <row r="22517" spans="2:8" ht="15" customHeight="1" x14ac:dyDescent="0.4">
      <c r="B22517" s="3" t="s">
        <v>7</v>
      </c>
      <c r="C22517" s="3" t="s">
        <v>3574</v>
      </c>
      <c r="D22517" s="4">
        <f>DATE(2011,3,16)</f>
        <v>40618</v>
      </c>
      <c r="E22517" s="5">
        <f t="shared" si="375"/>
        <v>2011</v>
      </c>
      <c r="F22517" s="3" t="s">
        <v>3575</v>
      </c>
      <c r="G22517" s="6">
        <v>2178.09</v>
      </c>
      <c r="H22517" s="5">
        <v>15185</v>
      </c>
    </row>
    <row r="22518" spans="2:8" ht="15" customHeight="1" x14ac:dyDescent="0.4">
      <c r="B22518" s="3" t="s">
        <v>7</v>
      </c>
      <c r="C22518" s="3" t="s">
        <v>3574</v>
      </c>
      <c r="D22518" s="4">
        <f>DATE(2011,3,24)</f>
        <v>40626</v>
      </c>
      <c r="E22518" s="5">
        <f t="shared" si="375"/>
        <v>2011</v>
      </c>
      <c r="F22518" s="3" t="s">
        <v>3575</v>
      </c>
      <c r="G22518" s="6">
        <v>11785.37</v>
      </c>
      <c r="H22518" s="5">
        <v>15103</v>
      </c>
    </row>
    <row r="22519" spans="2:8" ht="15" customHeight="1" x14ac:dyDescent="0.4">
      <c r="B22519" s="3" t="s">
        <v>7</v>
      </c>
      <c r="C22519" s="3" t="s">
        <v>3574</v>
      </c>
      <c r="D22519" s="4">
        <f>DATE(2011,4,26)</f>
        <v>40659</v>
      </c>
      <c r="E22519" s="5">
        <f t="shared" si="375"/>
        <v>2011</v>
      </c>
      <c r="F22519" s="3" t="s">
        <v>3575</v>
      </c>
      <c r="G22519" s="6">
        <v>3253.6</v>
      </c>
      <c r="H22519" s="5">
        <v>15478</v>
      </c>
    </row>
    <row r="22520" spans="2:8" ht="15" customHeight="1" x14ac:dyDescent="0.4">
      <c r="B22520" s="3" t="s">
        <v>7</v>
      </c>
      <c r="C22520" s="3" t="s">
        <v>3574</v>
      </c>
      <c r="D22520" s="4">
        <f>DATE(2011,4,26)</f>
        <v>40659</v>
      </c>
      <c r="E22520" s="5">
        <f t="shared" si="375"/>
        <v>2011</v>
      </c>
      <c r="F22520" s="3" t="s">
        <v>3575</v>
      </c>
      <c r="G22520" s="6">
        <v>6027.2</v>
      </c>
      <c r="H22520" s="5">
        <v>15485</v>
      </c>
    </row>
    <row r="22521" spans="2:8" ht="15" customHeight="1" x14ac:dyDescent="0.4">
      <c r="B22521" s="3" t="s">
        <v>7</v>
      </c>
      <c r="C22521" s="3" t="s">
        <v>3574</v>
      </c>
      <c r="D22521" s="4">
        <f>DATE(2011,5,27)</f>
        <v>40690</v>
      </c>
      <c r="E22521" s="5">
        <f t="shared" si="375"/>
        <v>2011</v>
      </c>
      <c r="F22521" s="3" t="s">
        <v>3575</v>
      </c>
      <c r="G22521" s="6">
        <v>13791.38</v>
      </c>
      <c r="H22521" s="5">
        <v>15485</v>
      </c>
    </row>
    <row r="22522" spans="2:8" ht="15" customHeight="1" x14ac:dyDescent="0.4">
      <c r="B22522" s="3" t="s">
        <v>7</v>
      </c>
      <c r="C22522" s="3" t="s">
        <v>3574</v>
      </c>
      <c r="D22522" s="4">
        <f>DATE(2011,5,17)</f>
        <v>40680</v>
      </c>
      <c r="E22522" s="5">
        <f t="shared" si="375"/>
        <v>2011</v>
      </c>
      <c r="F22522" s="3" t="s">
        <v>3575</v>
      </c>
      <c r="G22522" s="6">
        <v>13922.1</v>
      </c>
      <c r="H22522" s="5">
        <v>15324</v>
      </c>
    </row>
    <row r="22523" spans="2:8" ht="15" customHeight="1" x14ac:dyDescent="0.4">
      <c r="B22523" s="3" t="s">
        <v>7</v>
      </c>
      <c r="C22523" s="3" t="s">
        <v>3574</v>
      </c>
      <c r="D22523" s="4">
        <f>DATE(2011,8,9)</f>
        <v>40764</v>
      </c>
      <c r="E22523" s="5">
        <f t="shared" si="375"/>
        <v>2011</v>
      </c>
      <c r="F22523" s="3" t="s">
        <v>3575</v>
      </c>
      <c r="G22523" s="6">
        <v>23810.99</v>
      </c>
      <c r="H22523" s="5">
        <v>15743</v>
      </c>
    </row>
    <row r="22524" spans="2:8" ht="15" customHeight="1" x14ac:dyDescent="0.4">
      <c r="B22524" s="3" t="s">
        <v>7</v>
      </c>
      <c r="C22524" s="3" t="s">
        <v>3574</v>
      </c>
      <c r="D22524" s="4">
        <f>DATE(2011,8,9)</f>
        <v>40764</v>
      </c>
      <c r="E22524" s="5">
        <f t="shared" si="375"/>
        <v>2011</v>
      </c>
      <c r="F22524" s="3" t="s">
        <v>3575</v>
      </c>
      <c r="G22524" s="6">
        <v>13922.79</v>
      </c>
      <c r="H22524" s="5">
        <v>15745</v>
      </c>
    </row>
    <row r="22525" spans="2:8" ht="15" customHeight="1" x14ac:dyDescent="0.4">
      <c r="B22525" s="3" t="s">
        <v>7</v>
      </c>
      <c r="C22525" s="3" t="s">
        <v>3574</v>
      </c>
      <c r="D22525" s="4">
        <f>DATE(2011,9,15)</f>
        <v>40801</v>
      </c>
      <c r="E22525" s="5">
        <f t="shared" si="375"/>
        <v>2011</v>
      </c>
      <c r="F22525" s="3" t="s">
        <v>3575</v>
      </c>
      <c r="G22525" s="6">
        <v>11453.88</v>
      </c>
      <c r="H22525" s="5">
        <v>15810</v>
      </c>
    </row>
    <row r="22526" spans="2:8" ht="15" customHeight="1" x14ac:dyDescent="0.4">
      <c r="B22526" s="3" t="s">
        <v>7</v>
      </c>
      <c r="C22526" s="3" t="s">
        <v>3574</v>
      </c>
      <c r="D22526" s="4">
        <f>DATE(2011,10,17)</f>
        <v>40833</v>
      </c>
      <c r="E22526" s="5">
        <f t="shared" si="375"/>
        <v>2011</v>
      </c>
      <c r="F22526" s="3" t="s">
        <v>3575</v>
      </c>
      <c r="G22526" s="6">
        <v>14698.1</v>
      </c>
      <c r="H22526" s="5">
        <v>15895</v>
      </c>
    </row>
    <row r="22527" spans="2:8" ht="15" customHeight="1" x14ac:dyDescent="0.4">
      <c r="B22527" s="3" t="s">
        <v>7</v>
      </c>
      <c r="C22527" s="3" t="s">
        <v>3574</v>
      </c>
      <c r="D22527" s="4">
        <f>DATE(2012,2,3)</f>
        <v>40942</v>
      </c>
      <c r="E22527" s="5">
        <f t="shared" si="375"/>
        <v>2012</v>
      </c>
      <c r="F22527" s="3" t="s">
        <v>3575</v>
      </c>
      <c r="G22527" s="6">
        <v>53748.19</v>
      </c>
      <c r="H22527" s="5">
        <v>16379</v>
      </c>
    </row>
    <row r="22528" spans="2:8" ht="15" customHeight="1" x14ac:dyDescent="0.4">
      <c r="B22528" s="3" t="s">
        <v>7</v>
      </c>
      <c r="C22528" s="3" t="s">
        <v>3574</v>
      </c>
      <c r="D22528" s="4">
        <f>DATE(2012,2,3)</f>
        <v>40942</v>
      </c>
      <c r="E22528" s="5">
        <f t="shared" si="375"/>
        <v>2012</v>
      </c>
      <c r="F22528" s="3" t="s">
        <v>3575</v>
      </c>
      <c r="G22528" s="6">
        <v>1110.7</v>
      </c>
      <c r="H22528" s="5">
        <v>16285</v>
      </c>
    </row>
    <row r="22529" spans="2:8" ht="15" customHeight="1" x14ac:dyDescent="0.4">
      <c r="B22529" s="3" t="s">
        <v>7</v>
      </c>
      <c r="C22529" s="3" t="s">
        <v>3574</v>
      </c>
      <c r="D22529" s="4">
        <f>DATE(2012,3,5)</f>
        <v>40973</v>
      </c>
      <c r="E22529" s="5">
        <f t="shared" si="375"/>
        <v>2012</v>
      </c>
      <c r="F22529" s="3" t="s">
        <v>3575</v>
      </c>
      <c r="G22529" s="6">
        <v>2702.35</v>
      </c>
      <c r="H22529" s="5">
        <v>16388</v>
      </c>
    </row>
    <row r="22530" spans="2:8" ht="15" customHeight="1" x14ac:dyDescent="0.4">
      <c r="B22530" s="3" t="s">
        <v>7</v>
      </c>
      <c r="C22530" s="3" t="s">
        <v>3574</v>
      </c>
      <c r="D22530" s="4">
        <f>DATE(2012,3,5)</f>
        <v>40973</v>
      </c>
      <c r="E22530" s="5">
        <f t="shared" si="375"/>
        <v>2012</v>
      </c>
      <c r="F22530" s="3" t="s">
        <v>3575</v>
      </c>
      <c r="G22530" s="6">
        <v>9857.27</v>
      </c>
      <c r="H22530" s="5">
        <v>16278</v>
      </c>
    </row>
    <row r="22531" spans="2:8" ht="15" customHeight="1" x14ac:dyDescent="0.4">
      <c r="B22531" s="3" t="s">
        <v>7</v>
      </c>
      <c r="C22531" s="3" t="s">
        <v>3574</v>
      </c>
      <c r="D22531" s="4">
        <f>DATE(2012,3,16)</f>
        <v>40984</v>
      </c>
      <c r="E22531" s="5">
        <f t="shared" ref="E22531:E22594" si="376">YEAR(D22531)</f>
        <v>2012</v>
      </c>
      <c r="F22531" s="3" t="s">
        <v>3575</v>
      </c>
      <c r="G22531" s="6">
        <v>2073</v>
      </c>
      <c r="H22531" s="5">
        <v>16762</v>
      </c>
    </row>
    <row r="22532" spans="2:8" ht="15" customHeight="1" x14ac:dyDescent="0.4">
      <c r="B22532" s="3" t="s">
        <v>7</v>
      </c>
      <c r="C22532" s="3" t="s">
        <v>3574</v>
      </c>
      <c r="D22532" s="4">
        <f>DATE(2012,5,14)</f>
        <v>41043</v>
      </c>
      <c r="E22532" s="5">
        <f t="shared" si="376"/>
        <v>2012</v>
      </c>
      <c r="F22532" s="3" t="s">
        <v>3575</v>
      </c>
      <c r="G22532" s="6">
        <v>10038.89</v>
      </c>
      <c r="H22532" s="5">
        <v>17041</v>
      </c>
    </row>
    <row r="22533" spans="2:8" ht="15" customHeight="1" x14ac:dyDescent="0.4">
      <c r="B22533" s="3" t="s">
        <v>7</v>
      </c>
      <c r="C22533" s="3" t="s">
        <v>3574</v>
      </c>
      <c r="D22533" s="4">
        <f>DATE(2012,5,18)</f>
        <v>41047</v>
      </c>
      <c r="E22533" s="5">
        <f t="shared" si="376"/>
        <v>2012</v>
      </c>
      <c r="F22533" s="3" t="s">
        <v>3575</v>
      </c>
      <c r="G22533" s="6">
        <v>19323.12</v>
      </c>
      <c r="H22533" s="5">
        <v>17008</v>
      </c>
    </row>
    <row r="22534" spans="2:8" ht="15" customHeight="1" x14ac:dyDescent="0.4">
      <c r="B22534" s="3" t="s">
        <v>7</v>
      </c>
      <c r="C22534" s="3" t="s">
        <v>3574</v>
      </c>
      <c r="D22534" s="4">
        <f>DATE(2012,5,23)</f>
        <v>41052</v>
      </c>
      <c r="E22534" s="5">
        <f t="shared" si="376"/>
        <v>2012</v>
      </c>
      <c r="F22534" s="3" t="s">
        <v>3575</v>
      </c>
      <c r="G22534" s="6">
        <v>17607.45</v>
      </c>
      <c r="H22534" s="5">
        <v>17111</v>
      </c>
    </row>
    <row r="22535" spans="2:8" ht="15" customHeight="1" x14ac:dyDescent="0.4">
      <c r="B22535" s="3" t="s">
        <v>7</v>
      </c>
      <c r="C22535" s="3" t="s">
        <v>3574</v>
      </c>
      <c r="D22535" s="4">
        <f>DATE(2012,7,26)</f>
        <v>41116</v>
      </c>
      <c r="E22535" s="5">
        <f t="shared" si="376"/>
        <v>2012</v>
      </c>
      <c r="F22535" s="3" t="s">
        <v>3575</v>
      </c>
      <c r="G22535" s="6">
        <v>33932.1</v>
      </c>
      <c r="H22535" s="5">
        <v>17197</v>
      </c>
    </row>
    <row r="22536" spans="2:8" ht="15" customHeight="1" x14ac:dyDescent="0.4">
      <c r="B22536" s="3" t="s">
        <v>7</v>
      </c>
      <c r="C22536" s="3" t="s">
        <v>3574</v>
      </c>
      <c r="D22536" s="4">
        <f>DATE(2012,7,26)</f>
        <v>41116</v>
      </c>
      <c r="E22536" s="5">
        <f t="shared" si="376"/>
        <v>2012</v>
      </c>
      <c r="F22536" s="3" t="s">
        <v>3575</v>
      </c>
      <c r="G22536" s="6">
        <v>20936.77</v>
      </c>
      <c r="H22536" s="5">
        <v>17278</v>
      </c>
    </row>
    <row r="22537" spans="2:8" ht="15" customHeight="1" x14ac:dyDescent="0.4">
      <c r="B22537" s="3" t="s">
        <v>7</v>
      </c>
      <c r="C22537" s="3" t="s">
        <v>3574</v>
      </c>
      <c r="D22537" s="4">
        <f>DATE(2012,7,23)</f>
        <v>41113</v>
      </c>
      <c r="E22537" s="5">
        <f t="shared" si="376"/>
        <v>2012</v>
      </c>
      <c r="F22537" s="3" t="s">
        <v>3575</v>
      </c>
      <c r="G22537" s="6">
        <v>1040</v>
      </c>
      <c r="H22537" s="5">
        <v>17387</v>
      </c>
    </row>
    <row r="22538" spans="2:8" ht="15" customHeight="1" x14ac:dyDescent="0.4">
      <c r="B22538" s="3" t="s">
        <v>7</v>
      </c>
      <c r="C22538" s="3" t="s">
        <v>3574</v>
      </c>
      <c r="D22538" s="4">
        <f>DATE(2012,9,14)</f>
        <v>41166</v>
      </c>
      <c r="E22538" s="5">
        <f t="shared" si="376"/>
        <v>2012</v>
      </c>
      <c r="F22538" s="3" t="s">
        <v>3575</v>
      </c>
      <c r="G22538" s="6">
        <v>33367.199999999997</v>
      </c>
      <c r="H22538" s="5">
        <v>17422</v>
      </c>
    </row>
    <row r="22539" spans="2:8" ht="15" customHeight="1" x14ac:dyDescent="0.4">
      <c r="B22539" s="3" t="s">
        <v>7</v>
      </c>
      <c r="C22539" s="3" t="s">
        <v>3574</v>
      </c>
      <c r="D22539" s="4">
        <f>DATE(2012,9,14)</f>
        <v>41166</v>
      </c>
      <c r="E22539" s="5">
        <f t="shared" si="376"/>
        <v>2012</v>
      </c>
      <c r="F22539" s="3" t="s">
        <v>3575</v>
      </c>
      <c r="G22539" s="6">
        <v>2142.21</v>
      </c>
      <c r="H22539" s="5">
        <v>17572</v>
      </c>
    </row>
    <row r="22540" spans="2:8" ht="15" customHeight="1" x14ac:dyDescent="0.4">
      <c r="B22540" s="3" t="s">
        <v>7</v>
      </c>
      <c r="C22540" s="3" t="s">
        <v>3574</v>
      </c>
      <c r="D22540" s="4">
        <f>DATE(2012,10,25)</f>
        <v>41207</v>
      </c>
      <c r="E22540" s="5">
        <f t="shared" si="376"/>
        <v>2012</v>
      </c>
      <c r="F22540" s="3" t="s">
        <v>3575</v>
      </c>
      <c r="G22540" s="6">
        <v>3002.12</v>
      </c>
      <c r="H22540" s="5">
        <v>17759</v>
      </c>
    </row>
    <row r="22541" spans="2:8" ht="15" customHeight="1" x14ac:dyDescent="0.4">
      <c r="B22541" s="3" t="s">
        <v>7</v>
      </c>
      <c r="C22541" s="3" t="s">
        <v>3574</v>
      </c>
      <c r="D22541" s="4">
        <f>DATE(2012,11,1)</f>
        <v>41214</v>
      </c>
      <c r="E22541" s="5">
        <f t="shared" si="376"/>
        <v>2012</v>
      </c>
      <c r="F22541" s="3" t="s">
        <v>3575</v>
      </c>
      <c r="G22541" s="6">
        <v>2205.7199999999998</v>
      </c>
      <c r="H22541" s="5">
        <v>17782</v>
      </c>
    </row>
    <row r="22542" spans="2:8" ht="15" customHeight="1" x14ac:dyDescent="0.4">
      <c r="B22542" s="3" t="s">
        <v>7</v>
      </c>
      <c r="C22542" s="3" t="s">
        <v>3574</v>
      </c>
      <c r="D22542" s="4">
        <f>DATE(2012,11,6)</f>
        <v>41219</v>
      </c>
      <c r="E22542" s="5">
        <f t="shared" si="376"/>
        <v>2012</v>
      </c>
      <c r="F22542" s="3" t="s">
        <v>3575</v>
      </c>
      <c r="G22542" s="6">
        <v>2950.13</v>
      </c>
      <c r="H22542" s="5">
        <v>17784</v>
      </c>
    </row>
    <row r="22543" spans="2:8" ht="15" customHeight="1" x14ac:dyDescent="0.4">
      <c r="B22543" s="3" t="s">
        <v>7</v>
      </c>
      <c r="C22543" s="3" t="s">
        <v>3574</v>
      </c>
      <c r="D22543" s="4">
        <f>DATE(2013,2,28)</f>
        <v>41333</v>
      </c>
      <c r="E22543" s="5">
        <f t="shared" si="376"/>
        <v>2013</v>
      </c>
      <c r="F22543" s="3" t="s">
        <v>3575</v>
      </c>
      <c r="G22543" s="6">
        <v>2959.74</v>
      </c>
      <c r="H22543" s="5">
        <v>18170</v>
      </c>
    </row>
    <row r="22544" spans="2:8" ht="15" customHeight="1" x14ac:dyDescent="0.4">
      <c r="B22544" s="3" t="s">
        <v>7</v>
      </c>
      <c r="C22544" s="3" t="s">
        <v>3574</v>
      </c>
      <c r="D22544" s="4">
        <f>DATE(2013,3,8)</f>
        <v>41341</v>
      </c>
      <c r="E22544" s="5">
        <f t="shared" si="376"/>
        <v>2013</v>
      </c>
      <c r="F22544" s="3" t="s">
        <v>3575</v>
      </c>
      <c r="G22544" s="6">
        <v>642.05999999999995</v>
      </c>
      <c r="H22544" s="5">
        <v>18282</v>
      </c>
    </row>
    <row r="22545" spans="2:8" ht="15" customHeight="1" x14ac:dyDescent="0.4">
      <c r="B22545" s="3" t="s">
        <v>7</v>
      </c>
      <c r="C22545" s="3" t="s">
        <v>3574</v>
      </c>
      <c r="D22545" s="4">
        <f>DATE(2013,6,7)</f>
        <v>41432</v>
      </c>
      <c r="E22545" s="5">
        <f t="shared" si="376"/>
        <v>2013</v>
      </c>
      <c r="F22545" s="3" t="s">
        <v>3575</v>
      </c>
      <c r="G22545" s="6">
        <v>17617.27</v>
      </c>
      <c r="H22545" s="5">
        <v>18611</v>
      </c>
    </row>
    <row r="22546" spans="2:8" ht="15" customHeight="1" x14ac:dyDescent="0.4">
      <c r="B22546" s="3" t="s">
        <v>7</v>
      </c>
      <c r="C22546" s="3" t="s">
        <v>3574</v>
      </c>
      <c r="D22546" s="4">
        <f>DATE(2013,9,27)</f>
        <v>41544</v>
      </c>
      <c r="E22546" s="5">
        <f t="shared" si="376"/>
        <v>2013</v>
      </c>
      <c r="F22546" s="3" t="s">
        <v>3575</v>
      </c>
      <c r="G22546" s="6">
        <v>7272.94</v>
      </c>
      <c r="H22546" s="5">
        <v>19005</v>
      </c>
    </row>
    <row r="22547" spans="2:8" ht="15" customHeight="1" x14ac:dyDescent="0.4">
      <c r="B22547" s="3" t="s">
        <v>7</v>
      </c>
      <c r="C22547" s="3" t="s">
        <v>3574</v>
      </c>
      <c r="D22547" s="4">
        <f>DATE(2014,2,12)</f>
        <v>41682</v>
      </c>
      <c r="E22547" s="5">
        <f t="shared" si="376"/>
        <v>2014</v>
      </c>
      <c r="F22547" s="3" t="s">
        <v>3575</v>
      </c>
      <c r="G22547" s="6">
        <v>2490.35</v>
      </c>
      <c r="H22547" s="5">
        <v>19272</v>
      </c>
    </row>
    <row r="22548" spans="2:8" ht="15" customHeight="1" x14ac:dyDescent="0.4">
      <c r="B22548" s="3" t="s">
        <v>7</v>
      </c>
      <c r="C22548" s="3" t="s">
        <v>3574</v>
      </c>
      <c r="D22548" s="4">
        <f>DATE(2014,2,12)</f>
        <v>41682</v>
      </c>
      <c r="E22548" s="5">
        <f t="shared" si="376"/>
        <v>2014</v>
      </c>
      <c r="F22548" s="3" t="s">
        <v>3575</v>
      </c>
      <c r="G22548" s="6">
        <v>12118.65</v>
      </c>
      <c r="H22548" s="5">
        <v>19448</v>
      </c>
    </row>
    <row r="22549" spans="2:8" ht="15" customHeight="1" x14ac:dyDescent="0.4">
      <c r="B22549" s="3" t="s">
        <v>7</v>
      </c>
      <c r="C22549" s="3" t="s">
        <v>3574</v>
      </c>
      <c r="D22549" s="4">
        <f>DATE(2014,4,22)</f>
        <v>41751</v>
      </c>
      <c r="E22549" s="5">
        <f t="shared" si="376"/>
        <v>2014</v>
      </c>
      <c r="F22549" s="3" t="s">
        <v>3575</v>
      </c>
      <c r="G22549" s="6">
        <v>1941.55</v>
      </c>
      <c r="H22549" s="5">
        <v>19755</v>
      </c>
    </row>
    <row r="22550" spans="2:8" ht="15" customHeight="1" x14ac:dyDescent="0.4">
      <c r="B22550" s="3" t="s">
        <v>7</v>
      </c>
      <c r="C22550" s="3" t="s">
        <v>3574</v>
      </c>
      <c r="D22550" s="4">
        <f>DATE(2014,5,21)</f>
        <v>41780</v>
      </c>
      <c r="E22550" s="5">
        <f t="shared" si="376"/>
        <v>2014</v>
      </c>
      <c r="F22550" s="3" t="s">
        <v>3575</v>
      </c>
      <c r="G22550" s="6">
        <v>4248</v>
      </c>
      <c r="H22550" s="5">
        <v>19940</v>
      </c>
    </row>
    <row r="22551" spans="2:8" ht="15" customHeight="1" x14ac:dyDescent="0.4">
      <c r="B22551" s="3" t="s">
        <v>7</v>
      </c>
      <c r="C22551" s="3" t="s">
        <v>3574</v>
      </c>
      <c r="D22551" s="4">
        <f>DATE(2014,7,11)</f>
        <v>41831</v>
      </c>
      <c r="E22551" s="5">
        <f t="shared" si="376"/>
        <v>2014</v>
      </c>
      <c r="F22551" s="3" t="s">
        <v>3575</v>
      </c>
      <c r="G22551" s="6">
        <v>3218.88</v>
      </c>
      <c r="H22551" s="5">
        <v>20103</v>
      </c>
    </row>
    <row r="22552" spans="2:8" ht="15" customHeight="1" x14ac:dyDescent="0.4">
      <c r="B22552" s="3" t="s">
        <v>7</v>
      </c>
      <c r="C22552" s="3" t="s">
        <v>3574</v>
      </c>
      <c r="D22552" s="4">
        <f>DATE(2014,10,9)</f>
        <v>41921</v>
      </c>
      <c r="E22552" s="5">
        <f t="shared" si="376"/>
        <v>2014</v>
      </c>
      <c r="F22552" s="3" t="s">
        <v>3575</v>
      </c>
      <c r="G22552" s="6">
        <v>481.46</v>
      </c>
      <c r="H22552" s="5">
        <v>20455</v>
      </c>
    </row>
    <row r="22553" spans="2:8" ht="15" customHeight="1" x14ac:dyDescent="0.4">
      <c r="B22553" s="3" t="s">
        <v>7</v>
      </c>
      <c r="C22553" s="3" t="s">
        <v>3574</v>
      </c>
      <c r="D22553" s="4">
        <f>DATE(2014,11,26)</f>
        <v>41969</v>
      </c>
      <c r="E22553" s="5">
        <f t="shared" si="376"/>
        <v>2014</v>
      </c>
      <c r="F22553" s="3" t="s">
        <v>3575</v>
      </c>
      <c r="G22553" s="6">
        <v>3662.9</v>
      </c>
      <c r="H22553" s="5">
        <v>20618</v>
      </c>
    </row>
    <row r="22554" spans="2:8" ht="15" customHeight="1" x14ac:dyDescent="0.4">
      <c r="B22554" s="3" t="s">
        <v>7</v>
      </c>
      <c r="C22554" s="3" t="s">
        <v>3574</v>
      </c>
      <c r="D22554" s="4">
        <f>DATE(2014,12,5)</f>
        <v>41978</v>
      </c>
      <c r="E22554" s="5">
        <f t="shared" si="376"/>
        <v>2014</v>
      </c>
      <c r="F22554" s="3" t="s">
        <v>3575</v>
      </c>
      <c r="G22554" s="6">
        <v>449.13</v>
      </c>
      <c r="H22554" s="5">
        <v>20689</v>
      </c>
    </row>
    <row r="22555" spans="2:8" ht="15" customHeight="1" x14ac:dyDescent="0.4">
      <c r="B22555" s="3" t="s">
        <v>7</v>
      </c>
      <c r="C22555" s="3" t="s">
        <v>3574</v>
      </c>
      <c r="D22555" s="4">
        <f>DATE(2014,12,8)</f>
        <v>41981</v>
      </c>
      <c r="E22555" s="5">
        <f t="shared" si="376"/>
        <v>2014</v>
      </c>
      <c r="F22555" s="3" t="s">
        <v>3575</v>
      </c>
      <c r="G22555" s="6">
        <v>2797.61</v>
      </c>
      <c r="H22555" s="5">
        <v>20703</v>
      </c>
    </row>
    <row r="22556" spans="2:8" ht="15" customHeight="1" x14ac:dyDescent="0.4">
      <c r="B22556" s="3" t="s">
        <v>7</v>
      </c>
      <c r="C22556" s="3" t="s">
        <v>3574</v>
      </c>
      <c r="D22556" s="4">
        <f>DATE(2014,12,19)</f>
        <v>41992</v>
      </c>
      <c r="E22556" s="5">
        <f t="shared" si="376"/>
        <v>2014</v>
      </c>
      <c r="F22556" s="3" t="s">
        <v>3575</v>
      </c>
      <c r="G22556" s="6">
        <v>3702.31</v>
      </c>
      <c r="H22556" s="5">
        <v>20697</v>
      </c>
    </row>
    <row r="22557" spans="2:8" ht="15" customHeight="1" x14ac:dyDescent="0.4">
      <c r="B22557" t="s">
        <v>7</v>
      </c>
      <c r="C22557" t="s">
        <v>3576</v>
      </c>
      <c r="D22557" s="7">
        <f>DATE(2010,3,25)</f>
        <v>40262</v>
      </c>
      <c r="E22557" s="8">
        <f t="shared" si="376"/>
        <v>2010</v>
      </c>
      <c r="F22557" t="s">
        <v>3577</v>
      </c>
      <c r="G22557" s="9">
        <v>4557.8900000000003</v>
      </c>
      <c r="H22557" s="8">
        <v>9679</v>
      </c>
    </row>
    <row r="22558" spans="2:8" ht="15" customHeight="1" x14ac:dyDescent="0.4">
      <c r="B22558" t="s">
        <v>7</v>
      </c>
      <c r="C22558" t="s">
        <v>3576</v>
      </c>
      <c r="D22558" s="7">
        <f>DATE(2010,4,7)</f>
        <v>40275</v>
      </c>
      <c r="E22558" s="8">
        <f t="shared" si="376"/>
        <v>2010</v>
      </c>
      <c r="F22558" t="s">
        <v>3577</v>
      </c>
      <c r="G22558" s="9">
        <v>11700</v>
      </c>
      <c r="H22558" s="8">
        <v>9562</v>
      </c>
    </row>
    <row r="22559" spans="2:8" ht="15" customHeight="1" x14ac:dyDescent="0.4">
      <c r="B22559" t="s">
        <v>7</v>
      </c>
      <c r="C22559" t="s">
        <v>3576</v>
      </c>
      <c r="D22559" s="7">
        <f>DATE(2013,3,12)</f>
        <v>41345</v>
      </c>
      <c r="E22559" s="8">
        <f t="shared" si="376"/>
        <v>2013</v>
      </c>
      <c r="F22559" t="s">
        <v>3577</v>
      </c>
      <c r="G22559" s="9">
        <v>15945</v>
      </c>
      <c r="H22559" s="8">
        <v>12035</v>
      </c>
    </row>
    <row r="22560" spans="2:8" ht="15" customHeight="1" x14ac:dyDescent="0.4">
      <c r="B22560" t="s">
        <v>7</v>
      </c>
      <c r="C22560" t="s">
        <v>3576</v>
      </c>
      <c r="D22560" s="7">
        <f>DATE(2010,11,10)</f>
        <v>40492</v>
      </c>
      <c r="E22560" s="8">
        <f t="shared" si="376"/>
        <v>2010</v>
      </c>
      <c r="F22560" t="s">
        <v>3577</v>
      </c>
      <c r="G22560" s="9">
        <v>6424.46</v>
      </c>
      <c r="H22560" s="8">
        <v>10240</v>
      </c>
    </row>
    <row r="22561" spans="2:8" ht="15" customHeight="1" x14ac:dyDescent="0.4">
      <c r="B22561" t="s">
        <v>7</v>
      </c>
      <c r="C22561" t="s">
        <v>3576</v>
      </c>
      <c r="D22561" s="7">
        <f>DATE(2013,4,2)</f>
        <v>41366</v>
      </c>
      <c r="E22561" s="8">
        <f t="shared" si="376"/>
        <v>2013</v>
      </c>
      <c r="F22561" t="s">
        <v>3577</v>
      </c>
      <c r="G22561" s="9">
        <v>4869.92</v>
      </c>
      <c r="H22561" s="8">
        <v>12320</v>
      </c>
    </row>
    <row r="22562" spans="2:8" ht="15" customHeight="1" x14ac:dyDescent="0.4">
      <c r="B22562" s="3" t="s">
        <v>7</v>
      </c>
      <c r="C22562" s="3" t="s">
        <v>3576</v>
      </c>
      <c r="D22562" s="4">
        <f>DATE(2003,9,3)</f>
        <v>37867</v>
      </c>
      <c r="E22562" s="5">
        <f t="shared" si="376"/>
        <v>2003</v>
      </c>
      <c r="F22562" s="3" t="s">
        <v>3578</v>
      </c>
      <c r="G22562" s="6">
        <v>728</v>
      </c>
      <c r="H22562" s="5">
        <v>1447</v>
      </c>
    </row>
    <row r="22563" spans="2:8" ht="15" customHeight="1" x14ac:dyDescent="0.4">
      <c r="B22563" s="3" t="s">
        <v>7</v>
      </c>
      <c r="C22563" s="3" t="s">
        <v>3576</v>
      </c>
      <c r="D22563" s="4">
        <f>DATE(2006,9,18)</f>
        <v>38978</v>
      </c>
      <c r="E22563" s="5">
        <f t="shared" si="376"/>
        <v>2006</v>
      </c>
      <c r="F22563" s="3" t="s">
        <v>3578</v>
      </c>
      <c r="G22563" s="6">
        <v>7667.95</v>
      </c>
      <c r="H22563" s="5">
        <v>7229</v>
      </c>
    </row>
    <row r="22564" spans="2:8" ht="15" customHeight="1" x14ac:dyDescent="0.4">
      <c r="B22564" s="3" t="s">
        <v>7</v>
      </c>
      <c r="C22564" s="3" t="s">
        <v>3576</v>
      </c>
      <c r="D22564" s="4">
        <f>DATE(2007,1,10)</f>
        <v>39092</v>
      </c>
      <c r="E22564" s="5">
        <f t="shared" si="376"/>
        <v>2007</v>
      </c>
      <c r="F22564" s="3" t="s">
        <v>3578</v>
      </c>
      <c r="G22564" s="6">
        <v>284.5</v>
      </c>
      <c r="H22564" s="5">
        <v>7712</v>
      </c>
    </row>
    <row r="22565" spans="2:8" ht="15" customHeight="1" x14ac:dyDescent="0.4">
      <c r="B22565" t="s">
        <v>7</v>
      </c>
      <c r="C22565" t="s">
        <v>3579</v>
      </c>
      <c r="D22565" s="7">
        <f>DATE(2016,2,8)</f>
        <v>42408</v>
      </c>
      <c r="E22565" s="8">
        <f t="shared" si="376"/>
        <v>2016</v>
      </c>
      <c r="F22565" t="s">
        <v>3580</v>
      </c>
      <c r="G22565" s="9">
        <v>2500</v>
      </c>
      <c r="H22565" s="8">
        <v>21897</v>
      </c>
    </row>
    <row r="22566" spans="2:8" ht="15" customHeight="1" x14ac:dyDescent="0.4">
      <c r="B22566" t="s">
        <v>7</v>
      </c>
      <c r="C22566" t="s">
        <v>3581</v>
      </c>
      <c r="D22566" s="7">
        <f>DATE(2010,6,23)</f>
        <v>40352</v>
      </c>
      <c r="E22566" s="8">
        <f t="shared" si="376"/>
        <v>2010</v>
      </c>
      <c r="F22566" t="s">
        <v>3582</v>
      </c>
      <c r="G22566" s="9">
        <v>21865</v>
      </c>
      <c r="H22566" s="8">
        <v>9831</v>
      </c>
    </row>
    <row r="22567" spans="2:8" ht="15" customHeight="1" x14ac:dyDescent="0.4">
      <c r="B22567" t="s">
        <v>7</v>
      </c>
      <c r="C22567" t="s">
        <v>3581</v>
      </c>
      <c r="D22567" s="7">
        <f>DATE(2010,7,14)</f>
        <v>40373</v>
      </c>
      <c r="E22567" s="8">
        <f t="shared" si="376"/>
        <v>2010</v>
      </c>
      <c r="F22567" t="s">
        <v>3582</v>
      </c>
      <c r="G22567" s="9">
        <v>9646.19</v>
      </c>
      <c r="H22567" s="8">
        <v>9944</v>
      </c>
    </row>
    <row r="22568" spans="2:8" ht="15" customHeight="1" x14ac:dyDescent="0.4">
      <c r="B22568" t="s">
        <v>7</v>
      </c>
      <c r="C22568" t="s">
        <v>3581</v>
      </c>
      <c r="D22568" s="7">
        <f>DATE(2010,11,30)</f>
        <v>40512</v>
      </c>
      <c r="E22568" s="8">
        <f t="shared" si="376"/>
        <v>2010</v>
      </c>
      <c r="F22568" t="s">
        <v>3582</v>
      </c>
      <c r="G22568" s="9">
        <v>18730</v>
      </c>
      <c r="H22568" s="8">
        <v>10287</v>
      </c>
    </row>
    <row r="22569" spans="2:8" ht="15" customHeight="1" x14ac:dyDescent="0.4">
      <c r="B22569" s="3" t="s">
        <v>7</v>
      </c>
      <c r="C22569" s="3" t="s">
        <v>3581</v>
      </c>
      <c r="D22569" s="4">
        <f>DATE(2007,2,13)</f>
        <v>39126</v>
      </c>
      <c r="E22569" s="5">
        <f t="shared" si="376"/>
        <v>2007</v>
      </c>
      <c r="F22569" s="3" t="s">
        <v>3582</v>
      </c>
      <c r="G22569" s="6">
        <v>400</v>
      </c>
      <c r="H22569" s="5">
        <v>7907</v>
      </c>
    </row>
    <row r="22570" spans="2:8" ht="15" customHeight="1" x14ac:dyDescent="0.4">
      <c r="B22570" s="3" t="s">
        <v>7</v>
      </c>
      <c r="C22570" s="3" t="s">
        <v>3581</v>
      </c>
      <c r="D22570" s="4">
        <f>DATE(2009,3,11)</f>
        <v>39883</v>
      </c>
      <c r="E22570" s="5">
        <f t="shared" si="376"/>
        <v>2009</v>
      </c>
      <c r="F22570" s="3" t="s">
        <v>3582</v>
      </c>
      <c r="G22570" s="6">
        <v>400</v>
      </c>
      <c r="H22570" s="5">
        <v>12142</v>
      </c>
    </row>
    <row r="22571" spans="2:8" ht="15" customHeight="1" x14ac:dyDescent="0.4">
      <c r="B22571" s="3" t="s">
        <v>7</v>
      </c>
      <c r="C22571" s="3" t="s">
        <v>3581</v>
      </c>
      <c r="D22571" s="4">
        <f>DATE(2010,6,29)</f>
        <v>40358</v>
      </c>
      <c r="E22571" s="5">
        <f t="shared" si="376"/>
        <v>2010</v>
      </c>
      <c r="F22571" s="3" t="s">
        <v>3582</v>
      </c>
      <c r="G22571" s="6">
        <v>3895.02</v>
      </c>
      <c r="H22571" s="5">
        <v>14036</v>
      </c>
    </row>
    <row r="22572" spans="2:8" ht="15" customHeight="1" x14ac:dyDescent="0.4">
      <c r="B22572" s="3" t="s">
        <v>7</v>
      </c>
      <c r="C22572" s="3" t="s">
        <v>3581</v>
      </c>
      <c r="D22572" s="4">
        <f>DATE(2010,7,1)</f>
        <v>40360</v>
      </c>
      <c r="E22572" s="5">
        <f t="shared" si="376"/>
        <v>2010</v>
      </c>
      <c r="F22572" s="3" t="s">
        <v>3582</v>
      </c>
      <c r="G22572" s="6">
        <v>4735</v>
      </c>
      <c r="H22572" s="5">
        <v>14246</v>
      </c>
    </row>
    <row r="22573" spans="2:8" ht="15" customHeight="1" x14ac:dyDescent="0.4">
      <c r="B22573" s="3" t="s">
        <v>7</v>
      </c>
      <c r="C22573" s="3" t="s">
        <v>3581</v>
      </c>
      <c r="D22573" s="4">
        <f>DATE(2011,6,6)</f>
        <v>40700</v>
      </c>
      <c r="E22573" s="5">
        <f t="shared" si="376"/>
        <v>2011</v>
      </c>
      <c r="F22573" s="3" t="s">
        <v>3582</v>
      </c>
      <c r="G22573" s="6">
        <v>400</v>
      </c>
      <c r="H22573" s="5">
        <v>15646</v>
      </c>
    </row>
    <row r="22574" spans="2:8" ht="15" customHeight="1" x14ac:dyDescent="0.4">
      <c r="B22574" s="3" t="s">
        <v>7</v>
      </c>
      <c r="C22574" s="3" t="s">
        <v>3581</v>
      </c>
      <c r="D22574" s="4">
        <f>DATE(2011,6,17)</f>
        <v>40711</v>
      </c>
      <c r="E22574" s="5">
        <f t="shared" si="376"/>
        <v>2011</v>
      </c>
      <c r="F22574" s="3" t="s">
        <v>3582</v>
      </c>
      <c r="G22574" s="6">
        <v>800</v>
      </c>
      <c r="H22574" s="5">
        <v>15702</v>
      </c>
    </row>
    <row r="22575" spans="2:8" ht="15" customHeight="1" x14ac:dyDescent="0.4">
      <c r="B22575" s="3" t="s">
        <v>7</v>
      </c>
      <c r="C22575" s="3" t="s">
        <v>3581</v>
      </c>
      <c r="D22575" s="4">
        <f>DATE(2011,7,19)</f>
        <v>40743</v>
      </c>
      <c r="E22575" s="5">
        <f t="shared" si="376"/>
        <v>2011</v>
      </c>
      <c r="F22575" s="3" t="s">
        <v>3582</v>
      </c>
      <c r="G22575" s="6">
        <v>400</v>
      </c>
      <c r="H22575" s="5">
        <v>15781</v>
      </c>
    </row>
    <row r="22576" spans="2:8" ht="15" customHeight="1" x14ac:dyDescent="0.4">
      <c r="B22576" s="3" t="s">
        <v>7</v>
      </c>
      <c r="C22576" s="3" t="s">
        <v>3581</v>
      </c>
      <c r="D22576" s="4">
        <f>DATE(2012,2,24)</f>
        <v>40963</v>
      </c>
      <c r="E22576" s="5">
        <f t="shared" si="376"/>
        <v>2012</v>
      </c>
      <c r="F22576" s="3" t="s">
        <v>3582</v>
      </c>
      <c r="G22576" s="6">
        <v>800</v>
      </c>
      <c r="H22576" s="5">
        <v>16629</v>
      </c>
    </row>
    <row r="22577" spans="2:8" ht="15" customHeight="1" x14ac:dyDescent="0.4">
      <c r="B22577" s="3" t="s">
        <v>7</v>
      </c>
      <c r="C22577" s="3" t="s">
        <v>3581</v>
      </c>
      <c r="D22577" s="4">
        <f>DATE(2014,4,28)</f>
        <v>41757</v>
      </c>
      <c r="E22577" s="5">
        <f t="shared" si="376"/>
        <v>2014</v>
      </c>
      <c r="F22577" s="3" t="s">
        <v>3582</v>
      </c>
      <c r="G22577" s="6">
        <v>400</v>
      </c>
      <c r="H22577" s="5">
        <v>19903</v>
      </c>
    </row>
    <row r="22578" spans="2:8" ht="15" customHeight="1" x14ac:dyDescent="0.4">
      <c r="B22578" s="3" t="s">
        <v>16</v>
      </c>
      <c r="C22578" s="3" t="s">
        <v>3581</v>
      </c>
      <c r="D22578" s="4">
        <f>DATE(2010,6,29)</f>
        <v>40358</v>
      </c>
      <c r="E22578" s="5">
        <f t="shared" si="376"/>
        <v>2010</v>
      </c>
      <c r="F22578" s="3" t="s">
        <v>3582</v>
      </c>
      <c r="G22578" s="6">
        <v>3895.02</v>
      </c>
      <c r="H22578" s="5">
        <v>14243</v>
      </c>
    </row>
    <row r="22579" spans="2:8" ht="15" customHeight="1" x14ac:dyDescent="0.4">
      <c r="B22579" s="3" t="s">
        <v>7</v>
      </c>
      <c r="C22579" s="3" t="s">
        <v>3583</v>
      </c>
      <c r="D22579" s="4">
        <f>DATE(2008,11,5)</f>
        <v>39757</v>
      </c>
      <c r="E22579" s="5">
        <f t="shared" si="376"/>
        <v>2008</v>
      </c>
      <c r="F22579" s="3" t="s">
        <v>3584</v>
      </c>
      <c r="G22579" s="6">
        <v>531.98</v>
      </c>
      <c r="H22579" s="5">
        <v>11554</v>
      </c>
    </row>
    <row r="22580" spans="2:8" ht="15" customHeight="1" x14ac:dyDescent="0.4">
      <c r="B22580" t="s">
        <v>7</v>
      </c>
      <c r="C22580" t="s">
        <v>3585</v>
      </c>
      <c r="D22580" s="7">
        <f>DATE(2004,10,25)</f>
        <v>38285</v>
      </c>
      <c r="E22580" s="8">
        <f t="shared" si="376"/>
        <v>2004</v>
      </c>
      <c r="F22580" t="s">
        <v>3586</v>
      </c>
      <c r="G22580" s="9">
        <v>707</v>
      </c>
      <c r="H22580" s="8">
        <v>2320</v>
      </c>
    </row>
    <row r="22581" spans="2:8" ht="15" customHeight="1" x14ac:dyDescent="0.4">
      <c r="B22581" t="s">
        <v>7</v>
      </c>
      <c r="C22581" t="s">
        <v>3585</v>
      </c>
      <c r="D22581" s="7">
        <f>DATE(2007,12,13)</f>
        <v>39429</v>
      </c>
      <c r="E22581" s="8">
        <f t="shared" si="376"/>
        <v>2007</v>
      </c>
      <c r="F22581" t="s">
        <v>3586</v>
      </c>
      <c r="G22581" s="9">
        <v>408</v>
      </c>
      <c r="H22581" s="8">
        <v>6672</v>
      </c>
    </row>
    <row r="22582" spans="2:8" ht="15" customHeight="1" x14ac:dyDescent="0.4">
      <c r="B22582" t="s">
        <v>7</v>
      </c>
      <c r="C22582" t="s">
        <v>3585</v>
      </c>
      <c r="D22582" s="7">
        <f>DATE(2008,1,24)</f>
        <v>39471</v>
      </c>
      <c r="E22582" s="8">
        <f t="shared" si="376"/>
        <v>2008</v>
      </c>
      <c r="F22582" t="s">
        <v>3586</v>
      </c>
      <c r="G22582" s="9">
        <v>409</v>
      </c>
      <c r="H22582" s="8">
        <v>6868</v>
      </c>
    </row>
    <row r="22583" spans="2:8" ht="15" customHeight="1" x14ac:dyDescent="0.4">
      <c r="B22583" t="s">
        <v>7</v>
      </c>
      <c r="C22583" t="s">
        <v>3585</v>
      </c>
      <c r="D22583" s="7">
        <f>DATE(2008,2,20)</f>
        <v>39498</v>
      </c>
      <c r="E22583" s="8">
        <f t="shared" si="376"/>
        <v>2008</v>
      </c>
      <c r="F22583" t="s">
        <v>3586</v>
      </c>
      <c r="G22583" s="9">
        <v>408</v>
      </c>
      <c r="H22583" s="8">
        <v>7078</v>
      </c>
    </row>
    <row r="22584" spans="2:8" ht="15" customHeight="1" x14ac:dyDescent="0.4">
      <c r="B22584" t="s">
        <v>7</v>
      </c>
      <c r="C22584" t="s">
        <v>3585</v>
      </c>
      <c r="D22584" s="7">
        <f>DATE(2008,10,29)</f>
        <v>39750</v>
      </c>
      <c r="E22584" s="8">
        <f t="shared" si="376"/>
        <v>2008</v>
      </c>
      <c r="F22584" t="s">
        <v>3586</v>
      </c>
      <c r="G22584" s="9">
        <v>409</v>
      </c>
      <c r="H22584" s="8">
        <v>7993</v>
      </c>
    </row>
    <row r="22585" spans="2:8" ht="15" customHeight="1" x14ac:dyDescent="0.4">
      <c r="B22585" t="s">
        <v>7</v>
      </c>
      <c r="C22585" t="s">
        <v>3585</v>
      </c>
      <c r="D22585" s="7">
        <f>DATE(2009,5,1)</f>
        <v>39934</v>
      </c>
      <c r="E22585" s="8">
        <f t="shared" si="376"/>
        <v>2009</v>
      </c>
      <c r="F22585" t="s">
        <v>3586</v>
      </c>
      <c r="G22585" s="9">
        <v>459</v>
      </c>
      <c r="H22585" s="8">
        <v>8649</v>
      </c>
    </row>
    <row r="22586" spans="2:8" ht="15" customHeight="1" x14ac:dyDescent="0.4">
      <c r="B22586" t="s">
        <v>7</v>
      </c>
      <c r="C22586" t="s">
        <v>3585</v>
      </c>
      <c r="D22586" s="7">
        <f>DATE(2007,4,15)</f>
        <v>39187</v>
      </c>
      <c r="E22586" s="8">
        <f t="shared" si="376"/>
        <v>2007</v>
      </c>
      <c r="F22586" t="s">
        <v>3586</v>
      </c>
      <c r="G22586" s="9">
        <v>38003.57</v>
      </c>
      <c r="H22586" s="8">
        <v>5763</v>
      </c>
    </row>
    <row r="22587" spans="2:8" ht="15" customHeight="1" x14ac:dyDescent="0.4">
      <c r="B22587" t="s">
        <v>7</v>
      </c>
      <c r="C22587" t="s">
        <v>3585</v>
      </c>
      <c r="D22587" s="7">
        <f>DATE(2007,6,1)</f>
        <v>39234</v>
      </c>
      <c r="E22587" s="8">
        <f t="shared" si="376"/>
        <v>2007</v>
      </c>
      <c r="F22587" t="s">
        <v>3586</v>
      </c>
      <c r="G22587" s="9">
        <v>10698.68</v>
      </c>
      <c r="H22587" s="8">
        <v>5994</v>
      </c>
    </row>
    <row r="22588" spans="2:8" ht="15" customHeight="1" x14ac:dyDescent="0.4">
      <c r="B22588" t="s">
        <v>7</v>
      </c>
      <c r="C22588" t="s">
        <v>3585</v>
      </c>
      <c r="D22588" s="7">
        <f>DATE(2008,2,1)</f>
        <v>39479</v>
      </c>
      <c r="E22588" s="8">
        <f t="shared" si="376"/>
        <v>2008</v>
      </c>
      <c r="F22588" t="s">
        <v>3586</v>
      </c>
      <c r="G22588" s="9">
        <v>52668.65</v>
      </c>
      <c r="H22588" s="8">
        <v>6870</v>
      </c>
    </row>
    <row r="22589" spans="2:8" ht="15" customHeight="1" x14ac:dyDescent="0.4">
      <c r="B22589" t="s">
        <v>7</v>
      </c>
      <c r="C22589" t="s">
        <v>3585</v>
      </c>
      <c r="D22589" s="7">
        <f>DATE(2008,10,25)</f>
        <v>39746</v>
      </c>
      <c r="E22589" s="8">
        <f t="shared" si="376"/>
        <v>2008</v>
      </c>
      <c r="F22589" t="s">
        <v>3586</v>
      </c>
      <c r="G22589" s="9">
        <v>42610.86</v>
      </c>
      <c r="H22589" s="8">
        <v>7803</v>
      </c>
    </row>
    <row r="22590" spans="2:8" ht="15" customHeight="1" x14ac:dyDescent="0.4">
      <c r="B22590" t="s">
        <v>7</v>
      </c>
      <c r="C22590" t="s">
        <v>3585</v>
      </c>
      <c r="D22590" s="7">
        <f>DATE(2008,11,4)</f>
        <v>39756</v>
      </c>
      <c r="E22590" s="8">
        <f t="shared" si="376"/>
        <v>2008</v>
      </c>
      <c r="F22590" t="s">
        <v>3586</v>
      </c>
      <c r="G22590" s="9">
        <v>40591.71</v>
      </c>
      <c r="H22590" s="8">
        <v>7982</v>
      </c>
    </row>
    <row r="22591" spans="2:8" ht="15" customHeight="1" x14ac:dyDescent="0.4">
      <c r="B22591" s="3" t="s">
        <v>7</v>
      </c>
      <c r="C22591" s="3" t="s">
        <v>3585</v>
      </c>
      <c r="D22591" s="4">
        <f>DATE(2004,2,26)</f>
        <v>38043</v>
      </c>
      <c r="E22591" s="5">
        <f t="shared" si="376"/>
        <v>2004</v>
      </c>
      <c r="F22591" s="3" t="s">
        <v>3586</v>
      </c>
      <c r="G22591" s="6">
        <v>6198.95</v>
      </c>
      <c r="H22591" s="5">
        <v>2276</v>
      </c>
    </row>
    <row r="22592" spans="2:8" ht="15" customHeight="1" x14ac:dyDescent="0.4">
      <c r="B22592" s="3" t="s">
        <v>7</v>
      </c>
      <c r="C22592" s="3" t="s">
        <v>3585</v>
      </c>
      <c r="D22592" s="4">
        <f>DATE(2004,12,29)</f>
        <v>38350</v>
      </c>
      <c r="E22592" s="5">
        <f t="shared" si="376"/>
        <v>2004</v>
      </c>
      <c r="F22592" s="3" t="s">
        <v>3586</v>
      </c>
      <c r="G22592" s="6">
        <v>33700.080000000002</v>
      </c>
      <c r="H22592" s="5">
        <v>3603</v>
      </c>
    </row>
    <row r="22593" spans="2:8" ht="15" customHeight="1" x14ac:dyDescent="0.4">
      <c r="B22593" s="3" t="s">
        <v>7</v>
      </c>
      <c r="C22593" s="3" t="s">
        <v>3585</v>
      </c>
      <c r="D22593" s="4">
        <f>DATE(2006,3,24)</f>
        <v>38800</v>
      </c>
      <c r="E22593" s="5">
        <f t="shared" si="376"/>
        <v>2006</v>
      </c>
      <c r="F22593" s="3" t="s">
        <v>3586</v>
      </c>
      <c r="G22593" s="6">
        <v>2420</v>
      </c>
      <c r="H22593" s="5">
        <v>6289</v>
      </c>
    </row>
    <row r="22594" spans="2:8" ht="15" customHeight="1" x14ac:dyDescent="0.4">
      <c r="B22594" s="3" t="s">
        <v>7</v>
      </c>
      <c r="C22594" s="3" t="s">
        <v>3585</v>
      </c>
      <c r="D22594" s="4">
        <f>DATE(2007,3,14)</f>
        <v>39155</v>
      </c>
      <c r="E22594" s="5">
        <f t="shared" si="376"/>
        <v>2007</v>
      </c>
      <c r="F22594" s="3" t="s">
        <v>3586</v>
      </c>
      <c r="G22594" s="6">
        <v>2458.41</v>
      </c>
      <c r="H22594" s="5">
        <v>8140</v>
      </c>
    </row>
    <row r="22595" spans="2:8" ht="15" customHeight="1" x14ac:dyDescent="0.4">
      <c r="B22595" s="3" t="s">
        <v>7</v>
      </c>
      <c r="C22595" s="3" t="s">
        <v>3585</v>
      </c>
      <c r="D22595" s="4">
        <f>DATE(2008,11,20)</f>
        <v>39772</v>
      </c>
      <c r="E22595" s="5">
        <f t="shared" ref="E22595:E22658" si="377">YEAR(D22595)</f>
        <v>2008</v>
      </c>
      <c r="F22595" s="3" t="s">
        <v>3586</v>
      </c>
      <c r="G22595" s="6">
        <v>2429</v>
      </c>
      <c r="H22595" s="5">
        <v>11510</v>
      </c>
    </row>
    <row r="22596" spans="2:8" ht="15" customHeight="1" x14ac:dyDescent="0.4">
      <c r="B22596" s="3" t="s">
        <v>7</v>
      </c>
      <c r="C22596" s="3" t="s">
        <v>3585</v>
      </c>
      <c r="D22596" s="4">
        <f>DATE(2009,3,11)</f>
        <v>39883</v>
      </c>
      <c r="E22596" s="5">
        <f t="shared" si="377"/>
        <v>2009</v>
      </c>
      <c r="F22596" s="3" t="s">
        <v>3586</v>
      </c>
      <c r="G22596" s="6">
        <v>407.5</v>
      </c>
      <c r="H22596" s="5">
        <v>12085</v>
      </c>
    </row>
    <row r="22597" spans="2:8" ht="15" customHeight="1" x14ac:dyDescent="0.4">
      <c r="B22597" s="3" t="s">
        <v>7</v>
      </c>
      <c r="C22597" s="3" t="s">
        <v>3585</v>
      </c>
      <c r="D22597" s="4">
        <f>DATE(2011,10,28)</f>
        <v>40844</v>
      </c>
      <c r="E22597" s="5">
        <f t="shared" si="377"/>
        <v>2011</v>
      </c>
      <c r="F22597" s="3" t="s">
        <v>3586</v>
      </c>
      <c r="G22597" s="6">
        <v>2431</v>
      </c>
      <c r="H22597" s="5">
        <v>16118</v>
      </c>
    </row>
    <row r="22598" spans="2:8" ht="15" customHeight="1" x14ac:dyDescent="0.4">
      <c r="B22598" s="3" t="s">
        <v>7</v>
      </c>
      <c r="C22598" s="3" t="s">
        <v>3585</v>
      </c>
      <c r="D22598" s="4">
        <f>DATE(2013,10,11)</f>
        <v>41558</v>
      </c>
      <c r="E22598" s="5">
        <f t="shared" si="377"/>
        <v>2013</v>
      </c>
      <c r="F22598" s="3" t="s">
        <v>3586</v>
      </c>
      <c r="G22598" s="6">
        <v>1243</v>
      </c>
      <c r="H22598" s="5">
        <v>19054</v>
      </c>
    </row>
    <row r="22599" spans="2:8" ht="15" customHeight="1" x14ac:dyDescent="0.4">
      <c r="B22599" s="3" t="s">
        <v>7</v>
      </c>
      <c r="C22599" s="3" t="s">
        <v>3585</v>
      </c>
      <c r="D22599" s="4">
        <f>DATE(2014,5,30)</f>
        <v>41789</v>
      </c>
      <c r="E22599" s="5">
        <f t="shared" si="377"/>
        <v>2014</v>
      </c>
      <c r="F22599" s="3" t="s">
        <v>3586</v>
      </c>
      <c r="G22599" s="6">
        <v>1119.81</v>
      </c>
      <c r="H22599" s="5">
        <v>20003</v>
      </c>
    </row>
    <row r="22600" spans="2:8" ht="15" customHeight="1" x14ac:dyDescent="0.4">
      <c r="B22600" s="3" t="s">
        <v>7</v>
      </c>
      <c r="C22600" s="3" t="s">
        <v>3585</v>
      </c>
      <c r="D22600" s="4">
        <f>DATE(2014,8,25)</f>
        <v>41876</v>
      </c>
      <c r="E22600" s="5">
        <f t="shared" si="377"/>
        <v>2014</v>
      </c>
      <c r="F22600" s="3" t="s">
        <v>3586</v>
      </c>
      <c r="G22600" s="6">
        <v>750</v>
      </c>
      <c r="H22600" s="5">
        <v>20198</v>
      </c>
    </row>
    <row r="22601" spans="2:8" ht="15" customHeight="1" x14ac:dyDescent="0.4">
      <c r="B22601" t="s">
        <v>7</v>
      </c>
      <c r="C22601" t="s">
        <v>3585</v>
      </c>
      <c r="D22601" s="7">
        <f>DATE(2006,4,6)</f>
        <v>38813</v>
      </c>
      <c r="E22601" s="8">
        <f t="shared" si="377"/>
        <v>2006</v>
      </c>
      <c r="F22601" t="s">
        <v>3586</v>
      </c>
      <c r="G22601" s="9">
        <v>161999.91</v>
      </c>
      <c r="H22601" s="8">
        <v>108</v>
      </c>
    </row>
    <row r="22602" spans="2:8" ht="15" customHeight="1" x14ac:dyDescent="0.4">
      <c r="B22602" t="s">
        <v>7</v>
      </c>
      <c r="C22602" t="s">
        <v>3585</v>
      </c>
      <c r="D22602" s="7">
        <f>DATE(2007,5,12)</f>
        <v>39214</v>
      </c>
      <c r="E22602" s="8">
        <f t="shared" si="377"/>
        <v>2007</v>
      </c>
      <c r="F22602" t="s">
        <v>3586</v>
      </c>
      <c r="G22602" s="9">
        <v>137053.15</v>
      </c>
      <c r="H22602" s="8">
        <v>120</v>
      </c>
    </row>
    <row r="22603" spans="2:8" ht="15" customHeight="1" x14ac:dyDescent="0.4">
      <c r="B22603" t="s">
        <v>7</v>
      </c>
      <c r="C22603" t="s">
        <v>3585</v>
      </c>
      <c r="D22603" s="7">
        <f>DATE(2008,3,13)</f>
        <v>39520</v>
      </c>
      <c r="E22603" s="8">
        <f t="shared" si="377"/>
        <v>2008</v>
      </c>
      <c r="F22603" t="s">
        <v>3586</v>
      </c>
      <c r="G22603" s="9">
        <v>188396.4</v>
      </c>
      <c r="H22603" s="8">
        <v>147</v>
      </c>
    </row>
    <row r="22604" spans="2:8" ht="15" customHeight="1" x14ac:dyDescent="0.4">
      <c r="B22604" t="s">
        <v>7</v>
      </c>
      <c r="C22604" t="s">
        <v>3587</v>
      </c>
      <c r="D22604" s="7">
        <f>DATE(2012,9,6)</f>
        <v>41158</v>
      </c>
      <c r="E22604" s="8">
        <f t="shared" si="377"/>
        <v>2012</v>
      </c>
      <c r="F22604" t="s">
        <v>3588</v>
      </c>
      <c r="G22604" s="9">
        <v>2533.11</v>
      </c>
      <c r="H22604" s="8">
        <v>11516</v>
      </c>
    </row>
    <row r="22605" spans="2:8" ht="15" customHeight="1" x14ac:dyDescent="0.4">
      <c r="B22605" s="3" t="s">
        <v>7</v>
      </c>
      <c r="C22605" s="3" t="s">
        <v>3587</v>
      </c>
      <c r="D22605" s="4">
        <f>DATE(2012,9,6)</f>
        <v>41158</v>
      </c>
      <c r="E22605" s="5">
        <f t="shared" si="377"/>
        <v>2012</v>
      </c>
      <c r="F22605" s="3" t="s">
        <v>3588</v>
      </c>
      <c r="G22605" s="6">
        <v>396.75</v>
      </c>
      <c r="H22605" s="5">
        <v>17551</v>
      </c>
    </row>
    <row r="22606" spans="2:8" ht="15" customHeight="1" x14ac:dyDescent="0.4">
      <c r="B22606" t="s">
        <v>7</v>
      </c>
      <c r="C22606" t="s">
        <v>3589</v>
      </c>
      <c r="D22606" s="7">
        <f>DATE(2015,9,24)</f>
        <v>42271</v>
      </c>
      <c r="E22606" s="8">
        <f t="shared" si="377"/>
        <v>2015</v>
      </c>
      <c r="F22606" t="s">
        <v>3590</v>
      </c>
      <c r="G22606" s="9">
        <v>1094.52</v>
      </c>
      <c r="H22606" s="8">
        <v>21271</v>
      </c>
    </row>
    <row r="22607" spans="2:8" ht="15" customHeight="1" x14ac:dyDescent="0.4">
      <c r="B22607" t="s">
        <v>7</v>
      </c>
      <c r="C22607" t="s">
        <v>3589</v>
      </c>
      <c r="D22607" s="7">
        <f>DATE(2015,5,12)</f>
        <v>42136</v>
      </c>
      <c r="E22607" s="8">
        <f t="shared" si="377"/>
        <v>2015</v>
      </c>
      <c r="F22607" t="s">
        <v>3590</v>
      </c>
      <c r="G22607" s="9">
        <v>331.88</v>
      </c>
      <c r="H22607" s="8">
        <v>20504</v>
      </c>
    </row>
    <row r="22608" spans="2:8" ht="15" customHeight="1" x14ac:dyDescent="0.4">
      <c r="B22608" s="3" t="s">
        <v>7</v>
      </c>
      <c r="C22608" s="3" t="s">
        <v>3589</v>
      </c>
      <c r="D22608" s="4">
        <f>DATE(2003,3,31)</f>
        <v>37711</v>
      </c>
      <c r="E22608" s="5">
        <f t="shared" si="377"/>
        <v>2003</v>
      </c>
      <c r="F22608" s="3" t="s">
        <v>3590</v>
      </c>
      <c r="G22608" s="6">
        <v>64.44</v>
      </c>
      <c r="H22608" s="5">
        <v>104</v>
      </c>
    </row>
    <row r="22609" spans="2:8" ht="15" customHeight="1" x14ac:dyDescent="0.4">
      <c r="B22609" s="3" t="s">
        <v>7</v>
      </c>
      <c r="C22609" s="3" t="s">
        <v>3589</v>
      </c>
      <c r="D22609" s="4">
        <f>DATE(2003,6,26)</f>
        <v>37798</v>
      </c>
      <c r="E22609" s="5">
        <f t="shared" si="377"/>
        <v>2003</v>
      </c>
      <c r="F22609" s="3" t="s">
        <v>3590</v>
      </c>
      <c r="G22609" s="6">
        <v>1501.82</v>
      </c>
      <c r="H22609" s="5">
        <v>224</v>
      </c>
    </row>
    <row r="22610" spans="2:8" ht="15" customHeight="1" x14ac:dyDescent="0.4">
      <c r="B22610" s="3" t="s">
        <v>7</v>
      </c>
      <c r="C22610" s="3" t="s">
        <v>3589</v>
      </c>
      <c r="D22610" s="4">
        <f>DATE(2004,3,31)</f>
        <v>38077</v>
      </c>
      <c r="E22610" s="5">
        <f t="shared" si="377"/>
        <v>2004</v>
      </c>
      <c r="F22610" s="3" t="s">
        <v>3590</v>
      </c>
      <c r="G22610" s="6">
        <v>3215.4</v>
      </c>
      <c r="H22610" s="5">
        <v>593</v>
      </c>
    </row>
    <row r="22611" spans="2:8" ht="15" customHeight="1" x14ac:dyDescent="0.4">
      <c r="B22611" s="3" t="s">
        <v>7</v>
      </c>
      <c r="C22611" s="3" t="s">
        <v>3589</v>
      </c>
      <c r="D22611" s="4">
        <f>DATE(2004,7,26)</f>
        <v>38194</v>
      </c>
      <c r="E22611" s="5">
        <f t="shared" si="377"/>
        <v>2004</v>
      </c>
      <c r="F22611" s="3" t="s">
        <v>3590</v>
      </c>
      <c r="G22611" s="6">
        <v>635.47</v>
      </c>
      <c r="H22611" s="5">
        <v>730</v>
      </c>
    </row>
    <row r="22612" spans="2:8" ht="15" customHeight="1" x14ac:dyDescent="0.4">
      <c r="B22612" s="3" t="s">
        <v>7</v>
      </c>
      <c r="C22612" s="3" t="s">
        <v>3589</v>
      </c>
      <c r="D22612" s="4">
        <f>DATE(2004,7,29)</f>
        <v>38197</v>
      </c>
      <c r="E22612" s="5">
        <f t="shared" si="377"/>
        <v>2004</v>
      </c>
      <c r="F22612" s="3" t="s">
        <v>3590</v>
      </c>
      <c r="G22612" s="6">
        <v>806.63</v>
      </c>
      <c r="H22612" s="5">
        <v>731</v>
      </c>
    </row>
    <row r="22613" spans="2:8" ht="15" customHeight="1" x14ac:dyDescent="0.4">
      <c r="B22613" s="3" t="s">
        <v>7</v>
      </c>
      <c r="C22613" s="3" t="s">
        <v>3589</v>
      </c>
      <c r="D22613" s="4">
        <f>DATE(2004,11,8)</f>
        <v>38299</v>
      </c>
      <c r="E22613" s="5">
        <f t="shared" si="377"/>
        <v>2004</v>
      </c>
      <c r="F22613" s="3" t="s">
        <v>3590</v>
      </c>
      <c r="G22613" s="6">
        <v>3209.12</v>
      </c>
      <c r="H22613" s="5">
        <v>855</v>
      </c>
    </row>
    <row r="22614" spans="2:8" ht="15" customHeight="1" x14ac:dyDescent="0.4">
      <c r="B22614" s="3" t="s">
        <v>7</v>
      </c>
      <c r="C22614" s="3" t="s">
        <v>3589</v>
      </c>
      <c r="D22614" s="4">
        <f>DATE(2005,1,27)</f>
        <v>38379</v>
      </c>
      <c r="E22614" s="5">
        <f t="shared" si="377"/>
        <v>2005</v>
      </c>
      <c r="F22614" s="3" t="s">
        <v>3590</v>
      </c>
      <c r="G22614" s="6">
        <v>5657.06</v>
      </c>
      <c r="H22614" s="5">
        <v>937</v>
      </c>
    </row>
    <row r="22615" spans="2:8" ht="15" customHeight="1" x14ac:dyDescent="0.4">
      <c r="B22615" s="3" t="s">
        <v>7</v>
      </c>
      <c r="C22615" s="3" t="s">
        <v>3589</v>
      </c>
      <c r="D22615" s="4">
        <f>DATE(2005,11,2)</f>
        <v>38658</v>
      </c>
      <c r="E22615" s="5">
        <f t="shared" si="377"/>
        <v>2005</v>
      </c>
      <c r="F22615" s="3" t="s">
        <v>3590</v>
      </c>
      <c r="G22615" s="6">
        <v>2659.04</v>
      </c>
      <c r="H22615" s="5">
        <v>1277</v>
      </c>
    </row>
    <row r="22616" spans="2:8" ht="15" customHeight="1" x14ac:dyDescent="0.4">
      <c r="B22616" s="3" t="s">
        <v>7</v>
      </c>
      <c r="C22616" s="3" t="s">
        <v>3589</v>
      </c>
      <c r="D22616" s="4">
        <f>DATE(2006,6,12)</f>
        <v>38880</v>
      </c>
      <c r="E22616" s="5">
        <f t="shared" si="377"/>
        <v>2006</v>
      </c>
      <c r="F22616" s="3" t="s">
        <v>3590</v>
      </c>
      <c r="G22616" s="6">
        <v>1041.75</v>
      </c>
      <c r="H22616" s="5">
        <v>1617</v>
      </c>
    </row>
    <row r="22617" spans="2:8" ht="15" customHeight="1" x14ac:dyDescent="0.4">
      <c r="B22617" s="3" t="s">
        <v>7</v>
      </c>
      <c r="C22617" s="3" t="s">
        <v>3589</v>
      </c>
      <c r="D22617" s="4">
        <f>DATE(2006,7,28)</f>
        <v>38926</v>
      </c>
      <c r="E22617" s="5">
        <f t="shared" si="377"/>
        <v>2006</v>
      </c>
      <c r="F22617" s="3" t="s">
        <v>3590</v>
      </c>
      <c r="G22617" s="6">
        <v>118.65</v>
      </c>
      <c r="H22617" s="5">
        <v>1701</v>
      </c>
    </row>
    <row r="22618" spans="2:8" ht="15" customHeight="1" x14ac:dyDescent="0.4">
      <c r="B22618" s="3" t="s">
        <v>7</v>
      </c>
      <c r="C22618" s="3" t="s">
        <v>3589</v>
      </c>
      <c r="D22618" s="4">
        <f>DATE(2009,6,26)</f>
        <v>39990</v>
      </c>
      <c r="E22618" s="5">
        <f t="shared" si="377"/>
        <v>2009</v>
      </c>
      <c r="F22618" s="3" t="s">
        <v>3590</v>
      </c>
      <c r="G22618" s="6">
        <v>3929.35</v>
      </c>
      <c r="H22618" s="5">
        <v>3489</v>
      </c>
    </row>
    <row r="22619" spans="2:8" ht="15" customHeight="1" x14ac:dyDescent="0.4">
      <c r="B22619" s="3" t="s">
        <v>7</v>
      </c>
      <c r="C22619" s="3" t="s">
        <v>3589</v>
      </c>
      <c r="D22619" s="4">
        <f>DATE(2009,12,3)</f>
        <v>40150</v>
      </c>
      <c r="E22619" s="5">
        <f t="shared" si="377"/>
        <v>2009</v>
      </c>
      <c r="F22619" s="3" t="s">
        <v>3590</v>
      </c>
      <c r="G22619" s="6">
        <v>1755</v>
      </c>
      <c r="H22619" s="5">
        <v>3654</v>
      </c>
    </row>
    <row r="22620" spans="2:8" ht="15" customHeight="1" x14ac:dyDescent="0.4">
      <c r="B22620" s="3" t="s">
        <v>7</v>
      </c>
      <c r="C22620" s="3" t="s">
        <v>3589</v>
      </c>
      <c r="D22620" s="4">
        <f>DATE(2011,2,15)</f>
        <v>40589</v>
      </c>
      <c r="E22620" s="5">
        <f t="shared" si="377"/>
        <v>2011</v>
      </c>
      <c r="F22620" s="3" t="s">
        <v>3590</v>
      </c>
      <c r="G22620" s="6">
        <v>10679.75</v>
      </c>
      <c r="H22620" s="5">
        <v>4276</v>
      </c>
    </row>
    <row r="22621" spans="2:8" ht="15" customHeight="1" x14ac:dyDescent="0.4">
      <c r="B22621" s="3" t="s">
        <v>7</v>
      </c>
      <c r="C22621" s="3" t="s">
        <v>3589</v>
      </c>
      <c r="D22621" s="4">
        <f>DATE(2011,12,8)</f>
        <v>40885</v>
      </c>
      <c r="E22621" s="5">
        <f t="shared" si="377"/>
        <v>2011</v>
      </c>
      <c r="F22621" s="3" t="s">
        <v>3590</v>
      </c>
      <c r="G22621" s="6">
        <v>5783.05</v>
      </c>
      <c r="H22621" s="5">
        <v>4690</v>
      </c>
    </row>
    <row r="22622" spans="2:8" ht="15" customHeight="1" x14ac:dyDescent="0.4">
      <c r="B22622" s="3" t="s">
        <v>7</v>
      </c>
      <c r="C22622" s="3" t="s">
        <v>3589</v>
      </c>
      <c r="D22622" s="4">
        <f>DATE(2012,7,13)</f>
        <v>41103</v>
      </c>
      <c r="E22622" s="5">
        <f t="shared" si="377"/>
        <v>2012</v>
      </c>
      <c r="F22622" s="3" t="s">
        <v>3590</v>
      </c>
      <c r="G22622" s="6">
        <v>3253.81</v>
      </c>
      <c r="H22622" s="5">
        <v>5150</v>
      </c>
    </row>
    <row r="22623" spans="2:8" ht="15" customHeight="1" x14ac:dyDescent="0.4">
      <c r="B22623" s="3" t="s">
        <v>7</v>
      </c>
      <c r="C22623" s="3" t="s">
        <v>3589</v>
      </c>
      <c r="D22623" s="4">
        <f>DATE(2013,2,8)</f>
        <v>41313</v>
      </c>
      <c r="E22623" s="5">
        <f t="shared" si="377"/>
        <v>2013</v>
      </c>
      <c r="F22623" s="3" t="s">
        <v>3590</v>
      </c>
      <c r="G22623" s="6">
        <v>163.15</v>
      </c>
      <c r="H22623" s="5">
        <v>5397</v>
      </c>
    </row>
    <row r="22624" spans="2:8" ht="15" customHeight="1" x14ac:dyDescent="0.4">
      <c r="B22624" s="3" t="s">
        <v>7</v>
      </c>
      <c r="C22624" s="3" t="s">
        <v>3589</v>
      </c>
      <c r="D22624" s="4">
        <f>DATE(2013,2,18)</f>
        <v>41323</v>
      </c>
      <c r="E22624" s="5">
        <f t="shared" si="377"/>
        <v>2013</v>
      </c>
      <c r="F22624" s="3" t="s">
        <v>3590</v>
      </c>
      <c r="G22624" s="6">
        <v>26.98</v>
      </c>
      <c r="H22624" s="5">
        <v>5456</v>
      </c>
    </row>
    <row r="22625" spans="2:8" ht="15" customHeight="1" x14ac:dyDescent="0.4">
      <c r="B22625" s="3" t="s">
        <v>7</v>
      </c>
      <c r="C22625" s="3" t="s">
        <v>3589</v>
      </c>
      <c r="D22625" s="4">
        <f>DATE(2013,4,11)</f>
        <v>41375</v>
      </c>
      <c r="E22625" s="5">
        <f t="shared" si="377"/>
        <v>2013</v>
      </c>
      <c r="F22625" s="3" t="s">
        <v>3590</v>
      </c>
      <c r="G22625" s="6">
        <v>73.62</v>
      </c>
      <c r="H22625" s="5">
        <v>5533</v>
      </c>
    </row>
    <row r="22626" spans="2:8" ht="15" customHeight="1" x14ac:dyDescent="0.4">
      <c r="B22626" s="3" t="s">
        <v>7</v>
      </c>
      <c r="C22626" s="3" t="s">
        <v>3589</v>
      </c>
      <c r="D22626" s="4">
        <f>DATE(2013,6,13)</f>
        <v>41438</v>
      </c>
      <c r="E22626" s="5">
        <f t="shared" si="377"/>
        <v>2013</v>
      </c>
      <c r="F22626" s="3" t="s">
        <v>3590</v>
      </c>
      <c r="G22626" s="6">
        <v>543.4</v>
      </c>
      <c r="H22626" s="5">
        <v>5617</v>
      </c>
    </row>
    <row r="22627" spans="2:8" ht="15" customHeight="1" x14ac:dyDescent="0.4">
      <c r="B22627" s="3" t="s">
        <v>7</v>
      </c>
      <c r="C22627" s="3" t="s">
        <v>3589</v>
      </c>
      <c r="D22627" s="4">
        <f>DATE(2013,10,25)</f>
        <v>41572</v>
      </c>
      <c r="E22627" s="5">
        <f t="shared" si="377"/>
        <v>2013</v>
      </c>
      <c r="F22627" s="3" t="s">
        <v>3590</v>
      </c>
      <c r="G22627" s="6">
        <v>2020.3</v>
      </c>
      <c r="H22627" s="5">
        <v>5851</v>
      </c>
    </row>
    <row r="22628" spans="2:8" ht="15" customHeight="1" x14ac:dyDescent="0.4">
      <c r="B22628" s="3" t="s">
        <v>7</v>
      </c>
      <c r="C22628" s="3" t="s">
        <v>3589</v>
      </c>
      <c r="D22628" s="4">
        <f>DATE(2014,5,1)</f>
        <v>41760</v>
      </c>
      <c r="E22628" s="5">
        <f t="shared" si="377"/>
        <v>2014</v>
      </c>
      <c r="F22628" s="3" t="s">
        <v>3590</v>
      </c>
      <c r="G22628" s="6">
        <v>5492</v>
      </c>
      <c r="H22628" s="5">
        <v>6162</v>
      </c>
    </row>
    <row r="22629" spans="2:8" ht="15" customHeight="1" x14ac:dyDescent="0.4">
      <c r="B22629" t="s">
        <v>7</v>
      </c>
      <c r="C22629" t="s">
        <v>3591</v>
      </c>
      <c r="D22629" s="7">
        <f>DATE(2004,5,6)</f>
        <v>38113</v>
      </c>
      <c r="E22629" s="8">
        <f t="shared" si="377"/>
        <v>2004</v>
      </c>
      <c r="F22629" t="s">
        <v>3592</v>
      </c>
      <c r="G22629" s="9">
        <v>17998.98</v>
      </c>
      <c r="H22629" s="8">
        <v>1709</v>
      </c>
    </row>
    <row r="22630" spans="2:8" ht="15" customHeight="1" x14ac:dyDescent="0.4">
      <c r="B22630" t="s">
        <v>7</v>
      </c>
      <c r="C22630" t="s">
        <v>3591</v>
      </c>
      <c r="D22630" s="7">
        <f>DATE(2005,1,12)</f>
        <v>38364</v>
      </c>
      <c r="E22630" s="8">
        <f t="shared" si="377"/>
        <v>2005</v>
      </c>
      <c r="F22630" t="s">
        <v>3592</v>
      </c>
      <c r="G22630" s="9">
        <v>5525.57</v>
      </c>
      <c r="H22630" s="8">
        <v>2505</v>
      </c>
    </row>
    <row r="22631" spans="2:8" ht="15" customHeight="1" x14ac:dyDescent="0.4">
      <c r="B22631" t="s">
        <v>7</v>
      </c>
      <c r="C22631" t="s">
        <v>3591</v>
      </c>
      <c r="D22631" s="7">
        <f>DATE(2003,2,28)</f>
        <v>37680</v>
      </c>
      <c r="E22631" s="8">
        <f t="shared" si="377"/>
        <v>2003</v>
      </c>
      <c r="F22631" t="s">
        <v>3593</v>
      </c>
      <c r="G22631" s="9">
        <v>7289.85</v>
      </c>
      <c r="H22631" s="8">
        <v>292</v>
      </c>
    </row>
    <row r="22632" spans="2:8" ht="15" customHeight="1" x14ac:dyDescent="0.4">
      <c r="B22632" t="s">
        <v>7</v>
      </c>
      <c r="C22632" t="s">
        <v>3591</v>
      </c>
      <c r="D22632" s="7">
        <f>DATE(2004,4,2)</f>
        <v>38079</v>
      </c>
      <c r="E22632" s="8">
        <f t="shared" si="377"/>
        <v>2004</v>
      </c>
      <c r="F22632" t="s">
        <v>3593</v>
      </c>
      <c r="G22632" s="9">
        <v>20524.310000000001</v>
      </c>
      <c r="H22632" s="8">
        <v>1605</v>
      </c>
    </row>
    <row r="22633" spans="2:8" ht="15" customHeight="1" x14ac:dyDescent="0.4">
      <c r="B22633" t="s">
        <v>7</v>
      </c>
      <c r="C22633" t="s">
        <v>3591</v>
      </c>
      <c r="D22633" s="7">
        <f>DATE(2004,8,12)</f>
        <v>38211</v>
      </c>
      <c r="E22633" s="8">
        <f t="shared" si="377"/>
        <v>2004</v>
      </c>
      <c r="F22633" t="s">
        <v>3593</v>
      </c>
      <c r="G22633" s="9">
        <v>2240.02</v>
      </c>
      <c r="H22633" s="8">
        <v>2042</v>
      </c>
    </row>
    <row r="22634" spans="2:8" ht="15" customHeight="1" x14ac:dyDescent="0.4">
      <c r="B22634" t="s">
        <v>7</v>
      </c>
      <c r="C22634" t="s">
        <v>3591</v>
      </c>
      <c r="D22634" s="7">
        <f>DATE(2005,12,2)</f>
        <v>38688</v>
      </c>
      <c r="E22634" s="8">
        <f t="shared" si="377"/>
        <v>2005</v>
      </c>
      <c r="F22634" t="s">
        <v>3593</v>
      </c>
      <c r="G22634" s="9">
        <v>2480.6</v>
      </c>
      <c r="H22634" s="8">
        <v>3822</v>
      </c>
    </row>
    <row r="22635" spans="2:8" ht="15" customHeight="1" x14ac:dyDescent="0.4">
      <c r="B22635" t="s">
        <v>7</v>
      </c>
      <c r="C22635" t="s">
        <v>3591</v>
      </c>
      <c r="D22635" s="7">
        <f>DATE(2007,5,1)</f>
        <v>39203</v>
      </c>
      <c r="E22635" s="8">
        <f t="shared" si="377"/>
        <v>2007</v>
      </c>
      <c r="F22635" t="s">
        <v>3593</v>
      </c>
      <c r="G22635" s="9">
        <v>31608.07</v>
      </c>
      <c r="H22635" s="8">
        <v>5843</v>
      </c>
    </row>
    <row r="22636" spans="2:8" ht="15" customHeight="1" x14ac:dyDescent="0.4">
      <c r="B22636" t="s">
        <v>7</v>
      </c>
      <c r="C22636" t="s">
        <v>3594</v>
      </c>
      <c r="D22636" s="7">
        <f>DATE(2016,6,16)</f>
        <v>42537</v>
      </c>
      <c r="E22636" s="8">
        <f t="shared" si="377"/>
        <v>2016</v>
      </c>
      <c r="F22636" t="s">
        <v>3595</v>
      </c>
      <c r="G22636" s="9">
        <v>3800</v>
      </c>
      <c r="H22636" s="8">
        <v>22927</v>
      </c>
    </row>
    <row r="22637" spans="2:8" ht="15" customHeight="1" x14ac:dyDescent="0.4">
      <c r="B22637" t="s">
        <v>7</v>
      </c>
      <c r="C22637" t="s">
        <v>3596</v>
      </c>
      <c r="D22637" s="7">
        <f>DATE(2003,2,13)</f>
        <v>37665</v>
      </c>
      <c r="E22637" s="8">
        <f t="shared" si="377"/>
        <v>2003</v>
      </c>
      <c r="F22637" t="s">
        <v>3597</v>
      </c>
      <c r="G22637" s="9">
        <v>11026.48</v>
      </c>
      <c r="H22637" s="8">
        <v>61</v>
      </c>
    </row>
    <row r="22638" spans="2:8" ht="15" customHeight="1" x14ac:dyDescent="0.4">
      <c r="B22638" t="s">
        <v>7</v>
      </c>
      <c r="C22638" t="s">
        <v>3596</v>
      </c>
      <c r="D22638" s="7">
        <f>DATE(2003,2,12)</f>
        <v>37664</v>
      </c>
      <c r="E22638" s="8">
        <f t="shared" si="377"/>
        <v>2003</v>
      </c>
      <c r="F22638" t="s">
        <v>3597</v>
      </c>
      <c r="G22638" s="9">
        <v>10517.15</v>
      </c>
      <c r="H22638" s="8">
        <v>179</v>
      </c>
    </row>
    <row r="22639" spans="2:8" ht="15" customHeight="1" x14ac:dyDescent="0.4">
      <c r="B22639" t="s">
        <v>7</v>
      </c>
      <c r="C22639" t="s">
        <v>3596</v>
      </c>
      <c r="D22639" s="7">
        <f>DATE(2003,2,11)</f>
        <v>37663</v>
      </c>
      <c r="E22639" s="8">
        <f t="shared" si="377"/>
        <v>2003</v>
      </c>
      <c r="F22639" t="s">
        <v>3597</v>
      </c>
      <c r="G22639" s="9">
        <v>1387.5</v>
      </c>
      <c r="H22639" s="8">
        <v>210</v>
      </c>
    </row>
    <row r="22640" spans="2:8" ht="15" customHeight="1" x14ac:dyDescent="0.4">
      <c r="B22640" t="s">
        <v>7</v>
      </c>
      <c r="C22640" t="s">
        <v>3596</v>
      </c>
      <c r="D22640" s="7">
        <f>DATE(2003,3,12)</f>
        <v>37692</v>
      </c>
      <c r="E22640" s="8">
        <f t="shared" si="377"/>
        <v>2003</v>
      </c>
      <c r="F22640" t="s">
        <v>3597</v>
      </c>
      <c r="G22640" s="9">
        <v>5196</v>
      </c>
      <c r="H22640" s="8">
        <v>329</v>
      </c>
    </row>
    <row r="22641" spans="2:8" ht="15" customHeight="1" x14ac:dyDescent="0.4">
      <c r="B22641" t="s">
        <v>7</v>
      </c>
      <c r="C22641" t="s">
        <v>3596</v>
      </c>
      <c r="D22641" s="7">
        <f>DATE(2003,5,27)</f>
        <v>37768</v>
      </c>
      <c r="E22641" s="8">
        <f t="shared" si="377"/>
        <v>2003</v>
      </c>
      <c r="F22641" t="s">
        <v>3597</v>
      </c>
      <c r="G22641" s="9">
        <v>3963.21</v>
      </c>
      <c r="H22641" s="8">
        <v>464</v>
      </c>
    </row>
    <row r="22642" spans="2:8" ht="15" customHeight="1" x14ac:dyDescent="0.4">
      <c r="B22642" s="3" t="s">
        <v>7</v>
      </c>
      <c r="C22642" s="3" t="s">
        <v>3596</v>
      </c>
      <c r="D22642" s="4">
        <f>DATE(2003,2,28)</f>
        <v>37680</v>
      </c>
      <c r="E22642" s="5">
        <f t="shared" si="377"/>
        <v>2003</v>
      </c>
      <c r="F22642" s="3" t="s">
        <v>3597</v>
      </c>
      <c r="G22642" s="6">
        <v>837</v>
      </c>
      <c r="H22642" s="5">
        <v>426</v>
      </c>
    </row>
    <row r="22643" spans="2:8" ht="15" customHeight="1" x14ac:dyDescent="0.4">
      <c r="B22643" s="3" t="s">
        <v>7</v>
      </c>
      <c r="C22643" s="3" t="s">
        <v>3596</v>
      </c>
      <c r="D22643" s="4">
        <f>DATE(2003,3,17)</f>
        <v>37697</v>
      </c>
      <c r="E22643" s="5">
        <f t="shared" si="377"/>
        <v>2003</v>
      </c>
      <c r="F22643" s="3" t="s">
        <v>3597</v>
      </c>
      <c r="G22643" s="6">
        <v>121.1</v>
      </c>
      <c r="H22643" s="5">
        <v>531</v>
      </c>
    </row>
    <row r="22644" spans="2:8" ht="15" customHeight="1" x14ac:dyDescent="0.4">
      <c r="B22644" s="3" t="s">
        <v>7</v>
      </c>
      <c r="C22644" s="3" t="s">
        <v>3596</v>
      </c>
      <c r="D22644" s="4">
        <f>DATE(2003,8,28)</f>
        <v>37861</v>
      </c>
      <c r="E22644" s="5">
        <f t="shared" si="377"/>
        <v>2003</v>
      </c>
      <c r="F22644" s="3" t="s">
        <v>3597</v>
      </c>
      <c r="G22644" s="6">
        <v>250</v>
      </c>
      <c r="H22644" s="5">
        <v>1429</v>
      </c>
    </row>
    <row r="22645" spans="2:8" ht="15" customHeight="1" x14ac:dyDescent="0.4">
      <c r="B22645" s="3" t="s">
        <v>7</v>
      </c>
      <c r="C22645" s="3" t="s">
        <v>3596</v>
      </c>
      <c r="D22645" s="4">
        <f>DATE(2004,3,2)</f>
        <v>38048</v>
      </c>
      <c r="E22645" s="5">
        <f t="shared" si="377"/>
        <v>2004</v>
      </c>
      <c r="F22645" s="3" t="s">
        <v>3597</v>
      </c>
      <c r="G22645" s="6">
        <v>159.9</v>
      </c>
      <c r="H22645" s="5">
        <v>2311</v>
      </c>
    </row>
    <row r="22646" spans="2:8" ht="15" customHeight="1" x14ac:dyDescent="0.4">
      <c r="B22646" s="3" t="s">
        <v>7</v>
      </c>
      <c r="C22646" s="3" t="s">
        <v>3596</v>
      </c>
      <c r="D22646" s="4">
        <f>DATE(2005,5,4)</f>
        <v>38476</v>
      </c>
      <c r="E22646" s="5">
        <f t="shared" si="377"/>
        <v>2005</v>
      </c>
      <c r="F22646" s="3" t="s">
        <v>3597</v>
      </c>
      <c r="G22646" s="6">
        <v>147</v>
      </c>
      <c r="H22646" s="5">
        <v>4695</v>
      </c>
    </row>
    <row r="22647" spans="2:8" ht="15" customHeight="1" x14ac:dyDescent="0.4">
      <c r="B22647" s="3" t="s">
        <v>7</v>
      </c>
      <c r="C22647" s="3" t="s">
        <v>3596</v>
      </c>
      <c r="D22647" s="4">
        <f>DATE(2006,2,22)</f>
        <v>38770</v>
      </c>
      <c r="E22647" s="5">
        <f t="shared" si="377"/>
        <v>2006</v>
      </c>
      <c r="F22647" s="3" t="s">
        <v>3597</v>
      </c>
      <c r="G22647" s="6">
        <v>392</v>
      </c>
      <c r="H22647" s="5">
        <v>5931</v>
      </c>
    </row>
    <row r="22648" spans="2:8" ht="15" customHeight="1" x14ac:dyDescent="0.4">
      <c r="B22648" s="3" t="s">
        <v>7</v>
      </c>
      <c r="C22648" s="3" t="s">
        <v>3596</v>
      </c>
      <c r="D22648" s="4">
        <f>DATE(2008,5,14)</f>
        <v>39582</v>
      </c>
      <c r="E22648" s="5">
        <f t="shared" si="377"/>
        <v>2008</v>
      </c>
      <c r="F22648" s="3" t="s">
        <v>3597</v>
      </c>
      <c r="G22648" s="6">
        <v>1474.44</v>
      </c>
      <c r="H22648" s="5">
        <v>10681</v>
      </c>
    </row>
    <row r="22649" spans="2:8" ht="15" customHeight="1" x14ac:dyDescent="0.4">
      <c r="B22649" s="3" t="s">
        <v>16</v>
      </c>
      <c r="C22649" s="3" t="s">
        <v>3596</v>
      </c>
      <c r="D22649" s="4">
        <f>DATE(2003,4,3)</f>
        <v>37714</v>
      </c>
      <c r="E22649" s="5">
        <f t="shared" si="377"/>
        <v>2003</v>
      </c>
      <c r="F22649" s="3" t="s">
        <v>3597</v>
      </c>
      <c r="G22649" s="6">
        <v>116.1</v>
      </c>
      <c r="H22649" s="5">
        <v>695</v>
      </c>
    </row>
    <row r="22650" spans="2:8" ht="15" customHeight="1" x14ac:dyDescent="0.4">
      <c r="B22650" s="3" t="s">
        <v>16</v>
      </c>
      <c r="C22650" s="3" t="s">
        <v>3596</v>
      </c>
      <c r="D22650" s="4">
        <f>DATE(2004,3,26)</f>
        <v>38072</v>
      </c>
      <c r="E22650" s="5">
        <f t="shared" si="377"/>
        <v>2004</v>
      </c>
      <c r="F22650" s="3" t="s">
        <v>3597</v>
      </c>
      <c r="G22650" s="6">
        <v>153.9</v>
      </c>
      <c r="H22650" s="5">
        <v>2492</v>
      </c>
    </row>
    <row r="22651" spans="2:8" ht="15" customHeight="1" x14ac:dyDescent="0.4">
      <c r="B22651" s="3" t="s">
        <v>7</v>
      </c>
      <c r="C22651" s="3" t="s">
        <v>3598</v>
      </c>
      <c r="D22651" s="4">
        <f>DATE(2006,4,13)</f>
        <v>38820</v>
      </c>
      <c r="E22651" s="5">
        <f t="shared" si="377"/>
        <v>2006</v>
      </c>
      <c r="F22651" s="3" t="s">
        <v>3599</v>
      </c>
      <c r="G22651" s="6">
        <v>454.25</v>
      </c>
      <c r="H22651" s="5">
        <v>1538</v>
      </c>
    </row>
    <row r="22652" spans="2:8" ht="15" customHeight="1" x14ac:dyDescent="0.4">
      <c r="B22652" s="3" t="s">
        <v>7</v>
      </c>
      <c r="C22652" s="3" t="s">
        <v>3598</v>
      </c>
      <c r="D22652" s="4">
        <f>DATE(2003,2,19)</f>
        <v>37671</v>
      </c>
      <c r="E22652" s="5">
        <f t="shared" si="377"/>
        <v>2003</v>
      </c>
      <c r="F22652" s="3" t="s">
        <v>3599</v>
      </c>
      <c r="G22652" s="6">
        <v>2772.02</v>
      </c>
      <c r="H22652" s="5">
        <v>361</v>
      </c>
    </row>
    <row r="22653" spans="2:8" ht="15" customHeight="1" x14ac:dyDescent="0.4">
      <c r="B22653" s="3" t="s">
        <v>7</v>
      </c>
      <c r="C22653" s="3" t="s">
        <v>3598</v>
      </c>
      <c r="D22653" s="4">
        <f>DATE(2003,3,27)</f>
        <v>37707</v>
      </c>
      <c r="E22653" s="5">
        <f t="shared" si="377"/>
        <v>2003</v>
      </c>
      <c r="F22653" s="3" t="s">
        <v>3599</v>
      </c>
      <c r="G22653" s="6">
        <v>4428.5</v>
      </c>
      <c r="H22653" s="5">
        <v>636</v>
      </c>
    </row>
    <row r="22654" spans="2:8" ht="15" customHeight="1" x14ac:dyDescent="0.4">
      <c r="B22654" s="3" t="s">
        <v>7</v>
      </c>
      <c r="C22654" s="3" t="s">
        <v>3598</v>
      </c>
      <c r="D22654" s="4">
        <f>DATE(2003,4,3)</f>
        <v>37714</v>
      </c>
      <c r="E22654" s="5">
        <f t="shared" si="377"/>
        <v>2003</v>
      </c>
      <c r="F22654" s="3" t="s">
        <v>3599</v>
      </c>
      <c r="G22654" s="6">
        <v>412.5</v>
      </c>
      <c r="H22654" s="5">
        <v>685</v>
      </c>
    </row>
    <row r="22655" spans="2:8" ht="15" customHeight="1" x14ac:dyDescent="0.4">
      <c r="B22655" s="3" t="s">
        <v>7</v>
      </c>
      <c r="C22655" s="3" t="s">
        <v>3598</v>
      </c>
      <c r="D22655" s="4">
        <f>DATE(2003,4,10)</f>
        <v>37721</v>
      </c>
      <c r="E22655" s="5">
        <f t="shared" si="377"/>
        <v>2003</v>
      </c>
      <c r="F22655" s="3" t="s">
        <v>3599</v>
      </c>
      <c r="G22655" s="6">
        <v>3112.5</v>
      </c>
      <c r="H22655" s="5">
        <v>732</v>
      </c>
    </row>
    <row r="22656" spans="2:8" ht="15" customHeight="1" x14ac:dyDescent="0.4">
      <c r="B22656" s="3" t="s">
        <v>7</v>
      </c>
      <c r="C22656" s="3" t="s">
        <v>3598</v>
      </c>
      <c r="D22656" s="4">
        <f>DATE(2003,4,23)</f>
        <v>37734</v>
      </c>
      <c r="E22656" s="5">
        <f t="shared" si="377"/>
        <v>2003</v>
      </c>
      <c r="F22656" s="3" t="s">
        <v>3599</v>
      </c>
      <c r="G22656" s="6">
        <v>1917.5</v>
      </c>
      <c r="H22656" s="5">
        <v>819</v>
      </c>
    </row>
    <row r="22657" spans="2:8" ht="15" customHeight="1" x14ac:dyDescent="0.4">
      <c r="B22657" s="3" t="s">
        <v>7</v>
      </c>
      <c r="C22657" s="3" t="s">
        <v>3598</v>
      </c>
      <c r="D22657" s="4">
        <f>DATE(2003,5,13)</f>
        <v>37754</v>
      </c>
      <c r="E22657" s="5">
        <f t="shared" si="377"/>
        <v>2003</v>
      </c>
      <c r="F22657" s="3" t="s">
        <v>3599</v>
      </c>
      <c r="G22657" s="6">
        <v>9832.86</v>
      </c>
      <c r="H22657" s="5">
        <v>958</v>
      </c>
    </row>
    <row r="22658" spans="2:8" ht="15" customHeight="1" x14ac:dyDescent="0.4">
      <c r="B22658" s="3" t="s">
        <v>7</v>
      </c>
      <c r="C22658" s="3" t="s">
        <v>3598</v>
      </c>
      <c r="D22658" s="4">
        <f>DATE(2003,5,13)</f>
        <v>37754</v>
      </c>
      <c r="E22658" s="5">
        <f t="shared" si="377"/>
        <v>2003</v>
      </c>
      <c r="F22658" s="3" t="s">
        <v>3599</v>
      </c>
      <c r="G22658" s="6">
        <v>5416.41</v>
      </c>
      <c r="H22658" s="5">
        <v>959</v>
      </c>
    </row>
    <row r="22659" spans="2:8" ht="15" customHeight="1" x14ac:dyDescent="0.4">
      <c r="B22659" s="3" t="s">
        <v>7</v>
      </c>
      <c r="C22659" s="3" t="s">
        <v>3598</v>
      </c>
      <c r="D22659" s="4">
        <f>DATE(2003,5,28)</f>
        <v>37769</v>
      </c>
      <c r="E22659" s="5">
        <f t="shared" ref="E22659:E22722" si="378">YEAR(D22659)</f>
        <v>2003</v>
      </c>
      <c r="F22659" s="3" t="s">
        <v>3599</v>
      </c>
      <c r="G22659" s="6">
        <v>1612.5</v>
      </c>
      <c r="H22659" s="5">
        <v>1013</v>
      </c>
    </row>
    <row r="22660" spans="2:8" ht="15" customHeight="1" x14ac:dyDescent="0.4">
      <c r="B22660" s="3" t="s">
        <v>7</v>
      </c>
      <c r="C22660" s="3" t="s">
        <v>3598</v>
      </c>
      <c r="D22660" s="4">
        <f>DATE(2003,6,5)</f>
        <v>37777</v>
      </c>
      <c r="E22660" s="5">
        <f t="shared" si="378"/>
        <v>2003</v>
      </c>
      <c r="F22660" s="3" t="s">
        <v>3599</v>
      </c>
      <c r="G22660" s="6">
        <v>2762.5</v>
      </c>
      <c r="H22660" s="5">
        <v>1063</v>
      </c>
    </row>
    <row r="22661" spans="2:8" ht="15" customHeight="1" x14ac:dyDescent="0.4">
      <c r="B22661" s="3" t="s">
        <v>7</v>
      </c>
      <c r="C22661" s="3" t="s">
        <v>3598</v>
      </c>
      <c r="D22661" s="4">
        <f>DATE(2003,7,8)</f>
        <v>37810</v>
      </c>
      <c r="E22661" s="5">
        <f t="shared" si="378"/>
        <v>2003</v>
      </c>
      <c r="F22661" s="3" t="s">
        <v>3599</v>
      </c>
      <c r="G22661" s="6">
        <v>3923.36</v>
      </c>
      <c r="H22661" s="5">
        <v>1177</v>
      </c>
    </row>
    <row r="22662" spans="2:8" ht="15" customHeight="1" x14ac:dyDescent="0.4">
      <c r="B22662" s="3" t="s">
        <v>7</v>
      </c>
      <c r="C22662" s="3" t="s">
        <v>3598</v>
      </c>
      <c r="D22662" s="4">
        <f>DATE(2003,6,25)</f>
        <v>37797</v>
      </c>
      <c r="E22662" s="5">
        <f t="shared" si="378"/>
        <v>2003</v>
      </c>
      <c r="F22662" s="3" t="s">
        <v>3599</v>
      </c>
      <c r="G22662" s="6">
        <v>396.5</v>
      </c>
      <c r="H22662" s="5">
        <v>1155</v>
      </c>
    </row>
    <row r="22663" spans="2:8" ht="15" customHeight="1" x14ac:dyDescent="0.4">
      <c r="B22663" s="3" t="s">
        <v>7</v>
      </c>
      <c r="C22663" s="3" t="s">
        <v>3598</v>
      </c>
      <c r="D22663" s="4">
        <f>DATE(2003,10,8)</f>
        <v>37902</v>
      </c>
      <c r="E22663" s="5">
        <f t="shared" si="378"/>
        <v>2003</v>
      </c>
      <c r="F22663" s="3" t="s">
        <v>3599</v>
      </c>
      <c r="G22663" s="6">
        <v>11943.65</v>
      </c>
      <c r="H22663" s="5">
        <v>1624</v>
      </c>
    </row>
    <row r="22664" spans="2:8" ht="15" customHeight="1" x14ac:dyDescent="0.4">
      <c r="B22664" s="3" t="s">
        <v>7</v>
      </c>
      <c r="C22664" s="3" t="s">
        <v>3598</v>
      </c>
      <c r="D22664" s="4">
        <f>DATE(2004,2,3)</f>
        <v>38020</v>
      </c>
      <c r="E22664" s="5">
        <f t="shared" si="378"/>
        <v>2004</v>
      </c>
      <c r="F22664" s="3" t="s">
        <v>3599</v>
      </c>
      <c r="G22664" s="6">
        <v>443</v>
      </c>
      <c r="H22664" s="5">
        <v>2015</v>
      </c>
    </row>
    <row r="22665" spans="2:8" ht="15" customHeight="1" x14ac:dyDescent="0.4">
      <c r="B22665" s="3" t="s">
        <v>7</v>
      </c>
      <c r="C22665" s="3" t="s">
        <v>3598</v>
      </c>
      <c r="D22665" s="4">
        <f>DATE(2004,3,9)</f>
        <v>38055</v>
      </c>
      <c r="E22665" s="5">
        <f t="shared" si="378"/>
        <v>2004</v>
      </c>
      <c r="F22665" s="3" t="s">
        <v>3599</v>
      </c>
      <c r="G22665" s="6">
        <v>6726.86</v>
      </c>
      <c r="H22665" s="5">
        <v>2340</v>
      </c>
    </row>
    <row r="22666" spans="2:8" ht="15" customHeight="1" x14ac:dyDescent="0.4">
      <c r="B22666" s="3" t="s">
        <v>7</v>
      </c>
      <c r="C22666" s="3" t="s">
        <v>3598</v>
      </c>
      <c r="D22666" s="4">
        <f>DATE(2004,3,11)</f>
        <v>38057</v>
      </c>
      <c r="E22666" s="5">
        <f t="shared" si="378"/>
        <v>2004</v>
      </c>
      <c r="F22666" s="3" t="s">
        <v>3599</v>
      </c>
      <c r="G22666" s="6">
        <v>4531.4799999999996</v>
      </c>
      <c r="H22666" s="5">
        <v>2373</v>
      </c>
    </row>
    <row r="22667" spans="2:8" ht="15" customHeight="1" x14ac:dyDescent="0.4">
      <c r="B22667" s="3" t="s">
        <v>7</v>
      </c>
      <c r="C22667" s="3" t="s">
        <v>3598</v>
      </c>
      <c r="D22667" s="4">
        <f>DATE(2004,3,26)</f>
        <v>38072</v>
      </c>
      <c r="E22667" s="5">
        <f t="shared" si="378"/>
        <v>2004</v>
      </c>
      <c r="F22667" s="3" t="s">
        <v>3599</v>
      </c>
      <c r="G22667" s="6">
        <v>647.5</v>
      </c>
      <c r="H22667" s="5">
        <v>2468</v>
      </c>
    </row>
    <row r="22668" spans="2:8" ht="15" customHeight="1" x14ac:dyDescent="0.4">
      <c r="B22668" s="3" t="s">
        <v>7</v>
      </c>
      <c r="C22668" s="3" t="s">
        <v>3598</v>
      </c>
      <c r="D22668" s="4">
        <f>DATE(2004,5,10)</f>
        <v>38117</v>
      </c>
      <c r="E22668" s="5">
        <f t="shared" si="378"/>
        <v>2004</v>
      </c>
      <c r="F22668" s="3" t="s">
        <v>3599</v>
      </c>
      <c r="G22668" s="6">
        <v>3019.3</v>
      </c>
      <c r="H22668" s="5">
        <v>2818</v>
      </c>
    </row>
    <row r="22669" spans="2:8" ht="15" customHeight="1" x14ac:dyDescent="0.4">
      <c r="B22669" s="3" t="s">
        <v>7</v>
      </c>
      <c r="C22669" s="3" t="s">
        <v>3598</v>
      </c>
      <c r="D22669" s="4">
        <f>DATE(2004,6,24)</f>
        <v>38162</v>
      </c>
      <c r="E22669" s="5">
        <f t="shared" si="378"/>
        <v>2004</v>
      </c>
      <c r="F22669" s="3" t="s">
        <v>3599</v>
      </c>
      <c r="G22669" s="6">
        <v>1442.5</v>
      </c>
      <c r="H22669" s="5">
        <v>3073</v>
      </c>
    </row>
    <row r="22670" spans="2:8" ht="15" customHeight="1" x14ac:dyDescent="0.4">
      <c r="B22670" s="3" t="s">
        <v>7</v>
      </c>
      <c r="C22670" s="3" t="s">
        <v>3598</v>
      </c>
      <c r="D22670" s="4">
        <f>DATE(2004,7,22)</f>
        <v>38190</v>
      </c>
      <c r="E22670" s="5">
        <f t="shared" si="378"/>
        <v>2004</v>
      </c>
      <c r="F22670" s="3" t="s">
        <v>3599</v>
      </c>
      <c r="G22670" s="6">
        <v>2767.5</v>
      </c>
      <c r="H22670" s="5">
        <v>3175</v>
      </c>
    </row>
    <row r="22671" spans="2:8" ht="15" customHeight="1" x14ac:dyDescent="0.4">
      <c r="B22671" s="3" t="s">
        <v>7</v>
      </c>
      <c r="C22671" s="3" t="s">
        <v>3598</v>
      </c>
      <c r="D22671" s="4">
        <f>DATE(2004,8,20)</f>
        <v>38219</v>
      </c>
      <c r="E22671" s="5">
        <f t="shared" si="378"/>
        <v>2004</v>
      </c>
      <c r="F22671" s="3" t="s">
        <v>3599</v>
      </c>
      <c r="G22671" s="6">
        <v>6661.62</v>
      </c>
      <c r="H22671" s="5">
        <v>3296</v>
      </c>
    </row>
    <row r="22672" spans="2:8" ht="15" customHeight="1" x14ac:dyDescent="0.4">
      <c r="B22672" s="3" t="s">
        <v>7</v>
      </c>
      <c r="C22672" s="3" t="s">
        <v>3598</v>
      </c>
      <c r="D22672" s="4">
        <f>DATE(2004,12,3)</f>
        <v>38324</v>
      </c>
      <c r="E22672" s="5">
        <f t="shared" si="378"/>
        <v>2004</v>
      </c>
      <c r="F22672" s="3" t="s">
        <v>3599</v>
      </c>
      <c r="G22672" s="6">
        <v>4846.5600000000004</v>
      </c>
      <c r="H22672" s="5">
        <v>3770</v>
      </c>
    </row>
    <row r="22673" spans="2:8" ht="15" customHeight="1" x14ac:dyDescent="0.4">
      <c r="B22673" s="3" t="s">
        <v>7</v>
      </c>
      <c r="C22673" s="3" t="s">
        <v>3598</v>
      </c>
      <c r="D22673" s="4">
        <f>DATE(2005,1,7)</f>
        <v>38359</v>
      </c>
      <c r="E22673" s="5">
        <f t="shared" si="378"/>
        <v>2005</v>
      </c>
      <c r="F22673" s="3" t="s">
        <v>3599</v>
      </c>
      <c r="G22673" s="6">
        <v>904.5</v>
      </c>
      <c r="H22673" s="5">
        <v>3888</v>
      </c>
    </row>
    <row r="22674" spans="2:8" ht="15" customHeight="1" x14ac:dyDescent="0.4">
      <c r="B22674" s="3" t="s">
        <v>7</v>
      </c>
      <c r="C22674" s="3" t="s">
        <v>3598</v>
      </c>
      <c r="D22674" s="4">
        <f>DATE(2005,1,28)</f>
        <v>38380</v>
      </c>
      <c r="E22674" s="5">
        <f t="shared" si="378"/>
        <v>2005</v>
      </c>
      <c r="F22674" s="3" t="s">
        <v>3599</v>
      </c>
      <c r="G22674" s="6">
        <v>362.5</v>
      </c>
      <c r="H22674" s="5">
        <v>3960</v>
      </c>
    </row>
    <row r="22675" spans="2:8" ht="15" customHeight="1" x14ac:dyDescent="0.4">
      <c r="B22675" s="3" t="s">
        <v>7</v>
      </c>
      <c r="C22675" s="3" t="s">
        <v>3598</v>
      </c>
      <c r="D22675" s="4">
        <f>DATE(2005,3,8)</f>
        <v>38419</v>
      </c>
      <c r="E22675" s="5">
        <f t="shared" si="378"/>
        <v>2005</v>
      </c>
      <c r="F22675" s="3" t="s">
        <v>3599</v>
      </c>
      <c r="G22675" s="6">
        <v>3313.2</v>
      </c>
      <c r="H22675" s="5">
        <v>4270</v>
      </c>
    </row>
    <row r="22676" spans="2:8" ht="15" customHeight="1" x14ac:dyDescent="0.4">
      <c r="B22676" s="3" t="s">
        <v>7</v>
      </c>
      <c r="C22676" s="3" t="s">
        <v>3598</v>
      </c>
      <c r="D22676" s="4">
        <f>DATE(2005,3,11)</f>
        <v>38422</v>
      </c>
      <c r="E22676" s="5">
        <f t="shared" si="378"/>
        <v>2005</v>
      </c>
      <c r="F22676" s="3" t="s">
        <v>3599</v>
      </c>
      <c r="G22676" s="6">
        <v>5562.57</v>
      </c>
      <c r="H22676" s="5">
        <v>4323</v>
      </c>
    </row>
    <row r="22677" spans="2:8" ht="15" customHeight="1" x14ac:dyDescent="0.4">
      <c r="B22677" s="3" t="s">
        <v>7</v>
      </c>
      <c r="C22677" s="3" t="s">
        <v>3598</v>
      </c>
      <c r="D22677" s="4">
        <f>DATE(2005,4,22)</f>
        <v>38464</v>
      </c>
      <c r="E22677" s="5">
        <f t="shared" si="378"/>
        <v>2005</v>
      </c>
      <c r="F22677" s="3" t="s">
        <v>3599</v>
      </c>
      <c r="G22677" s="6">
        <v>3383.5</v>
      </c>
      <c r="H22677" s="5">
        <v>4609</v>
      </c>
    </row>
    <row r="22678" spans="2:8" ht="15" customHeight="1" x14ac:dyDescent="0.4">
      <c r="B22678" s="3" t="s">
        <v>7</v>
      </c>
      <c r="C22678" s="3" t="s">
        <v>3598</v>
      </c>
      <c r="D22678" s="4">
        <f>DATE(2005,5,19)</f>
        <v>38491</v>
      </c>
      <c r="E22678" s="5">
        <f t="shared" si="378"/>
        <v>2005</v>
      </c>
      <c r="F22678" s="3" t="s">
        <v>3599</v>
      </c>
      <c r="G22678" s="6">
        <v>1274.45</v>
      </c>
      <c r="H22678" s="5">
        <v>4778</v>
      </c>
    </row>
    <row r="22679" spans="2:8" ht="15" customHeight="1" x14ac:dyDescent="0.4">
      <c r="B22679" s="3" t="s">
        <v>7</v>
      </c>
      <c r="C22679" s="3" t="s">
        <v>3598</v>
      </c>
      <c r="D22679" s="4">
        <f>DATE(2005,7,15)</f>
        <v>38548</v>
      </c>
      <c r="E22679" s="5">
        <f t="shared" si="378"/>
        <v>2005</v>
      </c>
      <c r="F22679" s="3" t="s">
        <v>3599</v>
      </c>
      <c r="G22679" s="6">
        <v>2771.05</v>
      </c>
      <c r="H22679" s="5">
        <v>4981</v>
      </c>
    </row>
    <row r="22680" spans="2:8" ht="15" customHeight="1" x14ac:dyDescent="0.4">
      <c r="B22680" s="3" t="s">
        <v>7</v>
      </c>
      <c r="C22680" s="3" t="s">
        <v>3598</v>
      </c>
      <c r="D22680" s="4">
        <f>DATE(2005,9,7)</f>
        <v>38602</v>
      </c>
      <c r="E22680" s="5">
        <f t="shared" si="378"/>
        <v>2005</v>
      </c>
      <c r="F22680" s="3" t="s">
        <v>3599</v>
      </c>
      <c r="G22680" s="6">
        <v>6248.75</v>
      </c>
      <c r="H22680" s="5">
        <v>5220</v>
      </c>
    </row>
    <row r="22681" spans="2:8" ht="15" customHeight="1" x14ac:dyDescent="0.4">
      <c r="B22681" s="3" t="s">
        <v>7</v>
      </c>
      <c r="C22681" s="3" t="s">
        <v>3598</v>
      </c>
      <c r="D22681" s="4">
        <f>DATE(2005,10,7)</f>
        <v>38632</v>
      </c>
      <c r="E22681" s="5">
        <f t="shared" si="378"/>
        <v>2005</v>
      </c>
      <c r="F22681" s="3" t="s">
        <v>3599</v>
      </c>
      <c r="G22681" s="6">
        <v>5472</v>
      </c>
      <c r="H22681" s="5">
        <v>5399</v>
      </c>
    </row>
    <row r="22682" spans="2:8" ht="15" customHeight="1" x14ac:dyDescent="0.4">
      <c r="B22682" s="3" t="s">
        <v>7</v>
      </c>
      <c r="C22682" s="3" t="s">
        <v>3598</v>
      </c>
      <c r="D22682" s="4">
        <f>DATE(2005,10,11)</f>
        <v>38636</v>
      </c>
      <c r="E22682" s="5">
        <f t="shared" si="378"/>
        <v>2005</v>
      </c>
      <c r="F22682" s="3" t="s">
        <v>3599</v>
      </c>
      <c r="G22682" s="6">
        <v>2787.13</v>
      </c>
      <c r="H22682" s="5">
        <v>5402</v>
      </c>
    </row>
    <row r="22683" spans="2:8" ht="15" customHeight="1" x14ac:dyDescent="0.4">
      <c r="B22683" s="3" t="s">
        <v>7</v>
      </c>
      <c r="C22683" s="3" t="s">
        <v>3598</v>
      </c>
      <c r="D22683" s="4">
        <f>DATE(2005,10,11)</f>
        <v>38636</v>
      </c>
      <c r="E22683" s="5">
        <f t="shared" si="378"/>
        <v>2005</v>
      </c>
      <c r="F22683" s="3" t="s">
        <v>3599</v>
      </c>
      <c r="G22683" s="6">
        <v>724</v>
      </c>
      <c r="H22683" s="5">
        <v>5419</v>
      </c>
    </row>
    <row r="22684" spans="2:8" ht="15" customHeight="1" x14ac:dyDescent="0.4">
      <c r="B22684" s="3" t="s">
        <v>7</v>
      </c>
      <c r="C22684" s="3" t="s">
        <v>3598</v>
      </c>
      <c r="D22684" s="4">
        <f>DATE(2005,11,22)</f>
        <v>38678</v>
      </c>
      <c r="E22684" s="5">
        <f t="shared" si="378"/>
        <v>2005</v>
      </c>
      <c r="F22684" s="3" t="s">
        <v>3599</v>
      </c>
      <c r="G22684" s="6">
        <v>535.5</v>
      </c>
      <c r="H22684" s="5">
        <v>5606</v>
      </c>
    </row>
    <row r="22685" spans="2:8" ht="15" customHeight="1" x14ac:dyDescent="0.4">
      <c r="B22685" s="3" t="s">
        <v>7</v>
      </c>
      <c r="C22685" s="3" t="s">
        <v>3598</v>
      </c>
      <c r="D22685" s="4">
        <f>DATE(2006,3,23)</f>
        <v>38799</v>
      </c>
      <c r="E22685" s="5">
        <f t="shared" si="378"/>
        <v>2006</v>
      </c>
      <c r="F22685" s="3" t="s">
        <v>3599</v>
      </c>
      <c r="G22685" s="6">
        <v>511.88</v>
      </c>
      <c r="H22685" s="5">
        <v>6369</v>
      </c>
    </row>
    <row r="22686" spans="2:8" ht="15" customHeight="1" x14ac:dyDescent="0.4">
      <c r="B22686" s="3" t="s">
        <v>7</v>
      </c>
      <c r="C22686" s="3" t="s">
        <v>3598</v>
      </c>
      <c r="D22686" s="4">
        <f>DATE(2006,4,24)</f>
        <v>38831</v>
      </c>
      <c r="E22686" s="5">
        <f t="shared" si="378"/>
        <v>2006</v>
      </c>
      <c r="F22686" s="3" t="s">
        <v>3599</v>
      </c>
      <c r="G22686" s="6">
        <v>3210.49</v>
      </c>
      <c r="H22686" s="5">
        <v>6594</v>
      </c>
    </row>
    <row r="22687" spans="2:8" ht="15" customHeight="1" x14ac:dyDescent="0.4">
      <c r="B22687" s="3" t="s">
        <v>7</v>
      </c>
      <c r="C22687" s="3" t="s">
        <v>3598</v>
      </c>
      <c r="D22687" s="4">
        <f>DATE(2006,4,24)</f>
        <v>38831</v>
      </c>
      <c r="E22687" s="5">
        <f t="shared" si="378"/>
        <v>2006</v>
      </c>
      <c r="F22687" s="3" t="s">
        <v>3599</v>
      </c>
      <c r="G22687" s="6">
        <v>8178.54</v>
      </c>
      <c r="H22687" s="5">
        <v>6593</v>
      </c>
    </row>
    <row r="22688" spans="2:8" ht="15" customHeight="1" x14ac:dyDescent="0.4">
      <c r="B22688" s="3" t="s">
        <v>7</v>
      </c>
      <c r="C22688" s="3" t="s">
        <v>3598</v>
      </c>
      <c r="D22688" s="4">
        <f>DATE(2006,6,16)</f>
        <v>38884</v>
      </c>
      <c r="E22688" s="5">
        <f t="shared" si="378"/>
        <v>2006</v>
      </c>
      <c r="F22688" s="3" t="s">
        <v>3599</v>
      </c>
      <c r="G22688" s="6">
        <v>10876.57</v>
      </c>
      <c r="H22688" s="5">
        <v>6862</v>
      </c>
    </row>
    <row r="22689" spans="2:8" ht="15" customHeight="1" x14ac:dyDescent="0.4">
      <c r="B22689" s="3" t="s">
        <v>7</v>
      </c>
      <c r="C22689" s="3" t="s">
        <v>3598</v>
      </c>
      <c r="D22689" s="4">
        <f>DATE(2006,7,14)</f>
        <v>38912</v>
      </c>
      <c r="E22689" s="5">
        <f t="shared" si="378"/>
        <v>2006</v>
      </c>
      <c r="F22689" s="3" t="s">
        <v>3599</v>
      </c>
      <c r="G22689" s="6">
        <v>9371.07</v>
      </c>
      <c r="H22689" s="5">
        <v>6949</v>
      </c>
    </row>
    <row r="22690" spans="2:8" ht="15" customHeight="1" x14ac:dyDescent="0.4">
      <c r="B22690" s="3" t="s">
        <v>7</v>
      </c>
      <c r="C22690" s="3" t="s">
        <v>3598</v>
      </c>
      <c r="D22690" s="4">
        <f>DATE(2006,8,9)</f>
        <v>38938</v>
      </c>
      <c r="E22690" s="5">
        <f t="shared" si="378"/>
        <v>2006</v>
      </c>
      <c r="F22690" s="3" t="s">
        <v>3599</v>
      </c>
      <c r="G22690" s="6">
        <v>5305.95</v>
      </c>
      <c r="H22690" s="5">
        <v>7059</v>
      </c>
    </row>
    <row r="22691" spans="2:8" ht="15" customHeight="1" x14ac:dyDescent="0.4">
      <c r="B22691" s="3" t="s">
        <v>7</v>
      </c>
      <c r="C22691" s="3" t="s">
        <v>3598</v>
      </c>
      <c r="D22691" s="4">
        <f>DATE(2006,9,15)</f>
        <v>38975</v>
      </c>
      <c r="E22691" s="5">
        <f t="shared" si="378"/>
        <v>2006</v>
      </c>
      <c r="F22691" s="3" t="s">
        <v>3599</v>
      </c>
      <c r="G22691" s="6">
        <v>7828.7</v>
      </c>
      <c r="H22691" s="5">
        <v>7243</v>
      </c>
    </row>
    <row r="22692" spans="2:8" ht="15" customHeight="1" x14ac:dyDescent="0.4">
      <c r="B22692" s="3" t="s">
        <v>7</v>
      </c>
      <c r="C22692" s="3" t="s">
        <v>3598</v>
      </c>
      <c r="D22692" s="4">
        <f>DATE(2006,10,2)</f>
        <v>38992</v>
      </c>
      <c r="E22692" s="5">
        <f t="shared" si="378"/>
        <v>2006</v>
      </c>
      <c r="F22692" s="3" t="s">
        <v>3599</v>
      </c>
      <c r="G22692" s="6">
        <v>1577.6</v>
      </c>
      <c r="H22692" s="5">
        <v>7331</v>
      </c>
    </row>
    <row r="22693" spans="2:8" ht="15" customHeight="1" x14ac:dyDescent="0.4">
      <c r="B22693" s="3" t="s">
        <v>7</v>
      </c>
      <c r="C22693" s="3" t="s">
        <v>3598</v>
      </c>
      <c r="D22693" s="4">
        <f>DATE(2006,10,5)</f>
        <v>38995</v>
      </c>
      <c r="E22693" s="5">
        <f t="shared" si="378"/>
        <v>2006</v>
      </c>
      <c r="F22693" s="3" t="s">
        <v>3599</v>
      </c>
      <c r="G22693" s="6">
        <v>303.79000000000002</v>
      </c>
      <c r="H22693" s="5">
        <v>7348</v>
      </c>
    </row>
    <row r="22694" spans="2:8" ht="15" customHeight="1" x14ac:dyDescent="0.4">
      <c r="B22694" s="3" t="s">
        <v>7</v>
      </c>
      <c r="C22694" s="3" t="s">
        <v>3598</v>
      </c>
      <c r="D22694" s="4">
        <f>DATE(2006,11,22)</f>
        <v>39043</v>
      </c>
      <c r="E22694" s="5">
        <f t="shared" si="378"/>
        <v>2006</v>
      </c>
      <c r="F22694" s="3" t="s">
        <v>3599</v>
      </c>
      <c r="G22694" s="6">
        <v>2813.95</v>
      </c>
      <c r="H22694" s="5">
        <v>7572</v>
      </c>
    </row>
    <row r="22695" spans="2:8" ht="15" customHeight="1" x14ac:dyDescent="0.4">
      <c r="B22695" s="3" t="s">
        <v>7</v>
      </c>
      <c r="C22695" s="3" t="s">
        <v>3598</v>
      </c>
      <c r="D22695" s="4">
        <f>DATE(2007,2,13)</f>
        <v>39126</v>
      </c>
      <c r="E22695" s="5">
        <f t="shared" si="378"/>
        <v>2007</v>
      </c>
      <c r="F22695" s="3" t="s">
        <v>3599</v>
      </c>
      <c r="G22695" s="6">
        <v>955.61</v>
      </c>
      <c r="H22695" s="5">
        <v>7938</v>
      </c>
    </row>
    <row r="22696" spans="2:8" ht="15" customHeight="1" x14ac:dyDescent="0.4">
      <c r="B22696" s="3" t="s">
        <v>7</v>
      </c>
      <c r="C22696" s="3" t="s">
        <v>3598</v>
      </c>
      <c r="D22696" s="4">
        <f>DATE(2007,2,13)</f>
        <v>39126</v>
      </c>
      <c r="E22696" s="5">
        <f t="shared" si="378"/>
        <v>2007</v>
      </c>
      <c r="F22696" s="3" t="s">
        <v>3599</v>
      </c>
      <c r="G22696" s="6">
        <v>8309.11</v>
      </c>
      <c r="H22696" s="5">
        <v>7937</v>
      </c>
    </row>
    <row r="22697" spans="2:8" ht="15" customHeight="1" x14ac:dyDescent="0.4">
      <c r="B22697" s="3" t="s">
        <v>7</v>
      </c>
      <c r="C22697" s="3" t="s">
        <v>3598</v>
      </c>
      <c r="D22697" s="4">
        <f>DATE(2007,3,8)</f>
        <v>39149</v>
      </c>
      <c r="E22697" s="5">
        <f t="shared" si="378"/>
        <v>2007</v>
      </c>
      <c r="F22697" s="3" t="s">
        <v>3599</v>
      </c>
      <c r="G22697" s="6">
        <v>7013.35</v>
      </c>
      <c r="H22697" s="5">
        <v>8098</v>
      </c>
    </row>
    <row r="22698" spans="2:8" ht="15" customHeight="1" x14ac:dyDescent="0.4">
      <c r="B22698" s="3" t="s">
        <v>7</v>
      </c>
      <c r="C22698" s="3" t="s">
        <v>3598</v>
      </c>
      <c r="D22698" s="4">
        <f>DATE(2007,4,9)</f>
        <v>39181</v>
      </c>
      <c r="E22698" s="5">
        <f t="shared" si="378"/>
        <v>2007</v>
      </c>
      <c r="F22698" s="3" t="s">
        <v>3599</v>
      </c>
      <c r="G22698" s="6">
        <v>7234.86</v>
      </c>
      <c r="H22698" s="5">
        <v>8335</v>
      </c>
    </row>
    <row r="22699" spans="2:8" ht="15" customHeight="1" x14ac:dyDescent="0.4">
      <c r="B22699" s="3" t="s">
        <v>7</v>
      </c>
      <c r="C22699" s="3" t="s">
        <v>3598</v>
      </c>
      <c r="D22699" s="4">
        <f>DATE(2007,5,15)</f>
        <v>39217</v>
      </c>
      <c r="E22699" s="5">
        <f t="shared" si="378"/>
        <v>2007</v>
      </c>
      <c r="F22699" s="3" t="s">
        <v>3599</v>
      </c>
      <c r="G22699" s="6">
        <v>6806.36</v>
      </c>
      <c r="H22699" s="5">
        <v>8571</v>
      </c>
    </row>
    <row r="22700" spans="2:8" ht="15" customHeight="1" x14ac:dyDescent="0.4">
      <c r="B22700" s="3" t="s">
        <v>7</v>
      </c>
      <c r="C22700" s="3" t="s">
        <v>3598</v>
      </c>
      <c r="D22700" s="4">
        <f>DATE(2007,5,23)</f>
        <v>39225</v>
      </c>
      <c r="E22700" s="5">
        <f t="shared" si="378"/>
        <v>2007</v>
      </c>
      <c r="F22700" s="3" t="s">
        <v>3599</v>
      </c>
      <c r="G22700" s="6">
        <v>5269.69</v>
      </c>
      <c r="H22700" s="5">
        <v>8627</v>
      </c>
    </row>
    <row r="22701" spans="2:8" ht="15" customHeight="1" x14ac:dyDescent="0.4">
      <c r="B22701" s="3" t="s">
        <v>7</v>
      </c>
      <c r="C22701" s="3" t="s">
        <v>3598</v>
      </c>
      <c r="D22701" s="4">
        <f>DATE(2007,8,1)</f>
        <v>39295</v>
      </c>
      <c r="E22701" s="5">
        <f t="shared" si="378"/>
        <v>2007</v>
      </c>
      <c r="F22701" s="3" t="s">
        <v>3599</v>
      </c>
      <c r="G22701" s="6">
        <v>4309</v>
      </c>
      <c r="H22701" s="5">
        <v>8948</v>
      </c>
    </row>
    <row r="22702" spans="2:8" ht="15" customHeight="1" x14ac:dyDescent="0.4">
      <c r="B22702" s="3" t="s">
        <v>7</v>
      </c>
      <c r="C22702" s="3" t="s">
        <v>3598</v>
      </c>
      <c r="D22702" s="4">
        <f>DATE(2007,8,2)</f>
        <v>39296</v>
      </c>
      <c r="E22702" s="5">
        <f t="shared" si="378"/>
        <v>2007</v>
      </c>
      <c r="F22702" s="3" t="s">
        <v>3599</v>
      </c>
      <c r="G22702" s="6">
        <v>2957.42</v>
      </c>
      <c r="H22702" s="5">
        <v>8942</v>
      </c>
    </row>
    <row r="22703" spans="2:8" ht="15" customHeight="1" x14ac:dyDescent="0.4">
      <c r="B22703" t="s">
        <v>7</v>
      </c>
      <c r="C22703" t="s">
        <v>3600</v>
      </c>
      <c r="D22703" s="7">
        <f>DATE(2004,11,24)</f>
        <v>38315</v>
      </c>
      <c r="E22703" s="8">
        <f t="shared" si="378"/>
        <v>2004</v>
      </c>
      <c r="F22703" t="s">
        <v>3601</v>
      </c>
      <c r="G22703" s="9">
        <v>5618.15</v>
      </c>
      <c r="H22703" s="8">
        <v>2400</v>
      </c>
    </row>
    <row r="22704" spans="2:8" ht="15" customHeight="1" x14ac:dyDescent="0.4">
      <c r="B22704" t="s">
        <v>7</v>
      </c>
      <c r="C22704" t="s">
        <v>3600</v>
      </c>
      <c r="D22704" s="7">
        <f>DATE(2004,11,26)</f>
        <v>38317</v>
      </c>
      <c r="E22704" s="8">
        <f t="shared" si="378"/>
        <v>2004</v>
      </c>
      <c r="F22704" t="s">
        <v>3601</v>
      </c>
      <c r="G22704" s="9">
        <v>3801.55</v>
      </c>
      <c r="H22704" s="8">
        <v>2405</v>
      </c>
    </row>
    <row r="22705" spans="2:8" ht="15" customHeight="1" x14ac:dyDescent="0.4">
      <c r="B22705" t="s">
        <v>7</v>
      </c>
      <c r="C22705" t="s">
        <v>3600</v>
      </c>
      <c r="D22705" s="7">
        <f>DATE(2005,4,25)</f>
        <v>38467</v>
      </c>
      <c r="E22705" s="8">
        <f t="shared" si="378"/>
        <v>2005</v>
      </c>
      <c r="F22705" t="s">
        <v>3601</v>
      </c>
      <c r="G22705" s="9">
        <v>5456.52</v>
      </c>
      <c r="H22705" s="8">
        <v>3108</v>
      </c>
    </row>
    <row r="22706" spans="2:8" ht="15" customHeight="1" x14ac:dyDescent="0.4">
      <c r="B22706" t="s">
        <v>7</v>
      </c>
      <c r="C22706" t="s">
        <v>3600</v>
      </c>
      <c r="D22706" s="7">
        <f>DATE(2007,12,7)</f>
        <v>39423</v>
      </c>
      <c r="E22706" s="8">
        <f t="shared" si="378"/>
        <v>2007</v>
      </c>
      <c r="F22706" t="s">
        <v>3601</v>
      </c>
      <c r="G22706" s="9">
        <v>11160</v>
      </c>
      <c r="H22706" s="8">
        <v>6636</v>
      </c>
    </row>
    <row r="22707" spans="2:8" ht="15" customHeight="1" x14ac:dyDescent="0.4">
      <c r="B22707" t="s">
        <v>7</v>
      </c>
      <c r="C22707" t="s">
        <v>3602</v>
      </c>
      <c r="D22707" s="7">
        <f>DATE(2008,11,13)</f>
        <v>39765</v>
      </c>
      <c r="E22707" s="8">
        <f t="shared" si="378"/>
        <v>2008</v>
      </c>
      <c r="F22707" t="s">
        <v>3603</v>
      </c>
      <c r="G22707" s="9">
        <v>500</v>
      </c>
      <c r="H22707" s="8">
        <v>7972</v>
      </c>
    </row>
    <row r="22708" spans="2:8" ht="15" customHeight="1" x14ac:dyDescent="0.4">
      <c r="B22708" s="3" t="s">
        <v>7</v>
      </c>
      <c r="C22708" s="3" t="s">
        <v>3602</v>
      </c>
      <c r="D22708" s="4">
        <f>DATE(2009,6,2)</f>
        <v>39966</v>
      </c>
      <c r="E22708" s="5">
        <f t="shared" si="378"/>
        <v>2009</v>
      </c>
      <c r="F22708" s="3" t="s">
        <v>3603</v>
      </c>
      <c r="G22708" s="6">
        <v>52.36</v>
      </c>
      <c r="H22708" s="5">
        <v>12627</v>
      </c>
    </row>
    <row r="22709" spans="2:8" ht="15" customHeight="1" x14ac:dyDescent="0.4">
      <c r="B22709" s="3" t="s">
        <v>7</v>
      </c>
      <c r="C22709" s="3" t="s">
        <v>3602</v>
      </c>
      <c r="D22709" s="4">
        <f>DATE(2009,6,3)</f>
        <v>39967</v>
      </c>
      <c r="E22709" s="5">
        <f t="shared" si="378"/>
        <v>2009</v>
      </c>
      <c r="F22709" s="3" t="s">
        <v>3603</v>
      </c>
      <c r="G22709" s="6">
        <v>138.84</v>
      </c>
      <c r="H22709" s="5">
        <v>12650</v>
      </c>
    </row>
    <row r="22710" spans="2:8" ht="15" customHeight="1" x14ac:dyDescent="0.4">
      <c r="B22710" s="3" t="s">
        <v>7</v>
      </c>
      <c r="C22710" s="3" t="s">
        <v>3602</v>
      </c>
      <c r="D22710" s="4">
        <f>DATE(2004,11,22)</f>
        <v>38313</v>
      </c>
      <c r="E22710" s="5">
        <f t="shared" si="378"/>
        <v>2004</v>
      </c>
      <c r="F22710" s="3" t="s">
        <v>3604</v>
      </c>
      <c r="G22710" s="6">
        <v>100.8</v>
      </c>
      <c r="H22710" s="5">
        <v>3754</v>
      </c>
    </row>
    <row r="22711" spans="2:8" ht="15" customHeight="1" x14ac:dyDescent="0.4">
      <c r="B22711" s="3" t="s">
        <v>7</v>
      </c>
      <c r="C22711" s="3" t="s">
        <v>3602</v>
      </c>
      <c r="D22711" s="4">
        <f>DATE(2005,8,25)</f>
        <v>38589</v>
      </c>
      <c r="E22711" s="5">
        <f t="shared" si="378"/>
        <v>2005</v>
      </c>
      <c r="F22711" s="3" t="s">
        <v>3604</v>
      </c>
      <c r="G22711" s="6">
        <v>127.84</v>
      </c>
      <c r="H22711" s="5">
        <v>5173</v>
      </c>
    </row>
    <row r="22712" spans="2:8" ht="15" customHeight="1" x14ac:dyDescent="0.4">
      <c r="B22712" t="s">
        <v>7</v>
      </c>
      <c r="C22712" t="s">
        <v>3605</v>
      </c>
      <c r="D22712" s="7">
        <f>DATE(2017,8,4)</f>
        <v>42951</v>
      </c>
      <c r="E22712" s="8">
        <f t="shared" si="378"/>
        <v>2017</v>
      </c>
      <c r="F22712" t="s">
        <v>3606</v>
      </c>
      <c r="G22712" s="9">
        <v>14007.53</v>
      </c>
      <c r="H22712" s="8">
        <v>25326</v>
      </c>
    </row>
    <row r="22713" spans="2:8" ht="15" customHeight="1" x14ac:dyDescent="0.4">
      <c r="B22713" t="s">
        <v>7</v>
      </c>
      <c r="C22713" t="s">
        <v>3605</v>
      </c>
      <c r="D22713" s="7">
        <f>DATE(2018,5,2)</f>
        <v>43222</v>
      </c>
      <c r="E22713" s="8">
        <f t="shared" si="378"/>
        <v>2018</v>
      </c>
      <c r="F22713" t="s">
        <v>3606</v>
      </c>
      <c r="G22713" s="9">
        <v>15286.17</v>
      </c>
      <c r="H22713" s="8">
        <v>26790</v>
      </c>
    </row>
    <row r="22714" spans="2:8" ht="15" customHeight="1" x14ac:dyDescent="0.4">
      <c r="B22714" t="s">
        <v>7</v>
      </c>
      <c r="C22714" t="s">
        <v>3605</v>
      </c>
      <c r="D22714" s="7">
        <f>DATE(2019,1,22)</f>
        <v>43487</v>
      </c>
      <c r="E22714" s="8">
        <f t="shared" si="378"/>
        <v>2019</v>
      </c>
      <c r="F22714" t="s">
        <v>3606</v>
      </c>
      <c r="G22714" s="9">
        <v>80124.75</v>
      </c>
      <c r="H22714" s="8">
        <v>28232</v>
      </c>
    </row>
    <row r="22715" spans="2:8" ht="15" customHeight="1" x14ac:dyDescent="0.4">
      <c r="B22715" t="s">
        <v>7</v>
      </c>
      <c r="C22715" t="s">
        <v>3605</v>
      </c>
      <c r="D22715" s="7">
        <f>DATE(2019,2,25)</f>
        <v>43521</v>
      </c>
      <c r="E22715" s="8">
        <f t="shared" si="378"/>
        <v>2019</v>
      </c>
      <c r="F22715" t="s">
        <v>3606</v>
      </c>
      <c r="G22715" s="9">
        <v>938</v>
      </c>
      <c r="H22715" s="8">
        <v>28472</v>
      </c>
    </row>
    <row r="22716" spans="2:8" ht="15" customHeight="1" x14ac:dyDescent="0.4">
      <c r="B22716" t="s">
        <v>7</v>
      </c>
      <c r="C22716" t="s">
        <v>3605</v>
      </c>
      <c r="D22716" s="7">
        <f>DATE(2015,8,19)</f>
        <v>42235</v>
      </c>
      <c r="E22716" s="8">
        <f t="shared" si="378"/>
        <v>2015</v>
      </c>
      <c r="F22716" t="s">
        <v>3606</v>
      </c>
      <c r="G22716" s="9">
        <v>11774.01</v>
      </c>
      <c r="H22716" s="8">
        <v>20866</v>
      </c>
    </row>
    <row r="22717" spans="2:8" ht="15" customHeight="1" x14ac:dyDescent="0.4">
      <c r="B22717" t="s">
        <v>7</v>
      </c>
      <c r="C22717" t="s">
        <v>3605</v>
      </c>
      <c r="D22717" s="7">
        <f>DATE(2004,6,5)</f>
        <v>38143</v>
      </c>
      <c r="E22717" s="8">
        <f t="shared" si="378"/>
        <v>2004</v>
      </c>
      <c r="F22717" t="s">
        <v>3606</v>
      </c>
      <c r="G22717" s="9">
        <v>4618.97</v>
      </c>
      <c r="H22717" s="8">
        <v>1860</v>
      </c>
    </row>
    <row r="22718" spans="2:8" ht="15" customHeight="1" x14ac:dyDescent="0.4">
      <c r="B22718" t="s">
        <v>7</v>
      </c>
      <c r="C22718" t="s">
        <v>3605</v>
      </c>
      <c r="D22718" s="7">
        <f>DATE(2013,8,13)</f>
        <v>41499</v>
      </c>
      <c r="E22718" s="8">
        <f t="shared" si="378"/>
        <v>2013</v>
      </c>
      <c r="F22718" t="s">
        <v>3606</v>
      </c>
      <c r="G22718" s="9">
        <v>10842.99</v>
      </c>
      <c r="H22718" s="8">
        <v>12427</v>
      </c>
    </row>
    <row r="22719" spans="2:8" ht="15" customHeight="1" x14ac:dyDescent="0.4">
      <c r="B22719" s="3" t="s">
        <v>7</v>
      </c>
      <c r="C22719" s="3" t="s">
        <v>3605</v>
      </c>
      <c r="D22719" s="4">
        <f>DATE(2005,11,14)</f>
        <v>38670</v>
      </c>
      <c r="E22719" s="5">
        <f t="shared" si="378"/>
        <v>2005</v>
      </c>
      <c r="F22719" s="3" t="s">
        <v>3606</v>
      </c>
      <c r="G22719" s="6">
        <v>480</v>
      </c>
      <c r="H22719" s="5">
        <v>5537</v>
      </c>
    </row>
    <row r="22720" spans="2:8" ht="15" customHeight="1" x14ac:dyDescent="0.4">
      <c r="B22720" s="3" t="s">
        <v>7</v>
      </c>
      <c r="C22720" s="3" t="s">
        <v>3605</v>
      </c>
      <c r="D22720" s="4">
        <f>DATE(2012,6,4)</f>
        <v>41064</v>
      </c>
      <c r="E22720" s="5">
        <f t="shared" si="378"/>
        <v>2012</v>
      </c>
      <c r="F22720" s="3" t="s">
        <v>3606</v>
      </c>
      <c r="G22720" s="6">
        <v>469</v>
      </c>
      <c r="H22720" s="5">
        <v>17211</v>
      </c>
    </row>
    <row r="22721" spans="2:8" ht="15" customHeight="1" x14ac:dyDescent="0.4">
      <c r="B22721" t="s">
        <v>7</v>
      </c>
      <c r="C22721" t="s">
        <v>3607</v>
      </c>
      <c r="D22721" s="7">
        <f>DATE(2017,11,13)</f>
        <v>43052</v>
      </c>
      <c r="E22721" s="8">
        <f t="shared" si="378"/>
        <v>2017</v>
      </c>
      <c r="F22721" t="s">
        <v>3608</v>
      </c>
      <c r="G22721" s="9">
        <v>36.909999999999997</v>
      </c>
      <c r="H22721" s="8">
        <v>25895</v>
      </c>
    </row>
    <row r="22722" spans="2:8" ht="15" customHeight="1" x14ac:dyDescent="0.4">
      <c r="B22722" t="s">
        <v>7</v>
      </c>
      <c r="C22722" t="s">
        <v>3607</v>
      </c>
      <c r="D22722" s="7">
        <f>DATE(2017,12,4)</f>
        <v>43073</v>
      </c>
      <c r="E22722" s="8">
        <f t="shared" si="378"/>
        <v>2017</v>
      </c>
      <c r="F22722" t="s">
        <v>3608</v>
      </c>
      <c r="G22722" s="9">
        <v>56.92</v>
      </c>
      <c r="H22722" s="8">
        <v>25919</v>
      </c>
    </row>
    <row r="22723" spans="2:8" ht="15" customHeight="1" x14ac:dyDescent="0.4">
      <c r="B22723" t="s">
        <v>7</v>
      </c>
      <c r="C22723" t="s">
        <v>3607</v>
      </c>
      <c r="D22723" s="7">
        <f>DATE(2018,1,23)</f>
        <v>43123</v>
      </c>
      <c r="E22723" s="8">
        <f t="shared" ref="E22723:E22786" si="379">YEAR(D22723)</f>
        <v>2018</v>
      </c>
      <c r="F22723" t="s">
        <v>3608</v>
      </c>
      <c r="G22723" s="9">
        <v>4090</v>
      </c>
      <c r="H22723" s="8">
        <v>26192</v>
      </c>
    </row>
    <row r="22724" spans="2:8" ht="15" customHeight="1" x14ac:dyDescent="0.4">
      <c r="B22724" t="s">
        <v>7</v>
      </c>
      <c r="C22724" t="s">
        <v>3607</v>
      </c>
      <c r="D22724" s="7">
        <f>DATE(2019,1,18)</f>
        <v>43483</v>
      </c>
      <c r="E22724" s="8">
        <f t="shared" si="379"/>
        <v>2019</v>
      </c>
      <c r="F22724" t="s">
        <v>3608</v>
      </c>
      <c r="G22724" s="9">
        <v>4090</v>
      </c>
      <c r="H22724" s="8">
        <v>28253</v>
      </c>
    </row>
    <row r="22725" spans="2:8" ht="15" customHeight="1" x14ac:dyDescent="0.4">
      <c r="B22725" s="3" t="s">
        <v>7</v>
      </c>
      <c r="C22725" s="3" t="s">
        <v>3609</v>
      </c>
      <c r="D22725" s="4">
        <f>DATE(2008,10,16)</f>
        <v>39737</v>
      </c>
      <c r="E22725" s="5">
        <f t="shared" si="379"/>
        <v>2008</v>
      </c>
      <c r="F22725" s="3" t="s">
        <v>3610</v>
      </c>
      <c r="G22725" s="6">
        <v>224</v>
      </c>
      <c r="H22725" s="5">
        <v>11433</v>
      </c>
    </row>
    <row r="22726" spans="2:8" ht="15" customHeight="1" x14ac:dyDescent="0.4">
      <c r="B22726" t="s">
        <v>7</v>
      </c>
      <c r="C22726" t="s">
        <v>3611</v>
      </c>
      <c r="D22726" s="7">
        <f>DATE(2019,3,14)</f>
        <v>43538</v>
      </c>
      <c r="E22726" s="8">
        <f t="shared" si="379"/>
        <v>2019</v>
      </c>
      <c r="F22726" t="s">
        <v>3612</v>
      </c>
      <c r="G22726" s="9">
        <v>1997.94</v>
      </c>
      <c r="H22726" s="8">
        <v>28554</v>
      </c>
    </row>
    <row r="22727" spans="2:8" ht="15" customHeight="1" x14ac:dyDescent="0.4">
      <c r="B22727" t="s">
        <v>7</v>
      </c>
      <c r="C22727" t="s">
        <v>3613</v>
      </c>
      <c r="D22727" s="7">
        <f>DATE(2018,5,17)</f>
        <v>43237</v>
      </c>
      <c r="E22727" s="8">
        <f t="shared" si="379"/>
        <v>2018</v>
      </c>
      <c r="F22727" t="s">
        <v>3614</v>
      </c>
      <c r="G22727" s="9">
        <v>11920</v>
      </c>
      <c r="H22727" s="8">
        <v>26959</v>
      </c>
    </row>
    <row r="22728" spans="2:8" ht="15" customHeight="1" x14ac:dyDescent="0.4">
      <c r="B22728" t="s">
        <v>7</v>
      </c>
      <c r="C22728" t="s">
        <v>3615</v>
      </c>
      <c r="D22728" s="7">
        <f>DATE(2015,6,29)</f>
        <v>42184</v>
      </c>
      <c r="E22728" s="8">
        <f t="shared" si="379"/>
        <v>2015</v>
      </c>
      <c r="F22728" t="s">
        <v>3616</v>
      </c>
      <c r="G22728" s="9">
        <v>48500</v>
      </c>
      <c r="H22728" s="8">
        <v>20493</v>
      </c>
    </row>
    <row r="22729" spans="2:8" ht="15" customHeight="1" x14ac:dyDescent="0.4">
      <c r="B22729" t="s">
        <v>7</v>
      </c>
      <c r="C22729" t="s">
        <v>3615</v>
      </c>
      <c r="D22729" s="7">
        <f>DATE(2016,7,26)</f>
        <v>42577</v>
      </c>
      <c r="E22729" s="8">
        <f t="shared" si="379"/>
        <v>2016</v>
      </c>
      <c r="F22729" t="s">
        <v>3616</v>
      </c>
      <c r="G22729" s="9">
        <v>58019</v>
      </c>
      <c r="H22729" s="8">
        <v>22936</v>
      </c>
    </row>
    <row r="22730" spans="2:8" ht="15" customHeight="1" x14ac:dyDescent="0.4">
      <c r="B22730" t="s">
        <v>7</v>
      </c>
      <c r="C22730" t="s">
        <v>3615</v>
      </c>
      <c r="D22730" s="7">
        <f>DATE(2017,7,3)</f>
        <v>42919</v>
      </c>
      <c r="E22730" s="8">
        <f t="shared" si="379"/>
        <v>2017</v>
      </c>
      <c r="F22730" t="s">
        <v>3616</v>
      </c>
      <c r="G22730" s="9">
        <v>50844</v>
      </c>
      <c r="H22730" s="8">
        <v>24885</v>
      </c>
    </row>
    <row r="22731" spans="2:8" ht="15" customHeight="1" x14ac:dyDescent="0.4">
      <c r="B22731" t="s">
        <v>7</v>
      </c>
      <c r="C22731" t="s">
        <v>3615</v>
      </c>
      <c r="D22731" s="7">
        <f>DATE(2018,5,31)</f>
        <v>43251</v>
      </c>
      <c r="E22731" s="8">
        <f t="shared" si="379"/>
        <v>2018</v>
      </c>
      <c r="F22731" t="s">
        <v>3616</v>
      </c>
      <c r="G22731" s="9">
        <v>47500</v>
      </c>
      <c r="H22731" s="8">
        <v>27023</v>
      </c>
    </row>
    <row r="22732" spans="2:8" ht="15" customHeight="1" x14ac:dyDescent="0.4">
      <c r="B22732" t="s">
        <v>7</v>
      </c>
      <c r="C22732" t="s">
        <v>3615</v>
      </c>
      <c r="D22732" s="7">
        <f>DATE(2017,9,1)</f>
        <v>42979</v>
      </c>
      <c r="E22732" s="8">
        <f t="shared" si="379"/>
        <v>2017</v>
      </c>
      <c r="F22732" t="s">
        <v>3616</v>
      </c>
      <c r="G22732" s="9">
        <v>13286.98</v>
      </c>
      <c r="H22732" s="8">
        <v>25462</v>
      </c>
    </row>
    <row r="22733" spans="2:8" ht="15" customHeight="1" x14ac:dyDescent="0.4">
      <c r="B22733" t="s">
        <v>7</v>
      </c>
      <c r="C22733" t="s">
        <v>3615</v>
      </c>
      <c r="D22733" s="7">
        <f>DATE(2012,8,31)</f>
        <v>41152</v>
      </c>
      <c r="E22733" s="8">
        <f t="shared" si="379"/>
        <v>2012</v>
      </c>
      <c r="F22733" t="s">
        <v>3616</v>
      </c>
      <c r="G22733" s="9">
        <v>43397</v>
      </c>
      <c r="H22733" s="8">
        <v>11807</v>
      </c>
    </row>
    <row r="22734" spans="2:8" ht="15" customHeight="1" x14ac:dyDescent="0.4">
      <c r="B22734" t="s">
        <v>7</v>
      </c>
      <c r="C22734" t="s">
        <v>3615</v>
      </c>
      <c r="D22734" s="7">
        <f>DATE(2012,9,13)</f>
        <v>41165</v>
      </c>
      <c r="E22734" s="8">
        <f t="shared" si="379"/>
        <v>2012</v>
      </c>
      <c r="F22734" t="s">
        <v>3616</v>
      </c>
      <c r="G22734" s="9">
        <v>455</v>
      </c>
      <c r="H22734" s="8">
        <v>11840</v>
      </c>
    </row>
    <row r="22735" spans="2:8" ht="15" customHeight="1" x14ac:dyDescent="0.4">
      <c r="B22735" t="s">
        <v>7</v>
      </c>
      <c r="C22735" t="s">
        <v>3615</v>
      </c>
      <c r="D22735" s="7">
        <f>DATE(2013,7,16)</f>
        <v>41471</v>
      </c>
      <c r="E22735" s="8">
        <f t="shared" si="379"/>
        <v>2013</v>
      </c>
      <c r="F22735" t="s">
        <v>3616</v>
      </c>
      <c r="G22735" s="9">
        <v>57453.16</v>
      </c>
      <c r="H22735" s="8">
        <v>12374</v>
      </c>
    </row>
    <row r="22736" spans="2:8" ht="15" customHeight="1" x14ac:dyDescent="0.4">
      <c r="B22736" t="s">
        <v>7</v>
      </c>
      <c r="C22736" t="s">
        <v>3615</v>
      </c>
      <c r="D22736" s="7">
        <f>DATE(2014,6,25)</f>
        <v>41815</v>
      </c>
      <c r="E22736" s="8">
        <f t="shared" si="379"/>
        <v>2014</v>
      </c>
      <c r="F22736" t="s">
        <v>3616</v>
      </c>
      <c r="G22736" s="9">
        <v>45000</v>
      </c>
      <c r="H22736" s="8">
        <v>13233</v>
      </c>
    </row>
    <row r="22737" spans="2:8" ht="15" customHeight="1" x14ac:dyDescent="0.4">
      <c r="B22737" t="s">
        <v>7</v>
      </c>
      <c r="C22737" t="s">
        <v>3615</v>
      </c>
      <c r="D22737" s="7">
        <f>DATE(2014,12,12)</f>
        <v>41985</v>
      </c>
      <c r="E22737" s="8">
        <f t="shared" si="379"/>
        <v>2014</v>
      </c>
      <c r="F22737" t="s">
        <v>3616</v>
      </c>
      <c r="G22737" s="9">
        <v>11291.63</v>
      </c>
      <c r="H22737" s="8">
        <v>13616</v>
      </c>
    </row>
    <row r="22738" spans="2:8" ht="15" customHeight="1" x14ac:dyDescent="0.4">
      <c r="B22738" t="s">
        <v>7</v>
      </c>
      <c r="C22738" t="s">
        <v>3446</v>
      </c>
      <c r="D22738" s="7">
        <f>DATE(2015,12,10)</f>
        <v>42348</v>
      </c>
      <c r="E22738" s="8">
        <f t="shared" si="379"/>
        <v>2015</v>
      </c>
      <c r="F22738" t="s">
        <v>3617</v>
      </c>
      <c r="G22738" s="9">
        <v>12607.66</v>
      </c>
      <c r="H22738" s="8">
        <v>21726</v>
      </c>
    </row>
    <row r="22739" spans="2:8" ht="15" customHeight="1" x14ac:dyDescent="0.4">
      <c r="B22739" t="s">
        <v>7</v>
      </c>
      <c r="C22739" t="s">
        <v>3446</v>
      </c>
      <c r="D22739" s="7">
        <f>DATE(2012,5,24)</f>
        <v>41053</v>
      </c>
      <c r="E22739" s="8">
        <f t="shared" si="379"/>
        <v>2012</v>
      </c>
      <c r="F22739" t="s">
        <v>3617</v>
      </c>
      <c r="G22739" s="9">
        <v>9831.58</v>
      </c>
      <c r="H22739" s="8">
        <v>11632</v>
      </c>
    </row>
    <row r="22740" spans="2:8" ht="15" customHeight="1" x14ac:dyDescent="0.4">
      <c r="B22740" t="s">
        <v>7</v>
      </c>
      <c r="C22740" t="s">
        <v>3446</v>
      </c>
      <c r="D22740" s="7">
        <f>DATE(2013,1,17)</f>
        <v>41291</v>
      </c>
      <c r="E22740" s="8">
        <f t="shared" si="379"/>
        <v>2013</v>
      </c>
      <c r="F22740" t="s">
        <v>3617</v>
      </c>
      <c r="G22740" s="9">
        <v>8726.85</v>
      </c>
      <c r="H22740" s="8">
        <v>12102</v>
      </c>
    </row>
    <row r="22741" spans="2:8" ht="15" customHeight="1" x14ac:dyDescent="0.4">
      <c r="B22741" s="3" t="s">
        <v>7</v>
      </c>
      <c r="C22741" s="3" t="s">
        <v>3446</v>
      </c>
      <c r="D22741" s="4">
        <f>DATE(2003,2,25)</f>
        <v>37677</v>
      </c>
      <c r="E22741" s="5">
        <f t="shared" si="379"/>
        <v>2003</v>
      </c>
      <c r="F22741" s="3" t="s">
        <v>3617</v>
      </c>
      <c r="G22741" s="6">
        <v>226.75</v>
      </c>
      <c r="H22741" s="5">
        <v>368</v>
      </c>
    </row>
    <row r="22742" spans="2:8" ht="15" customHeight="1" x14ac:dyDescent="0.4">
      <c r="B22742" s="3" t="s">
        <v>7</v>
      </c>
      <c r="C22742" s="3" t="s">
        <v>3446</v>
      </c>
      <c r="D22742" s="4">
        <f>DATE(2007,3,8)</f>
        <v>39149</v>
      </c>
      <c r="E22742" s="5">
        <f t="shared" si="379"/>
        <v>2007</v>
      </c>
      <c r="F22742" s="3" t="s">
        <v>3617</v>
      </c>
      <c r="G22742" s="6">
        <v>534</v>
      </c>
      <c r="H22742" s="5">
        <v>8092</v>
      </c>
    </row>
    <row r="22743" spans="2:8" ht="15" customHeight="1" x14ac:dyDescent="0.4">
      <c r="B22743" t="s">
        <v>7</v>
      </c>
      <c r="C22743" t="s">
        <v>3618</v>
      </c>
      <c r="D22743" s="7">
        <f>DATE(2017,4,3)</f>
        <v>42828</v>
      </c>
      <c r="E22743" s="8">
        <f t="shared" si="379"/>
        <v>2017</v>
      </c>
      <c r="F22743" t="s">
        <v>3619</v>
      </c>
      <c r="G22743" s="9">
        <v>12230</v>
      </c>
      <c r="H22743" s="8">
        <v>24149</v>
      </c>
    </row>
    <row r="22744" spans="2:8" ht="15" customHeight="1" x14ac:dyDescent="0.4">
      <c r="B22744" t="s">
        <v>7</v>
      </c>
      <c r="C22744" t="s">
        <v>3618</v>
      </c>
      <c r="D22744" s="7">
        <f>DATE(2017,6,27)</f>
        <v>42913</v>
      </c>
      <c r="E22744" s="8">
        <f t="shared" si="379"/>
        <v>2017</v>
      </c>
      <c r="F22744" t="s">
        <v>3619</v>
      </c>
      <c r="G22744" s="9">
        <v>11419.15</v>
      </c>
      <c r="H22744" s="8">
        <v>24924</v>
      </c>
    </row>
    <row r="22745" spans="2:8" ht="15" customHeight="1" x14ac:dyDescent="0.4">
      <c r="B22745" t="s">
        <v>7</v>
      </c>
      <c r="C22745" t="s">
        <v>3618</v>
      </c>
      <c r="D22745" s="7">
        <f>DATE(2017,6,29)</f>
        <v>42915</v>
      </c>
      <c r="E22745" s="8">
        <f t="shared" si="379"/>
        <v>2017</v>
      </c>
      <c r="F22745" t="s">
        <v>3619</v>
      </c>
      <c r="G22745" s="9">
        <v>10012.24</v>
      </c>
      <c r="H22745" s="8">
        <v>24925</v>
      </c>
    </row>
    <row r="22746" spans="2:8" ht="15" customHeight="1" x14ac:dyDescent="0.4">
      <c r="B22746" t="s">
        <v>7</v>
      </c>
      <c r="C22746" t="s">
        <v>3618</v>
      </c>
      <c r="D22746" s="7">
        <f>DATE(2017,5,15)</f>
        <v>42870</v>
      </c>
      <c r="E22746" s="8">
        <f t="shared" si="379"/>
        <v>2017</v>
      </c>
      <c r="F22746" t="s">
        <v>3619</v>
      </c>
      <c r="G22746" s="9">
        <v>2931.38</v>
      </c>
      <c r="H22746" s="8">
        <v>24926</v>
      </c>
    </row>
    <row r="22747" spans="2:8" ht="15" customHeight="1" x14ac:dyDescent="0.4">
      <c r="B22747" t="s">
        <v>7</v>
      </c>
      <c r="C22747" t="s">
        <v>3618</v>
      </c>
      <c r="D22747" s="7">
        <f>DATE(2003,1,31)</f>
        <v>37652</v>
      </c>
      <c r="E22747" s="8">
        <f t="shared" si="379"/>
        <v>2003</v>
      </c>
      <c r="F22747" t="s">
        <v>3619</v>
      </c>
      <c r="G22747" s="9">
        <v>7417.37</v>
      </c>
      <c r="H22747" s="8">
        <v>147</v>
      </c>
    </row>
    <row r="22748" spans="2:8" ht="15" customHeight="1" x14ac:dyDescent="0.4">
      <c r="B22748" t="s">
        <v>7</v>
      </c>
      <c r="C22748" t="s">
        <v>3618</v>
      </c>
      <c r="D22748" s="7">
        <f>DATE(2003,3,27)</f>
        <v>37707</v>
      </c>
      <c r="E22748" s="8">
        <f t="shared" si="379"/>
        <v>2003</v>
      </c>
      <c r="F22748" t="s">
        <v>3619</v>
      </c>
      <c r="G22748" s="9">
        <v>4368.4399999999996</v>
      </c>
      <c r="H22748" s="8">
        <v>407</v>
      </c>
    </row>
    <row r="22749" spans="2:8" ht="15" customHeight="1" x14ac:dyDescent="0.4">
      <c r="B22749" t="s">
        <v>7</v>
      </c>
      <c r="C22749" t="s">
        <v>3618</v>
      </c>
      <c r="D22749" s="7">
        <f>DATE(2003,4,30)</f>
        <v>37741</v>
      </c>
      <c r="E22749" s="8">
        <f t="shared" si="379"/>
        <v>2003</v>
      </c>
      <c r="F22749" t="s">
        <v>3619</v>
      </c>
      <c r="G22749" s="9">
        <v>3931.62</v>
      </c>
      <c r="H22749" s="8">
        <v>540</v>
      </c>
    </row>
    <row r="22750" spans="2:8" ht="15" customHeight="1" x14ac:dyDescent="0.4">
      <c r="B22750" t="s">
        <v>7</v>
      </c>
      <c r="C22750" t="s">
        <v>3618</v>
      </c>
      <c r="D22750" s="7">
        <f>DATE(2003,7,20)</f>
        <v>37822</v>
      </c>
      <c r="E22750" s="8">
        <f t="shared" si="379"/>
        <v>2003</v>
      </c>
      <c r="F22750" t="s">
        <v>3619</v>
      </c>
      <c r="G22750" s="9">
        <v>4303.2299999999996</v>
      </c>
      <c r="H22750" s="8">
        <v>734</v>
      </c>
    </row>
    <row r="22751" spans="2:8" ht="15" customHeight="1" x14ac:dyDescent="0.4">
      <c r="B22751" s="3" t="s">
        <v>7</v>
      </c>
      <c r="C22751" s="3" t="s">
        <v>3618</v>
      </c>
      <c r="D22751" s="4">
        <f>DATE(2004,2,23)</f>
        <v>38040</v>
      </c>
      <c r="E22751" s="5">
        <f t="shared" si="379"/>
        <v>2004</v>
      </c>
      <c r="F22751" s="3" t="s">
        <v>3619</v>
      </c>
      <c r="G22751" s="6">
        <v>7303.2</v>
      </c>
      <c r="H22751" s="5">
        <v>2176</v>
      </c>
    </row>
    <row r="22752" spans="2:8" ht="15" customHeight="1" x14ac:dyDescent="0.4">
      <c r="B22752" s="3" t="s">
        <v>7</v>
      </c>
      <c r="C22752" s="3" t="s">
        <v>3618</v>
      </c>
      <c r="D22752" s="4">
        <f>DATE(2004,3,1)</f>
        <v>38047</v>
      </c>
      <c r="E22752" s="5">
        <f t="shared" si="379"/>
        <v>2004</v>
      </c>
      <c r="F22752" s="3" t="s">
        <v>3619</v>
      </c>
      <c r="G22752" s="6">
        <v>92.25</v>
      </c>
      <c r="H22752" s="5">
        <v>2293</v>
      </c>
    </row>
    <row r="22753" spans="2:8" ht="15" customHeight="1" x14ac:dyDescent="0.4">
      <c r="B22753" s="3" t="s">
        <v>7</v>
      </c>
      <c r="C22753" s="3" t="s">
        <v>3618</v>
      </c>
      <c r="D22753" s="4">
        <f>DATE(2005,1,11)</f>
        <v>38363</v>
      </c>
      <c r="E22753" s="5">
        <f t="shared" si="379"/>
        <v>2005</v>
      </c>
      <c r="F22753" s="3" t="s">
        <v>3619</v>
      </c>
      <c r="G22753" s="6">
        <v>512.5</v>
      </c>
      <c r="H22753" s="5">
        <v>3944</v>
      </c>
    </row>
    <row r="22754" spans="2:8" ht="15" customHeight="1" x14ac:dyDescent="0.4">
      <c r="B22754" s="3" t="s">
        <v>7</v>
      </c>
      <c r="C22754" s="3" t="s">
        <v>3618</v>
      </c>
      <c r="D22754" s="4">
        <f>DATE(2005,6,22)</f>
        <v>38525</v>
      </c>
      <c r="E22754" s="5">
        <f t="shared" si="379"/>
        <v>2005</v>
      </c>
      <c r="F22754" s="3" t="s">
        <v>3619</v>
      </c>
      <c r="G22754" s="6">
        <v>1027.25</v>
      </c>
      <c r="H22754" s="5">
        <v>4920</v>
      </c>
    </row>
    <row r="22755" spans="2:8" ht="15" customHeight="1" x14ac:dyDescent="0.4">
      <c r="B22755" s="3" t="s">
        <v>7</v>
      </c>
      <c r="C22755" s="3" t="s">
        <v>3618</v>
      </c>
      <c r="D22755" s="4">
        <f>DATE(2006,4,28)</f>
        <v>38835</v>
      </c>
      <c r="E22755" s="5">
        <f t="shared" si="379"/>
        <v>2006</v>
      </c>
      <c r="F22755" s="3" t="s">
        <v>3619</v>
      </c>
      <c r="G22755" s="6">
        <v>7926.54</v>
      </c>
      <c r="H22755" s="5">
        <v>6201</v>
      </c>
    </row>
    <row r="22756" spans="2:8" ht="15" customHeight="1" x14ac:dyDescent="0.4">
      <c r="B22756" s="3" t="s">
        <v>7</v>
      </c>
      <c r="C22756" s="3" t="s">
        <v>3618</v>
      </c>
      <c r="D22756" s="4">
        <f>DATE(2006,5,26)</f>
        <v>38863</v>
      </c>
      <c r="E22756" s="5">
        <f t="shared" si="379"/>
        <v>2006</v>
      </c>
      <c r="F22756" s="3" t="s">
        <v>3619</v>
      </c>
      <c r="G22756" s="6">
        <v>955</v>
      </c>
      <c r="H22756" s="5">
        <v>6766</v>
      </c>
    </row>
    <row r="22757" spans="2:8" ht="15" customHeight="1" x14ac:dyDescent="0.4">
      <c r="B22757" s="3" t="s">
        <v>7</v>
      </c>
      <c r="C22757" s="3" t="s">
        <v>3618</v>
      </c>
      <c r="D22757" s="4">
        <f>DATE(2007,11,30)</f>
        <v>39416</v>
      </c>
      <c r="E22757" s="5">
        <f t="shared" si="379"/>
        <v>2007</v>
      </c>
      <c r="F22757" s="3" t="s">
        <v>3619</v>
      </c>
      <c r="G22757" s="6">
        <v>204.75</v>
      </c>
      <c r="H22757" s="5">
        <v>9548</v>
      </c>
    </row>
    <row r="22758" spans="2:8" ht="15" customHeight="1" x14ac:dyDescent="0.4">
      <c r="B22758" s="3" t="s">
        <v>7</v>
      </c>
      <c r="C22758" s="3" t="s">
        <v>3618</v>
      </c>
      <c r="D22758" s="4">
        <f>DATE(2007,12,5)</f>
        <v>39421</v>
      </c>
      <c r="E22758" s="5">
        <f t="shared" si="379"/>
        <v>2007</v>
      </c>
      <c r="F22758" s="3" t="s">
        <v>3619</v>
      </c>
      <c r="G22758" s="6">
        <v>215.71</v>
      </c>
      <c r="H22758" s="5">
        <v>9567</v>
      </c>
    </row>
    <row r="22759" spans="2:8" ht="15" customHeight="1" x14ac:dyDescent="0.4">
      <c r="B22759" t="s">
        <v>7</v>
      </c>
      <c r="C22759" t="s">
        <v>2966</v>
      </c>
      <c r="D22759" s="7">
        <f>DATE(2012,9,27)</f>
        <v>41179</v>
      </c>
      <c r="E22759" s="8">
        <f t="shared" si="379"/>
        <v>2012</v>
      </c>
      <c r="F22759" t="s">
        <v>3620</v>
      </c>
      <c r="G22759" s="9">
        <v>14923.63</v>
      </c>
      <c r="H22759" s="8">
        <v>11896</v>
      </c>
    </row>
    <row r="22760" spans="2:8" ht="15" customHeight="1" x14ac:dyDescent="0.4">
      <c r="B22760" t="s">
        <v>16</v>
      </c>
      <c r="C22760" t="s">
        <v>2966</v>
      </c>
      <c r="D22760" s="7">
        <f>DATE(2012,9,27)</f>
        <v>41179</v>
      </c>
      <c r="E22760" s="8">
        <f t="shared" si="379"/>
        <v>2012</v>
      </c>
      <c r="F22760" t="s">
        <v>3620</v>
      </c>
      <c r="G22760" s="9">
        <v>16432</v>
      </c>
      <c r="H22760" s="8">
        <v>11899</v>
      </c>
    </row>
    <row r="22761" spans="2:8" ht="15" customHeight="1" x14ac:dyDescent="0.4">
      <c r="B22761" t="s">
        <v>7</v>
      </c>
      <c r="C22761" t="s">
        <v>3621</v>
      </c>
      <c r="D22761" s="7">
        <f>DATE(2016,2,17)</f>
        <v>42417</v>
      </c>
      <c r="E22761" s="8">
        <f t="shared" si="379"/>
        <v>2016</v>
      </c>
      <c r="F22761" t="s">
        <v>3622</v>
      </c>
      <c r="G22761" s="9">
        <v>3948.57</v>
      </c>
      <c r="H22761" s="8">
        <v>22200</v>
      </c>
    </row>
    <row r="22762" spans="2:8" ht="15" customHeight="1" x14ac:dyDescent="0.4">
      <c r="B22762" t="s">
        <v>7</v>
      </c>
      <c r="C22762" t="s">
        <v>3623</v>
      </c>
      <c r="D22762" s="7">
        <f>DATE(2016,3,30)</f>
        <v>42459</v>
      </c>
      <c r="E22762" s="8">
        <f t="shared" si="379"/>
        <v>2016</v>
      </c>
      <c r="F22762" t="s">
        <v>3624</v>
      </c>
      <c r="G22762" s="9">
        <v>944.5</v>
      </c>
      <c r="H22762" s="8">
        <v>22474</v>
      </c>
    </row>
    <row r="22763" spans="2:8" ht="15" customHeight="1" x14ac:dyDescent="0.4">
      <c r="B22763" s="3" t="s">
        <v>7</v>
      </c>
      <c r="C22763" s="3" t="s">
        <v>3625</v>
      </c>
      <c r="D22763" s="4">
        <f>DATE(2008,7,24)</f>
        <v>39653</v>
      </c>
      <c r="E22763" s="5">
        <f t="shared" si="379"/>
        <v>2008</v>
      </c>
      <c r="F22763" s="3" t="s">
        <v>3626</v>
      </c>
      <c r="G22763" s="6">
        <v>1760.05</v>
      </c>
      <c r="H22763" s="5">
        <v>10991</v>
      </c>
    </row>
    <row r="22764" spans="2:8" ht="15" customHeight="1" x14ac:dyDescent="0.4">
      <c r="B22764" s="3" t="s">
        <v>7</v>
      </c>
      <c r="C22764" s="3" t="s">
        <v>3627</v>
      </c>
      <c r="D22764" s="4">
        <f>DATE(2012,4,24)</f>
        <v>41023</v>
      </c>
      <c r="E22764" s="5">
        <f t="shared" si="379"/>
        <v>2012</v>
      </c>
      <c r="F22764" s="3" t="s">
        <v>3628</v>
      </c>
      <c r="G22764" s="6">
        <v>26442.55</v>
      </c>
      <c r="H22764" s="5">
        <v>4967</v>
      </c>
    </row>
    <row r="22765" spans="2:8" ht="15" customHeight="1" x14ac:dyDescent="0.4">
      <c r="B22765" s="3" t="s">
        <v>7</v>
      </c>
      <c r="C22765" s="3" t="s">
        <v>3629</v>
      </c>
      <c r="D22765" s="4">
        <f>DATE(2009,11,13)</f>
        <v>40130</v>
      </c>
      <c r="E22765" s="5">
        <f t="shared" si="379"/>
        <v>2009</v>
      </c>
      <c r="F22765" s="3" t="s">
        <v>3630</v>
      </c>
      <c r="G22765" s="6">
        <v>16145.4</v>
      </c>
      <c r="H22765" s="5">
        <v>3652</v>
      </c>
    </row>
    <row r="22766" spans="2:8" ht="15" customHeight="1" x14ac:dyDescent="0.4">
      <c r="B22766" s="3" t="s">
        <v>7</v>
      </c>
      <c r="C22766" s="3" t="s">
        <v>3631</v>
      </c>
      <c r="D22766" s="4">
        <f>DATE(2003,7,30)</f>
        <v>37832</v>
      </c>
      <c r="E22766" s="5">
        <f t="shared" si="379"/>
        <v>2003</v>
      </c>
      <c r="F22766" s="3" t="s">
        <v>3632</v>
      </c>
      <c r="G22766" s="6">
        <v>1169.6500000000001</v>
      </c>
      <c r="H22766" s="5">
        <v>1246</v>
      </c>
    </row>
    <row r="22767" spans="2:8" ht="15" customHeight="1" x14ac:dyDescent="0.4">
      <c r="B22767" t="s">
        <v>7</v>
      </c>
      <c r="C22767" t="s">
        <v>3633</v>
      </c>
      <c r="D22767" s="7">
        <f>DATE(2017,9,25)</f>
        <v>43003</v>
      </c>
      <c r="E22767" s="8">
        <f t="shared" si="379"/>
        <v>2017</v>
      </c>
      <c r="F22767" t="s">
        <v>3634</v>
      </c>
      <c r="G22767" s="9">
        <v>29996.1</v>
      </c>
      <c r="H22767" s="8">
        <v>25142</v>
      </c>
    </row>
    <row r="22768" spans="2:8" ht="15" customHeight="1" x14ac:dyDescent="0.4">
      <c r="B22768" t="s">
        <v>7</v>
      </c>
      <c r="C22768" t="s">
        <v>3633</v>
      </c>
      <c r="D22768" s="7">
        <f>DATE(2012,4,5)</f>
        <v>41004</v>
      </c>
      <c r="E22768" s="8">
        <f t="shared" si="379"/>
        <v>2012</v>
      </c>
      <c r="F22768" t="s">
        <v>3634</v>
      </c>
      <c r="G22768" s="9">
        <v>35405</v>
      </c>
      <c r="H22768" s="8">
        <v>11513</v>
      </c>
    </row>
    <row r="22769" spans="2:8" ht="15" customHeight="1" x14ac:dyDescent="0.4">
      <c r="B22769" t="s">
        <v>7</v>
      </c>
      <c r="C22769" t="s">
        <v>3633</v>
      </c>
      <c r="D22769" s="7">
        <f>DATE(2014,10,10)</f>
        <v>41922</v>
      </c>
      <c r="E22769" s="8">
        <f t="shared" si="379"/>
        <v>2014</v>
      </c>
      <c r="F22769" t="s">
        <v>3634</v>
      </c>
      <c r="G22769" s="9">
        <v>30779.1</v>
      </c>
      <c r="H22769" s="8">
        <v>13459</v>
      </c>
    </row>
    <row r="22770" spans="2:8" ht="15" customHeight="1" x14ac:dyDescent="0.4">
      <c r="B22770" t="s">
        <v>7</v>
      </c>
      <c r="C22770" t="s">
        <v>3635</v>
      </c>
      <c r="D22770" s="7">
        <f>DATE(2016,4,26)</f>
        <v>42486</v>
      </c>
      <c r="E22770" s="8">
        <f t="shared" si="379"/>
        <v>2016</v>
      </c>
      <c r="F22770" t="s">
        <v>3636</v>
      </c>
      <c r="G22770" s="9">
        <v>5087.74</v>
      </c>
      <c r="H22770" s="8">
        <v>22485</v>
      </c>
    </row>
    <row r="22771" spans="2:8" ht="15" customHeight="1" x14ac:dyDescent="0.4">
      <c r="B22771" t="s">
        <v>7</v>
      </c>
      <c r="C22771" t="s">
        <v>3635</v>
      </c>
      <c r="D22771" s="7">
        <f>DATE(2017,3,15)</f>
        <v>42809</v>
      </c>
      <c r="E22771" s="8">
        <f t="shared" si="379"/>
        <v>2017</v>
      </c>
      <c r="F22771" t="s">
        <v>3636</v>
      </c>
      <c r="G22771" s="9">
        <v>4320.6499999999996</v>
      </c>
      <c r="H22771" s="8">
        <v>24263</v>
      </c>
    </row>
    <row r="22772" spans="2:8" ht="15" customHeight="1" x14ac:dyDescent="0.4">
      <c r="B22772" t="s">
        <v>7</v>
      </c>
      <c r="C22772" t="s">
        <v>3635</v>
      </c>
      <c r="D22772" s="7">
        <f>DATE(2018,9,21)</f>
        <v>43364</v>
      </c>
      <c r="E22772" s="8">
        <f t="shared" si="379"/>
        <v>2018</v>
      </c>
      <c r="F22772" t="s">
        <v>3636</v>
      </c>
      <c r="G22772" s="9">
        <v>5078.08</v>
      </c>
      <c r="H22772" s="8">
        <v>27540</v>
      </c>
    </row>
    <row r="22773" spans="2:8" ht="15" customHeight="1" x14ac:dyDescent="0.4">
      <c r="B22773" t="s">
        <v>7</v>
      </c>
      <c r="C22773" t="s">
        <v>3635</v>
      </c>
      <c r="D22773" s="7">
        <f>DATE(2014,4,17)</f>
        <v>41746</v>
      </c>
      <c r="E22773" s="8">
        <f t="shared" si="379"/>
        <v>2014</v>
      </c>
      <c r="F22773" t="s">
        <v>3636</v>
      </c>
      <c r="G22773" s="9">
        <v>10503</v>
      </c>
      <c r="H22773" s="8">
        <v>13018</v>
      </c>
    </row>
    <row r="22774" spans="2:8" ht="15" customHeight="1" x14ac:dyDescent="0.4">
      <c r="B22774" t="s">
        <v>7</v>
      </c>
      <c r="C22774" t="s">
        <v>3637</v>
      </c>
      <c r="D22774" s="7">
        <f>DATE(2018,10,16)</f>
        <v>43389</v>
      </c>
      <c r="E22774" s="8">
        <f t="shared" si="379"/>
        <v>2018</v>
      </c>
      <c r="F22774" t="s">
        <v>3638</v>
      </c>
      <c r="G22774" s="9">
        <v>15631.17</v>
      </c>
      <c r="H22774" s="8">
        <v>27647</v>
      </c>
    </row>
    <row r="22775" spans="2:8" ht="15" customHeight="1" x14ac:dyDescent="0.4">
      <c r="B22775" t="s">
        <v>7</v>
      </c>
      <c r="C22775" t="s">
        <v>3639</v>
      </c>
      <c r="D22775" s="7">
        <f>DATE(2016,4,18)</f>
        <v>42478</v>
      </c>
      <c r="E22775" s="8">
        <f t="shared" si="379"/>
        <v>2016</v>
      </c>
      <c r="F22775" t="s">
        <v>3640</v>
      </c>
      <c r="G22775" s="9">
        <v>12586.24</v>
      </c>
      <c r="H22775" s="8">
        <v>22339</v>
      </c>
    </row>
    <row r="22776" spans="2:8" ht="15" customHeight="1" x14ac:dyDescent="0.4">
      <c r="B22776" t="s">
        <v>7</v>
      </c>
      <c r="C22776" t="s">
        <v>3631</v>
      </c>
      <c r="D22776" s="7">
        <f>DATE(2015,1,28)</f>
        <v>42032</v>
      </c>
      <c r="E22776" s="8">
        <f t="shared" si="379"/>
        <v>2015</v>
      </c>
      <c r="F22776" t="s">
        <v>3641</v>
      </c>
      <c r="G22776" s="9">
        <v>945.6</v>
      </c>
      <c r="H22776" s="8">
        <v>201</v>
      </c>
    </row>
    <row r="22777" spans="2:8" ht="15" customHeight="1" x14ac:dyDescent="0.4">
      <c r="B22777" t="s">
        <v>7</v>
      </c>
      <c r="C22777" t="s">
        <v>3631</v>
      </c>
      <c r="D22777" s="7">
        <f>DATE(2016,9,1)</f>
        <v>42614</v>
      </c>
      <c r="E22777" s="8">
        <f t="shared" si="379"/>
        <v>2016</v>
      </c>
      <c r="F22777" t="s">
        <v>3641</v>
      </c>
      <c r="G22777" s="9">
        <v>141.84</v>
      </c>
      <c r="H22777" s="8">
        <v>23324</v>
      </c>
    </row>
    <row r="22778" spans="2:8" ht="15" customHeight="1" x14ac:dyDescent="0.4">
      <c r="B22778" t="s">
        <v>7</v>
      </c>
      <c r="C22778" t="s">
        <v>3631</v>
      </c>
      <c r="D22778" s="7">
        <f>DATE(2017,3,10)</f>
        <v>42804</v>
      </c>
      <c r="E22778" s="8">
        <f t="shared" si="379"/>
        <v>2017</v>
      </c>
      <c r="F22778" t="s">
        <v>3641</v>
      </c>
      <c r="G22778" s="9">
        <v>118.2</v>
      </c>
      <c r="H22778" s="8">
        <v>24308</v>
      </c>
    </row>
    <row r="22779" spans="2:8" ht="15" customHeight="1" x14ac:dyDescent="0.4">
      <c r="B22779" t="s">
        <v>7</v>
      </c>
      <c r="C22779" t="s">
        <v>3631</v>
      </c>
      <c r="D22779" s="7">
        <f>DATE(2015,2,6)</f>
        <v>42041</v>
      </c>
      <c r="E22779" s="8">
        <f t="shared" si="379"/>
        <v>2015</v>
      </c>
      <c r="F22779" t="s">
        <v>3641</v>
      </c>
      <c r="G22779" s="9">
        <v>11429.17</v>
      </c>
      <c r="H22779" s="8">
        <v>64</v>
      </c>
    </row>
    <row r="22780" spans="2:8" ht="15" customHeight="1" x14ac:dyDescent="0.4">
      <c r="B22780" t="s">
        <v>7</v>
      </c>
      <c r="C22780" t="s">
        <v>3631</v>
      </c>
      <c r="D22780" s="7">
        <f>DATE(2017,7,12)</f>
        <v>42928</v>
      </c>
      <c r="E22780" s="8">
        <f t="shared" si="379"/>
        <v>2017</v>
      </c>
      <c r="F22780" t="s">
        <v>3641</v>
      </c>
      <c r="G22780" s="9">
        <v>11478.47</v>
      </c>
      <c r="H22780" s="8">
        <v>25178</v>
      </c>
    </row>
    <row r="22781" spans="2:8" ht="15" customHeight="1" x14ac:dyDescent="0.4">
      <c r="B22781" t="s">
        <v>7</v>
      </c>
      <c r="C22781" t="s">
        <v>3631</v>
      </c>
      <c r="D22781" s="7">
        <f>DATE(2017,8,10)</f>
        <v>42957</v>
      </c>
      <c r="E22781" s="8">
        <f t="shared" si="379"/>
        <v>2017</v>
      </c>
      <c r="F22781" t="s">
        <v>3641</v>
      </c>
      <c r="G22781" s="9">
        <v>9028.2800000000007</v>
      </c>
      <c r="H22781" s="8">
        <v>25339</v>
      </c>
    </row>
    <row r="22782" spans="2:8" ht="15" customHeight="1" x14ac:dyDescent="0.4">
      <c r="B22782" t="s">
        <v>7</v>
      </c>
      <c r="C22782" t="s">
        <v>3631</v>
      </c>
      <c r="D22782" s="7">
        <f>DATE(2018,2,12)</f>
        <v>43143</v>
      </c>
      <c r="E22782" s="8">
        <f t="shared" si="379"/>
        <v>2018</v>
      </c>
      <c r="F22782" t="s">
        <v>3641</v>
      </c>
      <c r="G22782" s="9">
        <v>12389.59</v>
      </c>
      <c r="H22782" s="8">
        <v>26173</v>
      </c>
    </row>
    <row r="22783" spans="2:8" ht="15" customHeight="1" x14ac:dyDescent="0.4">
      <c r="B22783" t="s">
        <v>7</v>
      </c>
      <c r="C22783" t="s">
        <v>3631</v>
      </c>
      <c r="D22783" s="7">
        <f>DATE(2018,11,27)</f>
        <v>43431</v>
      </c>
      <c r="E22783" s="8">
        <f t="shared" si="379"/>
        <v>2018</v>
      </c>
      <c r="F22783" t="s">
        <v>3641</v>
      </c>
      <c r="G22783" s="9">
        <v>6725.03</v>
      </c>
      <c r="H22783" s="8">
        <v>28039</v>
      </c>
    </row>
    <row r="22784" spans="2:8" ht="15" customHeight="1" x14ac:dyDescent="0.4">
      <c r="B22784" t="s">
        <v>7</v>
      </c>
      <c r="C22784" t="s">
        <v>3631</v>
      </c>
      <c r="D22784" s="7">
        <f>DATE(2010,11,30)</f>
        <v>40512</v>
      </c>
      <c r="E22784" s="8">
        <f t="shared" si="379"/>
        <v>2010</v>
      </c>
      <c r="F22784" t="s">
        <v>3641</v>
      </c>
      <c r="G22784" s="9">
        <v>67907.62</v>
      </c>
      <c r="H22784" s="8">
        <v>10220</v>
      </c>
    </row>
    <row r="22785" spans="2:8" ht="15" customHeight="1" x14ac:dyDescent="0.4">
      <c r="B22785" t="s">
        <v>7</v>
      </c>
      <c r="C22785" t="s">
        <v>3631</v>
      </c>
      <c r="D22785" s="7">
        <f>DATE(2011,3,7)</f>
        <v>40609</v>
      </c>
      <c r="E22785" s="8">
        <f t="shared" si="379"/>
        <v>2011</v>
      </c>
      <c r="F22785" t="s">
        <v>3641</v>
      </c>
      <c r="G22785" s="9">
        <v>60832</v>
      </c>
      <c r="H22785" s="8">
        <v>10427</v>
      </c>
    </row>
    <row r="22786" spans="2:8" ht="15" customHeight="1" x14ac:dyDescent="0.4">
      <c r="B22786" t="s">
        <v>7</v>
      </c>
      <c r="C22786" t="s">
        <v>3631</v>
      </c>
      <c r="D22786" s="7">
        <f>DATE(2011,3,7)</f>
        <v>40609</v>
      </c>
      <c r="E22786" s="8">
        <f t="shared" si="379"/>
        <v>2011</v>
      </c>
      <c r="F22786" t="s">
        <v>3641</v>
      </c>
      <c r="G22786" s="9">
        <v>12013.92</v>
      </c>
      <c r="H22786" s="8">
        <v>10432</v>
      </c>
    </row>
    <row r="22787" spans="2:8" ht="15" customHeight="1" x14ac:dyDescent="0.4">
      <c r="B22787" t="s">
        <v>7</v>
      </c>
      <c r="C22787" t="s">
        <v>3631</v>
      </c>
      <c r="D22787" s="7">
        <f>DATE(2011,6,16)</f>
        <v>40710</v>
      </c>
      <c r="E22787" s="8">
        <f t="shared" ref="E22787:E22850" si="380">YEAR(D22787)</f>
        <v>2011</v>
      </c>
      <c r="F22787" t="s">
        <v>3641</v>
      </c>
      <c r="G22787" s="9">
        <v>9238.2099999999991</v>
      </c>
      <c r="H22787" s="8">
        <v>10803</v>
      </c>
    </row>
    <row r="22788" spans="2:8" ht="15" customHeight="1" x14ac:dyDescent="0.4">
      <c r="B22788" s="3" t="s">
        <v>7</v>
      </c>
      <c r="C22788" s="3" t="s">
        <v>3631</v>
      </c>
      <c r="D22788" s="4">
        <f>DATE(2009,1,7)</f>
        <v>39820</v>
      </c>
      <c r="E22788" s="5">
        <f t="shared" si="380"/>
        <v>2009</v>
      </c>
      <c r="F22788" s="3" t="s">
        <v>3641</v>
      </c>
      <c r="G22788" s="6">
        <v>1395</v>
      </c>
      <c r="H22788" s="5">
        <v>11750</v>
      </c>
    </row>
    <row r="22789" spans="2:8" ht="15" customHeight="1" x14ac:dyDescent="0.4">
      <c r="B22789" s="3" t="s">
        <v>7</v>
      </c>
      <c r="C22789" s="3" t="s">
        <v>3631</v>
      </c>
      <c r="D22789" s="4">
        <f>DATE(2009,1,15)</f>
        <v>39828</v>
      </c>
      <c r="E22789" s="5">
        <f t="shared" si="380"/>
        <v>2009</v>
      </c>
      <c r="F22789" s="3" t="s">
        <v>3641</v>
      </c>
      <c r="G22789" s="6">
        <v>975</v>
      </c>
      <c r="H22789" s="5">
        <v>11833</v>
      </c>
    </row>
    <row r="22790" spans="2:8" ht="15" customHeight="1" x14ac:dyDescent="0.4">
      <c r="B22790" s="3" t="s">
        <v>7</v>
      </c>
      <c r="C22790" s="3" t="s">
        <v>3631</v>
      </c>
      <c r="D22790" s="4">
        <f>DATE(2009,5,1)</f>
        <v>39934</v>
      </c>
      <c r="E22790" s="5">
        <f t="shared" si="380"/>
        <v>2009</v>
      </c>
      <c r="F22790" s="3" t="s">
        <v>3641</v>
      </c>
      <c r="G22790" s="6">
        <v>661.92</v>
      </c>
      <c r="H22790" s="5">
        <v>12449</v>
      </c>
    </row>
    <row r="22791" spans="2:8" ht="15" customHeight="1" x14ac:dyDescent="0.4">
      <c r="B22791" s="3" t="s">
        <v>7</v>
      </c>
      <c r="C22791" s="3" t="s">
        <v>3631</v>
      </c>
      <c r="D22791" s="4">
        <f>DATE(2009,9,29)</f>
        <v>40085</v>
      </c>
      <c r="E22791" s="5">
        <f t="shared" si="380"/>
        <v>2009</v>
      </c>
      <c r="F22791" s="3" t="s">
        <v>3641</v>
      </c>
      <c r="G22791" s="6">
        <v>788</v>
      </c>
      <c r="H22791" s="5">
        <v>13064</v>
      </c>
    </row>
    <row r="22792" spans="2:8" ht="15" customHeight="1" x14ac:dyDescent="0.4">
      <c r="B22792" s="3" t="s">
        <v>7</v>
      </c>
      <c r="C22792" s="3" t="s">
        <v>3631</v>
      </c>
      <c r="D22792" s="4">
        <f>DATE(2009,10,5)</f>
        <v>40091</v>
      </c>
      <c r="E22792" s="5">
        <f t="shared" si="380"/>
        <v>2009</v>
      </c>
      <c r="F22792" s="3" t="s">
        <v>3641</v>
      </c>
      <c r="G22792" s="6">
        <v>788</v>
      </c>
      <c r="H22792" s="5">
        <v>13075</v>
      </c>
    </row>
    <row r="22793" spans="2:8" ht="15" customHeight="1" x14ac:dyDescent="0.4">
      <c r="B22793" s="3" t="s">
        <v>7</v>
      </c>
      <c r="C22793" s="3" t="s">
        <v>3631</v>
      </c>
      <c r="D22793" s="4">
        <f>DATE(2010,6,4)</f>
        <v>40333</v>
      </c>
      <c r="E22793" s="5">
        <f t="shared" si="380"/>
        <v>2010</v>
      </c>
      <c r="F22793" s="3" t="s">
        <v>3641</v>
      </c>
      <c r="G22793" s="6">
        <v>141.84</v>
      </c>
      <c r="H22793" s="5">
        <v>14094</v>
      </c>
    </row>
    <row r="22794" spans="2:8" ht="15" customHeight="1" x14ac:dyDescent="0.4">
      <c r="B22794" s="3" t="s">
        <v>7</v>
      </c>
      <c r="C22794" s="3" t="s">
        <v>3631</v>
      </c>
      <c r="D22794" s="4">
        <f>DATE(2010,7,23)</f>
        <v>40382</v>
      </c>
      <c r="E22794" s="5">
        <f t="shared" si="380"/>
        <v>2010</v>
      </c>
      <c r="F22794" s="3" t="s">
        <v>3641</v>
      </c>
      <c r="G22794" s="6">
        <v>184.36</v>
      </c>
      <c r="H22794" s="5">
        <v>14306</v>
      </c>
    </row>
    <row r="22795" spans="2:8" ht="15" customHeight="1" x14ac:dyDescent="0.4">
      <c r="B22795" s="3" t="s">
        <v>7</v>
      </c>
      <c r="C22795" s="3" t="s">
        <v>3631</v>
      </c>
      <c r="D22795" s="4">
        <f>DATE(2011,3,10)</f>
        <v>40612</v>
      </c>
      <c r="E22795" s="5">
        <f t="shared" si="380"/>
        <v>2011</v>
      </c>
      <c r="F22795" s="3" t="s">
        <v>3641</v>
      </c>
      <c r="G22795" s="6">
        <v>1970</v>
      </c>
      <c r="H22795" s="5">
        <v>15214</v>
      </c>
    </row>
    <row r="22796" spans="2:8" ht="15" customHeight="1" x14ac:dyDescent="0.4">
      <c r="B22796" s="3" t="s">
        <v>7</v>
      </c>
      <c r="C22796" s="3" t="s">
        <v>3631</v>
      </c>
      <c r="D22796" s="4">
        <f>DATE(2011,8,24)</f>
        <v>40779</v>
      </c>
      <c r="E22796" s="5">
        <f t="shared" si="380"/>
        <v>2011</v>
      </c>
      <c r="F22796" s="3" t="s">
        <v>3641</v>
      </c>
      <c r="G22796" s="6">
        <v>307.32</v>
      </c>
      <c r="H22796" s="5">
        <v>15900</v>
      </c>
    </row>
    <row r="22797" spans="2:8" ht="15" customHeight="1" x14ac:dyDescent="0.4">
      <c r="B22797" s="3" t="s">
        <v>7</v>
      </c>
      <c r="C22797" s="3" t="s">
        <v>3631</v>
      </c>
      <c r="D22797" s="4">
        <f>DATE(2012,3,19)</f>
        <v>40987</v>
      </c>
      <c r="E22797" s="5">
        <f t="shared" si="380"/>
        <v>2012</v>
      </c>
      <c r="F22797" s="3" t="s">
        <v>3641</v>
      </c>
      <c r="G22797" s="6">
        <v>141.84</v>
      </c>
      <c r="H22797" s="5">
        <v>16760</v>
      </c>
    </row>
    <row r="22798" spans="2:8" ht="15" customHeight="1" x14ac:dyDescent="0.4">
      <c r="B22798" s="3" t="s">
        <v>7</v>
      </c>
      <c r="C22798" s="3" t="s">
        <v>3631</v>
      </c>
      <c r="D22798" s="4">
        <f>DATE(2012,7,26)</f>
        <v>41116</v>
      </c>
      <c r="E22798" s="5">
        <f t="shared" si="380"/>
        <v>2012</v>
      </c>
      <c r="F22798" s="3" t="s">
        <v>3641</v>
      </c>
      <c r="G22798" s="6">
        <v>118.2</v>
      </c>
      <c r="H22798" s="5">
        <v>17392</v>
      </c>
    </row>
    <row r="22799" spans="2:8" ht="15" customHeight="1" x14ac:dyDescent="0.4">
      <c r="B22799" s="3" t="s">
        <v>7</v>
      </c>
      <c r="C22799" s="3" t="s">
        <v>3631</v>
      </c>
      <c r="D22799" s="4">
        <f>DATE(2013,11,5)</f>
        <v>41583</v>
      </c>
      <c r="E22799" s="5">
        <f t="shared" si="380"/>
        <v>2013</v>
      </c>
      <c r="F22799" s="3" t="s">
        <v>3641</v>
      </c>
      <c r="G22799" s="6">
        <v>1260.8</v>
      </c>
      <c r="H22799" s="5">
        <v>19153</v>
      </c>
    </row>
    <row r="22800" spans="2:8" ht="15" customHeight="1" x14ac:dyDescent="0.4">
      <c r="B22800" s="3" t="s">
        <v>7</v>
      </c>
      <c r="C22800" s="3" t="s">
        <v>3631</v>
      </c>
      <c r="D22800" s="4">
        <f>DATE(2014,10,15)</f>
        <v>41927</v>
      </c>
      <c r="E22800" s="5">
        <f t="shared" si="380"/>
        <v>2014</v>
      </c>
      <c r="F22800" s="3" t="s">
        <v>3641</v>
      </c>
      <c r="G22800" s="6">
        <v>157.6</v>
      </c>
      <c r="H22800" s="5">
        <v>20518</v>
      </c>
    </row>
    <row r="22801" spans="2:8" ht="15" customHeight="1" x14ac:dyDescent="0.4">
      <c r="B22801" s="3" t="s">
        <v>7</v>
      </c>
      <c r="C22801" s="3" t="s">
        <v>3631</v>
      </c>
      <c r="D22801" s="4">
        <f>DATE(2014,12,9)</f>
        <v>41982</v>
      </c>
      <c r="E22801" s="5">
        <f t="shared" si="380"/>
        <v>2014</v>
      </c>
      <c r="F22801" s="3" t="s">
        <v>3641</v>
      </c>
      <c r="G22801" s="6">
        <v>945.6</v>
      </c>
      <c r="H22801" s="5">
        <v>20705</v>
      </c>
    </row>
    <row r="22802" spans="2:8" ht="15" customHeight="1" x14ac:dyDescent="0.4">
      <c r="B22802" t="s">
        <v>7</v>
      </c>
      <c r="C22802" t="s">
        <v>3631</v>
      </c>
      <c r="D22802" s="7">
        <f>DATE(2003,7,17)</f>
        <v>37819</v>
      </c>
      <c r="E22802" s="8">
        <f t="shared" si="380"/>
        <v>2003</v>
      </c>
      <c r="F22802" t="s">
        <v>3642</v>
      </c>
      <c r="G22802" s="9">
        <v>2500</v>
      </c>
      <c r="H22802" s="8">
        <v>745</v>
      </c>
    </row>
    <row r="22803" spans="2:8" ht="15" customHeight="1" x14ac:dyDescent="0.4">
      <c r="B22803" t="s">
        <v>7</v>
      </c>
      <c r="C22803" t="s">
        <v>3631</v>
      </c>
      <c r="D22803" s="7">
        <f>DATE(2006,4,4)</f>
        <v>38811</v>
      </c>
      <c r="E22803" s="8">
        <f t="shared" si="380"/>
        <v>2006</v>
      </c>
      <c r="F22803" t="s">
        <v>3642</v>
      </c>
      <c r="G22803" s="9">
        <v>4284.08</v>
      </c>
      <c r="H22803" s="8">
        <v>4428</v>
      </c>
    </row>
    <row r="22804" spans="2:8" ht="15" customHeight="1" x14ac:dyDescent="0.4">
      <c r="B22804" t="s">
        <v>7</v>
      </c>
      <c r="C22804" t="s">
        <v>3631</v>
      </c>
      <c r="D22804" s="7">
        <f>DATE(2006,6,28)</f>
        <v>38896</v>
      </c>
      <c r="E22804" s="8">
        <f t="shared" si="380"/>
        <v>2006</v>
      </c>
      <c r="F22804" t="s">
        <v>3642</v>
      </c>
      <c r="G22804" s="9">
        <v>3952.53</v>
      </c>
      <c r="H22804" s="8">
        <v>4736</v>
      </c>
    </row>
    <row r="22805" spans="2:8" ht="15" customHeight="1" x14ac:dyDescent="0.4">
      <c r="B22805" s="3" t="s">
        <v>7</v>
      </c>
      <c r="C22805" s="3" t="s">
        <v>3631</v>
      </c>
      <c r="D22805" s="4">
        <f>DATE(2003,8,28)</f>
        <v>37861</v>
      </c>
      <c r="E22805" s="5">
        <f t="shared" si="380"/>
        <v>2003</v>
      </c>
      <c r="F22805" s="3" t="s">
        <v>3642</v>
      </c>
      <c r="G22805" s="6">
        <v>5737.5</v>
      </c>
      <c r="H22805" s="5">
        <v>1286</v>
      </c>
    </row>
    <row r="22806" spans="2:8" ht="15" customHeight="1" x14ac:dyDescent="0.4">
      <c r="B22806" s="3" t="s">
        <v>7</v>
      </c>
      <c r="C22806" s="3" t="s">
        <v>3631</v>
      </c>
      <c r="D22806" s="4">
        <f>DATE(2003,10,9)</f>
        <v>37903</v>
      </c>
      <c r="E22806" s="5">
        <f t="shared" si="380"/>
        <v>2003</v>
      </c>
      <c r="F22806" s="3" t="s">
        <v>3642</v>
      </c>
      <c r="G22806" s="6">
        <v>1550</v>
      </c>
      <c r="H22806" s="5">
        <v>1629</v>
      </c>
    </row>
    <row r="22807" spans="2:8" ht="15" customHeight="1" x14ac:dyDescent="0.4">
      <c r="B22807" s="3" t="s">
        <v>7</v>
      </c>
      <c r="C22807" s="3" t="s">
        <v>3631</v>
      </c>
      <c r="D22807" s="4">
        <f>DATE(2003,10,9)</f>
        <v>37903</v>
      </c>
      <c r="E22807" s="5">
        <f t="shared" si="380"/>
        <v>2003</v>
      </c>
      <c r="F22807" s="3" t="s">
        <v>3642</v>
      </c>
      <c r="G22807" s="6">
        <v>1843.76</v>
      </c>
      <c r="H22807" s="5">
        <v>1603</v>
      </c>
    </row>
    <row r="22808" spans="2:8" ht="15" customHeight="1" x14ac:dyDescent="0.4">
      <c r="B22808" s="3" t="s">
        <v>7</v>
      </c>
      <c r="C22808" s="3" t="s">
        <v>3631</v>
      </c>
      <c r="D22808" s="4">
        <f>DATE(2003,10,10)</f>
        <v>37904</v>
      </c>
      <c r="E22808" s="5">
        <f t="shared" si="380"/>
        <v>2003</v>
      </c>
      <c r="F22808" s="3" t="s">
        <v>3642</v>
      </c>
      <c r="G22808" s="6">
        <v>57.75</v>
      </c>
      <c r="H22808" s="5">
        <v>1642</v>
      </c>
    </row>
    <row r="22809" spans="2:8" ht="15" customHeight="1" x14ac:dyDescent="0.4">
      <c r="B22809" s="3" t="s">
        <v>7</v>
      </c>
      <c r="C22809" s="3" t="s">
        <v>3631</v>
      </c>
      <c r="D22809" s="4">
        <f>DATE(2004,6,21)</f>
        <v>38159</v>
      </c>
      <c r="E22809" s="5">
        <f t="shared" si="380"/>
        <v>2004</v>
      </c>
      <c r="F22809" s="3" t="s">
        <v>3642</v>
      </c>
      <c r="G22809" s="6">
        <v>166</v>
      </c>
      <c r="H22809" s="5">
        <v>3026</v>
      </c>
    </row>
    <row r="22810" spans="2:8" ht="15" customHeight="1" x14ac:dyDescent="0.4">
      <c r="B22810" s="3" t="s">
        <v>7</v>
      </c>
      <c r="C22810" s="3" t="s">
        <v>3631</v>
      </c>
      <c r="D22810" s="4">
        <f>DATE(2004,10,7)</f>
        <v>38267</v>
      </c>
      <c r="E22810" s="5">
        <f t="shared" si="380"/>
        <v>2004</v>
      </c>
      <c r="F22810" s="3" t="s">
        <v>3642</v>
      </c>
      <c r="G22810" s="6">
        <v>750</v>
      </c>
      <c r="H22810" s="5">
        <v>3543</v>
      </c>
    </row>
    <row r="22811" spans="2:8" ht="15" customHeight="1" x14ac:dyDescent="0.4">
      <c r="B22811" s="3" t="s">
        <v>7</v>
      </c>
      <c r="C22811" s="3" t="s">
        <v>3631</v>
      </c>
      <c r="D22811" s="4">
        <f>DATE(2005,2,18)</f>
        <v>38401</v>
      </c>
      <c r="E22811" s="5">
        <f t="shared" si="380"/>
        <v>2005</v>
      </c>
      <c r="F22811" s="3" t="s">
        <v>3642</v>
      </c>
      <c r="G22811" s="6">
        <v>382.88</v>
      </c>
      <c r="H22811" s="5">
        <v>4170</v>
      </c>
    </row>
    <row r="22812" spans="2:8" ht="15" customHeight="1" x14ac:dyDescent="0.4">
      <c r="B22812" t="s">
        <v>7</v>
      </c>
      <c r="C22812" t="s">
        <v>3643</v>
      </c>
      <c r="D22812" s="7">
        <f>DATE(2015,6,2)</f>
        <v>42157</v>
      </c>
      <c r="E22812" s="8">
        <f t="shared" si="380"/>
        <v>2015</v>
      </c>
      <c r="F22812" t="s">
        <v>3644</v>
      </c>
      <c r="G22812" s="9">
        <v>10964.72</v>
      </c>
      <c r="H22812" s="8">
        <v>20277</v>
      </c>
    </row>
    <row r="22813" spans="2:8" ht="15" customHeight="1" x14ac:dyDescent="0.4">
      <c r="B22813" t="s">
        <v>7</v>
      </c>
      <c r="C22813" t="s">
        <v>3643</v>
      </c>
      <c r="D22813" s="7">
        <f>DATE(2017,5,11)</f>
        <v>42866</v>
      </c>
      <c r="E22813" s="8">
        <f t="shared" si="380"/>
        <v>2017</v>
      </c>
      <c r="F22813" t="s">
        <v>3644</v>
      </c>
      <c r="G22813" s="9">
        <v>15663.93</v>
      </c>
      <c r="H22813" s="8">
        <v>24381</v>
      </c>
    </row>
    <row r="22814" spans="2:8" ht="15" customHeight="1" x14ac:dyDescent="0.4">
      <c r="B22814" t="s">
        <v>7</v>
      </c>
      <c r="C22814" t="s">
        <v>3643</v>
      </c>
      <c r="D22814" s="7">
        <f>DATE(2017,10,19)</f>
        <v>43027</v>
      </c>
      <c r="E22814" s="8">
        <f t="shared" si="380"/>
        <v>2017</v>
      </c>
      <c r="F22814" t="s">
        <v>3644</v>
      </c>
      <c r="G22814" s="9">
        <v>727.81</v>
      </c>
      <c r="H22814" s="8">
        <v>25755</v>
      </c>
    </row>
    <row r="22815" spans="2:8" ht="15" customHeight="1" x14ac:dyDescent="0.4">
      <c r="B22815" t="s">
        <v>7</v>
      </c>
      <c r="C22815" t="s">
        <v>3643</v>
      </c>
      <c r="D22815" s="7">
        <f>DATE(2017,10,26)</f>
        <v>43034</v>
      </c>
      <c r="E22815" s="8">
        <f t="shared" si="380"/>
        <v>2017</v>
      </c>
      <c r="F22815" t="s">
        <v>3644</v>
      </c>
      <c r="G22815" s="9">
        <v>1297.5</v>
      </c>
      <c r="H22815" s="8">
        <v>25803</v>
      </c>
    </row>
    <row r="22816" spans="2:8" ht="15" customHeight="1" x14ac:dyDescent="0.4">
      <c r="B22816" t="s">
        <v>7</v>
      </c>
      <c r="C22816" t="s">
        <v>3645</v>
      </c>
      <c r="D22816" s="7">
        <f>DATE(2012,10,17)</f>
        <v>41199</v>
      </c>
      <c r="E22816" s="8">
        <f t="shared" si="380"/>
        <v>2012</v>
      </c>
      <c r="F22816" t="s">
        <v>3646</v>
      </c>
      <c r="G22816" s="9">
        <v>3630.88</v>
      </c>
      <c r="H22816" s="8">
        <v>11912</v>
      </c>
    </row>
    <row r="22817" spans="2:8" ht="15" customHeight="1" x14ac:dyDescent="0.4">
      <c r="B22817" t="s">
        <v>7</v>
      </c>
      <c r="C22817" t="s">
        <v>3645</v>
      </c>
      <c r="D22817" s="7">
        <f>DATE(2012,10,19)</f>
        <v>41201</v>
      </c>
      <c r="E22817" s="8">
        <f t="shared" si="380"/>
        <v>2012</v>
      </c>
      <c r="F22817" t="s">
        <v>3646</v>
      </c>
      <c r="G22817" s="9">
        <v>5419</v>
      </c>
      <c r="H22817" s="8">
        <v>11912</v>
      </c>
    </row>
    <row r="22818" spans="2:8" ht="15" customHeight="1" x14ac:dyDescent="0.4">
      <c r="B22818" t="s">
        <v>7</v>
      </c>
      <c r="C22818" t="s">
        <v>3645</v>
      </c>
      <c r="D22818" s="7">
        <f>DATE(2012,12,18)</f>
        <v>41261</v>
      </c>
      <c r="E22818" s="8">
        <f t="shared" si="380"/>
        <v>2012</v>
      </c>
      <c r="F22818" t="s">
        <v>3646</v>
      </c>
      <c r="G22818" s="9">
        <v>13317.21</v>
      </c>
      <c r="H22818" s="8">
        <v>11914</v>
      </c>
    </row>
    <row r="22819" spans="2:8" ht="15" customHeight="1" x14ac:dyDescent="0.4">
      <c r="B22819" t="s">
        <v>7</v>
      </c>
      <c r="C22819" t="s">
        <v>3645</v>
      </c>
      <c r="D22819" s="7">
        <f>DATE(2012,10,17)</f>
        <v>41199</v>
      </c>
      <c r="E22819" s="8">
        <f t="shared" si="380"/>
        <v>2012</v>
      </c>
      <c r="F22819" t="s">
        <v>3646</v>
      </c>
      <c r="G22819" s="9">
        <v>12599.36</v>
      </c>
      <c r="H22819" s="8">
        <v>11853</v>
      </c>
    </row>
    <row r="22820" spans="2:8" ht="15" customHeight="1" x14ac:dyDescent="0.4">
      <c r="B22820" t="s">
        <v>7</v>
      </c>
      <c r="C22820" t="s">
        <v>3645</v>
      </c>
      <c r="D22820" s="7">
        <f>DATE(2013,7,2)</f>
        <v>41457</v>
      </c>
      <c r="E22820" s="8">
        <f t="shared" si="380"/>
        <v>2013</v>
      </c>
      <c r="F22820" t="s">
        <v>3646</v>
      </c>
      <c r="G22820" s="9">
        <v>3508.14</v>
      </c>
      <c r="H22820" s="8">
        <v>12540</v>
      </c>
    </row>
    <row r="22821" spans="2:8" ht="15" customHeight="1" x14ac:dyDescent="0.4">
      <c r="B22821" t="s">
        <v>7</v>
      </c>
      <c r="C22821" t="s">
        <v>3645</v>
      </c>
      <c r="D22821" s="7">
        <f>DATE(2013,12,6)</f>
        <v>41614</v>
      </c>
      <c r="E22821" s="8">
        <f t="shared" si="380"/>
        <v>2013</v>
      </c>
      <c r="F22821" t="s">
        <v>3646</v>
      </c>
      <c r="G22821" s="9">
        <v>5117.5</v>
      </c>
      <c r="H22821" s="8">
        <v>12808</v>
      </c>
    </row>
    <row r="22822" spans="2:8" ht="15" customHeight="1" x14ac:dyDescent="0.4">
      <c r="B22822" t="s">
        <v>16</v>
      </c>
      <c r="C22822" t="s">
        <v>3645</v>
      </c>
      <c r="D22822" s="7">
        <f>DATE(2014,1,3)</f>
        <v>41642</v>
      </c>
      <c r="E22822" s="8">
        <f t="shared" si="380"/>
        <v>2014</v>
      </c>
      <c r="F22822" t="s">
        <v>3646</v>
      </c>
      <c r="G22822" s="9">
        <v>800</v>
      </c>
      <c r="H22822" s="8">
        <v>12862</v>
      </c>
    </row>
    <row r="22823" spans="2:8" ht="15" customHeight="1" x14ac:dyDescent="0.4">
      <c r="B22823" s="3" t="s">
        <v>7</v>
      </c>
      <c r="C22823" s="3" t="s">
        <v>3645</v>
      </c>
      <c r="D22823" s="4">
        <f>DATE(2012,10,22)</f>
        <v>41204</v>
      </c>
      <c r="E22823" s="5">
        <f t="shared" si="380"/>
        <v>2012</v>
      </c>
      <c r="F22823" s="3" t="s">
        <v>3646</v>
      </c>
      <c r="G22823" s="6">
        <v>132.91999999999999</v>
      </c>
      <c r="H22823" s="5">
        <v>17742</v>
      </c>
    </row>
    <row r="22824" spans="2:8" ht="15" customHeight="1" x14ac:dyDescent="0.4">
      <c r="B22824" t="s">
        <v>7</v>
      </c>
      <c r="C22824" t="s">
        <v>3647</v>
      </c>
      <c r="D22824" s="7">
        <f>DATE(2015,6,30)</f>
        <v>42185</v>
      </c>
      <c r="E22824" s="8">
        <f t="shared" si="380"/>
        <v>2015</v>
      </c>
      <c r="F22824" t="s">
        <v>3648</v>
      </c>
      <c r="G22824" s="9">
        <v>10259.1</v>
      </c>
      <c r="H22824" s="8">
        <v>20273</v>
      </c>
    </row>
    <row r="22825" spans="2:8" ht="15" customHeight="1" x14ac:dyDescent="0.4">
      <c r="B22825" t="s">
        <v>7</v>
      </c>
      <c r="C22825" t="s">
        <v>3647</v>
      </c>
      <c r="D22825" s="7">
        <f>DATE(2015,5,7)</f>
        <v>42131</v>
      </c>
      <c r="E22825" s="8">
        <f t="shared" si="380"/>
        <v>2015</v>
      </c>
      <c r="F22825" t="s">
        <v>3648</v>
      </c>
      <c r="G22825" s="9">
        <v>5903</v>
      </c>
      <c r="H22825" s="8">
        <v>20274</v>
      </c>
    </row>
    <row r="22826" spans="2:8" ht="15" customHeight="1" x14ac:dyDescent="0.4">
      <c r="B22826" t="s">
        <v>7</v>
      </c>
      <c r="C22826" t="s">
        <v>3649</v>
      </c>
      <c r="D22826" s="7">
        <f>DATE(2015,6,30)</f>
        <v>42185</v>
      </c>
      <c r="E22826" s="8">
        <f t="shared" si="380"/>
        <v>2015</v>
      </c>
      <c r="F22826" t="s">
        <v>3650</v>
      </c>
      <c r="G22826" s="9">
        <v>7852</v>
      </c>
      <c r="H22826" s="8">
        <v>20293</v>
      </c>
    </row>
    <row r="22827" spans="2:8" ht="15" customHeight="1" x14ac:dyDescent="0.4">
      <c r="B22827" t="s">
        <v>7</v>
      </c>
      <c r="C22827" t="s">
        <v>3649</v>
      </c>
      <c r="D22827" s="7">
        <f>DATE(2016,5,11)</f>
        <v>42501</v>
      </c>
      <c r="E22827" s="8">
        <f t="shared" si="380"/>
        <v>2016</v>
      </c>
      <c r="F22827" t="s">
        <v>3650</v>
      </c>
      <c r="G22827" s="9">
        <v>15466.35</v>
      </c>
      <c r="H22827" s="8">
        <v>22782</v>
      </c>
    </row>
    <row r="22828" spans="2:8" ht="15" customHeight="1" x14ac:dyDescent="0.4">
      <c r="B22828" t="s">
        <v>7</v>
      </c>
      <c r="C22828" t="s">
        <v>3649</v>
      </c>
      <c r="D22828" s="7">
        <f>DATE(2017,5,5)</f>
        <v>42860</v>
      </c>
      <c r="E22828" s="8">
        <f t="shared" si="380"/>
        <v>2017</v>
      </c>
      <c r="F22828" t="s">
        <v>3650</v>
      </c>
      <c r="G22828" s="9">
        <v>12255.2</v>
      </c>
      <c r="H22828" s="8">
        <v>24254</v>
      </c>
    </row>
    <row r="22829" spans="2:8" ht="15" customHeight="1" x14ac:dyDescent="0.4">
      <c r="B22829" t="s">
        <v>7</v>
      </c>
      <c r="C22829" t="s">
        <v>3649</v>
      </c>
      <c r="D22829" s="7">
        <f>DATE(2018,4,12)</f>
        <v>43202</v>
      </c>
      <c r="E22829" s="8">
        <f t="shared" si="380"/>
        <v>2018</v>
      </c>
      <c r="F22829" t="s">
        <v>3650</v>
      </c>
      <c r="G22829" s="9">
        <v>17905.3</v>
      </c>
      <c r="H22829" s="8">
        <v>26773</v>
      </c>
    </row>
    <row r="22830" spans="2:8" ht="15" customHeight="1" x14ac:dyDescent="0.4">
      <c r="B22830" t="s">
        <v>7</v>
      </c>
      <c r="C22830" t="s">
        <v>3649</v>
      </c>
      <c r="D22830" s="7">
        <f>DATE(2019,5,10)</f>
        <v>43595</v>
      </c>
      <c r="E22830" s="8">
        <f t="shared" si="380"/>
        <v>2019</v>
      </c>
      <c r="F22830" t="s">
        <v>3650</v>
      </c>
      <c r="G22830" s="9">
        <v>11772.58</v>
      </c>
      <c r="H22830" s="8">
        <v>28348</v>
      </c>
    </row>
    <row r="22831" spans="2:8" ht="15" customHeight="1" x14ac:dyDescent="0.4">
      <c r="B22831" t="s">
        <v>7</v>
      </c>
      <c r="C22831" t="s">
        <v>3649</v>
      </c>
      <c r="D22831" s="7">
        <f>DATE(2019,5,10)</f>
        <v>43595</v>
      </c>
      <c r="E22831" s="8">
        <f t="shared" si="380"/>
        <v>2019</v>
      </c>
      <c r="F22831" t="s">
        <v>3650</v>
      </c>
      <c r="G22831" s="9">
        <v>3336</v>
      </c>
      <c r="H22831" s="8">
        <v>29007</v>
      </c>
    </row>
    <row r="22832" spans="2:8" ht="15" customHeight="1" x14ac:dyDescent="0.4">
      <c r="B22832" t="s">
        <v>7</v>
      </c>
      <c r="C22832" t="s">
        <v>3649</v>
      </c>
      <c r="D22832" s="7">
        <f>DATE(2019,5,10)</f>
        <v>43595</v>
      </c>
      <c r="E22832" s="8">
        <f t="shared" si="380"/>
        <v>2019</v>
      </c>
      <c r="F22832" t="s">
        <v>3650</v>
      </c>
      <c r="G22832" s="9">
        <v>3094</v>
      </c>
      <c r="H22832" s="8">
        <v>29008</v>
      </c>
    </row>
    <row r="22833" spans="2:8" ht="15" customHeight="1" x14ac:dyDescent="0.4">
      <c r="B22833" t="s">
        <v>7</v>
      </c>
      <c r="C22833" t="s">
        <v>3649</v>
      </c>
      <c r="D22833" s="7">
        <f>DATE(2015,6,30)</f>
        <v>42185</v>
      </c>
      <c r="E22833" s="8">
        <f t="shared" si="380"/>
        <v>2015</v>
      </c>
      <c r="F22833" t="s">
        <v>3650</v>
      </c>
      <c r="G22833" s="9">
        <v>8603</v>
      </c>
      <c r="H22833" s="8">
        <v>20294</v>
      </c>
    </row>
    <row r="22834" spans="2:8" ht="15" customHeight="1" x14ac:dyDescent="0.4">
      <c r="B22834" t="s">
        <v>7</v>
      </c>
      <c r="C22834" t="s">
        <v>3649</v>
      </c>
      <c r="D22834" s="7">
        <f>DATE(2016,5,11)</f>
        <v>42501</v>
      </c>
      <c r="E22834" s="8">
        <f t="shared" si="380"/>
        <v>2016</v>
      </c>
      <c r="F22834" t="s">
        <v>3650</v>
      </c>
      <c r="G22834" s="9">
        <v>34500</v>
      </c>
      <c r="H22834" s="8">
        <v>22787</v>
      </c>
    </row>
    <row r="22835" spans="2:8" ht="15" customHeight="1" x14ac:dyDescent="0.4">
      <c r="B22835" t="s">
        <v>7</v>
      </c>
      <c r="C22835" t="s">
        <v>3649</v>
      </c>
      <c r="D22835" s="7">
        <f>DATE(2016,5,11)</f>
        <v>42501</v>
      </c>
      <c r="E22835" s="8">
        <f t="shared" si="380"/>
        <v>2016</v>
      </c>
      <c r="F22835" t="s">
        <v>3650</v>
      </c>
      <c r="G22835" s="9">
        <v>2600</v>
      </c>
      <c r="H22835" s="8">
        <v>22428</v>
      </c>
    </row>
    <row r="22836" spans="2:8" ht="15" customHeight="1" x14ac:dyDescent="0.4">
      <c r="B22836" t="s">
        <v>7</v>
      </c>
      <c r="C22836" t="s">
        <v>3649</v>
      </c>
      <c r="D22836" s="7">
        <f>DATE(2016,5,11)</f>
        <v>42501</v>
      </c>
      <c r="E22836" s="8">
        <f t="shared" si="380"/>
        <v>2016</v>
      </c>
      <c r="F22836" t="s">
        <v>3650</v>
      </c>
      <c r="G22836" s="9">
        <v>258</v>
      </c>
      <c r="H22836" s="8">
        <v>22834</v>
      </c>
    </row>
    <row r="22837" spans="2:8" ht="15" customHeight="1" x14ac:dyDescent="0.4">
      <c r="B22837" t="s">
        <v>7</v>
      </c>
      <c r="C22837" t="s">
        <v>3649</v>
      </c>
      <c r="D22837" s="7">
        <f>DATE(2012,11,29)</f>
        <v>41242</v>
      </c>
      <c r="E22837" s="8">
        <f t="shared" si="380"/>
        <v>2012</v>
      </c>
      <c r="F22837" t="s">
        <v>3650</v>
      </c>
      <c r="G22837" s="9">
        <v>4962.6499999999996</v>
      </c>
      <c r="H22837" s="8">
        <v>11926</v>
      </c>
    </row>
    <row r="22838" spans="2:8" ht="15" customHeight="1" x14ac:dyDescent="0.4">
      <c r="B22838" t="s">
        <v>7</v>
      </c>
      <c r="C22838" t="s">
        <v>3649</v>
      </c>
      <c r="D22838" s="7">
        <f>DATE(2014,11,25)</f>
        <v>41968</v>
      </c>
      <c r="E22838" s="8">
        <f t="shared" si="380"/>
        <v>2014</v>
      </c>
      <c r="F22838" t="s">
        <v>3650</v>
      </c>
      <c r="G22838" s="9">
        <v>32514</v>
      </c>
      <c r="H22838" s="8">
        <v>13569</v>
      </c>
    </row>
    <row r="22839" spans="2:8" ht="15" customHeight="1" x14ac:dyDescent="0.4">
      <c r="B22839" t="s">
        <v>7</v>
      </c>
      <c r="C22839" t="s">
        <v>3649</v>
      </c>
      <c r="D22839" s="7">
        <f>DATE(2014,11,25)</f>
        <v>41968</v>
      </c>
      <c r="E22839" s="8">
        <f t="shared" si="380"/>
        <v>2014</v>
      </c>
      <c r="F22839" t="s">
        <v>3650</v>
      </c>
      <c r="G22839" s="9">
        <v>1664</v>
      </c>
      <c r="H22839" s="8">
        <v>13630</v>
      </c>
    </row>
    <row r="22840" spans="2:8" ht="15" customHeight="1" x14ac:dyDescent="0.4">
      <c r="B22840" t="s">
        <v>7</v>
      </c>
      <c r="C22840" t="s">
        <v>3649</v>
      </c>
      <c r="D22840" s="7">
        <f>DATE(2012,10,25)</f>
        <v>41207</v>
      </c>
      <c r="E22840" s="8">
        <f t="shared" si="380"/>
        <v>2012</v>
      </c>
      <c r="F22840" t="s">
        <v>3650</v>
      </c>
      <c r="G22840" s="9">
        <v>11694.56</v>
      </c>
      <c r="H22840" s="8">
        <v>11925</v>
      </c>
    </row>
    <row r="22841" spans="2:8" ht="15" customHeight="1" x14ac:dyDescent="0.4">
      <c r="B22841" t="s">
        <v>7</v>
      </c>
      <c r="C22841" t="s">
        <v>3649</v>
      </c>
      <c r="D22841" s="7">
        <f>DATE(2014,11,25)</f>
        <v>41968</v>
      </c>
      <c r="E22841" s="8">
        <f t="shared" si="380"/>
        <v>2014</v>
      </c>
      <c r="F22841" t="s">
        <v>3650</v>
      </c>
      <c r="G22841" s="9">
        <v>13597.91</v>
      </c>
      <c r="H22841" s="8">
        <v>13568</v>
      </c>
    </row>
    <row r="22842" spans="2:8" ht="15" customHeight="1" x14ac:dyDescent="0.4">
      <c r="B22842" t="s">
        <v>7</v>
      </c>
      <c r="C22842" t="s">
        <v>3649</v>
      </c>
      <c r="D22842" s="7">
        <f>DATE(2014,11,25)</f>
        <v>41968</v>
      </c>
      <c r="E22842" s="8">
        <f t="shared" si="380"/>
        <v>2014</v>
      </c>
      <c r="F22842" t="s">
        <v>3650</v>
      </c>
      <c r="G22842" s="9">
        <v>3090.8</v>
      </c>
      <c r="H22842" s="8">
        <v>13629</v>
      </c>
    </row>
    <row r="22843" spans="2:8" ht="15" customHeight="1" x14ac:dyDescent="0.4">
      <c r="B22843" t="s">
        <v>7</v>
      </c>
      <c r="C22843" t="s">
        <v>3651</v>
      </c>
      <c r="D22843" s="7">
        <f>DATE(2015,3,24)</f>
        <v>42087</v>
      </c>
      <c r="E22843" s="8">
        <f t="shared" si="380"/>
        <v>2015</v>
      </c>
      <c r="F22843" t="s">
        <v>3652</v>
      </c>
      <c r="G22843" s="9">
        <v>11130.92</v>
      </c>
      <c r="H22843" s="8">
        <v>309</v>
      </c>
    </row>
    <row r="22844" spans="2:8" ht="15" customHeight="1" x14ac:dyDescent="0.4">
      <c r="B22844" t="s">
        <v>7</v>
      </c>
      <c r="C22844" t="s">
        <v>3651</v>
      </c>
      <c r="D22844" s="7">
        <f>DATE(2003,9,19)</f>
        <v>37883</v>
      </c>
      <c r="E22844" s="8">
        <f t="shared" si="380"/>
        <v>2003</v>
      </c>
      <c r="F22844" t="s">
        <v>3652</v>
      </c>
      <c r="G22844" s="9">
        <v>19322</v>
      </c>
      <c r="H22844" s="8">
        <v>877</v>
      </c>
    </row>
    <row r="22845" spans="2:8" ht="15" customHeight="1" x14ac:dyDescent="0.4">
      <c r="B22845" t="s">
        <v>7</v>
      </c>
      <c r="C22845" t="s">
        <v>3651</v>
      </c>
      <c r="D22845" s="7">
        <f>DATE(2003,12,15)</f>
        <v>37970</v>
      </c>
      <c r="E22845" s="8">
        <f t="shared" si="380"/>
        <v>2003</v>
      </c>
      <c r="F22845" t="s">
        <v>3652</v>
      </c>
      <c r="G22845" s="9">
        <v>11620.08</v>
      </c>
      <c r="H22845" s="8">
        <v>999</v>
      </c>
    </row>
    <row r="22846" spans="2:8" ht="15" customHeight="1" x14ac:dyDescent="0.4">
      <c r="B22846" t="s">
        <v>7</v>
      </c>
      <c r="C22846" t="s">
        <v>3651</v>
      </c>
      <c r="D22846" s="7">
        <f>DATE(2003,12,15)</f>
        <v>37970</v>
      </c>
      <c r="E22846" s="8">
        <f t="shared" si="380"/>
        <v>2003</v>
      </c>
      <c r="F22846" t="s">
        <v>3652</v>
      </c>
      <c r="G22846" s="9">
        <v>7462.03</v>
      </c>
      <c r="H22846" s="8">
        <v>1000</v>
      </c>
    </row>
    <row r="22847" spans="2:8" ht="15" customHeight="1" x14ac:dyDescent="0.4">
      <c r="B22847" t="s">
        <v>7</v>
      </c>
      <c r="C22847" t="s">
        <v>3651</v>
      </c>
      <c r="D22847" s="7">
        <f>DATE(2004,3,20)</f>
        <v>38066</v>
      </c>
      <c r="E22847" s="8">
        <f t="shared" si="380"/>
        <v>2004</v>
      </c>
      <c r="F22847" t="s">
        <v>3652</v>
      </c>
      <c r="G22847" s="9">
        <v>22416.69</v>
      </c>
      <c r="H22847" s="8">
        <v>1521</v>
      </c>
    </row>
    <row r="22848" spans="2:8" ht="15" customHeight="1" x14ac:dyDescent="0.4">
      <c r="B22848" t="s">
        <v>7</v>
      </c>
      <c r="C22848" t="s">
        <v>3651</v>
      </c>
      <c r="D22848" s="7">
        <f>DATE(2004,3,20)</f>
        <v>38066</v>
      </c>
      <c r="E22848" s="8">
        <f t="shared" si="380"/>
        <v>2004</v>
      </c>
      <c r="F22848" t="s">
        <v>3652</v>
      </c>
      <c r="G22848" s="9">
        <v>23537.53</v>
      </c>
      <c r="H22848" s="8">
        <v>1647</v>
      </c>
    </row>
    <row r="22849" spans="2:8" ht="15" customHeight="1" x14ac:dyDescent="0.4">
      <c r="B22849" t="s">
        <v>7</v>
      </c>
      <c r="C22849" t="s">
        <v>3651</v>
      </c>
      <c r="D22849" s="7">
        <f>DATE(2009,8,11)</f>
        <v>40036</v>
      </c>
      <c r="E22849" s="8">
        <f t="shared" si="380"/>
        <v>2009</v>
      </c>
      <c r="F22849" t="s">
        <v>3652</v>
      </c>
      <c r="G22849" s="9">
        <v>5202.47</v>
      </c>
      <c r="H22849" s="8">
        <v>8951</v>
      </c>
    </row>
    <row r="22850" spans="2:8" ht="15" customHeight="1" x14ac:dyDescent="0.4">
      <c r="B22850" t="s">
        <v>7</v>
      </c>
      <c r="C22850" t="s">
        <v>3651</v>
      </c>
      <c r="D22850" s="7">
        <f>DATE(2009,8,11)</f>
        <v>40036</v>
      </c>
      <c r="E22850" s="8">
        <f t="shared" si="380"/>
        <v>2009</v>
      </c>
      <c r="F22850" t="s">
        <v>3652</v>
      </c>
      <c r="G22850" s="9">
        <v>260.12</v>
      </c>
      <c r="H22850" s="8">
        <v>9084</v>
      </c>
    </row>
    <row r="22851" spans="2:8" ht="15" customHeight="1" x14ac:dyDescent="0.4">
      <c r="B22851" t="s">
        <v>7</v>
      </c>
      <c r="C22851" t="s">
        <v>3651</v>
      </c>
      <c r="D22851" s="7">
        <f>DATE(2013,2,27)</f>
        <v>41332</v>
      </c>
      <c r="E22851" s="8">
        <f t="shared" ref="E22851:E22914" si="381">YEAR(D22851)</f>
        <v>2013</v>
      </c>
      <c r="F22851" t="s">
        <v>3652</v>
      </c>
      <c r="G22851" s="9">
        <v>8623.34</v>
      </c>
      <c r="H22851" s="8">
        <v>12177</v>
      </c>
    </row>
    <row r="22852" spans="2:8" ht="15" customHeight="1" x14ac:dyDescent="0.4">
      <c r="B22852" t="s">
        <v>16</v>
      </c>
      <c r="C22852" t="s">
        <v>3651</v>
      </c>
      <c r="D22852" s="7">
        <f>DATE(2004,3,20)</f>
        <v>38066</v>
      </c>
      <c r="E22852" s="8">
        <f t="shared" si="381"/>
        <v>2004</v>
      </c>
      <c r="F22852" t="s">
        <v>3652</v>
      </c>
      <c r="G22852" s="9">
        <v>22416.69</v>
      </c>
      <c r="H22852" s="8">
        <v>1646</v>
      </c>
    </row>
    <row r="22853" spans="2:8" ht="15" customHeight="1" x14ac:dyDescent="0.4">
      <c r="B22853" s="3" t="s">
        <v>7</v>
      </c>
      <c r="C22853" s="3" t="s">
        <v>3651</v>
      </c>
      <c r="D22853" s="4">
        <f>DATE(2004,3,23)</f>
        <v>38069</v>
      </c>
      <c r="E22853" s="5">
        <f t="shared" si="381"/>
        <v>2004</v>
      </c>
      <c r="F22853" s="3" t="s">
        <v>3652</v>
      </c>
      <c r="G22853" s="6">
        <v>270.5</v>
      </c>
      <c r="H22853" s="5">
        <v>2453</v>
      </c>
    </row>
    <row r="22854" spans="2:8" ht="15" customHeight="1" x14ac:dyDescent="0.4">
      <c r="B22854" s="3" t="s">
        <v>7</v>
      </c>
      <c r="C22854" s="3" t="s">
        <v>3651</v>
      </c>
      <c r="D22854" s="4">
        <f>DATE(2005,3,17)</f>
        <v>38428</v>
      </c>
      <c r="E22854" s="5">
        <f t="shared" si="381"/>
        <v>2005</v>
      </c>
      <c r="F22854" s="3" t="s">
        <v>3652</v>
      </c>
      <c r="G22854" s="6">
        <v>2920.75</v>
      </c>
      <c r="H22854" s="5">
        <v>4345</v>
      </c>
    </row>
    <row r="22855" spans="2:8" ht="15" customHeight="1" x14ac:dyDescent="0.4">
      <c r="B22855" s="3" t="s">
        <v>7</v>
      </c>
      <c r="C22855" s="3" t="s">
        <v>3651</v>
      </c>
      <c r="D22855" s="4">
        <f>DATE(2005,8,26)</f>
        <v>38590</v>
      </c>
      <c r="E22855" s="5">
        <f t="shared" si="381"/>
        <v>2005</v>
      </c>
      <c r="F22855" s="3" t="s">
        <v>3652</v>
      </c>
      <c r="G22855" s="6">
        <v>711</v>
      </c>
      <c r="H22855" s="5">
        <v>5104</v>
      </c>
    </row>
    <row r="22856" spans="2:8" ht="15" customHeight="1" x14ac:dyDescent="0.4">
      <c r="B22856" t="s">
        <v>7</v>
      </c>
      <c r="C22856" t="s">
        <v>3653</v>
      </c>
      <c r="D22856" s="7">
        <f>DATE(2016,4,25)</f>
        <v>42485</v>
      </c>
      <c r="E22856" s="8">
        <f t="shared" si="381"/>
        <v>2016</v>
      </c>
      <c r="F22856" t="s">
        <v>3654</v>
      </c>
      <c r="G22856" s="9">
        <v>1370</v>
      </c>
      <c r="H22856" s="8">
        <v>22603</v>
      </c>
    </row>
    <row r="22857" spans="2:8" ht="15" customHeight="1" x14ac:dyDescent="0.4">
      <c r="B22857" t="s">
        <v>7</v>
      </c>
      <c r="C22857" t="s">
        <v>3653</v>
      </c>
      <c r="D22857" s="7">
        <f>DATE(2015,9,18)</f>
        <v>42265</v>
      </c>
      <c r="E22857" s="8">
        <f t="shared" si="381"/>
        <v>2015</v>
      </c>
      <c r="F22857" t="s">
        <v>3654</v>
      </c>
      <c r="G22857" s="9">
        <v>4065</v>
      </c>
      <c r="H22857" s="8">
        <v>20965</v>
      </c>
    </row>
    <row r="22858" spans="2:8" ht="15" customHeight="1" x14ac:dyDescent="0.4">
      <c r="B22858" s="3" t="s">
        <v>7</v>
      </c>
      <c r="C22858" s="3" t="s">
        <v>3653</v>
      </c>
      <c r="D22858" s="4">
        <f>DATE(2014,12,22)</f>
        <v>41995</v>
      </c>
      <c r="E22858" s="5">
        <f t="shared" si="381"/>
        <v>2014</v>
      </c>
      <c r="F22858" s="3" t="s">
        <v>3654</v>
      </c>
      <c r="G22858" s="6">
        <v>38853.300000000003</v>
      </c>
      <c r="H22858" s="5">
        <v>6178</v>
      </c>
    </row>
    <row r="22859" spans="2:8" ht="15" customHeight="1" x14ac:dyDescent="0.4">
      <c r="B22859" s="3" t="s">
        <v>7</v>
      </c>
      <c r="C22859" s="3" t="s">
        <v>3653</v>
      </c>
      <c r="D22859" s="4">
        <f>DATE(2014,12,22)</f>
        <v>41995</v>
      </c>
      <c r="E22859" s="5">
        <f t="shared" si="381"/>
        <v>2014</v>
      </c>
      <c r="F22859" s="3" t="s">
        <v>3654</v>
      </c>
      <c r="G22859" s="6">
        <v>21123.54</v>
      </c>
      <c r="H22859" s="5">
        <v>6323</v>
      </c>
    </row>
    <row r="22860" spans="2:8" ht="15" customHeight="1" x14ac:dyDescent="0.4">
      <c r="B22860" s="3" t="s">
        <v>7</v>
      </c>
      <c r="C22860" s="3" t="s">
        <v>3653</v>
      </c>
      <c r="D22860" s="4">
        <f>DATE(2014,12,22)</f>
        <v>41995</v>
      </c>
      <c r="E22860" s="5">
        <f t="shared" si="381"/>
        <v>2014</v>
      </c>
      <c r="F22860" s="3" t="s">
        <v>3654</v>
      </c>
      <c r="G22860" s="6">
        <v>26605.5</v>
      </c>
      <c r="H22860" s="5">
        <v>19950</v>
      </c>
    </row>
    <row r="22861" spans="2:8" ht="15" customHeight="1" x14ac:dyDescent="0.4">
      <c r="B22861" t="s">
        <v>7</v>
      </c>
      <c r="C22861" t="s">
        <v>3655</v>
      </c>
      <c r="D22861" s="7">
        <f>DATE(2006,3,25)</f>
        <v>38801</v>
      </c>
      <c r="E22861" s="8">
        <f t="shared" si="381"/>
        <v>2006</v>
      </c>
      <c r="F22861" t="s">
        <v>3656</v>
      </c>
      <c r="G22861" s="9">
        <v>6891.5</v>
      </c>
      <c r="H22861" s="8">
        <v>4384</v>
      </c>
    </row>
    <row r="22862" spans="2:8" ht="15" customHeight="1" x14ac:dyDescent="0.4">
      <c r="B22862" s="3" t="s">
        <v>7</v>
      </c>
      <c r="C22862" s="3" t="s">
        <v>3657</v>
      </c>
      <c r="D22862" s="4">
        <f>DATE(2007,10,12)</f>
        <v>39367</v>
      </c>
      <c r="E22862" s="5">
        <f t="shared" si="381"/>
        <v>2007</v>
      </c>
      <c r="F22862" s="3" t="s">
        <v>3658</v>
      </c>
      <c r="G22862" s="6">
        <v>348.5</v>
      </c>
      <c r="H22862" s="5">
        <v>9115</v>
      </c>
    </row>
    <row r="22863" spans="2:8" ht="15" customHeight="1" x14ac:dyDescent="0.4">
      <c r="B22863" t="s">
        <v>7</v>
      </c>
      <c r="C22863" t="s">
        <v>3659</v>
      </c>
      <c r="D22863" s="7">
        <f>DATE(2010,5,17)</f>
        <v>40315</v>
      </c>
      <c r="E22863" s="8">
        <f t="shared" si="381"/>
        <v>2010</v>
      </c>
      <c r="F22863" t="s">
        <v>3660</v>
      </c>
      <c r="G22863" s="9">
        <v>16977.12</v>
      </c>
      <c r="H22863" s="8">
        <v>9823</v>
      </c>
    </row>
    <row r="22864" spans="2:8" ht="15" customHeight="1" x14ac:dyDescent="0.4">
      <c r="B22864" t="s">
        <v>7</v>
      </c>
      <c r="C22864" t="s">
        <v>3659</v>
      </c>
      <c r="D22864" s="7">
        <f>DATE(2011,3,18)</f>
        <v>40620</v>
      </c>
      <c r="E22864" s="8">
        <f t="shared" si="381"/>
        <v>2011</v>
      </c>
      <c r="F22864" t="s">
        <v>3660</v>
      </c>
      <c r="G22864" s="9">
        <v>16740</v>
      </c>
      <c r="H22864" s="8">
        <v>10346</v>
      </c>
    </row>
    <row r="22865" spans="2:8" ht="15" customHeight="1" x14ac:dyDescent="0.4">
      <c r="B22865" t="s">
        <v>7</v>
      </c>
      <c r="C22865" t="s">
        <v>3659</v>
      </c>
      <c r="D22865" s="7">
        <f>DATE(2011,5,5)</f>
        <v>40668</v>
      </c>
      <c r="E22865" s="8">
        <f t="shared" si="381"/>
        <v>2011</v>
      </c>
      <c r="F22865" t="s">
        <v>3660</v>
      </c>
      <c r="G22865" s="9">
        <v>18107.47</v>
      </c>
      <c r="H22865" s="8">
        <v>10612</v>
      </c>
    </row>
    <row r="22866" spans="2:8" ht="15" customHeight="1" x14ac:dyDescent="0.4">
      <c r="B22866" t="s">
        <v>7</v>
      </c>
      <c r="C22866" t="s">
        <v>3659</v>
      </c>
      <c r="D22866" s="7">
        <f>DATE(2005,6,30)</f>
        <v>38533</v>
      </c>
      <c r="E22866" s="8">
        <f t="shared" si="381"/>
        <v>2005</v>
      </c>
      <c r="F22866" t="s">
        <v>3660</v>
      </c>
      <c r="G22866" s="9">
        <v>5742.12</v>
      </c>
      <c r="H22866" s="8">
        <v>3327</v>
      </c>
    </row>
    <row r="22867" spans="2:8" ht="15" customHeight="1" x14ac:dyDescent="0.4">
      <c r="B22867" t="s">
        <v>7</v>
      </c>
      <c r="C22867" t="s">
        <v>3659</v>
      </c>
      <c r="D22867" s="7">
        <f>DATE(2006,1,6)</f>
        <v>38723</v>
      </c>
      <c r="E22867" s="8">
        <f t="shared" si="381"/>
        <v>2006</v>
      </c>
      <c r="F22867" t="s">
        <v>3660</v>
      </c>
      <c r="G22867" s="9">
        <v>7963.47</v>
      </c>
      <c r="H22867" s="8">
        <v>3887</v>
      </c>
    </row>
    <row r="22868" spans="2:8" ht="15" customHeight="1" x14ac:dyDescent="0.4">
      <c r="B22868" t="s">
        <v>7</v>
      </c>
      <c r="C22868" t="s">
        <v>3659</v>
      </c>
      <c r="D22868" s="7">
        <f>DATE(2006,4,20)</f>
        <v>38827</v>
      </c>
      <c r="E22868" s="8">
        <f t="shared" si="381"/>
        <v>2006</v>
      </c>
      <c r="F22868" t="s">
        <v>3660</v>
      </c>
      <c r="G22868" s="9">
        <v>21800.49</v>
      </c>
      <c r="H22868" s="8">
        <v>3873</v>
      </c>
    </row>
    <row r="22869" spans="2:8" ht="15" customHeight="1" x14ac:dyDescent="0.4">
      <c r="B22869" t="s">
        <v>7</v>
      </c>
      <c r="C22869" t="s">
        <v>3659</v>
      </c>
      <c r="D22869" s="7">
        <f>DATE(2006,4,30)</f>
        <v>38837</v>
      </c>
      <c r="E22869" s="8">
        <f t="shared" si="381"/>
        <v>2006</v>
      </c>
      <c r="F22869" t="s">
        <v>3660</v>
      </c>
      <c r="G22869" s="9">
        <v>77073.539999999994</v>
      </c>
      <c r="H22869" s="8">
        <v>3874</v>
      </c>
    </row>
    <row r="22870" spans="2:8" ht="15" customHeight="1" x14ac:dyDescent="0.4">
      <c r="B22870" t="s">
        <v>7</v>
      </c>
      <c r="C22870" t="s">
        <v>3659</v>
      </c>
      <c r="D22870" s="7">
        <f>DATE(2006,7,3)</f>
        <v>38901</v>
      </c>
      <c r="E22870" s="8">
        <f t="shared" si="381"/>
        <v>2006</v>
      </c>
      <c r="F22870" t="s">
        <v>3660</v>
      </c>
      <c r="G22870" s="9">
        <v>16367.78</v>
      </c>
      <c r="H22870" s="8">
        <v>4751</v>
      </c>
    </row>
    <row r="22871" spans="2:8" ht="15" customHeight="1" x14ac:dyDescent="0.4">
      <c r="B22871" t="s">
        <v>7</v>
      </c>
      <c r="C22871" t="s">
        <v>3659</v>
      </c>
      <c r="D22871" s="7">
        <f>DATE(2006,9,7)</f>
        <v>38967</v>
      </c>
      <c r="E22871" s="8">
        <f t="shared" si="381"/>
        <v>2006</v>
      </c>
      <c r="F22871" t="s">
        <v>3660</v>
      </c>
      <c r="G22871" s="9">
        <v>5782.6</v>
      </c>
      <c r="H22871" s="8">
        <v>4943</v>
      </c>
    </row>
    <row r="22872" spans="2:8" ht="15" customHeight="1" x14ac:dyDescent="0.4">
      <c r="B22872" t="s">
        <v>7</v>
      </c>
      <c r="C22872" t="s">
        <v>3659</v>
      </c>
      <c r="D22872" s="7">
        <f>DATE(2006,8,27)</f>
        <v>38956</v>
      </c>
      <c r="E22872" s="8">
        <f t="shared" si="381"/>
        <v>2006</v>
      </c>
      <c r="F22872" t="s">
        <v>3660</v>
      </c>
      <c r="G22872" s="9">
        <v>6700.01</v>
      </c>
      <c r="H22872" s="8">
        <v>4944</v>
      </c>
    </row>
    <row r="22873" spans="2:8" ht="15" customHeight="1" x14ac:dyDescent="0.4">
      <c r="B22873" t="s">
        <v>7</v>
      </c>
      <c r="C22873" t="s">
        <v>3659</v>
      </c>
      <c r="D22873" s="7">
        <f>DATE(2007,3,21)</f>
        <v>39162</v>
      </c>
      <c r="E22873" s="8">
        <f t="shared" si="381"/>
        <v>2007</v>
      </c>
      <c r="F22873" t="s">
        <v>3660</v>
      </c>
      <c r="G22873" s="9">
        <v>5797.22</v>
      </c>
      <c r="H22873" s="8">
        <v>5731</v>
      </c>
    </row>
    <row r="22874" spans="2:8" ht="15" customHeight="1" x14ac:dyDescent="0.4">
      <c r="B22874" t="s">
        <v>7</v>
      </c>
      <c r="C22874" t="s">
        <v>3659</v>
      </c>
      <c r="D22874" s="7">
        <f>DATE(2007,5,7)</f>
        <v>39209</v>
      </c>
      <c r="E22874" s="8">
        <f t="shared" si="381"/>
        <v>2007</v>
      </c>
      <c r="F22874" t="s">
        <v>3660</v>
      </c>
      <c r="G22874" s="9">
        <v>13844.52</v>
      </c>
      <c r="H22874" s="8">
        <v>5948</v>
      </c>
    </row>
    <row r="22875" spans="2:8" ht="15" customHeight="1" x14ac:dyDescent="0.4">
      <c r="B22875" t="s">
        <v>7</v>
      </c>
      <c r="C22875" t="s">
        <v>3659</v>
      </c>
      <c r="D22875" s="7">
        <f>DATE(2007,12,15)</f>
        <v>39431</v>
      </c>
      <c r="E22875" s="8">
        <f t="shared" si="381"/>
        <v>2007</v>
      </c>
      <c r="F22875" t="s">
        <v>3660</v>
      </c>
      <c r="G22875" s="9">
        <v>14189.52</v>
      </c>
      <c r="H22875" s="8">
        <v>6678</v>
      </c>
    </row>
    <row r="22876" spans="2:8" ht="15" customHeight="1" x14ac:dyDescent="0.4">
      <c r="B22876" t="s">
        <v>7</v>
      </c>
      <c r="C22876" t="s">
        <v>3659</v>
      </c>
      <c r="D22876" s="7">
        <f>DATE(2007,12,15)</f>
        <v>39431</v>
      </c>
      <c r="E22876" s="8">
        <f t="shared" si="381"/>
        <v>2007</v>
      </c>
      <c r="F22876" t="s">
        <v>3660</v>
      </c>
      <c r="G22876" s="9">
        <v>14189.52</v>
      </c>
      <c r="H22876" s="8">
        <v>6760</v>
      </c>
    </row>
    <row r="22877" spans="2:8" ht="15" customHeight="1" x14ac:dyDescent="0.4">
      <c r="B22877" t="s">
        <v>7</v>
      </c>
      <c r="C22877" t="s">
        <v>3659</v>
      </c>
      <c r="D22877" s="7">
        <f>DATE(2008,1,8)</f>
        <v>39455</v>
      </c>
      <c r="E22877" s="8">
        <f t="shared" si="381"/>
        <v>2008</v>
      </c>
      <c r="F22877" t="s">
        <v>3660</v>
      </c>
      <c r="G22877" s="9">
        <v>2140.02</v>
      </c>
      <c r="H22877" s="8">
        <v>6746</v>
      </c>
    </row>
    <row r="22878" spans="2:8" ht="15" customHeight="1" x14ac:dyDescent="0.4">
      <c r="B22878" t="s">
        <v>7</v>
      </c>
      <c r="C22878" t="s">
        <v>3659</v>
      </c>
      <c r="D22878" s="7">
        <f>DATE(2008,1,15)</f>
        <v>39462</v>
      </c>
      <c r="E22878" s="8">
        <f t="shared" si="381"/>
        <v>2008</v>
      </c>
      <c r="F22878" t="s">
        <v>3660</v>
      </c>
      <c r="G22878" s="9">
        <v>9720.1200000000008</v>
      </c>
      <c r="H22878" s="8">
        <v>6722</v>
      </c>
    </row>
    <row r="22879" spans="2:8" ht="15" customHeight="1" x14ac:dyDescent="0.4">
      <c r="B22879" t="s">
        <v>7</v>
      </c>
      <c r="C22879" t="s">
        <v>3659</v>
      </c>
      <c r="D22879" s="7">
        <f>DATE(2008,1,14)</f>
        <v>39461</v>
      </c>
      <c r="E22879" s="8">
        <f t="shared" si="381"/>
        <v>2008</v>
      </c>
      <c r="F22879" t="s">
        <v>3660</v>
      </c>
      <c r="G22879" s="9">
        <v>7966.8</v>
      </c>
      <c r="H22879" s="8">
        <v>6818</v>
      </c>
    </row>
    <row r="22880" spans="2:8" ht="15" customHeight="1" x14ac:dyDescent="0.4">
      <c r="B22880" t="s">
        <v>7</v>
      </c>
      <c r="C22880" t="s">
        <v>3659</v>
      </c>
      <c r="D22880" s="7">
        <f>DATE(2008,3,7)</f>
        <v>39514</v>
      </c>
      <c r="E22880" s="8">
        <f t="shared" si="381"/>
        <v>2008</v>
      </c>
      <c r="F22880" t="s">
        <v>3660</v>
      </c>
      <c r="G22880" s="9">
        <v>5305</v>
      </c>
      <c r="H22880" s="8">
        <v>6947</v>
      </c>
    </row>
    <row r="22881" spans="2:8" ht="15" customHeight="1" x14ac:dyDescent="0.4">
      <c r="B22881" t="s">
        <v>7</v>
      </c>
      <c r="C22881" t="s">
        <v>3659</v>
      </c>
      <c r="D22881" s="7">
        <f>DATE(2008,4,18)</f>
        <v>39556</v>
      </c>
      <c r="E22881" s="8">
        <f t="shared" si="381"/>
        <v>2008</v>
      </c>
      <c r="F22881" t="s">
        <v>3660</v>
      </c>
      <c r="G22881" s="9">
        <v>3761.45</v>
      </c>
      <c r="H22881" s="8">
        <v>7331</v>
      </c>
    </row>
    <row r="22882" spans="2:8" ht="15" customHeight="1" x14ac:dyDescent="0.4">
      <c r="B22882" t="s">
        <v>7</v>
      </c>
      <c r="C22882" t="s">
        <v>3659</v>
      </c>
      <c r="D22882" s="7">
        <f>DATE(2009,2,5)</f>
        <v>39849</v>
      </c>
      <c r="E22882" s="8">
        <f t="shared" si="381"/>
        <v>2009</v>
      </c>
      <c r="F22882" t="s">
        <v>3660</v>
      </c>
      <c r="G22882" s="9">
        <v>4604.8500000000004</v>
      </c>
      <c r="H22882" s="8">
        <v>8272</v>
      </c>
    </row>
    <row r="22883" spans="2:8" ht="15" customHeight="1" x14ac:dyDescent="0.4">
      <c r="B22883" t="s">
        <v>7</v>
      </c>
      <c r="C22883" t="s">
        <v>3659</v>
      </c>
      <c r="D22883" s="7">
        <f>DATE(2011,3,18)</f>
        <v>40620</v>
      </c>
      <c r="E22883" s="8">
        <f t="shared" si="381"/>
        <v>2011</v>
      </c>
      <c r="F22883" t="s">
        <v>3660</v>
      </c>
      <c r="G22883" s="9">
        <v>25196.720000000001</v>
      </c>
      <c r="H22883" s="8">
        <v>10345</v>
      </c>
    </row>
    <row r="22884" spans="2:8" ht="15" customHeight="1" x14ac:dyDescent="0.4">
      <c r="B22884" t="s">
        <v>7</v>
      </c>
      <c r="C22884" t="s">
        <v>3659</v>
      </c>
      <c r="D22884" s="7">
        <f>DATE(2011,5,5)</f>
        <v>40668</v>
      </c>
      <c r="E22884" s="8">
        <f t="shared" si="381"/>
        <v>2011</v>
      </c>
      <c r="F22884" t="s">
        <v>3660</v>
      </c>
      <c r="G22884" s="9">
        <v>22023.45</v>
      </c>
      <c r="H22884" s="8">
        <v>10601</v>
      </c>
    </row>
    <row r="22885" spans="2:8" ht="15" customHeight="1" x14ac:dyDescent="0.4">
      <c r="B22885" t="s">
        <v>7</v>
      </c>
      <c r="C22885" t="s">
        <v>3659</v>
      </c>
      <c r="D22885" s="7">
        <f>DATE(2012,5,3)</f>
        <v>41032</v>
      </c>
      <c r="E22885" s="8">
        <f t="shared" si="381"/>
        <v>2012</v>
      </c>
      <c r="F22885" t="s">
        <v>3660</v>
      </c>
      <c r="G22885" s="9">
        <v>24839.75</v>
      </c>
      <c r="H22885" s="8">
        <v>11330</v>
      </c>
    </row>
    <row r="22886" spans="2:8" ht="15" customHeight="1" x14ac:dyDescent="0.4">
      <c r="B22886" t="s">
        <v>7</v>
      </c>
      <c r="C22886" t="s">
        <v>3659</v>
      </c>
      <c r="D22886" s="7">
        <f>DATE(2010,5,18)</f>
        <v>40316</v>
      </c>
      <c r="E22886" s="8">
        <f t="shared" si="381"/>
        <v>2010</v>
      </c>
      <c r="F22886" t="s">
        <v>3660</v>
      </c>
      <c r="G22886" s="9">
        <v>7322.44</v>
      </c>
      <c r="H22886" s="8">
        <v>9818</v>
      </c>
    </row>
    <row r="22887" spans="2:8" ht="15" customHeight="1" x14ac:dyDescent="0.4">
      <c r="B22887" t="s">
        <v>7</v>
      </c>
      <c r="C22887" t="s">
        <v>3659</v>
      </c>
      <c r="D22887" s="7">
        <f>DATE(2011,5,16)</f>
        <v>40679</v>
      </c>
      <c r="E22887" s="8">
        <f t="shared" si="381"/>
        <v>2011</v>
      </c>
      <c r="F22887" t="s">
        <v>3660</v>
      </c>
      <c r="G22887" s="9">
        <v>10826.87</v>
      </c>
      <c r="H22887" s="8">
        <v>10754</v>
      </c>
    </row>
    <row r="22888" spans="2:8" ht="15" customHeight="1" x14ac:dyDescent="0.4">
      <c r="B22888" t="s">
        <v>7</v>
      </c>
      <c r="C22888" t="s">
        <v>3659</v>
      </c>
      <c r="D22888" s="7">
        <f>DATE(2011,6,8)</f>
        <v>40702</v>
      </c>
      <c r="E22888" s="8">
        <f t="shared" si="381"/>
        <v>2011</v>
      </c>
      <c r="F22888" t="s">
        <v>3660</v>
      </c>
      <c r="G22888" s="9">
        <v>6477.36</v>
      </c>
      <c r="H22888" s="8">
        <v>10781</v>
      </c>
    </row>
    <row r="22889" spans="2:8" ht="15" customHeight="1" x14ac:dyDescent="0.4">
      <c r="B22889" t="s">
        <v>7</v>
      </c>
      <c r="C22889" t="s">
        <v>3659</v>
      </c>
      <c r="D22889" s="7">
        <f>DATE(2013,8,8)</f>
        <v>41494</v>
      </c>
      <c r="E22889" s="8">
        <f t="shared" si="381"/>
        <v>2013</v>
      </c>
      <c r="F22889" t="s">
        <v>3660</v>
      </c>
      <c r="G22889" s="9">
        <v>6328.06</v>
      </c>
      <c r="H22889" s="8">
        <v>12590</v>
      </c>
    </row>
    <row r="22890" spans="2:8" ht="15" customHeight="1" x14ac:dyDescent="0.4">
      <c r="B22890" t="s">
        <v>7</v>
      </c>
      <c r="C22890" t="s">
        <v>3659</v>
      </c>
      <c r="D22890" s="7">
        <f>DATE(2014,5,30)</f>
        <v>41789</v>
      </c>
      <c r="E22890" s="8">
        <f t="shared" si="381"/>
        <v>2014</v>
      </c>
      <c r="F22890" t="s">
        <v>3660</v>
      </c>
      <c r="G22890" s="9">
        <v>6425.23</v>
      </c>
      <c r="H22890" s="8">
        <v>13219</v>
      </c>
    </row>
    <row r="22891" spans="2:8" ht="15" customHeight="1" x14ac:dyDescent="0.4">
      <c r="B22891" t="s">
        <v>7</v>
      </c>
      <c r="C22891" t="s">
        <v>3659</v>
      </c>
      <c r="D22891" s="7">
        <f>DATE(2014,12,19)</f>
        <v>41992</v>
      </c>
      <c r="E22891" s="8">
        <f t="shared" si="381"/>
        <v>2014</v>
      </c>
      <c r="F22891" t="s">
        <v>3660</v>
      </c>
      <c r="G22891" s="9">
        <v>3712.27</v>
      </c>
      <c r="H22891" s="8">
        <v>13649</v>
      </c>
    </row>
    <row r="22892" spans="2:8" ht="15" customHeight="1" x14ac:dyDescent="0.4">
      <c r="B22892" t="s">
        <v>16</v>
      </c>
      <c r="C22892" t="s">
        <v>3659</v>
      </c>
      <c r="D22892" s="7">
        <f>DATE(2007,12,15)</f>
        <v>39431</v>
      </c>
      <c r="E22892" s="8">
        <f t="shared" si="381"/>
        <v>2007</v>
      </c>
      <c r="F22892" t="s">
        <v>3660</v>
      </c>
      <c r="G22892" s="9">
        <v>14189.52</v>
      </c>
      <c r="H22892" s="8">
        <v>6759</v>
      </c>
    </row>
    <row r="22893" spans="2:8" ht="15" customHeight="1" x14ac:dyDescent="0.4">
      <c r="B22893" s="3" t="s">
        <v>7</v>
      </c>
      <c r="C22893" s="3" t="s">
        <v>3659</v>
      </c>
      <c r="D22893" s="4">
        <f>DATE(2003,2,6)</f>
        <v>37658</v>
      </c>
      <c r="E22893" s="5">
        <f t="shared" si="381"/>
        <v>2003</v>
      </c>
      <c r="F22893" s="3" t="s">
        <v>3660</v>
      </c>
      <c r="G22893" s="6">
        <v>850.25</v>
      </c>
      <c r="H22893" s="5">
        <v>217</v>
      </c>
    </row>
    <row r="22894" spans="2:8" ht="15" customHeight="1" x14ac:dyDescent="0.4">
      <c r="B22894" s="3" t="s">
        <v>7</v>
      </c>
      <c r="C22894" s="3" t="s">
        <v>3659</v>
      </c>
      <c r="D22894" s="4">
        <f>DATE(2003,2,10)</f>
        <v>37662</v>
      </c>
      <c r="E22894" s="5">
        <f t="shared" si="381"/>
        <v>2003</v>
      </c>
      <c r="F22894" s="3" t="s">
        <v>3660</v>
      </c>
      <c r="G22894" s="6">
        <v>2948.6</v>
      </c>
      <c r="H22894" s="5">
        <v>240</v>
      </c>
    </row>
    <row r="22895" spans="2:8" ht="15" customHeight="1" x14ac:dyDescent="0.4">
      <c r="B22895" s="3" t="s">
        <v>7</v>
      </c>
      <c r="C22895" s="3" t="s">
        <v>3659</v>
      </c>
      <c r="D22895" s="4">
        <f>DATE(2003,3,7)</f>
        <v>37687</v>
      </c>
      <c r="E22895" s="5">
        <f t="shared" si="381"/>
        <v>2003</v>
      </c>
      <c r="F22895" s="3" t="s">
        <v>3660</v>
      </c>
      <c r="G22895" s="6">
        <v>2514.5</v>
      </c>
      <c r="H22895" s="5">
        <v>478</v>
      </c>
    </row>
    <row r="22896" spans="2:8" ht="15" customHeight="1" x14ac:dyDescent="0.4">
      <c r="B22896" s="3" t="s">
        <v>7</v>
      </c>
      <c r="C22896" s="3" t="s">
        <v>3659</v>
      </c>
      <c r="D22896" s="4">
        <f>DATE(2003,4,11)</f>
        <v>37722</v>
      </c>
      <c r="E22896" s="5">
        <f t="shared" si="381"/>
        <v>2003</v>
      </c>
      <c r="F22896" s="3" t="s">
        <v>3660</v>
      </c>
      <c r="G22896" s="6">
        <v>1662.5</v>
      </c>
      <c r="H22896" s="5">
        <v>707</v>
      </c>
    </row>
    <row r="22897" spans="2:8" ht="15" customHeight="1" x14ac:dyDescent="0.4">
      <c r="B22897" s="3" t="s">
        <v>7</v>
      </c>
      <c r="C22897" s="3" t="s">
        <v>3659</v>
      </c>
      <c r="D22897" s="4">
        <f>DATE(2004,1,29)</f>
        <v>38015</v>
      </c>
      <c r="E22897" s="5">
        <f t="shared" si="381"/>
        <v>2004</v>
      </c>
      <c r="F22897" s="3" t="s">
        <v>3660</v>
      </c>
      <c r="G22897" s="6">
        <v>870</v>
      </c>
      <c r="H22897" s="5">
        <v>2081</v>
      </c>
    </row>
    <row r="22898" spans="2:8" ht="15" customHeight="1" x14ac:dyDescent="0.4">
      <c r="B22898" s="3" t="s">
        <v>7</v>
      </c>
      <c r="C22898" s="3" t="s">
        <v>3659</v>
      </c>
      <c r="D22898" s="4">
        <f>DATE(2004,4,30)</f>
        <v>38107</v>
      </c>
      <c r="E22898" s="5">
        <f t="shared" si="381"/>
        <v>2004</v>
      </c>
      <c r="F22898" s="3" t="s">
        <v>3660</v>
      </c>
      <c r="G22898" s="6">
        <v>890</v>
      </c>
      <c r="H22898" s="5">
        <v>2700</v>
      </c>
    </row>
    <row r="22899" spans="2:8" ht="15" customHeight="1" x14ac:dyDescent="0.4">
      <c r="B22899" s="3" t="s">
        <v>7</v>
      </c>
      <c r="C22899" s="3" t="s">
        <v>3659</v>
      </c>
      <c r="D22899" s="4">
        <f>DATE(2004,5,26)</f>
        <v>38133</v>
      </c>
      <c r="E22899" s="5">
        <f t="shared" si="381"/>
        <v>2004</v>
      </c>
      <c r="F22899" s="3" t="s">
        <v>3660</v>
      </c>
      <c r="G22899" s="6">
        <v>370</v>
      </c>
      <c r="H22899" s="5">
        <v>2896</v>
      </c>
    </row>
    <row r="22900" spans="2:8" ht="15" customHeight="1" x14ac:dyDescent="0.4">
      <c r="B22900" s="3" t="s">
        <v>7</v>
      </c>
      <c r="C22900" s="3" t="s">
        <v>3659</v>
      </c>
      <c r="D22900" s="4">
        <f>DATE(2005,3,1)</f>
        <v>38412</v>
      </c>
      <c r="E22900" s="5">
        <f t="shared" si="381"/>
        <v>2005</v>
      </c>
      <c r="F22900" s="3" t="s">
        <v>3660</v>
      </c>
      <c r="G22900" s="6">
        <v>921</v>
      </c>
      <c r="H22900" s="5">
        <v>4179</v>
      </c>
    </row>
    <row r="22901" spans="2:8" ht="15" customHeight="1" x14ac:dyDescent="0.4">
      <c r="B22901" s="3" t="s">
        <v>7</v>
      </c>
      <c r="C22901" s="3" t="s">
        <v>3659</v>
      </c>
      <c r="D22901" s="4">
        <f>DATE(2005,4,27)</f>
        <v>38469</v>
      </c>
      <c r="E22901" s="5">
        <f t="shared" si="381"/>
        <v>2005</v>
      </c>
      <c r="F22901" s="3" t="s">
        <v>3660</v>
      </c>
      <c r="G22901" s="6">
        <v>1200</v>
      </c>
      <c r="H22901" s="5">
        <v>4632</v>
      </c>
    </row>
    <row r="22902" spans="2:8" ht="15" customHeight="1" x14ac:dyDescent="0.4">
      <c r="B22902" s="3" t="s">
        <v>7</v>
      </c>
      <c r="C22902" s="3" t="s">
        <v>3659</v>
      </c>
      <c r="D22902" s="4">
        <f>DATE(2005,5,24)</f>
        <v>38496</v>
      </c>
      <c r="E22902" s="5">
        <f t="shared" si="381"/>
        <v>2005</v>
      </c>
      <c r="F22902" s="3" t="s">
        <v>3660</v>
      </c>
      <c r="G22902" s="6">
        <v>66</v>
      </c>
      <c r="H22902" s="5">
        <v>4740</v>
      </c>
    </row>
    <row r="22903" spans="2:8" ht="15" customHeight="1" x14ac:dyDescent="0.4">
      <c r="B22903" s="3" t="s">
        <v>7</v>
      </c>
      <c r="C22903" s="3" t="s">
        <v>3659</v>
      </c>
      <c r="D22903" s="4">
        <f>DATE(2005,8,19)</f>
        <v>38583</v>
      </c>
      <c r="E22903" s="5">
        <f t="shared" si="381"/>
        <v>2005</v>
      </c>
      <c r="F22903" s="3" t="s">
        <v>3660</v>
      </c>
      <c r="G22903" s="6">
        <v>43.3</v>
      </c>
      <c r="H22903" s="5">
        <v>5063</v>
      </c>
    </row>
    <row r="22904" spans="2:8" ht="15" customHeight="1" x14ac:dyDescent="0.4">
      <c r="B22904" s="3" t="s">
        <v>7</v>
      </c>
      <c r="C22904" s="3" t="s">
        <v>3659</v>
      </c>
      <c r="D22904" s="4">
        <f>DATE(2006,1,23)</f>
        <v>38740</v>
      </c>
      <c r="E22904" s="5">
        <f t="shared" si="381"/>
        <v>2006</v>
      </c>
      <c r="F22904" s="3" t="s">
        <v>3660</v>
      </c>
      <c r="G22904" s="6">
        <v>1527.55</v>
      </c>
      <c r="H22904" s="5">
        <v>5872</v>
      </c>
    </row>
    <row r="22905" spans="2:8" ht="15" customHeight="1" x14ac:dyDescent="0.4">
      <c r="B22905" s="3" t="s">
        <v>7</v>
      </c>
      <c r="C22905" s="3" t="s">
        <v>3659</v>
      </c>
      <c r="D22905" s="4">
        <f>DATE(2006,2,3)</f>
        <v>38751</v>
      </c>
      <c r="E22905" s="5">
        <f t="shared" si="381"/>
        <v>2006</v>
      </c>
      <c r="F22905" s="3" t="s">
        <v>3660</v>
      </c>
      <c r="G22905" s="6">
        <v>468.63</v>
      </c>
      <c r="H22905" s="5">
        <v>5959</v>
      </c>
    </row>
    <row r="22906" spans="2:8" ht="15" customHeight="1" x14ac:dyDescent="0.4">
      <c r="B22906" s="3" t="s">
        <v>7</v>
      </c>
      <c r="C22906" s="3" t="s">
        <v>3659</v>
      </c>
      <c r="D22906" s="4">
        <f>DATE(2006,5,1)</f>
        <v>38838</v>
      </c>
      <c r="E22906" s="5">
        <f t="shared" si="381"/>
        <v>2006</v>
      </c>
      <c r="F22906" s="3" t="s">
        <v>3660</v>
      </c>
      <c r="G22906" s="6">
        <v>1974.3</v>
      </c>
      <c r="H22906" s="5">
        <v>6642</v>
      </c>
    </row>
    <row r="22907" spans="2:8" ht="15" customHeight="1" x14ac:dyDescent="0.4">
      <c r="B22907" s="3" t="s">
        <v>7</v>
      </c>
      <c r="C22907" s="3" t="s">
        <v>3659</v>
      </c>
      <c r="D22907" s="4">
        <f>DATE(2006,5,2)</f>
        <v>38839</v>
      </c>
      <c r="E22907" s="5">
        <f t="shared" si="381"/>
        <v>2006</v>
      </c>
      <c r="F22907" s="3" t="s">
        <v>3660</v>
      </c>
      <c r="G22907" s="6">
        <v>538.82000000000005</v>
      </c>
      <c r="H22907" s="5">
        <v>6654</v>
      </c>
    </row>
    <row r="22908" spans="2:8" ht="15" customHeight="1" x14ac:dyDescent="0.4">
      <c r="B22908" s="3" t="s">
        <v>7</v>
      </c>
      <c r="C22908" s="3" t="s">
        <v>3659</v>
      </c>
      <c r="D22908" s="4">
        <f>DATE(2006,10,17)</f>
        <v>39007</v>
      </c>
      <c r="E22908" s="5">
        <f t="shared" si="381"/>
        <v>2006</v>
      </c>
      <c r="F22908" s="3" t="s">
        <v>3660</v>
      </c>
      <c r="G22908" s="6">
        <v>975.14</v>
      </c>
      <c r="H22908" s="5">
        <v>7373</v>
      </c>
    </row>
    <row r="22909" spans="2:8" ht="15" customHeight="1" x14ac:dyDescent="0.4">
      <c r="B22909" s="3" t="s">
        <v>7</v>
      </c>
      <c r="C22909" s="3" t="s">
        <v>3659</v>
      </c>
      <c r="D22909" s="4">
        <f>DATE(2007,7,23)</f>
        <v>39286</v>
      </c>
      <c r="E22909" s="5">
        <f t="shared" si="381"/>
        <v>2007</v>
      </c>
      <c r="F22909" s="3" t="s">
        <v>3660</v>
      </c>
      <c r="G22909" s="6">
        <v>977.41</v>
      </c>
      <c r="H22909" s="5">
        <v>8915</v>
      </c>
    </row>
    <row r="22910" spans="2:8" ht="15" customHeight="1" x14ac:dyDescent="0.4">
      <c r="B22910" s="3" t="s">
        <v>7</v>
      </c>
      <c r="C22910" s="3" t="s">
        <v>3659</v>
      </c>
      <c r="D22910" s="4">
        <f>DATE(2007,11,8)</f>
        <v>39394</v>
      </c>
      <c r="E22910" s="5">
        <f t="shared" si="381"/>
        <v>2007</v>
      </c>
      <c r="F22910" s="3" t="s">
        <v>3660</v>
      </c>
      <c r="G22910" s="6">
        <v>33</v>
      </c>
      <c r="H22910" s="5">
        <v>9444</v>
      </c>
    </row>
    <row r="22911" spans="2:8" ht="15" customHeight="1" x14ac:dyDescent="0.4">
      <c r="B22911" s="3" t="s">
        <v>7</v>
      </c>
      <c r="C22911" s="3" t="s">
        <v>3659</v>
      </c>
      <c r="D22911" s="4">
        <f>DATE(2007,11,26)</f>
        <v>39412</v>
      </c>
      <c r="E22911" s="5">
        <f t="shared" si="381"/>
        <v>2007</v>
      </c>
      <c r="F22911" s="3" t="s">
        <v>3660</v>
      </c>
      <c r="G22911" s="6">
        <v>1159</v>
      </c>
      <c r="H22911" s="5">
        <v>9508</v>
      </c>
    </row>
    <row r="22912" spans="2:8" ht="15" customHeight="1" x14ac:dyDescent="0.4">
      <c r="B22912" s="3" t="s">
        <v>7</v>
      </c>
      <c r="C22912" s="3" t="s">
        <v>3659</v>
      </c>
      <c r="D22912" s="4">
        <f>DATE(2007,12,17)</f>
        <v>39433</v>
      </c>
      <c r="E22912" s="5">
        <f t="shared" si="381"/>
        <v>2007</v>
      </c>
      <c r="F22912" s="3" t="s">
        <v>3660</v>
      </c>
      <c r="G22912" s="6">
        <v>93</v>
      </c>
      <c r="H22912" s="5">
        <v>9485</v>
      </c>
    </row>
    <row r="22913" spans="2:8" ht="15" customHeight="1" x14ac:dyDescent="0.4">
      <c r="B22913" s="3" t="s">
        <v>7</v>
      </c>
      <c r="C22913" s="3" t="s">
        <v>3659</v>
      </c>
      <c r="D22913" s="4">
        <f>DATE(2008,2,4)</f>
        <v>39482</v>
      </c>
      <c r="E22913" s="5">
        <f t="shared" si="381"/>
        <v>2008</v>
      </c>
      <c r="F22913" s="3" t="s">
        <v>3660</v>
      </c>
      <c r="G22913" s="6">
        <v>18</v>
      </c>
      <c r="H22913" s="5">
        <v>9748</v>
      </c>
    </row>
    <row r="22914" spans="2:8" ht="15" customHeight="1" x14ac:dyDescent="0.4">
      <c r="B22914" s="3" t="s">
        <v>7</v>
      </c>
      <c r="C22914" s="3" t="s">
        <v>3659</v>
      </c>
      <c r="D22914" s="4">
        <f>DATE(2008,12,5)</f>
        <v>39787</v>
      </c>
      <c r="E22914" s="5">
        <f t="shared" si="381"/>
        <v>2008</v>
      </c>
      <c r="F22914" s="3" t="s">
        <v>3660</v>
      </c>
      <c r="G22914" s="6">
        <v>773</v>
      </c>
      <c r="H22914" s="5">
        <v>11650</v>
      </c>
    </row>
    <row r="22915" spans="2:8" ht="15" customHeight="1" x14ac:dyDescent="0.4">
      <c r="B22915" s="3" t="s">
        <v>7</v>
      </c>
      <c r="C22915" s="3" t="s">
        <v>3659</v>
      </c>
      <c r="D22915" s="4">
        <f>DATE(2009,2,10)</f>
        <v>39854</v>
      </c>
      <c r="E22915" s="5">
        <f t="shared" ref="E22915:E22978" si="382">YEAR(D22915)</f>
        <v>2009</v>
      </c>
      <c r="F22915" s="3" t="s">
        <v>3660</v>
      </c>
      <c r="G22915" s="6">
        <v>1535.25</v>
      </c>
      <c r="H22915" s="5">
        <v>11925</v>
      </c>
    </row>
    <row r="22916" spans="2:8" ht="15" customHeight="1" x14ac:dyDescent="0.4">
      <c r="B22916" s="3" t="s">
        <v>7</v>
      </c>
      <c r="C22916" s="3" t="s">
        <v>3661</v>
      </c>
      <c r="D22916" s="4">
        <f>DATE(2009,1,29)</f>
        <v>39842</v>
      </c>
      <c r="E22916" s="5">
        <f t="shared" si="382"/>
        <v>2009</v>
      </c>
      <c r="F22916" s="3" t="s">
        <v>3662</v>
      </c>
      <c r="G22916" s="6">
        <v>80.75</v>
      </c>
      <c r="H22916" s="5">
        <v>11906</v>
      </c>
    </row>
    <row r="22917" spans="2:8" ht="15" customHeight="1" x14ac:dyDescent="0.4">
      <c r="B22917" s="3" t="s">
        <v>7</v>
      </c>
      <c r="C22917" s="3" t="s">
        <v>3661</v>
      </c>
      <c r="D22917" s="4">
        <f>DATE(2009,2,10)</f>
        <v>39854</v>
      </c>
      <c r="E22917" s="5">
        <f t="shared" si="382"/>
        <v>2009</v>
      </c>
      <c r="F22917" s="3" t="s">
        <v>3662</v>
      </c>
      <c r="G22917" s="6">
        <v>644</v>
      </c>
      <c r="H22917" s="5">
        <v>11929</v>
      </c>
    </row>
    <row r="22918" spans="2:8" ht="15" customHeight="1" x14ac:dyDescent="0.4">
      <c r="B22918" s="3" t="s">
        <v>7</v>
      </c>
      <c r="C22918" s="3" t="s">
        <v>3663</v>
      </c>
      <c r="D22918" s="4">
        <f>DATE(2003,3,25)</f>
        <v>37705</v>
      </c>
      <c r="E22918" s="5">
        <f t="shared" si="382"/>
        <v>2003</v>
      </c>
      <c r="F22918" s="3" t="s">
        <v>3664</v>
      </c>
      <c r="G22918" s="6">
        <v>2669.02</v>
      </c>
      <c r="H22918" s="5">
        <v>578</v>
      </c>
    </row>
    <row r="22919" spans="2:8" ht="15" customHeight="1" x14ac:dyDescent="0.4">
      <c r="B22919" s="3" t="s">
        <v>7</v>
      </c>
      <c r="C22919" s="3" t="s">
        <v>3663</v>
      </c>
      <c r="D22919" s="4">
        <f>DATE(2004,5,3)</f>
        <v>38110</v>
      </c>
      <c r="E22919" s="5">
        <f t="shared" si="382"/>
        <v>2004</v>
      </c>
      <c r="F22919" s="3" t="s">
        <v>3664</v>
      </c>
      <c r="G22919" s="6">
        <v>2536</v>
      </c>
      <c r="H22919" s="5">
        <v>2807</v>
      </c>
    </row>
    <row r="22920" spans="2:8" ht="15" customHeight="1" x14ac:dyDescent="0.4">
      <c r="B22920" s="3" t="s">
        <v>7</v>
      </c>
      <c r="C22920" s="3" t="s">
        <v>3663</v>
      </c>
      <c r="D22920" s="4">
        <f>DATE(2005,1,24)</f>
        <v>38376</v>
      </c>
      <c r="E22920" s="5">
        <f t="shared" si="382"/>
        <v>2005</v>
      </c>
      <c r="F22920" s="3" t="s">
        <v>3664</v>
      </c>
      <c r="G22920" s="6">
        <v>2300</v>
      </c>
      <c r="H22920" s="5">
        <v>4013</v>
      </c>
    </row>
    <row r="22921" spans="2:8" ht="15" customHeight="1" x14ac:dyDescent="0.4">
      <c r="B22921" t="s">
        <v>7</v>
      </c>
      <c r="C22921" t="s">
        <v>3665</v>
      </c>
      <c r="D22921" s="7">
        <f>DATE(2015,5,1)</f>
        <v>42125</v>
      </c>
      <c r="E22921" s="8">
        <f t="shared" si="382"/>
        <v>2015</v>
      </c>
      <c r="F22921" t="s">
        <v>3666</v>
      </c>
      <c r="G22921" s="9">
        <v>10440</v>
      </c>
      <c r="H22921" s="8">
        <v>95</v>
      </c>
    </row>
    <row r="22922" spans="2:8" ht="15" customHeight="1" x14ac:dyDescent="0.4">
      <c r="B22922" t="s">
        <v>7</v>
      </c>
      <c r="C22922" t="s">
        <v>3665</v>
      </c>
      <c r="D22922" s="7">
        <f>DATE(2015,5,1)</f>
        <v>42125</v>
      </c>
      <c r="E22922" s="8">
        <f t="shared" si="382"/>
        <v>2015</v>
      </c>
      <c r="F22922" t="s">
        <v>3666</v>
      </c>
      <c r="G22922" s="9">
        <v>8250</v>
      </c>
      <c r="H22922" s="8">
        <v>20195</v>
      </c>
    </row>
    <row r="22923" spans="2:8" ht="15" customHeight="1" x14ac:dyDescent="0.4">
      <c r="B22923" t="s">
        <v>7</v>
      </c>
      <c r="C22923" t="s">
        <v>3665</v>
      </c>
      <c r="D22923" s="7">
        <f>DATE(2015,5,12)</f>
        <v>42136</v>
      </c>
      <c r="E22923" s="8">
        <f t="shared" si="382"/>
        <v>2015</v>
      </c>
      <c r="F22923" t="s">
        <v>3666</v>
      </c>
      <c r="G22923" s="9">
        <v>112.8</v>
      </c>
      <c r="H22923" s="8">
        <v>20407</v>
      </c>
    </row>
    <row r="22924" spans="2:8" ht="15" customHeight="1" x14ac:dyDescent="0.4">
      <c r="B22924" t="s">
        <v>7</v>
      </c>
      <c r="C22924" t="s">
        <v>3665</v>
      </c>
      <c r="D22924" s="7">
        <f>DATE(2013,4,30)</f>
        <v>41394</v>
      </c>
      <c r="E22924" s="8">
        <f t="shared" si="382"/>
        <v>2013</v>
      </c>
      <c r="F22924" t="s">
        <v>3666</v>
      </c>
      <c r="G22924" s="9">
        <v>11900</v>
      </c>
      <c r="H22924" s="8">
        <v>12298</v>
      </c>
    </row>
    <row r="22925" spans="2:8" ht="15" customHeight="1" x14ac:dyDescent="0.4">
      <c r="B22925" t="s">
        <v>7</v>
      </c>
      <c r="C22925" t="s">
        <v>3665</v>
      </c>
      <c r="D22925" s="7">
        <f>DATE(2013,5,7)</f>
        <v>41401</v>
      </c>
      <c r="E22925" s="8">
        <f t="shared" si="382"/>
        <v>2013</v>
      </c>
      <c r="F22925" t="s">
        <v>3666</v>
      </c>
      <c r="G22925" s="9">
        <v>12153.47</v>
      </c>
      <c r="H22925" s="8">
        <v>12297</v>
      </c>
    </row>
    <row r="22926" spans="2:8" ht="15" customHeight="1" x14ac:dyDescent="0.4">
      <c r="B22926" t="s">
        <v>7</v>
      </c>
      <c r="C22926" t="s">
        <v>3667</v>
      </c>
      <c r="D22926" s="7">
        <f>DATE(2003,4,17)</f>
        <v>37728</v>
      </c>
      <c r="E22926" s="8">
        <f t="shared" si="382"/>
        <v>2003</v>
      </c>
      <c r="F22926" t="s">
        <v>3668</v>
      </c>
      <c r="G22926" s="9">
        <v>5875</v>
      </c>
      <c r="H22926" s="8">
        <v>474</v>
      </c>
    </row>
    <row r="22927" spans="2:8" ht="15" customHeight="1" x14ac:dyDescent="0.4">
      <c r="B22927" s="3" t="s">
        <v>7</v>
      </c>
      <c r="C22927" s="3" t="s">
        <v>3667</v>
      </c>
      <c r="D22927" s="4">
        <f>DATE(2003,5,13)</f>
        <v>37754</v>
      </c>
      <c r="E22927" s="5">
        <f t="shared" si="382"/>
        <v>2003</v>
      </c>
      <c r="F22927" s="3" t="s">
        <v>3668</v>
      </c>
      <c r="G22927" s="6">
        <v>4160</v>
      </c>
      <c r="H22927" s="5">
        <v>211</v>
      </c>
    </row>
    <row r="22928" spans="2:8" ht="15" customHeight="1" x14ac:dyDescent="0.4">
      <c r="B22928" s="3" t="s">
        <v>7</v>
      </c>
      <c r="C22928" s="3" t="s">
        <v>3667</v>
      </c>
      <c r="D22928" s="4">
        <f>DATE(2004,4,15)</f>
        <v>38092</v>
      </c>
      <c r="E22928" s="5">
        <f t="shared" si="382"/>
        <v>2004</v>
      </c>
      <c r="F22928" s="3" t="s">
        <v>3668</v>
      </c>
      <c r="G22928" s="6">
        <v>22616.13</v>
      </c>
      <c r="H22928" s="5">
        <v>613</v>
      </c>
    </row>
    <row r="22929" spans="2:8" ht="15" customHeight="1" x14ac:dyDescent="0.4">
      <c r="B22929" s="3" t="s">
        <v>16</v>
      </c>
      <c r="C22929" s="3" t="s">
        <v>3667</v>
      </c>
      <c r="D22929" s="4">
        <f>DATE(2004,4,15)</f>
        <v>38092</v>
      </c>
      <c r="E22929" s="5">
        <f t="shared" si="382"/>
        <v>2004</v>
      </c>
      <c r="F22929" s="3" t="s">
        <v>3668</v>
      </c>
      <c r="G22929" s="6">
        <v>1723.63</v>
      </c>
      <c r="H22929" s="5">
        <v>719</v>
      </c>
    </row>
    <row r="22930" spans="2:8" ht="15" customHeight="1" x14ac:dyDescent="0.4">
      <c r="B22930" t="s">
        <v>7</v>
      </c>
      <c r="C22930" t="s">
        <v>3669</v>
      </c>
      <c r="D22930" s="7">
        <f>DATE(2005,5,14)</f>
        <v>38486</v>
      </c>
      <c r="E22930" s="8">
        <f t="shared" si="382"/>
        <v>2005</v>
      </c>
      <c r="F22930" t="s">
        <v>3670</v>
      </c>
      <c r="G22930" s="9">
        <v>16524.02</v>
      </c>
      <c r="H22930" s="8">
        <v>3026</v>
      </c>
    </row>
    <row r="22931" spans="2:8" ht="15" customHeight="1" x14ac:dyDescent="0.4">
      <c r="B22931" t="s">
        <v>16</v>
      </c>
      <c r="C22931" t="s">
        <v>3669</v>
      </c>
      <c r="D22931" s="7">
        <f>DATE(2005,5,14)</f>
        <v>38486</v>
      </c>
      <c r="E22931" s="8">
        <f t="shared" si="382"/>
        <v>2005</v>
      </c>
      <c r="F22931" t="s">
        <v>3670</v>
      </c>
      <c r="G22931" s="9">
        <v>348.2</v>
      </c>
      <c r="H22931" s="8">
        <v>3454</v>
      </c>
    </row>
    <row r="22932" spans="2:8" ht="15" customHeight="1" x14ac:dyDescent="0.4">
      <c r="B22932" t="s">
        <v>7</v>
      </c>
      <c r="C22932" t="s">
        <v>3671</v>
      </c>
      <c r="D22932" s="7">
        <f>DATE(2005,2,13)</f>
        <v>38396</v>
      </c>
      <c r="E22932" s="8">
        <f t="shared" si="382"/>
        <v>2005</v>
      </c>
      <c r="F22932" t="s">
        <v>3672</v>
      </c>
      <c r="G22932" s="9">
        <v>887</v>
      </c>
      <c r="H22932" s="8">
        <v>2722</v>
      </c>
    </row>
    <row r="22933" spans="2:8" ht="15" customHeight="1" x14ac:dyDescent="0.4">
      <c r="B22933" t="s">
        <v>7</v>
      </c>
      <c r="C22933" t="s">
        <v>3671</v>
      </c>
      <c r="D22933" s="7">
        <f>DATE(2007,9,27)</f>
        <v>39352</v>
      </c>
      <c r="E22933" s="8">
        <f t="shared" si="382"/>
        <v>2007</v>
      </c>
      <c r="F22933" t="s">
        <v>3672</v>
      </c>
      <c r="G22933" s="9">
        <v>766</v>
      </c>
      <c r="H22933" s="8">
        <v>6391</v>
      </c>
    </row>
    <row r="22934" spans="2:8" ht="15" customHeight="1" x14ac:dyDescent="0.4">
      <c r="B22934" t="s">
        <v>7</v>
      </c>
      <c r="C22934" t="s">
        <v>3671</v>
      </c>
      <c r="D22934" s="7">
        <f>DATE(2003,1,27)</f>
        <v>37648</v>
      </c>
      <c r="E22934" s="8">
        <f t="shared" si="382"/>
        <v>2003</v>
      </c>
      <c r="F22934" t="s">
        <v>3672</v>
      </c>
      <c r="G22934" s="9">
        <v>278</v>
      </c>
      <c r="H22934" s="8">
        <v>74</v>
      </c>
    </row>
    <row r="22935" spans="2:8" ht="15" customHeight="1" x14ac:dyDescent="0.4">
      <c r="B22935" t="s">
        <v>7</v>
      </c>
      <c r="C22935" t="s">
        <v>3673</v>
      </c>
      <c r="D22935" s="7">
        <f>DATE(2019,4,29)</f>
        <v>43584</v>
      </c>
      <c r="E22935" s="8">
        <f t="shared" si="382"/>
        <v>2019</v>
      </c>
      <c r="F22935" t="s">
        <v>3674</v>
      </c>
      <c r="G22935" s="9">
        <v>7370.55</v>
      </c>
      <c r="H22935" s="8">
        <v>28584</v>
      </c>
    </row>
    <row r="22936" spans="2:8" ht="15" customHeight="1" x14ac:dyDescent="0.4">
      <c r="B22936" t="s">
        <v>7</v>
      </c>
      <c r="C22936" t="s">
        <v>3673</v>
      </c>
      <c r="D22936" s="7">
        <f>DATE(2016,5,23)</f>
        <v>42513</v>
      </c>
      <c r="E22936" s="8">
        <f t="shared" si="382"/>
        <v>2016</v>
      </c>
      <c r="F22936" t="s">
        <v>3674</v>
      </c>
      <c r="G22936" s="9">
        <v>235.16</v>
      </c>
      <c r="H22936" s="8">
        <v>22886</v>
      </c>
    </row>
    <row r="22937" spans="2:8" ht="15" customHeight="1" x14ac:dyDescent="0.4">
      <c r="B22937" t="s">
        <v>7</v>
      </c>
      <c r="C22937" t="s">
        <v>3673</v>
      </c>
      <c r="D22937" s="7">
        <f>DATE(2016,5,23)</f>
        <v>42513</v>
      </c>
      <c r="E22937" s="8">
        <f t="shared" si="382"/>
        <v>2016</v>
      </c>
      <c r="F22937" t="s">
        <v>3674</v>
      </c>
      <c r="G22937" s="9">
        <v>228.8</v>
      </c>
      <c r="H22937" s="8">
        <v>22900</v>
      </c>
    </row>
    <row r="22938" spans="2:8" ht="15" customHeight="1" x14ac:dyDescent="0.4">
      <c r="B22938" t="s">
        <v>16</v>
      </c>
      <c r="C22938" t="s">
        <v>3673</v>
      </c>
      <c r="D22938" s="7">
        <f>DATE(2016,5,31)</f>
        <v>42521</v>
      </c>
      <c r="E22938" s="8">
        <f t="shared" si="382"/>
        <v>2016</v>
      </c>
      <c r="F22938" t="s">
        <v>3674</v>
      </c>
      <c r="G22938" s="9">
        <v>169.2</v>
      </c>
      <c r="H22938" s="8">
        <v>22925</v>
      </c>
    </row>
    <row r="22939" spans="2:8" ht="15" customHeight="1" x14ac:dyDescent="0.4">
      <c r="B22939" t="s">
        <v>16</v>
      </c>
      <c r="C22939" t="s">
        <v>3673</v>
      </c>
      <c r="D22939" s="7">
        <f>DATE(2016,5,31)</f>
        <v>42521</v>
      </c>
      <c r="E22939" s="8">
        <f t="shared" si="382"/>
        <v>2016</v>
      </c>
      <c r="F22939" t="s">
        <v>3674</v>
      </c>
      <c r="G22939" s="9">
        <v>162.4</v>
      </c>
      <c r="H22939" s="8">
        <v>22926</v>
      </c>
    </row>
    <row r="22940" spans="2:8" ht="15" customHeight="1" x14ac:dyDescent="0.4">
      <c r="B22940" t="s">
        <v>7</v>
      </c>
      <c r="C22940" t="s">
        <v>3673</v>
      </c>
      <c r="D22940" s="7">
        <f>DATE(2003,3,9)</f>
        <v>37689</v>
      </c>
      <c r="E22940" s="8">
        <f t="shared" si="382"/>
        <v>2003</v>
      </c>
      <c r="F22940" t="s">
        <v>3674</v>
      </c>
      <c r="G22940" s="9">
        <v>5084.95</v>
      </c>
      <c r="H22940" s="8">
        <v>320</v>
      </c>
    </row>
    <row r="22941" spans="2:8" ht="15" customHeight="1" x14ac:dyDescent="0.4">
      <c r="B22941" t="s">
        <v>7</v>
      </c>
      <c r="C22941" t="s">
        <v>3673</v>
      </c>
      <c r="D22941" s="7">
        <f>DATE(2003,4,26)</f>
        <v>37737</v>
      </c>
      <c r="E22941" s="8">
        <f t="shared" si="382"/>
        <v>2003</v>
      </c>
      <c r="F22941" t="s">
        <v>3674</v>
      </c>
      <c r="G22941" s="9">
        <v>32396.49</v>
      </c>
      <c r="H22941" s="8">
        <v>452</v>
      </c>
    </row>
    <row r="22942" spans="2:8" ht="15" customHeight="1" x14ac:dyDescent="0.4">
      <c r="B22942" t="s">
        <v>7</v>
      </c>
      <c r="C22942" t="s">
        <v>3673</v>
      </c>
      <c r="D22942" s="7">
        <f>DATE(2003,5,1)</f>
        <v>37742</v>
      </c>
      <c r="E22942" s="8">
        <f t="shared" si="382"/>
        <v>2003</v>
      </c>
      <c r="F22942" t="s">
        <v>3674</v>
      </c>
      <c r="G22942" s="9">
        <v>2845</v>
      </c>
      <c r="H22942" s="8">
        <v>669</v>
      </c>
    </row>
    <row r="22943" spans="2:8" ht="15" customHeight="1" x14ac:dyDescent="0.4">
      <c r="B22943" t="s">
        <v>7</v>
      </c>
      <c r="C22943" t="s">
        <v>3673</v>
      </c>
      <c r="D22943" s="7">
        <f>DATE(2003,6,25)</f>
        <v>37797</v>
      </c>
      <c r="E22943" s="8">
        <f t="shared" si="382"/>
        <v>2003</v>
      </c>
      <c r="F22943" t="s">
        <v>3674</v>
      </c>
      <c r="G22943" s="9">
        <v>40073.83</v>
      </c>
      <c r="H22943" s="8">
        <v>453</v>
      </c>
    </row>
    <row r="22944" spans="2:8" ht="15" customHeight="1" x14ac:dyDescent="0.4">
      <c r="B22944" t="s">
        <v>7</v>
      </c>
      <c r="C22944" t="s">
        <v>3673</v>
      </c>
      <c r="D22944" s="7">
        <f>DATE(2003,11,13)</f>
        <v>37938</v>
      </c>
      <c r="E22944" s="8">
        <f t="shared" si="382"/>
        <v>2003</v>
      </c>
      <c r="F22944" t="s">
        <v>3674</v>
      </c>
      <c r="G22944" s="9">
        <v>18992.54</v>
      </c>
      <c r="H22944" s="8">
        <v>1016</v>
      </c>
    </row>
    <row r="22945" spans="2:8" ht="15" customHeight="1" x14ac:dyDescent="0.4">
      <c r="B22945" t="s">
        <v>7</v>
      </c>
      <c r="C22945" t="s">
        <v>3673</v>
      </c>
      <c r="D22945" s="7">
        <f>DATE(2003,12,21)</f>
        <v>37976</v>
      </c>
      <c r="E22945" s="8">
        <f t="shared" si="382"/>
        <v>2003</v>
      </c>
      <c r="F22945" t="s">
        <v>3674</v>
      </c>
      <c r="G22945" s="9">
        <v>76010.47</v>
      </c>
      <c r="H22945" s="8">
        <v>1038</v>
      </c>
    </row>
    <row r="22946" spans="2:8" ht="15" customHeight="1" x14ac:dyDescent="0.4">
      <c r="B22946" t="s">
        <v>7</v>
      </c>
      <c r="C22946" t="s">
        <v>3673</v>
      </c>
      <c r="D22946" s="7">
        <f>DATE(2003,12,31)</f>
        <v>37986</v>
      </c>
      <c r="E22946" s="8">
        <f t="shared" si="382"/>
        <v>2003</v>
      </c>
      <c r="F22946" t="s">
        <v>3674</v>
      </c>
      <c r="G22946" s="9">
        <v>13122.5</v>
      </c>
      <c r="H22946" s="8">
        <v>1064</v>
      </c>
    </row>
    <row r="22947" spans="2:8" ht="15" customHeight="1" x14ac:dyDescent="0.4">
      <c r="B22947" t="s">
        <v>7</v>
      </c>
      <c r="C22947" t="s">
        <v>3673</v>
      </c>
      <c r="D22947" s="7">
        <f>DATE(2004,1,9)</f>
        <v>37995</v>
      </c>
      <c r="E22947" s="8">
        <f t="shared" si="382"/>
        <v>2004</v>
      </c>
      <c r="F22947" t="s">
        <v>3674</v>
      </c>
      <c r="G22947" s="9">
        <v>8767.5</v>
      </c>
      <c r="H22947" s="8">
        <v>1064</v>
      </c>
    </row>
    <row r="22948" spans="2:8" ht="15" customHeight="1" x14ac:dyDescent="0.4">
      <c r="B22948" t="s">
        <v>7</v>
      </c>
      <c r="C22948" t="s">
        <v>3673</v>
      </c>
      <c r="D22948" s="7">
        <f>DATE(2005,3,15)</f>
        <v>38426</v>
      </c>
      <c r="E22948" s="8">
        <f t="shared" si="382"/>
        <v>2005</v>
      </c>
      <c r="F22948" t="s">
        <v>3674</v>
      </c>
      <c r="G22948" s="9">
        <v>69463.95</v>
      </c>
      <c r="H22948" s="8">
        <v>2787</v>
      </c>
    </row>
    <row r="22949" spans="2:8" ht="15" customHeight="1" x14ac:dyDescent="0.4">
      <c r="B22949" t="s">
        <v>7</v>
      </c>
      <c r="C22949" t="s">
        <v>3673</v>
      </c>
      <c r="D22949" s="7">
        <f>DATE(2007,2,7)</f>
        <v>39120</v>
      </c>
      <c r="E22949" s="8">
        <f t="shared" si="382"/>
        <v>2007</v>
      </c>
      <c r="F22949" t="s">
        <v>3674</v>
      </c>
      <c r="G22949" s="9">
        <v>46558.07</v>
      </c>
      <c r="H22949" s="8">
        <v>5294</v>
      </c>
    </row>
    <row r="22950" spans="2:8" ht="15" customHeight="1" x14ac:dyDescent="0.4">
      <c r="B22950" t="s">
        <v>7</v>
      </c>
      <c r="C22950" t="s">
        <v>3673</v>
      </c>
      <c r="D22950" s="7">
        <f>DATE(2007,3,1)</f>
        <v>39142</v>
      </c>
      <c r="E22950" s="8">
        <f t="shared" si="382"/>
        <v>2007</v>
      </c>
      <c r="F22950" t="s">
        <v>3674</v>
      </c>
      <c r="G22950" s="9">
        <v>65039.22</v>
      </c>
      <c r="H22950" s="8">
        <v>5517</v>
      </c>
    </row>
    <row r="22951" spans="2:8" ht="15" customHeight="1" x14ac:dyDescent="0.4">
      <c r="B22951" t="s">
        <v>7</v>
      </c>
      <c r="C22951" t="s">
        <v>3673</v>
      </c>
      <c r="D22951" s="7">
        <f>DATE(2007,8,25)</f>
        <v>39319</v>
      </c>
      <c r="E22951" s="8">
        <f t="shared" si="382"/>
        <v>2007</v>
      </c>
      <c r="F22951" t="s">
        <v>3674</v>
      </c>
      <c r="G22951" s="9">
        <v>21050.5</v>
      </c>
      <c r="H22951" s="8">
        <v>6259</v>
      </c>
    </row>
    <row r="22952" spans="2:8" ht="15" customHeight="1" x14ac:dyDescent="0.4">
      <c r="B22952" t="s">
        <v>7</v>
      </c>
      <c r="C22952" t="s">
        <v>3673</v>
      </c>
      <c r="D22952" s="7">
        <f>DATE(2014,10,2)</f>
        <v>41914</v>
      </c>
      <c r="E22952" s="8">
        <f t="shared" si="382"/>
        <v>2014</v>
      </c>
      <c r="F22952" t="s">
        <v>3674</v>
      </c>
      <c r="G22952" s="9">
        <v>30840.05</v>
      </c>
      <c r="H22952" s="8">
        <v>13399</v>
      </c>
    </row>
    <row r="22953" spans="2:8" ht="15" customHeight="1" x14ac:dyDescent="0.4">
      <c r="B22953" t="s">
        <v>7</v>
      </c>
      <c r="C22953" t="s">
        <v>3673</v>
      </c>
      <c r="D22953" s="7">
        <f>DATE(2014,10,9)</f>
        <v>41921</v>
      </c>
      <c r="E22953" s="8">
        <f t="shared" si="382"/>
        <v>2014</v>
      </c>
      <c r="F22953" t="s">
        <v>3674</v>
      </c>
      <c r="G22953" s="9">
        <v>227157.4</v>
      </c>
      <c r="H22953" s="8">
        <v>13398</v>
      </c>
    </row>
    <row r="22954" spans="2:8" ht="15" customHeight="1" x14ac:dyDescent="0.4">
      <c r="B22954" t="s">
        <v>16</v>
      </c>
      <c r="C22954" t="s">
        <v>3673</v>
      </c>
      <c r="D22954" s="7">
        <f>DATE(2003,5,22)</f>
        <v>37763</v>
      </c>
      <c r="E22954" s="8">
        <f t="shared" si="382"/>
        <v>2003</v>
      </c>
      <c r="F22954" t="s">
        <v>3674</v>
      </c>
      <c r="G22954" s="9">
        <v>3375</v>
      </c>
      <c r="H22954" s="8">
        <v>668</v>
      </c>
    </row>
    <row r="22955" spans="2:8" ht="15" customHeight="1" x14ac:dyDescent="0.4">
      <c r="B22955" t="s">
        <v>16</v>
      </c>
      <c r="C22955" t="s">
        <v>3673</v>
      </c>
      <c r="D22955" s="7">
        <f>DATE(2003,12,21)</f>
        <v>37976</v>
      </c>
      <c r="E22955" s="8">
        <f t="shared" si="382"/>
        <v>2003</v>
      </c>
      <c r="F22955" t="s">
        <v>3674</v>
      </c>
      <c r="G22955" s="9">
        <v>1102.5</v>
      </c>
      <c r="H22955" s="8">
        <v>1135</v>
      </c>
    </row>
    <row r="22956" spans="2:8" ht="15" customHeight="1" x14ac:dyDescent="0.4">
      <c r="B22956" s="3" t="s">
        <v>7</v>
      </c>
      <c r="C22956" s="3" t="s">
        <v>3673</v>
      </c>
      <c r="D22956" s="4">
        <f>DATE(2013,8,15)</f>
        <v>41501</v>
      </c>
      <c r="E22956" s="5">
        <f t="shared" si="382"/>
        <v>2013</v>
      </c>
      <c r="F22956" s="3" t="s">
        <v>3674</v>
      </c>
      <c r="G22956" s="6">
        <v>762.6</v>
      </c>
      <c r="H22956" s="5">
        <v>5767</v>
      </c>
    </row>
    <row r="22957" spans="2:8" ht="15" customHeight="1" x14ac:dyDescent="0.4">
      <c r="B22957" s="3" t="s">
        <v>7</v>
      </c>
      <c r="C22957" s="3" t="s">
        <v>3673</v>
      </c>
      <c r="D22957" s="4">
        <f>DATE(2003,1,23)</f>
        <v>37644</v>
      </c>
      <c r="E22957" s="5">
        <f t="shared" si="382"/>
        <v>2003</v>
      </c>
      <c r="F22957" s="3" t="s">
        <v>3674</v>
      </c>
      <c r="G22957" s="6">
        <v>68.5</v>
      </c>
      <c r="H22957" s="5">
        <v>118</v>
      </c>
    </row>
    <row r="22958" spans="2:8" ht="15" customHeight="1" x14ac:dyDescent="0.4">
      <c r="B22958" s="3" t="s">
        <v>7</v>
      </c>
      <c r="C22958" s="3" t="s">
        <v>3673</v>
      </c>
      <c r="D22958" s="4">
        <f>DATE(2003,2,14)</f>
        <v>37666</v>
      </c>
      <c r="E22958" s="5">
        <f t="shared" si="382"/>
        <v>2003</v>
      </c>
      <c r="F22958" s="3" t="s">
        <v>3674</v>
      </c>
      <c r="G22958" s="6">
        <v>257</v>
      </c>
      <c r="H22958" s="5">
        <v>264</v>
      </c>
    </row>
    <row r="22959" spans="2:8" ht="15" customHeight="1" x14ac:dyDescent="0.4">
      <c r="B22959" s="3" t="s">
        <v>7</v>
      </c>
      <c r="C22959" s="3" t="s">
        <v>3673</v>
      </c>
      <c r="D22959" s="4">
        <f>DATE(2003,2,25)</f>
        <v>37677</v>
      </c>
      <c r="E22959" s="5">
        <f t="shared" si="382"/>
        <v>2003</v>
      </c>
      <c r="F22959" s="3" t="s">
        <v>3674</v>
      </c>
      <c r="G22959" s="6">
        <v>686.75</v>
      </c>
      <c r="H22959" s="5">
        <v>367</v>
      </c>
    </row>
    <row r="22960" spans="2:8" ht="15" customHeight="1" x14ac:dyDescent="0.4">
      <c r="B22960" s="3" t="s">
        <v>7</v>
      </c>
      <c r="C22960" s="3" t="s">
        <v>3673</v>
      </c>
      <c r="D22960" s="4">
        <f>DATE(2003,7,16)</f>
        <v>37818</v>
      </c>
      <c r="E22960" s="5">
        <f t="shared" si="382"/>
        <v>2003</v>
      </c>
      <c r="F22960" s="3" t="s">
        <v>3674</v>
      </c>
      <c r="G22960" s="6">
        <v>1270</v>
      </c>
      <c r="H22960" s="5">
        <v>1193</v>
      </c>
    </row>
    <row r="22961" spans="2:8" ht="15" customHeight="1" x14ac:dyDescent="0.4">
      <c r="B22961" s="3" t="s">
        <v>7</v>
      </c>
      <c r="C22961" s="3" t="s">
        <v>3673</v>
      </c>
      <c r="D22961" s="4">
        <f>DATE(2003,8,20)</f>
        <v>37853</v>
      </c>
      <c r="E22961" s="5">
        <f t="shared" si="382"/>
        <v>2003</v>
      </c>
      <c r="F22961" s="3" t="s">
        <v>3674</v>
      </c>
      <c r="G22961" s="6">
        <v>435.25</v>
      </c>
      <c r="H22961" s="5">
        <v>1362</v>
      </c>
    </row>
    <row r="22962" spans="2:8" ht="15" customHeight="1" x14ac:dyDescent="0.4">
      <c r="B22962" s="3" t="s">
        <v>7</v>
      </c>
      <c r="C22962" s="3" t="s">
        <v>3673</v>
      </c>
      <c r="D22962" s="4">
        <f>DATE(2003,8,20)</f>
        <v>37853</v>
      </c>
      <c r="E22962" s="5">
        <f t="shared" si="382"/>
        <v>2003</v>
      </c>
      <c r="F22962" s="3" t="s">
        <v>3674</v>
      </c>
      <c r="G22962" s="6">
        <v>704</v>
      </c>
      <c r="H22962" s="5">
        <v>1362</v>
      </c>
    </row>
    <row r="22963" spans="2:8" ht="15" customHeight="1" x14ac:dyDescent="0.4">
      <c r="B22963" s="3" t="s">
        <v>7</v>
      </c>
      <c r="C22963" s="3" t="s">
        <v>3673</v>
      </c>
      <c r="D22963" s="4">
        <f>DATE(2003,8,20)</f>
        <v>37853</v>
      </c>
      <c r="E22963" s="5">
        <f t="shared" si="382"/>
        <v>2003</v>
      </c>
      <c r="F22963" s="3" t="s">
        <v>3674</v>
      </c>
      <c r="G22963" s="6">
        <v>704</v>
      </c>
      <c r="H22963" s="5">
        <v>1362</v>
      </c>
    </row>
    <row r="22964" spans="2:8" ht="15" customHeight="1" x14ac:dyDescent="0.4">
      <c r="B22964" s="3" t="s">
        <v>7</v>
      </c>
      <c r="C22964" s="3" t="s">
        <v>3673</v>
      </c>
      <c r="D22964" s="4">
        <f>DATE(2003,8,20)</f>
        <v>37853</v>
      </c>
      <c r="E22964" s="5">
        <f t="shared" si="382"/>
        <v>2003</v>
      </c>
      <c r="F22964" s="3" t="s">
        <v>3674</v>
      </c>
      <c r="G22964" s="6">
        <v>973.25</v>
      </c>
      <c r="H22964" s="5">
        <v>1362</v>
      </c>
    </row>
    <row r="22965" spans="2:8" ht="15" customHeight="1" x14ac:dyDescent="0.4">
      <c r="B22965" s="3" t="s">
        <v>7</v>
      </c>
      <c r="C22965" s="3" t="s">
        <v>3673</v>
      </c>
      <c r="D22965" s="4">
        <f>DATE(2003,8,20)</f>
        <v>37853</v>
      </c>
      <c r="E22965" s="5">
        <f t="shared" si="382"/>
        <v>2003</v>
      </c>
      <c r="F22965" s="3" t="s">
        <v>3674</v>
      </c>
      <c r="G22965" s="6">
        <v>1408</v>
      </c>
      <c r="H22965" s="5">
        <v>1362</v>
      </c>
    </row>
    <row r="22966" spans="2:8" ht="15" customHeight="1" x14ac:dyDescent="0.4">
      <c r="B22966" s="3" t="s">
        <v>7</v>
      </c>
      <c r="C22966" s="3" t="s">
        <v>3673</v>
      </c>
      <c r="D22966" s="4">
        <f>DATE(2003,8,29)</f>
        <v>37862</v>
      </c>
      <c r="E22966" s="5">
        <f t="shared" si="382"/>
        <v>2003</v>
      </c>
      <c r="F22966" s="3" t="s">
        <v>3674</v>
      </c>
      <c r="G22966" s="6">
        <v>435.25</v>
      </c>
      <c r="H22966" s="5">
        <v>1424</v>
      </c>
    </row>
    <row r="22967" spans="2:8" ht="15" customHeight="1" x14ac:dyDescent="0.4">
      <c r="B22967" s="3" t="s">
        <v>7</v>
      </c>
      <c r="C22967" s="3" t="s">
        <v>3673</v>
      </c>
      <c r="D22967" s="4">
        <f>DATE(2003,8,27)</f>
        <v>37860</v>
      </c>
      <c r="E22967" s="5">
        <f t="shared" si="382"/>
        <v>2003</v>
      </c>
      <c r="F22967" s="3" t="s">
        <v>3674</v>
      </c>
      <c r="G22967" s="6">
        <v>704</v>
      </c>
      <c r="H22967" s="5">
        <v>1424</v>
      </c>
    </row>
    <row r="22968" spans="2:8" ht="15" customHeight="1" x14ac:dyDescent="0.4">
      <c r="B22968" s="3" t="s">
        <v>7</v>
      </c>
      <c r="C22968" s="3" t="s">
        <v>3673</v>
      </c>
      <c r="D22968" s="4">
        <f>DATE(2003,8,26)</f>
        <v>37859</v>
      </c>
      <c r="E22968" s="5">
        <f t="shared" si="382"/>
        <v>2003</v>
      </c>
      <c r="F22968" s="3" t="s">
        <v>3674</v>
      </c>
      <c r="G22968" s="6">
        <v>1679</v>
      </c>
      <c r="H22968" s="5">
        <v>1424</v>
      </c>
    </row>
    <row r="22969" spans="2:8" ht="15" customHeight="1" x14ac:dyDescent="0.4">
      <c r="B22969" s="3" t="s">
        <v>7</v>
      </c>
      <c r="C22969" s="3" t="s">
        <v>3673</v>
      </c>
      <c r="D22969" s="4">
        <f>DATE(2003,8,28)</f>
        <v>37861</v>
      </c>
      <c r="E22969" s="5">
        <f t="shared" si="382"/>
        <v>2003</v>
      </c>
      <c r="F22969" s="3" t="s">
        <v>3674</v>
      </c>
      <c r="G22969" s="6">
        <v>1407</v>
      </c>
      <c r="H22969" s="5">
        <v>1424</v>
      </c>
    </row>
    <row r="22970" spans="2:8" ht="15" customHeight="1" x14ac:dyDescent="0.4">
      <c r="B22970" s="3" t="s">
        <v>7</v>
      </c>
      <c r="C22970" s="3" t="s">
        <v>3673</v>
      </c>
      <c r="D22970" s="4">
        <f>DATE(2003,9,29)</f>
        <v>37893</v>
      </c>
      <c r="E22970" s="5">
        <f t="shared" si="382"/>
        <v>2003</v>
      </c>
      <c r="F22970" s="3" t="s">
        <v>3674</v>
      </c>
      <c r="G22970" s="6">
        <v>56.25</v>
      </c>
      <c r="H22970" s="5">
        <v>1581</v>
      </c>
    </row>
    <row r="22971" spans="2:8" ht="15" customHeight="1" x14ac:dyDescent="0.4">
      <c r="B22971" s="3" t="s">
        <v>7</v>
      </c>
      <c r="C22971" s="3" t="s">
        <v>3673</v>
      </c>
      <c r="D22971" s="4">
        <f>DATE(2003,12,5)</f>
        <v>37960</v>
      </c>
      <c r="E22971" s="5">
        <f t="shared" si="382"/>
        <v>2003</v>
      </c>
      <c r="F22971" s="3" t="s">
        <v>3674</v>
      </c>
      <c r="G22971" s="6">
        <v>705.75</v>
      </c>
      <c r="H22971" s="5">
        <v>1874</v>
      </c>
    </row>
    <row r="22972" spans="2:8" ht="15" customHeight="1" x14ac:dyDescent="0.4">
      <c r="B22972" s="3" t="s">
        <v>7</v>
      </c>
      <c r="C22972" s="3" t="s">
        <v>3673</v>
      </c>
      <c r="D22972" s="4">
        <f>DATE(2003,12,19)</f>
        <v>37974</v>
      </c>
      <c r="E22972" s="5">
        <f t="shared" si="382"/>
        <v>2003</v>
      </c>
      <c r="F22972" s="3" t="s">
        <v>3674</v>
      </c>
      <c r="G22972" s="6">
        <v>2381.5</v>
      </c>
      <c r="H22972" s="5">
        <v>1916</v>
      </c>
    </row>
    <row r="22973" spans="2:8" ht="15" customHeight="1" x14ac:dyDescent="0.4">
      <c r="B22973" s="3" t="s">
        <v>7</v>
      </c>
      <c r="C22973" s="3" t="s">
        <v>3673</v>
      </c>
      <c r="D22973" s="4">
        <f>DATE(2004,2,12)</f>
        <v>38029</v>
      </c>
      <c r="E22973" s="5">
        <f t="shared" si="382"/>
        <v>2004</v>
      </c>
      <c r="F22973" s="3" t="s">
        <v>3674</v>
      </c>
      <c r="G22973" s="6">
        <v>1065</v>
      </c>
      <c r="H22973" s="5">
        <v>2163</v>
      </c>
    </row>
    <row r="22974" spans="2:8" ht="15" customHeight="1" x14ac:dyDescent="0.4">
      <c r="B22974" s="3" t="s">
        <v>7</v>
      </c>
      <c r="C22974" s="3" t="s">
        <v>3673</v>
      </c>
      <c r="D22974" s="4">
        <f>DATE(2004,3,23)</f>
        <v>38069</v>
      </c>
      <c r="E22974" s="5">
        <f t="shared" si="382"/>
        <v>2004</v>
      </c>
      <c r="F22974" s="3" t="s">
        <v>3674</v>
      </c>
      <c r="G22974" s="6">
        <v>1395</v>
      </c>
      <c r="H22974" s="5">
        <v>2164</v>
      </c>
    </row>
    <row r="22975" spans="2:8" ht="15" customHeight="1" x14ac:dyDescent="0.4">
      <c r="B22975" s="3" t="s">
        <v>7</v>
      </c>
      <c r="C22975" s="3" t="s">
        <v>3673</v>
      </c>
      <c r="D22975" s="4">
        <f>DATE(2004,3,24)</f>
        <v>38070</v>
      </c>
      <c r="E22975" s="5">
        <f t="shared" si="382"/>
        <v>2004</v>
      </c>
      <c r="F22975" s="3" t="s">
        <v>3674</v>
      </c>
      <c r="G22975" s="6">
        <v>1268</v>
      </c>
      <c r="H22975" s="5">
        <v>2164</v>
      </c>
    </row>
    <row r="22976" spans="2:8" ht="15" customHeight="1" x14ac:dyDescent="0.4">
      <c r="B22976" s="3" t="s">
        <v>7</v>
      </c>
      <c r="C22976" s="3" t="s">
        <v>3673</v>
      </c>
      <c r="D22976" s="4">
        <f>DATE(2004,9,13)</f>
        <v>38243</v>
      </c>
      <c r="E22976" s="5">
        <f t="shared" si="382"/>
        <v>2004</v>
      </c>
      <c r="F22976" s="3" t="s">
        <v>3674</v>
      </c>
      <c r="G22976" s="6">
        <v>1896.36</v>
      </c>
      <c r="H22976" s="5">
        <v>3242</v>
      </c>
    </row>
    <row r="22977" spans="2:8" ht="15" customHeight="1" x14ac:dyDescent="0.4">
      <c r="B22977" s="3" t="s">
        <v>7</v>
      </c>
      <c r="C22977" s="3" t="s">
        <v>3673</v>
      </c>
      <c r="D22977" s="4">
        <f>DATE(2005,1,11)</f>
        <v>38363</v>
      </c>
      <c r="E22977" s="5">
        <f t="shared" si="382"/>
        <v>2005</v>
      </c>
      <c r="F22977" s="3" t="s">
        <v>3674</v>
      </c>
      <c r="G22977" s="6">
        <v>638</v>
      </c>
      <c r="H22977" s="5">
        <v>3884</v>
      </c>
    </row>
    <row r="22978" spans="2:8" ht="15" customHeight="1" x14ac:dyDescent="0.4">
      <c r="B22978" s="3" t="s">
        <v>7</v>
      </c>
      <c r="C22978" s="3" t="s">
        <v>3673</v>
      </c>
      <c r="D22978" s="4">
        <f>DATE(2005,4,6)</f>
        <v>38448</v>
      </c>
      <c r="E22978" s="5">
        <f t="shared" si="382"/>
        <v>2005</v>
      </c>
      <c r="F22978" s="3" t="s">
        <v>3674</v>
      </c>
      <c r="G22978" s="6">
        <v>91</v>
      </c>
      <c r="H22978" s="5">
        <v>4525</v>
      </c>
    </row>
    <row r="22979" spans="2:8" ht="15" customHeight="1" x14ac:dyDescent="0.4">
      <c r="B22979" s="3" t="s">
        <v>7</v>
      </c>
      <c r="C22979" s="3" t="s">
        <v>3673</v>
      </c>
      <c r="D22979" s="4">
        <f>DATE(2005,5,6)</f>
        <v>38478</v>
      </c>
      <c r="E22979" s="5">
        <f t="shared" ref="E22979:E23042" si="383">YEAR(D22979)</f>
        <v>2005</v>
      </c>
      <c r="F22979" s="3" t="s">
        <v>3674</v>
      </c>
      <c r="G22979" s="6">
        <v>2234</v>
      </c>
      <c r="H22979" s="5">
        <v>4655</v>
      </c>
    </row>
    <row r="22980" spans="2:8" ht="15" customHeight="1" x14ac:dyDescent="0.4">
      <c r="B22980" s="3" t="s">
        <v>7</v>
      </c>
      <c r="C22980" s="3" t="s">
        <v>3673</v>
      </c>
      <c r="D22980" s="4">
        <f>DATE(2005,7,26)</f>
        <v>38559</v>
      </c>
      <c r="E22980" s="5">
        <f t="shared" si="383"/>
        <v>2005</v>
      </c>
      <c r="F22980" s="3" t="s">
        <v>3674</v>
      </c>
      <c r="G22980" s="6">
        <v>4473</v>
      </c>
      <c r="H22980" s="5">
        <v>4927</v>
      </c>
    </row>
    <row r="22981" spans="2:8" ht="15" customHeight="1" x14ac:dyDescent="0.4">
      <c r="B22981" s="3" t="s">
        <v>7</v>
      </c>
      <c r="C22981" s="3" t="s">
        <v>3673</v>
      </c>
      <c r="D22981" s="4">
        <f>DATE(2005,9,20)</f>
        <v>38615</v>
      </c>
      <c r="E22981" s="5">
        <f t="shared" si="383"/>
        <v>2005</v>
      </c>
      <c r="F22981" s="3" t="s">
        <v>3674</v>
      </c>
      <c r="G22981" s="6">
        <v>2769.5</v>
      </c>
      <c r="H22981" s="5">
        <v>5262</v>
      </c>
    </row>
    <row r="22982" spans="2:8" ht="15" customHeight="1" x14ac:dyDescent="0.4">
      <c r="B22982" s="3" t="s">
        <v>7</v>
      </c>
      <c r="C22982" s="3" t="s">
        <v>3673</v>
      </c>
      <c r="D22982" s="4">
        <f>DATE(2005,5,6)</f>
        <v>38478</v>
      </c>
      <c r="E22982" s="5">
        <f t="shared" si="383"/>
        <v>2005</v>
      </c>
      <c r="F22982" s="3" t="s">
        <v>3674</v>
      </c>
      <c r="G22982" s="6">
        <v>625</v>
      </c>
      <c r="H22982" s="5">
        <v>5379</v>
      </c>
    </row>
    <row r="22983" spans="2:8" ht="15" customHeight="1" x14ac:dyDescent="0.4">
      <c r="B22983" s="3" t="s">
        <v>7</v>
      </c>
      <c r="C22983" s="3" t="s">
        <v>3673</v>
      </c>
      <c r="D22983" s="4">
        <f>DATE(2005,7,26)</f>
        <v>38559</v>
      </c>
      <c r="E22983" s="5">
        <f t="shared" si="383"/>
        <v>2005</v>
      </c>
      <c r="F22983" s="3" t="s">
        <v>3674</v>
      </c>
      <c r="G22983" s="6">
        <v>1250</v>
      </c>
      <c r="H22983" s="5">
        <v>5381</v>
      </c>
    </row>
    <row r="22984" spans="2:8" ht="15" customHeight="1" x14ac:dyDescent="0.4">
      <c r="B22984" s="3" t="s">
        <v>7</v>
      </c>
      <c r="C22984" s="3" t="s">
        <v>3673</v>
      </c>
      <c r="D22984" s="4">
        <f>DATE(2005,9,20)</f>
        <v>38615</v>
      </c>
      <c r="E22984" s="5">
        <f t="shared" si="383"/>
        <v>2005</v>
      </c>
      <c r="F22984" s="3" t="s">
        <v>3674</v>
      </c>
      <c r="G22984" s="6">
        <v>562.5</v>
      </c>
      <c r="H22984" s="5">
        <v>5383</v>
      </c>
    </row>
    <row r="22985" spans="2:8" ht="15" customHeight="1" x14ac:dyDescent="0.4">
      <c r="B22985" s="3" t="s">
        <v>7</v>
      </c>
      <c r="C22985" s="3" t="s">
        <v>3673</v>
      </c>
      <c r="D22985" s="4">
        <f>DATE(2005,10,6)</f>
        <v>38631</v>
      </c>
      <c r="E22985" s="5">
        <f t="shared" si="383"/>
        <v>2005</v>
      </c>
      <c r="F22985" s="3" t="s">
        <v>3674</v>
      </c>
      <c r="G22985" s="6">
        <v>373.25</v>
      </c>
      <c r="H22985" s="5">
        <v>5392</v>
      </c>
    </row>
    <row r="22986" spans="2:8" ht="15" customHeight="1" x14ac:dyDescent="0.4">
      <c r="B22986" s="3" t="s">
        <v>7</v>
      </c>
      <c r="C22986" s="3" t="s">
        <v>3673</v>
      </c>
      <c r="D22986" s="4">
        <f>DATE(2005,11,28)</f>
        <v>38684</v>
      </c>
      <c r="E22986" s="5">
        <f t="shared" si="383"/>
        <v>2005</v>
      </c>
      <c r="F22986" s="3" t="s">
        <v>3674</v>
      </c>
      <c r="G22986" s="6">
        <v>1265</v>
      </c>
      <c r="H22986" s="5">
        <v>5609</v>
      </c>
    </row>
    <row r="22987" spans="2:8" ht="15" customHeight="1" x14ac:dyDescent="0.4">
      <c r="B22987" s="3" t="s">
        <v>7</v>
      </c>
      <c r="C22987" s="3" t="s">
        <v>3673</v>
      </c>
      <c r="D22987" s="4">
        <f>DATE(2006,1,20)</f>
        <v>38737</v>
      </c>
      <c r="E22987" s="5">
        <f t="shared" si="383"/>
        <v>2006</v>
      </c>
      <c r="F22987" s="3" t="s">
        <v>3674</v>
      </c>
      <c r="G22987" s="6">
        <v>635</v>
      </c>
      <c r="H22987" s="5">
        <v>5844</v>
      </c>
    </row>
    <row r="22988" spans="2:8" ht="15" customHeight="1" x14ac:dyDescent="0.4">
      <c r="B22988" s="3" t="s">
        <v>7</v>
      </c>
      <c r="C22988" s="3" t="s">
        <v>3673</v>
      </c>
      <c r="D22988" s="4">
        <f>DATE(2006,3,28)</f>
        <v>38804</v>
      </c>
      <c r="E22988" s="5">
        <f t="shared" si="383"/>
        <v>2006</v>
      </c>
      <c r="F22988" s="3" t="s">
        <v>3674</v>
      </c>
      <c r="G22988" s="6">
        <v>1266</v>
      </c>
      <c r="H22988" s="5">
        <v>6401</v>
      </c>
    </row>
    <row r="22989" spans="2:8" ht="15" customHeight="1" x14ac:dyDescent="0.4">
      <c r="B22989" s="3" t="s">
        <v>7</v>
      </c>
      <c r="C22989" s="3" t="s">
        <v>3673</v>
      </c>
      <c r="D22989" s="4">
        <f>DATE(2008,9,30)</f>
        <v>39721</v>
      </c>
      <c r="E22989" s="5">
        <f t="shared" si="383"/>
        <v>2008</v>
      </c>
      <c r="F22989" s="3" t="s">
        <v>3674</v>
      </c>
      <c r="G22989" s="6">
        <v>1079.5</v>
      </c>
      <c r="H22989" s="5">
        <v>11324</v>
      </c>
    </row>
    <row r="22990" spans="2:8" ht="15" customHeight="1" x14ac:dyDescent="0.4">
      <c r="B22990" s="3" t="s">
        <v>7</v>
      </c>
      <c r="C22990" s="3" t="s">
        <v>3673</v>
      </c>
      <c r="D22990" s="4">
        <f>DATE(2010,9,2)</f>
        <v>40423</v>
      </c>
      <c r="E22990" s="5">
        <f t="shared" si="383"/>
        <v>2010</v>
      </c>
      <c r="F22990" s="3" t="s">
        <v>3674</v>
      </c>
      <c r="G22990" s="6">
        <v>1747</v>
      </c>
      <c r="H22990" s="5">
        <v>14421</v>
      </c>
    </row>
    <row r="22991" spans="2:8" ht="15" customHeight="1" x14ac:dyDescent="0.4">
      <c r="B22991" s="3" t="s">
        <v>7</v>
      </c>
      <c r="C22991" s="3" t="s">
        <v>3673</v>
      </c>
      <c r="D22991" s="4">
        <f>DATE(2010,9,2)</f>
        <v>40423</v>
      </c>
      <c r="E22991" s="5">
        <f t="shared" si="383"/>
        <v>2010</v>
      </c>
      <c r="F22991" s="3" t="s">
        <v>3674</v>
      </c>
      <c r="G22991" s="6">
        <v>3013.46</v>
      </c>
      <c r="H22991" s="5">
        <v>14359</v>
      </c>
    </row>
    <row r="22992" spans="2:8" ht="15" customHeight="1" x14ac:dyDescent="0.4">
      <c r="B22992" s="3" t="s">
        <v>7</v>
      </c>
      <c r="C22992" s="3" t="s">
        <v>3673</v>
      </c>
      <c r="D22992" s="4">
        <f>DATE(2010,12,22)</f>
        <v>40534</v>
      </c>
      <c r="E22992" s="5">
        <f t="shared" si="383"/>
        <v>2010</v>
      </c>
      <c r="F22992" s="3" t="s">
        <v>3674</v>
      </c>
      <c r="G22992" s="6">
        <v>328.66</v>
      </c>
      <c r="H22992" s="5">
        <v>14853</v>
      </c>
    </row>
    <row r="22993" spans="2:8" ht="15" customHeight="1" x14ac:dyDescent="0.4">
      <c r="B22993" s="3" t="s">
        <v>7</v>
      </c>
      <c r="C22993" s="3" t="s">
        <v>3673</v>
      </c>
      <c r="D22993" s="4">
        <f>DATE(2012,2,29)</f>
        <v>40968</v>
      </c>
      <c r="E22993" s="5">
        <f t="shared" si="383"/>
        <v>2012</v>
      </c>
      <c r="F22993" s="3" t="s">
        <v>3674</v>
      </c>
      <c r="G22993" s="6">
        <v>106.05</v>
      </c>
      <c r="H22993" s="5">
        <v>16649</v>
      </c>
    </row>
    <row r="22994" spans="2:8" ht="15" customHeight="1" x14ac:dyDescent="0.4">
      <c r="B22994" s="3" t="s">
        <v>7</v>
      </c>
      <c r="C22994" s="3" t="s">
        <v>3673</v>
      </c>
      <c r="D22994" s="4">
        <f>DATE(2012,3,6)</f>
        <v>40974</v>
      </c>
      <c r="E22994" s="5">
        <f t="shared" si="383"/>
        <v>2012</v>
      </c>
      <c r="F22994" s="3" t="s">
        <v>3674</v>
      </c>
      <c r="G22994" s="6">
        <v>186.5</v>
      </c>
      <c r="H22994" s="5">
        <v>16681</v>
      </c>
    </row>
    <row r="22995" spans="2:8" ht="15" customHeight="1" x14ac:dyDescent="0.4">
      <c r="B22995" s="3" t="s">
        <v>7</v>
      </c>
      <c r="C22995" s="3" t="s">
        <v>3673</v>
      </c>
      <c r="D22995" s="4">
        <f>DATE(2012,3,23)</f>
        <v>40991</v>
      </c>
      <c r="E22995" s="5">
        <f t="shared" si="383"/>
        <v>2012</v>
      </c>
      <c r="F22995" s="3" t="s">
        <v>3674</v>
      </c>
      <c r="G22995" s="6">
        <v>323.39999999999998</v>
      </c>
      <c r="H22995" s="5">
        <v>16809</v>
      </c>
    </row>
    <row r="22996" spans="2:8" ht="15" customHeight="1" x14ac:dyDescent="0.4">
      <c r="B22996" s="3" t="s">
        <v>7</v>
      </c>
      <c r="C22996" s="3" t="s">
        <v>3673</v>
      </c>
      <c r="D22996" s="4">
        <f>DATE(2012,4,3)</f>
        <v>41002</v>
      </c>
      <c r="E22996" s="5">
        <f t="shared" si="383"/>
        <v>2012</v>
      </c>
      <c r="F22996" s="3" t="s">
        <v>3674</v>
      </c>
      <c r="G22996" s="6">
        <v>1188.5</v>
      </c>
      <c r="H22996" s="5">
        <v>16834</v>
      </c>
    </row>
    <row r="22997" spans="2:8" ht="15" customHeight="1" x14ac:dyDescent="0.4">
      <c r="B22997" s="3" t="s">
        <v>7</v>
      </c>
      <c r="C22997" s="3" t="s">
        <v>3673</v>
      </c>
      <c r="D22997" s="4">
        <f>DATE(2012,8,31)</f>
        <v>41152</v>
      </c>
      <c r="E22997" s="5">
        <f t="shared" si="383"/>
        <v>2012</v>
      </c>
      <c r="F22997" s="3" t="s">
        <v>3674</v>
      </c>
      <c r="G22997" s="6">
        <v>1635</v>
      </c>
      <c r="H22997" s="5">
        <v>17500</v>
      </c>
    </row>
    <row r="22998" spans="2:8" ht="15" customHeight="1" x14ac:dyDescent="0.4">
      <c r="B22998" s="3" t="s">
        <v>7</v>
      </c>
      <c r="C22998" s="3" t="s">
        <v>3673</v>
      </c>
      <c r="D22998" s="4">
        <f>DATE(2013,3,20)</f>
        <v>41353</v>
      </c>
      <c r="E22998" s="5">
        <f t="shared" si="383"/>
        <v>2013</v>
      </c>
      <c r="F22998" s="3" t="s">
        <v>3674</v>
      </c>
      <c r="G22998" s="6">
        <v>335.2</v>
      </c>
      <c r="H22998" s="5">
        <v>18327</v>
      </c>
    </row>
    <row r="22999" spans="2:8" ht="15" customHeight="1" x14ac:dyDescent="0.4">
      <c r="B22999" s="3" t="s">
        <v>7</v>
      </c>
      <c r="C22999" s="3" t="s">
        <v>3673</v>
      </c>
      <c r="D22999" s="4">
        <f>DATE(2013,7,19)</f>
        <v>41474</v>
      </c>
      <c r="E22999" s="5">
        <f t="shared" si="383"/>
        <v>2013</v>
      </c>
      <c r="F22999" s="3" t="s">
        <v>3674</v>
      </c>
      <c r="G22999" s="6">
        <v>1637</v>
      </c>
      <c r="H22999" s="5">
        <v>18431</v>
      </c>
    </row>
    <row r="23000" spans="2:8" ht="15" customHeight="1" x14ac:dyDescent="0.4">
      <c r="B23000" s="3" t="s">
        <v>16</v>
      </c>
      <c r="C23000" s="3" t="s">
        <v>3673</v>
      </c>
      <c r="D23000" s="4">
        <f>DATE(2005,5,6)</f>
        <v>38478</v>
      </c>
      <c r="E23000" s="5">
        <f t="shared" si="383"/>
        <v>2005</v>
      </c>
      <c r="F23000" s="3" t="s">
        <v>3674</v>
      </c>
      <c r="G23000" s="6">
        <v>2225</v>
      </c>
      <c r="H23000" s="5">
        <v>5376</v>
      </c>
    </row>
    <row r="23001" spans="2:8" ht="15" customHeight="1" x14ac:dyDescent="0.4">
      <c r="B23001" s="3" t="s">
        <v>16</v>
      </c>
      <c r="C23001" s="3" t="s">
        <v>3673</v>
      </c>
      <c r="D23001" s="4">
        <f>DATE(2005,7,26)</f>
        <v>38559</v>
      </c>
      <c r="E23001" s="5">
        <f t="shared" si="383"/>
        <v>2005</v>
      </c>
      <c r="F23001" s="3" t="s">
        <v>3674</v>
      </c>
      <c r="G23001" s="6">
        <v>4450</v>
      </c>
      <c r="H23001" s="5">
        <v>5380</v>
      </c>
    </row>
    <row r="23002" spans="2:8" ht="15" customHeight="1" x14ac:dyDescent="0.4">
      <c r="B23002" s="3" t="s">
        <v>16</v>
      </c>
      <c r="C23002" s="3" t="s">
        <v>3673</v>
      </c>
      <c r="D23002" s="4">
        <f>DATE(2005,9,20)</f>
        <v>38615</v>
      </c>
      <c r="E23002" s="5">
        <f t="shared" si="383"/>
        <v>2005</v>
      </c>
      <c r="F23002" s="3" t="s">
        <v>3674</v>
      </c>
      <c r="G23002" s="6">
        <v>2002.5</v>
      </c>
      <c r="H23002" s="5">
        <v>5382</v>
      </c>
    </row>
    <row r="23003" spans="2:8" ht="15" customHeight="1" x14ac:dyDescent="0.4">
      <c r="B23003" s="3" t="s">
        <v>7</v>
      </c>
      <c r="C23003" s="3" t="s">
        <v>3675</v>
      </c>
      <c r="D23003" s="4">
        <f>DATE(2010,11,2)</f>
        <v>40484</v>
      </c>
      <c r="E23003" s="5">
        <f t="shared" si="383"/>
        <v>2010</v>
      </c>
      <c r="F23003" s="3" t="s">
        <v>3676</v>
      </c>
      <c r="G23003" s="6">
        <v>505.9</v>
      </c>
      <c r="H23003" s="5">
        <v>14712</v>
      </c>
    </row>
    <row r="23004" spans="2:8" ht="15" customHeight="1" x14ac:dyDescent="0.4">
      <c r="B23004" s="3" t="s">
        <v>7</v>
      </c>
      <c r="C23004" s="3" t="s">
        <v>3675</v>
      </c>
      <c r="D23004" s="4">
        <f>DATE(2011,2,23)</f>
        <v>40597</v>
      </c>
      <c r="E23004" s="5">
        <f t="shared" si="383"/>
        <v>2011</v>
      </c>
      <c r="F23004" s="3" t="s">
        <v>3676</v>
      </c>
      <c r="G23004" s="6">
        <v>1303.06</v>
      </c>
      <c r="H23004" s="5">
        <v>15106</v>
      </c>
    </row>
    <row r="23005" spans="2:8" ht="15" customHeight="1" x14ac:dyDescent="0.4">
      <c r="B23005" t="s">
        <v>7</v>
      </c>
      <c r="C23005" t="s">
        <v>3677</v>
      </c>
      <c r="D23005" s="7">
        <f>DATE(2003,4,22)</f>
        <v>37733</v>
      </c>
      <c r="E23005" s="8">
        <f t="shared" si="383"/>
        <v>2003</v>
      </c>
      <c r="F23005" t="s">
        <v>3678</v>
      </c>
      <c r="G23005" s="9">
        <v>21966</v>
      </c>
      <c r="H23005" s="8">
        <v>409</v>
      </c>
    </row>
    <row r="23006" spans="2:8" ht="15" customHeight="1" x14ac:dyDescent="0.4">
      <c r="B23006" t="s">
        <v>7</v>
      </c>
      <c r="C23006" t="s">
        <v>3677</v>
      </c>
      <c r="D23006" s="7">
        <f>DATE(2004,3,12)</f>
        <v>38058</v>
      </c>
      <c r="E23006" s="8">
        <f t="shared" si="383"/>
        <v>2004</v>
      </c>
      <c r="F23006" t="s">
        <v>3678</v>
      </c>
      <c r="G23006" s="9">
        <v>15813.01</v>
      </c>
      <c r="H23006" s="8">
        <v>1201</v>
      </c>
    </row>
    <row r="23007" spans="2:8" ht="15" customHeight="1" x14ac:dyDescent="0.4">
      <c r="B23007" t="s">
        <v>7</v>
      </c>
      <c r="C23007" t="s">
        <v>3677</v>
      </c>
      <c r="D23007" s="7">
        <f>DATE(2004,8,8)</f>
        <v>38207</v>
      </c>
      <c r="E23007" s="8">
        <f t="shared" si="383"/>
        <v>2004</v>
      </c>
      <c r="F23007" t="s">
        <v>3678</v>
      </c>
      <c r="G23007" s="9">
        <v>19703.439999999999</v>
      </c>
      <c r="H23007" s="8">
        <v>2038</v>
      </c>
    </row>
    <row r="23008" spans="2:8" ht="15" customHeight="1" x14ac:dyDescent="0.4">
      <c r="B23008" t="s">
        <v>7</v>
      </c>
      <c r="C23008" t="s">
        <v>3677</v>
      </c>
      <c r="D23008" s="7">
        <f>DATE(2004,8,8)</f>
        <v>38207</v>
      </c>
      <c r="E23008" s="8">
        <f t="shared" si="383"/>
        <v>2004</v>
      </c>
      <c r="F23008" t="s">
        <v>3678</v>
      </c>
      <c r="G23008" s="9">
        <v>19703.439999999999</v>
      </c>
      <c r="H23008" s="8">
        <v>2100</v>
      </c>
    </row>
    <row r="23009" spans="2:8" ht="15" customHeight="1" x14ac:dyDescent="0.4">
      <c r="B23009" t="s">
        <v>7</v>
      </c>
      <c r="C23009" t="s">
        <v>3677</v>
      </c>
      <c r="D23009" s="7">
        <f>DATE(2005,4,21)</f>
        <v>38463</v>
      </c>
      <c r="E23009" s="8">
        <f t="shared" si="383"/>
        <v>2005</v>
      </c>
      <c r="F23009" t="s">
        <v>3678</v>
      </c>
      <c r="G23009" s="9">
        <v>20700</v>
      </c>
      <c r="H23009" s="8">
        <v>2733</v>
      </c>
    </row>
    <row r="23010" spans="2:8" ht="15" customHeight="1" x14ac:dyDescent="0.4">
      <c r="B23010" t="s">
        <v>7</v>
      </c>
      <c r="C23010" t="s">
        <v>3677</v>
      </c>
      <c r="D23010" s="7">
        <f>DATE(2005,9,25)</f>
        <v>38620</v>
      </c>
      <c r="E23010" s="8">
        <f t="shared" si="383"/>
        <v>2005</v>
      </c>
      <c r="F23010" t="s">
        <v>3678</v>
      </c>
      <c r="G23010" s="9">
        <v>21900</v>
      </c>
      <c r="H23010" s="8">
        <v>3621</v>
      </c>
    </row>
    <row r="23011" spans="2:8" ht="15" customHeight="1" x14ac:dyDescent="0.4">
      <c r="B23011" t="s">
        <v>7</v>
      </c>
      <c r="C23011" t="s">
        <v>3677</v>
      </c>
      <c r="D23011" s="7">
        <f>DATE(2007,2,23)</f>
        <v>39136</v>
      </c>
      <c r="E23011" s="8">
        <f t="shared" si="383"/>
        <v>2007</v>
      </c>
      <c r="F23011" t="s">
        <v>3678</v>
      </c>
      <c r="G23011" s="9">
        <v>5460.93</v>
      </c>
      <c r="H23011" s="8">
        <v>5585</v>
      </c>
    </row>
    <row r="23012" spans="2:8" ht="15" customHeight="1" x14ac:dyDescent="0.4">
      <c r="B23012" t="s">
        <v>7</v>
      </c>
      <c r="C23012" t="s">
        <v>3677</v>
      </c>
      <c r="D23012" s="7">
        <f>DATE(2007,4,19)</f>
        <v>39191</v>
      </c>
      <c r="E23012" s="8">
        <f t="shared" si="383"/>
        <v>2007</v>
      </c>
      <c r="F23012" t="s">
        <v>3678</v>
      </c>
      <c r="G23012" s="9">
        <v>19900</v>
      </c>
      <c r="H23012" s="8">
        <v>5861</v>
      </c>
    </row>
    <row r="23013" spans="2:8" ht="15" customHeight="1" x14ac:dyDescent="0.4">
      <c r="B23013" t="s">
        <v>7</v>
      </c>
      <c r="C23013" t="s">
        <v>3677</v>
      </c>
      <c r="D23013" s="7">
        <f>DATE(2008,2,29)</f>
        <v>39507</v>
      </c>
      <c r="E23013" s="8">
        <f t="shared" si="383"/>
        <v>2008</v>
      </c>
      <c r="F23013" t="s">
        <v>3678</v>
      </c>
      <c r="G23013" s="9">
        <v>20958</v>
      </c>
      <c r="H23013" s="8">
        <v>6626</v>
      </c>
    </row>
    <row r="23014" spans="2:8" ht="15" customHeight="1" x14ac:dyDescent="0.4">
      <c r="B23014" t="s">
        <v>7</v>
      </c>
      <c r="C23014" t="s">
        <v>3677</v>
      </c>
      <c r="D23014" s="7">
        <f>DATE(2009,3,17)</f>
        <v>39889</v>
      </c>
      <c r="E23014" s="8">
        <f t="shared" si="383"/>
        <v>2009</v>
      </c>
      <c r="F23014" t="s">
        <v>3678</v>
      </c>
      <c r="G23014" s="9">
        <v>21674</v>
      </c>
      <c r="H23014" s="8">
        <v>8269</v>
      </c>
    </row>
    <row r="23015" spans="2:8" ht="15" customHeight="1" x14ac:dyDescent="0.4">
      <c r="B23015" t="s">
        <v>7</v>
      </c>
      <c r="C23015" t="s">
        <v>3677</v>
      </c>
      <c r="D23015" s="7">
        <f>DATE(2009,9,25)</f>
        <v>40081</v>
      </c>
      <c r="E23015" s="8">
        <f t="shared" si="383"/>
        <v>2009</v>
      </c>
      <c r="F23015" t="s">
        <v>3678</v>
      </c>
      <c r="G23015" s="9">
        <v>22874</v>
      </c>
      <c r="H23015" s="8">
        <v>9043</v>
      </c>
    </row>
    <row r="23016" spans="2:8" ht="15" customHeight="1" x14ac:dyDescent="0.4">
      <c r="B23016" t="s">
        <v>7</v>
      </c>
      <c r="C23016" t="s">
        <v>3677</v>
      </c>
      <c r="D23016" s="7">
        <f>DATE(2010,10,20)</f>
        <v>40471</v>
      </c>
      <c r="E23016" s="8">
        <f t="shared" si="383"/>
        <v>2010</v>
      </c>
      <c r="F23016" t="s">
        <v>3678</v>
      </c>
      <c r="G23016" s="9">
        <v>22678</v>
      </c>
      <c r="H23016" s="8">
        <v>10179</v>
      </c>
    </row>
    <row r="23017" spans="2:8" ht="15" customHeight="1" x14ac:dyDescent="0.4">
      <c r="B23017" t="s">
        <v>16</v>
      </c>
      <c r="C23017" t="s">
        <v>3677</v>
      </c>
      <c r="D23017" s="7">
        <f>DATE(2004,8,8)</f>
        <v>38207</v>
      </c>
      <c r="E23017" s="8">
        <f t="shared" si="383"/>
        <v>2004</v>
      </c>
      <c r="F23017" t="s">
        <v>3678</v>
      </c>
      <c r="G23017" s="9">
        <v>19703.439999999999</v>
      </c>
      <c r="H23017" s="8">
        <v>2090</v>
      </c>
    </row>
    <row r="23018" spans="2:8" ht="15" customHeight="1" x14ac:dyDescent="0.4">
      <c r="B23018" s="3" t="s">
        <v>7</v>
      </c>
      <c r="C23018" s="3" t="s">
        <v>3677</v>
      </c>
      <c r="D23018" s="4">
        <f>DATE(2010,6,17)</f>
        <v>40346</v>
      </c>
      <c r="E23018" s="5">
        <f t="shared" si="383"/>
        <v>2010</v>
      </c>
      <c r="F23018" s="3" t="s">
        <v>3678</v>
      </c>
      <c r="G23018" s="6">
        <v>433</v>
      </c>
      <c r="H23018" s="5">
        <v>14182</v>
      </c>
    </row>
    <row r="23019" spans="2:8" ht="15" customHeight="1" x14ac:dyDescent="0.4">
      <c r="B23019" t="s">
        <v>7</v>
      </c>
      <c r="C23019" t="s">
        <v>3679</v>
      </c>
      <c r="D23019" s="7">
        <f>DATE(2018,5,21)</f>
        <v>43241</v>
      </c>
      <c r="E23019" s="8">
        <f t="shared" si="383"/>
        <v>2018</v>
      </c>
      <c r="F23019" t="s">
        <v>3680</v>
      </c>
      <c r="G23019" s="9">
        <v>5650</v>
      </c>
      <c r="H23019" s="8">
        <v>26915</v>
      </c>
    </row>
    <row r="23020" spans="2:8" ht="15" customHeight="1" x14ac:dyDescent="0.4">
      <c r="B23020" t="s">
        <v>7</v>
      </c>
      <c r="C23020" t="s">
        <v>3679</v>
      </c>
      <c r="D23020" s="7">
        <f>DATE(2005,3,16)</f>
        <v>38427</v>
      </c>
      <c r="E23020" s="8">
        <f t="shared" si="383"/>
        <v>2005</v>
      </c>
      <c r="F23020" t="s">
        <v>3680</v>
      </c>
      <c r="G23020" s="9">
        <v>15642.08</v>
      </c>
      <c r="H23020" s="8">
        <v>2816</v>
      </c>
    </row>
    <row r="23021" spans="2:8" ht="15" customHeight="1" x14ac:dyDescent="0.4">
      <c r="B23021" t="s">
        <v>7</v>
      </c>
      <c r="C23021" t="s">
        <v>3679</v>
      </c>
      <c r="D23021" s="7">
        <f>DATE(2005,5,18)</f>
        <v>38490</v>
      </c>
      <c r="E23021" s="8">
        <f t="shared" si="383"/>
        <v>2005</v>
      </c>
      <c r="F23021" t="s">
        <v>3680</v>
      </c>
      <c r="G23021" s="9">
        <v>21377.99</v>
      </c>
      <c r="H23021" s="8">
        <v>3097</v>
      </c>
    </row>
    <row r="23022" spans="2:8" ht="15" customHeight="1" x14ac:dyDescent="0.4">
      <c r="B23022" t="s">
        <v>7</v>
      </c>
      <c r="C23022" t="s">
        <v>3679</v>
      </c>
      <c r="D23022" s="7">
        <f>DATE(2005,5,21)</f>
        <v>38493</v>
      </c>
      <c r="E23022" s="8">
        <f t="shared" si="383"/>
        <v>2005</v>
      </c>
      <c r="F23022" t="s">
        <v>3680</v>
      </c>
      <c r="G23022" s="9">
        <v>18367</v>
      </c>
      <c r="H23022" s="8">
        <v>3218</v>
      </c>
    </row>
    <row r="23023" spans="2:8" ht="15" customHeight="1" x14ac:dyDescent="0.4">
      <c r="B23023" t="s">
        <v>7</v>
      </c>
      <c r="C23023" t="s">
        <v>3679</v>
      </c>
      <c r="D23023" s="7">
        <f>DATE(2006,4,16)</f>
        <v>38823</v>
      </c>
      <c r="E23023" s="8">
        <f t="shared" si="383"/>
        <v>2006</v>
      </c>
      <c r="F23023" t="s">
        <v>3680</v>
      </c>
      <c r="G23023" s="9">
        <v>18260.919999999998</v>
      </c>
      <c r="H23023" s="8">
        <v>4378</v>
      </c>
    </row>
    <row r="23024" spans="2:8" ht="15" customHeight="1" x14ac:dyDescent="0.4">
      <c r="B23024" t="s">
        <v>7</v>
      </c>
      <c r="C23024" t="s">
        <v>3679</v>
      </c>
      <c r="D23024" s="7">
        <f>DATE(2007,3,28)</f>
        <v>39169</v>
      </c>
      <c r="E23024" s="8">
        <f t="shared" si="383"/>
        <v>2007</v>
      </c>
      <c r="F23024" t="s">
        <v>3680</v>
      </c>
      <c r="G23024" s="9">
        <v>28770.35</v>
      </c>
      <c r="H23024" s="8">
        <v>5436</v>
      </c>
    </row>
    <row r="23025" spans="2:8" ht="15" customHeight="1" x14ac:dyDescent="0.4">
      <c r="B23025" t="s">
        <v>7</v>
      </c>
      <c r="C23025" t="s">
        <v>3679</v>
      </c>
      <c r="D23025" s="7">
        <f>DATE(2007,11,30)</f>
        <v>39416</v>
      </c>
      <c r="E23025" s="8">
        <f t="shared" si="383"/>
        <v>2007</v>
      </c>
      <c r="F23025" t="s">
        <v>3680</v>
      </c>
      <c r="G23025" s="9">
        <v>21331.83</v>
      </c>
      <c r="H23025" s="8">
        <v>6302</v>
      </c>
    </row>
    <row r="23026" spans="2:8" ht="15" customHeight="1" x14ac:dyDescent="0.4">
      <c r="B23026" t="s">
        <v>7</v>
      </c>
      <c r="C23026" t="s">
        <v>3679</v>
      </c>
      <c r="D23026" s="7">
        <f>DATE(2007,12,3)</f>
        <v>39419</v>
      </c>
      <c r="E23026" s="8">
        <f t="shared" si="383"/>
        <v>2007</v>
      </c>
      <c r="F23026" t="s">
        <v>3680</v>
      </c>
      <c r="G23026" s="9">
        <v>9450</v>
      </c>
      <c r="H23026" s="8">
        <v>6304</v>
      </c>
    </row>
    <row r="23027" spans="2:8" ht="15" customHeight="1" x14ac:dyDescent="0.4">
      <c r="B23027" t="s">
        <v>7</v>
      </c>
      <c r="C23027" t="s">
        <v>3679</v>
      </c>
      <c r="D23027" s="7">
        <f>DATE(2008,5,11)</f>
        <v>39579</v>
      </c>
      <c r="E23027" s="8">
        <f t="shared" si="383"/>
        <v>2008</v>
      </c>
      <c r="F23027" t="s">
        <v>3680</v>
      </c>
      <c r="G23027" s="9">
        <v>60994.5</v>
      </c>
      <c r="H23027" s="8">
        <v>7270</v>
      </c>
    </row>
    <row r="23028" spans="2:8" ht="15" customHeight="1" x14ac:dyDescent="0.4">
      <c r="B23028" t="s">
        <v>7</v>
      </c>
      <c r="C23028" t="s">
        <v>3679</v>
      </c>
      <c r="D23028" s="7">
        <f>DATE(2008,11,5)</f>
        <v>39757</v>
      </c>
      <c r="E23028" s="8">
        <f t="shared" si="383"/>
        <v>2008</v>
      </c>
      <c r="F23028" t="s">
        <v>3680</v>
      </c>
      <c r="G23028" s="9">
        <v>15771.05</v>
      </c>
      <c r="H23028" s="8">
        <v>7646</v>
      </c>
    </row>
    <row r="23029" spans="2:8" ht="15" customHeight="1" x14ac:dyDescent="0.4">
      <c r="B23029" t="s">
        <v>7</v>
      </c>
      <c r="C23029" t="s">
        <v>3679</v>
      </c>
      <c r="D23029" s="7">
        <f>DATE(2009,5,6)</f>
        <v>39939</v>
      </c>
      <c r="E23029" s="8">
        <f t="shared" si="383"/>
        <v>2009</v>
      </c>
      <c r="F23029" t="s">
        <v>3680</v>
      </c>
      <c r="G23029" s="9">
        <v>25605.9</v>
      </c>
      <c r="H23029" s="8">
        <v>8437</v>
      </c>
    </row>
    <row r="23030" spans="2:8" ht="15" customHeight="1" x14ac:dyDescent="0.4">
      <c r="B23030" s="3" t="s">
        <v>7</v>
      </c>
      <c r="C23030" s="3" t="s">
        <v>3679</v>
      </c>
      <c r="D23030" s="4">
        <f>DATE(2006,4,7)</f>
        <v>38814</v>
      </c>
      <c r="E23030" s="5">
        <f t="shared" si="383"/>
        <v>2006</v>
      </c>
      <c r="F23030" s="3" t="s">
        <v>3680</v>
      </c>
      <c r="G23030" s="6">
        <v>2190</v>
      </c>
      <c r="H23030" s="5">
        <v>6373</v>
      </c>
    </row>
    <row r="23031" spans="2:8" ht="15" customHeight="1" x14ac:dyDescent="0.4">
      <c r="B23031" t="s">
        <v>7</v>
      </c>
      <c r="C23031" t="s">
        <v>3681</v>
      </c>
      <c r="D23031" s="7">
        <f>DATE(2013,10,31)</f>
        <v>41578</v>
      </c>
      <c r="E23031" s="8">
        <f t="shared" si="383"/>
        <v>2013</v>
      </c>
      <c r="F23031" t="s">
        <v>3682</v>
      </c>
      <c r="G23031" s="9">
        <v>498.25</v>
      </c>
      <c r="H23031" s="8">
        <v>12747</v>
      </c>
    </row>
    <row r="23032" spans="2:8" ht="15" customHeight="1" x14ac:dyDescent="0.4">
      <c r="B23032" t="s">
        <v>7</v>
      </c>
      <c r="C23032" t="s">
        <v>3681</v>
      </c>
      <c r="D23032" s="7">
        <f>DATE(2013,11,14)</f>
        <v>41592</v>
      </c>
      <c r="E23032" s="8">
        <f t="shared" si="383"/>
        <v>2013</v>
      </c>
      <c r="F23032" t="s">
        <v>3682</v>
      </c>
      <c r="G23032" s="9">
        <v>300</v>
      </c>
      <c r="H23032" s="8">
        <v>12760</v>
      </c>
    </row>
    <row r="23033" spans="2:8" ht="15" customHeight="1" x14ac:dyDescent="0.4">
      <c r="B23033" t="s">
        <v>7</v>
      </c>
      <c r="C23033" t="s">
        <v>3681</v>
      </c>
      <c r="D23033" s="7">
        <f>DATE(2013,12,10)</f>
        <v>41618</v>
      </c>
      <c r="E23033" s="8">
        <f t="shared" si="383"/>
        <v>2013</v>
      </c>
      <c r="F23033" t="s">
        <v>3682</v>
      </c>
      <c r="G23033" s="9">
        <v>4206.79</v>
      </c>
      <c r="H23033" s="8">
        <v>12825</v>
      </c>
    </row>
    <row r="23034" spans="2:8" ht="15" customHeight="1" x14ac:dyDescent="0.4">
      <c r="B23034" s="3" t="s">
        <v>7</v>
      </c>
      <c r="C23034" s="3" t="s">
        <v>3681</v>
      </c>
      <c r="D23034" s="4">
        <f>DATE(2013,10,31)</f>
        <v>41578</v>
      </c>
      <c r="E23034" s="5">
        <f t="shared" si="383"/>
        <v>2013</v>
      </c>
      <c r="F23034" s="3" t="s">
        <v>3682</v>
      </c>
      <c r="G23034" s="6">
        <v>750</v>
      </c>
      <c r="H23034" s="5">
        <v>19139</v>
      </c>
    </row>
    <row r="23035" spans="2:8" ht="15" customHeight="1" x14ac:dyDescent="0.4">
      <c r="B23035" s="3" t="s">
        <v>7</v>
      </c>
      <c r="C23035" s="3" t="s">
        <v>3683</v>
      </c>
      <c r="D23035" s="4">
        <f>DATE(2008,11,3)</f>
        <v>39755</v>
      </c>
      <c r="E23035" s="5">
        <f t="shared" si="383"/>
        <v>2008</v>
      </c>
      <c r="F23035" s="3" t="s">
        <v>3684</v>
      </c>
      <c r="G23035" s="6">
        <v>28469.1</v>
      </c>
      <c r="H23035" s="5">
        <v>3134</v>
      </c>
    </row>
    <row r="23036" spans="2:8" ht="15" customHeight="1" x14ac:dyDescent="0.4">
      <c r="B23036" s="3" t="s">
        <v>7</v>
      </c>
      <c r="C23036" s="3" t="s">
        <v>3685</v>
      </c>
      <c r="D23036" s="4">
        <f>DATE(2013,1,7)</f>
        <v>41281</v>
      </c>
      <c r="E23036" s="5">
        <f t="shared" si="383"/>
        <v>2013</v>
      </c>
      <c r="F23036" s="3" t="s">
        <v>3686</v>
      </c>
      <c r="G23036" s="6">
        <v>68709.850000000006</v>
      </c>
      <c r="H23036" s="5">
        <v>5333</v>
      </c>
    </row>
    <row r="23037" spans="2:8" ht="15" customHeight="1" x14ac:dyDescent="0.4">
      <c r="B23037" t="s">
        <v>7</v>
      </c>
      <c r="C23037" t="s">
        <v>3687</v>
      </c>
      <c r="D23037" s="7">
        <f>DATE(2015,8,26)</f>
        <v>42242</v>
      </c>
      <c r="E23037" s="8">
        <f t="shared" si="383"/>
        <v>2015</v>
      </c>
      <c r="F23037" t="s">
        <v>3688</v>
      </c>
      <c r="G23037" s="9">
        <v>731.24</v>
      </c>
      <c r="H23037" s="8">
        <v>21119</v>
      </c>
    </row>
    <row r="23038" spans="2:8" ht="15" customHeight="1" x14ac:dyDescent="0.4">
      <c r="B23038" s="3" t="s">
        <v>7</v>
      </c>
      <c r="C23038" s="3" t="s">
        <v>3687</v>
      </c>
      <c r="D23038" s="4">
        <f>DATE(2010,8,26)</f>
        <v>40416</v>
      </c>
      <c r="E23038" s="5">
        <f t="shared" si="383"/>
        <v>2010</v>
      </c>
      <c r="F23038" s="3" t="s">
        <v>3688</v>
      </c>
      <c r="G23038" s="6">
        <v>262.25</v>
      </c>
      <c r="H23038" s="5">
        <v>4072</v>
      </c>
    </row>
    <row r="23039" spans="2:8" ht="15" customHeight="1" x14ac:dyDescent="0.4">
      <c r="B23039" s="3" t="s">
        <v>7</v>
      </c>
      <c r="C23039" s="3" t="s">
        <v>3687</v>
      </c>
      <c r="D23039" s="4">
        <f>DATE(2011,4,19)</f>
        <v>40652</v>
      </c>
      <c r="E23039" s="5">
        <f t="shared" si="383"/>
        <v>2011</v>
      </c>
      <c r="F23039" s="3" t="s">
        <v>3688</v>
      </c>
      <c r="G23039" s="6">
        <v>342</v>
      </c>
      <c r="H23039" s="5">
        <v>4415</v>
      </c>
    </row>
    <row r="23040" spans="2:8" ht="15" customHeight="1" x14ac:dyDescent="0.4">
      <c r="B23040" s="3" t="s">
        <v>7</v>
      </c>
      <c r="C23040" s="3" t="s">
        <v>3687</v>
      </c>
      <c r="D23040" s="4">
        <f>DATE(2011,4,22)</f>
        <v>40655</v>
      </c>
      <c r="E23040" s="5">
        <f t="shared" si="383"/>
        <v>2011</v>
      </c>
      <c r="F23040" s="3" t="s">
        <v>3688</v>
      </c>
      <c r="G23040" s="6">
        <v>37.18</v>
      </c>
      <c r="H23040" s="5">
        <v>4424</v>
      </c>
    </row>
    <row r="23041" spans="2:8" ht="15" customHeight="1" x14ac:dyDescent="0.4">
      <c r="B23041" s="3" t="s">
        <v>7</v>
      </c>
      <c r="C23041" s="3" t="s">
        <v>3687</v>
      </c>
      <c r="D23041" s="4">
        <f>DATE(2011,5,13)</f>
        <v>40676</v>
      </c>
      <c r="E23041" s="5">
        <f t="shared" si="383"/>
        <v>2011</v>
      </c>
      <c r="F23041" s="3" t="s">
        <v>3688</v>
      </c>
      <c r="G23041" s="6">
        <v>205</v>
      </c>
      <c r="H23041" s="5">
        <v>4438</v>
      </c>
    </row>
    <row r="23042" spans="2:8" ht="15" customHeight="1" x14ac:dyDescent="0.4">
      <c r="B23042" s="3" t="s">
        <v>7</v>
      </c>
      <c r="C23042" s="3" t="s">
        <v>3687</v>
      </c>
      <c r="D23042" s="4">
        <f>DATE(2013,4,25)</f>
        <v>41389</v>
      </c>
      <c r="E23042" s="5">
        <f t="shared" si="383"/>
        <v>2013</v>
      </c>
      <c r="F23042" s="3" t="s">
        <v>3688</v>
      </c>
      <c r="G23042" s="6">
        <v>779.59</v>
      </c>
      <c r="H23042" s="5">
        <v>5546</v>
      </c>
    </row>
    <row r="23043" spans="2:8" ht="15" customHeight="1" x14ac:dyDescent="0.4">
      <c r="B23043" s="3" t="s">
        <v>7</v>
      </c>
      <c r="C23043" s="3" t="s">
        <v>3687</v>
      </c>
      <c r="D23043" s="4">
        <f>DATE(2010,2,8)</f>
        <v>40217</v>
      </c>
      <c r="E23043" s="5">
        <f t="shared" ref="E23043:E23106" si="384">YEAR(D23043)</f>
        <v>2010</v>
      </c>
      <c r="F23043" s="3" t="s">
        <v>3689</v>
      </c>
      <c r="G23043" s="6">
        <v>4904.5</v>
      </c>
      <c r="H23043" s="5">
        <v>3775</v>
      </c>
    </row>
    <row r="23044" spans="2:8" ht="15" customHeight="1" x14ac:dyDescent="0.4">
      <c r="B23044" s="3" t="s">
        <v>7</v>
      </c>
      <c r="C23044" s="3" t="s">
        <v>3687</v>
      </c>
      <c r="D23044" s="4">
        <f>DATE(2010,2,9)</f>
        <v>40218</v>
      </c>
      <c r="E23044" s="5">
        <f t="shared" si="384"/>
        <v>2010</v>
      </c>
      <c r="F23044" s="3" t="s">
        <v>3689</v>
      </c>
      <c r="G23044" s="6">
        <v>4404.5</v>
      </c>
      <c r="H23044" s="5">
        <v>3793</v>
      </c>
    </row>
    <row r="23045" spans="2:8" ht="15" customHeight="1" x14ac:dyDescent="0.4">
      <c r="B23045" s="3" t="s">
        <v>16</v>
      </c>
      <c r="C23045" s="3" t="s">
        <v>3687</v>
      </c>
      <c r="D23045" s="4">
        <f>DATE(2010,2,8)</f>
        <v>40217</v>
      </c>
      <c r="E23045" s="5">
        <f t="shared" si="384"/>
        <v>2010</v>
      </c>
      <c r="F23045" s="3" t="s">
        <v>3689</v>
      </c>
      <c r="G23045" s="6">
        <v>4904.5</v>
      </c>
      <c r="H23045" s="5">
        <v>3792</v>
      </c>
    </row>
    <row r="23046" spans="2:8" ht="15" customHeight="1" x14ac:dyDescent="0.4">
      <c r="B23046" s="3" t="s">
        <v>7</v>
      </c>
      <c r="C23046" s="3" t="s">
        <v>3690</v>
      </c>
      <c r="D23046" s="4">
        <f>DATE(2008,9,5)</f>
        <v>39696</v>
      </c>
      <c r="E23046" s="5">
        <f t="shared" si="384"/>
        <v>2008</v>
      </c>
      <c r="F23046" s="3" t="s">
        <v>3691</v>
      </c>
      <c r="G23046" s="6">
        <v>620</v>
      </c>
      <c r="H23046" s="5">
        <v>11212</v>
      </c>
    </row>
    <row r="23047" spans="2:8" ht="15" customHeight="1" x14ac:dyDescent="0.4">
      <c r="B23047" s="3" t="s">
        <v>7</v>
      </c>
      <c r="C23047" s="3" t="s">
        <v>3692</v>
      </c>
      <c r="D23047" s="4">
        <f>DATE(2011,3,15)</f>
        <v>40617</v>
      </c>
      <c r="E23047" s="5">
        <f t="shared" si="384"/>
        <v>2011</v>
      </c>
      <c r="F23047" s="3" t="s">
        <v>3693</v>
      </c>
      <c r="G23047" s="6">
        <v>18517.11</v>
      </c>
      <c r="H23047" s="5">
        <v>15237</v>
      </c>
    </row>
    <row r="23048" spans="2:8" ht="15" customHeight="1" x14ac:dyDescent="0.4">
      <c r="B23048" t="s">
        <v>7</v>
      </c>
      <c r="C23048" t="s">
        <v>3694</v>
      </c>
      <c r="D23048" s="7">
        <f>DATE(2015,12,29)</f>
        <v>42367</v>
      </c>
      <c r="E23048" s="8">
        <f t="shared" si="384"/>
        <v>2015</v>
      </c>
      <c r="F23048" t="s">
        <v>3695</v>
      </c>
      <c r="G23048" s="9">
        <v>55296.42</v>
      </c>
      <c r="H23048" s="8">
        <v>20471</v>
      </c>
    </row>
    <row r="23049" spans="2:8" ht="15" customHeight="1" x14ac:dyDescent="0.4">
      <c r="B23049" s="3" t="s">
        <v>7</v>
      </c>
      <c r="C23049" s="3" t="s">
        <v>3694</v>
      </c>
      <c r="D23049" s="4">
        <f>DATE(2004,8,6)</f>
        <v>38205</v>
      </c>
      <c r="E23049" s="5">
        <f t="shared" si="384"/>
        <v>2004</v>
      </c>
      <c r="F23049" s="3" t="s">
        <v>3695</v>
      </c>
      <c r="G23049" s="6">
        <v>5802.5</v>
      </c>
      <c r="H23049" s="5">
        <v>2593</v>
      </c>
    </row>
    <row r="23050" spans="2:8" ht="15" customHeight="1" x14ac:dyDescent="0.4">
      <c r="B23050" s="3" t="s">
        <v>7</v>
      </c>
      <c r="C23050" s="3" t="s">
        <v>3694</v>
      </c>
      <c r="D23050" s="4">
        <f>DATE(2006,1,12)</f>
        <v>38729</v>
      </c>
      <c r="E23050" s="5">
        <f t="shared" si="384"/>
        <v>2006</v>
      </c>
      <c r="F23050" s="3" t="s">
        <v>3695</v>
      </c>
      <c r="G23050" s="6">
        <v>24198.39</v>
      </c>
      <c r="H23050" s="5">
        <v>5690</v>
      </c>
    </row>
    <row r="23051" spans="2:8" ht="15" customHeight="1" x14ac:dyDescent="0.4">
      <c r="B23051" s="3" t="s">
        <v>7</v>
      </c>
      <c r="C23051" s="3" t="s">
        <v>3694</v>
      </c>
      <c r="D23051" s="4">
        <f>DATE(2006,1,12)</f>
        <v>38729</v>
      </c>
      <c r="E23051" s="5">
        <f t="shared" si="384"/>
        <v>2006</v>
      </c>
      <c r="F23051" s="3" t="s">
        <v>3695</v>
      </c>
      <c r="G23051" s="6">
        <v>23758.39</v>
      </c>
      <c r="H23051" s="5">
        <v>6004</v>
      </c>
    </row>
    <row r="23052" spans="2:8" ht="15" customHeight="1" x14ac:dyDescent="0.4">
      <c r="B23052" s="3" t="s">
        <v>7</v>
      </c>
      <c r="C23052" s="3" t="s">
        <v>3694</v>
      </c>
      <c r="D23052" s="4">
        <f>DATE(2007,8,2)</f>
        <v>39296</v>
      </c>
      <c r="E23052" s="5">
        <f t="shared" si="384"/>
        <v>2007</v>
      </c>
      <c r="F23052" s="3" t="s">
        <v>3695</v>
      </c>
      <c r="G23052" s="6">
        <v>38000</v>
      </c>
      <c r="H23052" s="5">
        <v>7990</v>
      </c>
    </row>
    <row r="23053" spans="2:8" ht="15" customHeight="1" x14ac:dyDescent="0.4">
      <c r="B23053" s="3" t="s">
        <v>7</v>
      </c>
      <c r="C23053" s="3" t="s">
        <v>3694</v>
      </c>
      <c r="D23053" s="4">
        <f>DATE(2008,1,23)</f>
        <v>39470</v>
      </c>
      <c r="E23053" s="5">
        <f t="shared" si="384"/>
        <v>2008</v>
      </c>
      <c r="F23053" s="3" t="s">
        <v>3695</v>
      </c>
      <c r="G23053" s="6">
        <v>11851</v>
      </c>
      <c r="H23053" s="5">
        <v>9113</v>
      </c>
    </row>
    <row r="23054" spans="2:8" ht="15" customHeight="1" x14ac:dyDescent="0.4">
      <c r="B23054" s="3" t="s">
        <v>7</v>
      </c>
      <c r="C23054" s="3" t="s">
        <v>3694</v>
      </c>
      <c r="D23054" s="4">
        <f>DATE(2008,10,22)</f>
        <v>39743</v>
      </c>
      <c r="E23054" s="5">
        <f t="shared" si="384"/>
        <v>2008</v>
      </c>
      <c r="F23054" s="3" t="s">
        <v>3695</v>
      </c>
      <c r="G23054" s="6">
        <v>39600</v>
      </c>
      <c r="H23054" s="5">
        <v>10699</v>
      </c>
    </row>
    <row r="23055" spans="2:8" ht="15" customHeight="1" x14ac:dyDescent="0.4">
      <c r="B23055" s="3" t="s">
        <v>16</v>
      </c>
      <c r="C23055" s="3" t="s">
        <v>3694</v>
      </c>
      <c r="D23055" s="4">
        <f>DATE(2006,1,12)</f>
        <v>38729</v>
      </c>
      <c r="E23055" s="5">
        <f t="shared" si="384"/>
        <v>2006</v>
      </c>
      <c r="F23055" s="3" t="s">
        <v>3695</v>
      </c>
      <c r="G23055" s="6">
        <v>24198.39</v>
      </c>
      <c r="H23055" s="5">
        <v>6003</v>
      </c>
    </row>
    <row r="23056" spans="2:8" ht="15" customHeight="1" x14ac:dyDescent="0.4">
      <c r="B23056" s="3" t="s">
        <v>7</v>
      </c>
      <c r="C23056" s="3" t="s">
        <v>3696</v>
      </c>
      <c r="D23056" s="4">
        <f>DATE(2009,9,8)</f>
        <v>40064</v>
      </c>
      <c r="E23056" s="5">
        <f t="shared" si="384"/>
        <v>2009</v>
      </c>
      <c r="F23056" s="3" t="s">
        <v>3697</v>
      </c>
      <c r="G23056" s="6">
        <v>11471.4</v>
      </c>
      <c r="H23056" s="5">
        <v>3566</v>
      </c>
    </row>
    <row r="23057" spans="2:8" ht="15" customHeight="1" x14ac:dyDescent="0.4">
      <c r="B23057" t="s">
        <v>7</v>
      </c>
      <c r="C23057" t="s">
        <v>3698</v>
      </c>
      <c r="D23057" s="7">
        <f>DATE(2004,4,14)</f>
        <v>38091</v>
      </c>
      <c r="E23057" s="8">
        <f t="shared" si="384"/>
        <v>2004</v>
      </c>
      <c r="F23057" t="s">
        <v>3699</v>
      </c>
      <c r="G23057" s="9">
        <v>9868.7999999999993</v>
      </c>
      <c r="H23057" s="8">
        <v>1335</v>
      </c>
    </row>
    <row r="23058" spans="2:8" ht="15" customHeight="1" x14ac:dyDescent="0.4">
      <c r="B23058" t="s">
        <v>7</v>
      </c>
      <c r="C23058" t="s">
        <v>3698</v>
      </c>
      <c r="D23058" s="7">
        <f>DATE(2008,3,6)</f>
        <v>39513</v>
      </c>
      <c r="E23058" s="8">
        <f t="shared" si="384"/>
        <v>2008</v>
      </c>
      <c r="F23058" t="s">
        <v>3700</v>
      </c>
      <c r="G23058" s="9">
        <v>2739</v>
      </c>
      <c r="H23058" s="8">
        <v>7161</v>
      </c>
    </row>
    <row r="23059" spans="2:8" ht="15" customHeight="1" x14ac:dyDescent="0.4">
      <c r="B23059" t="s">
        <v>7</v>
      </c>
      <c r="C23059" t="s">
        <v>3698</v>
      </c>
      <c r="D23059" s="7">
        <f>DATE(2009,5,5)</f>
        <v>39938</v>
      </c>
      <c r="E23059" s="8">
        <f t="shared" si="384"/>
        <v>2009</v>
      </c>
      <c r="F23059" t="s">
        <v>3700</v>
      </c>
      <c r="G23059" s="9">
        <v>2964.87</v>
      </c>
      <c r="H23059" s="8">
        <v>8105</v>
      </c>
    </row>
    <row r="23060" spans="2:8" ht="15" customHeight="1" x14ac:dyDescent="0.4">
      <c r="B23060" t="s">
        <v>7</v>
      </c>
      <c r="C23060" t="s">
        <v>3698</v>
      </c>
      <c r="D23060" s="7">
        <f>DATE(2009,5,28)</f>
        <v>39961</v>
      </c>
      <c r="E23060" s="8">
        <f t="shared" si="384"/>
        <v>2009</v>
      </c>
      <c r="F23060" t="s">
        <v>3700</v>
      </c>
      <c r="G23060" s="9">
        <v>2232.5</v>
      </c>
      <c r="H23060" s="8">
        <v>8762</v>
      </c>
    </row>
    <row r="23061" spans="2:8" ht="15" customHeight="1" x14ac:dyDescent="0.4">
      <c r="B23061" t="s">
        <v>16</v>
      </c>
      <c r="C23061" t="s">
        <v>3698</v>
      </c>
      <c r="D23061" s="7">
        <f>DATE(2009,8,10)</f>
        <v>40035</v>
      </c>
      <c r="E23061" s="8">
        <f t="shared" si="384"/>
        <v>2009</v>
      </c>
      <c r="F23061" t="s">
        <v>3700</v>
      </c>
      <c r="G23061" s="9">
        <v>2232.5</v>
      </c>
      <c r="H23061" s="8">
        <v>8971</v>
      </c>
    </row>
    <row r="23062" spans="2:8" ht="15" customHeight="1" x14ac:dyDescent="0.4">
      <c r="B23062" s="3" t="s">
        <v>7</v>
      </c>
      <c r="C23062" s="3" t="s">
        <v>3698</v>
      </c>
      <c r="D23062" s="4">
        <f>DATE(2008,3,6)</f>
        <v>39513</v>
      </c>
      <c r="E23062" s="5">
        <f t="shared" si="384"/>
        <v>2008</v>
      </c>
      <c r="F23062" s="3" t="s">
        <v>3700</v>
      </c>
      <c r="G23062" s="6">
        <v>4075.5</v>
      </c>
      <c r="H23062" s="5">
        <v>10146</v>
      </c>
    </row>
    <row r="23063" spans="2:8" ht="15" customHeight="1" x14ac:dyDescent="0.4">
      <c r="B23063" s="3" t="s">
        <v>7</v>
      </c>
      <c r="C23063" s="3" t="s">
        <v>3698</v>
      </c>
      <c r="D23063" s="4">
        <f>DATE(2010,2,19)</f>
        <v>40228</v>
      </c>
      <c r="E23063" s="5">
        <f t="shared" si="384"/>
        <v>2010</v>
      </c>
      <c r="F23063" s="3" t="s">
        <v>3700</v>
      </c>
      <c r="G23063" s="6">
        <v>1408.22</v>
      </c>
      <c r="H23063" s="5">
        <v>13599</v>
      </c>
    </row>
    <row r="23064" spans="2:8" ht="15" customHeight="1" x14ac:dyDescent="0.4">
      <c r="B23064" s="3" t="s">
        <v>7</v>
      </c>
      <c r="C23064" s="3" t="s">
        <v>3698</v>
      </c>
      <c r="D23064" s="4">
        <f>DATE(2010,3,26)</f>
        <v>40263</v>
      </c>
      <c r="E23064" s="5">
        <f t="shared" si="384"/>
        <v>2010</v>
      </c>
      <c r="F23064" s="3" t="s">
        <v>3700</v>
      </c>
      <c r="G23064" s="6">
        <v>561.48</v>
      </c>
      <c r="H23064" s="5">
        <v>13803</v>
      </c>
    </row>
    <row r="23065" spans="2:8" ht="15" customHeight="1" x14ac:dyDescent="0.4">
      <c r="B23065" s="3" t="s">
        <v>7</v>
      </c>
      <c r="C23065" s="3" t="s">
        <v>3698</v>
      </c>
      <c r="D23065" s="4">
        <f>DATE(2014,1,27)</f>
        <v>41666</v>
      </c>
      <c r="E23065" s="5">
        <f t="shared" si="384"/>
        <v>2014</v>
      </c>
      <c r="F23065" s="3" t="s">
        <v>3700</v>
      </c>
      <c r="G23065" s="6">
        <v>688</v>
      </c>
      <c r="H23065" s="5">
        <v>19414</v>
      </c>
    </row>
    <row r="23066" spans="2:8" ht="15" customHeight="1" x14ac:dyDescent="0.4">
      <c r="B23066" s="3" t="s">
        <v>7</v>
      </c>
      <c r="C23066" s="3" t="s">
        <v>3698</v>
      </c>
      <c r="D23066" s="4">
        <f>DATE(2014,4,11)</f>
        <v>41740</v>
      </c>
      <c r="E23066" s="5">
        <f t="shared" si="384"/>
        <v>2014</v>
      </c>
      <c r="F23066" s="3" t="s">
        <v>3700</v>
      </c>
      <c r="G23066" s="6">
        <v>1639</v>
      </c>
      <c r="H23066" s="5">
        <v>19815</v>
      </c>
    </row>
    <row r="23067" spans="2:8" ht="15" customHeight="1" x14ac:dyDescent="0.4">
      <c r="B23067" t="s">
        <v>7</v>
      </c>
      <c r="C23067" t="s">
        <v>3701</v>
      </c>
      <c r="D23067" s="7">
        <f>DATE(2004,3,30)</f>
        <v>38076</v>
      </c>
      <c r="E23067" s="8">
        <f t="shared" si="384"/>
        <v>2004</v>
      </c>
      <c r="F23067" t="s">
        <v>3702</v>
      </c>
      <c r="G23067" s="9">
        <v>45358.84</v>
      </c>
      <c r="H23067" s="8">
        <v>1423</v>
      </c>
    </row>
    <row r="23068" spans="2:8" ht="15" customHeight="1" x14ac:dyDescent="0.4">
      <c r="B23068" t="s">
        <v>7</v>
      </c>
      <c r="C23068" t="s">
        <v>3701</v>
      </c>
      <c r="D23068" s="7">
        <f>DATE(2015,5,5)</f>
        <v>42129</v>
      </c>
      <c r="E23068" s="8">
        <f t="shared" si="384"/>
        <v>2015</v>
      </c>
      <c r="F23068" t="s">
        <v>3703</v>
      </c>
      <c r="G23068" s="9">
        <v>15899.98</v>
      </c>
      <c r="H23068" s="8">
        <v>20205</v>
      </c>
    </row>
    <row r="23069" spans="2:8" ht="15" customHeight="1" x14ac:dyDescent="0.4">
      <c r="B23069" t="s">
        <v>7</v>
      </c>
      <c r="C23069" t="s">
        <v>3701</v>
      </c>
      <c r="D23069" s="7">
        <f>DATE(2018,12,11)</f>
        <v>43445</v>
      </c>
      <c r="E23069" s="8">
        <f t="shared" si="384"/>
        <v>2018</v>
      </c>
      <c r="F23069" t="s">
        <v>3703</v>
      </c>
      <c r="G23069" s="9">
        <v>1069</v>
      </c>
      <c r="H23069" s="8">
        <v>28078</v>
      </c>
    </row>
    <row r="23070" spans="2:8" ht="15" customHeight="1" x14ac:dyDescent="0.4">
      <c r="B23070" t="s">
        <v>7</v>
      </c>
      <c r="C23070" t="s">
        <v>3701</v>
      </c>
      <c r="D23070" s="7">
        <f>DATE(2015,2,13)</f>
        <v>42048</v>
      </c>
      <c r="E23070" s="8">
        <f t="shared" si="384"/>
        <v>2015</v>
      </c>
      <c r="F23070" t="s">
        <v>3703</v>
      </c>
      <c r="G23070" s="9">
        <v>9469.7999999999993</v>
      </c>
      <c r="H23070" s="8">
        <v>369</v>
      </c>
    </row>
    <row r="23071" spans="2:8" ht="15" customHeight="1" x14ac:dyDescent="0.4">
      <c r="B23071" t="s">
        <v>7</v>
      </c>
      <c r="C23071" t="s">
        <v>3701</v>
      </c>
      <c r="D23071" s="7">
        <f>DATE(2004,2,19)</f>
        <v>38036</v>
      </c>
      <c r="E23071" s="8">
        <f t="shared" si="384"/>
        <v>2004</v>
      </c>
      <c r="F23071" t="s">
        <v>3703</v>
      </c>
      <c r="G23071" s="9">
        <v>1845</v>
      </c>
      <c r="H23071" s="8">
        <v>1216</v>
      </c>
    </row>
    <row r="23072" spans="2:8" ht="15" customHeight="1" x14ac:dyDescent="0.4">
      <c r="B23072" t="s">
        <v>7</v>
      </c>
      <c r="C23072" t="s">
        <v>3701</v>
      </c>
      <c r="D23072" s="7">
        <f>DATE(2009,1,1)</f>
        <v>39814</v>
      </c>
      <c r="E23072" s="8">
        <f t="shared" si="384"/>
        <v>2009</v>
      </c>
      <c r="F23072" t="s">
        <v>3703</v>
      </c>
      <c r="G23072" s="9">
        <v>51507.15</v>
      </c>
      <c r="H23072" s="8">
        <v>6898</v>
      </c>
    </row>
    <row r="23073" spans="2:8" ht="15" customHeight="1" x14ac:dyDescent="0.4">
      <c r="B23073" t="s">
        <v>7</v>
      </c>
      <c r="C23073" t="s">
        <v>3701</v>
      </c>
      <c r="D23073" s="7">
        <f>DATE(2010,11,23)</f>
        <v>40505</v>
      </c>
      <c r="E23073" s="8">
        <f t="shared" si="384"/>
        <v>2010</v>
      </c>
      <c r="F23073" t="s">
        <v>3703</v>
      </c>
      <c r="G23073" s="9">
        <v>3360</v>
      </c>
      <c r="H23073" s="8">
        <v>10221</v>
      </c>
    </row>
    <row r="23074" spans="2:8" ht="15" customHeight="1" x14ac:dyDescent="0.4">
      <c r="B23074" t="s">
        <v>7</v>
      </c>
      <c r="C23074" t="s">
        <v>3701</v>
      </c>
      <c r="D23074" s="7">
        <f>DATE(2011,4,21)</f>
        <v>40654</v>
      </c>
      <c r="E23074" s="8">
        <f t="shared" si="384"/>
        <v>2011</v>
      </c>
      <c r="F23074" t="s">
        <v>3703</v>
      </c>
      <c r="G23074" s="9">
        <v>32955.160000000003</v>
      </c>
      <c r="H23074" s="8">
        <v>10534</v>
      </c>
    </row>
    <row r="23075" spans="2:8" ht="15" customHeight="1" x14ac:dyDescent="0.4">
      <c r="B23075" t="s">
        <v>7</v>
      </c>
      <c r="C23075" t="s">
        <v>3701</v>
      </c>
      <c r="D23075" s="7">
        <f>DATE(2013,3,15)</f>
        <v>41348</v>
      </c>
      <c r="E23075" s="8">
        <f t="shared" si="384"/>
        <v>2013</v>
      </c>
      <c r="F23075" t="s">
        <v>3703</v>
      </c>
      <c r="G23075" s="9">
        <v>12191.85</v>
      </c>
      <c r="H23075" s="8">
        <v>12235</v>
      </c>
    </row>
    <row r="23076" spans="2:8" ht="15" customHeight="1" x14ac:dyDescent="0.4">
      <c r="B23076" s="3" t="s">
        <v>7</v>
      </c>
      <c r="C23076" s="3" t="s">
        <v>3704</v>
      </c>
      <c r="D23076" s="4">
        <f>DATE(2009,2,23)</f>
        <v>39867</v>
      </c>
      <c r="E23076" s="5">
        <f t="shared" si="384"/>
        <v>2009</v>
      </c>
      <c r="F23076" s="3" t="s">
        <v>3705</v>
      </c>
      <c r="G23076" s="6">
        <v>1551.6</v>
      </c>
      <c r="H23076" s="5">
        <v>12013</v>
      </c>
    </row>
    <row r="23077" spans="2:8" ht="15" customHeight="1" x14ac:dyDescent="0.4">
      <c r="B23077" t="s">
        <v>7</v>
      </c>
      <c r="C23077" t="s">
        <v>3706</v>
      </c>
      <c r="D23077" s="7">
        <f>DATE(2004,10,12)</f>
        <v>38272</v>
      </c>
      <c r="E23077" s="8">
        <f t="shared" si="384"/>
        <v>2004</v>
      </c>
      <c r="F23077" t="s">
        <v>3707</v>
      </c>
      <c r="G23077" s="9">
        <v>2364.48</v>
      </c>
      <c r="H23077" s="8">
        <v>2285</v>
      </c>
    </row>
    <row r="23078" spans="2:8" ht="15" customHeight="1" x14ac:dyDescent="0.4">
      <c r="B23078" t="s">
        <v>7</v>
      </c>
      <c r="C23078" t="s">
        <v>3706</v>
      </c>
      <c r="D23078" s="7">
        <f>DATE(2004,11,4)</f>
        <v>38295</v>
      </c>
      <c r="E23078" s="8">
        <f t="shared" si="384"/>
        <v>2004</v>
      </c>
      <c r="F23078" t="s">
        <v>3707</v>
      </c>
      <c r="G23078" s="9">
        <v>158180.47</v>
      </c>
      <c r="H23078" s="8">
        <v>2021</v>
      </c>
    </row>
    <row r="23079" spans="2:8" ht="15" customHeight="1" x14ac:dyDescent="0.4">
      <c r="B23079" t="s">
        <v>7</v>
      </c>
      <c r="C23079" t="s">
        <v>3706</v>
      </c>
      <c r="D23079" s="7">
        <f>DATE(2004,11,21)</f>
        <v>38312</v>
      </c>
      <c r="E23079" s="8">
        <f t="shared" si="384"/>
        <v>2004</v>
      </c>
      <c r="F23079" t="s">
        <v>3707</v>
      </c>
      <c r="G23079" s="9">
        <v>11425.43</v>
      </c>
      <c r="H23079" s="8">
        <v>2375</v>
      </c>
    </row>
    <row r="23080" spans="2:8" ht="15" customHeight="1" x14ac:dyDescent="0.4">
      <c r="B23080" t="s">
        <v>7</v>
      </c>
      <c r="C23080" t="s">
        <v>3706</v>
      </c>
      <c r="D23080" s="7">
        <f>DATE(2005,11,30)</f>
        <v>38686</v>
      </c>
      <c r="E23080" s="8">
        <f t="shared" si="384"/>
        <v>2005</v>
      </c>
      <c r="F23080" t="s">
        <v>3707</v>
      </c>
      <c r="G23080" s="9">
        <v>4832.95</v>
      </c>
      <c r="H23080" s="8">
        <v>3786</v>
      </c>
    </row>
    <row r="23081" spans="2:8" ht="15" customHeight="1" x14ac:dyDescent="0.4">
      <c r="B23081" t="s">
        <v>7</v>
      </c>
      <c r="C23081" t="s">
        <v>3706</v>
      </c>
      <c r="D23081" s="7">
        <f>DATE(2006,1,3)</f>
        <v>38720</v>
      </c>
      <c r="E23081" s="8">
        <f t="shared" si="384"/>
        <v>2006</v>
      </c>
      <c r="F23081" t="s">
        <v>3707</v>
      </c>
      <c r="G23081" s="9">
        <v>2938.43</v>
      </c>
      <c r="H23081" s="8">
        <v>3891</v>
      </c>
    </row>
    <row r="23082" spans="2:8" ht="15" customHeight="1" x14ac:dyDescent="0.4">
      <c r="B23082" t="s">
        <v>7</v>
      </c>
      <c r="C23082" t="s">
        <v>3706</v>
      </c>
      <c r="D23082" s="7">
        <f>DATE(2006,4,30)</f>
        <v>38837</v>
      </c>
      <c r="E23082" s="8">
        <f t="shared" si="384"/>
        <v>2006</v>
      </c>
      <c r="F23082" t="s">
        <v>3707</v>
      </c>
      <c r="G23082" s="9">
        <v>128664.44</v>
      </c>
      <c r="H23082" s="8">
        <v>3854</v>
      </c>
    </row>
    <row r="23083" spans="2:8" ht="15" customHeight="1" x14ac:dyDescent="0.4">
      <c r="B23083" t="s">
        <v>7</v>
      </c>
      <c r="C23083" t="s">
        <v>3706</v>
      </c>
      <c r="D23083" s="7">
        <f>DATE(2006,4,30)</f>
        <v>38837</v>
      </c>
      <c r="E23083" s="8">
        <f t="shared" si="384"/>
        <v>2006</v>
      </c>
      <c r="F23083" t="s">
        <v>3707</v>
      </c>
      <c r="G23083" s="9">
        <v>128238.95</v>
      </c>
      <c r="H23083" s="8">
        <v>4745</v>
      </c>
    </row>
    <row r="23084" spans="2:8" ht="15" customHeight="1" x14ac:dyDescent="0.4">
      <c r="B23084" t="s">
        <v>7</v>
      </c>
      <c r="C23084" t="s">
        <v>3706</v>
      </c>
      <c r="D23084" s="7">
        <f>DATE(2006,12,1)</f>
        <v>39052</v>
      </c>
      <c r="E23084" s="8">
        <f t="shared" si="384"/>
        <v>2006</v>
      </c>
      <c r="F23084" t="s">
        <v>3707</v>
      </c>
      <c r="G23084" s="9">
        <v>8103.36</v>
      </c>
      <c r="H23084" s="8">
        <v>5172</v>
      </c>
    </row>
    <row r="23085" spans="2:8" ht="15" customHeight="1" x14ac:dyDescent="0.4">
      <c r="B23085" t="s">
        <v>7</v>
      </c>
      <c r="C23085" t="s">
        <v>3706</v>
      </c>
      <c r="D23085" s="7">
        <f>DATE(2007,5,1)</f>
        <v>39203</v>
      </c>
      <c r="E23085" s="8">
        <f t="shared" si="384"/>
        <v>2007</v>
      </c>
      <c r="F23085" t="s">
        <v>3707</v>
      </c>
      <c r="G23085" s="9">
        <v>97678.080000000002</v>
      </c>
      <c r="H23085" s="8">
        <v>5805</v>
      </c>
    </row>
    <row r="23086" spans="2:8" ht="15" customHeight="1" x14ac:dyDescent="0.4">
      <c r="B23086" t="s">
        <v>7</v>
      </c>
      <c r="C23086" t="s">
        <v>3706</v>
      </c>
      <c r="D23086" s="7">
        <f>DATE(2009,10,21)</f>
        <v>40107</v>
      </c>
      <c r="E23086" s="8">
        <f t="shared" si="384"/>
        <v>2009</v>
      </c>
      <c r="F23086" t="s">
        <v>3707</v>
      </c>
      <c r="G23086" s="9">
        <v>156154.43</v>
      </c>
      <c r="H23086" s="8">
        <v>8470</v>
      </c>
    </row>
    <row r="23087" spans="2:8" ht="15" customHeight="1" x14ac:dyDescent="0.4">
      <c r="B23087" t="s">
        <v>7</v>
      </c>
      <c r="C23087" t="s">
        <v>3706</v>
      </c>
      <c r="D23087" s="7">
        <f>DATE(2011,3,28)</f>
        <v>40630</v>
      </c>
      <c r="E23087" s="8">
        <f t="shared" si="384"/>
        <v>2011</v>
      </c>
      <c r="F23087" t="s">
        <v>3707</v>
      </c>
      <c r="G23087" s="9">
        <v>230182.97</v>
      </c>
      <c r="H23087" s="8">
        <v>10289</v>
      </c>
    </row>
    <row r="23088" spans="2:8" ht="15" customHeight="1" x14ac:dyDescent="0.4">
      <c r="B23088" t="s">
        <v>16</v>
      </c>
      <c r="C23088" t="s">
        <v>3706</v>
      </c>
      <c r="D23088" s="7">
        <f>DATE(2006,4,30)</f>
        <v>38837</v>
      </c>
      <c r="E23088" s="8">
        <f t="shared" si="384"/>
        <v>2006</v>
      </c>
      <c r="F23088" t="s">
        <v>3707</v>
      </c>
      <c r="G23088" s="9">
        <v>128664.44</v>
      </c>
      <c r="H23088" s="8">
        <v>4757</v>
      </c>
    </row>
    <row r="23089" spans="2:8" ht="15" customHeight="1" x14ac:dyDescent="0.4">
      <c r="B23089" t="s">
        <v>16</v>
      </c>
      <c r="C23089" t="s">
        <v>3706</v>
      </c>
      <c r="D23089" s="7">
        <f>DATE(2006,4,30)</f>
        <v>38837</v>
      </c>
      <c r="E23089" s="8">
        <f t="shared" si="384"/>
        <v>2006</v>
      </c>
      <c r="F23089" t="s">
        <v>3707</v>
      </c>
      <c r="G23089" s="9">
        <v>9140</v>
      </c>
      <c r="H23089" s="8">
        <v>4826</v>
      </c>
    </row>
    <row r="23090" spans="2:8" ht="15" customHeight="1" x14ac:dyDescent="0.4">
      <c r="B23090" s="3" t="s">
        <v>7</v>
      </c>
      <c r="C23090" s="3" t="s">
        <v>3706</v>
      </c>
      <c r="D23090" s="4">
        <f>DATE(2004,11,16)</f>
        <v>38307</v>
      </c>
      <c r="E23090" s="5">
        <f t="shared" si="384"/>
        <v>2004</v>
      </c>
      <c r="F23090" s="3" t="s">
        <v>3707</v>
      </c>
      <c r="G23090" s="6">
        <v>657.75</v>
      </c>
      <c r="H23090" s="5">
        <v>3721</v>
      </c>
    </row>
    <row r="23091" spans="2:8" ht="15" customHeight="1" x14ac:dyDescent="0.4">
      <c r="B23091" s="3" t="s">
        <v>7</v>
      </c>
      <c r="C23091" s="3" t="s">
        <v>3706</v>
      </c>
      <c r="D23091" s="4">
        <f>DATE(2004,11,17)</f>
        <v>38308</v>
      </c>
      <c r="E23091" s="5">
        <f t="shared" si="384"/>
        <v>2004</v>
      </c>
      <c r="F23091" s="3" t="s">
        <v>3707</v>
      </c>
      <c r="G23091" s="6">
        <v>829.89</v>
      </c>
      <c r="H23091" s="5">
        <v>3721</v>
      </c>
    </row>
    <row r="23092" spans="2:8" ht="15" customHeight="1" x14ac:dyDescent="0.4">
      <c r="B23092" s="3" t="s">
        <v>7</v>
      </c>
      <c r="C23092" s="3" t="s">
        <v>3706</v>
      </c>
      <c r="D23092" s="4">
        <f>DATE(2007,4,5)</f>
        <v>39177</v>
      </c>
      <c r="E23092" s="5">
        <f t="shared" si="384"/>
        <v>2007</v>
      </c>
      <c r="F23092" s="3" t="s">
        <v>3707</v>
      </c>
      <c r="G23092" s="6">
        <v>23430.9</v>
      </c>
      <c r="H23092" s="5">
        <v>8300</v>
      </c>
    </row>
    <row r="23093" spans="2:8" ht="15" customHeight="1" x14ac:dyDescent="0.4">
      <c r="B23093" t="s">
        <v>7</v>
      </c>
      <c r="C23093" t="s">
        <v>3708</v>
      </c>
      <c r="D23093" s="7">
        <f>DATE(2005,4,20)</f>
        <v>38462</v>
      </c>
      <c r="E23093" s="8">
        <f t="shared" si="384"/>
        <v>2005</v>
      </c>
      <c r="F23093" t="s">
        <v>3709</v>
      </c>
      <c r="G23093" s="9">
        <v>4264.66</v>
      </c>
      <c r="H23093" s="8">
        <v>2988</v>
      </c>
    </row>
    <row r="23094" spans="2:8" ht="15" customHeight="1" x14ac:dyDescent="0.4">
      <c r="B23094" s="3" t="s">
        <v>7</v>
      </c>
      <c r="C23094" s="3" t="s">
        <v>3708</v>
      </c>
      <c r="D23094" s="4">
        <f>DATE(2005,5,4)</f>
        <v>38476</v>
      </c>
      <c r="E23094" s="5">
        <f t="shared" si="384"/>
        <v>2005</v>
      </c>
      <c r="F23094" s="3" t="s">
        <v>3709</v>
      </c>
      <c r="G23094" s="6">
        <v>3283</v>
      </c>
      <c r="H23094" s="5">
        <v>4688</v>
      </c>
    </row>
    <row r="23095" spans="2:8" ht="15" customHeight="1" x14ac:dyDescent="0.4">
      <c r="B23095" s="3" t="s">
        <v>7</v>
      </c>
      <c r="C23095" s="3" t="s">
        <v>3708</v>
      </c>
      <c r="D23095" s="4">
        <f>DATE(2005,10,27)</f>
        <v>38652</v>
      </c>
      <c r="E23095" s="5">
        <f t="shared" si="384"/>
        <v>2005</v>
      </c>
      <c r="F23095" s="3" t="s">
        <v>3709</v>
      </c>
      <c r="G23095" s="6">
        <v>8947.9599999999991</v>
      </c>
      <c r="H23095" s="5">
        <v>5454</v>
      </c>
    </row>
    <row r="23096" spans="2:8" ht="15" customHeight="1" x14ac:dyDescent="0.4">
      <c r="B23096" s="3" t="s">
        <v>7</v>
      </c>
      <c r="C23096" s="3" t="s">
        <v>3708</v>
      </c>
      <c r="D23096" s="4">
        <f>DATE(2007,4,16)</f>
        <v>39188</v>
      </c>
      <c r="E23096" s="5">
        <f t="shared" si="384"/>
        <v>2007</v>
      </c>
      <c r="F23096" s="3" t="s">
        <v>3709</v>
      </c>
      <c r="G23096" s="6">
        <v>6400.4</v>
      </c>
      <c r="H23096" s="5">
        <v>8380</v>
      </c>
    </row>
    <row r="23097" spans="2:8" ht="15" customHeight="1" x14ac:dyDescent="0.4">
      <c r="B23097" s="3" t="s">
        <v>16</v>
      </c>
      <c r="C23097" s="3" t="s">
        <v>3708</v>
      </c>
      <c r="D23097" s="4">
        <f>DATE(2007,5,15)</f>
        <v>39217</v>
      </c>
      <c r="E23097" s="5">
        <f t="shared" si="384"/>
        <v>2007</v>
      </c>
      <c r="F23097" s="3" t="s">
        <v>3709</v>
      </c>
      <c r="G23097" s="6">
        <v>180</v>
      </c>
      <c r="H23097" s="5">
        <v>8598</v>
      </c>
    </row>
    <row r="23098" spans="2:8" ht="15" customHeight="1" x14ac:dyDescent="0.4">
      <c r="B23098" t="s">
        <v>7</v>
      </c>
      <c r="C23098" t="s">
        <v>3708</v>
      </c>
      <c r="D23098" s="7">
        <f>DATE(2015,5,14)</f>
        <v>42138</v>
      </c>
      <c r="E23098" s="8">
        <f t="shared" si="384"/>
        <v>2015</v>
      </c>
      <c r="F23098" t="s">
        <v>3710</v>
      </c>
      <c r="G23098" s="9">
        <v>598.53</v>
      </c>
      <c r="H23098" s="8">
        <v>20567</v>
      </c>
    </row>
    <row r="23099" spans="2:8" ht="15" customHeight="1" x14ac:dyDescent="0.4">
      <c r="B23099" t="s">
        <v>7</v>
      </c>
      <c r="C23099" t="s">
        <v>3708</v>
      </c>
      <c r="D23099" s="7">
        <f>DATE(2016,8,12)</f>
        <v>42594</v>
      </c>
      <c r="E23099" s="8">
        <f t="shared" si="384"/>
        <v>2016</v>
      </c>
      <c r="F23099" t="s">
        <v>3710</v>
      </c>
      <c r="G23099" s="9">
        <v>531.91999999999996</v>
      </c>
      <c r="H23099" s="8">
        <v>22899</v>
      </c>
    </row>
    <row r="23100" spans="2:8" ht="15" customHeight="1" x14ac:dyDescent="0.4">
      <c r="B23100" t="s">
        <v>7</v>
      </c>
      <c r="C23100" t="s">
        <v>3708</v>
      </c>
      <c r="D23100" s="7">
        <f>DATE(2018,4,9)</f>
        <v>43199</v>
      </c>
      <c r="E23100" s="8">
        <f t="shared" si="384"/>
        <v>2018</v>
      </c>
      <c r="F23100" t="s">
        <v>3710</v>
      </c>
      <c r="G23100" s="9">
        <v>1171.8699999999999</v>
      </c>
      <c r="H23100" s="8">
        <v>26828</v>
      </c>
    </row>
    <row r="23101" spans="2:8" ht="15" customHeight="1" x14ac:dyDescent="0.4">
      <c r="B23101" t="s">
        <v>7</v>
      </c>
      <c r="C23101" t="s">
        <v>3708</v>
      </c>
      <c r="D23101" s="7">
        <f>DATE(2010,6,8)</f>
        <v>40337</v>
      </c>
      <c r="E23101" s="8">
        <f t="shared" si="384"/>
        <v>2010</v>
      </c>
      <c r="F23101" t="s">
        <v>3710</v>
      </c>
      <c r="G23101" s="9">
        <v>112253.5</v>
      </c>
      <c r="H23101" s="8">
        <v>9529</v>
      </c>
    </row>
    <row r="23102" spans="2:8" ht="15" customHeight="1" x14ac:dyDescent="0.4">
      <c r="B23102" s="3" t="s">
        <v>7</v>
      </c>
      <c r="C23102" s="3" t="s">
        <v>3708</v>
      </c>
      <c r="D23102" s="4">
        <f>DATE(2009,4,2)</f>
        <v>39905</v>
      </c>
      <c r="E23102" s="5">
        <f t="shared" si="384"/>
        <v>2009</v>
      </c>
      <c r="F23102" s="3" t="s">
        <v>3710</v>
      </c>
      <c r="G23102" s="6">
        <v>3495.82</v>
      </c>
      <c r="H23102" s="5">
        <v>12313</v>
      </c>
    </row>
    <row r="23103" spans="2:8" ht="15" customHeight="1" x14ac:dyDescent="0.4">
      <c r="B23103" s="3" t="s">
        <v>7</v>
      </c>
      <c r="C23103" s="3" t="s">
        <v>3708</v>
      </c>
      <c r="D23103" s="4">
        <f>DATE(2009,5,19)</f>
        <v>39952</v>
      </c>
      <c r="E23103" s="5">
        <f t="shared" si="384"/>
        <v>2009</v>
      </c>
      <c r="F23103" s="3" t="s">
        <v>3710</v>
      </c>
      <c r="G23103" s="6">
        <v>146.05000000000001</v>
      </c>
      <c r="H23103" s="5">
        <v>12559</v>
      </c>
    </row>
    <row r="23104" spans="2:8" ht="15" customHeight="1" x14ac:dyDescent="0.4">
      <c r="B23104" s="3" t="s">
        <v>7</v>
      </c>
      <c r="C23104" s="3" t="s">
        <v>3708</v>
      </c>
      <c r="D23104" s="4">
        <f>DATE(2014,5,15)</f>
        <v>41774</v>
      </c>
      <c r="E23104" s="5">
        <f t="shared" si="384"/>
        <v>2014</v>
      </c>
      <c r="F23104" s="3" t="s">
        <v>3710</v>
      </c>
      <c r="G23104" s="6">
        <v>290.52</v>
      </c>
      <c r="H23104" s="5">
        <v>19979</v>
      </c>
    </row>
    <row r="23105" spans="2:8" ht="15" customHeight="1" x14ac:dyDescent="0.4">
      <c r="B23105" s="3" t="s">
        <v>7</v>
      </c>
      <c r="C23105" s="3" t="s">
        <v>3708</v>
      </c>
      <c r="D23105" s="4">
        <f>DATE(2014,5,21)</f>
        <v>41780</v>
      </c>
      <c r="E23105" s="5">
        <f t="shared" si="384"/>
        <v>2014</v>
      </c>
      <c r="F23105" s="3" t="s">
        <v>3710</v>
      </c>
      <c r="G23105" s="6">
        <v>359.86</v>
      </c>
      <c r="H23105" s="5">
        <v>19997</v>
      </c>
    </row>
    <row r="23106" spans="2:8" ht="15" customHeight="1" x14ac:dyDescent="0.4">
      <c r="B23106" t="s">
        <v>7</v>
      </c>
      <c r="C23106" t="s">
        <v>3711</v>
      </c>
      <c r="D23106" s="7">
        <f>DATE(2016,3,11)</f>
        <v>42440</v>
      </c>
      <c r="E23106" s="8">
        <f t="shared" si="384"/>
        <v>2016</v>
      </c>
      <c r="F23106" t="s">
        <v>3712</v>
      </c>
      <c r="G23106" s="9">
        <v>20400</v>
      </c>
      <c r="H23106" s="8">
        <v>22127</v>
      </c>
    </row>
    <row r="23107" spans="2:8" ht="15" customHeight="1" x14ac:dyDescent="0.4">
      <c r="B23107" t="s">
        <v>7</v>
      </c>
      <c r="C23107" t="s">
        <v>3711</v>
      </c>
      <c r="D23107" s="7">
        <f>DATE(2018,9,18)</f>
        <v>43361</v>
      </c>
      <c r="E23107" s="8">
        <f t="shared" ref="E23107:E23170" si="385">YEAR(D23107)</f>
        <v>2018</v>
      </c>
      <c r="F23107" t="s">
        <v>3712</v>
      </c>
      <c r="G23107" s="9">
        <v>23696</v>
      </c>
      <c r="H23107" s="8">
        <v>27474</v>
      </c>
    </row>
    <row r="23108" spans="2:8" ht="15" customHeight="1" x14ac:dyDescent="0.4">
      <c r="B23108" t="s">
        <v>7</v>
      </c>
      <c r="C23108" t="s">
        <v>3711</v>
      </c>
      <c r="D23108" s="7">
        <f>DATE(2015,3,19)</f>
        <v>42082</v>
      </c>
      <c r="E23108" s="8">
        <f t="shared" si="385"/>
        <v>2015</v>
      </c>
      <c r="F23108" t="s">
        <v>3712</v>
      </c>
      <c r="G23108" s="9">
        <v>846</v>
      </c>
      <c r="H23108" s="8">
        <v>20197</v>
      </c>
    </row>
    <row r="23109" spans="2:8" ht="15" customHeight="1" x14ac:dyDescent="0.4">
      <c r="B23109" t="s">
        <v>7</v>
      </c>
      <c r="C23109" t="s">
        <v>3711</v>
      </c>
      <c r="D23109" s="7">
        <f>DATE(2015,4,6)</f>
        <v>42100</v>
      </c>
      <c r="E23109" s="8">
        <f t="shared" si="385"/>
        <v>2015</v>
      </c>
      <c r="F23109" t="s">
        <v>3712</v>
      </c>
      <c r="G23109" s="9">
        <v>846</v>
      </c>
      <c r="H23109" s="8">
        <v>20240</v>
      </c>
    </row>
    <row r="23110" spans="2:8" ht="15" customHeight="1" x14ac:dyDescent="0.4">
      <c r="B23110" t="s">
        <v>7</v>
      </c>
      <c r="C23110" t="s">
        <v>3711</v>
      </c>
      <c r="D23110" s="7">
        <f>DATE(2016,6,29)</f>
        <v>42550</v>
      </c>
      <c r="E23110" s="8">
        <f t="shared" si="385"/>
        <v>2016</v>
      </c>
      <c r="F23110" t="s">
        <v>3712</v>
      </c>
      <c r="G23110" s="9">
        <v>29.61</v>
      </c>
      <c r="H23110" s="8">
        <v>23046</v>
      </c>
    </row>
    <row r="23111" spans="2:8" ht="15" customHeight="1" x14ac:dyDescent="0.4">
      <c r="B23111" t="s">
        <v>7</v>
      </c>
      <c r="C23111" t="s">
        <v>3711</v>
      </c>
      <c r="D23111" s="7">
        <f>DATE(2017,6,9)</f>
        <v>42895</v>
      </c>
      <c r="E23111" s="8">
        <f t="shared" si="385"/>
        <v>2017</v>
      </c>
      <c r="F23111" t="s">
        <v>3712</v>
      </c>
      <c r="G23111" s="9">
        <v>205.5</v>
      </c>
      <c r="H23111" s="8">
        <v>25072</v>
      </c>
    </row>
    <row r="23112" spans="2:8" ht="15" customHeight="1" x14ac:dyDescent="0.4">
      <c r="B23112" t="s">
        <v>7</v>
      </c>
      <c r="C23112" t="s">
        <v>3711</v>
      </c>
      <c r="D23112" s="7">
        <f>DATE(2018,8,2)</f>
        <v>43314</v>
      </c>
      <c r="E23112" s="8">
        <f t="shared" si="385"/>
        <v>2018</v>
      </c>
      <c r="F23112" t="s">
        <v>3712</v>
      </c>
      <c r="G23112" s="9">
        <v>1500</v>
      </c>
      <c r="H23112" s="8">
        <v>27410</v>
      </c>
    </row>
    <row r="23113" spans="2:8" ht="15" customHeight="1" x14ac:dyDescent="0.4">
      <c r="B23113" t="s">
        <v>7</v>
      </c>
      <c r="C23113" t="s">
        <v>3711</v>
      </c>
      <c r="D23113" s="7">
        <f>DATE(2016,10,14)</f>
        <v>42657</v>
      </c>
      <c r="E23113" s="8">
        <f t="shared" si="385"/>
        <v>2016</v>
      </c>
      <c r="F23113" t="s">
        <v>3712</v>
      </c>
      <c r="G23113" s="9">
        <v>4332.84</v>
      </c>
      <c r="H23113" s="8">
        <v>23519</v>
      </c>
    </row>
    <row r="23114" spans="2:8" ht="15" customHeight="1" x14ac:dyDescent="0.4">
      <c r="B23114" t="s">
        <v>16</v>
      </c>
      <c r="C23114" t="s">
        <v>3711</v>
      </c>
      <c r="D23114" s="7">
        <f>DATE(2018,8,9)</f>
        <v>43321</v>
      </c>
      <c r="E23114" s="8">
        <f t="shared" si="385"/>
        <v>2018</v>
      </c>
      <c r="F23114" t="s">
        <v>3712</v>
      </c>
      <c r="G23114" s="9">
        <v>1500</v>
      </c>
      <c r="H23114" s="8">
        <v>27479</v>
      </c>
    </row>
    <row r="23115" spans="2:8" ht="15" customHeight="1" x14ac:dyDescent="0.4">
      <c r="B23115" t="s">
        <v>7</v>
      </c>
      <c r="C23115" t="s">
        <v>3711</v>
      </c>
      <c r="D23115" s="7">
        <f>DATE(2005,4,17)</f>
        <v>38459</v>
      </c>
      <c r="E23115" s="8">
        <f t="shared" si="385"/>
        <v>2005</v>
      </c>
      <c r="F23115" t="s">
        <v>3712</v>
      </c>
      <c r="G23115" s="9">
        <v>21340</v>
      </c>
      <c r="H23115" s="8">
        <v>2841</v>
      </c>
    </row>
    <row r="23116" spans="2:8" ht="15" customHeight="1" x14ac:dyDescent="0.4">
      <c r="B23116" t="s">
        <v>7</v>
      </c>
      <c r="C23116" t="s">
        <v>3711</v>
      </c>
      <c r="D23116" s="7">
        <f>DATE(2006,4,14)</f>
        <v>38821</v>
      </c>
      <c r="E23116" s="8">
        <f t="shared" si="385"/>
        <v>2006</v>
      </c>
      <c r="F23116" t="s">
        <v>3712</v>
      </c>
      <c r="G23116" s="9">
        <v>4564.01</v>
      </c>
      <c r="H23116" s="8">
        <v>4485</v>
      </c>
    </row>
    <row r="23117" spans="2:8" ht="15" customHeight="1" x14ac:dyDescent="0.4">
      <c r="B23117" t="s">
        <v>7</v>
      </c>
      <c r="C23117" t="s">
        <v>3711</v>
      </c>
      <c r="D23117" s="7">
        <f>DATE(2006,4,13)</f>
        <v>38820</v>
      </c>
      <c r="E23117" s="8">
        <f t="shared" si="385"/>
        <v>2006</v>
      </c>
      <c r="F23117" t="s">
        <v>3712</v>
      </c>
      <c r="G23117" s="9">
        <v>1523.79</v>
      </c>
      <c r="H23117" s="8">
        <v>4259</v>
      </c>
    </row>
    <row r="23118" spans="2:8" ht="15" customHeight="1" x14ac:dyDescent="0.4">
      <c r="B23118" t="s">
        <v>7</v>
      </c>
      <c r="C23118" t="s">
        <v>3711</v>
      </c>
      <c r="D23118" s="7">
        <f>DATE(2006,4,15)</f>
        <v>38822</v>
      </c>
      <c r="E23118" s="8">
        <f t="shared" si="385"/>
        <v>2006</v>
      </c>
      <c r="F23118" t="s">
        <v>3712</v>
      </c>
      <c r="G23118" s="9">
        <v>2449.44</v>
      </c>
      <c r="H23118" s="8">
        <v>4486</v>
      </c>
    </row>
    <row r="23119" spans="2:8" ht="15" customHeight="1" x14ac:dyDescent="0.4">
      <c r="B23119" t="s">
        <v>7</v>
      </c>
      <c r="C23119" t="s">
        <v>3711</v>
      </c>
      <c r="D23119" s="7">
        <f>DATE(2006,5,13)</f>
        <v>38850</v>
      </c>
      <c r="E23119" s="8">
        <f t="shared" si="385"/>
        <v>2006</v>
      </c>
      <c r="F23119" t="s">
        <v>3712</v>
      </c>
      <c r="G23119" s="9">
        <v>30157.98</v>
      </c>
      <c r="H23119" s="8">
        <v>4609</v>
      </c>
    </row>
    <row r="23120" spans="2:8" ht="15" customHeight="1" x14ac:dyDescent="0.4">
      <c r="B23120" t="s">
        <v>7</v>
      </c>
      <c r="C23120" t="s">
        <v>3711</v>
      </c>
      <c r="D23120" s="7">
        <f>DATE(2006,6,21)</f>
        <v>38889</v>
      </c>
      <c r="E23120" s="8">
        <f t="shared" si="385"/>
        <v>2006</v>
      </c>
      <c r="F23120" t="s">
        <v>3712</v>
      </c>
      <c r="G23120" s="9">
        <v>7471.8</v>
      </c>
      <c r="H23120" s="8">
        <v>4699</v>
      </c>
    </row>
    <row r="23121" spans="2:8" ht="15" customHeight="1" x14ac:dyDescent="0.4">
      <c r="B23121" t="s">
        <v>7</v>
      </c>
      <c r="C23121" t="s">
        <v>3711</v>
      </c>
      <c r="D23121" s="7">
        <f>DATE(2006,6,28)</f>
        <v>38896</v>
      </c>
      <c r="E23121" s="8">
        <f t="shared" si="385"/>
        <v>2006</v>
      </c>
      <c r="F23121" t="s">
        <v>3712</v>
      </c>
      <c r="G23121" s="9">
        <v>4574</v>
      </c>
      <c r="H23121" s="8">
        <v>4739</v>
      </c>
    </row>
    <row r="23122" spans="2:8" ht="15" customHeight="1" x14ac:dyDescent="0.4">
      <c r="B23122" t="s">
        <v>7</v>
      </c>
      <c r="C23122" t="s">
        <v>3711</v>
      </c>
      <c r="D23122" s="7">
        <f>DATE(2007,2,28)</f>
        <v>39141</v>
      </c>
      <c r="E23122" s="8">
        <f t="shared" si="385"/>
        <v>2007</v>
      </c>
      <c r="F23122" t="s">
        <v>3712</v>
      </c>
      <c r="G23122" s="9">
        <v>26414.43</v>
      </c>
      <c r="H23122" s="8">
        <v>5395</v>
      </c>
    </row>
    <row r="23123" spans="2:8" ht="15" customHeight="1" x14ac:dyDescent="0.4">
      <c r="B23123" t="s">
        <v>7</v>
      </c>
      <c r="C23123" t="s">
        <v>3711</v>
      </c>
      <c r="D23123" s="7">
        <f>DATE(2007,2,27)</f>
        <v>39140</v>
      </c>
      <c r="E23123" s="8">
        <f t="shared" si="385"/>
        <v>2007</v>
      </c>
      <c r="F23123" t="s">
        <v>3712</v>
      </c>
      <c r="G23123" s="9">
        <v>1790</v>
      </c>
      <c r="H23123" s="8">
        <v>5415</v>
      </c>
    </row>
    <row r="23124" spans="2:8" ht="15" customHeight="1" x14ac:dyDescent="0.4">
      <c r="B23124" t="s">
        <v>7</v>
      </c>
      <c r="C23124" t="s">
        <v>3711</v>
      </c>
      <c r="D23124" s="7">
        <f>DATE(2007,3,3)</f>
        <v>39144</v>
      </c>
      <c r="E23124" s="8">
        <f t="shared" si="385"/>
        <v>2007</v>
      </c>
      <c r="F23124" t="s">
        <v>3712</v>
      </c>
      <c r="G23124" s="9">
        <v>21500</v>
      </c>
      <c r="H23124" s="8">
        <v>5396</v>
      </c>
    </row>
    <row r="23125" spans="2:8" ht="15" customHeight="1" x14ac:dyDescent="0.4">
      <c r="B23125" t="s">
        <v>7</v>
      </c>
      <c r="C23125" t="s">
        <v>3711</v>
      </c>
      <c r="D23125" s="7">
        <f>DATE(2007,3,1)</f>
        <v>39142</v>
      </c>
      <c r="E23125" s="8">
        <f t="shared" si="385"/>
        <v>2007</v>
      </c>
      <c r="F23125" t="s">
        <v>3712</v>
      </c>
      <c r="G23125" s="9">
        <v>4200</v>
      </c>
      <c r="H23125" s="8">
        <v>5417</v>
      </c>
    </row>
    <row r="23126" spans="2:8" ht="15" customHeight="1" x14ac:dyDescent="0.4">
      <c r="B23126" t="s">
        <v>7</v>
      </c>
      <c r="C23126" t="s">
        <v>3711</v>
      </c>
      <c r="D23126" s="7">
        <f>DATE(2008,2,7)</f>
        <v>39485</v>
      </c>
      <c r="E23126" s="8">
        <f t="shared" si="385"/>
        <v>2008</v>
      </c>
      <c r="F23126" t="s">
        <v>3712</v>
      </c>
      <c r="G23126" s="9">
        <v>4468.45</v>
      </c>
      <c r="H23126" s="8">
        <v>6910</v>
      </c>
    </row>
    <row r="23127" spans="2:8" ht="15" customHeight="1" x14ac:dyDescent="0.4">
      <c r="B23127" t="s">
        <v>7</v>
      </c>
      <c r="C23127" t="s">
        <v>3711</v>
      </c>
      <c r="D23127" s="7">
        <f>DATE(2008,5,12)</f>
        <v>39580</v>
      </c>
      <c r="E23127" s="8">
        <f t="shared" si="385"/>
        <v>2008</v>
      </c>
      <c r="F23127" t="s">
        <v>3712</v>
      </c>
      <c r="G23127" s="9">
        <v>17500</v>
      </c>
      <c r="H23127" s="8">
        <v>7323</v>
      </c>
    </row>
    <row r="23128" spans="2:8" ht="15" customHeight="1" x14ac:dyDescent="0.4">
      <c r="B23128" t="s">
        <v>7</v>
      </c>
      <c r="C23128" t="s">
        <v>3711</v>
      </c>
      <c r="D23128" s="7">
        <f>DATE(2008,5,12)</f>
        <v>39580</v>
      </c>
      <c r="E23128" s="8">
        <f t="shared" si="385"/>
        <v>2008</v>
      </c>
      <c r="F23128" t="s">
        <v>3712</v>
      </c>
      <c r="G23128" s="9">
        <v>3818.25</v>
      </c>
      <c r="H23128" s="8">
        <v>7336</v>
      </c>
    </row>
    <row r="23129" spans="2:8" ht="15" customHeight="1" x14ac:dyDescent="0.4">
      <c r="B23129" t="s">
        <v>7</v>
      </c>
      <c r="C23129" t="s">
        <v>3711</v>
      </c>
      <c r="D23129" s="7">
        <f>DATE(2009,10,23)</f>
        <v>40109</v>
      </c>
      <c r="E23129" s="8">
        <f t="shared" si="385"/>
        <v>2009</v>
      </c>
      <c r="F23129" t="s">
        <v>3712</v>
      </c>
      <c r="G23129" s="9">
        <v>5188</v>
      </c>
      <c r="H23129" s="8">
        <v>9114</v>
      </c>
    </row>
    <row r="23130" spans="2:8" ht="15" customHeight="1" x14ac:dyDescent="0.4">
      <c r="B23130" t="s">
        <v>7</v>
      </c>
      <c r="C23130" t="s">
        <v>3711</v>
      </c>
      <c r="D23130" s="7">
        <f>DATE(2009,10,23)</f>
        <v>40109</v>
      </c>
      <c r="E23130" s="8">
        <f t="shared" si="385"/>
        <v>2009</v>
      </c>
      <c r="F23130" t="s">
        <v>3712</v>
      </c>
      <c r="G23130" s="9">
        <v>26914.6</v>
      </c>
      <c r="H23130" s="8">
        <v>9113</v>
      </c>
    </row>
    <row r="23131" spans="2:8" ht="15" customHeight="1" x14ac:dyDescent="0.4">
      <c r="B23131" t="s">
        <v>7</v>
      </c>
      <c r="C23131" t="s">
        <v>3711</v>
      </c>
      <c r="D23131" s="7">
        <f>DATE(2010,2,24)</f>
        <v>40233</v>
      </c>
      <c r="E23131" s="8">
        <f t="shared" si="385"/>
        <v>2010</v>
      </c>
      <c r="F23131" t="s">
        <v>3712</v>
      </c>
      <c r="G23131" s="9">
        <v>11467.88</v>
      </c>
      <c r="H23131" s="8">
        <v>9434</v>
      </c>
    </row>
    <row r="23132" spans="2:8" ht="15" customHeight="1" x14ac:dyDescent="0.4">
      <c r="B23132" t="s">
        <v>7</v>
      </c>
      <c r="C23132" t="s">
        <v>3711</v>
      </c>
      <c r="D23132" s="7">
        <f>DATE(2010,2,24)</f>
        <v>40233</v>
      </c>
      <c r="E23132" s="8">
        <f t="shared" si="385"/>
        <v>2010</v>
      </c>
      <c r="F23132" t="s">
        <v>3712</v>
      </c>
      <c r="G23132" s="9">
        <v>9689.83</v>
      </c>
      <c r="H23132" s="8">
        <v>9408</v>
      </c>
    </row>
    <row r="23133" spans="2:8" ht="15" customHeight="1" x14ac:dyDescent="0.4">
      <c r="B23133" t="s">
        <v>7</v>
      </c>
      <c r="C23133" t="s">
        <v>3711</v>
      </c>
      <c r="D23133" s="7">
        <f>DATE(2011,11,14)</f>
        <v>40861</v>
      </c>
      <c r="E23133" s="8">
        <f t="shared" si="385"/>
        <v>2011</v>
      </c>
      <c r="F23133" t="s">
        <v>3712</v>
      </c>
      <c r="G23133" s="9">
        <v>24879</v>
      </c>
      <c r="H23133" s="8">
        <v>11089</v>
      </c>
    </row>
    <row r="23134" spans="2:8" ht="15" customHeight="1" x14ac:dyDescent="0.4">
      <c r="B23134" t="s">
        <v>7</v>
      </c>
      <c r="C23134" t="s">
        <v>3711</v>
      </c>
      <c r="D23134" s="7">
        <f>DATE(2013,7,29)</f>
        <v>41484</v>
      </c>
      <c r="E23134" s="8">
        <f t="shared" si="385"/>
        <v>2013</v>
      </c>
      <c r="F23134" t="s">
        <v>3712</v>
      </c>
      <c r="G23134" s="9">
        <v>29719</v>
      </c>
      <c r="H23134" s="8">
        <v>12575</v>
      </c>
    </row>
    <row r="23135" spans="2:8" ht="15" customHeight="1" x14ac:dyDescent="0.4">
      <c r="B23135" t="s">
        <v>7</v>
      </c>
      <c r="C23135" t="s">
        <v>3711</v>
      </c>
      <c r="D23135" s="7">
        <f>DATE(2014,6,11)</f>
        <v>41801</v>
      </c>
      <c r="E23135" s="8">
        <f t="shared" si="385"/>
        <v>2014</v>
      </c>
      <c r="F23135" t="s">
        <v>3712</v>
      </c>
      <c r="G23135" s="9">
        <v>22989</v>
      </c>
      <c r="H23135" s="8">
        <v>13243</v>
      </c>
    </row>
    <row r="23136" spans="2:8" ht="15" customHeight="1" x14ac:dyDescent="0.4">
      <c r="B23136" t="s">
        <v>7</v>
      </c>
      <c r="C23136" t="s">
        <v>3711</v>
      </c>
      <c r="D23136" s="7">
        <f>DATE(2010,5,18)</f>
        <v>40316</v>
      </c>
      <c r="E23136" s="8">
        <f t="shared" si="385"/>
        <v>2010</v>
      </c>
      <c r="F23136" t="s">
        <v>3712</v>
      </c>
      <c r="G23136" s="9">
        <v>5729.87</v>
      </c>
      <c r="H23136" s="8">
        <v>9759</v>
      </c>
    </row>
    <row r="23137" spans="2:8" ht="15" customHeight="1" x14ac:dyDescent="0.4">
      <c r="B23137" s="3" t="s">
        <v>7</v>
      </c>
      <c r="C23137" s="3" t="s">
        <v>3711</v>
      </c>
      <c r="D23137" s="4">
        <f>DATE(2005,6,10)</f>
        <v>38513</v>
      </c>
      <c r="E23137" s="5">
        <f t="shared" si="385"/>
        <v>2005</v>
      </c>
      <c r="F23137" s="3" t="s">
        <v>3712</v>
      </c>
      <c r="G23137" s="6">
        <v>1269</v>
      </c>
      <c r="H23137" s="5">
        <v>4870</v>
      </c>
    </row>
    <row r="23138" spans="2:8" ht="15" customHeight="1" x14ac:dyDescent="0.4">
      <c r="B23138" s="3" t="s">
        <v>7</v>
      </c>
      <c r="C23138" s="3" t="s">
        <v>3711</v>
      </c>
      <c r="D23138" s="4">
        <f>DATE(2007,3,20)</f>
        <v>39161</v>
      </c>
      <c r="E23138" s="5">
        <f t="shared" si="385"/>
        <v>2007</v>
      </c>
      <c r="F23138" s="3" t="s">
        <v>3712</v>
      </c>
      <c r="G23138" s="6">
        <v>411</v>
      </c>
      <c r="H23138" s="5">
        <v>8177</v>
      </c>
    </row>
    <row r="23139" spans="2:8" ht="15" customHeight="1" x14ac:dyDescent="0.4">
      <c r="B23139" s="3" t="s">
        <v>7</v>
      </c>
      <c r="C23139" s="3" t="s">
        <v>3711</v>
      </c>
      <c r="D23139" s="4">
        <f>DATE(2008,1,14)</f>
        <v>39461</v>
      </c>
      <c r="E23139" s="5">
        <f t="shared" si="385"/>
        <v>2008</v>
      </c>
      <c r="F23139" s="3" t="s">
        <v>3712</v>
      </c>
      <c r="G23139" s="6">
        <v>2206.12</v>
      </c>
      <c r="H23139" s="5">
        <v>9719</v>
      </c>
    </row>
    <row r="23140" spans="2:8" ht="15" customHeight="1" x14ac:dyDescent="0.4">
      <c r="B23140" s="3" t="s">
        <v>7</v>
      </c>
      <c r="C23140" s="3" t="s">
        <v>3711</v>
      </c>
      <c r="D23140" s="4">
        <f>DATE(2008,1,12)</f>
        <v>39459</v>
      </c>
      <c r="E23140" s="5">
        <f t="shared" si="385"/>
        <v>2008</v>
      </c>
      <c r="F23140" s="3" t="s">
        <v>3712</v>
      </c>
      <c r="G23140" s="6">
        <v>1743.33</v>
      </c>
      <c r="H23140" s="5">
        <v>9718</v>
      </c>
    </row>
    <row r="23141" spans="2:8" ht="15" customHeight="1" x14ac:dyDescent="0.4">
      <c r="B23141" s="3" t="s">
        <v>7</v>
      </c>
      <c r="C23141" s="3" t="s">
        <v>3711</v>
      </c>
      <c r="D23141" s="4">
        <f>DATE(2009,3,25)</f>
        <v>39897</v>
      </c>
      <c r="E23141" s="5">
        <f t="shared" si="385"/>
        <v>2009</v>
      </c>
      <c r="F23141" s="3" t="s">
        <v>3712</v>
      </c>
      <c r="G23141" s="6">
        <v>1269</v>
      </c>
      <c r="H23141" s="5">
        <v>12108</v>
      </c>
    </row>
    <row r="23142" spans="2:8" ht="15" customHeight="1" x14ac:dyDescent="0.4">
      <c r="B23142" s="3" t="s">
        <v>7</v>
      </c>
      <c r="C23142" s="3" t="s">
        <v>3711</v>
      </c>
      <c r="D23142" s="4">
        <f>DATE(2009,10,5)</f>
        <v>40091</v>
      </c>
      <c r="E23142" s="5">
        <f t="shared" si="385"/>
        <v>2009</v>
      </c>
      <c r="F23142" s="3" t="s">
        <v>3712</v>
      </c>
      <c r="G23142" s="6">
        <v>1269</v>
      </c>
      <c r="H23142" s="5">
        <v>13081</v>
      </c>
    </row>
    <row r="23143" spans="2:8" ht="15" customHeight="1" x14ac:dyDescent="0.4">
      <c r="B23143" s="3" t="s">
        <v>7</v>
      </c>
      <c r="C23143" s="3" t="s">
        <v>3711</v>
      </c>
      <c r="D23143" s="4">
        <f>DATE(2010,2,11)</f>
        <v>40220</v>
      </c>
      <c r="E23143" s="5">
        <f t="shared" si="385"/>
        <v>2010</v>
      </c>
      <c r="F23143" s="3" t="s">
        <v>3712</v>
      </c>
      <c r="G23143" s="6">
        <v>846</v>
      </c>
      <c r="H23143" s="5">
        <v>13588</v>
      </c>
    </row>
    <row r="23144" spans="2:8" ht="15" customHeight="1" x14ac:dyDescent="0.4">
      <c r="B23144" s="3" t="s">
        <v>7</v>
      </c>
      <c r="C23144" s="3" t="s">
        <v>3711</v>
      </c>
      <c r="D23144" s="4">
        <f>DATE(2010,3,24)</f>
        <v>40261</v>
      </c>
      <c r="E23144" s="5">
        <f t="shared" si="385"/>
        <v>2010</v>
      </c>
      <c r="F23144" s="3" t="s">
        <v>3712</v>
      </c>
      <c r="G23144" s="6">
        <v>846</v>
      </c>
      <c r="H23144" s="5">
        <v>13777</v>
      </c>
    </row>
    <row r="23145" spans="2:8" ht="15" customHeight="1" x14ac:dyDescent="0.4">
      <c r="B23145" s="3" t="s">
        <v>7</v>
      </c>
      <c r="C23145" s="3" t="s">
        <v>3711</v>
      </c>
      <c r="D23145" s="4">
        <f>DATE(2012,2,9)</f>
        <v>40948</v>
      </c>
      <c r="E23145" s="5">
        <f t="shared" si="385"/>
        <v>2012</v>
      </c>
      <c r="F23145" s="3" t="s">
        <v>3712</v>
      </c>
      <c r="G23145" s="6">
        <v>846</v>
      </c>
      <c r="H23145" s="5">
        <v>16509</v>
      </c>
    </row>
    <row r="23146" spans="2:8" ht="15" customHeight="1" x14ac:dyDescent="0.4">
      <c r="B23146" s="3" t="s">
        <v>7</v>
      </c>
      <c r="C23146" s="3" t="s">
        <v>3711</v>
      </c>
      <c r="D23146" s="4">
        <f>DATE(2014,3,20)</f>
        <v>41718</v>
      </c>
      <c r="E23146" s="5">
        <f t="shared" si="385"/>
        <v>2014</v>
      </c>
      <c r="F23146" s="3" t="s">
        <v>3712</v>
      </c>
      <c r="G23146" s="6">
        <v>1217.79</v>
      </c>
      <c r="H23146" s="5">
        <v>19735</v>
      </c>
    </row>
    <row r="23147" spans="2:8" ht="15" customHeight="1" x14ac:dyDescent="0.4">
      <c r="B23147" s="3" t="s">
        <v>7</v>
      </c>
      <c r="C23147" s="3" t="s">
        <v>3711</v>
      </c>
      <c r="D23147" s="4">
        <f>DATE(2014,12,10)</f>
        <v>41983</v>
      </c>
      <c r="E23147" s="5">
        <f t="shared" si="385"/>
        <v>2014</v>
      </c>
      <c r="F23147" s="3" t="s">
        <v>3712</v>
      </c>
      <c r="G23147" s="6">
        <v>423</v>
      </c>
      <c r="H23147" s="5">
        <v>20685</v>
      </c>
    </row>
    <row r="23148" spans="2:8" ht="15" customHeight="1" x14ac:dyDescent="0.4">
      <c r="B23148" t="s">
        <v>7</v>
      </c>
      <c r="C23148" t="s">
        <v>3711</v>
      </c>
      <c r="D23148" s="7">
        <f>DATE(2004,10,25)</f>
        <v>38285</v>
      </c>
      <c r="E23148" s="8">
        <f t="shared" si="385"/>
        <v>2004</v>
      </c>
      <c r="F23148" t="s">
        <v>3713</v>
      </c>
      <c r="G23148" s="9">
        <v>24500</v>
      </c>
      <c r="H23148" s="8">
        <v>2176</v>
      </c>
    </row>
    <row r="23149" spans="2:8" ht="15" customHeight="1" x14ac:dyDescent="0.4">
      <c r="B23149" s="3" t="s">
        <v>7</v>
      </c>
      <c r="C23149" s="3" t="s">
        <v>3714</v>
      </c>
      <c r="D23149" s="4">
        <f>DATE(2003,4,25)</f>
        <v>37736</v>
      </c>
      <c r="E23149" s="5">
        <f t="shared" si="385"/>
        <v>2003</v>
      </c>
      <c r="F23149" s="3" t="s">
        <v>3715</v>
      </c>
      <c r="G23149" s="6">
        <v>886.5</v>
      </c>
      <c r="H23149" s="5">
        <v>839</v>
      </c>
    </row>
    <row r="23150" spans="2:8" ht="15" customHeight="1" x14ac:dyDescent="0.4">
      <c r="B23150" s="3" t="s">
        <v>7</v>
      </c>
      <c r="C23150" s="3" t="s">
        <v>3714</v>
      </c>
      <c r="D23150" s="4">
        <f>DATE(2003,4,25)</f>
        <v>37736</v>
      </c>
      <c r="E23150" s="5">
        <f t="shared" si="385"/>
        <v>2003</v>
      </c>
      <c r="F23150" s="3" t="s">
        <v>3715</v>
      </c>
      <c r="G23150" s="6">
        <v>852.5</v>
      </c>
      <c r="H23150" s="5">
        <v>840</v>
      </c>
    </row>
    <row r="23151" spans="2:8" ht="15" customHeight="1" x14ac:dyDescent="0.4">
      <c r="B23151" s="3" t="s">
        <v>7</v>
      </c>
      <c r="C23151" s="3" t="s">
        <v>3714</v>
      </c>
      <c r="D23151" s="4">
        <f>DATE(2003,6,9)</f>
        <v>37781</v>
      </c>
      <c r="E23151" s="5">
        <f t="shared" si="385"/>
        <v>2003</v>
      </c>
      <c r="F23151" s="3" t="s">
        <v>3715</v>
      </c>
      <c r="G23151" s="6">
        <v>814</v>
      </c>
      <c r="H23151" s="5">
        <v>1061</v>
      </c>
    </row>
    <row r="23152" spans="2:8" ht="15" customHeight="1" x14ac:dyDescent="0.4">
      <c r="B23152" t="s">
        <v>7</v>
      </c>
      <c r="C23152" t="s">
        <v>3716</v>
      </c>
      <c r="D23152" s="7">
        <f>DATE(2013,2,22)</f>
        <v>41327</v>
      </c>
      <c r="E23152" s="8">
        <f t="shared" si="385"/>
        <v>2013</v>
      </c>
      <c r="F23152" t="s">
        <v>3717</v>
      </c>
      <c r="G23152" s="9">
        <v>2879.5</v>
      </c>
      <c r="H23152" s="8">
        <v>12211</v>
      </c>
    </row>
    <row r="23153" spans="2:8" ht="15" customHeight="1" x14ac:dyDescent="0.4">
      <c r="B23153" t="s">
        <v>7</v>
      </c>
      <c r="C23153" t="s">
        <v>3716</v>
      </c>
      <c r="D23153" s="7">
        <f>DATE(2013,3,21)</f>
        <v>41354</v>
      </c>
      <c r="E23153" s="8">
        <f t="shared" si="385"/>
        <v>2013</v>
      </c>
      <c r="F23153" t="s">
        <v>3717</v>
      </c>
      <c r="G23153" s="9">
        <v>2880</v>
      </c>
      <c r="H23153" s="8">
        <v>12303</v>
      </c>
    </row>
    <row r="23154" spans="2:8" ht="15" customHeight="1" x14ac:dyDescent="0.4">
      <c r="B23154" t="s">
        <v>7</v>
      </c>
      <c r="C23154" t="s">
        <v>3716</v>
      </c>
      <c r="D23154" s="7">
        <f>DATE(2013,3,1)</f>
        <v>41334</v>
      </c>
      <c r="E23154" s="8">
        <f t="shared" si="385"/>
        <v>2013</v>
      </c>
      <c r="F23154" t="s">
        <v>3717</v>
      </c>
      <c r="G23154" s="9">
        <v>201.57</v>
      </c>
      <c r="H23154" s="8">
        <v>12393</v>
      </c>
    </row>
    <row r="23155" spans="2:8" ht="15" customHeight="1" x14ac:dyDescent="0.4">
      <c r="B23155" t="s">
        <v>7</v>
      </c>
      <c r="C23155" t="s">
        <v>3716</v>
      </c>
      <c r="D23155" s="7">
        <f>DATE(2013,3,14)</f>
        <v>41347</v>
      </c>
      <c r="E23155" s="8">
        <f t="shared" si="385"/>
        <v>2013</v>
      </c>
      <c r="F23155" t="s">
        <v>3717</v>
      </c>
      <c r="G23155" s="9">
        <v>201.6</v>
      </c>
      <c r="H23155" s="8">
        <v>12394</v>
      </c>
    </row>
    <row r="23156" spans="2:8" ht="15" customHeight="1" x14ac:dyDescent="0.4">
      <c r="B23156" s="3" t="s">
        <v>7</v>
      </c>
      <c r="C23156" s="3" t="s">
        <v>3718</v>
      </c>
      <c r="D23156" s="4">
        <f>DATE(2012,12,14)</f>
        <v>41257</v>
      </c>
      <c r="E23156" s="5">
        <f t="shared" si="385"/>
        <v>2012</v>
      </c>
      <c r="F23156" s="3" t="s">
        <v>3719</v>
      </c>
      <c r="G23156" s="6">
        <v>6352.64</v>
      </c>
      <c r="H23156" s="5">
        <v>17908</v>
      </c>
    </row>
    <row r="23157" spans="2:8" ht="15" customHeight="1" x14ac:dyDescent="0.4">
      <c r="B23157" s="3" t="s">
        <v>7</v>
      </c>
      <c r="C23157" s="3" t="s">
        <v>3718</v>
      </c>
      <c r="D23157" s="4">
        <f>DATE(2012,12,14)</f>
        <v>41257</v>
      </c>
      <c r="E23157" s="5">
        <f t="shared" si="385"/>
        <v>2012</v>
      </c>
      <c r="F23157" s="3" t="s">
        <v>3719</v>
      </c>
      <c r="G23157" s="6">
        <v>338</v>
      </c>
      <c r="H23157" s="5">
        <v>17908</v>
      </c>
    </row>
    <row r="23158" spans="2:8" ht="15" customHeight="1" x14ac:dyDescent="0.4">
      <c r="B23158" t="s">
        <v>7</v>
      </c>
      <c r="C23158" t="s">
        <v>3720</v>
      </c>
      <c r="D23158" s="7">
        <f>DATE(2017,7,28)</f>
        <v>42944</v>
      </c>
      <c r="E23158" s="8">
        <f t="shared" si="385"/>
        <v>2017</v>
      </c>
      <c r="F23158" t="s">
        <v>3721</v>
      </c>
      <c r="G23158" s="9">
        <v>558.15</v>
      </c>
      <c r="H23158" s="8">
        <v>25317</v>
      </c>
    </row>
    <row r="23159" spans="2:8" ht="15" customHeight="1" x14ac:dyDescent="0.4">
      <c r="B23159" t="s">
        <v>7</v>
      </c>
      <c r="C23159" t="s">
        <v>3722</v>
      </c>
      <c r="D23159" s="7">
        <f>DATE(2015,5,28)</f>
        <v>42152</v>
      </c>
      <c r="E23159" s="8">
        <f t="shared" si="385"/>
        <v>2015</v>
      </c>
      <c r="F23159" t="s">
        <v>3723</v>
      </c>
      <c r="G23159" s="9">
        <v>4119.17</v>
      </c>
      <c r="H23159" s="8">
        <v>20654</v>
      </c>
    </row>
    <row r="23160" spans="2:8" ht="15" customHeight="1" x14ac:dyDescent="0.4">
      <c r="B23160" t="s">
        <v>7</v>
      </c>
      <c r="C23160" t="s">
        <v>3722</v>
      </c>
      <c r="D23160" s="7">
        <f>DATE(2016,3,30)</f>
        <v>42459</v>
      </c>
      <c r="E23160" s="8">
        <f t="shared" si="385"/>
        <v>2016</v>
      </c>
      <c r="F23160" t="s">
        <v>3723</v>
      </c>
      <c r="G23160" s="9">
        <v>3823</v>
      </c>
      <c r="H23160" s="8">
        <v>22515</v>
      </c>
    </row>
    <row r="23161" spans="2:8" ht="15" customHeight="1" x14ac:dyDescent="0.4">
      <c r="B23161" t="s">
        <v>7</v>
      </c>
      <c r="C23161" t="s">
        <v>3722</v>
      </c>
      <c r="D23161" s="7">
        <f>DATE(2016,4,13)</f>
        <v>42473</v>
      </c>
      <c r="E23161" s="8">
        <f t="shared" si="385"/>
        <v>2016</v>
      </c>
      <c r="F23161" t="s">
        <v>3723</v>
      </c>
      <c r="G23161" s="9">
        <v>3800</v>
      </c>
      <c r="H23161" s="8">
        <v>22659</v>
      </c>
    </row>
    <row r="23162" spans="2:8" ht="15" customHeight="1" x14ac:dyDescent="0.4">
      <c r="B23162" t="s">
        <v>7</v>
      </c>
      <c r="C23162" t="s">
        <v>3722</v>
      </c>
      <c r="D23162" s="7">
        <f>DATE(2016,5,18)</f>
        <v>42508</v>
      </c>
      <c r="E23162" s="8">
        <f t="shared" si="385"/>
        <v>2016</v>
      </c>
      <c r="F23162" t="s">
        <v>3723</v>
      </c>
      <c r="G23162" s="9">
        <v>3823</v>
      </c>
      <c r="H23162" s="8">
        <v>22861</v>
      </c>
    </row>
    <row r="23163" spans="2:8" ht="15" customHeight="1" x14ac:dyDescent="0.4">
      <c r="B23163" t="s">
        <v>7</v>
      </c>
      <c r="C23163" t="s">
        <v>3722</v>
      </c>
      <c r="D23163" s="7">
        <f>DATE(2017,6,26)</f>
        <v>42912</v>
      </c>
      <c r="E23163" s="8">
        <f t="shared" si="385"/>
        <v>2017</v>
      </c>
      <c r="F23163" t="s">
        <v>3723</v>
      </c>
      <c r="G23163" s="9">
        <v>5732.08</v>
      </c>
      <c r="H23163" s="8">
        <v>25161</v>
      </c>
    </row>
    <row r="23164" spans="2:8" ht="15" customHeight="1" x14ac:dyDescent="0.4">
      <c r="B23164" t="s">
        <v>7</v>
      </c>
      <c r="C23164" t="s">
        <v>3722</v>
      </c>
      <c r="D23164" s="7">
        <f>DATE(2018,5,18)</f>
        <v>43238</v>
      </c>
      <c r="E23164" s="8">
        <f t="shared" si="385"/>
        <v>2018</v>
      </c>
      <c r="F23164" t="s">
        <v>3723</v>
      </c>
      <c r="G23164" s="9">
        <v>3825</v>
      </c>
      <c r="H23164" s="8">
        <v>27069</v>
      </c>
    </row>
    <row r="23165" spans="2:8" ht="15" customHeight="1" x14ac:dyDescent="0.4">
      <c r="B23165" t="s">
        <v>7</v>
      </c>
      <c r="C23165" t="s">
        <v>3722</v>
      </c>
      <c r="D23165" s="7">
        <f>DATE(2018,11,2)</f>
        <v>43406</v>
      </c>
      <c r="E23165" s="8">
        <f t="shared" si="385"/>
        <v>2018</v>
      </c>
      <c r="F23165" t="s">
        <v>3723</v>
      </c>
      <c r="G23165" s="9">
        <v>101.38</v>
      </c>
      <c r="H23165" s="8">
        <v>27902</v>
      </c>
    </row>
    <row r="23166" spans="2:8" ht="15" customHeight="1" x14ac:dyDescent="0.4">
      <c r="B23166" s="3" t="s">
        <v>7</v>
      </c>
      <c r="C23166" s="3" t="s">
        <v>3722</v>
      </c>
      <c r="D23166" s="4">
        <f>DATE(2012,3,16)</f>
        <v>40984</v>
      </c>
      <c r="E23166" s="5">
        <f t="shared" si="385"/>
        <v>2012</v>
      </c>
      <c r="F23166" s="3" t="s">
        <v>3723</v>
      </c>
      <c r="G23166" s="6">
        <v>4117.01</v>
      </c>
      <c r="H23166" s="5">
        <v>16766</v>
      </c>
    </row>
    <row r="23167" spans="2:8" ht="15" customHeight="1" x14ac:dyDescent="0.4">
      <c r="B23167" s="3" t="s">
        <v>7</v>
      </c>
      <c r="C23167" s="3" t="s">
        <v>3722</v>
      </c>
      <c r="D23167" s="4">
        <f>DATE(2013,3,4)</f>
        <v>41337</v>
      </c>
      <c r="E23167" s="5">
        <f t="shared" si="385"/>
        <v>2013</v>
      </c>
      <c r="F23167" s="3" t="s">
        <v>3723</v>
      </c>
      <c r="G23167" s="6">
        <v>106.03</v>
      </c>
      <c r="H23167" s="5">
        <v>18252</v>
      </c>
    </row>
    <row r="23168" spans="2:8" ht="15" customHeight="1" x14ac:dyDescent="0.4">
      <c r="B23168" s="3" t="s">
        <v>7</v>
      </c>
      <c r="C23168" s="3" t="s">
        <v>3722</v>
      </c>
      <c r="D23168" s="4">
        <f>DATE(2013,4,25)</f>
        <v>41389</v>
      </c>
      <c r="E23168" s="5">
        <f t="shared" si="385"/>
        <v>2013</v>
      </c>
      <c r="F23168" s="3" t="s">
        <v>3723</v>
      </c>
      <c r="G23168" s="6">
        <v>4118.08</v>
      </c>
      <c r="H23168" s="5">
        <v>18486</v>
      </c>
    </row>
    <row r="23169" spans="2:8" ht="15" customHeight="1" x14ac:dyDescent="0.4">
      <c r="B23169" s="3" t="s">
        <v>7</v>
      </c>
      <c r="C23169" s="3" t="s">
        <v>3722</v>
      </c>
      <c r="D23169" s="4">
        <f>DATE(2013,9,11)</f>
        <v>41528</v>
      </c>
      <c r="E23169" s="5">
        <f t="shared" si="385"/>
        <v>2013</v>
      </c>
      <c r="F23169" s="3" t="s">
        <v>3723</v>
      </c>
      <c r="G23169" s="6">
        <v>755.5</v>
      </c>
      <c r="H23169" s="5">
        <v>18944</v>
      </c>
    </row>
    <row r="23170" spans="2:8" ht="15" customHeight="1" x14ac:dyDescent="0.4">
      <c r="B23170" s="3" t="s">
        <v>7</v>
      </c>
      <c r="C23170" s="3" t="s">
        <v>3722</v>
      </c>
      <c r="D23170" s="4">
        <f>DATE(2013,10,23)</f>
        <v>41570</v>
      </c>
      <c r="E23170" s="5">
        <f t="shared" si="385"/>
        <v>2013</v>
      </c>
      <c r="F23170" s="3" t="s">
        <v>3723</v>
      </c>
      <c r="G23170" s="6">
        <v>4118.08</v>
      </c>
      <c r="H23170" s="5">
        <v>19120</v>
      </c>
    </row>
    <row r="23171" spans="2:8" ht="15" customHeight="1" x14ac:dyDescent="0.4">
      <c r="B23171" s="3" t="s">
        <v>7</v>
      </c>
      <c r="C23171" s="3" t="s">
        <v>3722</v>
      </c>
      <c r="D23171" s="4">
        <f>DATE(2013,12,2)</f>
        <v>41610</v>
      </c>
      <c r="E23171" s="5">
        <f t="shared" ref="E23171:E23234" si="386">YEAR(D23171)</f>
        <v>2013</v>
      </c>
      <c r="F23171" s="3" t="s">
        <v>3723</v>
      </c>
      <c r="G23171" s="6">
        <v>106.03</v>
      </c>
      <c r="H23171" s="5">
        <v>19271</v>
      </c>
    </row>
    <row r="23172" spans="2:8" ht="15" customHeight="1" x14ac:dyDescent="0.4">
      <c r="B23172" s="3" t="s">
        <v>7</v>
      </c>
      <c r="C23172" s="3" t="s">
        <v>3722</v>
      </c>
      <c r="D23172" s="4">
        <f>DATE(2014,4,11)</f>
        <v>41740</v>
      </c>
      <c r="E23172" s="5">
        <f t="shared" si="386"/>
        <v>2014</v>
      </c>
      <c r="F23172" s="3" t="s">
        <v>3723</v>
      </c>
      <c r="G23172" s="6">
        <v>8296.34</v>
      </c>
      <c r="H23172" s="5">
        <v>19833</v>
      </c>
    </row>
    <row r="23173" spans="2:8" ht="15" customHeight="1" x14ac:dyDescent="0.4">
      <c r="B23173" s="3" t="s">
        <v>7</v>
      </c>
      <c r="C23173" s="3" t="s">
        <v>3722</v>
      </c>
      <c r="D23173" s="4">
        <f>DATE(2014,4,28)</f>
        <v>41757</v>
      </c>
      <c r="E23173" s="5">
        <f t="shared" si="386"/>
        <v>2014</v>
      </c>
      <c r="F23173" s="3" t="s">
        <v>3723</v>
      </c>
      <c r="G23173" s="6">
        <v>106.03</v>
      </c>
      <c r="H23173" s="5">
        <v>19907</v>
      </c>
    </row>
    <row r="23174" spans="2:8" ht="15" customHeight="1" x14ac:dyDescent="0.4">
      <c r="B23174" s="3" t="s">
        <v>7</v>
      </c>
      <c r="C23174" s="3" t="s">
        <v>3722</v>
      </c>
      <c r="D23174" s="4">
        <f>DATE(2014,12,5)</f>
        <v>41978</v>
      </c>
      <c r="E23174" s="5">
        <f t="shared" si="386"/>
        <v>2014</v>
      </c>
      <c r="F23174" s="3" t="s">
        <v>3723</v>
      </c>
      <c r="G23174" s="6">
        <v>12390.8</v>
      </c>
      <c r="H23174" s="5">
        <v>20700</v>
      </c>
    </row>
    <row r="23175" spans="2:8" ht="15" customHeight="1" x14ac:dyDescent="0.4">
      <c r="B23175" t="s">
        <v>7</v>
      </c>
      <c r="C23175" t="s">
        <v>3724</v>
      </c>
      <c r="D23175" s="7">
        <f>DATE(2004,6,18)</f>
        <v>38156</v>
      </c>
      <c r="E23175" s="8">
        <f t="shared" si="386"/>
        <v>2004</v>
      </c>
      <c r="F23175" t="s">
        <v>3725</v>
      </c>
      <c r="G23175" s="9">
        <v>7072.1</v>
      </c>
      <c r="H23175" s="8">
        <v>1902</v>
      </c>
    </row>
    <row r="23176" spans="2:8" ht="15" customHeight="1" x14ac:dyDescent="0.4">
      <c r="B23176" t="s">
        <v>7</v>
      </c>
      <c r="C23176" t="s">
        <v>3724</v>
      </c>
      <c r="D23176" s="7">
        <f>DATE(2004,10,25)</f>
        <v>38285</v>
      </c>
      <c r="E23176" s="8">
        <f t="shared" si="386"/>
        <v>2004</v>
      </c>
      <c r="F23176" t="s">
        <v>3725</v>
      </c>
      <c r="G23176" s="9">
        <v>14561.72</v>
      </c>
      <c r="H23176" s="8">
        <v>2281</v>
      </c>
    </row>
    <row r="23177" spans="2:8" ht="15" customHeight="1" x14ac:dyDescent="0.4">
      <c r="B23177" t="s">
        <v>7</v>
      </c>
      <c r="C23177" t="s">
        <v>3724</v>
      </c>
      <c r="D23177" s="7">
        <f>DATE(2006,10,13)</f>
        <v>39003</v>
      </c>
      <c r="E23177" s="8">
        <f t="shared" si="386"/>
        <v>2006</v>
      </c>
      <c r="F23177" t="s">
        <v>3725</v>
      </c>
      <c r="G23177" s="9">
        <v>3311.89</v>
      </c>
      <c r="H23177" s="8">
        <v>5073</v>
      </c>
    </row>
    <row r="23178" spans="2:8" ht="15" customHeight="1" x14ac:dyDescent="0.4">
      <c r="B23178" t="s">
        <v>7</v>
      </c>
      <c r="C23178" t="s">
        <v>3724</v>
      </c>
      <c r="D23178" s="7">
        <f>DATE(2006,11,9)</f>
        <v>39030</v>
      </c>
      <c r="E23178" s="8">
        <f t="shared" si="386"/>
        <v>2006</v>
      </c>
      <c r="F23178" t="s">
        <v>3725</v>
      </c>
      <c r="G23178" s="9">
        <v>14940</v>
      </c>
      <c r="H23178" s="8">
        <v>5071</v>
      </c>
    </row>
    <row r="23179" spans="2:8" ht="15" customHeight="1" x14ac:dyDescent="0.4">
      <c r="B23179" t="s">
        <v>7</v>
      </c>
      <c r="C23179" t="s">
        <v>3724</v>
      </c>
      <c r="D23179" s="7">
        <f>DATE(2006,11,11)</f>
        <v>39032</v>
      </c>
      <c r="E23179" s="8">
        <f t="shared" si="386"/>
        <v>2006</v>
      </c>
      <c r="F23179" t="s">
        <v>3725</v>
      </c>
      <c r="G23179" s="9">
        <v>13459.25</v>
      </c>
      <c r="H23179" s="8">
        <v>5107</v>
      </c>
    </row>
    <row r="23180" spans="2:8" ht="15" customHeight="1" x14ac:dyDescent="0.4">
      <c r="B23180" t="s">
        <v>7</v>
      </c>
      <c r="C23180" t="s">
        <v>3724</v>
      </c>
      <c r="D23180" s="7">
        <f>DATE(2006,12,1)</f>
        <v>39052</v>
      </c>
      <c r="E23180" s="8">
        <f t="shared" si="386"/>
        <v>2006</v>
      </c>
      <c r="F23180" t="s">
        <v>3725</v>
      </c>
      <c r="G23180" s="9">
        <v>9248.5</v>
      </c>
      <c r="H23180" s="8">
        <v>5284</v>
      </c>
    </row>
    <row r="23181" spans="2:8" ht="15" customHeight="1" x14ac:dyDescent="0.4">
      <c r="B23181" t="s">
        <v>7</v>
      </c>
      <c r="C23181" t="s">
        <v>3724</v>
      </c>
      <c r="D23181" s="7">
        <f>DATE(2007,1,9)</f>
        <v>39091</v>
      </c>
      <c r="E23181" s="8">
        <f t="shared" si="386"/>
        <v>2007</v>
      </c>
      <c r="F23181" t="s">
        <v>3725</v>
      </c>
      <c r="G23181" s="9">
        <v>3378.13</v>
      </c>
      <c r="H23181" s="8">
        <v>5324</v>
      </c>
    </row>
    <row r="23182" spans="2:8" ht="15" customHeight="1" x14ac:dyDescent="0.4">
      <c r="B23182" t="s">
        <v>7</v>
      </c>
      <c r="C23182" t="s">
        <v>3724</v>
      </c>
      <c r="D23182" s="7">
        <f>DATE(2008,2,22)</f>
        <v>39500</v>
      </c>
      <c r="E23182" s="8">
        <f t="shared" si="386"/>
        <v>2008</v>
      </c>
      <c r="F23182" t="s">
        <v>3725</v>
      </c>
      <c r="G23182" s="9">
        <v>5060.29</v>
      </c>
      <c r="H23182" s="8">
        <v>7015</v>
      </c>
    </row>
    <row r="23183" spans="2:8" ht="15" customHeight="1" x14ac:dyDescent="0.4">
      <c r="B23183" t="s">
        <v>16</v>
      </c>
      <c r="C23183" t="s">
        <v>3724</v>
      </c>
      <c r="D23183" s="7">
        <f>DATE(2006,12,1)</f>
        <v>39052</v>
      </c>
      <c r="E23183" s="8">
        <f t="shared" si="386"/>
        <v>2006</v>
      </c>
      <c r="F23183" t="s">
        <v>3725</v>
      </c>
      <c r="G23183" s="9">
        <v>13459.25</v>
      </c>
      <c r="H23183" s="8">
        <v>5281</v>
      </c>
    </row>
    <row r="23184" spans="2:8" ht="15" customHeight="1" x14ac:dyDescent="0.4">
      <c r="B23184" s="3" t="s">
        <v>7</v>
      </c>
      <c r="C23184" s="3" t="s">
        <v>3722</v>
      </c>
      <c r="D23184" s="4">
        <f>DATE(2003,1,10)</f>
        <v>37631</v>
      </c>
      <c r="E23184" s="5">
        <f t="shared" si="386"/>
        <v>2003</v>
      </c>
      <c r="F23184" s="3" t="s">
        <v>3726</v>
      </c>
      <c r="G23184" s="6">
        <v>264.58</v>
      </c>
      <c r="H23184" s="5">
        <v>3</v>
      </c>
    </row>
    <row r="23185" spans="2:8" ht="15" customHeight="1" x14ac:dyDescent="0.4">
      <c r="B23185" s="3" t="s">
        <v>7</v>
      </c>
      <c r="C23185" s="3" t="s">
        <v>3722</v>
      </c>
      <c r="D23185" s="4">
        <f>DATE(2003,2,21)</f>
        <v>37673</v>
      </c>
      <c r="E23185" s="5">
        <f t="shared" si="386"/>
        <v>2003</v>
      </c>
      <c r="F23185" s="3" t="s">
        <v>3726</v>
      </c>
      <c r="G23185" s="6">
        <v>3630.2</v>
      </c>
      <c r="H23185" s="5">
        <v>332</v>
      </c>
    </row>
    <row r="23186" spans="2:8" ht="15" customHeight="1" x14ac:dyDescent="0.4">
      <c r="B23186" s="3" t="s">
        <v>7</v>
      </c>
      <c r="C23186" s="3" t="s">
        <v>3722</v>
      </c>
      <c r="D23186" s="4">
        <f>DATE(2003,5,28)</f>
        <v>37769</v>
      </c>
      <c r="E23186" s="5">
        <f t="shared" si="386"/>
        <v>2003</v>
      </c>
      <c r="F23186" s="3" t="s">
        <v>3726</v>
      </c>
      <c r="G23186" s="6">
        <v>5425.39</v>
      </c>
      <c r="H23186" s="5">
        <v>982</v>
      </c>
    </row>
    <row r="23187" spans="2:8" ht="15" customHeight="1" x14ac:dyDescent="0.4">
      <c r="B23187" s="3" t="s">
        <v>7</v>
      </c>
      <c r="C23187" s="3" t="s">
        <v>3727</v>
      </c>
      <c r="D23187" s="4">
        <f>DATE(2006,9,6)</f>
        <v>38966</v>
      </c>
      <c r="E23187" s="5">
        <f t="shared" si="386"/>
        <v>2006</v>
      </c>
      <c r="F23187" s="3" t="s">
        <v>3728</v>
      </c>
      <c r="G23187" s="6">
        <v>3200</v>
      </c>
      <c r="H23187" s="5">
        <v>7192</v>
      </c>
    </row>
    <row r="23188" spans="2:8" ht="15" customHeight="1" x14ac:dyDescent="0.4">
      <c r="B23188" s="3" t="s">
        <v>7</v>
      </c>
      <c r="C23188" s="3" t="s">
        <v>3727</v>
      </c>
      <c r="D23188" s="4">
        <f>DATE(2006,9,1)</f>
        <v>38961</v>
      </c>
      <c r="E23188" s="5">
        <f t="shared" si="386"/>
        <v>2006</v>
      </c>
      <c r="F23188" s="3" t="s">
        <v>3728</v>
      </c>
      <c r="G23188" s="6">
        <v>2641.39</v>
      </c>
      <c r="H23188" s="5">
        <v>7180</v>
      </c>
    </row>
    <row r="23189" spans="2:8" ht="15" customHeight="1" x14ac:dyDescent="0.4">
      <c r="B23189" s="3" t="s">
        <v>7</v>
      </c>
      <c r="C23189" s="3" t="s">
        <v>3727</v>
      </c>
      <c r="D23189" s="4">
        <f>DATE(2007,5,15)</f>
        <v>39217</v>
      </c>
      <c r="E23189" s="5">
        <f t="shared" si="386"/>
        <v>2007</v>
      </c>
      <c r="F23189" s="3" t="s">
        <v>3728</v>
      </c>
      <c r="G23189" s="6">
        <v>244.18</v>
      </c>
      <c r="H23189" s="5">
        <v>8578</v>
      </c>
    </row>
    <row r="23190" spans="2:8" ht="15" customHeight="1" x14ac:dyDescent="0.4">
      <c r="B23190" s="3" t="s">
        <v>7</v>
      </c>
      <c r="C23190" s="3" t="s">
        <v>3727</v>
      </c>
      <c r="D23190" s="4">
        <f>DATE(2008,2,26)</f>
        <v>39504</v>
      </c>
      <c r="E23190" s="5">
        <f t="shared" si="386"/>
        <v>2008</v>
      </c>
      <c r="F23190" s="3" t="s">
        <v>3728</v>
      </c>
      <c r="G23190" s="6">
        <v>347.32</v>
      </c>
      <c r="H23190" s="5">
        <v>10066</v>
      </c>
    </row>
    <row r="23191" spans="2:8" ht="15" customHeight="1" x14ac:dyDescent="0.4">
      <c r="B23191" s="3" t="s">
        <v>7</v>
      </c>
      <c r="C23191" s="3" t="s">
        <v>3727</v>
      </c>
      <c r="D23191" s="4">
        <f>DATE(2010,9,30)</f>
        <v>40451</v>
      </c>
      <c r="E23191" s="5">
        <f t="shared" si="386"/>
        <v>2010</v>
      </c>
      <c r="F23191" s="3" t="s">
        <v>3728</v>
      </c>
      <c r="G23191" s="6">
        <v>3000</v>
      </c>
      <c r="H23191" s="5">
        <v>14571</v>
      </c>
    </row>
    <row r="23192" spans="2:8" ht="15" customHeight="1" x14ac:dyDescent="0.4">
      <c r="B23192" s="3" t="s">
        <v>7</v>
      </c>
      <c r="C23192" s="3" t="s">
        <v>3727</v>
      </c>
      <c r="D23192" s="4">
        <f>DATE(2011,10,25)</f>
        <v>40841</v>
      </c>
      <c r="E23192" s="5">
        <f t="shared" si="386"/>
        <v>2011</v>
      </c>
      <c r="F23192" s="3" t="s">
        <v>3728</v>
      </c>
      <c r="G23192" s="6">
        <v>4500</v>
      </c>
      <c r="H23192" s="5">
        <v>16122</v>
      </c>
    </row>
    <row r="23193" spans="2:8" ht="15" customHeight="1" x14ac:dyDescent="0.4">
      <c r="B23193" s="3" t="s">
        <v>7</v>
      </c>
      <c r="C23193" s="3" t="s">
        <v>3727</v>
      </c>
      <c r="D23193" s="4">
        <f>DATE(2012,2,24)</f>
        <v>40963</v>
      </c>
      <c r="E23193" s="5">
        <f t="shared" si="386"/>
        <v>2012</v>
      </c>
      <c r="F23193" s="3" t="s">
        <v>3728</v>
      </c>
      <c r="G23193" s="6">
        <v>4500</v>
      </c>
      <c r="H23193" s="5">
        <v>16504</v>
      </c>
    </row>
    <row r="23194" spans="2:8" ht="15" customHeight="1" x14ac:dyDescent="0.4">
      <c r="B23194" s="3" t="s">
        <v>7</v>
      </c>
      <c r="C23194" s="3" t="s">
        <v>3727</v>
      </c>
      <c r="D23194" s="4">
        <f>DATE(2013,12,16)</f>
        <v>41624</v>
      </c>
      <c r="E23194" s="5">
        <f t="shared" si="386"/>
        <v>2013</v>
      </c>
      <c r="F23194" s="3" t="s">
        <v>3728</v>
      </c>
      <c r="G23194" s="6">
        <v>3160.53</v>
      </c>
      <c r="H23194" s="5">
        <v>19312</v>
      </c>
    </row>
    <row r="23195" spans="2:8" ht="15" customHeight="1" x14ac:dyDescent="0.4">
      <c r="B23195" s="3" t="s">
        <v>7</v>
      </c>
      <c r="C23195" s="3" t="s">
        <v>3727</v>
      </c>
      <c r="D23195" s="4">
        <f>DATE(2014,10,9)</f>
        <v>41921</v>
      </c>
      <c r="E23195" s="5">
        <f t="shared" si="386"/>
        <v>2014</v>
      </c>
      <c r="F23195" s="3" t="s">
        <v>3728</v>
      </c>
      <c r="G23195" s="6">
        <v>4500</v>
      </c>
      <c r="H23195" s="5">
        <v>20497</v>
      </c>
    </row>
    <row r="23196" spans="2:8" ht="15" customHeight="1" x14ac:dyDescent="0.4">
      <c r="B23196" s="3" t="s">
        <v>7</v>
      </c>
      <c r="C23196" s="3" t="s">
        <v>3722</v>
      </c>
      <c r="D23196" s="4">
        <f>DATE(2007,7,11)</f>
        <v>39274</v>
      </c>
      <c r="E23196" s="5">
        <f t="shared" si="386"/>
        <v>2007</v>
      </c>
      <c r="F23196" s="3" t="s">
        <v>3729</v>
      </c>
      <c r="G23196" s="6">
        <v>311.75</v>
      </c>
      <c r="H23196" s="5">
        <v>8879</v>
      </c>
    </row>
    <row r="23197" spans="2:8" ht="15" customHeight="1" x14ac:dyDescent="0.4">
      <c r="B23197" t="s">
        <v>7</v>
      </c>
      <c r="C23197" t="s">
        <v>3722</v>
      </c>
      <c r="D23197" s="7">
        <f>DATE(2004,6,7)</f>
        <v>38145</v>
      </c>
      <c r="E23197" s="8">
        <f t="shared" si="386"/>
        <v>2004</v>
      </c>
      <c r="F23197" t="s">
        <v>3730</v>
      </c>
      <c r="G23197" s="9">
        <v>7022.62</v>
      </c>
      <c r="H23197" s="8">
        <v>1861</v>
      </c>
    </row>
    <row r="23198" spans="2:8" ht="15" customHeight="1" x14ac:dyDescent="0.4">
      <c r="B23198" s="3" t="s">
        <v>7</v>
      </c>
      <c r="C23198" s="3" t="s">
        <v>3722</v>
      </c>
      <c r="D23198" s="4">
        <f>DATE(2004,5,19)</f>
        <v>38126</v>
      </c>
      <c r="E23198" s="5">
        <f t="shared" si="386"/>
        <v>2004</v>
      </c>
      <c r="F23198" s="3" t="s">
        <v>3730</v>
      </c>
      <c r="G23198" s="6">
        <v>3623</v>
      </c>
      <c r="H23198" s="5">
        <v>2868</v>
      </c>
    </row>
    <row r="23199" spans="2:8" ht="15" customHeight="1" x14ac:dyDescent="0.4">
      <c r="B23199" s="3" t="s">
        <v>7</v>
      </c>
      <c r="C23199" s="3" t="s">
        <v>3722</v>
      </c>
      <c r="D23199" s="4">
        <f>DATE(2004,9,23)</f>
        <v>38253</v>
      </c>
      <c r="E23199" s="5">
        <f t="shared" si="386"/>
        <v>2004</v>
      </c>
      <c r="F23199" s="3" t="s">
        <v>3730</v>
      </c>
      <c r="G23199" s="6">
        <v>1836.08</v>
      </c>
      <c r="H23199" s="5">
        <v>3444</v>
      </c>
    </row>
    <row r="23200" spans="2:8" ht="15" customHeight="1" x14ac:dyDescent="0.4">
      <c r="B23200" s="3" t="s">
        <v>7</v>
      </c>
      <c r="C23200" s="3" t="s">
        <v>3722</v>
      </c>
      <c r="D23200" s="4">
        <f>DATE(2004,9,27)</f>
        <v>38257</v>
      </c>
      <c r="E23200" s="5">
        <f t="shared" si="386"/>
        <v>2004</v>
      </c>
      <c r="F23200" s="3" t="s">
        <v>3730</v>
      </c>
      <c r="G23200" s="6">
        <v>91.77</v>
      </c>
      <c r="H23200" s="5">
        <v>3472</v>
      </c>
    </row>
    <row r="23201" spans="2:8" ht="15" customHeight="1" x14ac:dyDescent="0.4">
      <c r="B23201" s="3" t="s">
        <v>7</v>
      </c>
      <c r="C23201" s="3" t="s">
        <v>3722</v>
      </c>
      <c r="D23201" s="4">
        <f>DATE(2004,10,4)</f>
        <v>38264</v>
      </c>
      <c r="E23201" s="5">
        <f t="shared" si="386"/>
        <v>2004</v>
      </c>
      <c r="F23201" s="3" t="s">
        <v>3730</v>
      </c>
      <c r="G23201" s="6">
        <v>93.12</v>
      </c>
      <c r="H23201" s="5">
        <v>3512</v>
      </c>
    </row>
    <row r="23202" spans="2:8" ht="15" customHeight="1" x14ac:dyDescent="0.4">
      <c r="B23202" s="3" t="s">
        <v>7</v>
      </c>
      <c r="C23202" s="3" t="s">
        <v>3722</v>
      </c>
      <c r="D23202" s="4">
        <f>DATE(2005,3,30)</f>
        <v>38441</v>
      </c>
      <c r="E23202" s="5">
        <f t="shared" si="386"/>
        <v>2005</v>
      </c>
      <c r="F23202" s="3" t="s">
        <v>3730</v>
      </c>
      <c r="G23202" s="6">
        <v>73</v>
      </c>
      <c r="H23202" s="5">
        <v>4431</v>
      </c>
    </row>
    <row r="23203" spans="2:8" ht="15" customHeight="1" x14ac:dyDescent="0.4">
      <c r="B23203" s="3" t="s">
        <v>7</v>
      </c>
      <c r="C23203" s="3" t="s">
        <v>3722</v>
      </c>
      <c r="D23203" s="4">
        <f>DATE(2005,11,16)</f>
        <v>38672</v>
      </c>
      <c r="E23203" s="5">
        <f t="shared" si="386"/>
        <v>2005</v>
      </c>
      <c r="F23203" s="3" t="s">
        <v>3730</v>
      </c>
      <c r="G23203" s="6">
        <v>463.91</v>
      </c>
      <c r="H23203" s="5">
        <v>5591</v>
      </c>
    </row>
    <row r="23204" spans="2:8" ht="15" customHeight="1" x14ac:dyDescent="0.4">
      <c r="B23204" s="3" t="s">
        <v>7</v>
      </c>
      <c r="C23204" s="3" t="s">
        <v>3722</v>
      </c>
      <c r="D23204" s="4">
        <f>DATE(2006,5,17)</f>
        <v>38854</v>
      </c>
      <c r="E23204" s="5">
        <f t="shared" si="386"/>
        <v>2006</v>
      </c>
      <c r="F23204" s="3" t="s">
        <v>3730</v>
      </c>
      <c r="G23204" s="6">
        <v>4092.76</v>
      </c>
      <c r="H23204" s="5">
        <v>6740</v>
      </c>
    </row>
    <row r="23205" spans="2:8" ht="15" customHeight="1" x14ac:dyDescent="0.4">
      <c r="B23205" s="3" t="s">
        <v>7</v>
      </c>
      <c r="C23205" s="3" t="s">
        <v>3722</v>
      </c>
      <c r="D23205" s="4">
        <f>DATE(2006,12,13)</f>
        <v>39064</v>
      </c>
      <c r="E23205" s="5">
        <f t="shared" si="386"/>
        <v>2006</v>
      </c>
      <c r="F23205" s="3" t="s">
        <v>3730</v>
      </c>
      <c r="G23205" s="6">
        <v>79.180000000000007</v>
      </c>
      <c r="H23205" s="5">
        <v>7645</v>
      </c>
    </row>
    <row r="23206" spans="2:8" ht="15" customHeight="1" x14ac:dyDescent="0.4">
      <c r="B23206" s="3" t="s">
        <v>7</v>
      </c>
      <c r="C23206" s="3" t="s">
        <v>3722</v>
      </c>
      <c r="D23206" s="4">
        <f>DATE(2007,7,12)</f>
        <v>39275</v>
      </c>
      <c r="E23206" s="5">
        <f t="shared" si="386"/>
        <v>2007</v>
      </c>
      <c r="F23206" s="3" t="s">
        <v>3730</v>
      </c>
      <c r="G23206" s="6">
        <v>336.66</v>
      </c>
      <c r="H23206" s="5">
        <v>8885</v>
      </c>
    </row>
    <row r="23207" spans="2:8" ht="15" customHeight="1" x14ac:dyDescent="0.4">
      <c r="B23207" s="3" t="s">
        <v>7</v>
      </c>
      <c r="C23207" s="3" t="s">
        <v>3722</v>
      </c>
      <c r="D23207" s="4">
        <f>DATE(2007,7,27)</f>
        <v>39290</v>
      </c>
      <c r="E23207" s="5">
        <f t="shared" si="386"/>
        <v>2007</v>
      </c>
      <c r="F23207" s="3" t="s">
        <v>3730</v>
      </c>
      <c r="G23207" s="6">
        <v>137.94999999999999</v>
      </c>
      <c r="H23207" s="5">
        <v>8938</v>
      </c>
    </row>
    <row r="23208" spans="2:8" ht="15" customHeight="1" x14ac:dyDescent="0.4">
      <c r="B23208" s="3" t="s">
        <v>7</v>
      </c>
      <c r="C23208" s="3" t="s">
        <v>3722</v>
      </c>
      <c r="D23208" s="4">
        <f>DATE(2008,11,10)</f>
        <v>39762</v>
      </c>
      <c r="E23208" s="5">
        <f t="shared" si="386"/>
        <v>2008</v>
      </c>
      <c r="F23208" s="3" t="s">
        <v>3730</v>
      </c>
      <c r="G23208" s="6">
        <v>2077.4899999999998</v>
      </c>
      <c r="H23208" s="5">
        <v>11536</v>
      </c>
    </row>
    <row r="23209" spans="2:8" ht="15" customHeight="1" x14ac:dyDescent="0.4">
      <c r="B23209" s="3" t="s">
        <v>7</v>
      </c>
      <c r="C23209" s="3" t="s">
        <v>3722</v>
      </c>
      <c r="D23209" s="4">
        <f>DATE(2010,4,21)</f>
        <v>40289</v>
      </c>
      <c r="E23209" s="5">
        <f t="shared" si="386"/>
        <v>2010</v>
      </c>
      <c r="F23209" s="3" t="s">
        <v>3730</v>
      </c>
      <c r="G23209" s="6">
        <v>199.15</v>
      </c>
      <c r="H23209" s="5">
        <v>13894</v>
      </c>
    </row>
    <row r="23210" spans="2:8" ht="15" customHeight="1" x14ac:dyDescent="0.4">
      <c r="B23210" s="3" t="s">
        <v>7</v>
      </c>
      <c r="C23210" s="3" t="s">
        <v>3722</v>
      </c>
      <c r="D23210" s="4">
        <f>DATE(2010,5,12)</f>
        <v>40310</v>
      </c>
      <c r="E23210" s="5">
        <f t="shared" si="386"/>
        <v>2010</v>
      </c>
      <c r="F23210" s="3" t="s">
        <v>3730</v>
      </c>
      <c r="G23210" s="6">
        <v>2059.6</v>
      </c>
      <c r="H23210" s="5">
        <v>14041</v>
      </c>
    </row>
    <row r="23211" spans="2:8" ht="15" customHeight="1" x14ac:dyDescent="0.4">
      <c r="B23211" s="3" t="s">
        <v>7</v>
      </c>
      <c r="C23211" s="3" t="s">
        <v>3722</v>
      </c>
      <c r="D23211" s="4">
        <f>DATE(2011,3,2)</f>
        <v>40604</v>
      </c>
      <c r="E23211" s="5">
        <f t="shared" si="386"/>
        <v>2011</v>
      </c>
      <c r="F23211" s="3" t="s">
        <v>3730</v>
      </c>
      <c r="G23211" s="6">
        <v>8225.06</v>
      </c>
      <c r="H23211" s="5">
        <v>15174</v>
      </c>
    </row>
    <row r="23212" spans="2:8" ht="15" customHeight="1" x14ac:dyDescent="0.4">
      <c r="B23212" s="3" t="s">
        <v>7</v>
      </c>
      <c r="C23212" s="3" t="s">
        <v>3722</v>
      </c>
      <c r="D23212" s="4">
        <f>DATE(2011,10,13)</f>
        <v>40829</v>
      </c>
      <c r="E23212" s="5">
        <f t="shared" si="386"/>
        <v>2011</v>
      </c>
      <c r="F23212" s="3" t="s">
        <v>3730</v>
      </c>
      <c r="G23212" s="6">
        <v>867.59</v>
      </c>
      <c r="H23212" s="5">
        <v>16064</v>
      </c>
    </row>
    <row r="23213" spans="2:8" ht="15" customHeight="1" x14ac:dyDescent="0.4">
      <c r="B23213" t="s">
        <v>7</v>
      </c>
      <c r="C23213" t="s">
        <v>3731</v>
      </c>
      <c r="D23213" s="7">
        <f>DATE(2019,3,11)</f>
        <v>43535</v>
      </c>
      <c r="E23213" s="8">
        <f t="shared" si="386"/>
        <v>2019</v>
      </c>
      <c r="F23213" t="s">
        <v>3732</v>
      </c>
      <c r="G23213" s="9">
        <v>66784.92</v>
      </c>
      <c r="H23213" s="8">
        <v>28057</v>
      </c>
    </row>
    <row r="23214" spans="2:8" ht="15" customHeight="1" x14ac:dyDescent="0.4">
      <c r="B23214" t="s">
        <v>7</v>
      </c>
      <c r="C23214" t="s">
        <v>3731</v>
      </c>
      <c r="D23214" s="7">
        <f>DATE(2015,12,31)</f>
        <v>42369</v>
      </c>
      <c r="E23214" s="8">
        <f t="shared" si="386"/>
        <v>2015</v>
      </c>
      <c r="F23214" t="s">
        <v>3732</v>
      </c>
      <c r="G23214" s="9">
        <v>14039.55</v>
      </c>
      <c r="H23214" s="8">
        <v>21840</v>
      </c>
    </row>
    <row r="23215" spans="2:8" ht="15" customHeight="1" x14ac:dyDescent="0.4">
      <c r="B23215" t="s">
        <v>7</v>
      </c>
      <c r="C23215" t="s">
        <v>3731</v>
      </c>
      <c r="D23215" s="7">
        <f>DATE(2015,4,16)</f>
        <v>42110</v>
      </c>
      <c r="E23215" s="8">
        <f t="shared" si="386"/>
        <v>2015</v>
      </c>
      <c r="F23215" t="s">
        <v>3732</v>
      </c>
      <c r="G23215" s="9">
        <v>6553.89</v>
      </c>
      <c r="H23215" s="8">
        <v>20400</v>
      </c>
    </row>
    <row r="23216" spans="2:8" ht="15" customHeight="1" x14ac:dyDescent="0.4">
      <c r="B23216" s="3" t="s">
        <v>7</v>
      </c>
      <c r="C23216" s="3" t="s">
        <v>3731</v>
      </c>
      <c r="D23216" s="4">
        <f>DATE(2003,10,9)</f>
        <v>37903</v>
      </c>
      <c r="E23216" s="5">
        <f t="shared" si="386"/>
        <v>2003</v>
      </c>
      <c r="F23216" s="3" t="s">
        <v>3732</v>
      </c>
      <c r="G23216" s="6">
        <v>214.56</v>
      </c>
      <c r="H23216" s="5">
        <v>1608</v>
      </c>
    </row>
    <row r="23217" spans="2:8" ht="15" customHeight="1" x14ac:dyDescent="0.4">
      <c r="B23217" s="3" t="s">
        <v>7</v>
      </c>
      <c r="C23217" s="3" t="s">
        <v>3731</v>
      </c>
      <c r="D23217" s="4">
        <f>DATE(2004,4,13)</f>
        <v>38090</v>
      </c>
      <c r="E23217" s="5">
        <f t="shared" si="386"/>
        <v>2004</v>
      </c>
      <c r="F23217" s="3" t="s">
        <v>3732</v>
      </c>
      <c r="G23217" s="6">
        <v>300</v>
      </c>
      <c r="H23217" s="5">
        <v>2601</v>
      </c>
    </row>
    <row r="23218" spans="2:8" ht="15" customHeight="1" x14ac:dyDescent="0.4">
      <c r="B23218" t="s">
        <v>7</v>
      </c>
      <c r="C23218" t="s">
        <v>3733</v>
      </c>
      <c r="D23218" s="7">
        <f>DATE(2016,6,10)</f>
        <v>42531</v>
      </c>
      <c r="E23218" s="8">
        <f t="shared" si="386"/>
        <v>2016</v>
      </c>
      <c r="F23218" t="s">
        <v>3734</v>
      </c>
      <c r="G23218" s="9">
        <v>6580.33</v>
      </c>
      <c r="H23218" s="8">
        <v>22973</v>
      </c>
    </row>
    <row r="23219" spans="2:8" ht="15" customHeight="1" x14ac:dyDescent="0.4">
      <c r="B23219" t="s">
        <v>7</v>
      </c>
      <c r="C23219" t="s">
        <v>3735</v>
      </c>
      <c r="D23219" s="7">
        <f>DATE(2015,6,5)</f>
        <v>42160</v>
      </c>
      <c r="E23219" s="8">
        <f t="shared" si="386"/>
        <v>2015</v>
      </c>
      <c r="F23219" t="s">
        <v>3736</v>
      </c>
      <c r="G23219" s="9">
        <v>8472.35</v>
      </c>
      <c r="H23219" s="8">
        <v>216</v>
      </c>
    </row>
    <row r="23220" spans="2:8" ht="15" customHeight="1" x14ac:dyDescent="0.4">
      <c r="B23220" t="s">
        <v>7</v>
      </c>
      <c r="C23220" t="s">
        <v>3735</v>
      </c>
      <c r="D23220" s="7">
        <f>DATE(2014,6,19)</f>
        <v>41809</v>
      </c>
      <c r="E23220" s="8">
        <f t="shared" si="386"/>
        <v>2014</v>
      </c>
      <c r="F23220" t="s">
        <v>3736</v>
      </c>
      <c r="G23220" s="9">
        <v>3074.62</v>
      </c>
      <c r="H23220" s="8">
        <v>13082</v>
      </c>
    </row>
    <row r="23221" spans="2:8" ht="15" customHeight="1" x14ac:dyDescent="0.4">
      <c r="B23221" t="s">
        <v>7</v>
      </c>
      <c r="C23221" t="s">
        <v>3735</v>
      </c>
      <c r="D23221" s="7">
        <f>DATE(2012,3,26)</f>
        <v>40994</v>
      </c>
      <c r="E23221" s="8">
        <f t="shared" si="386"/>
        <v>2012</v>
      </c>
      <c r="F23221" t="s">
        <v>3736</v>
      </c>
      <c r="G23221" s="9">
        <v>7229</v>
      </c>
      <c r="H23221" s="8">
        <v>11450</v>
      </c>
    </row>
    <row r="23222" spans="2:8" ht="15" customHeight="1" x14ac:dyDescent="0.4">
      <c r="B23222" t="s">
        <v>7</v>
      </c>
      <c r="C23222" t="s">
        <v>3735</v>
      </c>
      <c r="D23222" s="7">
        <f>DATE(2012,5,22)</f>
        <v>41051</v>
      </c>
      <c r="E23222" s="8">
        <f t="shared" si="386"/>
        <v>2012</v>
      </c>
      <c r="F23222" t="s">
        <v>3736</v>
      </c>
      <c r="G23222" s="9">
        <v>11600</v>
      </c>
      <c r="H23222" s="8">
        <v>11567</v>
      </c>
    </row>
    <row r="23223" spans="2:8" ht="15" customHeight="1" x14ac:dyDescent="0.4">
      <c r="B23223" t="s">
        <v>7</v>
      </c>
      <c r="C23223" t="s">
        <v>3735</v>
      </c>
      <c r="D23223" s="7">
        <f>DATE(2003,6,17)</f>
        <v>37789</v>
      </c>
      <c r="E23223" s="8">
        <f t="shared" si="386"/>
        <v>2003</v>
      </c>
      <c r="F23223" t="s">
        <v>3736</v>
      </c>
      <c r="G23223" s="9">
        <v>3684.6</v>
      </c>
      <c r="H23223" s="8">
        <v>672</v>
      </c>
    </row>
    <row r="23224" spans="2:8" ht="15" customHeight="1" x14ac:dyDescent="0.4">
      <c r="B23224" t="s">
        <v>7</v>
      </c>
      <c r="C23224" t="s">
        <v>3735</v>
      </c>
      <c r="D23224" s="7">
        <f>DATE(2003,11,7)</f>
        <v>37932</v>
      </c>
      <c r="E23224" s="8">
        <f t="shared" si="386"/>
        <v>2003</v>
      </c>
      <c r="F23224" t="s">
        <v>3736</v>
      </c>
      <c r="G23224" s="9">
        <v>4894.62</v>
      </c>
      <c r="H23224" s="8">
        <v>1005</v>
      </c>
    </row>
    <row r="23225" spans="2:8" ht="15" customHeight="1" x14ac:dyDescent="0.4">
      <c r="B23225" t="s">
        <v>7</v>
      </c>
      <c r="C23225" t="s">
        <v>3735</v>
      </c>
      <c r="D23225" s="7">
        <f>DATE(2004,2,1)</f>
        <v>38018</v>
      </c>
      <c r="E23225" s="8">
        <f t="shared" si="386"/>
        <v>2004</v>
      </c>
      <c r="F23225" t="s">
        <v>3736</v>
      </c>
      <c r="G23225" s="9">
        <v>4088.62</v>
      </c>
      <c r="H23225" s="8">
        <v>1225</v>
      </c>
    </row>
    <row r="23226" spans="2:8" ht="15" customHeight="1" x14ac:dyDescent="0.4">
      <c r="B23226" t="s">
        <v>7</v>
      </c>
      <c r="C23226" t="s">
        <v>3735</v>
      </c>
      <c r="D23226" s="7">
        <f>DATE(2004,5,5)</f>
        <v>38112</v>
      </c>
      <c r="E23226" s="8">
        <f t="shared" si="386"/>
        <v>2004</v>
      </c>
      <c r="F23226" t="s">
        <v>3736</v>
      </c>
      <c r="G23226" s="9">
        <v>2234.8200000000002</v>
      </c>
      <c r="H23226" s="8">
        <v>1744</v>
      </c>
    </row>
    <row r="23227" spans="2:8" ht="15" customHeight="1" x14ac:dyDescent="0.4">
      <c r="B23227" t="s">
        <v>7</v>
      </c>
      <c r="C23227" t="s">
        <v>3735</v>
      </c>
      <c r="D23227" s="7">
        <f>DATE(2004,5,14)</f>
        <v>38121</v>
      </c>
      <c r="E23227" s="8">
        <f t="shared" si="386"/>
        <v>2004</v>
      </c>
      <c r="F23227" t="s">
        <v>3736</v>
      </c>
      <c r="G23227" s="9">
        <v>7692</v>
      </c>
      <c r="H23227" s="8">
        <v>1784</v>
      </c>
    </row>
    <row r="23228" spans="2:8" ht="15" customHeight="1" x14ac:dyDescent="0.4">
      <c r="B23228" t="s">
        <v>7</v>
      </c>
      <c r="C23228" t="s">
        <v>3735</v>
      </c>
      <c r="D23228" s="7">
        <f>DATE(2004,5,14)</f>
        <v>38121</v>
      </c>
      <c r="E23228" s="8">
        <f t="shared" si="386"/>
        <v>2004</v>
      </c>
      <c r="F23228" t="s">
        <v>3736</v>
      </c>
      <c r="G23228" s="9">
        <v>16000</v>
      </c>
      <c r="H23228" s="8">
        <v>1495</v>
      </c>
    </row>
    <row r="23229" spans="2:8" ht="15" customHeight="1" x14ac:dyDescent="0.4">
      <c r="B23229" t="s">
        <v>7</v>
      </c>
      <c r="C23229" t="s">
        <v>3735</v>
      </c>
      <c r="D23229" s="7">
        <f>DATE(2004,8,4)</f>
        <v>38203</v>
      </c>
      <c r="E23229" s="8">
        <f t="shared" si="386"/>
        <v>2004</v>
      </c>
      <c r="F23229" t="s">
        <v>3736</v>
      </c>
      <c r="G23229" s="9">
        <v>4318.09</v>
      </c>
      <c r="H23229" s="8">
        <v>2032</v>
      </c>
    </row>
    <row r="23230" spans="2:8" ht="15" customHeight="1" x14ac:dyDescent="0.4">
      <c r="B23230" t="s">
        <v>7</v>
      </c>
      <c r="C23230" t="s">
        <v>3735</v>
      </c>
      <c r="D23230" s="7">
        <f>DATE(2004,9,2)</f>
        <v>38232</v>
      </c>
      <c r="E23230" s="8">
        <f t="shared" si="386"/>
        <v>2004</v>
      </c>
      <c r="F23230" t="s">
        <v>3736</v>
      </c>
      <c r="G23230" s="9">
        <v>5101.8999999999996</v>
      </c>
      <c r="H23230" s="8">
        <v>2193</v>
      </c>
    </row>
    <row r="23231" spans="2:8" ht="15" customHeight="1" x14ac:dyDescent="0.4">
      <c r="B23231" t="s">
        <v>7</v>
      </c>
      <c r="C23231" t="s">
        <v>3735</v>
      </c>
      <c r="D23231" s="7">
        <f>DATE(2004,12,4)</f>
        <v>38325</v>
      </c>
      <c r="E23231" s="8">
        <f t="shared" si="386"/>
        <v>2004</v>
      </c>
      <c r="F23231" t="s">
        <v>3736</v>
      </c>
      <c r="G23231" s="9">
        <v>2733.53</v>
      </c>
      <c r="H23231" s="8">
        <v>2418</v>
      </c>
    </row>
    <row r="23232" spans="2:8" ht="15" customHeight="1" x14ac:dyDescent="0.4">
      <c r="B23232" t="s">
        <v>7</v>
      </c>
      <c r="C23232" t="s">
        <v>3735</v>
      </c>
      <c r="D23232" s="7">
        <f>DATE(2004,12,30)</f>
        <v>38351</v>
      </c>
      <c r="E23232" s="8">
        <f t="shared" si="386"/>
        <v>2004</v>
      </c>
      <c r="F23232" t="s">
        <v>3736</v>
      </c>
      <c r="G23232" s="9">
        <v>5243.45</v>
      </c>
      <c r="H23232" s="8">
        <v>2509</v>
      </c>
    </row>
    <row r="23233" spans="2:8" ht="15" customHeight="1" x14ac:dyDescent="0.4">
      <c r="B23233" t="s">
        <v>7</v>
      </c>
      <c r="C23233" t="s">
        <v>3735</v>
      </c>
      <c r="D23233" s="7">
        <f>DATE(2005,4,2)</f>
        <v>38444</v>
      </c>
      <c r="E23233" s="8">
        <f t="shared" si="386"/>
        <v>2005</v>
      </c>
      <c r="F23233" t="s">
        <v>3736</v>
      </c>
      <c r="G23233" s="9">
        <v>3730.69</v>
      </c>
      <c r="H23233" s="8">
        <v>3022</v>
      </c>
    </row>
    <row r="23234" spans="2:8" ht="15" customHeight="1" x14ac:dyDescent="0.4">
      <c r="B23234" t="s">
        <v>7</v>
      </c>
      <c r="C23234" t="s">
        <v>3735</v>
      </c>
      <c r="D23234" s="7">
        <f>DATE(2005,9,16)</f>
        <v>38611</v>
      </c>
      <c r="E23234" s="8">
        <f t="shared" si="386"/>
        <v>2005</v>
      </c>
      <c r="F23234" t="s">
        <v>3736</v>
      </c>
      <c r="G23234" s="9">
        <v>3920.27</v>
      </c>
      <c r="H23234" s="8">
        <v>3591</v>
      </c>
    </row>
    <row r="23235" spans="2:8" ht="15" customHeight="1" x14ac:dyDescent="0.4">
      <c r="B23235" t="s">
        <v>7</v>
      </c>
      <c r="C23235" t="s">
        <v>3735</v>
      </c>
      <c r="D23235" s="7">
        <f>DATE(2005,11,16)</f>
        <v>38672</v>
      </c>
      <c r="E23235" s="8">
        <f t="shared" ref="E23235:E23298" si="387">YEAR(D23235)</f>
        <v>2005</v>
      </c>
      <c r="F23235" t="s">
        <v>3736</v>
      </c>
      <c r="G23235" s="9">
        <v>3874.04</v>
      </c>
      <c r="H23235" s="8">
        <v>3766</v>
      </c>
    </row>
    <row r="23236" spans="2:8" ht="15" customHeight="1" x14ac:dyDescent="0.4">
      <c r="B23236" t="s">
        <v>7</v>
      </c>
      <c r="C23236" t="s">
        <v>3735</v>
      </c>
      <c r="D23236" s="7">
        <f>DATE(2006,1,29)</f>
        <v>38746</v>
      </c>
      <c r="E23236" s="8">
        <f t="shared" si="387"/>
        <v>2006</v>
      </c>
      <c r="F23236" t="s">
        <v>3736</v>
      </c>
      <c r="G23236" s="9">
        <v>4177.71</v>
      </c>
      <c r="H23236" s="8">
        <v>4016</v>
      </c>
    </row>
    <row r="23237" spans="2:8" ht="15" customHeight="1" x14ac:dyDescent="0.4">
      <c r="B23237" t="s">
        <v>7</v>
      </c>
      <c r="C23237" t="s">
        <v>3735</v>
      </c>
      <c r="D23237" s="7">
        <f>DATE(2006,4,21)</f>
        <v>38828</v>
      </c>
      <c r="E23237" s="8">
        <f t="shared" si="387"/>
        <v>2006</v>
      </c>
      <c r="F23237" t="s">
        <v>3736</v>
      </c>
      <c r="G23237" s="9">
        <v>8557.49</v>
      </c>
      <c r="H23237" s="8">
        <v>3520</v>
      </c>
    </row>
    <row r="23238" spans="2:8" ht="15" customHeight="1" x14ac:dyDescent="0.4">
      <c r="B23238" t="s">
        <v>7</v>
      </c>
      <c r="C23238" t="s">
        <v>3735</v>
      </c>
      <c r="D23238" s="7">
        <f>DATE(2006,4,21)</f>
        <v>38828</v>
      </c>
      <c r="E23238" s="8">
        <f t="shared" si="387"/>
        <v>2006</v>
      </c>
      <c r="F23238" t="s">
        <v>3736</v>
      </c>
      <c r="G23238" s="9">
        <v>8479.7099999999991</v>
      </c>
      <c r="H23238" s="8">
        <v>3521</v>
      </c>
    </row>
    <row r="23239" spans="2:8" ht="15" customHeight="1" x14ac:dyDescent="0.4">
      <c r="B23239" t="s">
        <v>7</v>
      </c>
      <c r="C23239" t="s">
        <v>3735</v>
      </c>
      <c r="D23239" s="7">
        <f>DATE(2006,5,11)</f>
        <v>38848</v>
      </c>
      <c r="E23239" s="8">
        <f t="shared" si="387"/>
        <v>2006</v>
      </c>
      <c r="F23239" t="s">
        <v>3736</v>
      </c>
      <c r="G23239" s="9">
        <v>8551.5</v>
      </c>
      <c r="H23239" s="8">
        <v>4129</v>
      </c>
    </row>
    <row r="23240" spans="2:8" ht="15" customHeight="1" x14ac:dyDescent="0.4">
      <c r="B23240" t="s">
        <v>7</v>
      </c>
      <c r="C23240" t="s">
        <v>3735</v>
      </c>
      <c r="D23240" s="7">
        <f>DATE(2006,5,11)</f>
        <v>38848</v>
      </c>
      <c r="E23240" s="8">
        <f t="shared" si="387"/>
        <v>2006</v>
      </c>
      <c r="F23240" t="s">
        <v>3736</v>
      </c>
      <c r="G23240" s="9">
        <v>14776.95</v>
      </c>
      <c r="H23240" s="8">
        <v>4128</v>
      </c>
    </row>
    <row r="23241" spans="2:8" ht="15" customHeight="1" x14ac:dyDescent="0.4">
      <c r="B23241" t="s">
        <v>7</v>
      </c>
      <c r="C23241" t="s">
        <v>3735</v>
      </c>
      <c r="D23241" s="7">
        <f>DATE(2006,6,6)</f>
        <v>38874</v>
      </c>
      <c r="E23241" s="8">
        <f t="shared" si="387"/>
        <v>2006</v>
      </c>
      <c r="F23241" t="s">
        <v>3736</v>
      </c>
      <c r="G23241" s="9">
        <v>5566.7</v>
      </c>
      <c r="H23241" s="8">
        <v>4675</v>
      </c>
    </row>
    <row r="23242" spans="2:8" ht="15" customHeight="1" x14ac:dyDescent="0.4">
      <c r="B23242" t="s">
        <v>7</v>
      </c>
      <c r="C23242" t="s">
        <v>3735</v>
      </c>
      <c r="D23242" s="7">
        <f>DATE(2006,10,12)</f>
        <v>39002</v>
      </c>
      <c r="E23242" s="8">
        <f t="shared" si="387"/>
        <v>2006</v>
      </c>
      <c r="F23242" t="s">
        <v>3736</v>
      </c>
      <c r="G23242" s="9">
        <v>7245.08</v>
      </c>
      <c r="H23242" s="8">
        <v>5066</v>
      </c>
    </row>
    <row r="23243" spans="2:8" ht="15" customHeight="1" x14ac:dyDescent="0.4">
      <c r="B23243" t="s">
        <v>7</v>
      </c>
      <c r="C23243" t="s">
        <v>3735</v>
      </c>
      <c r="D23243" s="7">
        <f>DATE(2006,11,28)</f>
        <v>39049</v>
      </c>
      <c r="E23243" s="8">
        <f t="shared" si="387"/>
        <v>2006</v>
      </c>
      <c r="F23243" t="s">
        <v>3736</v>
      </c>
      <c r="G23243" s="9">
        <v>8182.99</v>
      </c>
      <c r="H23243" s="8">
        <v>5205</v>
      </c>
    </row>
    <row r="23244" spans="2:8" ht="15" customHeight="1" x14ac:dyDescent="0.4">
      <c r="B23244" t="s">
        <v>7</v>
      </c>
      <c r="C23244" t="s">
        <v>3735</v>
      </c>
      <c r="D23244" s="7">
        <f>DATE(2007,5,23)</f>
        <v>39225</v>
      </c>
      <c r="E23244" s="8">
        <f t="shared" si="387"/>
        <v>2007</v>
      </c>
      <c r="F23244" t="s">
        <v>3736</v>
      </c>
      <c r="G23244" s="9">
        <v>8182.99</v>
      </c>
      <c r="H23244" s="8">
        <v>5825</v>
      </c>
    </row>
    <row r="23245" spans="2:8" ht="15" customHeight="1" x14ac:dyDescent="0.4">
      <c r="B23245" t="s">
        <v>7</v>
      </c>
      <c r="C23245" t="s">
        <v>3735</v>
      </c>
      <c r="D23245" s="7">
        <f>DATE(2007,10,18)</f>
        <v>39373</v>
      </c>
      <c r="E23245" s="8">
        <f t="shared" si="387"/>
        <v>2007</v>
      </c>
      <c r="F23245" t="s">
        <v>3736</v>
      </c>
      <c r="G23245" s="9">
        <v>13670</v>
      </c>
      <c r="H23245" s="8">
        <v>6333</v>
      </c>
    </row>
    <row r="23246" spans="2:8" ht="15" customHeight="1" x14ac:dyDescent="0.4">
      <c r="B23246" t="s">
        <v>7</v>
      </c>
      <c r="C23246" t="s">
        <v>3735</v>
      </c>
      <c r="D23246" s="7">
        <f>DATE(2008,4,9)</f>
        <v>39547</v>
      </c>
      <c r="E23246" s="8">
        <f t="shared" si="387"/>
        <v>2008</v>
      </c>
      <c r="F23246" t="s">
        <v>3736</v>
      </c>
      <c r="G23246" s="9">
        <v>5227.47</v>
      </c>
      <c r="H23246" s="8">
        <v>7303</v>
      </c>
    </row>
    <row r="23247" spans="2:8" ht="15" customHeight="1" x14ac:dyDescent="0.4">
      <c r="B23247" t="s">
        <v>7</v>
      </c>
      <c r="C23247" t="s">
        <v>3735</v>
      </c>
      <c r="D23247" s="7">
        <f>DATE(2008,5,9)</f>
        <v>39577</v>
      </c>
      <c r="E23247" s="8">
        <f t="shared" si="387"/>
        <v>2008</v>
      </c>
      <c r="F23247" t="s">
        <v>3736</v>
      </c>
      <c r="G23247" s="9">
        <v>8182</v>
      </c>
      <c r="H23247" s="8">
        <v>7250</v>
      </c>
    </row>
    <row r="23248" spans="2:8" ht="15" customHeight="1" x14ac:dyDescent="0.4">
      <c r="B23248" t="s">
        <v>7</v>
      </c>
      <c r="C23248" t="s">
        <v>3735</v>
      </c>
      <c r="D23248" s="7">
        <f>DATE(2008,5,9)</f>
        <v>39577</v>
      </c>
      <c r="E23248" s="8">
        <f t="shared" si="387"/>
        <v>2008</v>
      </c>
      <c r="F23248" t="s">
        <v>3736</v>
      </c>
      <c r="G23248" s="9">
        <v>5733</v>
      </c>
      <c r="H23248" s="8">
        <v>7267</v>
      </c>
    </row>
    <row r="23249" spans="2:8" ht="15" customHeight="1" x14ac:dyDescent="0.4">
      <c r="B23249" t="s">
        <v>7</v>
      </c>
      <c r="C23249" t="s">
        <v>3735</v>
      </c>
      <c r="D23249" s="7">
        <f>DATE(2008,5,31)</f>
        <v>39599</v>
      </c>
      <c r="E23249" s="8">
        <f t="shared" si="387"/>
        <v>2008</v>
      </c>
      <c r="F23249" t="s">
        <v>3736</v>
      </c>
      <c r="G23249" s="9">
        <v>13807.44</v>
      </c>
      <c r="H23249" s="8">
        <v>7249</v>
      </c>
    </row>
    <row r="23250" spans="2:8" ht="15" customHeight="1" x14ac:dyDescent="0.4">
      <c r="B23250" t="s">
        <v>7</v>
      </c>
      <c r="C23250" t="s">
        <v>3735</v>
      </c>
      <c r="D23250" s="7">
        <f>DATE(2008,5,31)</f>
        <v>39599</v>
      </c>
      <c r="E23250" s="8">
        <f t="shared" si="387"/>
        <v>2008</v>
      </c>
      <c r="F23250" t="s">
        <v>3736</v>
      </c>
      <c r="G23250" s="9">
        <v>9400</v>
      </c>
      <c r="H23250" s="8">
        <v>7266</v>
      </c>
    </row>
    <row r="23251" spans="2:8" ht="15" customHeight="1" x14ac:dyDescent="0.4">
      <c r="B23251" t="s">
        <v>7</v>
      </c>
      <c r="C23251" t="s">
        <v>3735</v>
      </c>
      <c r="D23251" s="7">
        <f>DATE(2009,3,30)</f>
        <v>39902</v>
      </c>
      <c r="E23251" s="8">
        <f t="shared" si="387"/>
        <v>2009</v>
      </c>
      <c r="F23251" t="s">
        <v>3736</v>
      </c>
      <c r="G23251" s="9">
        <v>15396</v>
      </c>
      <c r="H23251" s="8">
        <v>8480</v>
      </c>
    </row>
    <row r="23252" spans="2:8" ht="15" customHeight="1" x14ac:dyDescent="0.4">
      <c r="B23252" t="s">
        <v>7</v>
      </c>
      <c r="C23252" t="s">
        <v>3735</v>
      </c>
      <c r="D23252" s="7">
        <f>DATE(2009,5,13)</f>
        <v>39946</v>
      </c>
      <c r="E23252" s="8">
        <f t="shared" si="387"/>
        <v>2009</v>
      </c>
      <c r="F23252" t="s">
        <v>3736</v>
      </c>
      <c r="G23252" s="9">
        <v>4051.94</v>
      </c>
      <c r="H23252" s="8">
        <v>8696</v>
      </c>
    </row>
    <row r="23253" spans="2:8" ht="15" customHeight="1" x14ac:dyDescent="0.4">
      <c r="B23253" t="s">
        <v>7</v>
      </c>
      <c r="C23253" t="s">
        <v>3735</v>
      </c>
      <c r="D23253" s="7">
        <f>DATE(2009,5,29)</f>
        <v>39962</v>
      </c>
      <c r="E23253" s="8">
        <f t="shared" si="387"/>
        <v>2009</v>
      </c>
      <c r="F23253" t="s">
        <v>3736</v>
      </c>
      <c r="G23253" s="9">
        <v>9532</v>
      </c>
      <c r="H23253" s="8">
        <v>8481</v>
      </c>
    </row>
    <row r="23254" spans="2:8" ht="15" customHeight="1" x14ac:dyDescent="0.4">
      <c r="B23254" t="s">
        <v>7</v>
      </c>
      <c r="C23254" t="s">
        <v>3735</v>
      </c>
      <c r="D23254" s="7">
        <f>DATE(2010,3,11)</f>
        <v>40248</v>
      </c>
      <c r="E23254" s="8">
        <f t="shared" si="387"/>
        <v>2010</v>
      </c>
      <c r="F23254" t="s">
        <v>3736</v>
      </c>
      <c r="G23254" s="9">
        <v>5518.44</v>
      </c>
      <c r="H23254" s="8">
        <v>9600</v>
      </c>
    </row>
    <row r="23255" spans="2:8" ht="15" customHeight="1" x14ac:dyDescent="0.4">
      <c r="B23255" t="s">
        <v>7</v>
      </c>
      <c r="C23255" t="s">
        <v>3735</v>
      </c>
      <c r="D23255" s="7">
        <f>DATE(2012,5,22)</f>
        <v>41051</v>
      </c>
      <c r="E23255" s="8">
        <f t="shared" si="387"/>
        <v>2012</v>
      </c>
      <c r="F23255" t="s">
        <v>3736</v>
      </c>
      <c r="G23255" s="9">
        <v>18300</v>
      </c>
      <c r="H23255" s="8">
        <v>11566</v>
      </c>
    </row>
    <row r="23256" spans="2:8" ht="15" customHeight="1" x14ac:dyDescent="0.4">
      <c r="B23256" t="s">
        <v>7</v>
      </c>
      <c r="C23256" t="s">
        <v>3735</v>
      </c>
      <c r="D23256" s="7">
        <f>DATE(2010,7,8)</f>
        <v>40367</v>
      </c>
      <c r="E23256" s="8">
        <f t="shared" si="387"/>
        <v>2010</v>
      </c>
      <c r="F23256" t="s">
        <v>3736</v>
      </c>
      <c r="G23256" s="9">
        <v>7622.37</v>
      </c>
      <c r="H23256" s="8">
        <v>9966</v>
      </c>
    </row>
    <row r="23257" spans="2:8" ht="15" customHeight="1" x14ac:dyDescent="0.4">
      <c r="B23257" t="s">
        <v>7</v>
      </c>
      <c r="C23257" t="s">
        <v>3735</v>
      </c>
      <c r="D23257" s="7">
        <f>DATE(2011,6,16)</f>
        <v>40710</v>
      </c>
      <c r="E23257" s="8">
        <f t="shared" si="387"/>
        <v>2011</v>
      </c>
      <c r="F23257" t="s">
        <v>3736</v>
      </c>
      <c r="G23257" s="9">
        <v>6704.16</v>
      </c>
      <c r="H23257" s="8">
        <v>10804</v>
      </c>
    </row>
    <row r="23258" spans="2:8" ht="15" customHeight="1" x14ac:dyDescent="0.4">
      <c r="B23258" t="s">
        <v>7</v>
      </c>
      <c r="C23258" t="s">
        <v>3735</v>
      </c>
      <c r="D23258" s="7">
        <f>DATE(2013,3,14)</f>
        <v>41347</v>
      </c>
      <c r="E23258" s="8">
        <f t="shared" si="387"/>
        <v>2013</v>
      </c>
      <c r="F23258" t="s">
        <v>3736</v>
      </c>
      <c r="G23258" s="9">
        <v>2827.39</v>
      </c>
      <c r="H23258" s="8">
        <v>12288</v>
      </c>
    </row>
    <row r="23259" spans="2:8" ht="15" customHeight="1" x14ac:dyDescent="0.4">
      <c r="B23259" s="3" t="s">
        <v>7</v>
      </c>
      <c r="C23259" s="3" t="s">
        <v>3735</v>
      </c>
      <c r="D23259" s="4">
        <f>DATE(2014,4,11)</f>
        <v>41740</v>
      </c>
      <c r="E23259" s="5">
        <f t="shared" si="387"/>
        <v>2014</v>
      </c>
      <c r="F23259" s="3" t="s">
        <v>3736</v>
      </c>
      <c r="G23259" s="6">
        <v>6782.12</v>
      </c>
      <c r="H23259" s="5">
        <v>19713</v>
      </c>
    </row>
    <row r="23260" spans="2:8" ht="15" customHeight="1" x14ac:dyDescent="0.4">
      <c r="B23260" t="s">
        <v>7</v>
      </c>
      <c r="C23260" t="s">
        <v>3737</v>
      </c>
      <c r="D23260" s="7">
        <f>DATE(2015,10,20)</f>
        <v>42297</v>
      </c>
      <c r="E23260" s="8">
        <f t="shared" si="387"/>
        <v>2015</v>
      </c>
      <c r="F23260" t="s">
        <v>3738</v>
      </c>
      <c r="G23260" s="9">
        <v>2932.5</v>
      </c>
      <c r="H23260" s="8">
        <v>21390</v>
      </c>
    </row>
    <row r="23261" spans="2:8" ht="15" customHeight="1" x14ac:dyDescent="0.4">
      <c r="B23261" t="s">
        <v>7</v>
      </c>
      <c r="C23261" t="s">
        <v>3737</v>
      </c>
      <c r="D23261" s="7">
        <f>DATE(2005,3,30)</f>
        <v>38441</v>
      </c>
      <c r="E23261" s="8">
        <f t="shared" si="387"/>
        <v>2005</v>
      </c>
      <c r="F23261" t="s">
        <v>3738</v>
      </c>
      <c r="G23261" s="9">
        <v>1261</v>
      </c>
      <c r="H23261" s="8">
        <v>2990</v>
      </c>
    </row>
    <row r="23262" spans="2:8" ht="15" customHeight="1" x14ac:dyDescent="0.4">
      <c r="B23262" t="s">
        <v>7</v>
      </c>
      <c r="C23262" t="s">
        <v>3737</v>
      </c>
      <c r="D23262" s="7">
        <f>DATE(2005,6,22)</f>
        <v>38525</v>
      </c>
      <c r="E23262" s="8">
        <f t="shared" si="387"/>
        <v>2005</v>
      </c>
      <c r="F23262" t="s">
        <v>3738</v>
      </c>
      <c r="G23262" s="9">
        <v>1791.95</v>
      </c>
      <c r="H23262" s="8">
        <v>3247</v>
      </c>
    </row>
    <row r="23263" spans="2:8" ht="15" customHeight="1" x14ac:dyDescent="0.4">
      <c r="B23263" t="s">
        <v>7</v>
      </c>
      <c r="C23263" t="s">
        <v>3737</v>
      </c>
      <c r="D23263" s="7">
        <f>DATE(2007,7,26)</f>
        <v>39289</v>
      </c>
      <c r="E23263" s="8">
        <f t="shared" si="387"/>
        <v>2007</v>
      </c>
      <c r="F23263" t="s">
        <v>3738</v>
      </c>
      <c r="G23263" s="9">
        <v>2761.74</v>
      </c>
      <c r="H23263" s="8">
        <v>6126</v>
      </c>
    </row>
    <row r="23264" spans="2:8" ht="15" customHeight="1" x14ac:dyDescent="0.4">
      <c r="B23264" t="s">
        <v>7</v>
      </c>
      <c r="C23264" t="s">
        <v>3737</v>
      </c>
      <c r="D23264" s="7">
        <f>DATE(2010,6,7)</f>
        <v>40336</v>
      </c>
      <c r="E23264" s="8">
        <f t="shared" si="387"/>
        <v>2010</v>
      </c>
      <c r="F23264" t="s">
        <v>3738</v>
      </c>
      <c r="G23264" s="9">
        <v>2882.48</v>
      </c>
      <c r="H23264" s="8">
        <v>9471</v>
      </c>
    </row>
    <row r="23265" spans="2:8" ht="15" customHeight="1" x14ac:dyDescent="0.4">
      <c r="B23265" t="s">
        <v>7</v>
      </c>
      <c r="C23265" t="s">
        <v>3737</v>
      </c>
      <c r="D23265" s="7">
        <f>DATE(2010,8,17)</f>
        <v>40407</v>
      </c>
      <c r="E23265" s="8">
        <f t="shared" si="387"/>
        <v>2010</v>
      </c>
      <c r="F23265" t="s">
        <v>3738</v>
      </c>
      <c r="G23265" s="9">
        <v>3099.81</v>
      </c>
      <c r="H23265" s="8">
        <v>9896</v>
      </c>
    </row>
    <row r="23266" spans="2:8" ht="15" customHeight="1" x14ac:dyDescent="0.4">
      <c r="B23266" t="s">
        <v>7</v>
      </c>
      <c r="C23266" t="s">
        <v>3737</v>
      </c>
      <c r="D23266" s="7">
        <f>DATE(2012,4,16)</f>
        <v>41015</v>
      </c>
      <c r="E23266" s="8">
        <f t="shared" si="387"/>
        <v>2012</v>
      </c>
      <c r="F23266" t="s">
        <v>3738</v>
      </c>
      <c r="G23266" s="9">
        <v>2751.45</v>
      </c>
      <c r="H23266" s="8">
        <v>11456</v>
      </c>
    </row>
    <row r="23267" spans="2:8" ht="15" customHeight="1" x14ac:dyDescent="0.4">
      <c r="B23267" t="s">
        <v>7</v>
      </c>
      <c r="C23267" t="s">
        <v>3737</v>
      </c>
      <c r="D23267" s="7">
        <f>DATE(2014,12,9)</f>
        <v>41982</v>
      </c>
      <c r="E23267" s="8">
        <f t="shared" si="387"/>
        <v>2014</v>
      </c>
      <c r="F23267" t="s">
        <v>3738</v>
      </c>
      <c r="G23267" s="9">
        <v>3782.7</v>
      </c>
      <c r="H23267" s="8">
        <v>13430</v>
      </c>
    </row>
    <row r="23268" spans="2:8" ht="15" customHeight="1" x14ac:dyDescent="0.4">
      <c r="B23268" t="s">
        <v>7</v>
      </c>
      <c r="C23268" t="s">
        <v>3737</v>
      </c>
      <c r="D23268" s="7">
        <f>DATE(2003,2,6)</f>
        <v>37658</v>
      </c>
      <c r="E23268" s="8">
        <f t="shared" si="387"/>
        <v>2003</v>
      </c>
      <c r="F23268" t="s">
        <v>3739</v>
      </c>
      <c r="G23268" s="9">
        <v>2235.4</v>
      </c>
      <c r="H23268" s="8">
        <v>152</v>
      </c>
    </row>
    <row r="23269" spans="2:8" ht="15" customHeight="1" x14ac:dyDescent="0.4">
      <c r="B23269" t="s">
        <v>7</v>
      </c>
      <c r="C23269" t="s">
        <v>3737</v>
      </c>
      <c r="D23269" s="7">
        <f>DATE(2003,2,25)</f>
        <v>37677</v>
      </c>
      <c r="E23269" s="8">
        <f t="shared" si="387"/>
        <v>2003</v>
      </c>
      <c r="F23269" t="s">
        <v>3739</v>
      </c>
      <c r="G23269" s="9">
        <v>1910.34</v>
      </c>
      <c r="H23269" s="8">
        <v>275</v>
      </c>
    </row>
    <row r="23270" spans="2:8" ht="15" customHeight="1" x14ac:dyDescent="0.4">
      <c r="B23270" t="s">
        <v>7</v>
      </c>
      <c r="C23270" t="s">
        <v>3737</v>
      </c>
      <c r="D23270" s="7">
        <f>DATE(2004,3,16)</f>
        <v>38062</v>
      </c>
      <c r="E23270" s="8">
        <f t="shared" si="387"/>
        <v>2004</v>
      </c>
      <c r="F23270" t="s">
        <v>3739</v>
      </c>
      <c r="G23270" s="9">
        <v>1452.7</v>
      </c>
      <c r="H23270" s="8">
        <v>1499</v>
      </c>
    </row>
    <row r="23271" spans="2:8" ht="15" customHeight="1" x14ac:dyDescent="0.4">
      <c r="B23271" t="s">
        <v>7</v>
      </c>
      <c r="C23271" t="s">
        <v>3737</v>
      </c>
      <c r="D23271" s="7">
        <f>DATE(2005,1,12)</f>
        <v>38364</v>
      </c>
      <c r="E23271" s="8">
        <f t="shared" si="387"/>
        <v>2005</v>
      </c>
      <c r="F23271" t="s">
        <v>3739</v>
      </c>
      <c r="G23271" s="9">
        <v>1939.09</v>
      </c>
      <c r="H23271" s="8">
        <v>2510</v>
      </c>
    </row>
    <row r="23272" spans="2:8" ht="15" customHeight="1" x14ac:dyDescent="0.4">
      <c r="B23272" t="s">
        <v>7</v>
      </c>
      <c r="C23272" t="s">
        <v>3737</v>
      </c>
      <c r="D23272" s="7">
        <f>DATE(2005,2,3)</f>
        <v>38386</v>
      </c>
      <c r="E23272" s="8">
        <f t="shared" si="387"/>
        <v>2005</v>
      </c>
      <c r="F23272" t="s">
        <v>3739</v>
      </c>
      <c r="G23272" s="9">
        <v>2734.78</v>
      </c>
      <c r="H23272" s="8">
        <v>2648</v>
      </c>
    </row>
    <row r="23273" spans="2:8" ht="15" customHeight="1" x14ac:dyDescent="0.4">
      <c r="B23273" s="3" t="s">
        <v>7</v>
      </c>
      <c r="C23273" s="3" t="s">
        <v>3740</v>
      </c>
      <c r="D23273" s="4">
        <f>DATE(2005,12,9)</f>
        <v>38695</v>
      </c>
      <c r="E23273" s="5">
        <f t="shared" si="387"/>
        <v>2005</v>
      </c>
      <c r="F23273" s="3" t="s">
        <v>3741</v>
      </c>
      <c r="G23273" s="6">
        <v>437.04</v>
      </c>
      <c r="H23273" s="5">
        <v>5709</v>
      </c>
    </row>
    <row r="23274" spans="2:8" ht="15" customHeight="1" x14ac:dyDescent="0.4">
      <c r="B23274" t="s">
        <v>7</v>
      </c>
      <c r="C23274" t="s">
        <v>3742</v>
      </c>
      <c r="D23274" s="7">
        <f>DATE(2005,3,18)</f>
        <v>38429</v>
      </c>
      <c r="E23274" s="8">
        <f t="shared" si="387"/>
        <v>2005</v>
      </c>
      <c r="F23274" t="s">
        <v>3743</v>
      </c>
      <c r="G23274" s="9">
        <v>3316.28</v>
      </c>
      <c r="H23274" s="8">
        <v>2873</v>
      </c>
    </row>
    <row r="23275" spans="2:8" ht="15" customHeight="1" x14ac:dyDescent="0.4">
      <c r="B23275" t="s">
        <v>7</v>
      </c>
      <c r="C23275" t="s">
        <v>3742</v>
      </c>
      <c r="D23275" s="7">
        <f>DATE(2005,5,19)</f>
        <v>38491</v>
      </c>
      <c r="E23275" s="8">
        <f t="shared" si="387"/>
        <v>2005</v>
      </c>
      <c r="F23275" t="s">
        <v>3743</v>
      </c>
      <c r="G23275" s="9">
        <v>4857.6499999999996</v>
      </c>
      <c r="H23275" s="8">
        <v>3113</v>
      </c>
    </row>
    <row r="23276" spans="2:8" ht="15" customHeight="1" x14ac:dyDescent="0.4">
      <c r="B23276" s="3" t="s">
        <v>7</v>
      </c>
      <c r="C23276" s="3" t="s">
        <v>3742</v>
      </c>
      <c r="D23276" s="4">
        <f>DATE(2003,9,30)</f>
        <v>37894</v>
      </c>
      <c r="E23276" s="5">
        <f t="shared" si="387"/>
        <v>2003</v>
      </c>
      <c r="F23276" s="3" t="s">
        <v>3743</v>
      </c>
      <c r="G23276" s="6">
        <v>1937</v>
      </c>
      <c r="H23276" s="5">
        <v>1596</v>
      </c>
    </row>
    <row r="23277" spans="2:8" ht="15" customHeight="1" x14ac:dyDescent="0.4">
      <c r="B23277" s="3" t="s">
        <v>7</v>
      </c>
      <c r="C23277" s="3" t="s">
        <v>3742</v>
      </c>
      <c r="D23277" s="4">
        <f>DATE(2004,2,2)</f>
        <v>38019</v>
      </c>
      <c r="E23277" s="5">
        <f t="shared" si="387"/>
        <v>2004</v>
      </c>
      <c r="F23277" s="3" t="s">
        <v>3743</v>
      </c>
      <c r="G23277" s="6">
        <v>2096</v>
      </c>
      <c r="H23277" s="5">
        <v>2088</v>
      </c>
    </row>
    <row r="23278" spans="2:8" ht="15" customHeight="1" x14ac:dyDescent="0.4">
      <c r="B23278" s="3" t="s">
        <v>7</v>
      </c>
      <c r="C23278" s="3" t="s">
        <v>3742</v>
      </c>
      <c r="D23278" s="4">
        <f>DATE(2004,3,15)</f>
        <v>38061</v>
      </c>
      <c r="E23278" s="5">
        <f t="shared" si="387"/>
        <v>2004</v>
      </c>
      <c r="F23278" s="3" t="s">
        <v>3743</v>
      </c>
      <c r="G23278" s="6">
        <v>727</v>
      </c>
      <c r="H23278" s="5">
        <v>2367</v>
      </c>
    </row>
    <row r="23279" spans="2:8" ht="15" customHeight="1" x14ac:dyDescent="0.4">
      <c r="B23279" s="3" t="s">
        <v>7</v>
      </c>
      <c r="C23279" s="3" t="s">
        <v>3742</v>
      </c>
      <c r="D23279" s="4">
        <f>DATE(2004,8,23)</f>
        <v>38222</v>
      </c>
      <c r="E23279" s="5">
        <f t="shared" si="387"/>
        <v>2004</v>
      </c>
      <c r="F23279" s="3" t="s">
        <v>3743</v>
      </c>
      <c r="G23279" s="6">
        <v>727</v>
      </c>
      <c r="H23279" s="5">
        <v>3297</v>
      </c>
    </row>
    <row r="23280" spans="2:8" ht="15" customHeight="1" x14ac:dyDescent="0.4">
      <c r="B23280" s="3" t="s">
        <v>7</v>
      </c>
      <c r="C23280" s="3" t="s">
        <v>3742</v>
      </c>
      <c r="D23280" s="4">
        <f>DATE(2004,9,17)</f>
        <v>38247</v>
      </c>
      <c r="E23280" s="5">
        <f t="shared" si="387"/>
        <v>2004</v>
      </c>
      <c r="F23280" s="3" t="s">
        <v>3743</v>
      </c>
      <c r="G23280" s="6">
        <v>1537.3</v>
      </c>
      <c r="H23280" s="5">
        <v>3413</v>
      </c>
    </row>
    <row r="23281" spans="2:8" ht="15" customHeight="1" x14ac:dyDescent="0.4">
      <c r="B23281" s="3" t="s">
        <v>7</v>
      </c>
      <c r="C23281" s="3" t="s">
        <v>3742</v>
      </c>
      <c r="D23281" s="4">
        <f>DATE(2004,12,8)</f>
        <v>38329</v>
      </c>
      <c r="E23281" s="5">
        <f t="shared" si="387"/>
        <v>2004</v>
      </c>
      <c r="F23281" s="3" t="s">
        <v>3743</v>
      </c>
      <c r="G23281" s="6">
        <v>194.75</v>
      </c>
      <c r="H23281" s="5">
        <v>3802</v>
      </c>
    </row>
    <row r="23282" spans="2:8" ht="15" customHeight="1" x14ac:dyDescent="0.4">
      <c r="B23282" s="3" t="s">
        <v>7</v>
      </c>
      <c r="C23282" s="3" t="s">
        <v>3742</v>
      </c>
      <c r="D23282" s="4">
        <f>DATE(2004,12,8)</f>
        <v>38329</v>
      </c>
      <c r="E23282" s="5">
        <f t="shared" si="387"/>
        <v>2004</v>
      </c>
      <c r="F23282" s="3" t="s">
        <v>3743</v>
      </c>
      <c r="G23282" s="6">
        <v>7747.8</v>
      </c>
      <c r="H23282" s="5">
        <v>3788</v>
      </c>
    </row>
    <row r="23283" spans="2:8" ht="15" customHeight="1" x14ac:dyDescent="0.4">
      <c r="B23283" s="3" t="s">
        <v>7</v>
      </c>
      <c r="C23283" s="3" t="s">
        <v>3742</v>
      </c>
      <c r="D23283" s="4">
        <f>DATE(2005,1,24)</f>
        <v>38376</v>
      </c>
      <c r="E23283" s="5">
        <f t="shared" si="387"/>
        <v>2005</v>
      </c>
      <c r="F23283" s="3" t="s">
        <v>3743</v>
      </c>
      <c r="G23283" s="6">
        <v>567</v>
      </c>
      <c r="H23283" s="5">
        <v>4002</v>
      </c>
    </row>
    <row r="23284" spans="2:8" ht="15" customHeight="1" x14ac:dyDescent="0.4">
      <c r="B23284" s="3" t="s">
        <v>7</v>
      </c>
      <c r="C23284" s="3" t="s">
        <v>3742</v>
      </c>
      <c r="D23284" s="4">
        <f>DATE(2005,4,19)</f>
        <v>38461</v>
      </c>
      <c r="E23284" s="5">
        <f t="shared" si="387"/>
        <v>2005</v>
      </c>
      <c r="F23284" s="3" t="s">
        <v>3743</v>
      </c>
      <c r="G23284" s="6">
        <v>2101</v>
      </c>
      <c r="H23284" s="5">
        <v>4590</v>
      </c>
    </row>
    <row r="23285" spans="2:8" ht="15" customHeight="1" x14ac:dyDescent="0.4">
      <c r="B23285" s="3" t="s">
        <v>7</v>
      </c>
      <c r="C23285" s="3" t="s">
        <v>3742</v>
      </c>
      <c r="D23285" s="4">
        <f>DATE(2005,5,2)</f>
        <v>38474</v>
      </c>
      <c r="E23285" s="5">
        <f t="shared" si="387"/>
        <v>2005</v>
      </c>
      <c r="F23285" s="3" t="s">
        <v>3743</v>
      </c>
      <c r="G23285" s="6">
        <v>444</v>
      </c>
      <c r="H23285" s="5">
        <v>4671</v>
      </c>
    </row>
    <row r="23286" spans="2:8" ht="15" customHeight="1" x14ac:dyDescent="0.4">
      <c r="B23286" s="3" t="s">
        <v>7</v>
      </c>
      <c r="C23286" s="3" t="s">
        <v>3742</v>
      </c>
      <c r="D23286" s="4">
        <f>DATE(2005,5,13)</f>
        <v>38485</v>
      </c>
      <c r="E23286" s="5">
        <f t="shared" si="387"/>
        <v>2005</v>
      </c>
      <c r="F23286" s="3" t="s">
        <v>3743</v>
      </c>
      <c r="G23286" s="6">
        <v>205</v>
      </c>
      <c r="H23286" s="5">
        <v>4747</v>
      </c>
    </row>
    <row r="23287" spans="2:8" ht="15" customHeight="1" x14ac:dyDescent="0.4">
      <c r="B23287" s="3" t="s">
        <v>7</v>
      </c>
      <c r="C23287" s="3" t="s">
        <v>3742</v>
      </c>
      <c r="D23287" s="4">
        <f>DATE(2005,8,30)</f>
        <v>38594</v>
      </c>
      <c r="E23287" s="5">
        <f t="shared" si="387"/>
        <v>2005</v>
      </c>
      <c r="F23287" s="3" t="s">
        <v>3743</v>
      </c>
      <c r="G23287" s="6">
        <v>2101</v>
      </c>
      <c r="H23287" s="5">
        <v>5190</v>
      </c>
    </row>
    <row r="23288" spans="2:8" ht="15" customHeight="1" x14ac:dyDescent="0.4">
      <c r="B23288" s="3" t="s">
        <v>7</v>
      </c>
      <c r="C23288" s="3" t="s">
        <v>3742</v>
      </c>
      <c r="D23288" s="4">
        <f>DATE(2005,10,27)</f>
        <v>38652</v>
      </c>
      <c r="E23288" s="5">
        <f t="shared" si="387"/>
        <v>2005</v>
      </c>
      <c r="F23288" s="3" t="s">
        <v>3743</v>
      </c>
      <c r="G23288" s="6">
        <v>2428</v>
      </c>
      <c r="H23288" s="5">
        <v>5486</v>
      </c>
    </row>
    <row r="23289" spans="2:8" ht="15" customHeight="1" x14ac:dyDescent="0.4">
      <c r="B23289" s="3" t="s">
        <v>7</v>
      </c>
      <c r="C23289" s="3" t="s">
        <v>3742</v>
      </c>
      <c r="D23289" s="4">
        <f>DATE(2006,9,26)</f>
        <v>38986</v>
      </c>
      <c r="E23289" s="5">
        <f t="shared" si="387"/>
        <v>2006</v>
      </c>
      <c r="F23289" s="3" t="s">
        <v>3743</v>
      </c>
      <c r="G23289" s="6">
        <v>1911</v>
      </c>
      <c r="H23289" s="5">
        <v>7289</v>
      </c>
    </row>
    <row r="23290" spans="2:8" ht="15" customHeight="1" x14ac:dyDescent="0.4">
      <c r="B23290" s="3" t="s">
        <v>7</v>
      </c>
      <c r="C23290" s="3" t="s">
        <v>3742</v>
      </c>
      <c r="D23290" s="4">
        <f>DATE(2006,11,2)</f>
        <v>39023</v>
      </c>
      <c r="E23290" s="5">
        <f t="shared" si="387"/>
        <v>2006</v>
      </c>
      <c r="F23290" s="3" t="s">
        <v>3743</v>
      </c>
      <c r="G23290" s="6">
        <v>547.5</v>
      </c>
      <c r="H23290" s="5">
        <v>7432</v>
      </c>
    </row>
    <row r="23291" spans="2:8" ht="15" customHeight="1" x14ac:dyDescent="0.4">
      <c r="B23291" t="s">
        <v>7</v>
      </c>
      <c r="C23291" t="s">
        <v>3744</v>
      </c>
      <c r="D23291" s="7">
        <f>DATE(2005,3,4)</f>
        <v>38415</v>
      </c>
      <c r="E23291" s="8">
        <f t="shared" si="387"/>
        <v>2005</v>
      </c>
      <c r="F23291" t="s">
        <v>3745</v>
      </c>
      <c r="G23291" s="9">
        <v>8443.24</v>
      </c>
      <c r="H23291" s="8">
        <v>2853</v>
      </c>
    </row>
    <row r="23292" spans="2:8" ht="15" customHeight="1" x14ac:dyDescent="0.4">
      <c r="B23292" s="3" t="s">
        <v>7</v>
      </c>
      <c r="C23292" s="3" t="s">
        <v>3746</v>
      </c>
      <c r="D23292" s="4">
        <f>DATE(2007,8,1)</f>
        <v>39295</v>
      </c>
      <c r="E23292" s="5">
        <f t="shared" si="387"/>
        <v>2007</v>
      </c>
      <c r="F23292" s="3" t="s">
        <v>3747</v>
      </c>
      <c r="G23292" s="6">
        <v>2195.16</v>
      </c>
      <c r="H23292" s="5">
        <v>9140</v>
      </c>
    </row>
    <row r="23293" spans="2:8" ht="15" customHeight="1" x14ac:dyDescent="0.4">
      <c r="B23293" t="s">
        <v>7</v>
      </c>
      <c r="C23293" t="s">
        <v>3746</v>
      </c>
      <c r="D23293" s="7">
        <f>DATE(2006,10,14)</f>
        <v>39004</v>
      </c>
      <c r="E23293" s="8">
        <f t="shared" si="387"/>
        <v>2006</v>
      </c>
      <c r="F23293" t="s">
        <v>3748</v>
      </c>
      <c r="G23293" s="9">
        <v>10107.85</v>
      </c>
      <c r="H23293" s="8">
        <v>5005</v>
      </c>
    </row>
    <row r="23294" spans="2:8" ht="15" customHeight="1" x14ac:dyDescent="0.4">
      <c r="B23294" t="s">
        <v>7</v>
      </c>
      <c r="C23294" t="s">
        <v>3746</v>
      </c>
      <c r="D23294" s="7">
        <f>DATE(2006,12,7)</f>
        <v>39058</v>
      </c>
      <c r="E23294" s="8">
        <f t="shared" si="387"/>
        <v>2006</v>
      </c>
      <c r="F23294" t="s">
        <v>3748</v>
      </c>
      <c r="G23294" s="9">
        <v>6357.81</v>
      </c>
      <c r="H23294" s="8">
        <v>5249</v>
      </c>
    </row>
    <row r="23295" spans="2:8" ht="15" customHeight="1" x14ac:dyDescent="0.4">
      <c r="B23295" s="3" t="s">
        <v>7</v>
      </c>
      <c r="C23295" s="3" t="s">
        <v>3746</v>
      </c>
      <c r="D23295" s="4">
        <f>DATE(2003,5,28)</f>
        <v>37769</v>
      </c>
      <c r="E23295" s="5">
        <f t="shared" si="387"/>
        <v>2003</v>
      </c>
      <c r="F23295" s="3" t="s">
        <v>3748</v>
      </c>
      <c r="G23295" s="6">
        <v>504</v>
      </c>
      <c r="H23295" s="5">
        <v>981</v>
      </c>
    </row>
    <row r="23296" spans="2:8" ht="15" customHeight="1" x14ac:dyDescent="0.4">
      <c r="B23296" s="3" t="s">
        <v>7</v>
      </c>
      <c r="C23296" s="3" t="s">
        <v>3746</v>
      </c>
      <c r="D23296" s="4">
        <f>DATE(2003,5,29)</f>
        <v>37770</v>
      </c>
      <c r="E23296" s="5">
        <f t="shared" si="387"/>
        <v>2003</v>
      </c>
      <c r="F23296" s="3" t="s">
        <v>3748</v>
      </c>
      <c r="G23296" s="6">
        <v>9220</v>
      </c>
      <c r="H23296" s="5">
        <v>948</v>
      </c>
    </row>
    <row r="23297" spans="2:8" ht="15" customHeight="1" x14ac:dyDescent="0.4">
      <c r="B23297" s="3" t="s">
        <v>7</v>
      </c>
      <c r="C23297" s="3" t="s">
        <v>3746</v>
      </c>
      <c r="D23297" s="4">
        <f>DATE(2003,10,2)</f>
        <v>37896</v>
      </c>
      <c r="E23297" s="5">
        <f t="shared" si="387"/>
        <v>2003</v>
      </c>
      <c r="F23297" s="3" t="s">
        <v>3748</v>
      </c>
      <c r="G23297" s="6">
        <v>213.75</v>
      </c>
      <c r="H23297" s="5">
        <v>1569</v>
      </c>
    </row>
    <row r="23298" spans="2:8" ht="15" customHeight="1" x14ac:dyDescent="0.4">
      <c r="B23298" s="3" t="s">
        <v>7</v>
      </c>
      <c r="C23298" s="3" t="s">
        <v>3746</v>
      </c>
      <c r="D23298" s="4">
        <f>DATE(2003,9,30)</f>
        <v>37894</v>
      </c>
      <c r="E23298" s="5">
        <f t="shared" si="387"/>
        <v>2003</v>
      </c>
      <c r="F23298" s="3" t="s">
        <v>3748</v>
      </c>
      <c r="G23298" s="6">
        <v>571</v>
      </c>
      <c r="H23298" s="5">
        <v>1577</v>
      </c>
    </row>
    <row r="23299" spans="2:8" ht="15" customHeight="1" x14ac:dyDescent="0.4">
      <c r="B23299" s="3" t="s">
        <v>7</v>
      </c>
      <c r="C23299" s="3" t="s">
        <v>3746</v>
      </c>
      <c r="D23299" s="4">
        <f>DATE(2004,1,30)</f>
        <v>38016</v>
      </c>
      <c r="E23299" s="5">
        <f t="shared" ref="E23299:E23362" si="388">YEAR(D23299)</f>
        <v>2004</v>
      </c>
      <c r="F23299" s="3" t="s">
        <v>3748</v>
      </c>
      <c r="G23299" s="6">
        <v>192</v>
      </c>
      <c r="H23299" s="5">
        <v>2085</v>
      </c>
    </row>
    <row r="23300" spans="2:8" ht="15" customHeight="1" x14ac:dyDescent="0.4">
      <c r="B23300" s="3" t="s">
        <v>7</v>
      </c>
      <c r="C23300" s="3" t="s">
        <v>3746</v>
      </c>
      <c r="D23300" s="4">
        <f>DATE(2004,2,6)</f>
        <v>38023</v>
      </c>
      <c r="E23300" s="5">
        <f t="shared" si="388"/>
        <v>2004</v>
      </c>
      <c r="F23300" s="3" t="s">
        <v>3748</v>
      </c>
      <c r="G23300" s="6">
        <v>392</v>
      </c>
      <c r="H23300" s="5">
        <v>2089</v>
      </c>
    </row>
    <row r="23301" spans="2:8" ht="15" customHeight="1" x14ac:dyDescent="0.4">
      <c r="B23301" s="3" t="s">
        <v>7</v>
      </c>
      <c r="C23301" s="3" t="s">
        <v>3746</v>
      </c>
      <c r="D23301" s="4">
        <f>DATE(2007,4,4)</f>
        <v>39176</v>
      </c>
      <c r="E23301" s="5">
        <f t="shared" si="388"/>
        <v>2007</v>
      </c>
      <c r="F23301" s="3" t="s">
        <v>3748</v>
      </c>
      <c r="G23301" s="6">
        <v>698</v>
      </c>
      <c r="H23301" s="5">
        <v>8202</v>
      </c>
    </row>
    <row r="23302" spans="2:8" ht="15" customHeight="1" x14ac:dyDescent="0.4">
      <c r="B23302" t="s">
        <v>7</v>
      </c>
      <c r="C23302" t="s">
        <v>3746</v>
      </c>
      <c r="D23302" s="7">
        <f>DATE(2008,3,3)</f>
        <v>39510</v>
      </c>
      <c r="E23302" s="8">
        <f t="shared" si="388"/>
        <v>2008</v>
      </c>
      <c r="F23302" t="s">
        <v>3749</v>
      </c>
      <c r="G23302" s="9">
        <v>2200</v>
      </c>
      <c r="H23302" s="8">
        <v>6862</v>
      </c>
    </row>
    <row r="23303" spans="2:8" ht="15" customHeight="1" x14ac:dyDescent="0.4">
      <c r="B23303" t="s">
        <v>7</v>
      </c>
      <c r="C23303" t="s">
        <v>3746</v>
      </c>
      <c r="D23303" s="7">
        <f>DATE(2009,1,10)</f>
        <v>39823</v>
      </c>
      <c r="E23303" s="8">
        <f t="shared" si="388"/>
        <v>2009</v>
      </c>
      <c r="F23303" t="s">
        <v>3749</v>
      </c>
      <c r="G23303" s="9">
        <v>4458.49</v>
      </c>
      <c r="H23303" s="8">
        <v>8185</v>
      </c>
    </row>
    <row r="23304" spans="2:8" ht="15" customHeight="1" x14ac:dyDescent="0.4">
      <c r="B23304" s="3" t="s">
        <v>7</v>
      </c>
      <c r="C23304" s="3" t="s">
        <v>3746</v>
      </c>
      <c r="D23304" s="4">
        <f>DATE(2007,10,4)</f>
        <v>39359</v>
      </c>
      <c r="E23304" s="5">
        <f t="shared" si="388"/>
        <v>2007</v>
      </c>
      <c r="F23304" s="3" t="s">
        <v>3749</v>
      </c>
      <c r="G23304" s="6">
        <v>210</v>
      </c>
      <c r="H23304" s="5">
        <v>9272</v>
      </c>
    </row>
    <row r="23305" spans="2:8" ht="15" customHeight="1" x14ac:dyDescent="0.4">
      <c r="B23305" s="3" t="s">
        <v>7</v>
      </c>
      <c r="C23305" s="3" t="s">
        <v>3746</v>
      </c>
      <c r="D23305" s="4">
        <f>DATE(2008,2,1)</f>
        <v>39479</v>
      </c>
      <c r="E23305" s="5">
        <f t="shared" si="388"/>
        <v>2008</v>
      </c>
      <c r="F23305" s="3" t="s">
        <v>3749</v>
      </c>
      <c r="G23305" s="6">
        <v>775</v>
      </c>
      <c r="H23305" s="5">
        <v>9836</v>
      </c>
    </row>
    <row r="23306" spans="2:8" ht="15" customHeight="1" x14ac:dyDescent="0.4">
      <c r="B23306" s="3" t="s">
        <v>7</v>
      </c>
      <c r="C23306" s="3" t="s">
        <v>3746</v>
      </c>
      <c r="D23306" s="4">
        <f>DATE(2008,2,11)</f>
        <v>39489</v>
      </c>
      <c r="E23306" s="5">
        <f t="shared" si="388"/>
        <v>2008</v>
      </c>
      <c r="F23306" s="3" t="s">
        <v>3749</v>
      </c>
      <c r="G23306" s="6">
        <v>4997.3500000000004</v>
      </c>
      <c r="H23306" s="5">
        <v>9777</v>
      </c>
    </row>
    <row r="23307" spans="2:8" ht="15" customHeight="1" x14ac:dyDescent="0.4">
      <c r="B23307" s="3" t="s">
        <v>7</v>
      </c>
      <c r="C23307" s="3" t="s">
        <v>3746</v>
      </c>
      <c r="D23307" s="4">
        <f>DATE(2008,2,11)</f>
        <v>39489</v>
      </c>
      <c r="E23307" s="5">
        <f t="shared" si="388"/>
        <v>2008</v>
      </c>
      <c r="F23307" s="3" t="s">
        <v>3749</v>
      </c>
      <c r="G23307" s="6">
        <v>600</v>
      </c>
      <c r="H23307" s="5">
        <v>9854</v>
      </c>
    </row>
    <row r="23308" spans="2:8" ht="15" customHeight="1" x14ac:dyDescent="0.4">
      <c r="B23308" s="3" t="s">
        <v>7</v>
      </c>
      <c r="C23308" s="3" t="s">
        <v>3746</v>
      </c>
      <c r="D23308" s="4">
        <f>DATE(2008,12,11)</f>
        <v>39793</v>
      </c>
      <c r="E23308" s="5">
        <f t="shared" si="388"/>
        <v>2008</v>
      </c>
      <c r="F23308" s="3" t="s">
        <v>3749</v>
      </c>
      <c r="G23308" s="6">
        <v>16482</v>
      </c>
      <c r="H23308" s="5">
        <v>10954</v>
      </c>
    </row>
    <row r="23309" spans="2:8" ht="15" customHeight="1" x14ac:dyDescent="0.4">
      <c r="B23309" s="3" t="s">
        <v>7</v>
      </c>
      <c r="C23309" s="3" t="s">
        <v>3746</v>
      </c>
      <c r="D23309" s="4">
        <f>DATE(2008,12,22)</f>
        <v>39804</v>
      </c>
      <c r="E23309" s="5">
        <f t="shared" si="388"/>
        <v>2008</v>
      </c>
      <c r="F23309" s="3" t="s">
        <v>3749</v>
      </c>
      <c r="G23309" s="6">
        <v>760</v>
      </c>
      <c r="H23309" s="5">
        <v>11710</v>
      </c>
    </row>
    <row r="23310" spans="2:8" ht="15" customHeight="1" x14ac:dyDescent="0.4">
      <c r="B23310" s="3" t="s">
        <v>7</v>
      </c>
      <c r="C23310" s="3" t="s">
        <v>3746</v>
      </c>
      <c r="D23310" s="4">
        <f>DATE(2009,6,26)</f>
        <v>39990</v>
      </c>
      <c r="E23310" s="5">
        <f t="shared" si="388"/>
        <v>2009</v>
      </c>
      <c r="F23310" s="3" t="s">
        <v>3749</v>
      </c>
      <c r="G23310" s="6">
        <v>1096</v>
      </c>
      <c r="H23310" s="5">
        <v>12709</v>
      </c>
    </row>
    <row r="23311" spans="2:8" ht="15" customHeight="1" x14ac:dyDescent="0.4">
      <c r="B23311" s="3" t="s">
        <v>7</v>
      </c>
      <c r="C23311" s="3" t="s">
        <v>3746</v>
      </c>
      <c r="D23311" s="4">
        <f>DATE(2009,7,21)</f>
        <v>40015</v>
      </c>
      <c r="E23311" s="5">
        <f t="shared" si="388"/>
        <v>2009</v>
      </c>
      <c r="F23311" s="3" t="s">
        <v>3749</v>
      </c>
      <c r="G23311" s="6">
        <v>1065</v>
      </c>
      <c r="H23311" s="5">
        <v>12793</v>
      </c>
    </row>
    <row r="23312" spans="2:8" ht="15" customHeight="1" x14ac:dyDescent="0.4">
      <c r="B23312" s="3" t="s">
        <v>7</v>
      </c>
      <c r="C23312" s="3" t="s">
        <v>3746</v>
      </c>
      <c r="D23312" s="4">
        <f>DATE(2009,10,15)</f>
        <v>40101</v>
      </c>
      <c r="E23312" s="5">
        <f t="shared" si="388"/>
        <v>2009</v>
      </c>
      <c r="F23312" s="3" t="s">
        <v>3749</v>
      </c>
      <c r="G23312" s="6">
        <v>8900</v>
      </c>
      <c r="H23312" s="5">
        <v>13137</v>
      </c>
    </row>
    <row r="23313" spans="2:8" ht="15" customHeight="1" x14ac:dyDescent="0.4">
      <c r="B23313" s="3" t="s">
        <v>7</v>
      </c>
      <c r="C23313" s="3" t="s">
        <v>3746</v>
      </c>
      <c r="D23313" s="4">
        <f>DATE(2009,11,12)</f>
        <v>40129</v>
      </c>
      <c r="E23313" s="5">
        <f t="shared" si="388"/>
        <v>2009</v>
      </c>
      <c r="F23313" s="3" t="s">
        <v>3749</v>
      </c>
      <c r="G23313" s="6">
        <v>2349.9299999999998</v>
      </c>
      <c r="H23313" s="5">
        <v>13219</v>
      </c>
    </row>
    <row r="23314" spans="2:8" ht="15" customHeight="1" x14ac:dyDescent="0.4">
      <c r="B23314" s="3" t="s">
        <v>7</v>
      </c>
      <c r="C23314" s="3" t="s">
        <v>3746</v>
      </c>
      <c r="D23314" s="4">
        <f>DATE(2009,12,2)</f>
        <v>40149</v>
      </c>
      <c r="E23314" s="5">
        <f t="shared" si="388"/>
        <v>2009</v>
      </c>
      <c r="F23314" s="3" t="s">
        <v>3749</v>
      </c>
      <c r="G23314" s="6">
        <v>21050</v>
      </c>
      <c r="H23314" s="5">
        <v>13259</v>
      </c>
    </row>
    <row r="23315" spans="2:8" ht="15" customHeight="1" x14ac:dyDescent="0.4">
      <c r="B23315" s="3" t="s">
        <v>7</v>
      </c>
      <c r="C23315" s="3" t="s">
        <v>3746</v>
      </c>
      <c r="D23315" s="4">
        <f>DATE(2010,7,26)</f>
        <v>40385</v>
      </c>
      <c r="E23315" s="5">
        <f t="shared" si="388"/>
        <v>2010</v>
      </c>
      <c r="F23315" s="3" t="s">
        <v>3749</v>
      </c>
      <c r="G23315" s="6">
        <v>7156.9</v>
      </c>
      <c r="H23315" s="5">
        <v>14248</v>
      </c>
    </row>
    <row r="23316" spans="2:8" ht="15" customHeight="1" x14ac:dyDescent="0.4">
      <c r="B23316" s="3" t="s">
        <v>7</v>
      </c>
      <c r="C23316" s="3" t="s">
        <v>3746</v>
      </c>
      <c r="D23316" s="4">
        <f>DATE(2011,2,17)</f>
        <v>40591</v>
      </c>
      <c r="E23316" s="5">
        <f t="shared" si="388"/>
        <v>2011</v>
      </c>
      <c r="F23316" s="3" t="s">
        <v>3749</v>
      </c>
      <c r="G23316" s="6">
        <v>23.7</v>
      </c>
      <c r="H23316" s="5">
        <v>15076</v>
      </c>
    </row>
    <row r="23317" spans="2:8" ht="15" customHeight="1" x14ac:dyDescent="0.4">
      <c r="B23317" s="3" t="s">
        <v>7</v>
      </c>
      <c r="C23317" s="3" t="s">
        <v>3746</v>
      </c>
      <c r="D23317" s="4">
        <f>DATE(2011,2,21)</f>
        <v>40595</v>
      </c>
      <c r="E23317" s="5">
        <f t="shared" si="388"/>
        <v>2011</v>
      </c>
      <c r="F23317" s="3" t="s">
        <v>3749</v>
      </c>
      <c r="G23317" s="6">
        <v>63</v>
      </c>
      <c r="H23317" s="5">
        <v>15099</v>
      </c>
    </row>
    <row r="23318" spans="2:8" ht="15" customHeight="1" x14ac:dyDescent="0.4">
      <c r="B23318" s="3" t="s">
        <v>7</v>
      </c>
      <c r="C23318" s="3" t="s">
        <v>3746</v>
      </c>
      <c r="D23318" s="4">
        <f>DATE(2011,2,21)</f>
        <v>40595</v>
      </c>
      <c r="E23318" s="5">
        <f t="shared" si="388"/>
        <v>2011</v>
      </c>
      <c r="F23318" s="3" t="s">
        <v>3749</v>
      </c>
      <c r="G23318" s="6">
        <v>5460</v>
      </c>
      <c r="H23318" s="5">
        <v>15098</v>
      </c>
    </row>
    <row r="23319" spans="2:8" ht="15" customHeight="1" x14ac:dyDescent="0.4">
      <c r="B23319" s="3" t="s">
        <v>7</v>
      </c>
      <c r="C23319" s="3" t="s">
        <v>3746</v>
      </c>
      <c r="D23319" s="4">
        <f>DATE(2011,3,9)</f>
        <v>40611</v>
      </c>
      <c r="E23319" s="5">
        <f t="shared" si="388"/>
        <v>2011</v>
      </c>
      <c r="F23319" s="3" t="s">
        <v>3749</v>
      </c>
      <c r="G23319" s="6">
        <v>102</v>
      </c>
      <c r="H23319" s="5">
        <v>15215</v>
      </c>
    </row>
    <row r="23320" spans="2:8" ht="15" customHeight="1" x14ac:dyDescent="0.4">
      <c r="B23320" s="3" t="s">
        <v>7</v>
      </c>
      <c r="C23320" s="3" t="s">
        <v>3746</v>
      </c>
      <c r="D23320" s="4">
        <f>DATE(2011,3,14)</f>
        <v>40616</v>
      </c>
      <c r="E23320" s="5">
        <f t="shared" si="388"/>
        <v>2011</v>
      </c>
      <c r="F23320" s="3" t="s">
        <v>3749</v>
      </c>
      <c r="G23320" s="6">
        <v>1900</v>
      </c>
      <c r="H23320" s="5">
        <v>15216</v>
      </c>
    </row>
    <row r="23321" spans="2:8" ht="15" customHeight="1" x14ac:dyDescent="0.4">
      <c r="B23321" s="3" t="s">
        <v>7</v>
      </c>
      <c r="C23321" s="3" t="s">
        <v>3746</v>
      </c>
      <c r="D23321" s="4">
        <f>DATE(2013,2,13)</f>
        <v>41318</v>
      </c>
      <c r="E23321" s="5">
        <f t="shared" si="388"/>
        <v>2013</v>
      </c>
      <c r="F23321" s="3" t="s">
        <v>3749</v>
      </c>
      <c r="G23321" s="6">
        <v>380</v>
      </c>
      <c r="H23321" s="5">
        <v>18145</v>
      </c>
    </row>
    <row r="23322" spans="2:8" ht="15" customHeight="1" x14ac:dyDescent="0.4">
      <c r="B23322" s="3" t="s">
        <v>7</v>
      </c>
      <c r="C23322" s="3" t="s">
        <v>3746</v>
      </c>
      <c r="D23322" s="4">
        <f>DATE(2013,2,20)</f>
        <v>41325</v>
      </c>
      <c r="E23322" s="5">
        <f t="shared" si="388"/>
        <v>2013</v>
      </c>
      <c r="F23322" s="3" t="s">
        <v>3749</v>
      </c>
      <c r="G23322" s="6">
        <v>78.75</v>
      </c>
      <c r="H23322" s="5">
        <v>18177</v>
      </c>
    </row>
    <row r="23323" spans="2:8" ht="15" customHeight="1" x14ac:dyDescent="0.4">
      <c r="B23323" s="3" t="s">
        <v>7</v>
      </c>
      <c r="C23323" s="3" t="s">
        <v>3746</v>
      </c>
      <c r="D23323" s="4">
        <f>DATE(2013,2,28)</f>
        <v>41333</v>
      </c>
      <c r="E23323" s="5">
        <f t="shared" si="388"/>
        <v>2013</v>
      </c>
      <c r="F23323" s="3" t="s">
        <v>3749</v>
      </c>
      <c r="G23323" s="6">
        <v>4450</v>
      </c>
      <c r="H23323" s="5">
        <v>18232</v>
      </c>
    </row>
    <row r="23324" spans="2:8" ht="15" customHeight="1" x14ac:dyDescent="0.4">
      <c r="B23324" s="3" t="s">
        <v>16</v>
      </c>
      <c r="C23324" s="3" t="s">
        <v>3746</v>
      </c>
      <c r="D23324" s="4">
        <f>DATE(2008,12,23)</f>
        <v>39805</v>
      </c>
      <c r="E23324" s="5">
        <f t="shared" si="388"/>
        <v>2008</v>
      </c>
      <c r="F23324" s="3" t="s">
        <v>3749</v>
      </c>
      <c r="G23324" s="6">
        <v>760</v>
      </c>
      <c r="H23324" s="5">
        <v>11706</v>
      </c>
    </row>
    <row r="23325" spans="2:8" ht="15" customHeight="1" x14ac:dyDescent="0.4">
      <c r="B23325" s="3" t="s">
        <v>16</v>
      </c>
      <c r="C23325" s="3" t="s">
        <v>3746</v>
      </c>
      <c r="D23325" s="4">
        <f>DATE(2011,3,7)</f>
        <v>40609</v>
      </c>
      <c r="E23325" s="5">
        <f t="shared" si="388"/>
        <v>2011</v>
      </c>
      <c r="F23325" s="3" t="s">
        <v>3749</v>
      </c>
      <c r="G23325" s="6">
        <v>1900</v>
      </c>
      <c r="H23325" s="5">
        <v>15218</v>
      </c>
    </row>
    <row r="23326" spans="2:8" ht="15" customHeight="1" x14ac:dyDescent="0.4">
      <c r="B23326" t="s">
        <v>7</v>
      </c>
      <c r="C23326" t="s">
        <v>3746</v>
      </c>
      <c r="D23326" s="7">
        <f>DATE(2014,5,29)</f>
        <v>41788</v>
      </c>
      <c r="E23326" s="8">
        <f t="shared" si="388"/>
        <v>2014</v>
      </c>
      <c r="F23326" t="s">
        <v>3749</v>
      </c>
      <c r="G23326" s="9">
        <v>190262.25</v>
      </c>
      <c r="H23326" s="8">
        <v>395</v>
      </c>
    </row>
    <row r="23327" spans="2:8" ht="15" customHeight="1" x14ac:dyDescent="0.4">
      <c r="B23327" t="s">
        <v>7</v>
      </c>
      <c r="C23327" t="s">
        <v>3750</v>
      </c>
      <c r="D23327" s="7">
        <f>DATE(2003,8,27)</f>
        <v>37860</v>
      </c>
      <c r="E23327" s="8">
        <f t="shared" si="388"/>
        <v>2003</v>
      </c>
      <c r="F23327" t="s">
        <v>3751</v>
      </c>
      <c r="G23327" s="9">
        <v>5070</v>
      </c>
      <c r="H23327" s="8">
        <v>816</v>
      </c>
    </row>
    <row r="23328" spans="2:8" ht="15" customHeight="1" x14ac:dyDescent="0.4">
      <c r="B23328" t="s">
        <v>7</v>
      </c>
      <c r="C23328" t="s">
        <v>3750</v>
      </c>
      <c r="D23328" s="7">
        <f>DATE(2004,12,21)</f>
        <v>38342</v>
      </c>
      <c r="E23328" s="8">
        <f t="shared" si="388"/>
        <v>2004</v>
      </c>
      <c r="F23328" t="s">
        <v>3751</v>
      </c>
      <c r="G23328" s="9">
        <v>6831</v>
      </c>
      <c r="H23328" s="8">
        <v>2407</v>
      </c>
    </row>
    <row r="23329" spans="2:8" ht="15" customHeight="1" x14ac:dyDescent="0.4">
      <c r="B23329" t="s">
        <v>7</v>
      </c>
      <c r="C23329" t="s">
        <v>3750</v>
      </c>
      <c r="D23329" s="7">
        <f>DATE(2006,2,9)</f>
        <v>38757</v>
      </c>
      <c r="E23329" s="8">
        <f t="shared" si="388"/>
        <v>2006</v>
      </c>
      <c r="F23329" t="s">
        <v>3751</v>
      </c>
      <c r="G23329" s="9">
        <v>3516</v>
      </c>
      <c r="H23329" s="8">
        <v>4004</v>
      </c>
    </row>
    <row r="23330" spans="2:8" ht="15" customHeight="1" x14ac:dyDescent="0.4">
      <c r="B23330" t="s">
        <v>7</v>
      </c>
      <c r="C23330" t="s">
        <v>3750</v>
      </c>
      <c r="D23330" s="7">
        <f>DATE(2006,3,18)</f>
        <v>38794</v>
      </c>
      <c r="E23330" s="8">
        <f t="shared" si="388"/>
        <v>2006</v>
      </c>
      <c r="F23330" t="s">
        <v>3751</v>
      </c>
      <c r="G23330" s="9">
        <v>8924</v>
      </c>
      <c r="H23330" s="8">
        <v>4196</v>
      </c>
    </row>
    <row r="23331" spans="2:8" ht="15" customHeight="1" x14ac:dyDescent="0.4">
      <c r="B23331" t="s">
        <v>7</v>
      </c>
      <c r="C23331" t="s">
        <v>3750</v>
      </c>
      <c r="D23331" s="7">
        <f>DATE(2006,3,18)</f>
        <v>38794</v>
      </c>
      <c r="E23331" s="8">
        <f t="shared" si="388"/>
        <v>2006</v>
      </c>
      <c r="F23331" t="s">
        <v>3751</v>
      </c>
      <c r="G23331" s="9">
        <v>13098</v>
      </c>
      <c r="H23331" s="8">
        <v>3970</v>
      </c>
    </row>
    <row r="23332" spans="2:8" ht="15" customHeight="1" x14ac:dyDescent="0.4">
      <c r="B23332" t="s">
        <v>7</v>
      </c>
      <c r="C23332" t="s">
        <v>3750</v>
      </c>
      <c r="D23332" s="7">
        <f>DATE(2008,3,12)</f>
        <v>39519</v>
      </c>
      <c r="E23332" s="8">
        <f t="shared" si="388"/>
        <v>2008</v>
      </c>
      <c r="F23332" t="s">
        <v>3751</v>
      </c>
      <c r="G23332" s="9">
        <v>3696</v>
      </c>
      <c r="H23332" s="8">
        <v>6873</v>
      </c>
    </row>
    <row r="23333" spans="2:8" ht="15" customHeight="1" x14ac:dyDescent="0.4">
      <c r="B23333" t="s">
        <v>7</v>
      </c>
      <c r="C23333" t="s">
        <v>3750</v>
      </c>
      <c r="D23333" s="7">
        <f>DATE(2008,3,11)</f>
        <v>39518</v>
      </c>
      <c r="E23333" s="8">
        <f t="shared" si="388"/>
        <v>2008</v>
      </c>
      <c r="F23333" t="s">
        <v>3751</v>
      </c>
      <c r="G23333" s="9">
        <v>3696</v>
      </c>
      <c r="H23333" s="8">
        <v>7026</v>
      </c>
    </row>
    <row r="23334" spans="2:8" ht="15" customHeight="1" x14ac:dyDescent="0.4">
      <c r="B23334" t="s">
        <v>7</v>
      </c>
      <c r="C23334" t="s">
        <v>3750</v>
      </c>
      <c r="D23334" s="7">
        <f>DATE(2008,10,15)</f>
        <v>39736</v>
      </c>
      <c r="E23334" s="8">
        <f t="shared" si="388"/>
        <v>2008</v>
      </c>
      <c r="F23334" t="s">
        <v>3751</v>
      </c>
      <c r="G23334" s="9">
        <v>5183</v>
      </c>
      <c r="H23334" s="8">
        <v>7804</v>
      </c>
    </row>
    <row r="23335" spans="2:8" ht="15" customHeight="1" x14ac:dyDescent="0.4">
      <c r="B23335" t="s">
        <v>7</v>
      </c>
      <c r="C23335" t="s">
        <v>3750</v>
      </c>
      <c r="D23335" s="7">
        <f>DATE(2008,12,16)</f>
        <v>39798</v>
      </c>
      <c r="E23335" s="8">
        <f t="shared" si="388"/>
        <v>2008</v>
      </c>
      <c r="F23335" t="s">
        <v>3751</v>
      </c>
      <c r="G23335" s="9">
        <v>3329.54</v>
      </c>
      <c r="H23335" s="8">
        <v>8102</v>
      </c>
    </row>
    <row r="23336" spans="2:8" ht="15" customHeight="1" x14ac:dyDescent="0.4">
      <c r="B23336" t="s">
        <v>7</v>
      </c>
      <c r="C23336" t="s">
        <v>3750</v>
      </c>
      <c r="D23336" s="7">
        <f>DATE(2009,3,10)</f>
        <v>39882</v>
      </c>
      <c r="E23336" s="8">
        <f t="shared" si="388"/>
        <v>2009</v>
      </c>
      <c r="F23336" t="s">
        <v>3751</v>
      </c>
      <c r="G23336" s="9">
        <v>5494</v>
      </c>
      <c r="H23336" s="8">
        <v>8412</v>
      </c>
    </row>
    <row r="23337" spans="2:8" ht="15" customHeight="1" x14ac:dyDescent="0.4">
      <c r="B23337" t="s">
        <v>7</v>
      </c>
      <c r="C23337" t="s">
        <v>3750</v>
      </c>
      <c r="D23337" s="7">
        <f>DATE(2010,3,24)</f>
        <v>40261</v>
      </c>
      <c r="E23337" s="8">
        <f t="shared" si="388"/>
        <v>2010</v>
      </c>
      <c r="F23337" t="s">
        <v>3751</v>
      </c>
      <c r="G23337" s="9">
        <v>4120</v>
      </c>
      <c r="H23337" s="8">
        <v>9516</v>
      </c>
    </row>
    <row r="23338" spans="2:8" ht="15" customHeight="1" x14ac:dyDescent="0.4">
      <c r="B23338" t="s">
        <v>16</v>
      </c>
      <c r="C23338" t="s">
        <v>3750</v>
      </c>
      <c r="D23338" s="7">
        <f>DATE(2003,8,27)</f>
        <v>37860</v>
      </c>
      <c r="E23338" s="8">
        <f t="shared" si="388"/>
        <v>2003</v>
      </c>
      <c r="F23338" t="s">
        <v>3751</v>
      </c>
      <c r="G23338" s="9">
        <v>270</v>
      </c>
      <c r="H23338" s="8">
        <v>884</v>
      </c>
    </row>
    <row r="23339" spans="2:8" ht="15" customHeight="1" x14ac:dyDescent="0.4">
      <c r="B23339" t="s">
        <v>7</v>
      </c>
      <c r="C23339" t="s">
        <v>3752</v>
      </c>
      <c r="D23339" s="7">
        <f>DATE(2012,4,20)</f>
        <v>41019</v>
      </c>
      <c r="E23339" s="8">
        <f t="shared" si="388"/>
        <v>2012</v>
      </c>
      <c r="F23339" t="s">
        <v>3753</v>
      </c>
      <c r="G23339" s="9">
        <v>26064.07</v>
      </c>
      <c r="H23339" s="8">
        <v>11520</v>
      </c>
    </row>
    <row r="23340" spans="2:8" ht="15" customHeight="1" x14ac:dyDescent="0.4">
      <c r="B23340" s="3" t="s">
        <v>7</v>
      </c>
      <c r="C23340" s="3" t="s">
        <v>3752</v>
      </c>
      <c r="D23340" s="4">
        <f>DATE(2012,5,7)</f>
        <v>41036</v>
      </c>
      <c r="E23340" s="5">
        <f t="shared" si="388"/>
        <v>2012</v>
      </c>
      <c r="F23340" s="3" t="s">
        <v>3753</v>
      </c>
      <c r="G23340" s="6">
        <v>4843.4399999999996</v>
      </c>
      <c r="H23340" s="5">
        <v>17013</v>
      </c>
    </row>
    <row r="23341" spans="2:8" ht="15" customHeight="1" x14ac:dyDescent="0.4">
      <c r="B23341" s="3" t="s">
        <v>7</v>
      </c>
      <c r="C23341" s="3" t="s">
        <v>3752</v>
      </c>
      <c r="D23341" s="4">
        <f>DATE(2012,11,19)</f>
        <v>41232</v>
      </c>
      <c r="E23341" s="5">
        <f t="shared" si="388"/>
        <v>2012</v>
      </c>
      <c r="F23341" s="3" t="s">
        <v>3753</v>
      </c>
      <c r="G23341" s="6">
        <v>5199.78</v>
      </c>
      <c r="H23341" s="5">
        <v>17805</v>
      </c>
    </row>
    <row r="23342" spans="2:8" ht="15" customHeight="1" x14ac:dyDescent="0.4">
      <c r="B23342" s="3" t="s">
        <v>7</v>
      </c>
      <c r="C23342" s="3" t="s">
        <v>3752</v>
      </c>
      <c r="D23342" s="4">
        <f>DATE(2014,5,23)</f>
        <v>41782</v>
      </c>
      <c r="E23342" s="5">
        <f t="shared" si="388"/>
        <v>2014</v>
      </c>
      <c r="F23342" s="3" t="s">
        <v>3753</v>
      </c>
      <c r="G23342" s="6">
        <v>2495.39</v>
      </c>
      <c r="H23342" s="5">
        <v>19990</v>
      </c>
    </row>
    <row r="23343" spans="2:8" ht="15" customHeight="1" x14ac:dyDescent="0.4">
      <c r="B23343" t="s">
        <v>7</v>
      </c>
      <c r="C23343" t="s">
        <v>3754</v>
      </c>
      <c r="D23343" s="7">
        <f>DATE(2015,7,6)</f>
        <v>42191</v>
      </c>
      <c r="E23343" s="8">
        <f t="shared" si="388"/>
        <v>2015</v>
      </c>
      <c r="F23343" t="s">
        <v>3755</v>
      </c>
      <c r="G23343" s="9">
        <v>539</v>
      </c>
      <c r="H23343" s="8">
        <v>20823</v>
      </c>
    </row>
    <row r="23344" spans="2:8" ht="15" customHeight="1" x14ac:dyDescent="0.4">
      <c r="B23344" t="s">
        <v>7</v>
      </c>
      <c r="C23344" t="s">
        <v>3754</v>
      </c>
      <c r="D23344" s="7">
        <f>DATE(2015,7,29)</f>
        <v>42214</v>
      </c>
      <c r="E23344" s="8">
        <f t="shared" si="388"/>
        <v>2015</v>
      </c>
      <c r="F23344" t="s">
        <v>3755</v>
      </c>
      <c r="G23344" s="9">
        <v>539</v>
      </c>
      <c r="H23344" s="8">
        <v>20976</v>
      </c>
    </row>
    <row r="23345" spans="2:8" ht="15" customHeight="1" x14ac:dyDescent="0.4">
      <c r="B23345" t="s">
        <v>7</v>
      </c>
      <c r="C23345" t="s">
        <v>3754</v>
      </c>
      <c r="D23345" s="7">
        <f>DATE(2006,8,8)</f>
        <v>38937</v>
      </c>
      <c r="E23345" s="8">
        <f t="shared" si="388"/>
        <v>2006</v>
      </c>
      <c r="F23345" t="s">
        <v>3755</v>
      </c>
      <c r="G23345" s="9">
        <v>1004.37</v>
      </c>
      <c r="H23345" s="8">
        <v>4730</v>
      </c>
    </row>
    <row r="23346" spans="2:8" ht="15" customHeight="1" x14ac:dyDescent="0.4">
      <c r="B23346" t="s">
        <v>7</v>
      </c>
      <c r="C23346" t="s">
        <v>3754</v>
      </c>
      <c r="D23346" s="7">
        <f>DATE(2011,11,3)</f>
        <v>40850</v>
      </c>
      <c r="E23346" s="8">
        <f t="shared" si="388"/>
        <v>2011</v>
      </c>
      <c r="F23346" t="s">
        <v>3755</v>
      </c>
      <c r="G23346" s="9">
        <v>30388.58</v>
      </c>
      <c r="H23346" s="8">
        <v>11097</v>
      </c>
    </row>
    <row r="23347" spans="2:8" ht="15" customHeight="1" x14ac:dyDescent="0.4">
      <c r="B23347" t="s">
        <v>7</v>
      </c>
      <c r="C23347" t="s">
        <v>3754</v>
      </c>
      <c r="D23347" s="7">
        <f>DATE(2003,6,23)</f>
        <v>37795</v>
      </c>
      <c r="E23347" s="8">
        <f t="shared" si="388"/>
        <v>2003</v>
      </c>
      <c r="F23347" t="s">
        <v>3755</v>
      </c>
      <c r="G23347" s="9">
        <v>813.25</v>
      </c>
      <c r="H23347" s="8">
        <v>692</v>
      </c>
    </row>
    <row r="23348" spans="2:8" ht="15" customHeight="1" x14ac:dyDescent="0.4">
      <c r="B23348" t="s">
        <v>7</v>
      </c>
      <c r="C23348" t="s">
        <v>3754</v>
      </c>
      <c r="D23348" s="7">
        <f>DATE(2007,2,28)</f>
        <v>39141</v>
      </c>
      <c r="E23348" s="8">
        <f t="shared" si="388"/>
        <v>2007</v>
      </c>
      <c r="F23348" t="s">
        <v>3755</v>
      </c>
      <c r="G23348" s="9">
        <v>26712.45</v>
      </c>
      <c r="H23348" s="8">
        <v>5602</v>
      </c>
    </row>
    <row r="23349" spans="2:8" ht="15" customHeight="1" x14ac:dyDescent="0.4">
      <c r="B23349" t="s">
        <v>7</v>
      </c>
      <c r="C23349" t="s">
        <v>3754</v>
      </c>
      <c r="D23349" s="7">
        <f>DATE(2012,3,14)</f>
        <v>40982</v>
      </c>
      <c r="E23349" s="8">
        <f t="shared" si="388"/>
        <v>2012</v>
      </c>
      <c r="F23349" t="s">
        <v>3755</v>
      </c>
      <c r="G23349" s="9">
        <v>29408.18</v>
      </c>
      <c r="H23349" s="8">
        <v>11396</v>
      </c>
    </row>
    <row r="23350" spans="2:8" ht="15" customHeight="1" x14ac:dyDescent="0.4">
      <c r="B23350" s="3" t="s">
        <v>7</v>
      </c>
      <c r="C23350" s="3" t="s">
        <v>3754</v>
      </c>
      <c r="D23350" s="4">
        <f>DATE(2004,10,25)</f>
        <v>38285</v>
      </c>
      <c r="E23350" s="5">
        <f t="shared" si="388"/>
        <v>2004</v>
      </c>
      <c r="F23350" s="3" t="s">
        <v>3755</v>
      </c>
      <c r="G23350" s="6">
        <v>1603.5</v>
      </c>
      <c r="H23350" s="5">
        <v>3620</v>
      </c>
    </row>
    <row r="23351" spans="2:8" ht="15" customHeight="1" x14ac:dyDescent="0.4">
      <c r="B23351" s="3" t="s">
        <v>7</v>
      </c>
      <c r="C23351" s="3" t="s">
        <v>3754</v>
      </c>
      <c r="D23351" s="4">
        <f>DATE(2004,11,2)</f>
        <v>38293</v>
      </c>
      <c r="E23351" s="5">
        <f t="shared" si="388"/>
        <v>2004</v>
      </c>
      <c r="F23351" s="3" t="s">
        <v>3755</v>
      </c>
      <c r="G23351" s="6">
        <v>507</v>
      </c>
      <c r="H23351" s="5">
        <v>3656</v>
      </c>
    </row>
    <row r="23352" spans="2:8" ht="15" customHeight="1" x14ac:dyDescent="0.4">
      <c r="B23352" s="3" t="s">
        <v>7</v>
      </c>
      <c r="C23352" s="3" t="s">
        <v>3754</v>
      </c>
      <c r="D23352" s="4">
        <f>DATE(2004,11,10)</f>
        <v>38301</v>
      </c>
      <c r="E23352" s="5">
        <f t="shared" si="388"/>
        <v>2004</v>
      </c>
      <c r="F23352" s="3" t="s">
        <v>3755</v>
      </c>
      <c r="G23352" s="6">
        <v>1077</v>
      </c>
      <c r="H23352" s="5">
        <v>3690</v>
      </c>
    </row>
    <row r="23353" spans="2:8" ht="15" customHeight="1" x14ac:dyDescent="0.4">
      <c r="B23353" s="3" t="s">
        <v>7</v>
      </c>
      <c r="C23353" s="3" t="s">
        <v>3754</v>
      </c>
      <c r="D23353" s="4">
        <f>DATE(2004,11,15)</f>
        <v>38306</v>
      </c>
      <c r="E23353" s="5">
        <f t="shared" si="388"/>
        <v>2004</v>
      </c>
      <c r="F23353" s="3" t="s">
        <v>3755</v>
      </c>
      <c r="G23353" s="6">
        <v>2123.25</v>
      </c>
      <c r="H23353" s="5">
        <v>3712</v>
      </c>
    </row>
    <row r="23354" spans="2:8" ht="15" customHeight="1" x14ac:dyDescent="0.4">
      <c r="B23354" s="3" t="s">
        <v>7</v>
      </c>
      <c r="C23354" s="3" t="s">
        <v>3754</v>
      </c>
      <c r="D23354" s="4">
        <f>DATE(2004,12,15)</f>
        <v>38336</v>
      </c>
      <c r="E23354" s="5">
        <f t="shared" si="388"/>
        <v>2004</v>
      </c>
      <c r="F23354" s="3" t="s">
        <v>3755</v>
      </c>
      <c r="G23354" s="6">
        <v>555.75</v>
      </c>
      <c r="H23354" s="5">
        <v>3831</v>
      </c>
    </row>
    <row r="23355" spans="2:8" ht="15" customHeight="1" x14ac:dyDescent="0.4">
      <c r="B23355" s="3" t="s">
        <v>7</v>
      </c>
      <c r="C23355" s="3" t="s">
        <v>3754</v>
      </c>
      <c r="D23355" s="4">
        <f>DATE(2004,12,22)</f>
        <v>38343</v>
      </c>
      <c r="E23355" s="5">
        <f t="shared" si="388"/>
        <v>2004</v>
      </c>
      <c r="F23355" s="3" t="s">
        <v>3755</v>
      </c>
      <c r="G23355" s="6">
        <v>507</v>
      </c>
      <c r="H23355" s="5">
        <v>3837</v>
      </c>
    </row>
    <row r="23356" spans="2:8" ht="15" customHeight="1" x14ac:dyDescent="0.4">
      <c r="B23356" s="3" t="s">
        <v>7</v>
      </c>
      <c r="C23356" s="3" t="s">
        <v>3754</v>
      </c>
      <c r="D23356" s="4">
        <f>DATE(2005,1,24)</f>
        <v>38376</v>
      </c>
      <c r="E23356" s="5">
        <f t="shared" si="388"/>
        <v>2005</v>
      </c>
      <c r="F23356" s="3" t="s">
        <v>3755</v>
      </c>
      <c r="G23356" s="6">
        <v>507</v>
      </c>
      <c r="H23356" s="5">
        <v>4011</v>
      </c>
    </row>
    <row r="23357" spans="2:8" ht="15" customHeight="1" x14ac:dyDescent="0.4">
      <c r="B23357" s="3" t="s">
        <v>7</v>
      </c>
      <c r="C23357" s="3" t="s">
        <v>3754</v>
      </c>
      <c r="D23357" s="4">
        <f>DATE(2007,7,9)</f>
        <v>39272</v>
      </c>
      <c r="E23357" s="5">
        <f t="shared" si="388"/>
        <v>2007</v>
      </c>
      <c r="F23357" s="3" t="s">
        <v>3755</v>
      </c>
      <c r="G23357" s="6">
        <v>1061</v>
      </c>
      <c r="H23357" s="5">
        <v>8868</v>
      </c>
    </row>
    <row r="23358" spans="2:8" ht="15" customHeight="1" x14ac:dyDescent="0.4">
      <c r="B23358" s="3" t="s">
        <v>7</v>
      </c>
      <c r="C23358" s="3" t="s">
        <v>3754</v>
      </c>
      <c r="D23358" s="4">
        <f>DATE(2007,8,9)</f>
        <v>39303</v>
      </c>
      <c r="E23358" s="5">
        <f t="shared" si="388"/>
        <v>2007</v>
      </c>
      <c r="F23358" s="3" t="s">
        <v>3755</v>
      </c>
      <c r="G23358" s="6">
        <v>1155.67</v>
      </c>
      <c r="H23358" s="5">
        <v>9003</v>
      </c>
    </row>
    <row r="23359" spans="2:8" ht="15" customHeight="1" x14ac:dyDescent="0.4">
      <c r="B23359" s="3" t="s">
        <v>7</v>
      </c>
      <c r="C23359" s="3" t="s">
        <v>3754</v>
      </c>
      <c r="D23359" s="4">
        <f>DATE(2008,4,28)</f>
        <v>39566</v>
      </c>
      <c r="E23359" s="5">
        <f t="shared" si="388"/>
        <v>2008</v>
      </c>
      <c r="F23359" s="3" t="s">
        <v>3755</v>
      </c>
      <c r="G23359" s="6">
        <v>1062</v>
      </c>
      <c r="H23359" s="5">
        <v>10539</v>
      </c>
    </row>
    <row r="23360" spans="2:8" ht="15" customHeight="1" x14ac:dyDescent="0.4">
      <c r="B23360" s="3" t="s">
        <v>7</v>
      </c>
      <c r="C23360" s="3" t="s">
        <v>3754</v>
      </c>
      <c r="D23360" s="4">
        <f>DATE(2010,12,9)</f>
        <v>40521</v>
      </c>
      <c r="E23360" s="5">
        <f t="shared" si="388"/>
        <v>2010</v>
      </c>
      <c r="F23360" s="3" t="s">
        <v>3755</v>
      </c>
      <c r="G23360" s="6">
        <v>535</v>
      </c>
      <c r="H23360" s="5">
        <v>14795</v>
      </c>
    </row>
    <row r="23361" spans="2:8" ht="15" customHeight="1" x14ac:dyDescent="0.4">
      <c r="B23361" s="3" t="s">
        <v>7</v>
      </c>
      <c r="C23361" s="3" t="s">
        <v>3754</v>
      </c>
      <c r="D23361" s="4">
        <f>DATE(2012,8,2)</f>
        <v>41123</v>
      </c>
      <c r="E23361" s="5">
        <f t="shared" si="388"/>
        <v>2012</v>
      </c>
      <c r="F23361" s="3" t="s">
        <v>3755</v>
      </c>
      <c r="G23361" s="6">
        <v>274.5</v>
      </c>
      <c r="H23361" s="5">
        <v>17408</v>
      </c>
    </row>
    <row r="23362" spans="2:8" ht="15" customHeight="1" x14ac:dyDescent="0.4">
      <c r="B23362" s="3" t="s">
        <v>7</v>
      </c>
      <c r="C23362" s="3" t="s">
        <v>3754</v>
      </c>
      <c r="D23362" s="4">
        <f>DATE(2013,6,25)</f>
        <v>41450</v>
      </c>
      <c r="E23362" s="5">
        <f t="shared" si="388"/>
        <v>2013</v>
      </c>
      <c r="F23362" s="3" t="s">
        <v>3755</v>
      </c>
      <c r="G23362" s="6">
        <v>275.5</v>
      </c>
      <c r="H23362" s="5">
        <v>18700</v>
      </c>
    </row>
    <row r="23363" spans="2:8" ht="15" customHeight="1" x14ac:dyDescent="0.4">
      <c r="B23363" s="3" t="s">
        <v>7</v>
      </c>
      <c r="C23363" s="3" t="s">
        <v>3754</v>
      </c>
      <c r="D23363" s="4">
        <f>DATE(2013,6,25)</f>
        <v>41450</v>
      </c>
      <c r="E23363" s="5">
        <f t="shared" ref="E23363:E23426" si="389">YEAR(D23363)</f>
        <v>2013</v>
      </c>
      <c r="F23363" s="3" t="s">
        <v>3755</v>
      </c>
      <c r="G23363" s="6">
        <v>275.5</v>
      </c>
      <c r="H23363" s="5">
        <v>18705</v>
      </c>
    </row>
    <row r="23364" spans="2:8" ht="15" customHeight="1" x14ac:dyDescent="0.4">
      <c r="B23364" s="3" t="s">
        <v>7</v>
      </c>
      <c r="C23364" s="3" t="s">
        <v>3754</v>
      </c>
      <c r="D23364" s="4">
        <f>DATE(2003,9,26)</f>
        <v>37890</v>
      </c>
      <c r="E23364" s="5">
        <f t="shared" si="389"/>
        <v>2003</v>
      </c>
      <c r="F23364" s="3" t="s">
        <v>3756</v>
      </c>
      <c r="G23364" s="6">
        <v>1073.5</v>
      </c>
      <c r="H23364" s="5">
        <v>1560</v>
      </c>
    </row>
    <row r="23365" spans="2:8" ht="15" customHeight="1" x14ac:dyDescent="0.4">
      <c r="B23365" s="3" t="s">
        <v>7</v>
      </c>
      <c r="C23365" s="3" t="s">
        <v>3754</v>
      </c>
      <c r="D23365" s="4">
        <f>DATE(2004,9,30)</f>
        <v>38260</v>
      </c>
      <c r="E23365" s="5">
        <f t="shared" si="389"/>
        <v>2004</v>
      </c>
      <c r="F23365" s="3" t="s">
        <v>3756</v>
      </c>
      <c r="G23365" s="6">
        <v>507</v>
      </c>
      <c r="H23365" s="5">
        <v>3492</v>
      </c>
    </row>
    <row r="23366" spans="2:8" ht="15" customHeight="1" x14ac:dyDescent="0.4">
      <c r="B23366" s="3" t="s">
        <v>7</v>
      </c>
      <c r="C23366" s="3" t="s">
        <v>3757</v>
      </c>
      <c r="D23366" s="4">
        <f>DATE(2009,10,6)</f>
        <v>40092</v>
      </c>
      <c r="E23366" s="5">
        <f t="shared" si="389"/>
        <v>2009</v>
      </c>
      <c r="F23366" s="3" t="s">
        <v>3758</v>
      </c>
      <c r="G23366" s="6">
        <v>65274.35</v>
      </c>
      <c r="H23366" s="5">
        <v>3437</v>
      </c>
    </row>
    <row r="23367" spans="2:8" ht="15" customHeight="1" x14ac:dyDescent="0.4">
      <c r="B23367" s="3" t="s">
        <v>7</v>
      </c>
      <c r="C23367" s="3" t="s">
        <v>3757</v>
      </c>
      <c r="D23367" s="4">
        <f>DATE(2009,6,26)</f>
        <v>39990</v>
      </c>
      <c r="E23367" s="5">
        <f t="shared" si="389"/>
        <v>2009</v>
      </c>
      <c r="F23367" s="3" t="s">
        <v>3759</v>
      </c>
      <c r="G23367" s="6">
        <v>16670.5</v>
      </c>
      <c r="H23367" s="5">
        <v>3436</v>
      </c>
    </row>
    <row r="23368" spans="2:8" ht="15" customHeight="1" x14ac:dyDescent="0.4">
      <c r="B23368" s="3" t="s">
        <v>7</v>
      </c>
      <c r="C23368" s="3" t="s">
        <v>3757</v>
      </c>
      <c r="D23368" s="4">
        <f>DATE(2010,6,4)</f>
        <v>40333</v>
      </c>
      <c r="E23368" s="5">
        <f t="shared" si="389"/>
        <v>2010</v>
      </c>
      <c r="F23368" s="3" t="s">
        <v>3759</v>
      </c>
      <c r="G23368" s="6">
        <v>53387.39</v>
      </c>
      <c r="H23368" s="5">
        <v>3722</v>
      </c>
    </row>
    <row r="23369" spans="2:8" ht="15" customHeight="1" x14ac:dyDescent="0.4">
      <c r="B23369" s="3" t="s">
        <v>7</v>
      </c>
      <c r="C23369" s="3" t="s">
        <v>3757</v>
      </c>
      <c r="D23369" s="4">
        <f>DATE(2010,6,28)</f>
        <v>40357</v>
      </c>
      <c r="E23369" s="5">
        <f t="shared" si="389"/>
        <v>2010</v>
      </c>
      <c r="F23369" s="3" t="s">
        <v>3759</v>
      </c>
      <c r="G23369" s="6">
        <v>85894.44</v>
      </c>
      <c r="H23369" s="5">
        <v>3728</v>
      </c>
    </row>
    <row r="23370" spans="2:8" ht="15" customHeight="1" x14ac:dyDescent="0.4">
      <c r="B23370" s="3" t="s">
        <v>7</v>
      </c>
      <c r="C23370" s="3" t="s">
        <v>3757</v>
      </c>
      <c r="D23370" s="4">
        <f>DATE(2011,3,31)</f>
        <v>40633</v>
      </c>
      <c r="E23370" s="5">
        <f t="shared" si="389"/>
        <v>2011</v>
      </c>
      <c r="F23370" s="3" t="s">
        <v>3759</v>
      </c>
      <c r="G23370" s="6">
        <v>31953.21</v>
      </c>
      <c r="H23370" s="5">
        <v>4314</v>
      </c>
    </row>
    <row r="23371" spans="2:8" ht="15" customHeight="1" x14ac:dyDescent="0.4">
      <c r="B23371" s="3" t="s">
        <v>7</v>
      </c>
      <c r="C23371" s="3" t="s">
        <v>3757</v>
      </c>
      <c r="D23371" s="4">
        <f>DATE(2011,8,16)</f>
        <v>40771</v>
      </c>
      <c r="E23371" s="5">
        <f t="shared" si="389"/>
        <v>2011</v>
      </c>
      <c r="F23371" s="3" t="s">
        <v>3759</v>
      </c>
      <c r="G23371" s="6">
        <v>21000</v>
      </c>
      <c r="H23371" s="5">
        <v>4544</v>
      </c>
    </row>
    <row r="23372" spans="2:8" ht="15" customHeight="1" x14ac:dyDescent="0.4">
      <c r="B23372" s="3" t="s">
        <v>7</v>
      </c>
      <c r="C23372" s="3" t="s">
        <v>3757</v>
      </c>
      <c r="D23372" s="4">
        <f>DATE(2011,8,23)</f>
        <v>40778</v>
      </c>
      <c r="E23372" s="5">
        <f t="shared" si="389"/>
        <v>2011</v>
      </c>
      <c r="F23372" s="3" t="s">
        <v>3759</v>
      </c>
      <c r="G23372" s="6">
        <v>1917.4</v>
      </c>
      <c r="H23372" s="5">
        <v>4574</v>
      </c>
    </row>
    <row r="23373" spans="2:8" ht="15" customHeight="1" x14ac:dyDescent="0.4">
      <c r="B23373" s="3" t="s">
        <v>16</v>
      </c>
      <c r="C23373" s="3" t="s">
        <v>3757</v>
      </c>
      <c r="D23373" s="4">
        <f>DATE(2009,9,1)</f>
        <v>40057</v>
      </c>
      <c r="E23373" s="5">
        <f t="shared" si="389"/>
        <v>2009</v>
      </c>
      <c r="F23373" s="3" t="s">
        <v>3759</v>
      </c>
      <c r="G23373" s="6">
        <v>1270.5</v>
      </c>
      <c r="H23373" s="5">
        <v>3628</v>
      </c>
    </row>
    <row r="23374" spans="2:8" ht="15" customHeight="1" x14ac:dyDescent="0.4">
      <c r="B23374" s="3" t="s">
        <v>7</v>
      </c>
      <c r="C23374" s="3" t="s">
        <v>3760</v>
      </c>
      <c r="D23374" s="4">
        <f>DATE(2005,6,9)</f>
        <v>38512</v>
      </c>
      <c r="E23374" s="5">
        <f t="shared" si="389"/>
        <v>2005</v>
      </c>
      <c r="F23374" s="3" t="s">
        <v>3761</v>
      </c>
      <c r="G23374" s="6">
        <v>1190.76</v>
      </c>
      <c r="H23374" s="5">
        <v>1114</v>
      </c>
    </row>
    <row r="23375" spans="2:8" ht="15" customHeight="1" x14ac:dyDescent="0.4">
      <c r="B23375" t="s">
        <v>7</v>
      </c>
      <c r="C23375" t="s">
        <v>3762</v>
      </c>
      <c r="D23375" s="7">
        <f>DATE(2016,6,17)</f>
        <v>42538</v>
      </c>
      <c r="E23375" s="8">
        <f t="shared" si="389"/>
        <v>2016</v>
      </c>
      <c r="F23375" t="s">
        <v>3763</v>
      </c>
      <c r="G23375" s="9">
        <v>1208.8</v>
      </c>
      <c r="H23375" s="8">
        <v>22970</v>
      </c>
    </row>
    <row r="23376" spans="2:8" ht="15" customHeight="1" x14ac:dyDescent="0.4">
      <c r="B23376" t="s">
        <v>7</v>
      </c>
      <c r="C23376" t="s">
        <v>3762</v>
      </c>
      <c r="D23376" s="7">
        <f>DATE(2016,7,12)</f>
        <v>42563</v>
      </c>
      <c r="E23376" s="8">
        <f t="shared" si="389"/>
        <v>2016</v>
      </c>
      <c r="F23376" t="s">
        <v>3763</v>
      </c>
      <c r="G23376" s="9">
        <v>5014.51</v>
      </c>
      <c r="H23376" s="8">
        <v>23081</v>
      </c>
    </row>
    <row r="23377" spans="2:8" ht="15" customHeight="1" x14ac:dyDescent="0.4">
      <c r="B23377" t="s">
        <v>7</v>
      </c>
      <c r="C23377" t="s">
        <v>3762</v>
      </c>
      <c r="D23377" s="7">
        <f>DATE(2016,9,20)</f>
        <v>42633</v>
      </c>
      <c r="E23377" s="8">
        <f t="shared" si="389"/>
        <v>2016</v>
      </c>
      <c r="F23377" t="s">
        <v>3763</v>
      </c>
      <c r="G23377" s="9">
        <v>6319.07</v>
      </c>
      <c r="H23377" s="8">
        <v>23454</v>
      </c>
    </row>
    <row r="23378" spans="2:8" ht="15" customHeight="1" x14ac:dyDescent="0.4">
      <c r="B23378" t="s">
        <v>7</v>
      </c>
      <c r="C23378" t="s">
        <v>3764</v>
      </c>
      <c r="D23378" s="7">
        <f>DATE(2008,5,31)</f>
        <v>39599</v>
      </c>
      <c r="E23378" s="8">
        <f t="shared" si="389"/>
        <v>2008</v>
      </c>
      <c r="F23378" t="s">
        <v>3765</v>
      </c>
      <c r="G23378" s="9">
        <v>31500</v>
      </c>
      <c r="H23378" s="8">
        <v>7448</v>
      </c>
    </row>
    <row r="23379" spans="2:8" ht="15" customHeight="1" x14ac:dyDescent="0.4">
      <c r="B23379" t="s">
        <v>7</v>
      </c>
      <c r="C23379" t="s">
        <v>3764</v>
      </c>
      <c r="D23379" s="7">
        <f>DATE(2009,5,19)</f>
        <v>39952</v>
      </c>
      <c r="E23379" s="8">
        <f t="shared" si="389"/>
        <v>2009</v>
      </c>
      <c r="F23379" t="s">
        <v>3765</v>
      </c>
      <c r="G23379" s="9">
        <v>31300</v>
      </c>
      <c r="H23379" s="8">
        <v>8603</v>
      </c>
    </row>
    <row r="23380" spans="2:8" ht="15" customHeight="1" x14ac:dyDescent="0.4">
      <c r="B23380" t="s">
        <v>7</v>
      </c>
      <c r="C23380" t="s">
        <v>3764</v>
      </c>
      <c r="D23380" s="7">
        <f>DATE(2010,4,23)</f>
        <v>40291</v>
      </c>
      <c r="E23380" s="8">
        <f t="shared" si="389"/>
        <v>2010</v>
      </c>
      <c r="F23380" t="s">
        <v>3765</v>
      </c>
      <c r="G23380" s="9">
        <v>38220</v>
      </c>
      <c r="H23380" s="8">
        <v>9494</v>
      </c>
    </row>
    <row r="23381" spans="2:8" ht="15" customHeight="1" x14ac:dyDescent="0.4">
      <c r="B23381" t="s">
        <v>7</v>
      </c>
      <c r="C23381" t="s">
        <v>3764</v>
      </c>
      <c r="D23381" s="7">
        <f>DATE(2010,9,1)</f>
        <v>40422</v>
      </c>
      <c r="E23381" s="8">
        <f t="shared" si="389"/>
        <v>2010</v>
      </c>
      <c r="F23381" t="s">
        <v>3765</v>
      </c>
      <c r="G23381" s="9">
        <v>18827.080000000002</v>
      </c>
      <c r="H23381" s="8">
        <v>9343</v>
      </c>
    </row>
    <row r="23382" spans="2:8" ht="15" customHeight="1" x14ac:dyDescent="0.4">
      <c r="B23382" t="s">
        <v>7</v>
      </c>
      <c r="C23382" t="s">
        <v>3764</v>
      </c>
      <c r="D23382" s="7">
        <f>DATE(2010,9,15)</f>
        <v>40436</v>
      </c>
      <c r="E23382" s="8">
        <f t="shared" si="389"/>
        <v>2010</v>
      </c>
      <c r="F23382" t="s">
        <v>3765</v>
      </c>
      <c r="G23382" s="9">
        <v>38220</v>
      </c>
      <c r="H23382" s="8">
        <v>10035</v>
      </c>
    </row>
    <row r="23383" spans="2:8" ht="15" customHeight="1" x14ac:dyDescent="0.4">
      <c r="B23383" t="s">
        <v>7</v>
      </c>
      <c r="C23383" t="s">
        <v>3764</v>
      </c>
      <c r="D23383" s="7">
        <f>DATE(2011,5,19)</f>
        <v>40682</v>
      </c>
      <c r="E23383" s="8">
        <f t="shared" si="389"/>
        <v>2011</v>
      </c>
      <c r="F23383" t="s">
        <v>3765</v>
      </c>
      <c r="G23383" s="9">
        <v>41500</v>
      </c>
      <c r="H23383" s="8">
        <v>10622</v>
      </c>
    </row>
    <row r="23384" spans="2:8" ht="15" customHeight="1" x14ac:dyDescent="0.4">
      <c r="B23384" t="s">
        <v>7</v>
      </c>
      <c r="C23384" t="s">
        <v>3764</v>
      </c>
      <c r="D23384" s="7">
        <f>DATE(2011,10,4)</f>
        <v>40820</v>
      </c>
      <c r="E23384" s="8">
        <f t="shared" si="389"/>
        <v>2011</v>
      </c>
      <c r="F23384" t="s">
        <v>3765</v>
      </c>
      <c r="G23384" s="9">
        <v>41500</v>
      </c>
      <c r="H23384" s="8">
        <v>10928</v>
      </c>
    </row>
    <row r="23385" spans="2:8" ht="15" customHeight="1" x14ac:dyDescent="0.4">
      <c r="B23385" t="s">
        <v>7</v>
      </c>
      <c r="C23385" t="s">
        <v>3764</v>
      </c>
      <c r="D23385" s="7">
        <f>DATE(2012,4,24)</f>
        <v>41023</v>
      </c>
      <c r="E23385" s="8">
        <f t="shared" si="389"/>
        <v>2012</v>
      </c>
      <c r="F23385" t="s">
        <v>3765</v>
      </c>
      <c r="G23385" s="9">
        <v>41500</v>
      </c>
      <c r="H23385" s="8">
        <v>11300</v>
      </c>
    </row>
    <row r="23386" spans="2:8" ht="15" customHeight="1" x14ac:dyDescent="0.4">
      <c r="B23386" t="s">
        <v>7</v>
      </c>
      <c r="C23386" t="s">
        <v>3764</v>
      </c>
      <c r="D23386" s="7">
        <f>DATE(2012,10,3)</f>
        <v>41185</v>
      </c>
      <c r="E23386" s="8">
        <f t="shared" si="389"/>
        <v>2012</v>
      </c>
      <c r="F23386" t="s">
        <v>3765</v>
      </c>
      <c r="G23386" s="9">
        <v>44350</v>
      </c>
      <c r="H23386" s="8">
        <v>11830</v>
      </c>
    </row>
    <row r="23387" spans="2:8" ht="15" customHeight="1" x14ac:dyDescent="0.4">
      <c r="B23387" t="s">
        <v>7</v>
      </c>
      <c r="C23387" t="s">
        <v>3764</v>
      </c>
      <c r="D23387" s="7">
        <f>DATE(2013,4,18)</f>
        <v>41382</v>
      </c>
      <c r="E23387" s="8">
        <f t="shared" si="389"/>
        <v>2013</v>
      </c>
      <c r="F23387" t="s">
        <v>3765</v>
      </c>
      <c r="G23387" s="9">
        <v>44950</v>
      </c>
      <c r="H23387" s="8">
        <v>12258</v>
      </c>
    </row>
    <row r="23388" spans="2:8" ht="15" customHeight="1" x14ac:dyDescent="0.4">
      <c r="B23388" t="s">
        <v>7</v>
      </c>
      <c r="C23388" t="s">
        <v>3764</v>
      </c>
      <c r="D23388" s="7">
        <f>DATE(2010,6,8)</f>
        <v>40337</v>
      </c>
      <c r="E23388" s="8">
        <f t="shared" si="389"/>
        <v>2010</v>
      </c>
      <c r="F23388" t="s">
        <v>3765</v>
      </c>
      <c r="G23388" s="9">
        <v>8210.93</v>
      </c>
      <c r="H23388" s="8">
        <v>9884</v>
      </c>
    </row>
    <row r="23389" spans="2:8" ht="15" customHeight="1" x14ac:dyDescent="0.4">
      <c r="B23389" s="3" t="s">
        <v>7</v>
      </c>
      <c r="C23389" s="3" t="s">
        <v>3764</v>
      </c>
      <c r="D23389" s="4">
        <f>DATE(2010,8,9)</f>
        <v>40399</v>
      </c>
      <c r="E23389" s="5">
        <f t="shared" si="389"/>
        <v>2010</v>
      </c>
      <c r="F23389" s="3" t="s">
        <v>3765</v>
      </c>
      <c r="G23389" s="6">
        <v>18817.34</v>
      </c>
      <c r="H23389" s="5">
        <v>14033</v>
      </c>
    </row>
    <row r="23390" spans="2:8" ht="15" customHeight="1" x14ac:dyDescent="0.4">
      <c r="B23390" t="s">
        <v>7</v>
      </c>
      <c r="C23390" t="s">
        <v>3764</v>
      </c>
      <c r="D23390" s="7">
        <f>DATE(2007,7,31)</f>
        <v>39294</v>
      </c>
      <c r="E23390" s="8">
        <f t="shared" si="389"/>
        <v>2007</v>
      </c>
      <c r="F23390" t="s">
        <v>3766</v>
      </c>
      <c r="G23390" s="9">
        <v>31100</v>
      </c>
      <c r="H23390" s="8">
        <v>5304</v>
      </c>
    </row>
    <row r="23391" spans="2:8" ht="15" customHeight="1" x14ac:dyDescent="0.4">
      <c r="B23391" t="s">
        <v>7</v>
      </c>
      <c r="C23391" t="s">
        <v>3764</v>
      </c>
      <c r="D23391" s="7">
        <f>DATE(2015,6,2)</f>
        <v>42157</v>
      </c>
      <c r="E23391" s="8">
        <f t="shared" si="389"/>
        <v>2015</v>
      </c>
      <c r="F23391" t="s">
        <v>3767</v>
      </c>
      <c r="G23391" s="9">
        <v>32063</v>
      </c>
      <c r="H23391" s="8">
        <v>20260</v>
      </c>
    </row>
    <row r="23392" spans="2:8" ht="15" customHeight="1" x14ac:dyDescent="0.4">
      <c r="B23392" t="s">
        <v>7</v>
      </c>
      <c r="C23392" t="s">
        <v>3764</v>
      </c>
      <c r="D23392" s="7">
        <f>DATE(2016,6,29)</f>
        <v>42550</v>
      </c>
      <c r="E23392" s="8">
        <f t="shared" si="389"/>
        <v>2016</v>
      </c>
      <c r="F23392" t="s">
        <v>3767</v>
      </c>
      <c r="G23392" s="9">
        <v>37851</v>
      </c>
      <c r="H23392" s="8">
        <v>22716</v>
      </c>
    </row>
    <row r="23393" spans="2:8" ht="15" customHeight="1" x14ac:dyDescent="0.4">
      <c r="B23393" t="s">
        <v>7</v>
      </c>
      <c r="C23393" t="s">
        <v>3764</v>
      </c>
      <c r="D23393" s="7">
        <f>DATE(2017,4,3)</f>
        <v>42828</v>
      </c>
      <c r="E23393" s="8">
        <f t="shared" si="389"/>
        <v>2017</v>
      </c>
      <c r="F23393" t="s">
        <v>3767</v>
      </c>
      <c r="G23393" s="9">
        <v>41336.51</v>
      </c>
      <c r="H23393" s="8">
        <v>24597</v>
      </c>
    </row>
    <row r="23394" spans="2:8" ht="15" customHeight="1" x14ac:dyDescent="0.4">
      <c r="B23394" t="s">
        <v>7</v>
      </c>
      <c r="C23394" t="s">
        <v>3764</v>
      </c>
      <c r="D23394" s="7">
        <f>DATE(2018,6,6)</f>
        <v>43257</v>
      </c>
      <c r="E23394" s="8">
        <f t="shared" si="389"/>
        <v>2018</v>
      </c>
      <c r="F23394" t="s">
        <v>3767</v>
      </c>
      <c r="G23394" s="9">
        <v>38336</v>
      </c>
      <c r="H23394" s="8">
        <v>26704</v>
      </c>
    </row>
    <row r="23395" spans="2:8" ht="15" customHeight="1" x14ac:dyDescent="0.4">
      <c r="B23395" t="s">
        <v>7</v>
      </c>
      <c r="C23395" t="s">
        <v>3764</v>
      </c>
      <c r="D23395" s="7">
        <f>DATE(2015,4,1)</f>
        <v>42095</v>
      </c>
      <c r="E23395" s="8">
        <f t="shared" si="389"/>
        <v>2015</v>
      </c>
      <c r="F23395" t="s">
        <v>3767</v>
      </c>
      <c r="G23395" s="9">
        <v>203</v>
      </c>
      <c r="H23395" s="8">
        <v>20266</v>
      </c>
    </row>
    <row r="23396" spans="2:8" ht="15" customHeight="1" x14ac:dyDescent="0.4">
      <c r="B23396" t="s">
        <v>7</v>
      </c>
      <c r="C23396" t="s">
        <v>3764</v>
      </c>
      <c r="D23396" s="7">
        <f>DATE(2015,7,6)</f>
        <v>42191</v>
      </c>
      <c r="E23396" s="8">
        <f t="shared" si="389"/>
        <v>2015</v>
      </c>
      <c r="F23396" t="s">
        <v>3767</v>
      </c>
      <c r="G23396" s="9">
        <v>941.13</v>
      </c>
      <c r="H23396" s="8">
        <v>20756</v>
      </c>
    </row>
    <row r="23397" spans="2:8" ht="15" customHeight="1" x14ac:dyDescent="0.4">
      <c r="B23397" t="s">
        <v>7</v>
      </c>
      <c r="C23397" t="s">
        <v>3764</v>
      </c>
      <c r="D23397" s="7">
        <f>DATE(2015,8,19)</f>
        <v>42235</v>
      </c>
      <c r="E23397" s="8">
        <f t="shared" si="389"/>
        <v>2015</v>
      </c>
      <c r="F23397" t="s">
        <v>3767</v>
      </c>
      <c r="G23397" s="9">
        <v>203</v>
      </c>
      <c r="H23397" s="8">
        <v>21105</v>
      </c>
    </row>
    <row r="23398" spans="2:8" ht="15" customHeight="1" x14ac:dyDescent="0.4">
      <c r="B23398" t="s">
        <v>7</v>
      </c>
      <c r="C23398" t="s">
        <v>3764</v>
      </c>
      <c r="D23398" s="7">
        <f>DATE(2016,5,3)</f>
        <v>42493</v>
      </c>
      <c r="E23398" s="8">
        <f t="shared" si="389"/>
        <v>2016</v>
      </c>
      <c r="F23398" t="s">
        <v>3767</v>
      </c>
      <c r="G23398" s="9">
        <v>15676.89</v>
      </c>
      <c r="H23398" s="8">
        <v>21125</v>
      </c>
    </row>
    <row r="23399" spans="2:8" ht="15" customHeight="1" x14ac:dyDescent="0.4">
      <c r="B23399" t="s">
        <v>7</v>
      </c>
      <c r="C23399" t="s">
        <v>3764</v>
      </c>
      <c r="D23399" s="7">
        <f>DATE(2018,5,21)</f>
        <v>43241</v>
      </c>
      <c r="E23399" s="8">
        <f t="shared" si="389"/>
        <v>2018</v>
      </c>
      <c r="F23399" t="s">
        <v>3767</v>
      </c>
      <c r="G23399" s="9">
        <v>18186.59</v>
      </c>
      <c r="H23399" s="8">
        <v>26687</v>
      </c>
    </row>
    <row r="23400" spans="2:8" ht="15" customHeight="1" x14ac:dyDescent="0.4">
      <c r="B23400" t="s">
        <v>7</v>
      </c>
      <c r="C23400" t="s">
        <v>3764</v>
      </c>
      <c r="D23400" s="7">
        <f>DATE(2013,7,10)</f>
        <v>41465</v>
      </c>
      <c r="E23400" s="8">
        <f t="shared" si="389"/>
        <v>2013</v>
      </c>
      <c r="F23400" t="s">
        <v>3767</v>
      </c>
      <c r="G23400" s="9">
        <v>35143</v>
      </c>
      <c r="H23400" s="8">
        <v>12509</v>
      </c>
    </row>
    <row r="23401" spans="2:8" ht="15" customHeight="1" x14ac:dyDescent="0.4">
      <c r="B23401" t="s">
        <v>7</v>
      </c>
      <c r="C23401" t="s">
        <v>3764</v>
      </c>
      <c r="D23401" s="7">
        <f>DATE(2014,8,26)</f>
        <v>41877</v>
      </c>
      <c r="E23401" s="8">
        <f t="shared" si="389"/>
        <v>2014</v>
      </c>
      <c r="F23401" t="s">
        <v>3767</v>
      </c>
      <c r="G23401" s="9">
        <v>39263</v>
      </c>
      <c r="H23401" s="8">
        <v>13339</v>
      </c>
    </row>
    <row r="23402" spans="2:8" ht="15" customHeight="1" x14ac:dyDescent="0.4">
      <c r="B23402" t="s">
        <v>7</v>
      </c>
      <c r="C23402" t="s">
        <v>3764</v>
      </c>
      <c r="D23402" s="7">
        <f>DATE(2014,8,26)</f>
        <v>41877</v>
      </c>
      <c r="E23402" s="8">
        <f t="shared" si="389"/>
        <v>2014</v>
      </c>
      <c r="F23402" t="s">
        <v>3767</v>
      </c>
      <c r="G23402" s="9">
        <v>580</v>
      </c>
      <c r="H23402" s="8">
        <v>13449</v>
      </c>
    </row>
    <row r="23403" spans="2:8" ht="15" customHeight="1" x14ac:dyDescent="0.4">
      <c r="B23403" s="3" t="s">
        <v>7</v>
      </c>
      <c r="C23403" s="3" t="s">
        <v>3764</v>
      </c>
      <c r="D23403" s="4">
        <f>DATE(2014,3,24)</f>
        <v>41722</v>
      </c>
      <c r="E23403" s="5">
        <f t="shared" si="389"/>
        <v>2014</v>
      </c>
      <c r="F23403" s="3" t="s">
        <v>3767</v>
      </c>
      <c r="G23403" s="6">
        <v>166.1</v>
      </c>
      <c r="H23403" s="5">
        <v>19749</v>
      </c>
    </row>
    <row r="23404" spans="2:8" ht="15" customHeight="1" x14ac:dyDescent="0.4">
      <c r="B23404" s="3" t="s">
        <v>7</v>
      </c>
      <c r="C23404" s="3" t="s">
        <v>3764</v>
      </c>
      <c r="D23404" s="4">
        <f>DATE(2014,4,1)</f>
        <v>41730</v>
      </c>
      <c r="E23404" s="5">
        <f t="shared" si="389"/>
        <v>2014</v>
      </c>
      <c r="F23404" s="3" t="s">
        <v>3767</v>
      </c>
      <c r="G23404" s="6">
        <v>166.1</v>
      </c>
      <c r="H23404" s="5">
        <v>19794</v>
      </c>
    </row>
    <row r="23405" spans="2:8" ht="15" customHeight="1" x14ac:dyDescent="0.4">
      <c r="B23405" s="3" t="s">
        <v>7</v>
      </c>
      <c r="C23405" s="3" t="s">
        <v>3764</v>
      </c>
      <c r="D23405" s="4">
        <f>DATE(2014,4,1)</f>
        <v>41730</v>
      </c>
      <c r="E23405" s="5">
        <f t="shared" si="389"/>
        <v>2014</v>
      </c>
      <c r="F23405" s="3" t="s">
        <v>3767</v>
      </c>
      <c r="G23405" s="6">
        <v>288.67</v>
      </c>
      <c r="H23405" s="5">
        <v>19780</v>
      </c>
    </row>
    <row r="23406" spans="2:8" ht="15" customHeight="1" x14ac:dyDescent="0.4">
      <c r="B23406" s="3" t="s">
        <v>16</v>
      </c>
      <c r="C23406" s="3" t="s">
        <v>3764</v>
      </c>
      <c r="D23406" s="4">
        <f>DATE(2014,4,1)</f>
        <v>41730</v>
      </c>
      <c r="E23406" s="5">
        <f t="shared" si="389"/>
        <v>2014</v>
      </c>
      <c r="F23406" s="3" t="s">
        <v>3767</v>
      </c>
      <c r="G23406" s="6">
        <v>166.1</v>
      </c>
      <c r="H23406" s="5">
        <v>19793</v>
      </c>
    </row>
    <row r="23407" spans="2:8" ht="15" customHeight="1" x14ac:dyDescent="0.4">
      <c r="B23407" t="s">
        <v>7</v>
      </c>
      <c r="C23407" t="s">
        <v>3768</v>
      </c>
      <c r="D23407" s="7">
        <f>DATE(2009,8,28)</f>
        <v>40053</v>
      </c>
      <c r="E23407" s="8">
        <f t="shared" si="389"/>
        <v>2009</v>
      </c>
      <c r="F23407" t="s">
        <v>3769</v>
      </c>
      <c r="G23407" s="9">
        <v>25500</v>
      </c>
      <c r="H23407" s="8">
        <v>8940</v>
      </c>
    </row>
    <row r="23408" spans="2:8" ht="15" customHeight="1" x14ac:dyDescent="0.4">
      <c r="B23408" t="s">
        <v>7</v>
      </c>
      <c r="C23408" t="s">
        <v>3768</v>
      </c>
      <c r="D23408" s="7">
        <f>DATE(2010,11,2)</f>
        <v>40484</v>
      </c>
      <c r="E23408" s="8">
        <f t="shared" si="389"/>
        <v>2010</v>
      </c>
      <c r="F23408" t="s">
        <v>3770</v>
      </c>
      <c r="G23408" s="9">
        <v>8668.0499999999993</v>
      </c>
      <c r="H23408" s="8">
        <v>10167</v>
      </c>
    </row>
    <row r="23409" spans="2:8" ht="15" customHeight="1" x14ac:dyDescent="0.4">
      <c r="B23409" s="3" t="s">
        <v>7</v>
      </c>
      <c r="C23409" s="3" t="s">
        <v>3768</v>
      </c>
      <c r="D23409" s="4">
        <f>DATE(2009,12,3)</f>
        <v>40150</v>
      </c>
      <c r="E23409" s="5">
        <f t="shared" si="389"/>
        <v>2009</v>
      </c>
      <c r="F23409" s="3" t="s">
        <v>3770</v>
      </c>
      <c r="G23409" s="6">
        <v>286.42</v>
      </c>
      <c r="H23409" s="5">
        <v>13266</v>
      </c>
    </row>
    <row r="23410" spans="2:8" ht="15" customHeight="1" x14ac:dyDescent="0.4">
      <c r="B23410" t="s">
        <v>7</v>
      </c>
      <c r="C23410" t="s">
        <v>3764</v>
      </c>
      <c r="D23410" s="7">
        <f>DATE(2009,9,9)</f>
        <v>40065</v>
      </c>
      <c r="E23410" s="8">
        <f t="shared" si="389"/>
        <v>2009</v>
      </c>
      <c r="F23410" t="s">
        <v>3771</v>
      </c>
      <c r="G23410" s="9">
        <v>32500</v>
      </c>
      <c r="H23410" s="8">
        <v>8955</v>
      </c>
    </row>
    <row r="23411" spans="2:8" ht="15" customHeight="1" x14ac:dyDescent="0.4">
      <c r="B23411" s="3" t="s">
        <v>7</v>
      </c>
      <c r="C23411" s="3" t="s">
        <v>3772</v>
      </c>
      <c r="D23411" s="4">
        <f>DATE(2003,4,16)</f>
        <v>37727</v>
      </c>
      <c r="E23411" s="5">
        <f t="shared" si="389"/>
        <v>2003</v>
      </c>
      <c r="F23411" s="3" t="s">
        <v>3773</v>
      </c>
      <c r="G23411" s="6">
        <v>741</v>
      </c>
      <c r="H23411" s="5">
        <v>763</v>
      </c>
    </row>
    <row r="23412" spans="2:8" ht="15" customHeight="1" x14ac:dyDescent="0.4">
      <c r="B23412" t="s">
        <v>7</v>
      </c>
      <c r="C23412" t="s">
        <v>3774</v>
      </c>
      <c r="D23412" s="7">
        <f>DATE(2017,1,20)</f>
        <v>42755</v>
      </c>
      <c r="E23412" s="8">
        <f t="shared" si="389"/>
        <v>2017</v>
      </c>
      <c r="F23412" t="s">
        <v>3775</v>
      </c>
      <c r="G23412" s="9">
        <v>2200</v>
      </c>
      <c r="H23412" s="8">
        <v>24049</v>
      </c>
    </row>
    <row r="23413" spans="2:8" ht="15" customHeight="1" x14ac:dyDescent="0.4">
      <c r="B23413" t="s">
        <v>7</v>
      </c>
      <c r="C23413" t="s">
        <v>3774</v>
      </c>
      <c r="D23413" s="7">
        <f>DATE(2017,4,11)</f>
        <v>42836</v>
      </c>
      <c r="E23413" s="8">
        <f t="shared" si="389"/>
        <v>2017</v>
      </c>
      <c r="F23413" t="s">
        <v>3775</v>
      </c>
      <c r="G23413" s="9">
        <v>26293.88</v>
      </c>
      <c r="H23413" s="8">
        <v>24179</v>
      </c>
    </row>
    <row r="23414" spans="2:8" ht="15" customHeight="1" x14ac:dyDescent="0.4">
      <c r="B23414" t="s">
        <v>7</v>
      </c>
      <c r="C23414" t="s">
        <v>3774</v>
      </c>
      <c r="D23414" s="7">
        <f>DATE(2015,11,4)</f>
        <v>42312</v>
      </c>
      <c r="E23414" s="8">
        <f t="shared" si="389"/>
        <v>2015</v>
      </c>
      <c r="F23414" t="s">
        <v>3775</v>
      </c>
      <c r="G23414" s="9">
        <v>4817.3500000000004</v>
      </c>
      <c r="H23414" s="8">
        <v>21480</v>
      </c>
    </row>
    <row r="23415" spans="2:8" ht="15" customHeight="1" x14ac:dyDescent="0.4">
      <c r="B23415" t="s">
        <v>7</v>
      </c>
      <c r="C23415" t="s">
        <v>3774</v>
      </c>
      <c r="D23415" s="7">
        <f>DATE(2016,8,23)</f>
        <v>42605</v>
      </c>
      <c r="E23415" s="8">
        <f t="shared" si="389"/>
        <v>2016</v>
      </c>
      <c r="F23415" t="s">
        <v>3775</v>
      </c>
      <c r="G23415" s="9">
        <v>4475.88</v>
      </c>
      <c r="H23415" s="8">
        <v>23289</v>
      </c>
    </row>
    <row r="23416" spans="2:8" ht="15" customHeight="1" x14ac:dyDescent="0.4">
      <c r="B23416" t="s">
        <v>7</v>
      </c>
      <c r="C23416" t="s">
        <v>3776</v>
      </c>
      <c r="D23416" s="7">
        <f>DATE(2016,11,10)</f>
        <v>42684</v>
      </c>
      <c r="E23416" s="8">
        <f t="shared" si="389"/>
        <v>2016</v>
      </c>
      <c r="F23416" t="s">
        <v>3777</v>
      </c>
      <c r="G23416" s="9">
        <v>7452.38</v>
      </c>
      <c r="H23416" s="8">
        <v>23761</v>
      </c>
    </row>
    <row r="23417" spans="2:8" ht="15" customHeight="1" x14ac:dyDescent="0.4">
      <c r="B23417" t="s">
        <v>7</v>
      </c>
      <c r="C23417" t="s">
        <v>3776</v>
      </c>
      <c r="D23417" s="7">
        <f>DATE(2018,6,21)</f>
        <v>43272</v>
      </c>
      <c r="E23417" s="8">
        <f t="shared" si="389"/>
        <v>2018</v>
      </c>
      <c r="F23417" t="s">
        <v>3777</v>
      </c>
      <c r="G23417" s="9">
        <v>10732.63</v>
      </c>
      <c r="H23417" s="8">
        <v>27227</v>
      </c>
    </row>
    <row r="23418" spans="2:8" ht="15" customHeight="1" x14ac:dyDescent="0.4">
      <c r="B23418" t="s">
        <v>7</v>
      </c>
      <c r="C23418" t="s">
        <v>3776</v>
      </c>
      <c r="D23418" s="7">
        <f>DATE(2004,3,11)</f>
        <v>38057</v>
      </c>
      <c r="E23418" s="8">
        <f t="shared" si="389"/>
        <v>2004</v>
      </c>
      <c r="F23418" t="s">
        <v>3777</v>
      </c>
      <c r="G23418" s="9">
        <v>6701.37</v>
      </c>
      <c r="H23418" s="8">
        <v>1438</v>
      </c>
    </row>
    <row r="23419" spans="2:8" ht="15" customHeight="1" x14ac:dyDescent="0.4">
      <c r="B23419" t="s">
        <v>7</v>
      </c>
      <c r="C23419" t="s">
        <v>3776</v>
      </c>
      <c r="D23419" s="7">
        <f>DATE(2005,4,18)</f>
        <v>38460</v>
      </c>
      <c r="E23419" s="8">
        <f t="shared" si="389"/>
        <v>2005</v>
      </c>
      <c r="F23419" t="s">
        <v>3777</v>
      </c>
      <c r="G23419" s="9">
        <v>5335.16</v>
      </c>
      <c r="H23419" s="8">
        <v>3086</v>
      </c>
    </row>
    <row r="23420" spans="2:8" ht="15" customHeight="1" x14ac:dyDescent="0.4">
      <c r="B23420" t="s">
        <v>7</v>
      </c>
      <c r="C23420" t="s">
        <v>3776</v>
      </c>
      <c r="D23420" s="7">
        <f>DATE(2007,2,8)</f>
        <v>39121</v>
      </c>
      <c r="E23420" s="8">
        <f t="shared" si="389"/>
        <v>2007</v>
      </c>
      <c r="F23420" t="s">
        <v>3777</v>
      </c>
      <c r="G23420" s="9">
        <v>7889.69</v>
      </c>
      <c r="H23420" s="8">
        <v>5518</v>
      </c>
    </row>
    <row r="23421" spans="2:8" ht="15" customHeight="1" x14ac:dyDescent="0.4">
      <c r="B23421" t="s">
        <v>7</v>
      </c>
      <c r="C23421" t="s">
        <v>3776</v>
      </c>
      <c r="D23421" s="7">
        <f>DATE(2011,1,27)</f>
        <v>40570</v>
      </c>
      <c r="E23421" s="8">
        <f t="shared" si="389"/>
        <v>2011</v>
      </c>
      <c r="F23421" t="s">
        <v>3777</v>
      </c>
      <c r="G23421" s="9">
        <v>4951.7299999999996</v>
      </c>
      <c r="H23421" s="8">
        <v>10351</v>
      </c>
    </row>
    <row r="23422" spans="2:8" ht="15" customHeight="1" x14ac:dyDescent="0.4">
      <c r="B23422" t="s">
        <v>7</v>
      </c>
      <c r="C23422" t="s">
        <v>3776</v>
      </c>
      <c r="D23422" s="7">
        <f>DATE(2013,8,16)</f>
        <v>41502</v>
      </c>
      <c r="E23422" s="8">
        <f t="shared" si="389"/>
        <v>2013</v>
      </c>
      <c r="F23422" t="s">
        <v>3777</v>
      </c>
      <c r="G23422" s="9">
        <v>6719.98</v>
      </c>
      <c r="H23422" s="8">
        <v>12601</v>
      </c>
    </row>
    <row r="23423" spans="2:8" ht="15" customHeight="1" x14ac:dyDescent="0.4">
      <c r="B23423" s="3" t="s">
        <v>7</v>
      </c>
      <c r="C23423" s="3" t="s">
        <v>3778</v>
      </c>
      <c r="D23423" s="4">
        <f>DATE(2010,12,21)</f>
        <v>40533</v>
      </c>
      <c r="E23423" s="5">
        <f t="shared" si="389"/>
        <v>2010</v>
      </c>
      <c r="F23423" s="3" t="s">
        <v>3779</v>
      </c>
      <c r="G23423" s="6">
        <v>54.52</v>
      </c>
      <c r="H23423" s="5">
        <v>14852</v>
      </c>
    </row>
    <row r="23424" spans="2:8" ht="15" customHeight="1" x14ac:dyDescent="0.4">
      <c r="B23424" s="3" t="s">
        <v>7</v>
      </c>
      <c r="C23424" s="3" t="s">
        <v>3778</v>
      </c>
      <c r="D23424" s="4">
        <f>DATE(2010,12,22)</f>
        <v>40534</v>
      </c>
      <c r="E23424" s="5">
        <f t="shared" si="389"/>
        <v>2010</v>
      </c>
      <c r="F23424" s="3" t="s">
        <v>3779</v>
      </c>
      <c r="G23424" s="6">
        <v>54.52</v>
      </c>
      <c r="H23424" s="5">
        <v>14855</v>
      </c>
    </row>
    <row r="23425" spans="2:8" ht="15" customHeight="1" x14ac:dyDescent="0.4">
      <c r="B23425" t="s">
        <v>7</v>
      </c>
      <c r="C23425" t="s">
        <v>3780</v>
      </c>
      <c r="D23425" s="7">
        <f>DATE(2014,10,16)</f>
        <v>41928</v>
      </c>
      <c r="E23425" s="8">
        <f t="shared" si="389"/>
        <v>2014</v>
      </c>
      <c r="F23425" t="s">
        <v>3781</v>
      </c>
      <c r="G23425" s="9">
        <v>4129</v>
      </c>
      <c r="H23425" s="8">
        <v>13413</v>
      </c>
    </row>
    <row r="23426" spans="2:8" ht="15" customHeight="1" x14ac:dyDescent="0.4">
      <c r="B23426" t="s">
        <v>7</v>
      </c>
      <c r="C23426" t="s">
        <v>3780</v>
      </c>
      <c r="D23426" s="7">
        <f>DATE(2014,10,16)</f>
        <v>41928</v>
      </c>
      <c r="E23426" s="8">
        <f t="shared" si="389"/>
        <v>2014</v>
      </c>
      <c r="F23426" t="s">
        <v>3781</v>
      </c>
      <c r="G23426" s="9">
        <v>10369.65</v>
      </c>
      <c r="H23426" s="8">
        <v>13412</v>
      </c>
    </row>
    <row r="23427" spans="2:8" ht="15" customHeight="1" x14ac:dyDescent="0.4">
      <c r="B23427" t="s">
        <v>7</v>
      </c>
      <c r="C23427" t="s">
        <v>3782</v>
      </c>
      <c r="D23427" s="7">
        <f>DATE(2015,5,18)</f>
        <v>42142</v>
      </c>
      <c r="E23427" s="8">
        <f t="shared" ref="E23427:E23490" si="390">YEAR(D23427)</f>
        <v>2015</v>
      </c>
      <c r="F23427" t="s">
        <v>3783</v>
      </c>
      <c r="G23427" s="9">
        <v>10872</v>
      </c>
      <c r="H23427" s="8">
        <v>326</v>
      </c>
    </row>
    <row r="23428" spans="2:8" ht="15" customHeight="1" x14ac:dyDescent="0.4">
      <c r="B23428" t="s">
        <v>7</v>
      </c>
      <c r="C23428" t="s">
        <v>3782</v>
      </c>
      <c r="D23428" s="7">
        <f>DATE(2016,3,11)</f>
        <v>42440</v>
      </c>
      <c r="E23428" s="8">
        <f t="shared" si="390"/>
        <v>2016</v>
      </c>
      <c r="F23428" t="s">
        <v>3783</v>
      </c>
      <c r="G23428" s="9">
        <v>11131.08</v>
      </c>
      <c r="H23428" s="8">
        <v>22237</v>
      </c>
    </row>
    <row r="23429" spans="2:8" ht="15" customHeight="1" x14ac:dyDescent="0.4">
      <c r="B23429" t="s">
        <v>7</v>
      </c>
      <c r="C23429" t="s">
        <v>3782</v>
      </c>
      <c r="D23429" s="7">
        <f>DATE(2017,3,8)</f>
        <v>42802</v>
      </c>
      <c r="E23429" s="8">
        <f t="shared" si="390"/>
        <v>2017</v>
      </c>
      <c r="F23429" t="s">
        <v>3783</v>
      </c>
      <c r="G23429" s="9">
        <v>11281.08</v>
      </c>
      <c r="H23429" s="8">
        <v>24100</v>
      </c>
    </row>
    <row r="23430" spans="2:8" ht="15" customHeight="1" x14ac:dyDescent="0.4">
      <c r="B23430" t="s">
        <v>7</v>
      </c>
      <c r="C23430" t="s">
        <v>3782</v>
      </c>
      <c r="D23430" s="7">
        <f>DATE(2018,3,12)</f>
        <v>43171</v>
      </c>
      <c r="E23430" s="8">
        <f t="shared" si="390"/>
        <v>2018</v>
      </c>
      <c r="F23430" t="s">
        <v>3783</v>
      </c>
      <c r="G23430" s="9">
        <v>14209.7</v>
      </c>
      <c r="H23430" s="8">
        <v>26307</v>
      </c>
    </row>
    <row r="23431" spans="2:8" ht="15" customHeight="1" x14ac:dyDescent="0.4">
      <c r="B23431" t="s">
        <v>7</v>
      </c>
      <c r="C23431" t="s">
        <v>3782</v>
      </c>
      <c r="D23431" s="7">
        <f>DATE(2019,3,6)</f>
        <v>43530</v>
      </c>
      <c r="E23431" s="8">
        <f t="shared" si="390"/>
        <v>2019</v>
      </c>
      <c r="F23431" t="s">
        <v>3783</v>
      </c>
      <c r="G23431" s="9">
        <v>13950</v>
      </c>
      <c r="H23431" s="8">
        <v>28244</v>
      </c>
    </row>
    <row r="23432" spans="2:8" ht="15" customHeight="1" x14ac:dyDescent="0.4">
      <c r="B23432" t="s">
        <v>7</v>
      </c>
      <c r="C23432" t="s">
        <v>3782</v>
      </c>
      <c r="D23432" s="7">
        <f>DATE(2015,5,18)</f>
        <v>42142</v>
      </c>
      <c r="E23432" s="8">
        <f t="shared" si="390"/>
        <v>2015</v>
      </c>
      <c r="F23432" t="s">
        <v>3783</v>
      </c>
      <c r="G23432" s="9">
        <v>10599</v>
      </c>
      <c r="H23432" s="8">
        <v>327</v>
      </c>
    </row>
    <row r="23433" spans="2:8" ht="15" customHeight="1" x14ac:dyDescent="0.4">
      <c r="B23433" t="s">
        <v>7</v>
      </c>
      <c r="C23433" t="s">
        <v>3782</v>
      </c>
      <c r="D23433" s="7">
        <f>DATE(2016,3,11)</f>
        <v>42440</v>
      </c>
      <c r="E23433" s="8">
        <f t="shared" si="390"/>
        <v>2016</v>
      </c>
      <c r="F23433" t="s">
        <v>3783</v>
      </c>
      <c r="G23433" s="9">
        <v>10599</v>
      </c>
      <c r="H23433" s="8">
        <v>22238</v>
      </c>
    </row>
    <row r="23434" spans="2:8" ht="15" customHeight="1" x14ac:dyDescent="0.4">
      <c r="B23434" t="s">
        <v>7</v>
      </c>
      <c r="C23434" t="s">
        <v>3782</v>
      </c>
      <c r="D23434" s="7">
        <f>DATE(2017,3,10)</f>
        <v>42804</v>
      </c>
      <c r="E23434" s="8">
        <f t="shared" si="390"/>
        <v>2017</v>
      </c>
      <c r="F23434" t="s">
        <v>3783</v>
      </c>
      <c r="G23434" s="9">
        <v>10600</v>
      </c>
      <c r="H23434" s="8">
        <v>24101</v>
      </c>
    </row>
    <row r="23435" spans="2:8" ht="15" customHeight="1" x14ac:dyDescent="0.4">
      <c r="B23435" t="s">
        <v>7</v>
      </c>
      <c r="C23435" t="s">
        <v>3782</v>
      </c>
      <c r="D23435" s="7">
        <f>DATE(2018,3,12)</f>
        <v>43171</v>
      </c>
      <c r="E23435" s="8">
        <f t="shared" si="390"/>
        <v>2018</v>
      </c>
      <c r="F23435" t="s">
        <v>3783</v>
      </c>
      <c r="G23435" s="9">
        <v>10400</v>
      </c>
      <c r="H23435" s="8">
        <v>26310</v>
      </c>
    </row>
    <row r="23436" spans="2:8" ht="15" customHeight="1" x14ac:dyDescent="0.4">
      <c r="B23436" t="s">
        <v>7</v>
      </c>
      <c r="C23436" t="s">
        <v>3782</v>
      </c>
      <c r="D23436" s="7">
        <f>DATE(2011,4,8)</f>
        <v>40641</v>
      </c>
      <c r="E23436" s="8">
        <f t="shared" si="390"/>
        <v>2011</v>
      </c>
      <c r="F23436" t="s">
        <v>3783</v>
      </c>
      <c r="G23436" s="9">
        <v>11628</v>
      </c>
      <c r="H23436" s="8">
        <v>10623</v>
      </c>
    </row>
    <row r="23437" spans="2:8" ht="15" customHeight="1" x14ac:dyDescent="0.4">
      <c r="B23437" t="s">
        <v>7</v>
      </c>
      <c r="C23437" t="s">
        <v>3782</v>
      </c>
      <c r="D23437" s="7">
        <f>DATE(2012,10,17)</f>
        <v>41199</v>
      </c>
      <c r="E23437" s="8">
        <f t="shared" si="390"/>
        <v>2012</v>
      </c>
      <c r="F23437" t="s">
        <v>3783</v>
      </c>
      <c r="G23437" s="9">
        <v>7936</v>
      </c>
      <c r="H23437" s="8">
        <v>11850</v>
      </c>
    </row>
    <row r="23438" spans="2:8" ht="15" customHeight="1" x14ac:dyDescent="0.4">
      <c r="B23438" t="s">
        <v>7</v>
      </c>
      <c r="C23438" t="s">
        <v>3782</v>
      </c>
      <c r="D23438" s="7">
        <f>DATE(2013,4,30)</f>
        <v>41394</v>
      </c>
      <c r="E23438" s="8">
        <f t="shared" si="390"/>
        <v>2013</v>
      </c>
      <c r="F23438" t="s">
        <v>3783</v>
      </c>
      <c r="G23438" s="9">
        <v>10485</v>
      </c>
      <c r="H23438" s="8">
        <v>12378</v>
      </c>
    </row>
    <row r="23439" spans="2:8" ht="15" customHeight="1" x14ac:dyDescent="0.4">
      <c r="B23439" t="s">
        <v>7</v>
      </c>
      <c r="C23439" t="s">
        <v>3782</v>
      </c>
      <c r="D23439" s="7">
        <f>DATE(2014,5,1)</f>
        <v>41760</v>
      </c>
      <c r="E23439" s="8">
        <f t="shared" si="390"/>
        <v>2014</v>
      </c>
      <c r="F23439" t="s">
        <v>3783</v>
      </c>
      <c r="G23439" s="9">
        <v>10485</v>
      </c>
      <c r="H23439" s="8">
        <v>13067</v>
      </c>
    </row>
    <row r="23440" spans="2:8" ht="15" customHeight="1" x14ac:dyDescent="0.4">
      <c r="B23440" t="s">
        <v>7</v>
      </c>
      <c r="C23440" t="s">
        <v>3782</v>
      </c>
      <c r="D23440" s="7">
        <f>DATE(2012,10,17)</f>
        <v>41199</v>
      </c>
      <c r="E23440" s="8">
        <f t="shared" si="390"/>
        <v>2012</v>
      </c>
      <c r="F23440" t="s">
        <v>3783</v>
      </c>
      <c r="G23440" s="9">
        <v>13251.79</v>
      </c>
      <c r="H23440" s="8">
        <v>11851</v>
      </c>
    </row>
    <row r="23441" spans="2:8" ht="15" customHeight="1" x14ac:dyDescent="0.4">
      <c r="B23441" t="s">
        <v>7</v>
      </c>
      <c r="C23441" t="s">
        <v>3782</v>
      </c>
      <c r="D23441" s="7">
        <f>DATE(2014,5,1)</f>
        <v>41760</v>
      </c>
      <c r="E23441" s="8">
        <f t="shared" si="390"/>
        <v>2014</v>
      </c>
      <c r="F23441" t="s">
        <v>3783</v>
      </c>
      <c r="G23441" s="9">
        <v>10703</v>
      </c>
      <c r="H23441" s="8">
        <v>13066</v>
      </c>
    </row>
    <row r="23442" spans="2:8" ht="15" customHeight="1" x14ac:dyDescent="0.4">
      <c r="B23442" s="3" t="s">
        <v>7</v>
      </c>
      <c r="C23442" s="3" t="s">
        <v>3782</v>
      </c>
      <c r="D23442" s="4">
        <f>DATE(2012,10,10)</f>
        <v>41192</v>
      </c>
      <c r="E23442" s="5">
        <f t="shared" si="390"/>
        <v>2012</v>
      </c>
      <c r="F23442" s="3" t="s">
        <v>3783</v>
      </c>
      <c r="G23442" s="6">
        <v>164.06</v>
      </c>
      <c r="H23442" s="5">
        <v>17706</v>
      </c>
    </row>
    <row r="23443" spans="2:8" ht="15" customHeight="1" x14ac:dyDescent="0.4">
      <c r="B23443" t="s">
        <v>7</v>
      </c>
      <c r="C23443" t="s">
        <v>3784</v>
      </c>
      <c r="D23443" s="7">
        <f>DATE(2008,5,21)</f>
        <v>39589</v>
      </c>
      <c r="E23443" s="8">
        <f t="shared" si="390"/>
        <v>2008</v>
      </c>
      <c r="F23443" t="s">
        <v>3785</v>
      </c>
      <c r="G23443" s="9">
        <v>262.5</v>
      </c>
      <c r="H23443" s="8">
        <v>7491</v>
      </c>
    </row>
    <row r="23444" spans="2:8" ht="15" customHeight="1" x14ac:dyDescent="0.4">
      <c r="B23444" s="3" t="s">
        <v>7</v>
      </c>
      <c r="C23444" s="3" t="s">
        <v>3784</v>
      </c>
      <c r="D23444" s="4">
        <f>DATE(2007,6,28)</f>
        <v>39261</v>
      </c>
      <c r="E23444" s="5">
        <f t="shared" si="390"/>
        <v>2007</v>
      </c>
      <c r="F23444" s="3" t="s">
        <v>3785</v>
      </c>
      <c r="G23444" s="6">
        <v>5700</v>
      </c>
      <c r="H23444" s="5">
        <v>8820</v>
      </c>
    </row>
    <row r="23445" spans="2:8" ht="15" customHeight="1" x14ac:dyDescent="0.4">
      <c r="B23445" s="3" t="s">
        <v>7</v>
      </c>
      <c r="C23445" s="3" t="s">
        <v>3784</v>
      </c>
      <c r="D23445" s="4">
        <f>DATE(2007,10,5)</f>
        <v>39360</v>
      </c>
      <c r="E23445" s="5">
        <f t="shared" si="390"/>
        <v>2007</v>
      </c>
      <c r="F23445" s="3" t="s">
        <v>3785</v>
      </c>
      <c r="G23445" s="6">
        <v>165.5</v>
      </c>
      <c r="H23445" s="5">
        <v>9271</v>
      </c>
    </row>
    <row r="23446" spans="2:8" ht="15" customHeight="1" x14ac:dyDescent="0.4">
      <c r="B23446" t="s">
        <v>7</v>
      </c>
      <c r="C23446" t="s">
        <v>3784</v>
      </c>
      <c r="D23446" s="7">
        <f>DATE(2015,5,18)</f>
        <v>42142</v>
      </c>
      <c r="E23446" s="8">
        <f t="shared" si="390"/>
        <v>2015</v>
      </c>
      <c r="F23446" t="s">
        <v>3786</v>
      </c>
      <c r="G23446" s="9">
        <v>8600</v>
      </c>
      <c r="H23446" s="8">
        <v>20562</v>
      </c>
    </row>
    <row r="23447" spans="2:8" ht="15" customHeight="1" x14ac:dyDescent="0.4">
      <c r="B23447" t="s">
        <v>7</v>
      </c>
      <c r="C23447" t="s">
        <v>3784</v>
      </c>
      <c r="D23447" s="7">
        <f>DATE(2018,3,21)</f>
        <v>43180</v>
      </c>
      <c r="E23447" s="8">
        <f t="shared" si="390"/>
        <v>2018</v>
      </c>
      <c r="F23447" t="s">
        <v>3786</v>
      </c>
      <c r="G23447" s="9">
        <v>21210</v>
      </c>
      <c r="H23447" s="8">
        <v>26539</v>
      </c>
    </row>
    <row r="23448" spans="2:8" ht="15" customHeight="1" x14ac:dyDescent="0.4">
      <c r="B23448" t="s">
        <v>7</v>
      </c>
      <c r="C23448" t="s">
        <v>3784</v>
      </c>
      <c r="D23448" s="7">
        <f>DATE(2018,6,12)</f>
        <v>43263</v>
      </c>
      <c r="E23448" s="8">
        <f t="shared" si="390"/>
        <v>2018</v>
      </c>
      <c r="F23448" t="s">
        <v>3786</v>
      </c>
      <c r="G23448" s="9">
        <v>35900</v>
      </c>
      <c r="H23448" s="8">
        <v>27187</v>
      </c>
    </row>
    <row r="23449" spans="2:8" ht="15" customHeight="1" x14ac:dyDescent="0.4">
      <c r="B23449" t="s">
        <v>7</v>
      </c>
      <c r="C23449" t="s">
        <v>3784</v>
      </c>
      <c r="D23449" s="7">
        <f>DATE(2015,1,20)</f>
        <v>42024</v>
      </c>
      <c r="E23449" s="8">
        <f t="shared" si="390"/>
        <v>2015</v>
      </c>
      <c r="F23449" t="s">
        <v>3786</v>
      </c>
      <c r="G23449" s="9">
        <v>1557.5</v>
      </c>
      <c r="H23449" s="8">
        <v>7</v>
      </c>
    </row>
    <row r="23450" spans="2:8" ht="15" customHeight="1" x14ac:dyDescent="0.4">
      <c r="B23450" t="s">
        <v>7</v>
      </c>
      <c r="C23450" t="s">
        <v>3784</v>
      </c>
      <c r="D23450" s="7">
        <f>DATE(2015,4,6)</f>
        <v>42100</v>
      </c>
      <c r="E23450" s="8">
        <f t="shared" si="390"/>
        <v>2015</v>
      </c>
      <c r="F23450" t="s">
        <v>3786</v>
      </c>
      <c r="G23450" s="9">
        <v>1068</v>
      </c>
      <c r="H23450" s="8">
        <v>20307</v>
      </c>
    </row>
    <row r="23451" spans="2:8" ht="15" customHeight="1" x14ac:dyDescent="0.4">
      <c r="B23451" t="s">
        <v>7</v>
      </c>
      <c r="C23451" t="s">
        <v>3784</v>
      </c>
      <c r="D23451" s="7">
        <f>DATE(2015,5,1)</f>
        <v>42125</v>
      </c>
      <c r="E23451" s="8">
        <f t="shared" si="390"/>
        <v>2015</v>
      </c>
      <c r="F23451" t="s">
        <v>3786</v>
      </c>
      <c r="G23451" s="9">
        <v>1112.5</v>
      </c>
      <c r="H23451" s="8">
        <v>20439</v>
      </c>
    </row>
    <row r="23452" spans="2:8" ht="15" customHeight="1" x14ac:dyDescent="0.4">
      <c r="B23452" t="s">
        <v>7</v>
      </c>
      <c r="C23452" t="s">
        <v>3784</v>
      </c>
      <c r="D23452" s="7">
        <f>DATE(2015,6,5)</f>
        <v>42160</v>
      </c>
      <c r="E23452" s="8">
        <f t="shared" si="390"/>
        <v>2015</v>
      </c>
      <c r="F23452" t="s">
        <v>3786</v>
      </c>
      <c r="G23452" s="9">
        <v>2670</v>
      </c>
      <c r="H23452" s="8">
        <v>20662</v>
      </c>
    </row>
    <row r="23453" spans="2:8" ht="15" customHeight="1" x14ac:dyDescent="0.4">
      <c r="B23453" t="s">
        <v>7</v>
      </c>
      <c r="C23453" t="s">
        <v>3784</v>
      </c>
      <c r="D23453" s="7">
        <f>DATE(2015,7,8)</f>
        <v>42193</v>
      </c>
      <c r="E23453" s="8">
        <f t="shared" si="390"/>
        <v>2015</v>
      </c>
      <c r="F23453" t="s">
        <v>3786</v>
      </c>
      <c r="G23453" s="9">
        <v>3250</v>
      </c>
      <c r="H23453" s="8">
        <v>20584</v>
      </c>
    </row>
    <row r="23454" spans="2:8" ht="15" customHeight="1" x14ac:dyDescent="0.4">
      <c r="B23454" t="s">
        <v>7</v>
      </c>
      <c r="C23454" t="s">
        <v>3784</v>
      </c>
      <c r="D23454" s="7">
        <f>DATE(2015,9,1)</f>
        <v>42248</v>
      </c>
      <c r="E23454" s="8">
        <f t="shared" si="390"/>
        <v>2015</v>
      </c>
      <c r="F23454" t="s">
        <v>3786</v>
      </c>
      <c r="G23454" s="9">
        <v>1335</v>
      </c>
      <c r="H23454" s="8">
        <v>21127</v>
      </c>
    </row>
    <row r="23455" spans="2:8" ht="15" customHeight="1" x14ac:dyDescent="0.4">
      <c r="B23455" t="s">
        <v>7</v>
      </c>
      <c r="C23455" t="s">
        <v>3784</v>
      </c>
      <c r="D23455" s="7">
        <f>DATE(2015,10,28)</f>
        <v>42305</v>
      </c>
      <c r="E23455" s="8">
        <f t="shared" si="390"/>
        <v>2015</v>
      </c>
      <c r="F23455" t="s">
        <v>3786</v>
      </c>
      <c r="G23455" s="9">
        <v>2500</v>
      </c>
      <c r="H23455" s="8">
        <v>21095</v>
      </c>
    </row>
    <row r="23456" spans="2:8" ht="15" customHeight="1" x14ac:dyDescent="0.4">
      <c r="B23456" t="s">
        <v>7</v>
      </c>
      <c r="C23456" t="s">
        <v>3784</v>
      </c>
      <c r="D23456" s="7">
        <f>DATE(2016,5,6)</f>
        <v>42496</v>
      </c>
      <c r="E23456" s="8">
        <f t="shared" si="390"/>
        <v>2016</v>
      </c>
      <c r="F23456" t="s">
        <v>3786</v>
      </c>
      <c r="G23456" s="9">
        <v>3337.5</v>
      </c>
      <c r="H23456" s="8">
        <v>22739</v>
      </c>
    </row>
    <row r="23457" spans="2:8" ht="15" customHeight="1" x14ac:dyDescent="0.4">
      <c r="B23457" t="s">
        <v>7</v>
      </c>
      <c r="C23457" t="s">
        <v>3784</v>
      </c>
      <c r="D23457" s="7">
        <f>DATE(2016,5,23)</f>
        <v>42513</v>
      </c>
      <c r="E23457" s="8">
        <f t="shared" si="390"/>
        <v>2016</v>
      </c>
      <c r="F23457" t="s">
        <v>3786</v>
      </c>
      <c r="G23457" s="9">
        <v>2233.9</v>
      </c>
      <c r="H23457" s="8">
        <v>22845</v>
      </c>
    </row>
    <row r="23458" spans="2:8" ht="15" customHeight="1" x14ac:dyDescent="0.4">
      <c r="B23458" t="s">
        <v>7</v>
      </c>
      <c r="C23458" t="s">
        <v>3784</v>
      </c>
      <c r="D23458" s="7">
        <f>DATE(2016,7,26)</f>
        <v>42577</v>
      </c>
      <c r="E23458" s="8">
        <f t="shared" si="390"/>
        <v>2016</v>
      </c>
      <c r="F23458" t="s">
        <v>3786</v>
      </c>
      <c r="G23458" s="9">
        <v>3250</v>
      </c>
      <c r="H23458" s="8">
        <v>22947</v>
      </c>
    </row>
    <row r="23459" spans="2:8" ht="15" customHeight="1" x14ac:dyDescent="0.4">
      <c r="B23459" t="s">
        <v>7</v>
      </c>
      <c r="C23459" t="s">
        <v>3784</v>
      </c>
      <c r="D23459" s="7">
        <f>DATE(2016,11,7)</f>
        <v>42681</v>
      </c>
      <c r="E23459" s="8">
        <f t="shared" si="390"/>
        <v>2016</v>
      </c>
      <c r="F23459" t="s">
        <v>3786</v>
      </c>
      <c r="G23459" s="9">
        <v>2229.4499999999998</v>
      </c>
      <c r="H23459" s="8">
        <v>23515</v>
      </c>
    </row>
    <row r="23460" spans="2:8" ht="15" customHeight="1" x14ac:dyDescent="0.4">
      <c r="B23460" t="s">
        <v>7</v>
      </c>
      <c r="C23460" t="s">
        <v>3784</v>
      </c>
      <c r="D23460" s="7">
        <f>DATE(2016,12,23)</f>
        <v>42727</v>
      </c>
      <c r="E23460" s="8">
        <f t="shared" si="390"/>
        <v>2016</v>
      </c>
      <c r="F23460" t="s">
        <v>3786</v>
      </c>
      <c r="G23460" s="9">
        <v>2229.4499999999998</v>
      </c>
      <c r="H23460" s="8">
        <v>24015</v>
      </c>
    </row>
    <row r="23461" spans="2:8" ht="15" customHeight="1" x14ac:dyDescent="0.4">
      <c r="B23461" t="s">
        <v>7</v>
      </c>
      <c r="C23461" t="s">
        <v>3784</v>
      </c>
      <c r="D23461" s="7">
        <f>DATE(2017,7,24)</f>
        <v>42940</v>
      </c>
      <c r="E23461" s="8">
        <f t="shared" si="390"/>
        <v>2017</v>
      </c>
      <c r="F23461" t="s">
        <v>3786</v>
      </c>
      <c r="G23461" s="9">
        <v>7500</v>
      </c>
      <c r="H23461" s="8">
        <v>24455</v>
      </c>
    </row>
    <row r="23462" spans="2:8" ht="15" customHeight="1" x14ac:dyDescent="0.4">
      <c r="B23462" t="s">
        <v>7</v>
      </c>
      <c r="C23462" t="s">
        <v>3784</v>
      </c>
      <c r="D23462" s="7">
        <f>DATE(2017,8,16)</f>
        <v>42963</v>
      </c>
      <c r="E23462" s="8">
        <f t="shared" si="390"/>
        <v>2017</v>
      </c>
      <c r="F23462" t="s">
        <v>3786</v>
      </c>
      <c r="G23462" s="9">
        <v>4000</v>
      </c>
      <c r="H23462" s="8">
        <v>24799</v>
      </c>
    </row>
    <row r="23463" spans="2:8" ht="15" customHeight="1" x14ac:dyDescent="0.4">
      <c r="B23463" t="s">
        <v>7</v>
      </c>
      <c r="C23463" t="s">
        <v>3784</v>
      </c>
      <c r="D23463" s="7">
        <f>DATE(2018,3,28)</f>
        <v>43187</v>
      </c>
      <c r="E23463" s="8">
        <f t="shared" si="390"/>
        <v>2018</v>
      </c>
      <c r="F23463" t="s">
        <v>3786</v>
      </c>
      <c r="G23463" s="9">
        <v>2229.4499999999998</v>
      </c>
      <c r="H23463" s="8">
        <v>26722</v>
      </c>
    </row>
    <row r="23464" spans="2:8" ht="15" customHeight="1" x14ac:dyDescent="0.4">
      <c r="B23464" t="s">
        <v>7</v>
      </c>
      <c r="C23464" t="s">
        <v>3784</v>
      </c>
      <c r="D23464" s="7">
        <f>DATE(2018,5,3)</f>
        <v>43223</v>
      </c>
      <c r="E23464" s="8">
        <f t="shared" si="390"/>
        <v>2018</v>
      </c>
      <c r="F23464" t="s">
        <v>3786</v>
      </c>
      <c r="G23464" s="9">
        <v>2229.4499999999998</v>
      </c>
      <c r="H23464" s="8">
        <v>26979</v>
      </c>
    </row>
    <row r="23465" spans="2:8" ht="15" customHeight="1" x14ac:dyDescent="0.4">
      <c r="B23465" t="s">
        <v>7</v>
      </c>
      <c r="C23465" t="s">
        <v>3784</v>
      </c>
      <c r="D23465" s="7">
        <f>DATE(2018,6,14)</f>
        <v>43265</v>
      </c>
      <c r="E23465" s="8">
        <f t="shared" si="390"/>
        <v>2018</v>
      </c>
      <c r="F23465" t="s">
        <v>3786</v>
      </c>
      <c r="G23465" s="9">
        <v>2500</v>
      </c>
      <c r="H23465" s="8">
        <v>26835</v>
      </c>
    </row>
    <row r="23466" spans="2:8" ht="15" customHeight="1" x14ac:dyDescent="0.4">
      <c r="B23466" t="s">
        <v>7</v>
      </c>
      <c r="C23466" t="s">
        <v>3784</v>
      </c>
      <c r="D23466" s="7">
        <f>DATE(2018,7,12)</f>
        <v>43293</v>
      </c>
      <c r="E23466" s="8">
        <f t="shared" si="390"/>
        <v>2018</v>
      </c>
      <c r="F23466" t="s">
        <v>3786</v>
      </c>
      <c r="G23466" s="9">
        <v>2229.4499999999998</v>
      </c>
      <c r="H23466" s="8">
        <v>27072</v>
      </c>
    </row>
    <row r="23467" spans="2:8" ht="15" customHeight="1" x14ac:dyDescent="0.4">
      <c r="B23467" t="s">
        <v>7</v>
      </c>
      <c r="C23467" t="s">
        <v>3784</v>
      </c>
      <c r="D23467" s="7">
        <f>DATE(2019,5,1)</f>
        <v>43586</v>
      </c>
      <c r="E23467" s="8">
        <f t="shared" si="390"/>
        <v>2019</v>
      </c>
      <c r="F23467" t="s">
        <v>3786</v>
      </c>
      <c r="G23467" s="9">
        <v>2229.4499999999998</v>
      </c>
      <c r="H23467" s="8">
        <v>28939</v>
      </c>
    </row>
    <row r="23468" spans="2:8" ht="15" customHeight="1" x14ac:dyDescent="0.4">
      <c r="B23468" t="s">
        <v>7</v>
      </c>
      <c r="C23468" t="s">
        <v>3784</v>
      </c>
      <c r="D23468" s="7">
        <f>DATE(2019,5,7)</f>
        <v>43592</v>
      </c>
      <c r="E23468" s="8">
        <f t="shared" si="390"/>
        <v>2019</v>
      </c>
      <c r="F23468" t="s">
        <v>3786</v>
      </c>
      <c r="G23468" s="9">
        <v>2670</v>
      </c>
      <c r="H23468" s="8">
        <v>28924</v>
      </c>
    </row>
    <row r="23469" spans="2:8" ht="15" customHeight="1" x14ac:dyDescent="0.4">
      <c r="B23469" t="s">
        <v>7</v>
      </c>
      <c r="C23469" t="s">
        <v>3784</v>
      </c>
      <c r="D23469" s="7">
        <f>DATE(2010,6,4)</f>
        <v>40333</v>
      </c>
      <c r="E23469" s="8">
        <f t="shared" si="390"/>
        <v>2010</v>
      </c>
      <c r="F23469" t="s">
        <v>3786</v>
      </c>
      <c r="G23469" s="9">
        <v>2693.68</v>
      </c>
      <c r="H23469" s="8">
        <v>9842</v>
      </c>
    </row>
    <row r="23470" spans="2:8" ht="15" customHeight="1" x14ac:dyDescent="0.4">
      <c r="B23470" t="s">
        <v>7</v>
      </c>
      <c r="C23470" t="s">
        <v>3784</v>
      </c>
      <c r="D23470" s="7">
        <f>DATE(2011,6,9)</f>
        <v>40703</v>
      </c>
      <c r="E23470" s="8">
        <f t="shared" si="390"/>
        <v>2011</v>
      </c>
      <c r="F23470" t="s">
        <v>3786</v>
      </c>
      <c r="G23470" s="9">
        <v>1500</v>
      </c>
      <c r="H23470" s="8">
        <v>10761</v>
      </c>
    </row>
    <row r="23471" spans="2:8" ht="15" customHeight="1" x14ac:dyDescent="0.4">
      <c r="B23471" t="s">
        <v>7</v>
      </c>
      <c r="C23471" t="s">
        <v>3784</v>
      </c>
      <c r="D23471" s="7">
        <f>DATE(2012,3,13)</f>
        <v>40981</v>
      </c>
      <c r="E23471" s="8">
        <f t="shared" si="390"/>
        <v>2012</v>
      </c>
      <c r="F23471" t="s">
        <v>3786</v>
      </c>
      <c r="G23471" s="9">
        <v>2250</v>
      </c>
      <c r="H23471" s="8">
        <v>11350</v>
      </c>
    </row>
    <row r="23472" spans="2:8" ht="15" customHeight="1" x14ac:dyDescent="0.4">
      <c r="B23472" t="s">
        <v>7</v>
      </c>
      <c r="C23472" t="s">
        <v>3784</v>
      </c>
      <c r="D23472" s="7">
        <f>DATE(2013,5,14)</f>
        <v>41408</v>
      </c>
      <c r="E23472" s="8">
        <f t="shared" si="390"/>
        <v>2013</v>
      </c>
      <c r="F23472" t="s">
        <v>3786</v>
      </c>
      <c r="G23472" s="9">
        <v>2500</v>
      </c>
      <c r="H23472" s="8">
        <v>12279</v>
      </c>
    </row>
    <row r="23473" spans="2:8" ht="15" customHeight="1" x14ac:dyDescent="0.4">
      <c r="B23473" t="s">
        <v>7</v>
      </c>
      <c r="C23473" t="s">
        <v>3784</v>
      </c>
      <c r="D23473" s="7">
        <f>DATE(2014,6,19)</f>
        <v>41809</v>
      </c>
      <c r="E23473" s="8">
        <f t="shared" si="390"/>
        <v>2014</v>
      </c>
      <c r="F23473" t="s">
        <v>3786</v>
      </c>
      <c r="G23473" s="9">
        <v>2781.81</v>
      </c>
      <c r="H23473" s="8">
        <v>12957</v>
      </c>
    </row>
    <row r="23474" spans="2:8" ht="15" customHeight="1" x14ac:dyDescent="0.4">
      <c r="B23474" t="s">
        <v>7</v>
      </c>
      <c r="C23474" t="s">
        <v>3784</v>
      </c>
      <c r="D23474" s="7">
        <f>DATE(2004,3,30)</f>
        <v>38076</v>
      </c>
      <c r="E23474" s="8">
        <f t="shared" si="390"/>
        <v>2004</v>
      </c>
      <c r="F23474" t="s">
        <v>3786</v>
      </c>
      <c r="G23474" s="9">
        <v>2500</v>
      </c>
      <c r="H23474" s="8">
        <v>1606</v>
      </c>
    </row>
    <row r="23475" spans="2:8" ht="15" customHeight="1" x14ac:dyDescent="0.4">
      <c r="B23475" t="s">
        <v>7</v>
      </c>
      <c r="C23475" t="s">
        <v>3784</v>
      </c>
      <c r="D23475" s="7">
        <f>DATE(2005,3,20)</f>
        <v>38431</v>
      </c>
      <c r="E23475" s="8">
        <f t="shared" si="390"/>
        <v>2005</v>
      </c>
      <c r="F23475" t="s">
        <v>3786</v>
      </c>
      <c r="G23475" s="9">
        <v>8890</v>
      </c>
      <c r="H23475" s="8">
        <v>2622</v>
      </c>
    </row>
    <row r="23476" spans="2:8" ht="15" customHeight="1" x14ac:dyDescent="0.4">
      <c r="B23476" t="s">
        <v>7</v>
      </c>
      <c r="C23476" t="s">
        <v>3784</v>
      </c>
      <c r="D23476" s="7">
        <f>DATE(2005,3,19)</f>
        <v>38430</v>
      </c>
      <c r="E23476" s="8">
        <f t="shared" si="390"/>
        <v>2005</v>
      </c>
      <c r="F23476" t="s">
        <v>3786</v>
      </c>
      <c r="G23476" s="9">
        <v>10600</v>
      </c>
      <c r="H23476" s="8">
        <v>2623</v>
      </c>
    </row>
    <row r="23477" spans="2:8" ht="15" customHeight="1" x14ac:dyDescent="0.4">
      <c r="B23477" t="s">
        <v>7</v>
      </c>
      <c r="C23477" t="s">
        <v>3784</v>
      </c>
      <c r="D23477" s="7">
        <f>DATE(2006,10,8)</f>
        <v>38998</v>
      </c>
      <c r="E23477" s="8">
        <f t="shared" si="390"/>
        <v>2006</v>
      </c>
      <c r="F23477" t="s">
        <v>3786</v>
      </c>
      <c r="G23477" s="9">
        <v>28390</v>
      </c>
      <c r="H23477" s="8">
        <v>4861</v>
      </c>
    </row>
    <row r="23478" spans="2:8" ht="15" customHeight="1" x14ac:dyDescent="0.4">
      <c r="B23478" t="s">
        <v>7</v>
      </c>
      <c r="C23478" t="s">
        <v>3784</v>
      </c>
      <c r="D23478" s="7">
        <f>DATE(2007,10,31)</f>
        <v>39386</v>
      </c>
      <c r="E23478" s="8">
        <f t="shared" si="390"/>
        <v>2007</v>
      </c>
      <c r="F23478" t="s">
        <v>3786</v>
      </c>
      <c r="G23478" s="9">
        <v>40547.74</v>
      </c>
      <c r="H23478" s="8">
        <v>6079</v>
      </c>
    </row>
    <row r="23479" spans="2:8" ht="15" customHeight="1" x14ac:dyDescent="0.4">
      <c r="B23479" t="s">
        <v>7</v>
      </c>
      <c r="C23479" t="s">
        <v>3784</v>
      </c>
      <c r="D23479" s="7">
        <f>DATE(2008,5,21)</f>
        <v>39589</v>
      </c>
      <c r="E23479" s="8">
        <f t="shared" si="390"/>
        <v>2008</v>
      </c>
      <c r="F23479" t="s">
        <v>3786</v>
      </c>
      <c r="G23479" s="9">
        <v>1500</v>
      </c>
      <c r="H23479" s="8">
        <v>7455</v>
      </c>
    </row>
    <row r="23480" spans="2:8" ht="15" customHeight="1" x14ac:dyDescent="0.4">
      <c r="B23480" t="s">
        <v>7</v>
      </c>
      <c r="C23480" t="s">
        <v>3784</v>
      </c>
      <c r="D23480" s="7">
        <f>DATE(2008,6,19)</f>
        <v>39618</v>
      </c>
      <c r="E23480" s="8">
        <f t="shared" si="390"/>
        <v>2008</v>
      </c>
      <c r="F23480" t="s">
        <v>3786</v>
      </c>
      <c r="G23480" s="9">
        <v>1500</v>
      </c>
      <c r="H23480" s="8">
        <v>7546</v>
      </c>
    </row>
    <row r="23481" spans="2:8" ht="15" customHeight="1" x14ac:dyDescent="0.4">
      <c r="B23481" t="s">
        <v>7</v>
      </c>
      <c r="C23481" t="s">
        <v>3784</v>
      </c>
      <c r="D23481" s="7">
        <f>DATE(2008,7,1)</f>
        <v>39630</v>
      </c>
      <c r="E23481" s="8">
        <f t="shared" si="390"/>
        <v>2008</v>
      </c>
      <c r="F23481" t="s">
        <v>3786</v>
      </c>
      <c r="G23481" s="9">
        <v>26800</v>
      </c>
      <c r="H23481" s="8">
        <v>7548</v>
      </c>
    </row>
    <row r="23482" spans="2:8" ht="15" customHeight="1" x14ac:dyDescent="0.4">
      <c r="B23482" t="s">
        <v>7</v>
      </c>
      <c r="C23482" t="s">
        <v>3784</v>
      </c>
      <c r="D23482" s="7">
        <f>DATE(2008,9,11)</f>
        <v>39702</v>
      </c>
      <c r="E23482" s="8">
        <f t="shared" si="390"/>
        <v>2008</v>
      </c>
      <c r="F23482" t="s">
        <v>3786</v>
      </c>
      <c r="G23482" s="9">
        <v>750</v>
      </c>
      <c r="H23482" s="8">
        <v>7813</v>
      </c>
    </row>
    <row r="23483" spans="2:8" ht="15" customHeight="1" x14ac:dyDescent="0.4">
      <c r="B23483" t="s">
        <v>7</v>
      </c>
      <c r="C23483" t="s">
        <v>3784</v>
      </c>
      <c r="D23483" s="7">
        <f>DATE(2008,10,8)</f>
        <v>39729</v>
      </c>
      <c r="E23483" s="8">
        <f t="shared" si="390"/>
        <v>2008</v>
      </c>
      <c r="F23483" t="s">
        <v>3786</v>
      </c>
      <c r="G23483" s="9">
        <v>6428</v>
      </c>
      <c r="H23483" s="8">
        <v>7616</v>
      </c>
    </row>
    <row r="23484" spans="2:8" ht="15" customHeight="1" x14ac:dyDescent="0.4">
      <c r="B23484" t="s">
        <v>7</v>
      </c>
      <c r="C23484" t="s">
        <v>3784</v>
      </c>
      <c r="D23484" s="7">
        <f>DATE(2008,11,8)</f>
        <v>39760</v>
      </c>
      <c r="E23484" s="8">
        <f t="shared" si="390"/>
        <v>2008</v>
      </c>
      <c r="F23484" t="s">
        <v>3786</v>
      </c>
      <c r="G23484" s="9">
        <v>5720</v>
      </c>
      <c r="H23484" s="8">
        <v>7600</v>
      </c>
    </row>
    <row r="23485" spans="2:8" ht="15" customHeight="1" x14ac:dyDescent="0.4">
      <c r="B23485" t="s">
        <v>7</v>
      </c>
      <c r="C23485" t="s">
        <v>3784</v>
      </c>
      <c r="D23485" s="7">
        <f>DATE(2009,5,13)</f>
        <v>39946</v>
      </c>
      <c r="E23485" s="8">
        <f t="shared" si="390"/>
        <v>2009</v>
      </c>
      <c r="F23485" t="s">
        <v>3786</v>
      </c>
      <c r="G23485" s="9">
        <v>17825.900000000001</v>
      </c>
      <c r="H23485" s="8">
        <v>8232</v>
      </c>
    </row>
    <row r="23486" spans="2:8" ht="15" customHeight="1" x14ac:dyDescent="0.4">
      <c r="B23486" t="s">
        <v>7</v>
      </c>
      <c r="C23486" t="s">
        <v>3784</v>
      </c>
      <c r="D23486" s="7">
        <f>DATE(2009,5,14)</f>
        <v>39947</v>
      </c>
      <c r="E23486" s="8">
        <f t="shared" si="390"/>
        <v>2009</v>
      </c>
      <c r="F23486" t="s">
        <v>3786</v>
      </c>
      <c r="G23486" s="9">
        <v>5335</v>
      </c>
      <c r="H23486" s="8">
        <v>8675</v>
      </c>
    </row>
    <row r="23487" spans="2:8" ht="15" customHeight="1" x14ac:dyDescent="0.4">
      <c r="B23487" t="s">
        <v>7</v>
      </c>
      <c r="C23487" t="s">
        <v>3784</v>
      </c>
      <c r="D23487" s="7">
        <f>DATE(2009,5,28)</f>
        <v>39961</v>
      </c>
      <c r="E23487" s="8">
        <f t="shared" si="390"/>
        <v>2009</v>
      </c>
      <c r="F23487" t="s">
        <v>3786</v>
      </c>
      <c r="G23487" s="9">
        <v>33320.660000000003</v>
      </c>
      <c r="H23487" s="8">
        <v>8710</v>
      </c>
    </row>
    <row r="23488" spans="2:8" ht="15" customHeight="1" x14ac:dyDescent="0.4">
      <c r="B23488" t="s">
        <v>7</v>
      </c>
      <c r="C23488" t="s">
        <v>3784</v>
      </c>
      <c r="D23488" s="7">
        <f>DATE(2009,10,13)</f>
        <v>40099</v>
      </c>
      <c r="E23488" s="8">
        <f t="shared" si="390"/>
        <v>2009</v>
      </c>
      <c r="F23488" t="s">
        <v>3786</v>
      </c>
      <c r="G23488" s="9">
        <v>11594.1</v>
      </c>
      <c r="H23488" s="8">
        <v>8929</v>
      </c>
    </row>
    <row r="23489" spans="2:8" ht="15" customHeight="1" x14ac:dyDescent="0.4">
      <c r="B23489" t="s">
        <v>7</v>
      </c>
      <c r="C23489" t="s">
        <v>3784</v>
      </c>
      <c r="D23489" s="7">
        <f>DATE(2012,5,10)</f>
        <v>41039</v>
      </c>
      <c r="E23489" s="8">
        <f t="shared" si="390"/>
        <v>2012</v>
      </c>
      <c r="F23489" t="s">
        <v>3786</v>
      </c>
      <c r="G23489" s="9">
        <v>14974</v>
      </c>
      <c r="H23489" s="8">
        <v>11586</v>
      </c>
    </row>
    <row r="23490" spans="2:8" ht="15" customHeight="1" x14ac:dyDescent="0.4">
      <c r="B23490" s="3" t="s">
        <v>7</v>
      </c>
      <c r="C23490" s="3" t="s">
        <v>3784</v>
      </c>
      <c r="D23490" s="4">
        <f>DATE(2003,4,11)</f>
        <v>37722</v>
      </c>
      <c r="E23490" s="5">
        <f t="shared" si="390"/>
        <v>2003</v>
      </c>
      <c r="F23490" s="3" t="s">
        <v>3786</v>
      </c>
      <c r="G23490" s="6">
        <v>374</v>
      </c>
      <c r="H23490" s="5">
        <v>692</v>
      </c>
    </row>
    <row r="23491" spans="2:8" ht="15" customHeight="1" x14ac:dyDescent="0.4">
      <c r="B23491" s="3" t="s">
        <v>7</v>
      </c>
      <c r="C23491" s="3" t="s">
        <v>3784</v>
      </c>
      <c r="D23491" s="4">
        <f>DATE(2003,6,11)</f>
        <v>37783</v>
      </c>
      <c r="E23491" s="5">
        <f t="shared" ref="E23491:E23554" si="391">YEAR(D23491)</f>
        <v>2003</v>
      </c>
      <c r="F23491" s="3" t="s">
        <v>3786</v>
      </c>
      <c r="G23491" s="6">
        <v>1584</v>
      </c>
      <c r="H23491" s="5">
        <v>825</v>
      </c>
    </row>
    <row r="23492" spans="2:8" ht="15" customHeight="1" x14ac:dyDescent="0.4">
      <c r="B23492" s="3" t="s">
        <v>7</v>
      </c>
      <c r="C23492" s="3" t="s">
        <v>3784</v>
      </c>
      <c r="D23492" s="4">
        <f>DATE(2003,12,8)</f>
        <v>37963</v>
      </c>
      <c r="E23492" s="5">
        <f t="shared" si="391"/>
        <v>2003</v>
      </c>
      <c r="F23492" s="3" t="s">
        <v>3786</v>
      </c>
      <c r="G23492" s="6">
        <v>900</v>
      </c>
      <c r="H23492" s="5">
        <v>1881</v>
      </c>
    </row>
    <row r="23493" spans="2:8" ht="15" customHeight="1" x14ac:dyDescent="0.4">
      <c r="B23493" s="3" t="s">
        <v>7</v>
      </c>
      <c r="C23493" s="3" t="s">
        <v>3784</v>
      </c>
      <c r="D23493" s="4">
        <f>DATE(2004,2,9)</f>
        <v>38026</v>
      </c>
      <c r="E23493" s="5">
        <f t="shared" si="391"/>
        <v>2004</v>
      </c>
      <c r="F23493" s="3" t="s">
        <v>3786</v>
      </c>
      <c r="G23493" s="6">
        <v>3060</v>
      </c>
      <c r="H23493" s="5">
        <v>2134</v>
      </c>
    </row>
    <row r="23494" spans="2:8" ht="15" customHeight="1" x14ac:dyDescent="0.4">
      <c r="B23494" s="3" t="s">
        <v>7</v>
      </c>
      <c r="C23494" s="3" t="s">
        <v>3784</v>
      </c>
      <c r="D23494" s="4">
        <f>DATE(2004,3,16)</f>
        <v>38062</v>
      </c>
      <c r="E23494" s="5">
        <f t="shared" si="391"/>
        <v>2004</v>
      </c>
      <c r="F23494" s="3" t="s">
        <v>3786</v>
      </c>
      <c r="G23494" s="6">
        <v>10800</v>
      </c>
      <c r="H23494" s="5">
        <v>2390</v>
      </c>
    </row>
    <row r="23495" spans="2:8" ht="15" customHeight="1" x14ac:dyDescent="0.4">
      <c r="B23495" s="3" t="s">
        <v>7</v>
      </c>
      <c r="C23495" s="3" t="s">
        <v>3784</v>
      </c>
      <c r="D23495" s="4">
        <f>DATE(2004,3,19)</f>
        <v>38065</v>
      </c>
      <c r="E23495" s="5">
        <f t="shared" si="391"/>
        <v>2004</v>
      </c>
      <c r="F23495" s="3" t="s">
        <v>3786</v>
      </c>
      <c r="G23495" s="6">
        <v>7200</v>
      </c>
      <c r="H23495" s="5">
        <v>2405</v>
      </c>
    </row>
    <row r="23496" spans="2:8" ht="15" customHeight="1" x14ac:dyDescent="0.4">
      <c r="B23496" s="3" t="s">
        <v>7</v>
      </c>
      <c r="C23496" s="3" t="s">
        <v>3784</v>
      </c>
      <c r="D23496" s="4">
        <f>DATE(2004,3,22)</f>
        <v>38068</v>
      </c>
      <c r="E23496" s="5">
        <f t="shared" si="391"/>
        <v>2004</v>
      </c>
      <c r="F23496" s="3" t="s">
        <v>3786</v>
      </c>
      <c r="G23496" s="6">
        <v>3600</v>
      </c>
      <c r="H23496" s="5">
        <v>2422</v>
      </c>
    </row>
    <row r="23497" spans="2:8" ht="15" customHeight="1" x14ac:dyDescent="0.4">
      <c r="B23497" s="3" t="s">
        <v>7</v>
      </c>
      <c r="C23497" s="3" t="s">
        <v>3784</v>
      </c>
      <c r="D23497" s="4">
        <f>DATE(2004,4,27)</f>
        <v>38104</v>
      </c>
      <c r="E23497" s="5">
        <f t="shared" si="391"/>
        <v>2004</v>
      </c>
      <c r="F23497" s="3" t="s">
        <v>3786</v>
      </c>
      <c r="G23497" s="6">
        <v>32</v>
      </c>
      <c r="H23497" s="5">
        <v>2509</v>
      </c>
    </row>
    <row r="23498" spans="2:8" ht="15" customHeight="1" x14ac:dyDescent="0.4">
      <c r="B23498" s="3" t="s">
        <v>7</v>
      </c>
      <c r="C23498" s="3" t="s">
        <v>3784</v>
      </c>
      <c r="D23498" s="4">
        <f>DATE(2005,5,24)</f>
        <v>38496</v>
      </c>
      <c r="E23498" s="5">
        <f t="shared" si="391"/>
        <v>2005</v>
      </c>
      <c r="F23498" s="3" t="s">
        <v>3786</v>
      </c>
      <c r="G23498" s="6">
        <v>380</v>
      </c>
      <c r="H23498" s="5">
        <v>4784</v>
      </c>
    </row>
    <row r="23499" spans="2:8" ht="15" customHeight="1" x14ac:dyDescent="0.4">
      <c r="B23499" s="3" t="s">
        <v>7</v>
      </c>
      <c r="C23499" s="3" t="s">
        <v>3784</v>
      </c>
      <c r="D23499" s="4">
        <f>DATE(2006,3,20)</f>
        <v>38796</v>
      </c>
      <c r="E23499" s="5">
        <f t="shared" si="391"/>
        <v>2006</v>
      </c>
      <c r="F23499" s="3" t="s">
        <v>3786</v>
      </c>
      <c r="G23499" s="6">
        <v>7600</v>
      </c>
      <c r="H23499" s="5">
        <v>6337</v>
      </c>
    </row>
    <row r="23500" spans="2:8" ht="15" customHeight="1" x14ac:dyDescent="0.4">
      <c r="B23500" s="3" t="s">
        <v>7</v>
      </c>
      <c r="C23500" s="3" t="s">
        <v>3784</v>
      </c>
      <c r="D23500" s="4">
        <f>DATE(2006,4,6)</f>
        <v>38813</v>
      </c>
      <c r="E23500" s="5">
        <f t="shared" si="391"/>
        <v>2006</v>
      </c>
      <c r="F23500" s="3" t="s">
        <v>3786</v>
      </c>
      <c r="G23500" s="6">
        <v>397.2</v>
      </c>
      <c r="H23500" s="5">
        <v>6455</v>
      </c>
    </row>
    <row r="23501" spans="2:8" ht="15" customHeight="1" x14ac:dyDescent="0.4">
      <c r="B23501" s="3" t="s">
        <v>7</v>
      </c>
      <c r="C23501" s="3" t="s">
        <v>3784</v>
      </c>
      <c r="D23501" s="4">
        <f>DATE(2006,4,25)</f>
        <v>38832</v>
      </c>
      <c r="E23501" s="5">
        <f t="shared" si="391"/>
        <v>2006</v>
      </c>
      <c r="F23501" s="3" t="s">
        <v>3786</v>
      </c>
      <c r="G23501" s="6">
        <v>1140</v>
      </c>
      <c r="H23501" s="5">
        <v>6605</v>
      </c>
    </row>
    <row r="23502" spans="2:8" ht="15" customHeight="1" x14ac:dyDescent="0.4">
      <c r="B23502" s="3" t="s">
        <v>7</v>
      </c>
      <c r="C23502" s="3" t="s">
        <v>3784</v>
      </c>
      <c r="D23502" s="4">
        <f>DATE(2006,5,25)</f>
        <v>38862</v>
      </c>
      <c r="E23502" s="5">
        <f t="shared" si="391"/>
        <v>2006</v>
      </c>
      <c r="F23502" s="3" t="s">
        <v>3786</v>
      </c>
      <c r="G23502" s="6">
        <v>380</v>
      </c>
      <c r="H23502" s="5">
        <v>6762</v>
      </c>
    </row>
    <row r="23503" spans="2:8" ht="15" customHeight="1" x14ac:dyDescent="0.4">
      <c r="B23503" s="3" t="s">
        <v>7</v>
      </c>
      <c r="C23503" s="3" t="s">
        <v>3784</v>
      </c>
      <c r="D23503" s="4">
        <f>DATE(2007,3,12)</f>
        <v>39153</v>
      </c>
      <c r="E23503" s="5">
        <f t="shared" si="391"/>
        <v>2007</v>
      </c>
      <c r="F23503" s="3" t="s">
        <v>3786</v>
      </c>
      <c r="G23503" s="6">
        <v>1900</v>
      </c>
      <c r="H23503" s="5">
        <v>8124</v>
      </c>
    </row>
    <row r="23504" spans="2:8" ht="15" customHeight="1" x14ac:dyDescent="0.4">
      <c r="B23504" s="3" t="s">
        <v>7</v>
      </c>
      <c r="C23504" s="3" t="s">
        <v>3784</v>
      </c>
      <c r="D23504" s="4">
        <f>DATE(2007,4,12)</f>
        <v>39184</v>
      </c>
      <c r="E23504" s="5">
        <f t="shared" si="391"/>
        <v>2007</v>
      </c>
      <c r="F23504" s="3" t="s">
        <v>3786</v>
      </c>
      <c r="G23504" s="6">
        <v>3230</v>
      </c>
      <c r="H23504" s="5">
        <v>8381</v>
      </c>
    </row>
    <row r="23505" spans="2:8" ht="15" customHeight="1" x14ac:dyDescent="0.4">
      <c r="B23505" s="3" t="s">
        <v>7</v>
      </c>
      <c r="C23505" s="3" t="s">
        <v>3784</v>
      </c>
      <c r="D23505" s="4">
        <f>DATE(2007,4,20)</f>
        <v>39192</v>
      </c>
      <c r="E23505" s="5">
        <f t="shared" si="391"/>
        <v>2007</v>
      </c>
      <c r="F23505" s="3" t="s">
        <v>3786</v>
      </c>
      <c r="G23505" s="6">
        <v>2280</v>
      </c>
      <c r="H23505" s="5">
        <v>8432</v>
      </c>
    </row>
    <row r="23506" spans="2:8" ht="15" customHeight="1" x14ac:dyDescent="0.4">
      <c r="B23506" s="3" t="s">
        <v>7</v>
      </c>
      <c r="C23506" s="3" t="s">
        <v>3784</v>
      </c>
      <c r="D23506" s="4">
        <f>DATE(2007,5,15)</f>
        <v>39217</v>
      </c>
      <c r="E23506" s="5">
        <f t="shared" si="391"/>
        <v>2007</v>
      </c>
      <c r="F23506" s="3" t="s">
        <v>3786</v>
      </c>
      <c r="G23506" s="6">
        <v>380</v>
      </c>
      <c r="H23506" s="5">
        <v>8580</v>
      </c>
    </row>
    <row r="23507" spans="2:8" ht="15" customHeight="1" x14ac:dyDescent="0.4">
      <c r="B23507" s="3" t="s">
        <v>7</v>
      </c>
      <c r="C23507" s="3" t="s">
        <v>3784</v>
      </c>
      <c r="D23507" s="4">
        <f>DATE(2008,2,11)</f>
        <v>39489</v>
      </c>
      <c r="E23507" s="5">
        <f t="shared" si="391"/>
        <v>2008</v>
      </c>
      <c r="F23507" s="3" t="s">
        <v>3786</v>
      </c>
      <c r="G23507" s="6">
        <v>1900</v>
      </c>
      <c r="H23507" s="5">
        <v>9917</v>
      </c>
    </row>
    <row r="23508" spans="2:8" ht="15" customHeight="1" x14ac:dyDescent="0.4">
      <c r="B23508" s="3" t="s">
        <v>7</v>
      </c>
      <c r="C23508" s="3" t="s">
        <v>3784</v>
      </c>
      <c r="D23508" s="4">
        <f>DATE(2008,4,18)</f>
        <v>39556</v>
      </c>
      <c r="E23508" s="5">
        <f t="shared" si="391"/>
        <v>2008</v>
      </c>
      <c r="F23508" s="3" t="s">
        <v>3786</v>
      </c>
      <c r="G23508" s="6">
        <v>4370</v>
      </c>
      <c r="H23508" s="5">
        <v>10486</v>
      </c>
    </row>
    <row r="23509" spans="2:8" ht="15" customHeight="1" x14ac:dyDescent="0.4">
      <c r="B23509" s="3" t="s">
        <v>7</v>
      </c>
      <c r="C23509" s="3" t="s">
        <v>3784</v>
      </c>
      <c r="D23509" s="4">
        <f>DATE(2008,6,19)</f>
        <v>39618</v>
      </c>
      <c r="E23509" s="5">
        <f t="shared" si="391"/>
        <v>2008</v>
      </c>
      <c r="F23509" s="3" t="s">
        <v>3786</v>
      </c>
      <c r="G23509" s="6">
        <v>17800</v>
      </c>
      <c r="H23509" s="5">
        <v>10867</v>
      </c>
    </row>
    <row r="23510" spans="2:8" ht="15" customHeight="1" x14ac:dyDescent="0.4">
      <c r="B23510" s="3" t="s">
        <v>7</v>
      </c>
      <c r="C23510" s="3" t="s">
        <v>3784</v>
      </c>
      <c r="D23510" s="4">
        <f>DATE(2008,7,10)</f>
        <v>39639</v>
      </c>
      <c r="E23510" s="5">
        <f t="shared" si="391"/>
        <v>2008</v>
      </c>
      <c r="F23510" s="3" t="s">
        <v>3786</v>
      </c>
      <c r="G23510" s="6">
        <v>1880.37</v>
      </c>
      <c r="H23510" s="5">
        <v>10919</v>
      </c>
    </row>
    <row r="23511" spans="2:8" ht="15" customHeight="1" x14ac:dyDescent="0.4">
      <c r="B23511" s="3" t="s">
        <v>7</v>
      </c>
      <c r="C23511" s="3" t="s">
        <v>3784</v>
      </c>
      <c r="D23511" s="4">
        <f>DATE(2008,9,17)</f>
        <v>39708</v>
      </c>
      <c r="E23511" s="5">
        <f t="shared" si="391"/>
        <v>2008</v>
      </c>
      <c r="F23511" s="3" t="s">
        <v>3786</v>
      </c>
      <c r="G23511" s="6">
        <v>1444</v>
      </c>
      <c r="H23511" s="5">
        <v>11267</v>
      </c>
    </row>
    <row r="23512" spans="2:8" ht="15" customHeight="1" x14ac:dyDescent="0.4">
      <c r="B23512" s="3" t="s">
        <v>7</v>
      </c>
      <c r="C23512" s="3" t="s">
        <v>3784</v>
      </c>
      <c r="D23512" s="4">
        <f>DATE(2008,12,12)</f>
        <v>39794</v>
      </c>
      <c r="E23512" s="5">
        <f t="shared" si="391"/>
        <v>2008</v>
      </c>
      <c r="F23512" s="3" t="s">
        <v>3786</v>
      </c>
      <c r="G23512" s="6">
        <v>529.6</v>
      </c>
      <c r="H23512" s="5">
        <v>11682</v>
      </c>
    </row>
    <row r="23513" spans="2:8" ht="15" customHeight="1" x14ac:dyDescent="0.4">
      <c r="B23513" s="3" t="s">
        <v>7</v>
      </c>
      <c r="C23513" s="3" t="s">
        <v>3784</v>
      </c>
      <c r="D23513" s="4">
        <f>DATE(2008,12,29)</f>
        <v>39811</v>
      </c>
      <c r="E23513" s="5">
        <f t="shared" si="391"/>
        <v>2008</v>
      </c>
      <c r="F23513" s="3" t="s">
        <v>3786</v>
      </c>
      <c r="G23513" s="6">
        <v>760</v>
      </c>
      <c r="H23513" s="5">
        <v>11725</v>
      </c>
    </row>
    <row r="23514" spans="2:8" ht="15" customHeight="1" x14ac:dyDescent="0.4">
      <c r="B23514" s="3" t="s">
        <v>7</v>
      </c>
      <c r="C23514" s="3" t="s">
        <v>3784</v>
      </c>
      <c r="D23514" s="4">
        <f>DATE(2009,2,23)</f>
        <v>39867</v>
      </c>
      <c r="E23514" s="5">
        <f t="shared" si="391"/>
        <v>2009</v>
      </c>
      <c r="F23514" s="3" t="s">
        <v>3786</v>
      </c>
      <c r="G23514" s="6">
        <v>1140</v>
      </c>
      <c r="H23514" s="5">
        <v>11835</v>
      </c>
    </row>
    <row r="23515" spans="2:8" ht="15" customHeight="1" x14ac:dyDescent="0.4">
      <c r="B23515" s="3" t="s">
        <v>7</v>
      </c>
      <c r="C23515" s="3" t="s">
        <v>3784</v>
      </c>
      <c r="D23515" s="4">
        <f>DATE(2009,3,18)</f>
        <v>39890</v>
      </c>
      <c r="E23515" s="5">
        <f t="shared" si="391"/>
        <v>2009</v>
      </c>
      <c r="F23515" s="3" t="s">
        <v>3786</v>
      </c>
      <c r="G23515" s="6">
        <v>1330</v>
      </c>
      <c r="H23515" s="5">
        <v>12173</v>
      </c>
    </row>
    <row r="23516" spans="2:8" ht="15" customHeight="1" x14ac:dyDescent="0.4">
      <c r="B23516" s="3" t="s">
        <v>7</v>
      </c>
      <c r="C23516" s="3" t="s">
        <v>3784</v>
      </c>
      <c r="D23516" s="4">
        <f>DATE(2009,5,1)</f>
        <v>39934</v>
      </c>
      <c r="E23516" s="5">
        <f t="shared" si="391"/>
        <v>2009</v>
      </c>
      <c r="F23516" s="3" t="s">
        <v>3786</v>
      </c>
      <c r="G23516" s="6">
        <v>1520</v>
      </c>
      <c r="H23516" s="5">
        <v>12450</v>
      </c>
    </row>
    <row r="23517" spans="2:8" ht="15" customHeight="1" x14ac:dyDescent="0.4">
      <c r="B23517" s="3" t="s">
        <v>7</v>
      </c>
      <c r="C23517" s="3" t="s">
        <v>3784</v>
      </c>
      <c r="D23517" s="4">
        <f>DATE(2009,6,4)</f>
        <v>39968</v>
      </c>
      <c r="E23517" s="5">
        <f t="shared" si="391"/>
        <v>2009</v>
      </c>
      <c r="F23517" s="3" t="s">
        <v>3786</v>
      </c>
      <c r="G23517" s="6">
        <v>1986</v>
      </c>
      <c r="H23517" s="5">
        <v>12640</v>
      </c>
    </row>
    <row r="23518" spans="2:8" ht="15" customHeight="1" x14ac:dyDescent="0.4">
      <c r="B23518" s="3" t="s">
        <v>7</v>
      </c>
      <c r="C23518" s="3" t="s">
        <v>3784</v>
      </c>
      <c r="D23518" s="4">
        <f>DATE(2009,8,3)</f>
        <v>40028</v>
      </c>
      <c r="E23518" s="5">
        <f t="shared" si="391"/>
        <v>2009</v>
      </c>
      <c r="F23518" s="3" t="s">
        <v>3786</v>
      </c>
      <c r="G23518" s="6">
        <v>529.6</v>
      </c>
      <c r="H23518" s="5">
        <v>12851</v>
      </c>
    </row>
    <row r="23519" spans="2:8" ht="15" customHeight="1" x14ac:dyDescent="0.4">
      <c r="B23519" s="3" t="s">
        <v>7</v>
      </c>
      <c r="C23519" s="3" t="s">
        <v>3784</v>
      </c>
      <c r="D23519" s="4">
        <f>DATE(2009,8,20)</f>
        <v>40045</v>
      </c>
      <c r="E23519" s="5">
        <f t="shared" si="391"/>
        <v>2009</v>
      </c>
      <c r="F23519" s="3" t="s">
        <v>3786</v>
      </c>
      <c r="G23519" s="6">
        <v>1520</v>
      </c>
      <c r="H23519" s="5">
        <v>12925</v>
      </c>
    </row>
    <row r="23520" spans="2:8" ht="15" customHeight="1" x14ac:dyDescent="0.4">
      <c r="B23520" s="3" t="s">
        <v>7</v>
      </c>
      <c r="C23520" s="3" t="s">
        <v>3784</v>
      </c>
      <c r="D23520" s="4">
        <f>DATE(2009,9,11)</f>
        <v>40067</v>
      </c>
      <c r="E23520" s="5">
        <f t="shared" si="391"/>
        <v>2009</v>
      </c>
      <c r="F23520" s="3" t="s">
        <v>3786</v>
      </c>
      <c r="G23520" s="6">
        <v>1520</v>
      </c>
      <c r="H23520" s="5">
        <v>12992</v>
      </c>
    </row>
    <row r="23521" spans="2:8" ht="15" customHeight="1" x14ac:dyDescent="0.4">
      <c r="B23521" s="3" t="s">
        <v>7</v>
      </c>
      <c r="C23521" s="3" t="s">
        <v>3784</v>
      </c>
      <c r="D23521" s="4">
        <f>DATE(2009,9,17)</f>
        <v>40073</v>
      </c>
      <c r="E23521" s="5">
        <f t="shared" si="391"/>
        <v>2009</v>
      </c>
      <c r="F23521" s="3" t="s">
        <v>3786</v>
      </c>
      <c r="G23521" s="6">
        <v>5646.8</v>
      </c>
      <c r="H23521" s="5">
        <v>13008</v>
      </c>
    </row>
    <row r="23522" spans="2:8" ht="15" customHeight="1" x14ac:dyDescent="0.4">
      <c r="B23522" s="3" t="s">
        <v>7</v>
      </c>
      <c r="C23522" s="3" t="s">
        <v>3784</v>
      </c>
      <c r="D23522" s="4">
        <f>DATE(2009,11,13)</f>
        <v>40130</v>
      </c>
      <c r="E23522" s="5">
        <f t="shared" si="391"/>
        <v>2009</v>
      </c>
      <c r="F23522" s="3" t="s">
        <v>3786</v>
      </c>
      <c r="G23522" s="6">
        <v>331</v>
      </c>
      <c r="H23522" s="5">
        <v>13268</v>
      </c>
    </row>
    <row r="23523" spans="2:8" ht="15" customHeight="1" x14ac:dyDescent="0.4">
      <c r="B23523" s="3" t="s">
        <v>7</v>
      </c>
      <c r="C23523" s="3" t="s">
        <v>3784</v>
      </c>
      <c r="D23523" s="4">
        <f>DATE(2010,3,9)</f>
        <v>40246</v>
      </c>
      <c r="E23523" s="5">
        <f t="shared" si="391"/>
        <v>2010</v>
      </c>
      <c r="F23523" s="3" t="s">
        <v>3786</v>
      </c>
      <c r="G23523" s="6">
        <v>1900</v>
      </c>
      <c r="H23523" s="5">
        <v>13684</v>
      </c>
    </row>
    <row r="23524" spans="2:8" ht="15" customHeight="1" x14ac:dyDescent="0.4">
      <c r="B23524" s="3" t="s">
        <v>7</v>
      </c>
      <c r="C23524" s="3" t="s">
        <v>3784</v>
      </c>
      <c r="D23524" s="4">
        <f>DATE(2010,3,18)</f>
        <v>40255</v>
      </c>
      <c r="E23524" s="5">
        <f t="shared" si="391"/>
        <v>2010</v>
      </c>
      <c r="F23524" s="3" t="s">
        <v>3786</v>
      </c>
      <c r="G23524" s="6">
        <v>132.4</v>
      </c>
      <c r="H23524" s="5">
        <v>13758</v>
      </c>
    </row>
    <row r="23525" spans="2:8" ht="15" customHeight="1" x14ac:dyDescent="0.4">
      <c r="B23525" s="3" t="s">
        <v>7</v>
      </c>
      <c r="C23525" s="3" t="s">
        <v>3784</v>
      </c>
      <c r="D23525" s="4">
        <f>DATE(2010,5,12)</f>
        <v>40310</v>
      </c>
      <c r="E23525" s="5">
        <f t="shared" si="391"/>
        <v>2010</v>
      </c>
      <c r="F23525" s="3" t="s">
        <v>3786</v>
      </c>
      <c r="G23525" s="6">
        <v>1039.72</v>
      </c>
      <c r="H23525" s="5">
        <v>13990</v>
      </c>
    </row>
    <row r="23526" spans="2:8" ht="15" customHeight="1" x14ac:dyDescent="0.4">
      <c r="B23526" s="3" t="s">
        <v>7</v>
      </c>
      <c r="C23526" s="3" t="s">
        <v>3784</v>
      </c>
      <c r="D23526" s="4">
        <f>DATE(2010,5,13)</f>
        <v>40311</v>
      </c>
      <c r="E23526" s="5">
        <f t="shared" si="391"/>
        <v>2010</v>
      </c>
      <c r="F23526" s="3" t="s">
        <v>3786</v>
      </c>
      <c r="G23526" s="6">
        <v>2780</v>
      </c>
      <c r="H23526" s="5">
        <v>13990</v>
      </c>
    </row>
    <row r="23527" spans="2:8" ht="15" customHeight="1" x14ac:dyDescent="0.4">
      <c r="B23527" s="3" t="s">
        <v>7</v>
      </c>
      <c r="C23527" s="3" t="s">
        <v>3784</v>
      </c>
      <c r="D23527" s="4">
        <f>DATE(2010,5,13)</f>
        <v>40311</v>
      </c>
      <c r="E23527" s="5">
        <f t="shared" si="391"/>
        <v>2010</v>
      </c>
      <c r="F23527" s="3" t="s">
        <v>3786</v>
      </c>
      <c r="G23527" s="6">
        <v>5076.28</v>
      </c>
      <c r="H23527" s="5">
        <v>13990</v>
      </c>
    </row>
    <row r="23528" spans="2:8" ht="15" customHeight="1" x14ac:dyDescent="0.4">
      <c r="B23528" s="3" t="s">
        <v>7</v>
      </c>
      <c r="C23528" s="3" t="s">
        <v>3784</v>
      </c>
      <c r="D23528" s="4">
        <f>DATE(2010,5,19)</f>
        <v>40317</v>
      </c>
      <c r="E23528" s="5">
        <f t="shared" si="391"/>
        <v>2010</v>
      </c>
      <c r="F23528" s="3" t="s">
        <v>3786</v>
      </c>
      <c r="G23528" s="6">
        <v>375.59</v>
      </c>
      <c r="H23528" s="5">
        <v>14081</v>
      </c>
    </row>
    <row r="23529" spans="2:8" ht="15" customHeight="1" x14ac:dyDescent="0.4">
      <c r="B23529" s="3" t="s">
        <v>7</v>
      </c>
      <c r="C23529" s="3" t="s">
        <v>3784</v>
      </c>
      <c r="D23529" s="4">
        <f>DATE(2010,5,21)</f>
        <v>40319</v>
      </c>
      <c r="E23529" s="5">
        <f t="shared" si="391"/>
        <v>2010</v>
      </c>
      <c r="F23529" s="3" t="s">
        <v>3786</v>
      </c>
      <c r="G23529" s="6">
        <v>14748</v>
      </c>
      <c r="H23529" s="5">
        <v>14084</v>
      </c>
    </row>
    <row r="23530" spans="2:8" ht="15" customHeight="1" x14ac:dyDescent="0.4">
      <c r="B23530" s="3" t="s">
        <v>7</v>
      </c>
      <c r="C23530" s="3" t="s">
        <v>3784</v>
      </c>
      <c r="D23530" s="4">
        <f>DATE(2010,5,28)</f>
        <v>40326</v>
      </c>
      <c r="E23530" s="5">
        <f t="shared" si="391"/>
        <v>2010</v>
      </c>
      <c r="F23530" s="3" t="s">
        <v>3786</v>
      </c>
      <c r="G23530" s="6">
        <v>3972</v>
      </c>
      <c r="H23530" s="5">
        <v>14105</v>
      </c>
    </row>
    <row r="23531" spans="2:8" ht="15" customHeight="1" x14ac:dyDescent="0.4">
      <c r="B23531" s="3" t="s">
        <v>7</v>
      </c>
      <c r="C23531" s="3" t="s">
        <v>3784</v>
      </c>
      <c r="D23531" s="4">
        <f>DATE(2010,5,28)</f>
        <v>40326</v>
      </c>
      <c r="E23531" s="5">
        <f t="shared" si="391"/>
        <v>2010</v>
      </c>
      <c r="F23531" s="3" t="s">
        <v>3786</v>
      </c>
      <c r="G23531" s="6">
        <v>662</v>
      </c>
      <c r="H23531" s="5">
        <v>14128</v>
      </c>
    </row>
    <row r="23532" spans="2:8" ht="15" customHeight="1" x14ac:dyDescent="0.4">
      <c r="B23532" s="3" t="s">
        <v>7</v>
      </c>
      <c r="C23532" s="3" t="s">
        <v>3784</v>
      </c>
      <c r="D23532" s="4">
        <f>DATE(2010,10,4)</f>
        <v>40455</v>
      </c>
      <c r="E23532" s="5">
        <f t="shared" si="391"/>
        <v>2010</v>
      </c>
      <c r="F23532" s="3" t="s">
        <v>3786</v>
      </c>
      <c r="G23532" s="6">
        <v>1324</v>
      </c>
      <c r="H23532" s="5">
        <v>14537</v>
      </c>
    </row>
    <row r="23533" spans="2:8" ht="15" customHeight="1" x14ac:dyDescent="0.4">
      <c r="B23533" s="3" t="s">
        <v>7</v>
      </c>
      <c r="C23533" s="3" t="s">
        <v>3784</v>
      </c>
      <c r="D23533" s="4">
        <f>DATE(2011,2,23)</f>
        <v>40597</v>
      </c>
      <c r="E23533" s="5">
        <f t="shared" si="391"/>
        <v>2011</v>
      </c>
      <c r="F23533" s="3" t="s">
        <v>3786</v>
      </c>
      <c r="G23533" s="6">
        <v>8473.6</v>
      </c>
      <c r="H23533" s="5">
        <v>15125</v>
      </c>
    </row>
    <row r="23534" spans="2:8" ht="15" customHeight="1" x14ac:dyDescent="0.4">
      <c r="B23534" s="3" t="s">
        <v>7</v>
      </c>
      <c r="C23534" s="3" t="s">
        <v>3784</v>
      </c>
      <c r="D23534" s="4">
        <f>DATE(2011,4,1)</f>
        <v>40634</v>
      </c>
      <c r="E23534" s="5">
        <f t="shared" si="391"/>
        <v>2011</v>
      </c>
      <c r="F23534" s="3" t="s">
        <v>3786</v>
      </c>
      <c r="G23534" s="6">
        <v>2670</v>
      </c>
      <c r="H23534" s="5">
        <v>15284</v>
      </c>
    </row>
    <row r="23535" spans="2:8" ht="15" customHeight="1" x14ac:dyDescent="0.4">
      <c r="B23535" s="3" t="s">
        <v>7</v>
      </c>
      <c r="C23535" s="3" t="s">
        <v>3784</v>
      </c>
      <c r="D23535" s="4">
        <f>DATE(2011,5,12)</f>
        <v>40675</v>
      </c>
      <c r="E23535" s="5">
        <f t="shared" si="391"/>
        <v>2011</v>
      </c>
      <c r="F23535" s="3" t="s">
        <v>3786</v>
      </c>
      <c r="G23535" s="6">
        <v>13240</v>
      </c>
      <c r="H23535" s="5">
        <v>15561</v>
      </c>
    </row>
    <row r="23536" spans="2:8" ht="15" customHeight="1" x14ac:dyDescent="0.4">
      <c r="B23536" s="3" t="s">
        <v>7</v>
      </c>
      <c r="C23536" s="3" t="s">
        <v>3784</v>
      </c>
      <c r="D23536" s="4">
        <f>DATE(2011,5,12)</f>
        <v>40675</v>
      </c>
      <c r="E23536" s="5">
        <f t="shared" si="391"/>
        <v>2011</v>
      </c>
      <c r="F23536" s="3" t="s">
        <v>3786</v>
      </c>
      <c r="G23536" s="6">
        <v>1557.5</v>
      </c>
      <c r="H23536" s="5">
        <v>15532</v>
      </c>
    </row>
    <row r="23537" spans="2:8" ht="15" customHeight="1" x14ac:dyDescent="0.4">
      <c r="B23537" s="3" t="s">
        <v>7</v>
      </c>
      <c r="C23537" s="3" t="s">
        <v>3784</v>
      </c>
      <c r="D23537" s="4">
        <f>DATE(2011,5,12)</f>
        <v>40675</v>
      </c>
      <c r="E23537" s="5">
        <f t="shared" si="391"/>
        <v>2011</v>
      </c>
      <c r="F23537" s="3" t="s">
        <v>3786</v>
      </c>
      <c r="G23537" s="6">
        <v>529.6</v>
      </c>
      <c r="H23537" s="5">
        <v>15568</v>
      </c>
    </row>
    <row r="23538" spans="2:8" ht="15" customHeight="1" x14ac:dyDescent="0.4">
      <c r="B23538" s="3" t="s">
        <v>7</v>
      </c>
      <c r="C23538" s="3" t="s">
        <v>3784</v>
      </c>
      <c r="D23538" s="4">
        <f>DATE(2011,5,26)</f>
        <v>40689</v>
      </c>
      <c r="E23538" s="5">
        <f t="shared" si="391"/>
        <v>2011</v>
      </c>
      <c r="F23538" s="3" t="s">
        <v>3786</v>
      </c>
      <c r="G23538" s="6">
        <v>8900</v>
      </c>
      <c r="H23538" s="5">
        <v>15618</v>
      </c>
    </row>
    <row r="23539" spans="2:8" ht="15" customHeight="1" x14ac:dyDescent="0.4">
      <c r="B23539" s="3" t="s">
        <v>7</v>
      </c>
      <c r="C23539" s="3" t="s">
        <v>3784</v>
      </c>
      <c r="D23539" s="4">
        <f>DATE(2011,7,7)</f>
        <v>40731</v>
      </c>
      <c r="E23539" s="5">
        <f t="shared" si="391"/>
        <v>2011</v>
      </c>
      <c r="F23539" s="3" t="s">
        <v>3786</v>
      </c>
      <c r="G23539" s="6">
        <v>1335</v>
      </c>
      <c r="H23539" s="5">
        <v>15754</v>
      </c>
    </row>
    <row r="23540" spans="2:8" ht="15" customHeight="1" x14ac:dyDescent="0.4">
      <c r="B23540" s="3" t="s">
        <v>7</v>
      </c>
      <c r="C23540" s="3" t="s">
        <v>3784</v>
      </c>
      <c r="D23540" s="4">
        <f>DATE(2011,10,21)</f>
        <v>40837</v>
      </c>
      <c r="E23540" s="5">
        <f t="shared" si="391"/>
        <v>2011</v>
      </c>
      <c r="F23540" s="3" t="s">
        <v>3786</v>
      </c>
      <c r="G23540" s="6">
        <v>4845.84</v>
      </c>
      <c r="H23540" s="5">
        <v>16112</v>
      </c>
    </row>
    <row r="23541" spans="2:8" ht="15" customHeight="1" x14ac:dyDescent="0.4">
      <c r="B23541" s="3" t="s">
        <v>7</v>
      </c>
      <c r="C23541" s="3" t="s">
        <v>3784</v>
      </c>
      <c r="D23541" s="4">
        <f>DATE(2011,10,26)</f>
        <v>40842</v>
      </c>
      <c r="E23541" s="5">
        <f t="shared" si="391"/>
        <v>2011</v>
      </c>
      <c r="F23541" s="3" t="s">
        <v>3786</v>
      </c>
      <c r="G23541" s="6">
        <v>8394.16</v>
      </c>
      <c r="H23541" s="5">
        <v>16112</v>
      </c>
    </row>
    <row r="23542" spans="2:8" ht="15" customHeight="1" x14ac:dyDescent="0.4">
      <c r="B23542" s="3" t="s">
        <v>7</v>
      </c>
      <c r="C23542" s="3" t="s">
        <v>3784</v>
      </c>
      <c r="D23542" s="4">
        <f>DATE(2011,10,27)</f>
        <v>40843</v>
      </c>
      <c r="E23542" s="5">
        <f t="shared" si="391"/>
        <v>2011</v>
      </c>
      <c r="F23542" s="3" t="s">
        <v>3786</v>
      </c>
      <c r="G23542" s="6">
        <v>6620</v>
      </c>
      <c r="H23542" s="5">
        <v>16142</v>
      </c>
    </row>
    <row r="23543" spans="2:8" ht="15" customHeight="1" x14ac:dyDescent="0.4">
      <c r="B23543" s="3" t="s">
        <v>7</v>
      </c>
      <c r="C23543" s="3" t="s">
        <v>3784</v>
      </c>
      <c r="D23543" s="4">
        <f>DATE(2011,11,15)</f>
        <v>40862</v>
      </c>
      <c r="E23543" s="5">
        <f t="shared" si="391"/>
        <v>2011</v>
      </c>
      <c r="F23543" s="3" t="s">
        <v>3786</v>
      </c>
      <c r="G23543" s="6">
        <v>794.4</v>
      </c>
      <c r="H23543" s="5">
        <v>16198</v>
      </c>
    </row>
    <row r="23544" spans="2:8" ht="15" customHeight="1" x14ac:dyDescent="0.4">
      <c r="B23544" s="3" t="s">
        <v>7</v>
      </c>
      <c r="C23544" s="3" t="s">
        <v>3784</v>
      </c>
      <c r="D23544" s="4">
        <f>DATE(2011,12,1)</f>
        <v>40878</v>
      </c>
      <c r="E23544" s="5">
        <f t="shared" si="391"/>
        <v>2011</v>
      </c>
      <c r="F23544" s="3" t="s">
        <v>3786</v>
      </c>
      <c r="G23544" s="6">
        <v>529.6</v>
      </c>
      <c r="H23544" s="5">
        <v>16259</v>
      </c>
    </row>
    <row r="23545" spans="2:8" ht="15" customHeight="1" x14ac:dyDescent="0.4">
      <c r="B23545" s="3" t="s">
        <v>7</v>
      </c>
      <c r="C23545" s="3" t="s">
        <v>3784</v>
      </c>
      <c r="D23545" s="4">
        <f>DATE(2013,4,5)</f>
        <v>41369</v>
      </c>
      <c r="E23545" s="5">
        <f t="shared" si="391"/>
        <v>2013</v>
      </c>
      <c r="F23545" s="3" t="s">
        <v>3786</v>
      </c>
      <c r="G23545" s="6">
        <v>2670</v>
      </c>
      <c r="H23545" s="5">
        <v>18404</v>
      </c>
    </row>
    <row r="23546" spans="2:8" ht="15" customHeight="1" x14ac:dyDescent="0.4">
      <c r="B23546" s="3" t="s">
        <v>7</v>
      </c>
      <c r="C23546" s="3" t="s">
        <v>3784</v>
      </c>
      <c r="D23546" s="4">
        <f>DATE(2014,4,18)</f>
        <v>41747</v>
      </c>
      <c r="E23546" s="5">
        <f t="shared" si="391"/>
        <v>2014</v>
      </c>
      <c r="F23546" s="3" t="s">
        <v>3786</v>
      </c>
      <c r="G23546" s="6">
        <v>2242</v>
      </c>
      <c r="H23546" s="5">
        <v>19819</v>
      </c>
    </row>
    <row r="23547" spans="2:8" ht="15" customHeight="1" x14ac:dyDescent="0.4">
      <c r="B23547" s="3" t="s">
        <v>7</v>
      </c>
      <c r="C23547" s="3" t="s">
        <v>3784</v>
      </c>
      <c r="D23547" s="4">
        <f>DATE(2014,4,18)</f>
        <v>41747</v>
      </c>
      <c r="E23547" s="5">
        <f t="shared" si="391"/>
        <v>2014</v>
      </c>
      <c r="F23547" s="3" t="s">
        <v>3786</v>
      </c>
      <c r="G23547" s="6">
        <v>1572.5</v>
      </c>
      <c r="H23547" s="5">
        <v>19817</v>
      </c>
    </row>
    <row r="23548" spans="2:8" ht="15" customHeight="1" x14ac:dyDescent="0.4">
      <c r="B23548" s="3" t="s">
        <v>7</v>
      </c>
      <c r="C23548" s="3" t="s">
        <v>3784</v>
      </c>
      <c r="D23548" s="4">
        <f>DATE(2014,4,22)</f>
        <v>41751</v>
      </c>
      <c r="E23548" s="5">
        <f t="shared" si="391"/>
        <v>2014</v>
      </c>
      <c r="F23548" s="3" t="s">
        <v>3786</v>
      </c>
      <c r="G23548" s="6">
        <v>1127.5</v>
      </c>
      <c r="H23548" s="5">
        <v>19879</v>
      </c>
    </row>
    <row r="23549" spans="2:8" ht="15" customHeight="1" x14ac:dyDescent="0.4">
      <c r="B23549" s="3" t="s">
        <v>7</v>
      </c>
      <c r="C23549" s="3" t="s">
        <v>3787</v>
      </c>
      <c r="D23549" s="4">
        <f>DATE(2014,2,12)</f>
        <v>41682</v>
      </c>
      <c r="E23549" s="5">
        <f t="shared" si="391"/>
        <v>2014</v>
      </c>
      <c r="F23549" s="3" t="s">
        <v>3788</v>
      </c>
      <c r="G23549" s="6">
        <v>4350</v>
      </c>
      <c r="H23549" s="5">
        <v>19503</v>
      </c>
    </row>
    <row r="23550" spans="2:8" ht="15" customHeight="1" x14ac:dyDescent="0.4">
      <c r="B23550" t="s">
        <v>7</v>
      </c>
      <c r="C23550" t="s">
        <v>3789</v>
      </c>
      <c r="D23550" s="7">
        <f>DATE(2018,11,30)</f>
        <v>43434</v>
      </c>
      <c r="E23550" s="8">
        <f t="shared" si="391"/>
        <v>2018</v>
      </c>
      <c r="F23550" t="s">
        <v>3790</v>
      </c>
      <c r="G23550" s="9">
        <v>10276.9</v>
      </c>
      <c r="H23550" s="8">
        <v>27928</v>
      </c>
    </row>
    <row r="23551" spans="2:8" ht="15" customHeight="1" x14ac:dyDescent="0.4">
      <c r="B23551" t="s">
        <v>7</v>
      </c>
      <c r="C23551" t="s">
        <v>3789</v>
      </c>
      <c r="D23551" s="7">
        <f>DATE(2018,12,11)</f>
        <v>43445</v>
      </c>
      <c r="E23551" s="8">
        <f t="shared" si="391"/>
        <v>2018</v>
      </c>
      <c r="F23551" t="s">
        <v>3790</v>
      </c>
      <c r="G23551" s="9">
        <v>17699.330000000002</v>
      </c>
      <c r="H23551" s="8">
        <v>27929</v>
      </c>
    </row>
    <row r="23552" spans="2:8" ht="15" customHeight="1" x14ac:dyDescent="0.4">
      <c r="B23552" t="s">
        <v>7</v>
      </c>
      <c r="C23552" t="s">
        <v>3789</v>
      </c>
      <c r="D23552" s="7">
        <f>DATE(2019,5,7)</f>
        <v>43592</v>
      </c>
      <c r="E23552" s="8">
        <f t="shared" si="391"/>
        <v>2019</v>
      </c>
      <c r="F23552" t="s">
        <v>3790</v>
      </c>
      <c r="G23552" s="9">
        <v>7912.58</v>
      </c>
      <c r="H23552" s="8">
        <v>28903</v>
      </c>
    </row>
    <row r="23553" spans="2:8" ht="15" customHeight="1" x14ac:dyDescent="0.4">
      <c r="B23553" t="s">
        <v>7</v>
      </c>
      <c r="C23553" t="s">
        <v>3789</v>
      </c>
      <c r="D23553" s="7">
        <f>DATE(2017,12,20)</f>
        <v>43089</v>
      </c>
      <c r="E23553" s="8">
        <f t="shared" si="391"/>
        <v>2017</v>
      </c>
      <c r="F23553" t="s">
        <v>3791</v>
      </c>
      <c r="G23553" s="9">
        <v>8592</v>
      </c>
      <c r="H23553" s="8">
        <v>25856</v>
      </c>
    </row>
    <row r="23554" spans="2:8" ht="15" customHeight="1" x14ac:dyDescent="0.4">
      <c r="B23554" t="s">
        <v>7</v>
      </c>
      <c r="C23554" t="s">
        <v>3789</v>
      </c>
      <c r="D23554" s="7">
        <f>DATE(2015,7,2)</f>
        <v>42187</v>
      </c>
      <c r="E23554" s="8">
        <f t="shared" si="391"/>
        <v>2015</v>
      </c>
      <c r="F23554" t="s">
        <v>3792</v>
      </c>
      <c r="G23554" s="9">
        <v>9660</v>
      </c>
      <c r="H23554" s="8">
        <v>20789</v>
      </c>
    </row>
    <row r="23555" spans="2:8" ht="15" customHeight="1" x14ac:dyDescent="0.4">
      <c r="B23555" t="s">
        <v>7</v>
      </c>
      <c r="C23555" t="s">
        <v>3793</v>
      </c>
      <c r="D23555" s="7">
        <f>DATE(2004,8,31)</f>
        <v>38230</v>
      </c>
      <c r="E23555" s="8">
        <f t="shared" ref="E23555:E23618" si="392">YEAR(D23555)</f>
        <v>2004</v>
      </c>
      <c r="F23555" t="s">
        <v>3794</v>
      </c>
      <c r="G23555" s="9">
        <v>3564.6</v>
      </c>
      <c r="H23555" s="8">
        <v>2162</v>
      </c>
    </row>
    <row r="23556" spans="2:8" ht="15" customHeight="1" x14ac:dyDescent="0.4">
      <c r="B23556" t="s">
        <v>7</v>
      </c>
      <c r="C23556" t="s">
        <v>3793</v>
      </c>
      <c r="D23556" s="7">
        <f>DATE(2008,7,24)</f>
        <v>39653</v>
      </c>
      <c r="E23556" s="8">
        <f t="shared" si="392"/>
        <v>2008</v>
      </c>
      <c r="F23556" t="s">
        <v>3794</v>
      </c>
      <c r="G23556" s="9">
        <v>3671.7</v>
      </c>
      <c r="H23556" s="8">
        <v>7593</v>
      </c>
    </row>
    <row r="23557" spans="2:8" ht="15" customHeight="1" x14ac:dyDescent="0.4">
      <c r="B23557" t="s">
        <v>7</v>
      </c>
      <c r="C23557" t="s">
        <v>3793</v>
      </c>
      <c r="D23557" s="7">
        <f>DATE(2008,8,29)</f>
        <v>39689</v>
      </c>
      <c r="E23557" s="8">
        <f t="shared" si="392"/>
        <v>2008</v>
      </c>
      <c r="F23557" t="s">
        <v>3794</v>
      </c>
      <c r="G23557" s="9">
        <v>3879.55</v>
      </c>
      <c r="H23557" s="8">
        <v>7692</v>
      </c>
    </row>
    <row r="23558" spans="2:8" ht="15" customHeight="1" x14ac:dyDescent="0.4">
      <c r="B23558" t="s">
        <v>7</v>
      </c>
      <c r="C23558" t="s">
        <v>3795</v>
      </c>
      <c r="D23558" s="7">
        <f>DATE(2018,6,26)</f>
        <v>43277</v>
      </c>
      <c r="E23558" s="8">
        <f t="shared" si="392"/>
        <v>2018</v>
      </c>
      <c r="F23558" t="s">
        <v>3796</v>
      </c>
      <c r="G23558" s="9">
        <v>42724.25</v>
      </c>
      <c r="H23558" s="8">
        <v>26962</v>
      </c>
    </row>
    <row r="23559" spans="2:8" ht="15" customHeight="1" x14ac:dyDescent="0.4">
      <c r="B23559" t="s">
        <v>7</v>
      </c>
      <c r="C23559" t="s">
        <v>3797</v>
      </c>
      <c r="D23559" s="7">
        <f>DATE(2015,1,28)</f>
        <v>42032</v>
      </c>
      <c r="E23559" s="8">
        <f t="shared" si="392"/>
        <v>2015</v>
      </c>
      <c r="F23559" t="s">
        <v>3798</v>
      </c>
      <c r="G23559" s="9">
        <v>12460</v>
      </c>
      <c r="H23559" s="8">
        <v>169</v>
      </c>
    </row>
    <row r="23560" spans="2:8" ht="15" customHeight="1" x14ac:dyDescent="0.4">
      <c r="B23560" t="s">
        <v>7</v>
      </c>
      <c r="C23560" t="s">
        <v>3797</v>
      </c>
      <c r="D23560" s="7">
        <f>DATE(2015,2,4)</f>
        <v>42039</v>
      </c>
      <c r="E23560" s="8">
        <f t="shared" si="392"/>
        <v>2015</v>
      </c>
      <c r="F23560" t="s">
        <v>3798</v>
      </c>
      <c r="G23560" s="9">
        <v>21892</v>
      </c>
      <c r="H23560" s="8">
        <v>269</v>
      </c>
    </row>
    <row r="23561" spans="2:8" ht="15" customHeight="1" x14ac:dyDescent="0.4">
      <c r="B23561" t="s">
        <v>7</v>
      </c>
      <c r="C23561" t="s">
        <v>3797</v>
      </c>
      <c r="D23561" s="7">
        <f>DATE(2015,6,10)</f>
        <v>42165</v>
      </c>
      <c r="E23561" s="8">
        <f t="shared" si="392"/>
        <v>2015</v>
      </c>
      <c r="F23561" t="s">
        <v>3798</v>
      </c>
      <c r="G23561" s="9">
        <v>25260</v>
      </c>
      <c r="H23561" s="8">
        <v>20635</v>
      </c>
    </row>
    <row r="23562" spans="2:8" ht="15" customHeight="1" x14ac:dyDescent="0.4">
      <c r="B23562" t="s">
        <v>7</v>
      </c>
      <c r="C23562" t="s">
        <v>3797</v>
      </c>
      <c r="D23562" s="7">
        <f>DATE(2015,9,24)</f>
        <v>42271</v>
      </c>
      <c r="E23562" s="8">
        <f t="shared" si="392"/>
        <v>2015</v>
      </c>
      <c r="F23562" t="s">
        <v>3798</v>
      </c>
      <c r="G23562" s="9">
        <v>100</v>
      </c>
      <c r="H23562" s="8">
        <v>21279</v>
      </c>
    </row>
    <row r="23563" spans="2:8" ht="15" customHeight="1" x14ac:dyDescent="0.4">
      <c r="B23563" t="s">
        <v>7</v>
      </c>
      <c r="C23563" t="s">
        <v>3797</v>
      </c>
      <c r="D23563" s="7">
        <f>DATE(2016,5,23)</f>
        <v>42513</v>
      </c>
      <c r="E23563" s="8">
        <f t="shared" si="392"/>
        <v>2016</v>
      </c>
      <c r="F23563" t="s">
        <v>3798</v>
      </c>
      <c r="G23563" s="9">
        <v>23576</v>
      </c>
      <c r="H23563" s="8">
        <v>22818</v>
      </c>
    </row>
    <row r="23564" spans="2:8" ht="15" customHeight="1" x14ac:dyDescent="0.4">
      <c r="B23564" t="s">
        <v>7</v>
      </c>
      <c r="C23564" t="s">
        <v>3797</v>
      </c>
      <c r="D23564" s="7">
        <f>DATE(2016,5,23)</f>
        <v>42513</v>
      </c>
      <c r="E23564" s="8">
        <f t="shared" si="392"/>
        <v>2016</v>
      </c>
      <c r="F23564" t="s">
        <v>3798</v>
      </c>
      <c r="G23564" s="9">
        <v>47.25</v>
      </c>
      <c r="H23564" s="8">
        <v>22877</v>
      </c>
    </row>
    <row r="23565" spans="2:8" ht="15" customHeight="1" x14ac:dyDescent="0.4">
      <c r="B23565" t="s">
        <v>7</v>
      </c>
      <c r="C23565" t="s">
        <v>3797</v>
      </c>
      <c r="D23565" s="7">
        <f>DATE(2017,3,27)</f>
        <v>42821</v>
      </c>
      <c r="E23565" s="8">
        <f t="shared" si="392"/>
        <v>2017</v>
      </c>
      <c r="F23565" t="s">
        <v>3798</v>
      </c>
      <c r="G23565" s="9">
        <v>100</v>
      </c>
      <c r="H23565" s="8">
        <v>24589</v>
      </c>
    </row>
    <row r="23566" spans="2:8" ht="15" customHeight="1" x14ac:dyDescent="0.4">
      <c r="B23566" t="s">
        <v>7</v>
      </c>
      <c r="C23566" t="s">
        <v>3797</v>
      </c>
      <c r="D23566" s="7">
        <f>DATE(2017,4,13)</f>
        <v>42838</v>
      </c>
      <c r="E23566" s="8">
        <f t="shared" si="392"/>
        <v>2017</v>
      </c>
      <c r="F23566" t="s">
        <v>3798</v>
      </c>
      <c r="G23566" s="9">
        <v>13350</v>
      </c>
      <c r="H23566" s="8">
        <v>24724</v>
      </c>
    </row>
    <row r="23567" spans="2:8" ht="15" customHeight="1" x14ac:dyDescent="0.4">
      <c r="B23567" t="s">
        <v>7</v>
      </c>
      <c r="C23567" t="s">
        <v>3797</v>
      </c>
      <c r="D23567" s="7">
        <f>DATE(2017,4,27)</f>
        <v>42852</v>
      </c>
      <c r="E23567" s="8">
        <f t="shared" si="392"/>
        <v>2017</v>
      </c>
      <c r="F23567" t="s">
        <v>3798</v>
      </c>
      <c r="G23567" s="9">
        <v>13350</v>
      </c>
      <c r="H23567" s="8">
        <v>24820</v>
      </c>
    </row>
    <row r="23568" spans="2:8" ht="15" customHeight="1" x14ac:dyDescent="0.4">
      <c r="B23568" t="s">
        <v>7</v>
      </c>
      <c r="C23568" t="s">
        <v>3797</v>
      </c>
      <c r="D23568" s="7">
        <f>DATE(2017,5,5)</f>
        <v>42860</v>
      </c>
      <c r="E23568" s="8">
        <f t="shared" si="392"/>
        <v>2017</v>
      </c>
      <c r="F23568" t="s">
        <v>3798</v>
      </c>
      <c r="G23568" s="9">
        <v>74.25</v>
      </c>
      <c r="H23568" s="8">
        <v>24873</v>
      </c>
    </row>
    <row r="23569" spans="2:8" ht="15" customHeight="1" x14ac:dyDescent="0.4">
      <c r="B23569" t="s">
        <v>7</v>
      </c>
      <c r="C23569" t="s">
        <v>3797</v>
      </c>
      <c r="D23569" s="7">
        <f>DATE(2018,4,30)</f>
        <v>43220</v>
      </c>
      <c r="E23569" s="8">
        <f t="shared" si="392"/>
        <v>2018</v>
      </c>
      <c r="F23569" t="s">
        <v>3798</v>
      </c>
      <c r="G23569" s="9">
        <v>16214.67</v>
      </c>
      <c r="H23569" s="8">
        <v>26910</v>
      </c>
    </row>
    <row r="23570" spans="2:8" ht="15" customHeight="1" x14ac:dyDescent="0.4">
      <c r="B23570" t="s">
        <v>7</v>
      </c>
      <c r="C23570" t="s">
        <v>3797</v>
      </c>
      <c r="D23570" s="7">
        <f>DATE(2018,4,30)</f>
        <v>43220</v>
      </c>
      <c r="E23570" s="8">
        <f t="shared" si="392"/>
        <v>2018</v>
      </c>
      <c r="F23570" t="s">
        <v>3798</v>
      </c>
      <c r="G23570" s="9">
        <v>14314</v>
      </c>
      <c r="H23570" s="8">
        <v>26910</v>
      </c>
    </row>
    <row r="23571" spans="2:8" ht="15" customHeight="1" x14ac:dyDescent="0.4">
      <c r="B23571" t="s">
        <v>7</v>
      </c>
      <c r="C23571" t="s">
        <v>3797</v>
      </c>
      <c r="D23571" s="7">
        <f>DATE(2018,5,1)</f>
        <v>43221</v>
      </c>
      <c r="E23571" s="8">
        <f t="shared" si="392"/>
        <v>2018</v>
      </c>
      <c r="F23571" t="s">
        <v>3798</v>
      </c>
      <c r="G23571" s="9">
        <v>4450</v>
      </c>
      <c r="H23571" s="8">
        <v>26923</v>
      </c>
    </row>
    <row r="23572" spans="2:8" ht="15" customHeight="1" x14ac:dyDescent="0.4">
      <c r="B23572" t="s">
        <v>7</v>
      </c>
      <c r="C23572" t="s">
        <v>3797</v>
      </c>
      <c r="D23572" s="7">
        <f>DATE(2018,12,11)</f>
        <v>43445</v>
      </c>
      <c r="E23572" s="8">
        <f t="shared" si="392"/>
        <v>2018</v>
      </c>
      <c r="F23572" t="s">
        <v>3798</v>
      </c>
      <c r="G23572" s="9">
        <v>41000</v>
      </c>
      <c r="H23572" s="8">
        <v>27977</v>
      </c>
    </row>
    <row r="23573" spans="2:8" ht="15" customHeight="1" x14ac:dyDescent="0.4">
      <c r="B23573" t="s">
        <v>7</v>
      </c>
      <c r="C23573" t="s">
        <v>3797</v>
      </c>
      <c r="D23573" s="7">
        <f>DATE(2018,12,27)</f>
        <v>43461</v>
      </c>
      <c r="E23573" s="8">
        <f t="shared" si="392"/>
        <v>2018</v>
      </c>
      <c r="F23573" t="s">
        <v>3798</v>
      </c>
      <c r="G23573" s="9">
        <v>4450</v>
      </c>
      <c r="H23573" s="8">
        <v>28151</v>
      </c>
    </row>
    <row r="23574" spans="2:8" ht="15" customHeight="1" x14ac:dyDescent="0.4">
      <c r="B23574" t="s">
        <v>7</v>
      </c>
      <c r="C23574" t="s">
        <v>3797</v>
      </c>
      <c r="D23574" s="7">
        <f>DATE(2015,7,6)</f>
        <v>42191</v>
      </c>
      <c r="E23574" s="8">
        <f t="shared" si="392"/>
        <v>2015</v>
      </c>
      <c r="F23574" t="s">
        <v>3798</v>
      </c>
      <c r="G23574" s="9">
        <v>2650</v>
      </c>
      <c r="H23574" s="8">
        <v>20748</v>
      </c>
    </row>
    <row r="23575" spans="2:8" ht="15" customHeight="1" x14ac:dyDescent="0.4">
      <c r="B23575" t="s">
        <v>7</v>
      </c>
      <c r="C23575" t="s">
        <v>3797</v>
      </c>
      <c r="D23575" s="7">
        <f>DATE(2016,3,14)</f>
        <v>42443</v>
      </c>
      <c r="E23575" s="8">
        <f t="shared" si="392"/>
        <v>2016</v>
      </c>
      <c r="F23575" t="s">
        <v>3798</v>
      </c>
      <c r="G23575" s="9">
        <v>1350</v>
      </c>
      <c r="H23575" s="8">
        <v>22391</v>
      </c>
    </row>
    <row r="23576" spans="2:8" ht="15" customHeight="1" x14ac:dyDescent="0.4">
      <c r="B23576" t="s">
        <v>7</v>
      </c>
      <c r="C23576" t="s">
        <v>3797</v>
      </c>
      <c r="D23576" s="7">
        <f>DATE(2017,7,17)</f>
        <v>42933</v>
      </c>
      <c r="E23576" s="8">
        <f t="shared" si="392"/>
        <v>2017</v>
      </c>
      <c r="F23576" t="s">
        <v>3798</v>
      </c>
      <c r="G23576" s="9">
        <v>900</v>
      </c>
      <c r="H23576" s="8">
        <v>25230</v>
      </c>
    </row>
    <row r="23577" spans="2:8" ht="15" customHeight="1" x14ac:dyDescent="0.4">
      <c r="B23577" t="s">
        <v>7</v>
      </c>
      <c r="C23577" t="s">
        <v>3797</v>
      </c>
      <c r="D23577" s="7">
        <f>DATE(2019,2,21)</f>
        <v>43517</v>
      </c>
      <c r="E23577" s="8">
        <f t="shared" si="392"/>
        <v>2019</v>
      </c>
      <c r="F23577" t="s">
        <v>3798</v>
      </c>
      <c r="G23577" s="9">
        <v>900</v>
      </c>
      <c r="H23577" s="8">
        <v>28438</v>
      </c>
    </row>
    <row r="23578" spans="2:8" ht="15" customHeight="1" x14ac:dyDescent="0.4">
      <c r="B23578" t="s">
        <v>7</v>
      </c>
      <c r="C23578" t="s">
        <v>3797</v>
      </c>
      <c r="D23578" s="7">
        <f>DATE(2004,8,2)</f>
        <v>38201</v>
      </c>
      <c r="E23578" s="8">
        <f t="shared" si="392"/>
        <v>2004</v>
      </c>
      <c r="F23578" t="s">
        <v>3798</v>
      </c>
      <c r="G23578" s="9">
        <v>897.05</v>
      </c>
      <c r="H23578" s="8">
        <v>2023</v>
      </c>
    </row>
    <row r="23579" spans="2:8" ht="15" customHeight="1" x14ac:dyDescent="0.4">
      <c r="B23579" t="s">
        <v>7</v>
      </c>
      <c r="C23579" t="s">
        <v>3797</v>
      </c>
      <c r="D23579" s="7">
        <f>DATE(2005,6,1)</f>
        <v>38504</v>
      </c>
      <c r="E23579" s="8">
        <f t="shared" si="392"/>
        <v>2005</v>
      </c>
      <c r="F23579" t="s">
        <v>3798</v>
      </c>
      <c r="G23579" s="9">
        <v>462</v>
      </c>
      <c r="H23579" s="8">
        <v>3249</v>
      </c>
    </row>
    <row r="23580" spans="2:8" ht="15" customHeight="1" x14ac:dyDescent="0.4">
      <c r="B23580" t="s">
        <v>7</v>
      </c>
      <c r="C23580" t="s">
        <v>3797</v>
      </c>
      <c r="D23580" s="7">
        <f>DATE(2005,12,20)</f>
        <v>38706</v>
      </c>
      <c r="E23580" s="8">
        <f t="shared" si="392"/>
        <v>2005</v>
      </c>
      <c r="F23580" t="s">
        <v>3798</v>
      </c>
      <c r="G23580" s="9">
        <v>707</v>
      </c>
      <c r="H23580" s="8">
        <v>3876</v>
      </c>
    </row>
    <row r="23581" spans="2:8" ht="15" customHeight="1" x14ac:dyDescent="0.4">
      <c r="B23581" t="s">
        <v>7</v>
      </c>
      <c r="C23581" t="s">
        <v>3797</v>
      </c>
      <c r="D23581" s="7">
        <f>DATE(2006,9,6)</f>
        <v>38966</v>
      </c>
      <c r="E23581" s="8">
        <f t="shared" si="392"/>
        <v>2006</v>
      </c>
      <c r="F23581" t="s">
        <v>3798</v>
      </c>
      <c r="G23581" s="9">
        <v>327</v>
      </c>
      <c r="H23581" s="8">
        <v>4974</v>
      </c>
    </row>
    <row r="23582" spans="2:8" ht="15" customHeight="1" x14ac:dyDescent="0.4">
      <c r="B23582" t="s">
        <v>7</v>
      </c>
      <c r="C23582" t="s">
        <v>3797</v>
      </c>
      <c r="D23582" s="7">
        <f>DATE(2006,9,6)</f>
        <v>38966</v>
      </c>
      <c r="E23582" s="8">
        <f t="shared" si="392"/>
        <v>2006</v>
      </c>
      <c r="F23582" t="s">
        <v>3798</v>
      </c>
      <c r="G23582" s="9">
        <v>709</v>
      </c>
      <c r="H23582" s="8">
        <v>4973</v>
      </c>
    </row>
    <row r="23583" spans="2:8" ht="15" customHeight="1" x14ac:dyDescent="0.4">
      <c r="B23583" t="s">
        <v>7</v>
      </c>
      <c r="C23583" t="s">
        <v>3797</v>
      </c>
      <c r="D23583" s="7">
        <f>DATE(2007,9,14)</f>
        <v>39339</v>
      </c>
      <c r="E23583" s="8">
        <f t="shared" si="392"/>
        <v>2007</v>
      </c>
      <c r="F23583" t="s">
        <v>3798</v>
      </c>
      <c r="G23583" s="9">
        <v>50</v>
      </c>
      <c r="H23583" s="8">
        <v>6336</v>
      </c>
    </row>
    <row r="23584" spans="2:8" ht="15" customHeight="1" x14ac:dyDescent="0.4">
      <c r="B23584" t="s">
        <v>7</v>
      </c>
      <c r="C23584" t="s">
        <v>3797</v>
      </c>
      <c r="D23584" s="7">
        <f>DATE(2010,2,23)</f>
        <v>40232</v>
      </c>
      <c r="E23584" s="8">
        <f t="shared" si="392"/>
        <v>2010</v>
      </c>
      <c r="F23584" t="s">
        <v>3798</v>
      </c>
      <c r="G23584" s="9">
        <v>1700</v>
      </c>
      <c r="H23584" s="8">
        <v>9508</v>
      </c>
    </row>
    <row r="23585" spans="2:8" ht="15" customHeight="1" x14ac:dyDescent="0.4">
      <c r="B23585" t="s">
        <v>7</v>
      </c>
      <c r="C23585" t="s">
        <v>3797</v>
      </c>
      <c r="D23585" s="7">
        <f>DATE(2010,3,19)</f>
        <v>40256</v>
      </c>
      <c r="E23585" s="8">
        <f t="shared" si="392"/>
        <v>2010</v>
      </c>
      <c r="F23585" t="s">
        <v>3798</v>
      </c>
      <c r="G23585" s="9">
        <v>900</v>
      </c>
      <c r="H23585" s="8">
        <v>9661</v>
      </c>
    </row>
    <row r="23586" spans="2:8" ht="15" customHeight="1" x14ac:dyDescent="0.4">
      <c r="B23586" t="s">
        <v>7</v>
      </c>
      <c r="C23586" t="s">
        <v>3797</v>
      </c>
      <c r="D23586" s="7">
        <f>DATE(2010,4,14)</f>
        <v>40282</v>
      </c>
      <c r="E23586" s="8">
        <f t="shared" si="392"/>
        <v>2010</v>
      </c>
      <c r="F23586" t="s">
        <v>3798</v>
      </c>
      <c r="G23586" s="9">
        <v>910</v>
      </c>
      <c r="H23586" s="8">
        <v>9754</v>
      </c>
    </row>
    <row r="23587" spans="2:8" ht="15" customHeight="1" x14ac:dyDescent="0.4">
      <c r="B23587" t="s">
        <v>7</v>
      </c>
      <c r="C23587" t="s">
        <v>3797</v>
      </c>
      <c r="D23587" s="7">
        <f>DATE(2010,5,18)</f>
        <v>40316</v>
      </c>
      <c r="E23587" s="8">
        <f t="shared" si="392"/>
        <v>2010</v>
      </c>
      <c r="F23587" t="s">
        <v>3798</v>
      </c>
      <c r="G23587" s="9">
        <v>550</v>
      </c>
      <c r="H23587" s="8">
        <v>9849</v>
      </c>
    </row>
    <row r="23588" spans="2:8" ht="15" customHeight="1" x14ac:dyDescent="0.4">
      <c r="B23588" t="s">
        <v>7</v>
      </c>
      <c r="C23588" t="s">
        <v>3797</v>
      </c>
      <c r="D23588" s="7">
        <f>DATE(2011,2,3)</f>
        <v>40577</v>
      </c>
      <c r="E23588" s="8">
        <f t="shared" si="392"/>
        <v>2011</v>
      </c>
      <c r="F23588" t="s">
        <v>3798</v>
      </c>
      <c r="G23588" s="9">
        <v>3245</v>
      </c>
      <c r="H23588" s="8">
        <v>10408</v>
      </c>
    </row>
    <row r="23589" spans="2:8" ht="15" customHeight="1" x14ac:dyDescent="0.4">
      <c r="B23589" t="s">
        <v>7</v>
      </c>
      <c r="C23589" t="s">
        <v>3797</v>
      </c>
      <c r="D23589" s="7">
        <f>DATE(2011,7,21)</f>
        <v>40745</v>
      </c>
      <c r="E23589" s="8">
        <f t="shared" si="392"/>
        <v>2011</v>
      </c>
      <c r="F23589" t="s">
        <v>3798</v>
      </c>
      <c r="G23589" s="9">
        <v>1350</v>
      </c>
      <c r="H23589" s="8">
        <v>10884</v>
      </c>
    </row>
    <row r="23590" spans="2:8" ht="15" customHeight="1" x14ac:dyDescent="0.4">
      <c r="B23590" t="s">
        <v>7</v>
      </c>
      <c r="C23590" t="s">
        <v>3797</v>
      </c>
      <c r="D23590" s="7">
        <f>DATE(2012,11,7)</f>
        <v>41220</v>
      </c>
      <c r="E23590" s="8">
        <f t="shared" si="392"/>
        <v>2012</v>
      </c>
      <c r="F23590" t="s">
        <v>3798</v>
      </c>
      <c r="G23590" s="9">
        <v>1350</v>
      </c>
      <c r="H23590" s="8">
        <v>11970</v>
      </c>
    </row>
    <row r="23591" spans="2:8" ht="15" customHeight="1" x14ac:dyDescent="0.4">
      <c r="B23591" t="s">
        <v>7</v>
      </c>
      <c r="C23591" t="s">
        <v>3797</v>
      </c>
      <c r="D23591" s="7">
        <f>DATE(2013,3,28)</f>
        <v>41361</v>
      </c>
      <c r="E23591" s="8">
        <f t="shared" si="392"/>
        <v>2013</v>
      </c>
      <c r="F23591" t="s">
        <v>3798</v>
      </c>
      <c r="G23591" s="9">
        <v>900</v>
      </c>
      <c r="H23591" s="8">
        <v>12347</v>
      </c>
    </row>
    <row r="23592" spans="2:8" ht="15" customHeight="1" x14ac:dyDescent="0.4">
      <c r="B23592" t="s">
        <v>7</v>
      </c>
      <c r="C23592" t="s">
        <v>3797</v>
      </c>
      <c r="D23592" s="7">
        <f>DATE(2014,1,22)</f>
        <v>41661</v>
      </c>
      <c r="E23592" s="8">
        <f t="shared" si="392"/>
        <v>2014</v>
      </c>
      <c r="F23592" t="s">
        <v>3798</v>
      </c>
      <c r="G23592" s="9">
        <v>900</v>
      </c>
      <c r="H23592" s="8">
        <v>12886</v>
      </c>
    </row>
    <row r="23593" spans="2:8" ht="15" customHeight="1" x14ac:dyDescent="0.4">
      <c r="B23593" t="s">
        <v>7</v>
      </c>
      <c r="C23593" t="s">
        <v>3797</v>
      </c>
      <c r="D23593" s="7">
        <f>DATE(2003,2,26)</f>
        <v>37678</v>
      </c>
      <c r="E23593" s="8">
        <f t="shared" si="392"/>
        <v>2003</v>
      </c>
      <c r="F23593" t="s">
        <v>3798</v>
      </c>
      <c r="G23593" s="9">
        <v>6916.94</v>
      </c>
      <c r="H23593" s="8">
        <v>244</v>
      </c>
    </row>
    <row r="23594" spans="2:8" ht="15" customHeight="1" x14ac:dyDescent="0.4">
      <c r="B23594" t="s">
        <v>7</v>
      </c>
      <c r="C23594" t="s">
        <v>3797</v>
      </c>
      <c r="D23594" s="7">
        <f>DATE(2003,3,28)</f>
        <v>37708</v>
      </c>
      <c r="E23594" s="8">
        <f t="shared" si="392"/>
        <v>2003</v>
      </c>
      <c r="F23594" t="s">
        <v>3798</v>
      </c>
      <c r="G23594" s="9">
        <v>1041</v>
      </c>
      <c r="H23594" s="8">
        <v>310</v>
      </c>
    </row>
    <row r="23595" spans="2:8" ht="15" customHeight="1" x14ac:dyDescent="0.4">
      <c r="B23595" t="s">
        <v>7</v>
      </c>
      <c r="C23595" t="s">
        <v>3797</v>
      </c>
      <c r="D23595" s="7">
        <f>DATE(2003,4,7)</f>
        <v>37718</v>
      </c>
      <c r="E23595" s="8">
        <f t="shared" si="392"/>
        <v>2003</v>
      </c>
      <c r="F23595" t="s">
        <v>3798</v>
      </c>
      <c r="G23595" s="9">
        <v>569</v>
      </c>
      <c r="H23595" s="8">
        <v>333</v>
      </c>
    </row>
    <row r="23596" spans="2:8" ht="15" customHeight="1" x14ac:dyDescent="0.4">
      <c r="B23596" t="s">
        <v>7</v>
      </c>
      <c r="C23596" t="s">
        <v>3797</v>
      </c>
      <c r="D23596" s="7">
        <f>DATE(2003,5,23)</f>
        <v>37764</v>
      </c>
      <c r="E23596" s="8">
        <f t="shared" si="392"/>
        <v>2003</v>
      </c>
      <c r="F23596" t="s">
        <v>3798</v>
      </c>
      <c r="G23596" s="9">
        <v>24589</v>
      </c>
      <c r="H23596" s="8">
        <v>530</v>
      </c>
    </row>
    <row r="23597" spans="2:8" ht="15" customHeight="1" x14ac:dyDescent="0.4">
      <c r="B23597" t="s">
        <v>7</v>
      </c>
      <c r="C23597" t="s">
        <v>3797</v>
      </c>
      <c r="D23597" s="7">
        <f>DATE(2003,5,18)</f>
        <v>37759</v>
      </c>
      <c r="E23597" s="8">
        <f t="shared" si="392"/>
        <v>2003</v>
      </c>
      <c r="F23597" t="s">
        <v>3798</v>
      </c>
      <c r="G23597" s="9">
        <v>24589</v>
      </c>
      <c r="H23597" s="8">
        <v>596</v>
      </c>
    </row>
    <row r="23598" spans="2:8" ht="15" customHeight="1" x14ac:dyDescent="0.4">
      <c r="B23598" t="s">
        <v>7</v>
      </c>
      <c r="C23598" t="s">
        <v>3797</v>
      </c>
      <c r="D23598" s="7">
        <f>DATE(2004,4,25)</f>
        <v>38102</v>
      </c>
      <c r="E23598" s="8">
        <f t="shared" si="392"/>
        <v>2004</v>
      </c>
      <c r="F23598" t="s">
        <v>3798</v>
      </c>
      <c r="G23598" s="9">
        <v>26629</v>
      </c>
      <c r="H23598" s="8">
        <v>1693</v>
      </c>
    </row>
    <row r="23599" spans="2:8" ht="15" customHeight="1" x14ac:dyDescent="0.4">
      <c r="B23599" t="s">
        <v>7</v>
      </c>
      <c r="C23599" t="s">
        <v>3797</v>
      </c>
      <c r="D23599" s="7">
        <f>DATE(2004,5,31)</f>
        <v>38138</v>
      </c>
      <c r="E23599" s="8">
        <f t="shared" si="392"/>
        <v>2004</v>
      </c>
      <c r="F23599" t="s">
        <v>3798</v>
      </c>
      <c r="G23599" s="9">
        <v>42832.66</v>
      </c>
      <c r="H23599" s="8">
        <v>1775</v>
      </c>
    </row>
    <row r="23600" spans="2:8" ht="15" customHeight="1" x14ac:dyDescent="0.4">
      <c r="B23600" t="s">
        <v>7</v>
      </c>
      <c r="C23600" t="s">
        <v>3797</v>
      </c>
      <c r="D23600" s="7">
        <f>DATE(2005,3,27)</f>
        <v>38438</v>
      </c>
      <c r="E23600" s="8">
        <f t="shared" si="392"/>
        <v>2005</v>
      </c>
      <c r="F23600" t="s">
        <v>3798</v>
      </c>
      <c r="G23600" s="9">
        <v>31346</v>
      </c>
      <c r="H23600" s="8">
        <v>2983</v>
      </c>
    </row>
    <row r="23601" spans="2:8" ht="15" customHeight="1" x14ac:dyDescent="0.4">
      <c r="B23601" t="s">
        <v>7</v>
      </c>
      <c r="C23601" t="s">
        <v>3797</v>
      </c>
      <c r="D23601" s="7">
        <f>DATE(2005,3,21)</f>
        <v>38432</v>
      </c>
      <c r="E23601" s="8">
        <f t="shared" si="392"/>
        <v>2005</v>
      </c>
      <c r="F23601" t="s">
        <v>3798</v>
      </c>
      <c r="G23601" s="9">
        <v>38722.959999999999</v>
      </c>
      <c r="H23601" s="8">
        <v>2945</v>
      </c>
    </row>
    <row r="23602" spans="2:8" ht="15" customHeight="1" x14ac:dyDescent="0.4">
      <c r="B23602" t="s">
        <v>7</v>
      </c>
      <c r="C23602" t="s">
        <v>3797</v>
      </c>
      <c r="D23602" s="7">
        <f>DATE(2006,11,21)</f>
        <v>39042</v>
      </c>
      <c r="E23602" s="8">
        <f t="shared" si="392"/>
        <v>2006</v>
      </c>
      <c r="F23602" t="s">
        <v>3798</v>
      </c>
      <c r="G23602" s="9">
        <v>7854.56</v>
      </c>
      <c r="H23602" s="8">
        <v>5135</v>
      </c>
    </row>
    <row r="23603" spans="2:8" ht="15" customHeight="1" x14ac:dyDescent="0.4">
      <c r="B23603" t="s">
        <v>7</v>
      </c>
      <c r="C23603" t="s">
        <v>3797</v>
      </c>
      <c r="D23603" s="7">
        <f>DATE(2007,5,4)</f>
        <v>39206</v>
      </c>
      <c r="E23603" s="8">
        <f t="shared" si="392"/>
        <v>2007</v>
      </c>
      <c r="F23603" t="s">
        <v>3798</v>
      </c>
      <c r="G23603" s="9">
        <v>7899.77</v>
      </c>
      <c r="H23603" s="8">
        <v>5938</v>
      </c>
    </row>
    <row r="23604" spans="2:8" ht="15" customHeight="1" x14ac:dyDescent="0.4">
      <c r="B23604" t="s">
        <v>7</v>
      </c>
      <c r="C23604" t="s">
        <v>3797</v>
      </c>
      <c r="D23604" s="7">
        <f>DATE(2010,4,14)</f>
        <v>40282</v>
      </c>
      <c r="E23604" s="8">
        <f t="shared" si="392"/>
        <v>2010</v>
      </c>
      <c r="F23604" t="s">
        <v>3798</v>
      </c>
      <c r="G23604" s="9">
        <v>3500</v>
      </c>
      <c r="H23604" s="8">
        <v>9484</v>
      </c>
    </row>
    <row r="23605" spans="2:8" ht="15" customHeight="1" x14ac:dyDescent="0.4">
      <c r="B23605" s="3" t="s">
        <v>7</v>
      </c>
      <c r="C23605" s="3" t="s">
        <v>3797</v>
      </c>
      <c r="D23605" s="4">
        <f>DATE(2003,12,11)</f>
        <v>37966</v>
      </c>
      <c r="E23605" s="5">
        <f t="shared" si="392"/>
        <v>2003</v>
      </c>
      <c r="F23605" s="3" t="s">
        <v>3798</v>
      </c>
      <c r="G23605" s="6">
        <v>2500.67</v>
      </c>
      <c r="H23605" s="5">
        <v>1883</v>
      </c>
    </row>
    <row r="23606" spans="2:8" ht="15" customHeight="1" x14ac:dyDescent="0.4">
      <c r="B23606" s="3" t="s">
        <v>7</v>
      </c>
      <c r="C23606" s="3" t="s">
        <v>3797</v>
      </c>
      <c r="D23606" s="4">
        <f>DATE(2005,9,12)</f>
        <v>38607</v>
      </c>
      <c r="E23606" s="5">
        <f t="shared" si="392"/>
        <v>2005</v>
      </c>
      <c r="F23606" s="3" t="s">
        <v>3798</v>
      </c>
      <c r="G23606" s="6">
        <v>4667</v>
      </c>
      <c r="H23606" s="5">
        <v>5080</v>
      </c>
    </row>
    <row r="23607" spans="2:8" ht="15" customHeight="1" x14ac:dyDescent="0.4">
      <c r="B23607" s="3" t="s">
        <v>7</v>
      </c>
      <c r="C23607" s="3" t="s">
        <v>3797</v>
      </c>
      <c r="D23607" s="4">
        <f>DATE(2005,12,5)</f>
        <v>38691</v>
      </c>
      <c r="E23607" s="5">
        <f t="shared" si="392"/>
        <v>2005</v>
      </c>
      <c r="F23607" s="3" t="s">
        <v>3798</v>
      </c>
      <c r="G23607" s="6">
        <v>8954.9500000000007</v>
      </c>
      <c r="H23607" s="5">
        <v>5625</v>
      </c>
    </row>
    <row r="23608" spans="2:8" ht="15" customHeight="1" x14ac:dyDescent="0.4">
      <c r="B23608" s="3" t="s">
        <v>7</v>
      </c>
      <c r="C23608" s="3" t="s">
        <v>3797</v>
      </c>
      <c r="D23608" s="4">
        <f>DATE(2006,2,10)</f>
        <v>38758</v>
      </c>
      <c r="E23608" s="5">
        <f t="shared" si="392"/>
        <v>2006</v>
      </c>
      <c r="F23608" s="3" t="s">
        <v>3798</v>
      </c>
      <c r="G23608" s="6">
        <v>8957.25</v>
      </c>
      <c r="H23608" s="5">
        <v>5971</v>
      </c>
    </row>
    <row r="23609" spans="2:8" ht="15" customHeight="1" x14ac:dyDescent="0.4">
      <c r="B23609" s="3" t="s">
        <v>7</v>
      </c>
      <c r="C23609" s="3" t="s">
        <v>3797</v>
      </c>
      <c r="D23609" s="4">
        <f>DATE(2006,5,31)</f>
        <v>38868</v>
      </c>
      <c r="E23609" s="5">
        <f t="shared" si="392"/>
        <v>2006</v>
      </c>
      <c r="F23609" s="3" t="s">
        <v>3798</v>
      </c>
      <c r="G23609" s="6">
        <v>1780</v>
      </c>
      <c r="H23609" s="5">
        <v>6785</v>
      </c>
    </row>
    <row r="23610" spans="2:8" ht="15" customHeight="1" x14ac:dyDescent="0.4">
      <c r="B23610" s="3" t="s">
        <v>7</v>
      </c>
      <c r="C23610" s="3" t="s">
        <v>3797</v>
      </c>
      <c r="D23610" s="4">
        <f>DATE(2006,8,9)</f>
        <v>38938</v>
      </c>
      <c r="E23610" s="5">
        <f t="shared" si="392"/>
        <v>2006</v>
      </c>
      <c r="F23610" s="3" t="s">
        <v>3798</v>
      </c>
      <c r="G23610" s="6">
        <v>320</v>
      </c>
      <c r="H23610" s="5">
        <v>7070</v>
      </c>
    </row>
    <row r="23611" spans="2:8" ht="15" customHeight="1" x14ac:dyDescent="0.4">
      <c r="B23611" s="3" t="s">
        <v>7</v>
      </c>
      <c r="C23611" s="3" t="s">
        <v>3797</v>
      </c>
      <c r="D23611" s="4">
        <f>DATE(2006,8,10)</f>
        <v>38939</v>
      </c>
      <c r="E23611" s="5">
        <f t="shared" si="392"/>
        <v>2006</v>
      </c>
      <c r="F23611" s="3" t="s">
        <v>3798</v>
      </c>
      <c r="G23611" s="6">
        <v>9234.08</v>
      </c>
      <c r="H23611" s="5">
        <v>7049</v>
      </c>
    </row>
    <row r="23612" spans="2:8" ht="15" customHeight="1" x14ac:dyDescent="0.4">
      <c r="B23612" s="3" t="s">
        <v>7</v>
      </c>
      <c r="C23612" s="3" t="s">
        <v>3797</v>
      </c>
      <c r="D23612" s="4">
        <f>DATE(2006,8,11)</f>
        <v>38940</v>
      </c>
      <c r="E23612" s="5">
        <f t="shared" si="392"/>
        <v>2006</v>
      </c>
      <c r="F23612" s="3" t="s">
        <v>3798</v>
      </c>
      <c r="G23612" s="6">
        <v>4763.2</v>
      </c>
      <c r="H23612" s="5">
        <v>7049</v>
      </c>
    </row>
    <row r="23613" spans="2:8" ht="15" customHeight="1" x14ac:dyDescent="0.4">
      <c r="B23613" s="3" t="s">
        <v>7</v>
      </c>
      <c r="C23613" s="3" t="s">
        <v>3797</v>
      </c>
      <c r="D23613" s="4">
        <f>DATE(2006,8,17)</f>
        <v>38946</v>
      </c>
      <c r="E23613" s="5">
        <f t="shared" si="392"/>
        <v>2006</v>
      </c>
      <c r="F23613" s="3" t="s">
        <v>3798</v>
      </c>
      <c r="G23613" s="6">
        <v>351.5</v>
      </c>
      <c r="H23613" s="5">
        <v>7120</v>
      </c>
    </row>
    <row r="23614" spans="2:8" ht="15" customHeight="1" x14ac:dyDescent="0.4">
      <c r="B23614" s="3" t="s">
        <v>7</v>
      </c>
      <c r="C23614" s="3" t="s">
        <v>3797</v>
      </c>
      <c r="D23614" s="4">
        <f>DATE(2006,8,18)</f>
        <v>38947</v>
      </c>
      <c r="E23614" s="5">
        <f t="shared" si="392"/>
        <v>2006</v>
      </c>
      <c r="F23614" s="3" t="s">
        <v>3798</v>
      </c>
      <c r="G23614" s="6">
        <v>8900</v>
      </c>
      <c r="H23614" s="5">
        <v>7099</v>
      </c>
    </row>
    <row r="23615" spans="2:8" ht="15" customHeight="1" x14ac:dyDescent="0.4">
      <c r="B23615" s="3" t="s">
        <v>7</v>
      </c>
      <c r="C23615" s="3" t="s">
        <v>3797</v>
      </c>
      <c r="D23615" s="4">
        <f>DATE(2006,8,21)</f>
        <v>38950</v>
      </c>
      <c r="E23615" s="5">
        <f t="shared" si="392"/>
        <v>2006</v>
      </c>
      <c r="F23615" s="3" t="s">
        <v>3798</v>
      </c>
      <c r="G23615" s="6">
        <v>2300</v>
      </c>
      <c r="H23615" s="5">
        <v>7132</v>
      </c>
    </row>
    <row r="23616" spans="2:8" ht="15" customHeight="1" x14ac:dyDescent="0.4">
      <c r="B23616" s="3" t="s">
        <v>7</v>
      </c>
      <c r="C23616" s="3" t="s">
        <v>3797</v>
      </c>
      <c r="D23616" s="4">
        <f>DATE(2006,9,22)</f>
        <v>38982</v>
      </c>
      <c r="E23616" s="5">
        <f t="shared" si="392"/>
        <v>2006</v>
      </c>
      <c r="F23616" s="3" t="s">
        <v>3798</v>
      </c>
      <c r="G23616" s="6">
        <v>100</v>
      </c>
      <c r="H23616" s="5">
        <v>7277</v>
      </c>
    </row>
    <row r="23617" spans="2:8" ht="15" customHeight="1" x14ac:dyDescent="0.4">
      <c r="B23617" s="3" t="s">
        <v>7</v>
      </c>
      <c r="C23617" s="3" t="s">
        <v>3797</v>
      </c>
      <c r="D23617" s="4">
        <f>DATE(2006,11,14)</f>
        <v>39035</v>
      </c>
      <c r="E23617" s="5">
        <f t="shared" si="392"/>
        <v>2006</v>
      </c>
      <c r="F23617" s="3" t="s">
        <v>3798</v>
      </c>
      <c r="G23617" s="6">
        <v>8900</v>
      </c>
      <c r="H23617" s="5">
        <v>7491</v>
      </c>
    </row>
    <row r="23618" spans="2:8" ht="15" customHeight="1" x14ac:dyDescent="0.4">
      <c r="B23618" s="3" t="s">
        <v>7</v>
      </c>
      <c r="C23618" s="3" t="s">
        <v>3797</v>
      </c>
      <c r="D23618" s="4">
        <f>DATE(2006,12,27)</f>
        <v>39078</v>
      </c>
      <c r="E23618" s="5">
        <f t="shared" si="392"/>
        <v>2006</v>
      </c>
      <c r="F23618" s="3" t="s">
        <v>3798</v>
      </c>
      <c r="G23618" s="6">
        <v>100</v>
      </c>
      <c r="H23618" s="5">
        <v>7678</v>
      </c>
    </row>
    <row r="23619" spans="2:8" ht="15" customHeight="1" x14ac:dyDescent="0.4">
      <c r="B23619" s="3" t="s">
        <v>7</v>
      </c>
      <c r="C23619" s="3" t="s">
        <v>3797</v>
      </c>
      <c r="D23619" s="4">
        <f>DATE(2007,2,6)</f>
        <v>39119</v>
      </c>
      <c r="E23619" s="5">
        <f t="shared" ref="E23619:E23682" si="393">YEAR(D23619)</f>
        <v>2007</v>
      </c>
      <c r="F23619" s="3" t="s">
        <v>3798</v>
      </c>
      <c r="G23619" s="6">
        <v>8900</v>
      </c>
      <c r="H23619" s="5">
        <v>7871</v>
      </c>
    </row>
    <row r="23620" spans="2:8" ht="15" customHeight="1" x14ac:dyDescent="0.4">
      <c r="B23620" s="3" t="s">
        <v>7</v>
      </c>
      <c r="C23620" s="3" t="s">
        <v>3797</v>
      </c>
      <c r="D23620" s="4">
        <f>DATE(2007,3,20)</f>
        <v>39161</v>
      </c>
      <c r="E23620" s="5">
        <f t="shared" si="393"/>
        <v>2007</v>
      </c>
      <c r="F23620" s="3" t="s">
        <v>3798</v>
      </c>
      <c r="G23620" s="6">
        <v>1429</v>
      </c>
      <c r="H23620" s="5">
        <v>8180</v>
      </c>
    </row>
    <row r="23621" spans="2:8" ht="15" customHeight="1" x14ac:dyDescent="0.4">
      <c r="B23621" s="3" t="s">
        <v>7</v>
      </c>
      <c r="C23621" s="3" t="s">
        <v>3797</v>
      </c>
      <c r="D23621" s="4">
        <f>DATE(2007,4,16)</f>
        <v>39188</v>
      </c>
      <c r="E23621" s="5">
        <f t="shared" si="393"/>
        <v>2007</v>
      </c>
      <c r="F23621" s="3" t="s">
        <v>3798</v>
      </c>
      <c r="G23621" s="6">
        <v>17800</v>
      </c>
      <c r="H23621" s="5">
        <v>8211</v>
      </c>
    </row>
    <row r="23622" spans="2:8" ht="15" customHeight="1" x14ac:dyDescent="0.4">
      <c r="B23622" s="3" t="s">
        <v>7</v>
      </c>
      <c r="C23622" s="3" t="s">
        <v>3797</v>
      </c>
      <c r="D23622" s="4">
        <f>DATE(2007,6,12)</f>
        <v>39245</v>
      </c>
      <c r="E23622" s="5">
        <f t="shared" si="393"/>
        <v>2007</v>
      </c>
      <c r="F23622" s="3" t="s">
        <v>3798</v>
      </c>
      <c r="G23622" s="6">
        <v>8010</v>
      </c>
      <c r="H23622" s="5">
        <v>8744</v>
      </c>
    </row>
    <row r="23623" spans="2:8" ht="15" customHeight="1" x14ac:dyDescent="0.4">
      <c r="B23623" s="3" t="s">
        <v>7</v>
      </c>
      <c r="C23623" s="3" t="s">
        <v>3797</v>
      </c>
      <c r="D23623" s="4">
        <f>DATE(2007,12,27)</f>
        <v>39443</v>
      </c>
      <c r="E23623" s="5">
        <f t="shared" si="393"/>
        <v>2007</v>
      </c>
      <c r="F23623" s="3" t="s">
        <v>3798</v>
      </c>
      <c r="G23623" s="6">
        <v>13350</v>
      </c>
      <c r="H23623" s="5">
        <v>9640</v>
      </c>
    </row>
    <row r="23624" spans="2:8" ht="15" customHeight="1" x14ac:dyDescent="0.4">
      <c r="B23624" s="3" t="s">
        <v>7</v>
      </c>
      <c r="C23624" s="3" t="s">
        <v>3797</v>
      </c>
      <c r="D23624" s="4">
        <f>DATE(2008,1,16)</f>
        <v>39463</v>
      </c>
      <c r="E23624" s="5">
        <f t="shared" si="393"/>
        <v>2008</v>
      </c>
      <c r="F23624" s="3" t="s">
        <v>3798</v>
      </c>
      <c r="G23624" s="6">
        <v>13350</v>
      </c>
      <c r="H23624" s="5">
        <v>9681</v>
      </c>
    </row>
    <row r="23625" spans="2:8" ht="15" customHeight="1" x14ac:dyDescent="0.4">
      <c r="B23625" s="3" t="s">
        <v>7</v>
      </c>
      <c r="C23625" s="3" t="s">
        <v>3797</v>
      </c>
      <c r="D23625" s="4">
        <f>DATE(2008,2,1)</f>
        <v>39479</v>
      </c>
      <c r="E23625" s="5">
        <f t="shared" si="393"/>
        <v>2008</v>
      </c>
      <c r="F23625" s="3" t="s">
        <v>3798</v>
      </c>
      <c r="G23625" s="6">
        <v>13430.5</v>
      </c>
      <c r="H23625" s="5">
        <v>9736</v>
      </c>
    </row>
    <row r="23626" spans="2:8" ht="15" customHeight="1" x14ac:dyDescent="0.4">
      <c r="B23626" s="3" t="s">
        <v>7</v>
      </c>
      <c r="C23626" s="3" t="s">
        <v>3797</v>
      </c>
      <c r="D23626" s="4">
        <f>DATE(2008,3,26)</f>
        <v>39533</v>
      </c>
      <c r="E23626" s="5">
        <f t="shared" si="393"/>
        <v>2008</v>
      </c>
      <c r="F23626" s="3" t="s">
        <v>3798</v>
      </c>
      <c r="G23626" s="6">
        <v>123</v>
      </c>
      <c r="H23626" s="5">
        <v>10304</v>
      </c>
    </row>
    <row r="23627" spans="2:8" ht="15" customHeight="1" x14ac:dyDescent="0.4">
      <c r="B23627" s="3" t="s">
        <v>7</v>
      </c>
      <c r="C23627" s="3" t="s">
        <v>3797</v>
      </c>
      <c r="D23627" s="4">
        <f>DATE(2008,4,8)</f>
        <v>39546</v>
      </c>
      <c r="E23627" s="5">
        <f t="shared" si="393"/>
        <v>2008</v>
      </c>
      <c r="F23627" s="3" t="s">
        <v>3798</v>
      </c>
      <c r="G23627" s="6">
        <v>123</v>
      </c>
      <c r="H23627" s="5">
        <v>10414</v>
      </c>
    </row>
    <row r="23628" spans="2:8" ht="15" customHeight="1" x14ac:dyDescent="0.4">
      <c r="B23628" s="3" t="s">
        <v>7</v>
      </c>
      <c r="C23628" s="3" t="s">
        <v>3797</v>
      </c>
      <c r="D23628" s="4">
        <f>DATE(2008,4,18)</f>
        <v>39556</v>
      </c>
      <c r="E23628" s="5">
        <f t="shared" si="393"/>
        <v>2008</v>
      </c>
      <c r="F23628" s="3" t="s">
        <v>3798</v>
      </c>
      <c r="G23628" s="6">
        <v>123</v>
      </c>
      <c r="H23628" s="5">
        <v>10500</v>
      </c>
    </row>
    <row r="23629" spans="2:8" ht="15" customHeight="1" x14ac:dyDescent="0.4">
      <c r="B23629" s="3" t="s">
        <v>7</v>
      </c>
      <c r="C23629" s="3" t="s">
        <v>3797</v>
      </c>
      <c r="D23629" s="4">
        <f>DATE(2008,4,21)</f>
        <v>39559</v>
      </c>
      <c r="E23629" s="5">
        <f t="shared" si="393"/>
        <v>2008</v>
      </c>
      <c r="F23629" s="3" t="s">
        <v>3798</v>
      </c>
      <c r="G23629" s="6">
        <v>50</v>
      </c>
      <c r="H23629" s="5">
        <v>10505</v>
      </c>
    </row>
    <row r="23630" spans="2:8" ht="15" customHeight="1" x14ac:dyDescent="0.4">
      <c r="B23630" s="3" t="s">
        <v>7</v>
      </c>
      <c r="C23630" s="3" t="s">
        <v>3797</v>
      </c>
      <c r="D23630" s="4">
        <f>DATE(2008,5,9)</f>
        <v>39577</v>
      </c>
      <c r="E23630" s="5">
        <f t="shared" si="393"/>
        <v>2008</v>
      </c>
      <c r="F23630" s="3" t="s">
        <v>3798</v>
      </c>
      <c r="G23630" s="6">
        <v>25260</v>
      </c>
      <c r="H23630" s="5">
        <v>10556</v>
      </c>
    </row>
    <row r="23631" spans="2:8" ht="15" customHeight="1" x14ac:dyDescent="0.4">
      <c r="B23631" s="3" t="s">
        <v>7</v>
      </c>
      <c r="C23631" s="3" t="s">
        <v>3797</v>
      </c>
      <c r="D23631" s="4">
        <f>DATE(2008,6,3)</f>
        <v>39602</v>
      </c>
      <c r="E23631" s="5">
        <f t="shared" si="393"/>
        <v>2008</v>
      </c>
      <c r="F23631" s="3" t="s">
        <v>3798</v>
      </c>
      <c r="G23631" s="6">
        <v>575</v>
      </c>
      <c r="H23631" s="5">
        <v>10753</v>
      </c>
    </row>
    <row r="23632" spans="2:8" ht="15" customHeight="1" x14ac:dyDescent="0.4">
      <c r="B23632" s="3" t="s">
        <v>7</v>
      </c>
      <c r="C23632" s="3" t="s">
        <v>3797</v>
      </c>
      <c r="D23632" s="4">
        <f>DATE(2009,3,18)</f>
        <v>39890</v>
      </c>
      <c r="E23632" s="5">
        <f t="shared" si="393"/>
        <v>2009</v>
      </c>
      <c r="F23632" s="3" t="s">
        <v>3798</v>
      </c>
      <c r="G23632" s="6">
        <v>124</v>
      </c>
      <c r="H23632" s="5">
        <v>12156</v>
      </c>
    </row>
    <row r="23633" spans="2:8" ht="15" customHeight="1" x14ac:dyDescent="0.4">
      <c r="B23633" s="3" t="s">
        <v>7</v>
      </c>
      <c r="C23633" s="3" t="s">
        <v>3797</v>
      </c>
      <c r="D23633" s="4">
        <f>DATE(2009,5,1)</f>
        <v>39934</v>
      </c>
      <c r="E23633" s="5">
        <f t="shared" si="393"/>
        <v>2009</v>
      </c>
      <c r="F23633" s="3" t="s">
        <v>3798</v>
      </c>
      <c r="G23633" s="6">
        <v>58</v>
      </c>
      <c r="H23633" s="5">
        <v>12399</v>
      </c>
    </row>
    <row r="23634" spans="2:8" ht="15" customHeight="1" x14ac:dyDescent="0.4">
      <c r="B23634" s="3" t="s">
        <v>7</v>
      </c>
      <c r="C23634" s="3" t="s">
        <v>3797</v>
      </c>
      <c r="D23634" s="4">
        <f>DATE(2009,7,24)</f>
        <v>40018</v>
      </c>
      <c r="E23634" s="5">
        <f t="shared" si="393"/>
        <v>2009</v>
      </c>
      <c r="F23634" s="3" t="s">
        <v>3798</v>
      </c>
      <c r="G23634" s="6">
        <v>25260</v>
      </c>
      <c r="H23634" s="5">
        <v>12824</v>
      </c>
    </row>
    <row r="23635" spans="2:8" ht="15" customHeight="1" x14ac:dyDescent="0.4">
      <c r="B23635" s="3" t="s">
        <v>7</v>
      </c>
      <c r="C23635" s="3" t="s">
        <v>3797</v>
      </c>
      <c r="D23635" s="4">
        <f>DATE(2009,8,3)</f>
        <v>40028</v>
      </c>
      <c r="E23635" s="5">
        <f t="shared" si="393"/>
        <v>2009</v>
      </c>
      <c r="F23635" s="3" t="s">
        <v>3798</v>
      </c>
      <c r="G23635" s="6">
        <v>1699</v>
      </c>
      <c r="H23635" s="5">
        <v>12857</v>
      </c>
    </row>
    <row r="23636" spans="2:8" ht="15" customHeight="1" x14ac:dyDescent="0.4">
      <c r="B23636" s="3" t="s">
        <v>7</v>
      </c>
      <c r="C23636" s="3" t="s">
        <v>3797</v>
      </c>
      <c r="D23636" s="4">
        <f>DATE(2010,1,29)</f>
        <v>40207</v>
      </c>
      <c r="E23636" s="5">
        <f t="shared" si="393"/>
        <v>2010</v>
      </c>
      <c r="F23636" s="3" t="s">
        <v>3798</v>
      </c>
      <c r="G23636" s="6">
        <v>1431</v>
      </c>
      <c r="H23636" s="5">
        <v>13495</v>
      </c>
    </row>
    <row r="23637" spans="2:8" ht="15" customHeight="1" x14ac:dyDescent="0.4">
      <c r="B23637" s="3" t="s">
        <v>7</v>
      </c>
      <c r="C23637" s="3" t="s">
        <v>3797</v>
      </c>
      <c r="D23637" s="4">
        <f>DATE(2010,4,30)</f>
        <v>40298</v>
      </c>
      <c r="E23637" s="5">
        <f t="shared" si="393"/>
        <v>2010</v>
      </c>
      <c r="F23637" s="3" t="s">
        <v>3798</v>
      </c>
      <c r="G23637" s="6">
        <v>25260</v>
      </c>
      <c r="H23637" s="5">
        <v>14004</v>
      </c>
    </row>
    <row r="23638" spans="2:8" ht="15" customHeight="1" x14ac:dyDescent="0.4">
      <c r="B23638" s="3" t="s">
        <v>7</v>
      </c>
      <c r="C23638" s="3" t="s">
        <v>3797</v>
      </c>
      <c r="D23638" s="4">
        <f>DATE(2011,1,14)</f>
        <v>40557</v>
      </c>
      <c r="E23638" s="5">
        <f t="shared" si="393"/>
        <v>2011</v>
      </c>
      <c r="F23638" s="3" t="s">
        <v>3798</v>
      </c>
      <c r="G23638" s="6">
        <v>25260</v>
      </c>
      <c r="H23638" s="5">
        <v>14859</v>
      </c>
    </row>
    <row r="23639" spans="2:8" ht="15" customHeight="1" x14ac:dyDescent="0.4">
      <c r="B23639" s="3" t="s">
        <v>7</v>
      </c>
      <c r="C23639" s="3" t="s">
        <v>3797</v>
      </c>
      <c r="D23639" s="4">
        <f>DATE(2011,4,1)</f>
        <v>40634</v>
      </c>
      <c r="E23639" s="5">
        <f t="shared" si="393"/>
        <v>2011</v>
      </c>
      <c r="F23639" s="3" t="s">
        <v>3798</v>
      </c>
      <c r="G23639" s="6">
        <v>1800</v>
      </c>
      <c r="H23639" s="5">
        <v>15269</v>
      </c>
    </row>
    <row r="23640" spans="2:8" ht="15" customHeight="1" x14ac:dyDescent="0.4">
      <c r="B23640" s="3" t="s">
        <v>7</v>
      </c>
      <c r="C23640" s="3" t="s">
        <v>3797</v>
      </c>
      <c r="D23640" s="4">
        <f>DATE(2011,4,4)</f>
        <v>40637</v>
      </c>
      <c r="E23640" s="5">
        <f t="shared" si="393"/>
        <v>2011</v>
      </c>
      <c r="F23640" s="3" t="s">
        <v>3798</v>
      </c>
      <c r="G23640" s="6">
        <v>1350</v>
      </c>
      <c r="H23640" s="5">
        <v>15375</v>
      </c>
    </row>
    <row r="23641" spans="2:8" ht="15" customHeight="1" x14ac:dyDescent="0.4">
      <c r="B23641" s="3" t="s">
        <v>7</v>
      </c>
      <c r="C23641" s="3" t="s">
        <v>3797</v>
      </c>
      <c r="D23641" s="4">
        <f>DATE(2011,5,12)</f>
        <v>40675</v>
      </c>
      <c r="E23641" s="5">
        <f t="shared" si="393"/>
        <v>2011</v>
      </c>
      <c r="F23641" s="3" t="s">
        <v>3798</v>
      </c>
      <c r="G23641" s="6">
        <v>25260</v>
      </c>
      <c r="H23641" s="5">
        <v>15514</v>
      </c>
    </row>
    <row r="23642" spans="2:8" ht="15" customHeight="1" x14ac:dyDescent="0.4">
      <c r="B23642" s="3" t="s">
        <v>7</v>
      </c>
      <c r="C23642" s="3" t="s">
        <v>3797</v>
      </c>
      <c r="D23642" s="4">
        <f>DATE(2012,3,28)</f>
        <v>40996</v>
      </c>
      <c r="E23642" s="5">
        <f t="shared" si="393"/>
        <v>2012</v>
      </c>
      <c r="F23642" s="3" t="s">
        <v>3798</v>
      </c>
      <c r="G23642" s="6">
        <v>25260</v>
      </c>
      <c r="H23642" s="5">
        <v>16821</v>
      </c>
    </row>
    <row r="23643" spans="2:8" ht="15" customHeight="1" x14ac:dyDescent="0.4">
      <c r="B23643" s="3" t="s">
        <v>7</v>
      </c>
      <c r="C23643" s="3" t="s">
        <v>3797</v>
      </c>
      <c r="D23643" s="4">
        <f>DATE(2012,6,29)</f>
        <v>41089</v>
      </c>
      <c r="E23643" s="5">
        <f t="shared" si="393"/>
        <v>2012</v>
      </c>
      <c r="F23643" s="3" t="s">
        <v>3798</v>
      </c>
      <c r="G23643" s="6">
        <v>7133.35</v>
      </c>
      <c r="H23643" s="5">
        <v>17283</v>
      </c>
    </row>
    <row r="23644" spans="2:8" ht="15" customHeight="1" x14ac:dyDescent="0.4">
      <c r="B23644" s="3" t="s">
        <v>7</v>
      </c>
      <c r="C23644" s="3" t="s">
        <v>3797</v>
      </c>
      <c r="D23644" s="4">
        <f>DATE(2012,7,19)</f>
        <v>41109</v>
      </c>
      <c r="E23644" s="5">
        <f t="shared" si="393"/>
        <v>2012</v>
      </c>
      <c r="F23644" s="3" t="s">
        <v>3798</v>
      </c>
      <c r="G23644" s="6">
        <v>19580</v>
      </c>
      <c r="H23644" s="5">
        <v>17355</v>
      </c>
    </row>
    <row r="23645" spans="2:8" ht="15" customHeight="1" x14ac:dyDescent="0.4">
      <c r="B23645" s="3" t="s">
        <v>7</v>
      </c>
      <c r="C23645" s="3" t="s">
        <v>3797</v>
      </c>
      <c r="D23645" s="4">
        <f>DATE(2013,5,23)</f>
        <v>41417</v>
      </c>
      <c r="E23645" s="5">
        <f t="shared" si="393"/>
        <v>2013</v>
      </c>
      <c r="F23645" s="3" t="s">
        <v>3798</v>
      </c>
      <c r="G23645" s="6">
        <v>25260</v>
      </c>
      <c r="H23645" s="5">
        <v>18599</v>
      </c>
    </row>
    <row r="23646" spans="2:8" ht="15" customHeight="1" x14ac:dyDescent="0.4">
      <c r="B23646" s="3" t="s">
        <v>7</v>
      </c>
      <c r="C23646" s="3" t="s">
        <v>3797</v>
      </c>
      <c r="D23646" s="4">
        <f>DATE(2013,5,24)</f>
        <v>41418</v>
      </c>
      <c r="E23646" s="5">
        <f t="shared" si="393"/>
        <v>2013</v>
      </c>
      <c r="F23646" s="3" t="s">
        <v>3798</v>
      </c>
      <c r="G23646" s="6">
        <v>13350</v>
      </c>
      <c r="H23646" s="5">
        <v>18614</v>
      </c>
    </row>
    <row r="23647" spans="2:8" ht="15" customHeight="1" x14ac:dyDescent="0.4">
      <c r="B23647" s="3" t="s">
        <v>7</v>
      </c>
      <c r="C23647" s="3" t="s">
        <v>3797</v>
      </c>
      <c r="D23647" s="4">
        <f>DATE(2013,9,6)</f>
        <v>41523</v>
      </c>
      <c r="E23647" s="5">
        <f t="shared" si="393"/>
        <v>2013</v>
      </c>
      <c r="F23647" s="3" t="s">
        <v>3798</v>
      </c>
      <c r="G23647" s="6">
        <v>13350</v>
      </c>
      <c r="H23647" s="5">
        <v>18939</v>
      </c>
    </row>
    <row r="23648" spans="2:8" ht="15" customHeight="1" x14ac:dyDescent="0.4">
      <c r="B23648" s="3" t="s">
        <v>7</v>
      </c>
      <c r="C23648" s="3" t="s">
        <v>3797</v>
      </c>
      <c r="D23648" s="4">
        <f>DATE(2014,2,18)</f>
        <v>41688</v>
      </c>
      <c r="E23648" s="5">
        <f t="shared" si="393"/>
        <v>2014</v>
      </c>
      <c r="F23648" s="3" t="s">
        <v>3798</v>
      </c>
      <c r="G23648" s="6">
        <v>31.5</v>
      </c>
      <c r="H23648" s="5">
        <v>19520</v>
      </c>
    </row>
    <row r="23649" spans="2:8" ht="15" customHeight="1" x14ac:dyDescent="0.4">
      <c r="B23649" s="3" t="s">
        <v>7</v>
      </c>
      <c r="C23649" s="3" t="s">
        <v>3797</v>
      </c>
      <c r="D23649" s="4">
        <f>DATE(2014,5,15)</f>
        <v>41774</v>
      </c>
      <c r="E23649" s="5">
        <f t="shared" si="393"/>
        <v>2014</v>
      </c>
      <c r="F23649" s="3" t="s">
        <v>3798</v>
      </c>
      <c r="G23649" s="6">
        <v>31.5</v>
      </c>
      <c r="H23649" s="5">
        <v>19968</v>
      </c>
    </row>
    <row r="23650" spans="2:8" ht="15" customHeight="1" x14ac:dyDescent="0.4">
      <c r="B23650" t="s">
        <v>7</v>
      </c>
      <c r="C23650" t="s">
        <v>3799</v>
      </c>
      <c r="D23650" s="7">
        <f>DATE(2018,8,22)</f>
        <v>43334</v>
      </c>
      <c r="E23650" s="8">
        <f t="shared" si="393"/>
        <v>2018</v>
      </c>
      <c r="F23650" t="s">
        <v>3800</v>
      </c>
      <c r="G23650" s="9">
        <v>6199.08</v>
      </c>
      <c r="H23650" s="8">
        <v>27433</v>
      </c>
    </row>
    <row r="23651" spans="2:8" ht="15" customHeight="1" x14ac:dyDescent="0.4">
      <c r="B23651" t="s">
        <v>7</v>
      </c>
      <c r="C23651" t="s">
        <v>3799</v>
      </c>
      <c r="D23651" s="7">
        <f>DATE(2013,8,29)</f>
        <v>41515</v>
      </c>
      <c r="E23651" s="8">
        <f t="shared" si="393"/>
        <v>2013</v>
      </c>
      <c r="F23651" t="s">
        <v>3800</v>
      </c>
      <c r="G23651" s="9">
        <v>19389.43</v>
      </c>
      <c r="H23651" s="8">
        <v>12558</v>
      </c>
    </row>
    <row r="23652" spans="2:8" ht="15" customHeight="1" x14ac:dyDescent="0.4">
      <c r="B23652" t="s">
        <v>7</v>
      </c>
      <c r="C23652" t="s">
        <v>3799</v>
      </c>
      <c r="D23652" s="7">
        <f>DATE(2013,8,29)</f>
        <v>41515</v>
      </c>
      <c r="E23652" s="8">
        <f t="shared" si="393"/>
        <v>2013</v>
      </c>
      <c r="F23652" t="s">
        <v>3800</v>
      </c>
      <c r="G23652" s="9">
        <v>29483.81</v>
      </c>
      <c r="H23652" s="8">
        <v>12570</v>
      </c>
    </row>
    <row r="23653" spans="2:8" ht="15" customHeight="1" x14ac:dyDescent="0.4">
      <c r="B23653" t="s">
        <v>7</v>
      </c>
      <c r="C23653" t="s">
        <v>3799</v>
      </c>
      <c r="D23653" s="7">
        <f>DATE(2013,8,29)</f>
        <v>41515</v>
      </c>
      <c r="E23653" s="8">
        <f t="shared" si="393"/>
        <v>2013</v>
      </c>
      <c r="F23653" t="s">
        <v>3800</v>
      </c>
      <c r="G23653" s="9">
        <v>15390.23</v>
      </c>
      <c r="H23653" s="8">
        <v>12610</v>
      </c>
    </row>
    <row r="23654" spans="2:8" ht="15" customHeight="1" x14ac:dyDescent="0.4">
      <c r="B23654" s="3" t="s">
        <v>7</v>
      </c>
      <c r="C23654" s="3" t="s">
        <v>3801</v>
      </c>
      <c r="D23654" s="4">
        <f>DATE(2007,6,19)</f>
        <v>39252</v>
      </c>
      <c r="E23654" s="5">
        <f t="shared" si="393"/>
        <v>2007</v>
      </c>
      <c r="F23654" s="3" t="s">
        <v>3802</v>
      </c>
      <c r="G23654" s="6">
        <v>661.05</v>
      </c>
      <c r="H23654" s="5">
        <v>2307</v>
      </c>
    </row>
    <row r="23655" spans="2:8" ht="15" customHeight="1" x14ac:dyDescent="0.4">
      <c r="B23655" s="3" t="s">
        <v>7</v>
      </c>
      <c r="C23655" s="3" t="s">
        <v>3801</v>
      </c>
      <c r="D23655" s="4">
        <f>DATE(2008,1,31)</f>
        <v>39478</v>
      </c>
      <c r="E23655" s="5">
        <f t="shared" si="393"/>
        <v>2008</v>
      </c>
      <c r="F23655" s="3" t="s">
        <v>3802</v>
      </c>
      <c r="G23655" s="6">
        <v>870</v>
      </c>
      <c r="H23655" s="5">
        <v>2586</v>
      </c>
    </row>
    <row r="23656" spans="2:8" ht="15" customHeight="1" x14ac:dyDescent="0.4">
      <c r="B23656" s="3" t="s">
        <v>7</v>
      </c>
      <c r="C23656" s="3" t="s">
        <v>3801</v>
      </c>
      <c r="D23656" s="4">
        <f>DATE(2013,7,17)</f>
        <v>41472</v>
      </c>
      <c r="E23656" s="5">
        <f t="shared" si="393"/>
        <v>2013</v>
      </c>
      <c r="F23656" s="3" t="s">
        <v>3802</v>
      </c>
      <c r="G23656" s="6">
        <v>819.24</v>
      </c>
      <c r="H23656" s="5">
        <v>5685</v>
      </c>
    </row>
    <row r="23657" spans="2:8" ht="15" customHeight="1" x14ac:dyDescent="0.4">
      <c r="B23657" s="3" t="s">
        <v>7</v>
      </c>
      <c r="C23657" s="3" t="s">
        <v>3801</v>
      </c>
      <c r="D23657" s="4">
        <f>DATE(2014,5,28)</f>
        <v>41787</v>
      </c>
      <c r="E23657" s="5">
        <f t="shared" si="393"/>
        <v>2014</v>
      </c>
      <c r="F23657" s="3" t="s">
        <v>3802</v>
      </c>
      <c r="G23657" s="6">
        <v>543</v>
      </c>
      <c r="H23657" s="5">
        <v>6204</v>
      </c>
    </row>
    <row r="23658" spans="2:8" ht="15" customHeight="1" x14ac:dyDescent="0.4">
      <c r="B23658" s="3" t="s">
        <v>7</v>
      </c>
      <c r="C23658" s="3" t="s">
        <v>3801</v>
      </c>
      <c r="D23658" s="4">
        <f>DATE(2014,9,24)</f>
        <v>41906</v>
      </c>
      <c r="E23658" s="5">
        <f t="shared" si="393"/>
        <v>2014</v>
      </c>
      <c r="F23658" s="3" t="s">
        <v>3802</v>
      </c>
      <c r="G23658" s="6">
        <v>469.54</v>
      </c>
      <c r="H23658" s="5">
        <v>6423</v>
      </c>
    </row>
    <row r="23659" spans="2:8" ht="15" customHeight="1" x14ac:dyDescent="0.4">
      <c r="B23659" t="s">
        <v>7</v>
      </c>
      <c r="C23659" t="s">
        <v>3803</v>
      </c>
      <c r="D23659" s="7">
        <f>DATE(2019,1,22)</f>
        <v>43487</v>
      </c>
      <c r="E23659" s="8">
        <f t="shared" si="393"/>
        <v>2019</v>
      </c>
      <c r="F23659" t="s">
        <v>3804</v>
      </c>
      <c r="G23659" s="9">
        <v>171.9</v>
      </c>
      <c r="H23659" s="8">
        <v>28262</v>
      </c>
    </row>
    <row r="23660" spans="2:8" ht="15" customHeight="1" x14ac:dyDescent="0.4">
      <c r="B23660" t="s">
        <v>7</v>
      </c>
      <c r="C23660" t="s">
        <v>3803</v>
      </c>
      <c r="D23660" s="7">
        <f>DATE(2016,4,19)</f>
        <v>42479</v>
      </c>
      <c r="E23660" s="8">
        <f t="shared" si="393"/>
        <v>2016</v>
      </c>
      <c r="F23660" t="s">
        <v>3804</v>
      </c>
      <c r="G23660" s="9">
        <v>4344.75</v>
      </c>
      <c r="H23660" s="8">
        <v>22619</v>
      </c>
    </row>
    <row r="23661" spans="2:8" ht="15" customHeight="1" x14ac:dyDescent="0.4">
      <c r="B23661" t="s">
        <v>7</v>
      </c>
      <c r="C23661" t="s">
        <v>3805</v>
      </c>
      <c r="D23661" s="7">
        <f>DATE(2005,4,6)</f>
        <v>38448</v>
      </c>
      <c r="E23661" s="8">
        <f t="shared" si="393"/>
        <v>2005</v>
      </c>
      <c r="F23661" t="s">
        <v>3806</v>
      </c>
      <c r="G23661" s="9">
        <v>35308</v>
      </c>
      <c r="H23661" s="8">
        <v>2907</v>
      </c>
    </row>
    <row r="23662" spans="2:8" ht="15" customHeight="1" x14ac:dyDescent="0.4">
      <c r="B23662" t="s">
        <v>7</v>
      </c>
      <c r="C23662" t="s">
        <v>3805</v>
      </c>
      <c r="D23662" s="7">
        <f>DATE(2004,10,5)</f>
        <v>38265</v>
      </c>
      <c r="E23662" s="8">
        <f t="shared" si="393"/>
        <v>2004</v>
      </c>
      <c r="F23662" t="s">
        <v>3806</v>
      </c>
      <c r="G23662" s="9">
        <v>25448.38</v>
      </c>
      <c r="H23662" s="8">
        <v>2103</v>
      </c>
    </row>
    <row r="23663" spans="2:8" ht="15" customHeight="1" x14ac:dyDescent="0.4">
      <c r="B23663" t="s">
        <v>7</v>
      </c>
      <c r="C23663" t="s">
        <v>3805</v>
      </c>
      <c r="D23663" s="7">
        <f>DATE(2005,5,18)</f>
        <v>38490</v>
      </c>
      <c r="E23663" s="8">
        <f t="shared" si="393"/>
        <v>2005</v>
      </c>
      <c r="F23663" t="s">
        <v>3806</v>
      </c>
      <c r="G23663" s="9">
        <v>25173.65</v>
      </c>
      <c r="H23663" s="8">
        <v>2965</v>
      </c>
    </row>
    <row r="23664" spans="2:8" ht="15" customHeight="1" x14ac:dyDescent="0.4">
      <c r="B23664" s="3" t="s">
        <v>7</v>
      </c>
      <c r="C23664" s="3" t="s">
        <v>3805</v>
      </c>
      <c r="D23664" s="4">
        <f>DATE(2003,5,9)</f>
        <v>37750</v>
      </c>
      <c r="E23664" s="5">
        <f t="shared" si="393"/>
        <v>2003</v>
      </c>
      <c r="F23664" s="3" t="s">
        <v>3806</v>
      </c>
      <c r="G23664" s="6">
        <v>14764.02</v>
      </c>
      <c r="H23664" s="5">
        <v>782</v>
      </c>
    </row>
    <row r="23665" spans="2:8" ht="15" customHeight="1" x14ac:dyDescent="0.4">
      <c r="B23665" s="3" t="s">
        <v>7</v>
      </c>
      <c r="C23665" s="3" t="s">
        <v>3805</v>
      </c>
      <c r="D23665" s="4">
        <f>DATE(2003,6,11)</f>
        <v>37783</v>
      </c>
      <c r="E23665" s="5">
        <f t="shared" si="393"/>
        <v>2003</v>
      </c>
      <c r="F23665" s="3" t="s">
        <v>3806</v>
      </c>
      <c r="G23665" s="6">
        <v>204</v>
      </c>
      <c r="H23665" s="5">
        <v>1033</v>
      </c>
    </row>
    <row r="23666" spans="2:8" ht="15" customHeight="1" x14ac:dyDescent="0.4">
      <c r="B23666" s="3" t="s">
        <v>7</v>
      </c>
      <c r="C23666" s="3" t="s">
        <v>3805</v>
      </c>
      <c r="D23666" s="4">
        <f>DATE(2003,10,7)</f>
        <v>37901</v>
      </c>
      <c r="E23666" s="5">
        <f t="shared" si="393"/>
        <v>2003</v>
      </c>
      <c r="F23666" s="3" t="s">
        <v>3806</v>
      </c>
      <c r="G23666" s="6">
        <v>25175.5</v>
      </c>
      <c r="H23666" s="5">
        <v>1458</v>
      </c>
    </row>
    <row r="23667" spans="2:8" ht="15" customHeight="1" x14ac:dyDescent="0.4">
      <c r="B23667" s="3" t="s">
        <v>7</v>
      </c>
      <c r="C23667" s="3" t="s">
        <v>3805</v>
      </c>
      <c r="D23667" s="4">
        <f>DATE(2004,3,1)</f>
        <v>38047</v>
      </c>
      <c r="E23667" s="5">
        <f t="shared" si="393"/>
        <v>2004</v>
      </c>
      <c r="F23667" s="3" t="s">
        <v>3806</v>
      </c>
      <c r="G23667" s="6">
        <v>72137.25</v>
      </c>
      <c r="H23667" s="5">
        <v>1966</v>
      </c>
    </row>
    <row r="23668" spans="2:8" ht="15" customHeight="1" x14ac:dyDescent="0.4">
      <c r="B23668" s="3" t="s">
        <v>7</v>
      </c>
      <c r="C23668" s="3" t="s">
        <v>3805</v>
      </c>
      <c r="D23668" s="4">
        <f>DATE(2004,8,19)</f>
        <v>38218</v>
      </c>
      <c r="E23668" s="5">
        <f t="shared" si="393"/>
        <v>2004</v>
      </c>
      <c r="F23668" s="3" t="s">
        <v>3806</v>
      </c>
      <c r="G23668" s="6">
        <v>20053.97</v>
      </c>
      <c r="H23668" s="5">
        <v>3205</v>
      </c>
    </row>
    <row r="23669" spans="2:8" ht="15" customHeight="1" x14ac:dyDescent="0.4">
      <c r="B23669" s="3" t="s">
        <v>7</v>
      </c>
      <c r="C23669" s="3" t="s">
        <v>3805</v>
      </c>
      <c r="D23669" s="4">
        <f>DATE(2004,10,20)</f>
        <v>38280</v>
      </c>
      <c r="E23669" s="5">
        <f t="shared" si="393"/>
        <v>2004</v>
      </c>
      <c r="F23669" s="3" t="s">
        <v>3806</v>
      </c>
      <c r="G23669" s="6">
        <v>52217.52</v>
      </c>
      <c r="H23669" s="5">
        <v>3488</v>
      </c>
    </row>
    <row r="23670" spans="2:8" ht="15" customHeight="1" x14ac:dyDescent="0.4">
      <c r="B23670" s="3" t="s">
        <v>7</v>
      </c>
      <c r="C23670" s="3" t="s">
        <v>3805</v>
      </c>
      <c r="D23670" s="4">
        <f>DATE(2005,7,29)</f>
        <v>38562</v>
      </c>
      <c r="E23670" s="5">
        <f t="shared" si="393"/>
        <v>2005</v>
      </c>
      <c r="F23670" s="3" t="s">
        <v>3806</v>
      </c>
      <c r="G23670" s="6">
        <v>96741.33</v>
      </c>
      <c r="H23670" s="5">
        <v>4866</v>
      </c>
    </row>
    <row r="23671" spans="2:8" ht="15" customHeight="1" x14ac:dyDescent="0.4">
      <c r="B23671" s="3" t="s">
        <v>7</v>
      </c>
      <c r="C23671" s="3" t="s">
        <v>3805</v>
      </c>
      <c r="D23671" s="4">
        <f>DATE(2006,7,14)</f>
        <v>38912</v>
      </c>
      <c r="E23671" s="5">
        <f t="shared" si="393"/>
        <v>2006</v>
      </c>
      <c r="F23671" s="3" t="s">
        <v>3806</v>
      </c>
      <c r="G23671" s="6">
        <v>30368.400000000001</v>
      </c>
      <c r="H23671" s="5">
        <v>6073</v>
      </c>
    </row>
    <row r="23672" spans="2:8" ht="15" customHeight="1" x14ac:dyDescent="0.4">
      <c r="B23672" s="3" t="s">
        <v>7</v>
      </c>
      <c r="C23672" s="3" t="s">
        <v>3805</v>
      </c>
      <c r="D23672" s="4">
        <f>DATE(2007,3,2)</f>
        <v>39143</v>
      </c>
      <c r="E23672" s="5">
        <f t="shared" si="393"/>
        <v>2007</v>
      </c>
      <c r="F23672" s="3" t="s">
        <v>3806</v>
      </c>
      <c r="G23672" s="6">
        <v>75042</v>
      </c>
      <c r="H23672" s="5">
        <v>7418</v>
      </c>
    </row>
    <row r="23673" spans="2:8" ht="15" customHeight="1" x14ac:dyDescent="0.4">
      <c r="B23673" s="3" t="s">
        <v>7</v>
      </c>
      <c r="C23673" s="3" t="s">
        <v>3805</v>
      </c>
      <c r="D23673" s="4">
        <f>DATE(2008,4,4)</f>
        <v>39542</v>
      </c>
      <c r="E23673" s="5">
        <f t="shared" si="393"/>
        <v>2008</v>
      </c>
      <c r="F23673" s="3" t="s">
        <v>3806</v>
      </c>
      <c r="G23673" s="6">
        <v>100474.13</v>
      </c>
      <c r="H23673" s="5">
        <v>9972</v>
      </c>
    </row>
    <row r="23674" spans="2:8" ht="15" customHeight="1" x14ac:dyDescent="0.4">
      <c r="B23674" s="3" t="s">
        <v>7</v>
      </c>
      <c r="C23674" s="3" t="s">
        <v>3805</v>
      </c>
      <c r="D23674" s="4">
        <f>DATE(2008,10,2)</f>
        <v>39723</v>
      </c>
      <c r="E23674" s="5">
        <f t="shared" si="393"/>
        <v>2008</v>
      </c>
      <c r="F23674" s="3" t="s">
        <v>3806</v>
      </c>
      <c r="G23674" s="6">
        <v>104987.55</v>
      </c>
      <c r="H23674" s="5">
        <v>11134</v>
      </c>
    </row>
    <row r="23675" spans="2:8" ht="15" customHeight="1" x14ac:dyDescent="0.4">
      <c r="B23675" s="3" t="s">
        <v>7</v>
      </c>
      <c r="C23675" s="3" t="s">
        <v>3805</v>
      </c>
      <c r="D23675" s="4">
        <f>DATE(2009,5,1)</f>
        <v>39934</v>
      </c>
      <c r="E23675" s="5">
        <f t="shared" si="393"/>
        <v>2009</v>
      </c>
      <c r="F23675" s="3" t="s">
        <v>3806</v>
      </c>
      <c r="G23675" s="6">
        <v>14072.14</v>
      </c>
      <c r="H23675" s="5">
        <v>12222</v>
      </c>
    </row>
    <row r="23676" spans="2:8" ht="15" customHeight="1" x14ac:dyDescent="0.4">
      <c r="B23676" t="s">
        <v>7</v>
      </c>
      <c r="C23676" t="s">
        <v>3807</v>
      </c>
      <c r="D23676" s="7">
        <f>DATE(2017,1,31)</f>
        <v>42766</v>
      </c>
      <c r="E23676" s="8">
        <f t="shared" si="393"/>
        <v>2017</v>
      </c>
      <c r="F23676" t="s">
        <v>3808</v>
      </c>
      <c r="G23676" s="9">
        <v>46521.56</v>
      </c>
      <c r="H23676" s="8">
        <v>23558</v>
      </c>
    </row>
    <row r="23677" spans="2:8" ht="15" customHeight="1" x14ac:dyDescent="0.4">
      <c r="B23677" t="s">
        <v>16</v>
      </c>
      <c r="C23677" t="s">
        <v>3809</v>
      </c>
      <c r="D23677" s="7">
        <f>DATE(2013,5,18)</f>
        <v>41412</v>
      </c>
      <c r="E23677" s="8">
        <f t="shared" si="393"/>
        <v>2013</v>
      </c>
      <c r="F23677" t="s">
        <v>3810</v>
      </c>
      <c r="G23677" s="9">
        <v>2313.5700000000002</v>
      </c>
      <c r="H23677" s="8">
        <v>21720</v>
      </c>
    </row>
    <row r="23678" spans="2:8" ht="15" customHeight="1" x14ac:dyDescent="0.4">
      <c r="B23678" t="s">
        <v>7</v>
      </c>
      <c r="C23678" t="s">
        <v>3809</v>
      </c>
      <c r="D23678" s="7">
        <f>DATE(2013,4,15)</f>
        <v>41379</v>
      </c>
      <c r="E23678" s="8">
        <f t="shared" si="393"/>
        <v>2013</v>
      </c>
      <c r="F23678" t="s">
        <v>3810</v>
      </c>
      <c r="G23678" s="9">
        <v>38385</v>
      </c>
      <c r="H23678" s="8">
        <v>12114</v>
      </c>
    </row>
    <row r="23679" spans="2:8" ht="15" customHeight="1" x14ac:dyDescent="0.4">
      <c r="B23679" t="s">
        <v>7</v>
      </c>
      <c r="C23679" t="s">
        <v>3809</v>
      </c>
      <c r="D23679" s="7">
        <f>DATE(2013,5,23)</f>
        <v>41417</v>
      </c>
      <c r="E23679" s="8">
        <f t="shared" si="393"/>
        <v>2013</v>
      </c>
      <c r="F23679" t="s">
        <v>3810</v>
      </c>
      <c r="G23679" s="9">
        <v>27214.77</v>
      </c>
      <c r="H23679" s="8">
        <v>12115</v>
      </c>
    </row>
    <row r="23680" spans="2:8" ht="15" customHeight="1" x14ac:dyDescent="0.4">
      <c r="B23680" s="3" t="s">
        <v>7</v>
      </c>
      <c r="C23680" s="3" t="s">
        <v>3811</v>
      </c>
      <c r="D23680" s="4">
        <f>DATE(2003,1,23)</f>
        <v>37644</v>
      </c>
      <c r="E23680" s="5">
        <f t="shared" si="393"/>
        <v>2003</v>
      </c>
      <c r="F23680" s="3" t="s">
        <v>3812</v>
      </c>
      <c r="G23680" s="6">
        <v>10137.6</v>
      </c>
      <c r="H23680" s="5">
        <v>116</v>
      </c>
    </row>
    <row r="23681" spans="2:8" ht="15" customHeight="1" x14ac:dyDescent="0.4">
      <c r="B23681" t="s">
        <v>7</v>
      </c>
      <c r="C23681" t="s">
        <v>3811</v>
      </c>
      <c r="D23681" s="7">
        <f>DATE(2015,5,18)</f>
        <v>42142</v>
      </c>
      <c r="E23681" s="8">
        <f t="shared" si="393"/>
        <v>2015</v>
      </c>
      <c r="F23681" t="s">
        <v>3813</v>
      </c>
      <c r="G23681" s="9">
        <v>38728.43</v>
      </c>
      <c r="H23681" s="8">
        <v>20457</v>
      </c>
    </row>
    <row r="23682" spans="2:8" ht="15" customHeight="1" x14ac:dyDescent="0.4">
      <c r="B23682" t="s">
        <v>7</v>
      </c>
      <c r="C23682" t="s">
        <v>3811</v>
      </c>
      <c r="D23682" s="7">
        <f>DATE(2015,6,30)</f>
        <v>42185</v>
      </c>
      <c r="E23682" s="8">
        <f t="shared" si="393"/>
        <v>2015</v>
      </c>
      <c r="F23682" t="s">
        <v>3813</v>
      </c>
      <c r="G23682" s="9">
        <v>40252.25</v>
      </c>
      <c r="H23682" s="8">
        <v>20667</v>
      </c>
    </row>
    <row r="23683" spans="2:8" ht="15" customHeight="1" x14ac:dyDescent="0.4">
      <c r="B23683" t="s">
        <v>7</v>
      </c>
      <c r="C23683" t="s">
        <v>3811</v>
      </c>
      <c r="D23683" s="7">
        <f>DATE(2018,2,7)</f>
        <v>43138</v>
      </c>
      <c r="E23683" s="8">
        <f t="shared" ref="E23683:E23746" si="394">YEAR(D23683)</f>
        <v>2018</v>
      </c>
      <c r="F23683" t="s">
        <v>3813</v>
      </c>
      <c r="G23683" s="9">
        <v>30240.47</v>
      </c>
      <c r="H23683" s="8">
        <v>26351</v>
      </c>
    </row>
    <row r="23684" spans="2:8" ht="15" customHeight="1" x14ac:dyDescent="0.4">
      <c r="B23684" t="s">
        <v>7</v>
      </c>
      <c r="C23684" t="s">
        <v>3811</v>
      </c>
      <c r="D23684" s="7">
        <f>DATE(2003,2,4)</f>
        <v>37656</v>
      </c>
      <c r="E23684" s="8">
        <f t="shared" si="394"/>
        <v>2003</v>
      </c>
      <c r="F23684" t="s">
        <v>3813</v>
      </c>
      <c r="G23684" s="9">
        <v>14134.7</v>
      </c>
      <c r="H23684" s="8">
        <v>119</v>
      </c>
    </row>
    <row r="23685" spans="2:8" ht="15" customHeight="1" x14ac:dyDescent="0.4">
      <c r="B23685" t="s">
        <v>7</v>
      </c>
      <c r="C23685" t="s">
        <v>3811</v>
      </c>
      <c r="D23685" s="7">
        <f>DATE(2004,4,30)</f>
        <v>38107</v>
      </c>
      <c r="E23685" s="8">
        <f t="shared" si="394"/>
        <v>2004</v>
      </c>
      <c r="F23685" t="s">
        <v>3813</v>
      </c>
      <c r="G23685" s="9">
        <v>20074.3</v>
      </c>
      <c r="H23685" s="8">
        <v>1697</v>
      </c>
    </row>
    <row r="23686" spans="2:8" ht="15" customHeight="1" x14ac:dyDescent="0.4">
      <c r="B23686" t="s">
        <v>7</v>
      </c>
      <c r="C23686" t="s">
        <v>3811</v>
      </c>
      <c r="D23686" s="7">
        <f>DATE(2004,5,14)</f>
        <v>38121</v>
      </c>
      <c r="E23686" s="8">
        <f t="shared" si="394"/>
        <v>2004</v>
      </c>
      <c r="F23686" t="s">
        <v>3813</v>
      </c>
      <c r="G23686" s="9">
        <v>25478.63</v>
      </c>
      <c r="H23686" s="8">
        <v>1755</v>
      </c>
    </row>
    <row r="23687" spans="2:8" ht="15" customHeight="1" x14ac:dyDescent="0.4">
      <c r="B23687" t="s">
        <v>7</v>
      </c>
      <c r="C23687" t="s">
        <v>3811</v>
      </c>
      <c r="D23687" s="7">
        <f>DATE(2005,2,4)</f>
        <v>38387</v>
      </c>
      <c r="E23687" s="8">
        <f t="shared" si="394"/>
        <v>2005</v>
      </c>
      <c r="F23687" t="s">
        <v>3813</v>
      </c>
      <c r="G23687" s="9">
        <v>24135.61</v>
      </c>
      <c r="H23687" s="8">
        <v>2454</v>
      </c>
    </row>
    <row r="23688" spans="2:8" ht="15" customHeight="1" x14ac:dyDescent="0.4">
      <c r="B23688" t="s">
        <v>7</v>
      </c>
      <c r="C23688" t="s">
        <v>3811</v>
      </c>
      <c r="D23688" s="7">
        <f>DATE(2005,8,8)</f>
        <v>38572</v>
      </c>
      <c r="E23688" s="8">
        <f t="shared" si="394"/>
        <v>2005</v>
      </c>
      <c r="F23688" t="s">
        <v>3813</v>
      </c>
      <c r="G23688" s="9">
        <v>25380.98</v>
      </c>
      <c r="H23688" s="8">
        <v>3439</v>
      </c>
    </row>
    <row r="23689" spans="2:8" ht="15" customHeight="1" x14ac:dyDescent="0.4">
      <c r="B23689" t="s">
        <v>7</v>
      </c>
      <c r="C23689" t="s">
        <v>3811</v>
      </c>
      <c r="D23689" s="7">
        <f>DATE(2005,9,23)</f>
        <v>38618</v>
      </c>
      <c r="E23689" s="8">
        <f t="shared" si="394"/>
        <v>2005</v>
      </c>
      <c r="F23689" t="s">
        <v>3813</v>
      </c>
      <c r="G23689" s="9">
        <v>21535.86</v>
      </c>
      <c r="H23689" s="8">
        <v>3557</v>
      </c>
    </row>
    <row r="23690" spans="2:8" ht="15" customHeight="1" x14ac:dyDescent="0.4">
      <c r="B23690" t="s">
        <v>7</v>
      </c>
      <c r="C23690" t="s">
        <v>3811</v>
      </c>
      <c r="D23690" s="7">
        <f>DATE(2007,8,7)</f>
        <v>39301</v>
      </c>
      <c r="E23690" s="8">
        <f t="shared" si="394"/>
        <v>2007</v>
      </c>
      <c r="F23690" t="s">
        <v>3813</v>
      </c>
      <c r="G23690" s="9">
        <v>1980</v>
      </c>
      <c r="H23690" s="8">
        <v>6237</v>
      </c>
    </row>
    <row r="23691" spans="2:8" ht="15" customHeight="1" x14ac:dyDescent="0.4">
      <c r="B23691" t="s">
        <v>7</v>
      </c>
      <c r="C23691" t="s">
        <v>3811</v>
      </c>
      <c r="D23691" s="7">
        <f>DATE(2008,6,1)</f>
        <v>39600</v>
      </c>
      <c r="E23691" s="8">
        <f t="shared" si="394"/>
        <v>2008</v>
      </c>
      <c r="F23691" t="s">
        <v>3813</v>
      </c>
      <c r="G23691" s="9">
        <v>28279.7</v>
      </c>
      <c r="H23691" s="8">
        <v>7353</v>
      </c>
    </row>
    <row r="23692" spans="2:8" ht="15" customHeight="1" x14ac:dyDescent="0.4">
      <c r="B23692" t="s">
        <v>7</v>
      </c>
      <c r="C23692" t="s">
        <v>3811</v>
      </c>
      <c r="D23692" s="7">
        <f>DATE(2010,2,18)</f>
        <v>40227</v>
      </c>
      <c r="E23692" s="8">
        <f t="shared" si="394"/>
        <v>2010</v>
      </c>
      <c r="F23692" t="s">
        <v>3813</v>
      </c>
      <c r="G23692" s="9">
        <v>33010.86</v>
      </c>
      <c r="H23692" s="8">
        <v>9286</v>
      </c>
    </row>
    <row r="23693" spans="2:8" ht="15" customHeight="1" x14ac:dyDescent="0.4">
      <c r="B23693" t="s">
        <v>7</v>
      </c>
      <c r="C23693" t="s">
        <v>3811</v>
      </c>
      <c r="D23693" s="7">
        <f>DATE(2010,4,6)</f>
        <v>40274</v>
      </c>
      <c r="E23693" s="8">
        <f t="shared" si="394"/>
        <v>2010</v>
      </c>
      <c r="F23693" t="s">
        <v>3813</v>
      </c>
      <c r="G23693" s="9">
        <v>35409.47</v>
      </c>
      <c r="H23693" s="8">
        <v>9293</v>
      </c>
    </row>
    <row r="23694" spans="2:8" ht="15" customHeight="1" x14ac:dyDescent="0.4">
      <c r="B23694" t="s">
        <v>7</v>
      </c>
      <c r="C23694" t="s">
        <v>3811</v>
      </c>
      <c r="D23694" s="7">
        <f>DATE(2010,10,11)</f>
        <v>40462</v>
      </c>
      <c r="E23694" s="8">
        <f t="shared" si="394"/>
        <v>2010</v>
      </c>
      <c r="F23694" t="s">
        <v>3813</v>
      </c>
      <c r="G23694" s="9">
        <v>40497.42</v>
      </c>
      <c r="H23694" s="8">
        <v>10153</v>
      </c>
    </row>
    <row r="23695" spans="2:8" ht="15" customHeight="1" x14ac:dyDescent="0.4">
      <c r="B23695" t="s">
        <v>7</v>
      </c>
      <c r="C23695" t="s">
        <v>3811</v>
      </c>
      <c r="D23695" s="7">
        <f>DATE(2010,10,20)</f>
        <v>40471</v>
      </c>
      <c r="E23695" s="8">
        <f t="shared" si="394"/>
        <v>2010</v>
      </c>
      <c r="F23695" t="s">
        <v>3813</v>
      </c>
      <c r="G23695" s="9">
        <v>34918.76</v>
      </c>
      <c r="H23695" s="8">
        <v>10192</v>
      </c>
    </row>
    <row r="23696" spans="2:8" ht="15" customHeight="1" x14ac:dyDescent="0.4">
      <c r="B23696" t="s">
        <v>7</v>
      </c>
      <c r="C23696" t="s">
        <v>3811</v>
      </c>
      <c r="D23696" s="7">
        <f>DATE(2011,4,8)</f>
        <v>40641</v>
      </c>
      <c r="E23696" s="8">
        <f t="shared" si="394"/>
        <v>2011</v>
      </c>
      <c r="F23696" t="s">
        <v>3813</v>
      </c>
      <c r="G23696" s="9">
        <v>19563.53</v>
      </c>
      <c r="H23696" s="8">
        <v>10274</v>
      </c>
    </row>
    <row r="23697" spans="2:8" ht="15" customHeight="1" x14ac:dyDescent="0.4">
      <c r="B23697" t="s">
        <v>7</v>
      </c>
      <c r="C23697" t="s">
        <v>3811</v>
      </c>
      <c r="D23697" s="7">
        <f>DATE(2011,4,27)</f>
        <v>40660</v>
      </c>
      <c r="E23697" s="8">
        <f t="shared" si="394"/>
        <v>2011</v>
      </c>
      <c r="F23697" t="s">
        <v>3813</v>
      </c>
      <c r="G23697" s="9">
        <v>29335.11</v>
      </c>
      <c r="H23697" s="8">
        <v>10273</v>
      </c>
    </row>
    <row r="23698" spans="2:8" ht="15" customHeight="1" x14ac:dyDescent="0.4">
      <c r="B23698" t="s">
        <v>7</v>
      </c>
      <c r="C23698" t="s">
        <v>3811</v>
      </c>
      <c r="D23698" s="7">
        <f>DATE(2011,6,8)</f>
        <v>40702</v>
      </c>
      <c r="E23698" s="8">
        <f t="shared" si="394"/>
        <v>2011</v>
      </c>
      <c r="F23698" t="s">
        <v>3813</v>
      </c>
      <c r="G23698" s="9">
        <v>43656.28</v>
      </c>
      <c r="H23698" s="8">
        <v>10802</v>
      </c>
    </row>
    <row r="23699" spans="2:8" ht="15" customHeight="1" x14ac:dyDescent="0.4">
      <c r="B23699" t="s">
        <v>7</v>
      </c>
      <c r="C23699" t="s">
        <v>3811</v>
      </c>
      <c r="D23699" s="7">
        <f>DATE(2011,12,6)</f>
        <v>40883</v>
      </c>
      <c r="E23699" s="8">
        <f t="shared" si="394"/>
        <v>2011</v>
      </c>
      <c r="F23699" t="s">
        <v>3813</v>
      </c>
      <c r="G23699" s="9">
        <v>35746.959999999999</v>
      </c>
      <c r="H23699" s="8">
        <v>10898</v>
      </c>
    </row>
    <row r="23700" spans="2:8" ht="15" customHeight="1" x14ac:dyDescent="0.4">
      <c r="B23700" t="s">
        <v>7</v>
      </c>
      <c r="C23700" t="s">
        <v>3811</v>
      </c>
      <c r="D23700" s="7">
        <f>DATE(2012,5,22)</f>
        <v>41051</v>
      </c>
      <c r="E23700" s="8">
        <f t="shared" si="394"/>
        <v>2012</v>
      </c>
      <c r="F23700" t="s">
        <v>3813</v>
      </c>
      <c r="G23700" s="9">
        <v>27826.95</v>
      </c>
      <c r="H23700" s="8">
        <v>11604</v>
      </c>
    </row>
    <row r="23701" spans="2:8" ht="15" customHeight="1" x14ac:dyDescent="0.4">
      <c r="B23701" t="s">
        <v>7</v>
      </c>
      <c r="C23701" t="s">
        <v>3811</v>
      </c>
      <c r="D23701" s="7">
        <f>DATE(2012,10,11)</f>
        <v>41193</v>
      </c>
      <c r="E23701" s="8">
        <f t="shared" si="394"/>
        <v>2012</v>
      </c>
      <c r="F23701" t="s">
        <v>3813</v>
      </c>
      <c r="G23701" s="9">
        <v>41726.379999999997</v>
      </c>
      <c r="H23701" s="8">
        <v>11858</v>
      </c>
    </row>
    <row r="23702" spans="2:8" ht="15" customHeight="1" x14ac:dyDescent="0.4">
      <c r="B23702" t="s">
        <v>7</v>
      </c>
      <c r="C23702" t="s">
        <v>3811</v>
      </c>
      <c r="D23702" s="7">
        <f>DATE(2012,12,18)</f>
        <v>41261</v>
      </c>
      <c r="E23702" s="8">
        <f t="shared" si="394"/>
        <v>2012</v>
      </c>
      <c r="F23702" t="s">
        <v>3813</v>
      </c>
      <c r="G23702" s="9">
        <v>35853.519999999997</v>
      </c>
      <c r="H23702" s="8">
        <v>11979</v>
      </c>
    </row>
    <row r="23703" spans="2:8" ht="15" customHeight="1" x14ac:dyDescent="0.4">
      <c r="B23703" t="s">
        <v>7</v>
      </c>
      <c r="C23703" t="s">
        <v>3811</v>
      </c>
      <c r="D23703" s="7">
        <f>DATE(2012,11,19)</f>
        <v>41232</v>
      </c>
      <c r="E23703" s="8">
        <f t="shared" si="394"/>
        <v>2012</v>
      </c>
      <c r="F23703" t="s">
        <v>3813</v>
      </c>
      <c r="G23703" s="9">
        <v>21484.91</v>
      </c>
      <c r="H23703" s="8">
        <v>11978</v>
      </c>
    </row>
    <row r="23704" spans="2:8" ht="15" customHeight="1" x14ac:dyDescent="0.4">
      <c r="B23704" t="s">
        <v>7</v>
      </c>
      <c r="C23704" t="s">
        <v>3811</v>
      </c>
      <c r="D23704" s="7">
        <f>DATE(2014,4,10)</f>
        <v>41739</v>
      </c>
      <c r="E23704" s="8">
        <f t="shared" si="394"/>
        <v>2014</v>
      </c>
      <c r="F23704" t="s">
        <v>3813</v>
      </c>
      <c r="G23704" s="9">
        <v>37500</v>
      </c>
      <c r="H23704" s="8">
        <v>13080</v>
      </c>
    </row>
    <row r="23705" spans="2:8" ht="15" customHeight="1" x14ac:dyDescent="0.4">
      <c r="B23705" t="s">
        <v>16</v>
      </c>
      <c r="C23705" t="s">
        <v>3811</v>
      </c>
      <c r="D23705" s="7">
        <f>DATE(2003,2,1)</f>
        <v>37653</v>
      </c>
      <c r="E23705" s="8">
        <f t="shared" si="394"/>
        <v>2003</v>
      </c>
      <c r="F23705" t="s">
        <v>3813</v>
      </c>
      <c r="G23705" s="9">
        <v>1600</v>
      </c>
      <c r="H23705" s="8">
        <v>339</v>
      </c>
    </row>
    <row r="23706" spans="2:8" ht="15" customHeight="1" x14ac:dyDescent="0.4">
      <c r="B23706" t="s">
        <v>7</v>
      </c>
      <c r="C23706" t="s">
        <v>3814</v>
      </c>
      <c r="D23706" s="7">
        <f>DATE(2004,10,14)</f>
        <v>38274</v>
      </c>
      <c r="E23706" s="8">
        <f t="shared" si="394"/>
        <v>2004</v>
      </c>
      <c r="F23706" t="s">
        <v>3815</v>
      </c>
      <c r="G23706" s="9">
        <v>3708.2</v>
      </c>
      <c r="H23706" s="8">
        <v>2250</v>
      </c>
    </row>
    <row r="23707" spans="2:8" ht="15" customHeight="1" x14ac:dyDescent="0.4">
      <c r="B23707" t="s">
        <v>7</v>
      </c>
      <c r="C23707" t="s">
        <v>3814</v>
      </c>
      <c r="D23707" s="7">
        <f>DATE(2005,3,25)</f>
        <v>38436</v>
      </c>
      <c r="E23707" s="8">
        <f t="shared" si="394"/>
        <v>2005</v>
      </c>
      <c r="F23707" t="s">
        <v>3815</v>
      </c>
      <c r="G23707" s="9">
        <v>8339.7999999999993</v>
      </c>
      <c r="H23707" s="8">
        <v>2591</v>
      </c>
    </row>
    <row r="23708" spans="2:8" ht="15" customHeight="1" x14ac:dyDescent="0.4">
      <c r="B23708" t="s">
        <v>7</v>
      </c>
      <c r="C23708" t="s">
        <v>3814</v>
      </c>
      <c r="D23708" s="7">
        <f>DATE(2005,3,27)</f>
        <v>38438</v>
      </c>
      <c r="E23708" s="8">
        <f t="shared" si="394"/>
        <v>2005</v>
      </c>
      <c r="F23708" t="s">
        <v>3815</v>
      </c>
      <c r="G23708" s="9">
        <v>2663</v>
      </c>
      <c r="H23708" s="8">
        <v>2604</v>
      </c>
    </row>
    <row r="23709" spans="2:8" ht="15" customHeight="1" x14ac:dyDescent="0.4">
      <c r="B23709" t="s">
        <v>7</v>
      </c>
      <c r="C23709" t="s">
        <v>3814</v>
      </c>
      <c r="D23709" s="7">
        <f>DATE(2006,4,6)</f>
        <v>38813</v>
      </c>
      <c r="E23709" s="8">
        <f t="shared" si="394"/>
        <v>2006</v>
      </c>
      <c r="F23709" t="s">
        <v>3815</v>
      </c>
      <c r="G23709" s="9">
        <v>8768.68</v>
      </c>
      <c r="H23709" s="8">
        <v>4255</v>
      </c>
    </row>
    <row r="23710" spans="2:8" ht="15" customHeight="1" x14ac:dyDescent="0.4">
      <c r="B23710" t="s">
        <v>7</v>
      </c>
      <c r="C23710" t="s">
        <v>3814</v>
      </c>
      <c r="D23710" s="7">
        <f>DATE(2007,3,15)</f>
        <v>39156</v>
      </c>
      <c r="E23710" s="8">
        <f t="shared" si="394"/>
        <v>2007</v>
      </c>
      <c r="F23710" t="s">
        <v>3816</v>
      </c>
      <c r="G23710" s="9">
        <v>7969.6</v>
      </c>
      <c r="H23710" s="8">
        <v>5471</v>
      </c>
    </row>
    <row r="23711" spans="2:8" ht="15" customHeight="1" x14ac:dyDescent="0.4">
      <c r="B23711" t="s">
        <v>7</v>
      </c>
      <c r="C23711" t="s">
        <v>3814</v>
      </c>
      <c r="D23711" s="7">
        <f>DATE(2015,3,23)</f>
        <v>42086</v>
      </c>
      <c r="E23711" s="8">
        <f t="shared" si="394"/>
        <v>2015</v>
      </c>
      <c r="F23711" t="s">
        <v>3817</v>
      </c>
      <c r="G23711" s="9">
        <v>8850.49</v>
      </c>
      <c r="H23711" s="8">
        <v>129</v>
      </c>
    </row>
    <row r="23712" spans="2:8" ht="15" customHeight="1" x14ac:dyDescent="0.4">
      <c r="B23712" t="s">
        <v>7</v>
      </c>
      <c r="C23712" t="s">
        <v>3814</v>
      </c>
      <c r="D23712" s="7">
        <f>DATE(2016,3,11)</f>
        <v>42440</v>
      </c>
      <c r="E23712" s="8">
        <f t="shared" si="394"/>
        <v>2016</v>
      </c>
      <c r="F23712" t="s">
        <v>3817</v>
      </c>
      <c r="G23712" s="9">
        <v>9050.2900000000009</v>
      </c>
      <c r="H23712" s="8">
        <v>21680</v>
      </c>
    </row>
    <row r="23713" spans="2:8" ht="15" customHeight="1" x14ac:dyDescent="0.4">
      <c r="B23713" t="s">
        <v>7</v>
      </c>
      <c r="C23713" t="s">
        <v>3814</v>
      </c>
      <c r="D23713" s="7">
        <f>DATE(2017,3,21)</f>
        <v>42815</v>
      </c>
      <c r="E23713" s="8">
        <f t="shared" si="394"/>
        <v>2017</v>
      </c>
      <c r="F23713" t="s">
        <v>3817</v>
      </c>
      <c r="G23713" s="9">
        <v>9250</v>
      </c>
      <c r="H23713" s="8">
        <v>24134</v>
      </c>
    </row>
    <row r="23714" spans="2:8" ht="15" customHeight="1" x14ac:dyDescent="0.4">
      <c r="B23714" t="s">
        <v>7</v>
      </c>
      <c r="C23714" t="s">
        <v>3814</v>
      </c>
      <c r="D23714" s="7">
        <f>DATE(2019,3,11)</f>
        <v>43535</v>
      </c>
      <c r="E23714" s="8">
        <f t="shared" si="394"/>
        <v>2019</v>
      </c>
      <c r="F23714" t="s">
        <v>3817</v>
      </c>
      <c r="G23714" s="9">
        <v>9280</v>
      </c>
      <c r="H23714" s="8">
        <v>28161</v>
      </c>
    </row>
    <row r="23715" spans="2:8" ht="15" customHeight="1" x14ac:dyDescent="0.4">
      <c r="B23715" t="s">
        <v>7</v>
      </c>
      <c r="C23715" t="s">
        <v>3814</v>
      </c>
      <c r="D23715" s="7">
        <f>DATE(2019,3,11)</f>
        <v>43535</v>
      </c>
      <c r="E23715" s="8">
        <f t="shared" si="394"/>
        <v>2019</v>
      </c>
      <c r="F23715" t="s">
        <v>3817</v>
      </c>
      <c r="G23715" s="9">
        <v>4625</v>
      </c>
      <c r="H23715" s="8">
        <v>28162</v>
      </c>
    </row>
    <row r="23716" spans="2:8" ht="15" customHeight="1" x14ac:dyDescent="0.4">
      <c r="B23716" t="s">
        <v>7</v>
      </c>
      <c r="C23716" t="s">
        <v>3814</v>
      </c>
      <c r="D23716" s="7">
        <f>DATE(2016,11,17)</f>
        <v>42691</v>
      </c>
      <c r="E23716" s="8">
        <f t="shared" si="394"/>
        <v>2016</v>
      </c>
      <c r="F23716" t="s">
        <v>3817</v>
      </c>
      <c r="G23716" s="9">
        <v>5614.35</v>
      </c>
      <c r="H23716" s="8">
        <v>23753</v>
      </c>
    </row>
    <row r="23717" spans="2:8" ht="15" customHeight="1" x14ac:dyDescent="0.4">
      <c r="B23717" t="s">
        <v>7</v>
      </c>
      <c r="C23717" t="s">
        <v>3814</v>
      </c>
      <c r="D23717" s="7">
        <f>DATE(2014,3,12)</f>
        <v>41710</v>
      </c>
      <c r="E23717" s="8">
        <f t="shared" si="394"/>
        <v>2014</v>
      </c>
      <c r="F23717" t="s">
        <v>3817</v>
      </c>
      <c r="G23717" s="9">
        <v>3371.33</v>
      </c>
      <c r="H23717" s="8">
        <v>12806</v>
      </c>
    </row>
    <row r="23718" spans="2:8" ht="15" customHeight="1" x14ac:dyDescent="0.4">
      <c r="B23718" t="s">
        <v>7</v>
      </c>
      <c r="C23718" t="s">
        <v>3814</v>
      </c>
      <c r="D23718" s="7">
        <f>DATE(2008,3,11)</f>
        <v>39518</v>
      </c>
      <c r="E23718" s="8">
        <f t="shared" si="394"/>
        <v>2008</v>
      </c>
      <c r="F23718" t="s">
        <v>3817</v>
      </c>
      <c r="G23718" s="9">
        <v>8163.5</v>
      </c>
      <c r="H23718" s="8">
        <v>7057</v>
      </c>
    </row>
    <row r="23719" spans="2:8" ht="15" customHeight="1" x14ac:dyDescent="0.4">
      <c r="B23719" t="s">
        <v>7</v>
      </c>
      <c r="C23719" t="s">
        <v>3814</v>
      </c>
      <c r="D23719" s="7">
        <f>DATE(2009,3,16)</f>
        <v>39888</v>
      </c>
      <c r="E23719" s="8">
        <f t="shared" si="394"/>
        <v>2009</v>
      </c>
      <c r="F23719" t="s">
        <v>3817</v>
      </c>
      <c r="G23719" s="9">
        <v>7888.82</v>
      </c>
      <c r="H23719" s="8">
        <v>8201</v>
      </c>
    </row>
    <row r="23720" spans="2:8" ht="15" customHeight="1" x14ac:dyDescent="0.4">
      <c r="B23720" t="s">
        <v>7</v>
      </c>
      <c r="C23720" t="s">
        <v>3814</v>
      </c>
      <c r="D23720" s="7">
        <f>DATE(2010,3,17)</f>
        <v>40254</v>
      </c>
      <c r="E23720" s="8">
        <f t="shared" si="394"/>
        <v>2010</v>
      </c>
      <c r="F23720" t="s">
        <v>3817</v>
      </c>
      <c r="G23720" s="9">
        <v>9438.7999999999993</v>
      </c>
      <c r="H23720" s="8">
        <v>9313</v>
      </c>
    </row>
    <row r="23721" spans="2:8" ht="15" customHeight="1" x14ac:dyDescent="0.4">
      <c r="B23721" t="s">
        <v>7</v>
      </c>
      <c r="C23721" t="s">
        <v>3814</v>
      </c>
      <c r="D23721" s="7">
        <f>DATE(2011,3,16)</f>
        <v>40618</v>
      </c>
      <c r="E23721" s="8">
        <f t="shared" si="394"/>
        <v>2011</v>
      </c>
      <c r="F23721" t="s">
        <v>3817</v>
      </c>
      <c r="G23721" s="9">
        <v>10540.91</v>
      </c>
      <c r="H23721" s="8">
        <v>10440</v>
      </c>
    </row>
    <row r="23722" spans="2:8" ht="15" customHeight="1" x14ac:dyDescent="0.4">
      <c r="B23722" t="s">
        <v>7</v>
      </c>
      <c r="C23722" t="s">
        <v>3814</v>
      </c>
      <c r="D23722" s="7">
        <f>DATE(2012,3,21)</f>
        <v>40989</v>
      </c>
      <c r="E23722" s="8">
        <f t="shared" si="394"/>
        <v>2012</v>
      </c>
      <c r="F23722" t="s">
        <v>3817</v>
      </c>
      <c r="G23722" s="9">
        <v>10670.08</v>
      </c>
      <c r="H23722" s="8">
        <v>11287</v>
      </c>
    </row>
    <row r="23723" spans="2:8" ht="15" customHeight="1" x14ac:dyDescent="0.4">
      <c r="B23723" t="s">
        <v>7</v>
      </c>
      <c r="C23723" t="s">
        <v>3814</v>
      </c>
      <c r="D23723" s="7">
        <f>DATE(2013,4,10)</f>
        <v>41374</v>
      </c>
      <c r="E23723" s="8">
        <f t="shared" si="394"/>
        <v>2013</v>
      </c>
      <c r="F23723" t="s">
        <v>3817</v>
      </c>
      <c r="G23723" s="9">
        <v>10659.01</v>
      </c>
      <c r="H23723" s="8">
        <v>12166</v>
      </c>
    </row>
    <row r="23724" spans="2:8" ht="15" customHeight="1" x14ac:dyDescent="0.4">
      <c r="B23724" t="s">
        <v>7</v>
      </c>
      <c r="C23724" t="s">
        <v>3814</v>
      </c>
      <c r="D23724" s="7">
        <f>DATE(2014,3,12)</f>
        <v>41710</v>
      </c>
      <c r="E23724" s="8">
        <f t="shared" si="394"/>
        <v>2014</v>
      </c>
      <c r="F23724" t="s">
        <v>3817</v>
      </c>
      <c r="G23724" s="9">
        <v>10959.01</v>
      </c>
      <c r="H23724" s="8">
        <v>12805</v>
      </c>
    </row>
    <row r="23725" spans="2:8" ht="15" customHeight="1" x14ac:dyDescent="0.4">
      <c r="B23725" t="s">
        <v>7</v>
      </c>
      <c r="C23725" t="s">
        <v>3814</v>
      </c>
      <c r="D23725" s="7">
        <f>DATE(2014,12,19)</f>
        <v>41992</v>
      </c>
      <c r="E23725" s="8">
        <f t="shared" si="394"/>
        <v>2014</v>
      </c>
      <c r="F23725" t="s">
        <v>3817</v>
      </c>
      <c r="G23725" s="9">
        <v>3713.72</v>
      </c>
      <c r="H23725" s="8">
        <v>13639</v>
      </c>
    </row>
    <row r="23726" spans="2:8" ht="15" customHeight="1" x14ac:dyDescent="0.4">
      <c r="B23726" s="3" t="s">
        <v>7</v>
      </c>
      <c r="C23726" s="3" t="s">
        <v>3818</v>
      </c>
      <c r="D23726" s="4">
        <f>DATE(2011,9,19)</f>
        <v>40805</v>
      </c>
      <c r="E23726" s="5">
        <f t="shared" si="394"/>
        <v>2011</v>
      </c>
      <c r="F23726" s="3" t="s">
        <v>3819</v>
      </c>
      <c r="G23726" s="6">
        <v>3999.96</v>
      </c>
      <c r="H23726" s="5">
        <v>15993</v>
      </c>
    </row>
    <row r="23727" spans="2:8" ht="15" customHeight="1" x14ac:dyDescent="0.4">
      <c r="B23727" s="3" t="s">
        <v>7</v>
      </c>
      <c r="C23727" s="3" t="s">
        <v>3820</v>
      </c>
      <c r="D23727" s="4">
        <f>DATE(2011,1,11)</f>
        <v>40554</v>
      </c>
      <c r="E23727" s="5">
        <f t="shared" si="394"/>
        <v>2011</v>
      </c>
      <c r="F23727" s="3" t="s">
        <v>3821</v>
      </c>
      <c r="G23727" s="6">
        <v>4800</v>
      </c>
      <c r="H23727" s="5">
        <v>14711</v>
      </c>
    </row>
    <row r="23728" spans="2:8" ht="15" customHeight="1" x14ac:dyDescent="0.4">
      <c r="B23728" t="s">
        <v>7</v>
      </c>
      <c r="C23728" t="s">
        <v>3822</v>
      </c>
      <c r="D23728" s="7">
        <f>DATE(2015,2,23)</f>
        <v>42058</v>
      </c>
      <c r="E23728" s="8">
        <f t="shared" si="394"/>
        <v>2015</v>
      </c>
      <c r="F23728" t="s">
        <v>3823</v>
      </c>
      <c r="G23728" s="9">
        <v>127455.37</v>
      </c>
      <c r="H23728" s="8">
        <v>135</v>
      </c>
    </row>
    <row r="23729" spans="2:8" ht="15" customHeight="1" x14ac:dyDescent="0.4">
      <c r="B23729" s="3" t="s">
        <v>7</v>
      </c>
      <c r="C23729" s="3" t="s">
        <v>3822</v>
      </c>
      <c r="D23729" s="4">
        <f>DATE(2013,9,18)</f>
        <v>41535</v>
      </c>
      <c r="E23729" s="5">
        <f t="shared" si="394"/>
        <v>2013</v>
      </c>
      <c r="F23729" s="3" t="s">
        <v>3823</v>
      </c>
      <c r="G23729" s="6">
        <v>6991.5</v>
      </c>
      <c r="H23729" s="5">
        <v>18858</v>
      </c>
    </row>
    <row r="23730" spans="2:8" ht="15" customHeight="1" x14ac:dyDescent="0.4">
      <c r="B23730" s="3" t="s">
        <v>7</v>
      </c>
      <c r="C23730" s="3" t="s">
        <v>3822</v>
      </c>
      <c r="D23730" s="4">
        <f>DATE(2013,9,18)</f>
        <v>41535</v>
      </c>
      <c r="E23730" s="5">
        <f t="shared" si="394"/>
        <v>2013</v>
      </c>
      <c r="F23730" s="3" t="s">
        <v>3823</v>
      </c>
      <c r="G23730" s="6">
        <v>13177.2</v>
      </c>
      <c r="H23730" s="5">
        <v>18925</v>
      </c>
    </row>
    <row r="23731" spans="2:8" ht="15" customHeight="1" x14ac:dyDescent="0.4">
      <c r="B23731" s="3" t="s">
        <v>7</v>
      </c>
      <c r="C23731" s="3" t="s">
        <v>3822</v>
      </c>
      <c r="D23731" s="4">
        <f>DATE(2013,11,21)</f>
        <v>41599</v>
      </c>
      <c r="E23731" s="5">
        <f t="shared" si="394"/>
        <v>2013</v>
      </c>
      <c r="F23731" s="3" t="s">
        <v>3823</v>
      </c>
      <c r="G23731" s="6">
        <v>7142.7</v>
      </c>
      <c r="H23731" s="5">
        <v>19052</v>
      </c>
    </row>
    <row r="23732" spans="2:8" ht="15" customHeight="1" x14ac:dyDescent="0.4">
      <c r="B23732" s="3" t="s">
        <v>7</v>
      </c>
      <c r="C23732" s="3" t="s">
        <v>3822</v>
      </c>
      <c r="D23732" s="4">
        <f>DATE(2013,11,21)</f>
        <v>41599</v>
      </c>
      <c r="E23732" s="5">
        <f t="shared" si="394"/>
        <v>2013</v>
      </c>
      <c r="F23732" s="3" t="s">
        <v>3823</v>
      </c>
      <c r="G23732" s="6">
        <v>7142.7</v>
      </c>
      <c r="H23732" s="5">
        <v>19115</v>
      </c>
    </row>
    <row r="23733" spans="2:8" ht="15" customHeight="1" x14ac:dyDescent="0.4">
      <c r="B23733" s="3" t="s">
        <v>7</v>
      </c>
      <c r="C23733" s="3" t="s">
        <v>3822</v>
      </c>
      <c r="D23733" s="4">
        <f>DATE(2013,12,5)</f>
        <v>41613</v>
      </c>
      <c r="E23733" s="5">
        <f t="shared" si="394"/>
        <v>2013</v>
      </c>
      <c r="F23733" s="3" t="s">
        <v>3823</v>
      </c>
      <c r="G23733" s="6">
        <v>9898.24</v>
      </c>
      <c r="H23733" s="5">
        <v>19230</v>
      </c>
    </row>
    <row r="23734" spans="2:8" ht="15" customHeight="1" x14ac:dyDescent="0.4">
      <c r="B23734" s="3" t="s">
        <v>7</v>
      </c>
      <c r="C23734" s="3" t="s">
        <v>3822</v>
      </c>
      <c r="D23734" s="4">
        <f>DATE(2013,12,18)</f>
        <v>41626</v>
      </c>
      <c r="E23734" s="5">
        <f t="shared" si="394"/>
        <v>2013</v>
      </c>
      <c r="F23734" s="3" t="s">
        <v>3823</v>
      </c>
      <c r="G23734" s="6">
        <v>15154.51</v>
      </c>
      <c r="H23734" s="5">
        <v>19297</v>
      </c>
    </row>
    <row r="23735" spans="2:8" ht="15" customHeight="1" x14ac:dyDescent="0.4">
      <c r="B23735" s="3" t="s">
        <v>7</v>
      </c>
      <c r="C23735" s="3" t="s">
        <v>3822</v>
      </c>
      <c r="D23735" s="4">
        <f>DATE(2014,10,13)</f>
        <v>41925</v>
      </c>
      <c r="E23735" s="5">
        <f t="shared" si="394"/>
        <v>2014</v>
      </c>
      <c r="F23735" s="3" t="s">
        <v>3823</v>
      </c>
      <c r="G23735" s="6">
        <v>18218.78</v>
      </c>
      <c r="H23735" s="5">
        <v>20283</v>
      </c>
    </row>
    <row r="23736" spans="2:8" ht="15" customHeight="1" x14ac:dyDescent="0.4">
      <c r="B23736" s="3" t="s">
        <v>7</v>
      </c>
      <c r="C23736" s="3" t="s">
        <v>3822</v>
      </c>
      <c r="D23736" s="4">
        <f>DATE(2014,10,13)</f>
        <v>41925</v>
      </c>
      <c r="E23736" s="5">
        <f t="shared" si="394"/>
        <v>2014</v>
      </c>
      <c r="F23736" s="3" t="s">
        <v>3823</v>
      </c>
      <c r="G23736" s="6">
        <v>12539.78</v>
      </c>
      <c r="H23736" s="5">
        <v>20360</v>
      </c>
    </row>
    <row r="23737" spans="2:8" ht="15" customHeight="1" x14ac:dyDescent="0.4">
      <c r="B23737" s="3" t="s">
        <v>7</v>
      </c>
      <c r="C23737" s="3" t="s">
        <v>3822</v>
      </c>
      <c r="D23737" s="4">
        <f>DATE(2014,10,14)</f>
        <v>41926</v>
      </c>
      <c r="E23737" s="5">
        <f t="shared" si="394"/>
        <v>2014</v>
      </c>
      <c r="F23737" s="3" t="s">
        <v>3823</v>
      </c>
      <c r="G23737" s="6">
        <v>18058.3</v>
      </c>
      <c r="H23737" s="5">
        <v>20533</v>
      </c>
    </row>
    <row r="23738" spans="2:8" ht="15" customHeight="1" x14ac:dyDescent="0.4">
      <c r="B23738" s="3" t="s">
        <v>7</v>
      </c>
      <c r="C23738" s="3" t="s">
        <v>3822</v>
      </c>
      <c r="D23738" s="4">
        <f>DATE(2014,10,14)</f>
        <v>41926</v>
      </c>
      <c r="E23738" s="5">
        <f t="shared" si="394"/>
        <v>2014</v>
      </c>
      <c r="F23738" s="3" t="s">
        <v>3823</v>
      </c>
      <c r="G23738" s="6">
        <v>12429.78</v>
      </c>
      <c r="H23738" s="5">
        <v>20534</v>
      </c>
    </row>
    <row r="23739" spans="2:8" ht="15" customHeight="1" x14ac:dyDescent="0.4">
      <c r="B23739" s="3" t="s">
        <v>7</v>
      </c>
      <c r="C23739" s="3" t="s">
        <v>3822</v>
      </c>
      <c r="D23739" s="4">
        <f>DATE(2014,10,22)</f>
        <v>41934</v>
      </c>
      <c r="E23739" s="5">
        <f t="shared" si="394"/>
        <v>2014</v>
      </c>
      <c r="F23739" s="3" t="s">
        <v>3823</v>
      </c>
      <c r="G23739" s="6">
        <v>11314.78</v>
      </c>
      <c r="H23739" s="5">
        <v>20541</v>
      </c>
    </row>
    <row r="23740" spans="2:8" ht="15" customHeight="1" x14ac:dyDescent="0.4">
      <c r="B23740" s="3" t="s">
        <v>7</v>
      </c>
      <c r="C23740" s="3" t="s">
        <v>3822</v>
      </c>
      <c r="D23740" s="4">
        <f>DATE(2014,11,6)</f>
        <v>41949</v>
      </c>
      <c r="E23740" s="5">
        <f t="shared" si="394"/>
        <v>2014</v>
      </c>
      <c r="F23740" s="3" t="s">
        <v>3823</v>
      </c>
      <c r="G23740" s="6">
        <v>44896.6</v>
      </c>
      <c r="H23740" s="5">
        <v>20542</v>
      </c>
    </row>
    <row r="23741" spans="2:8" ht="15" customHeight="1" x14ac:dyDescent="0.4">
      <c r="B23741" s="3" t="s">
        <v>7</v>
      </c>
      <c r="C23741" s="3" t="s">
        <v>3822</v>
      </c>
      <c r="D23741" s="4">
        <f>DATE(2014,11,26)</f>
        <v>41969</v>
      </c>
      <c r="E23741" s="5">
        <f t="shared" si="394"/>
        <v>2014</v>
      </c>
      <c r="F23741" s="3" t="s">
        <v>3823</v>
      </c>
      <c r="G23741" s="6">
        <v>75521.66</v>
      </c>
      <c r="H23741" s="5">
        <v>20543</v>
      </c>
    </row>
    <row r="23742" spans="2:8" ht="15" customHeight="1" x14ac:dyDescent="0.4">
      <c r="B23742" s="3" t="s">
        <v>16</v>
      </c>
      <c r="C23742" s="3" t="s">
        <v>3822</v>
      </c>
      <c r="D23742" s="4">
        <f>DATE(2014,10,14)</f>
        <v>41926</v>
      </c>
      <c r="E23742" s="5">
        <f t="shared" si="394"/>
        <v>2014</v>
      </c>
      <c r="F23742" s="3" t="s">
        <v>3823</v>
      </c>
      <c r="G23742" s="6">
        <v>18218.78</v>
      </c>
      <c r="H23742" s="5">
        <v>20531</v>
      </c>
    </row>
    <row r="23743" spans="2:8" ht="15" customHeight="1" x14ac:dyDescent="0.4">
      <c r="B23743" s="3" t="s">
        <v>16</v>
      </c>
      <c r="C23743" s="3" t="s">
        <v>3822</v>
      </c>
      <c r="D23743" s="4">
        <f>DATE(2014,10,14)</f>
        <v>41926</v>
      </c>
      <c r="E23743" s="5">
        <f t="shared" si="394"/>
        <v>2014</v>
      </c>
      <c r="F23743" s="3" t="s">
        <v>3823</v>
      </c>
      <c r="G23743" s="6">
        <v>12539.78</v>
      </c>
      <c r="H23743" s="5">
        <v>20532</v>
      </c>
    </row>
    <row r="23744" spans="2:8" ht="15" customHeight="1" x14ac:dyDescent="0.4">
      <c r="B23744" s="3" t="s">
        <v>7</v>
      </c>
      <c r="C23744" s="3" t="s">
        <v>3180</v>
      </c>
      <c r="D23744" s="4">
        <f>DATE(2014,12,9)</f>
        <v>41982</v>
      </c>
      <c r="E23744" s="5">
        <f t="shared" si="394"/>
        <v>2014</v>
      </c>
      <c r="F23744" s="3" t="s">
        <v>3824</v>
      </c>
      <c r="G23744" s="6">
        <v>6185</v>
      </c>
      <c r="H23744" s="5">
        <v>19291</v>
      </c>
    </row>
    <row r="23745" spans="2:8" ht="15" customHeight="1" x14ac:dyDescent="0.4">
      <c r="B23745" t="s">
        <v>7</v>
      </c>
      <c r="C23745" t="s">
        <v>3825</v>
      </c>
      <c r="D23745" s="7">
        <f>DATE(2008,2,28)</f>
        <v>39506</v>
      </c>
      <c r="E23745" s="8">
        <f t="shared" si="394"/>
        <v>2008</v>
      </c>
      <c r="F23745" t="s">
        <v>3826</v>
      </c>
      <c r="G23745" s="9">
        <v>41080</v>
      </c>
      <c r="H23745" s="8">
        <v>6630</v>
      </c>
    </row>
    <row r="23746" spans="2:8" ht="15" customHeight="1" x14ac:dyDescent="0.4">
      <c r="B23746" t="s">
        <v>7</v>
      </c>
      <c r="C23746" t="s">
        <v>3825</v>
      </c>
      <c r="D23746" s="7">
        <f>DATE(2009,5,21)</f>
        <v>39954</v>
      </c>
      <c r="E23746" s="8">
        <f t="shared" si="394"/>
        <v>2009</v>
      </c>
      <c r="F23746" t="s">
        <v>3827</v>
      </c>
      <c r="G23746" s="9">
        <v>27603.29</v>
      </c>
      <c r="H23746" s="8">
        <v>8424</v>
      </c>
    </row>
    <row r="23747" spans="2:8" ht="15" customHeight="1" x14ac:dyDescent="0.4">
      <c r="B23747" t="s">
        <v>16</v>
      </c>
      <c r="C23747" t="s">
        <v>3825</v>
      </c>
      <c r="D23747" s="7">
        <f>DATE(2009,12,23)</f>
        <v>40170</v>
      </c>
      <c r="E23747" s="8">
        <f t="shared" ref="E23747:E23810" si="395">YEAR(D23747)</f>
        <v>2009</v>
      </c>
      <c r="F23747" t="s">
        <v>3827</v>
      </c>
      <c r="G23747" s="9">
        <v>2463.29</v>
      </c>
      <c r="H23747" s="8">
        <v>9346</v>
      </c>
    </row>
    <row r="23748" spans="2:8" ht="15" customHeight="1" x14ac:dyDescent="0.4">
      <c r="B23748" t="s">
        <v>7</v>
      </c>
      <c r="C23748" t="s">
        <v>3828</v>
      </c>
      <c r="D23748" s="7">
        <f>DATE(2003,3,14)</f>
        <v>37694</v>
      </c>
      <c r="E23748" s="8">
        <f t="shared" si="395"/>
        <v>2003</v>
      </c>
      <c r="F23748" t="s">
        <v>3829</v>
      </c>
      <c r="G23748" s="9">
        <v>5433.59</v>
      </c>
      <c r="H23748" s="8">
        <v>346</v>
      </c>
    </row>
    <row r="23749" spans="2:8" ht="15" customHeight="1" x14ac:dyDescent="0.4">
      <c r="B23749" t="s">
        <v>7</v>
      </c>
      <c r="C23749" t="s">
        <v>3828</v>
      </c>
      <c r="D23749" s="7">
        <f>DATE(2006,5,25)</f>
        <v>38862</v>
      </c>
      <c r="E23749" s="8">
        <f t="shared" si="395"/>
        <v>2006</v>
      </c>
      <c r="F23749" t="s">
        <v>3829</v>
      </c>
      <c r="G23749" s="9">
        <v>8040.65</v>
      </c>
      <c r="H23749" s="8">
        <v>4647</v>
      </c>
    </row>
    <row r="23750" spans="2:8" ht="15" customHeight="1" x14ac:dyDescent="0.4">
      <c r="B23750" t="s">
        <v>7</v>
      </c>
      <c r="C23750" t="s">
        <v>3828</v>
      </c>
      <c r="D23750" s="7">
        <f>DATE(2006,10,8)</f>
        <v>38998</v>
      </c>
      <c r="E23750" s="8">
        <f t="shared" si="395"/>
        <v>2006</v>
      </c>
      <c r="F23750" t="s">
        <v>3829</v>
      </c>
      <c r="G23750" s="9">
        <v>6738.57</v>
      </c>
      <c r="H23750" s="8">
        <v>5043</v>
      </c>
    </row>
    <row r="23751" spans="2:8" ht="15" customHeight="1" x14ac:dyDescent="0.4">
      <c r="B23751" t="s">
        <v>7</v>
      </c>
      <c r="C23751" t="s">
        <v>3828</v>
      </c>
      <c r="D23751" s="7">
        <f>DATE(2007,9,18)</f>
        <v>39343</v>
      </c>
      <c r="E23751" s="8">
        <f t="shared" si="395"/>
        <v>2007</v>
      </c>
      <c r="F23751" t="s">
        <v>3829</v>
      </c>
      <c r="G23751" s="9">
        <v>2117.88</v>
      </c>
      <c r="H23751" s="8">
        <v>6384</v>
      </c>
    </row>
    <row r="23752" spans="2:8" ht="15" customHeight="1" x14ac:dyDescent="0.4">
      <c r="B23752" t="s">
        <v>7</v>
      </c>
      <c r="C23752" t="s">
        <v>3828</v>
      </c>
      <c r="D23752" s="7">
        <f>DATE(2010,10,28)</f>
        <v>40479</v>
      </c>
      <c r="E23752" s="8">
        <f t="shared" si="395"/>
        <v>2010</v>
      </c>
      <c r="F23752" t="s">
        <v>3829</v>
      </c>
      <c r="G23752" s="9">
        <v>9994.2900000000009</v>
      </c>
      <c r="H23752" s="8">
        <v>10214</v>
      </c>
    </row>
    <row r="23753" spans="2:8" ht="15" customHeight="1" x14ac:dyDescent="0.4">
      <c r="B23753" t="s">
        <v>7</v>
      </c>
      <c r="C23753" t="s">
        <v>3828</v>
      </c>
      <c r="D23753" s="7">
        <f>DATE(2013,2,27)</f>
        <v>41332</v>
      </c>
      <c r="E23753" s="8">
        <f t="shared" si="395"/>
        <v>2013</v>
      </c>
      <c r="F23753" t="s">
        <v>3829</v>
      </c>
      <c r="G23753" s="9">
        <v>6725.95</v>
      </c>
      <c r="H23753" s="8">
        <v>12206</v>
      </c>
    </row>
    <row r="23754" spans="2:8" ht="15" customHeight="1" x14ac:dyDescent="0.4">
      <c r="B23754" t="s">
        <v>7</v>
      </c>
      <c r="C23754" t="s">
        <v>3828</v>
      </c>
      <c r="D23754" s="7">
        <f>DATE(2013,7,19)</f>
        <v>41474</v>
      </c>
      <c r="E23754" s="8">
        <f t="shared" si="395"/>
        <v>2013</v>
      </c>
      <c r="F23754" t="s">
        <v>3829</v>
      </c>
      <c r="G23754" s="9">
        <v>7832.56</v>
      </c>
      <c r="H23754" s="8">
        <v>12559</v>
      </c>
    </row>
    <row r="23755" spans="2:8" ht="15" customHeight="1" x14ac:dyDescent="0.4">
      <c r="B23755" t="s">
        <v>7</v>
      </c>
      <c r="C23755" t="s">
        <v>3828</v>
      </c>
      <c r="D23755" s="7">
        <f>DATE(2013,7,19)</f>
        <v>41474</v>
      </c>
      <c r="E23755" s="8">
        <f t="shared" si="395"/>
        <v>2013</v>
      </c>
      <c r="F23755" t="s">
        <v>3829</v>
      </c>
      <c r="G23755" s="9">
        <v>8257.27</v>
      </c>
      <c r="H23755" s="8">
        <v>12563</v>
      </c>
    </row>
    <row r="23756" spans="2:8" ht="15" customHeight="1" x14ac:dyDescent="0.4">
      <c r="B23756" t="s">
        <v>7</v>
      </c>
      <c r="C23756" t="s">
        <v>3828</v>
      </c>
      <c r="D23756" s="7">
        <f>DATE(2014,1,7)</f>
        <v>41646</v>
      </c>
      <c r="E23756" s="8">
        <f t="shared" si="395"/>
        <v>2014</v>
      </c>
      <c r="F23756" t="s">
        <v>3829</v>
      </c>
      <c r="G23756" s="9">
        <v>6428.29</v>
      </c>
      <c r="H23756" s="8">
        <v>12856</v>
      </c>
    </row>
    <row r="23757" spans="2:8" ht="15" customHeight="1" x14ac:dyDescent="0.4">
      <c r="B23757" t="s">
        <v>7</v>
      </c>
      <c r="C23757" t="s">
        <v>3828</v>
      </c>
      <c r="D23757" s="7">
        <f>DATE(2014,1,21)</f>
        <v>41660</v>
      </c>
      <c r="E23757" s="8">
        <f t="shared" si="395"/>
        <v>2014</v>
      </c>
      <c r="F23757" t="s">
        <v>3829</v>
      </c>
      <c r="G23757" s="9">
        <v>7388.42</v>
      </c>
      <c r="H23757" s="8">
        <v>12868</v>
      </c>
    </row>
    <row r="23758" spans="2:8" ht="15" customHeight="1" x14ac:dyDescent="0.4">
      <c r="B23758" t="s">
        <v>7</v>
      </c>
      <c r="C23758" t="s">
        <v>3828</v>
      </c>
      <c r="D23758" s="7">
        <f>DATE(2014,3,4)</f>
        <v>41702</v>
      </c>
      <c r="E23758" s="8">
        <f t="shared" si="395"/>
        <v>2014</v>
      </c>
      <c r="F23758" t="s">
        <v>3829</v>
      </c>
      <c r="G23758" s="9">
        <v>8059.14</v>
      </c>
      <c r="H23758" s="8">
        <v>12972</v>
      </c>
    </row>
    <row r="23759" spans="2:8" ht="15" customHeight="1" x14ac:dyDescent="0.4">
      <c r="B23759" t="s">
        <v>7</v>
      </c>
      <c r="C23759" t="s">
        <v>3828</v>
      </c>
      <c r="D23759" s="7">
        <f>DATE(2014,3,13)</f>
        <v>41711</v>
      </c>
      <c r="E23759" s="8">
        <f t="shared" si="395"/>
        <v>2014</v>
      </c>
      <c r="F23759" t="s">
        <v>3829</v>
      </c>
      <c r="G23759" s="9">
        <v>4997.82</v>
      </c>
      <c r="H23759" s="8">
        <v>13048</v>
      </c>
    </row>
    <row r="23760" spans="2:8" ht="15" customHeight="1" x14ac:dyDescent="0.4">
      <c r="B23760" t="s">
        <v>7</v>
      </c>
      <c r="C23760" t="s">
        <v>3830</v>
      </c>
      <c r="D23760" s="7">
        <f>DATE(2015,1,20)</f>
        <v>42024</v>
      </c>
      <c r="E23760" s="8">
        <f t="shared" si="395"/>
        <v>2015</v>
      </c>
      <c r="F23760" t="s">
        <v>3831</v>
      </c>
      <c r="G23760" s="9">
        <v>15926.55</v>
      </c>
      <c r="H23760" s="8">
        <v>17</v>
      </c>
    </row>
    <row r="23761" spans="2:8" ht="15" customHeight="1" x14ac:dyDescent="0.4">
      <c r="B23761" t="s">
        <v>7</v>
      </c>
      <c r="C23761" t="s">
        <v>3830</v>
      </c>
      <c r="D23761" s="7">
        <f>DATE(2015,3,4)</f>
        <v>42067</v>
      </c>
      <c r="E23761" s="8">
        <f t="shared" si="395"/>
        <v>2015</v>
      </c>
      <c r="F23761" t="s">
        <v>3831</v>
      </c>
      <c r="G23761" s="9">
        <v>17015.68</v>
      </c>
      <c r="H23761" s="8">
        <v>5027</v>
      </c>
    </row>
    <row r="23762" spans="2:8" ht="15" customHeight="1" x14ac:dyDescent="0.4">
      <c r="B23762" t="s">
        <v>7</v>
      </c>
      <c r="C23762" t="s">
        <v>3830</v>
      </c>
      <c r="D23762" s="7">
        <f>DATE(2018,9,14)</f>
        <v>43357</v>
      </c>
      <c r="E23762" s="8">
        <f t="shared" si="395"/>
        <v>2018</v>
      </c>
      <c r="F23762" t="s">
        <v>3831</v>
      </c>
      <c r="G23762" s="9">
        <v>10615.56</v>
      </c>
      <c r="H23762" s="8">
        <v>27568</v>
      </c>
    </row>
    <row r="23763" spans="2:8" ht="15" customHeight="1" x14ac:dyDescent="0.4">
      <c r="B23763" t="s">
        <v>7</v>
      </c>
      <c r="C23763" t="s">
        <v>3830</v>
      </c>
      <c r="D23763" s="7">
        <f>DATE(2018,9,26)</f>
        <v>43369</v>
      </c>
      <c r="E23763" s="8">
        <f t="shared" si="395"/>
        <v>2018</v>
      </c>
      <c r="F23763" t="s">
        <v>3831</v>
      </c>
      <c r="G23763" s="9">
        <v>20695.09</v>
      </c>
      <c r="H23763" s="8">
        <v>27663</v>
      </c>
    </row>
    <row r="23764" spans="2:8" ht="15" customHeight="1" x14ac:dyDescent="0.4">
      <c r="B23764" t="s">
        <v>7</v>
      </c>
      <c r="C23764" t="s">
        <v>3830</v>
      </c>
      <c r="D23764" s="7">
        <f>DATE(2003,10,18)</f>
        <v>37912</v>
      </c>
      <c r="E23764" s="8">
        <f t="shared" si="395"/>
        <v>2003</v>
      </c>
      <c r="F23764" t="s">
        <v>3831</v>
      </c>
      <c r="G23764" s="9">
        <v>35988.26</v>
      </c>
      <c r="H23764" s="8">
        <v>893</v>
      </c>
    </row>
    <row r="23765" spans="2:8" ht="15" customHeight="1" x14ac:dyDescent="0.4">
      <c r="B23765" t="s">
        <v>7</v>
      </c>
      <c r="C23765" t="s">
        <v>3830</v>
      </c>
      <c r="D23765" s="7">
        <f>DATE(2004,4,2)</f>
        <v>38079</v>
      </c>
      <c r="E23765" s="8">
        <f t="shared" si="395"/>
        <v>2004</v>
      </c>
      <c r="F23765" t="s">
        <v>3831</v>
      </c>
      <c r="G23765" s="9">
        <v>20160.759999999998</v>
      </c>
      <c r="H23765" s="8">
        <v>1411</v>
      </c>
    </row>
    <row r="23766" spans="2:8" ht="15" customHeight="1" x14ac:dyDescent="0.4">
      <c r="B23766" t="s">
        <v>7</v>
      </c>
      <c r="C23766" t="s">
        <v>3830</v>
      </c>
      <c r="D23766" s="7">
        <f>DATE(2004,4,4)</f>
        <v>38081</v>
      </c>
      <c r="E23766" s="8">
        <f t="shared" si="395"/>
        <v>2004</v>
      </c>
      <c r="F23766" t="s">
        <v>3831</v>
      </c>
      <c r="G23766" s="9">
        <v>8075.96</v>
      </c>
      <c r="H23766" s="8">
        <v>1504</v>
      </c>
    </row>
    <row r="23767" spans="2:8" ht="15" customHeight="1" x14ac:dyDescent="0.4">
      <c r="B23767" t="s">
        <v>7</v>
      </c>
      <c r="C23767" t="s">
        <v>3830</v>
      </c>
      <c r="D23767" s="7">
        <f>DATE(2005,4,19)</f>
        <v>38461</v>
      </c>
      <c r="E23767" s="8">
        <f t="shared" si="395"/>
        <v>2005</v>
      </c>
      <c r="F23767" t="s">
        <v>3831</v>
      </c>
      <c r="G23767" s="9">
        <v>14924.63</v>
      </c>
      <c r="H23767" s="8">
        <v>2946</v>
      </c>
    </row>
    <row r="23768" spans="2:8" ht="15" customHeight="1" x14ac:dyDescent="0.4">
      <c r="B23768" t="s">
        <v>7</v>
      </c>
      <c r="C23768" t="s">
        <v>3830</v>
      </c>
      <c r="D23768" s="7">
        <f>DATE(2005,4,13)</f>
        <v>38455</v>
      </c>
      <c r="E23768" s="8">
        <f t="shared" si="395"/>
        <v>2005</v>
      </c>
      <c r="F23768" t="s">
        <v>3831</v>
      </c>
      <c r="G23768" s="9">
        <v>22248.34</v>
      </c>
      <c r="H23768" s="8">
        <v>2607</v>
      </c>
    </row>
    <row r="23769" spans="2:8" ht="15" customHeight="1" x14ac:dyDescent="0.4">
      <c r="B23769" t="s">
        <v>7</v>
      </c>
      <c r="C23769" t="s">
        <v>3830</v>
      </c>
      <c r="D23769" s="7">
        <f>DATE(2005,10,18)</f>
        <v>38643</v>
      </c>
      <c r="E23769" s="8">
        <f t="shared" si="395"/>
        <v>2005</v>
      </c>
      <c r="F23769" t="s">
        <v>3831</v>
      </c>
      <c r="G23769" s="9">
        <v>21653.3</v>
      </c>
      <c r="H23769" s="8">
        <v>3336</v>
      </c>
    </row>
    <row r="23770" spans="2:8" ht="15" customHeight="1" x14ac:dyDescent="0.4">
      <c r="B23770" t="s">
        <v>7</v>
      </c>
      <c r="C23770" t="s">
        <v>3830</v>
      </c>
      <c r="D23770" s="7">
        <f>DATE(2005,10,18)</f>
        <v>38643</v>
      </c>
      <c r="E23770" s="8">
        <f t="shared" si="395"/>
        <v>2005</v>
      </c>
      <c r="F23770" t="s">
        <v>3831</v>
      </c>
      <c r="G23770" s="9">
        <v>16379.94</v>
      </c>
      <c r="H23770" s="8">
        <v>3618</v>
      </c>
    </row>
    <row r="23771" spans="2:8" ht="15" customHeight="1" x14ac:dyDescent="0.4">
      <c r="B23771" t="s">
        <v>7</v>
      </c>
      <c r="C23771" t="s">
        <v>3830</v>
      </c>
      <c r="D23771" s="7">
        <f>DATE(2006,4,12)</f>
        <v>38819</v>
      </c>
      <c r="E23771" s="8">
        <f t="shared" si="395"/>
        <v>2006</v>
      </c>
      <c r="F23771" t="s">
        <v>3831</v>
      </c>
      <c r="G23771" s="9">
        <v>5650.95</v>
      </c>
      <c r="H23771" s="8">
        <v>4475</v>
      </c>
    </row>
    <row r="23772" spans="2:8" ht="15" customHeight="1" x14ac:dyDescent="0.4">
      <c r="B23772" t="s">
        <v>7</v>
      </c>
      <c r="C23772" t="s">
        <v>3830</v>
      </c>
      <c r="D23772" s="7">
        <f>DATE(2006,12,1)</f>
        <v>39052</v>
      </c>
      <c r="E23772" s="8">
        <f t="shared" si="395"/>
        <v>2006</v>
      </c>
      <c r="F23772" t="s">
        <v>3831</v>
      </c>
      <c r="G23772" s="9">
        <v>48321.84</v>
      </c>
      <c r="H23772" s="8">
        <v>4693</v>
      </c>
    </row>
    <row r="23773" spans="2:8" ht="15" customHeight="1" x14ac:dyDescent="0.4">
      <c r="B23773" t="s">
        <v>7</v>
      </c>
      <c r="C23773" t="s">
        <v>3830</v>
      </c>
      <c r="D23773" s="7">
        <f>DATE(2007,4,1)</f>
        <v>39173</v>
      </c>
      <c r="E23773" s="8">
        <f t="shared" si="395"/>
        <v>2007</v>
      </c>
      <c r="F23773" t="s">
        <v>3831</v>
      </c>
      <c r="G23773" s="9">
        <v>33907.870000000003</v>
      </c>
      <c r="H23773" s="8">
        <v>5282</v>
      </c>
    </row>
    <row r="23774" spans="2:8" ht="15" customHeight="1" x14ac:dyDescent="0.4">
      <c r="B23774" t="s">
        <v>7</v>
      </c>
      <c r="C23774" t="s">
        <v>3830</v>
      </c>
      <c r="D23774" s="7">
        <f>DATE(2007,4,4)</f>
        <v>39176</v>
      </c>
      <c r="E23774" s="8">
        <f t="shared" si="395"/>
        <v>2007</v>
      </c>
      <c r="F23774" t="s">
        <v>3831</v>
      </c>
      <c r="G23774" s="9">
        <v>34353.57</v>
      </c>
      <c r="H23774" s="8">
        <v>5283</v>
      </c>
    </row>
    <row r="23775" spans="2:8" ht="15" customHeight="1" x14ac:dyDescent="0.4">
      <c r="B23775" t="s">
        <v>7</v>
      </c>
      <c r="C23775" t="s">
        <v>3830</v>
      </c>
      <c r="D23775" s="7">
        <f>DATE(2008,4,1)</f>
        <v>39539</v>
      </c>
      <c r="E23775" s="8">
        <f t="shared" si="395"/>
        <v>2008</v>
      </c>
      <c r="F23775" t="s">
        <v>3831</v>
      </c>
      <c r="G23775" s="9">
        <v>88576.47</v>
      </c>
      <c r="H23775" s="8">
        <v>7094</v>
      </c>
    </row>
    <row r="23776" spans="2:8" ht="15" customHeight="1" x14ac:dyDescent="0.4">
      <c r="B23776" t="s">
        <v>7</v>
      </c>
      <c r="C23776" t="s">
        <v>3830</v>
      </c>
      <c r="D23776" s="7">
        <f>DATE(2008,10,24)</f>
        <v>39745</v>
      </c>
      <c r="E23776" s="8">
        <f t="shared" si="395"/>
        <v>2008</v>
      </c>
      <c r="F23776" t="s">
        <v>3831</v>
      </c>
      <c r="G23776" s="9">
        <v>70137.820000000007</v>
      </c>
      <c r="H23776" s="8">
        <v>7549</v>
      </c>
    </row>
    <row r="23777" spans="2:8" ht="15" customHeight="1" x14ac:dyDescent="0.4">
      <c r="B23777" t="s">
        <v>7</v>
      </c>
      <c r="C23777" t="s">
        <v>3830</v>
      </c>
      <c r="D23777" s="7">
        <f>DATE(2008,12,8)</f>
        <v>39790</v>
      </c>
      <c r="E23777" s="8">
        <f t="shared" si="395"/>
        <v>2008</v>
      </c>
      <c r="F23777" t="s">
        <v>3831</v>
      </c>
      <c r="G23777" s="9">
        <v>5020.1899999999996</v>
      </c>
      <c r="H23777" s="8">
        <v>8090</v>
      </c>
    </row>
    <row r="23778" spans="2:8" ht="15" customHeight="1" x14ac:dyDescent="0.4">
      <c r="B23778" t="s">
        <v>7</v>
      </c>
      <c r="C23778" t="s">
        <v>3830</v>
      </c>
      <c r="D23778" s="7">
        <f>DATE(2010,4,19)</f>
        <v>40287</v>
      </c>
      <c r="E23778" s="8">
        <f t="shared" si="395"/>
        <v>2010</v>
      </c>
      <c r="F23778" t="s">
        <v>3831</v>
      </c>
      <c r="G23778" s="9">
        <v>59781.14</v>
      </c>
      <c r="H23778" s="8">
        <v>9567</v>
      </c>
    </row>
    <row r="23779" spans="2:8" ht="15" customHeight="1" x14ac:dyDescent="0.4">
      <c r="B23779" t="s">
        <v>7</v>
      </c>
      <c r="C23779" t="s">
        <v>3830</v>
      </c>
      <c r="D23779" s="7">
        <f>DATE(2011,4,26)</f>
        <v>40659</v>
      </c>
      <c r="E23779" s="8">
        <f t="shared" si="395"/>
        <v>2011</v>
      </c>
      <c r="F23779" t="s">
        <v>3831</v>
      </c>
      <c r="G23779" s="9">
        <v>51828.4</v>
      </c>
      <c r="H23779" s="8">
        <v>10419</v>
      </c>
    </row>
    <row r="23780" spans="2:8" ht="15" customHeight="1" x14ac:dyDescent="0.4">
      <c r="B23780" t="s">
        <v>7</v>
      </c>
      <c r="C23780" t="s">
        <v>3830</v>
      </c>
      <c r="D23780" s="7">
        <f>DATE(2011,4,26)</f>
        <v>40659</v>
      </c>
      <c r="E23780" s="8">
        <f t="shared" si="395"/>
        <v>2011</v>
      </c>
      <c r="F23780" t="s">
        <v>3831</v>
      </c>
      <c r="G23780" s="9">
        <v>28325</v>
      </c>
      <c r="H23780" s="8">
        <v>10420</v>
      </c>
    </row>
    <row r="23781" spans="2:8" ht="15" customHeight="1" x14ac:dyDescent="0.4">
      <c r="B23781" t="s">
        <v>7</v>
      </c>
      <c r="C23781" t="s">
        <v>3830</v>
      </c>
      <c r="D23781" s="7">
        <f>DATE(2011,11,22)</f>
        <v>40869</v>
      </c>
      <c r="E23781" s="8">
        <f t="shared" si="395"/>
        <v>2011</v>
      </c>
      <c r="F23781" t="s">
        <v>3831</v>
      </c>
      <c r="G23781" s="9">
        <v>129535.83</v>
      </c>
      <c r="H23781" s="8">
        <v>11045</v>
      </c>
    </row>
    <row r="23782" spans="2:8" ht="15" customHeight="1" x14ac:dyDescent="0.4">
      <c r="B23782" t="s">
        <v>7</v>
      </c>
      <c r="C23782" t="s">
        <v>3830</v>
      </c>
      <c r="D23782" s="7">
        <f>DATE(2014,3,20)</f>
        <v>41718</v>
      </c>
      <c r="E23782" s="8">
        <f t="shared" si="395"/>
        <v>2014</v>
      </c>
      <c r="F23782" t="s">
        <v>3831</v>
      </c>
      <c r="G23782" s="9">
        <v>5582.16</v>
      </c>
      <c r="H23782" s="8">
        <v>13079</v>
      </c>
    </row>
    <row r="23783" spans="2:8" ht="15" customHeight="1" x14ac:dyDescent="0.4">
      <c r="B23783" t="s">
        <v>7</v>
      </c>
      <c r="C23783" t="s">
        <v>3830</v>
      </c>
      <c r="D23783" s="7">
        <f>DATE(2014,4,18)</f>
        <v>41747</v>
      </c>
      <c r="E23783" s="8">
        <f t="shared" si="395"/>
        <v>2014</v>
      </c>
      <c r="F23783" t="s">
        <v>3831</v>
      </c>
      <c r="G23783" s="9">
        <v>6277.45</v>
      </c>
      <c r="H23783" s="8">
        <v>13129</v>
      </c>
    </row>
    <row r="23784" spans="2:8" ht="15" customHeight="1" x14ac:dyDescent="0.4">
      <c r="B23784" t="s">
        <v>7</v>
      </c>
      <c r="C23784" t="s">
        <v>3830</v>
      </c>
      <c r="D23784" s="7">
        <f>DATE(2014,10,15)</f>
        <v>41927</v>
      </c>
      <c r="E23784" s="8">
        <f t="shared" si="395"/>
        <v>2014</v>
      </c>
      <c r="F23784" t="s">
        <v>3831</v>
      </c>
      <c r="G23784" s="9">
        <v>6582.25</v>
      </c>
      <c r="H23784" s="8">
        <v>13528</v>
      </c>
    </row>
    <row r="23785" spans="2:8" ht="15" customHeight="1" x14ac:dyDescent="0.4">
      <c r="B23785" s="3" t="s">
        <v>7</v>
      </c>
      <c r="C23785" s="3" t="s">
        <v>3830</v>
      </c>
      <c r="D23785" s="4">
        <f>DATE(2006,4,28)</f>
        <v>38835</v>
      </c>
      <c r="E23785" s="5">
        <f t="shared" si="395"/>
        <v>2006</v>
      </c>
      <c r="F23785" s="3" t="s">
        <v>3831</v>
      </c>
      <c r="G23785" s="6">
        <v>1046</v>
      </c>
      <c r="H23785" s="5">
        <v>6628</v>
      </c>
    </row>
    <row r="23786" spans="2:8" ht="15" customHeight="1" x14ac:dyDescent="0.4">
      <c r="B23786" s="3" t="s">
        <v>7</v>
      </c>
      <c r="C23786" s="3" t="s">
        <v>3830</v>
      </c>
      <c r="D23786" s="4">
        <f>DATE(2006,5,10)</f>
        <v>38847</v>
      </c>
      <c r="E23786" s="5">
        <f t="shared" si="395"/>
        <v>2006</v>
      </c>
      <c r="F23786" s="3" t="s">
        <v>3831</v>
      </c>
      <c r="G23786" s="6">
        <v>1921.5</v>
      </c>
      <c r="H23786" s="5">
        <v>6698</v>
      </c>
    </row>
    <row r="23787" spans="2:8" ht="15" customHeight="1" x14ac:dyDescent="0.4">
      <c r="B23787" s="3" t="s">
        <v>7</v>
      </c>
      <c r="C23787" s="3" t="s">
        <v>3830</v>
      </c>
      <c r="D23787" s="4">
        <f>DATE(2006,6,14)</f>
        <v>38882</v>
      </c>
      <c r="E23787" s="5">
        <f t="shared" si="395"/>
        <v>2006</v>
      </c>
      <c r="F23787" s="3" t="s">
        <v>3831</v>
      </c>
      <c r="G23787" s="6">
        <v>13725</v>
      </c>
      <c r="H23787" s="5">
        <v>6831</v>
      </c>
    </row>
    <row r="23788" spans="2:8" ht="15" customHeight="1" x14ac:dyDescent="0.4">
      <c r="B23788" s="3" t="s">
        <v>7</v>
      </c>
      <c r="C23788" s="3" t="s">
        <v>3830</v>
      </c>
      <c r="D23788" s="4">
        <f>DATE(2006,6,16)</f>
        <v>38884</v>
      </c>
      <c r="E23788" s="5">
        <f t="shared" si="395"/>
        <v>2006</v>
      </c>
      <c r="F23788" s="3" t="s">
        <v>3831</v>
      </c>
      <c r="G23788" s="6">
        <v>9150</v>
      </c>
      <c r="H23788" s="5">
        <v>6831</v>
      </c>
    </row>
    <row r="23789" spans="2:8" ht="15" customHeight="1" x14ac:dyDescent="0.4">
      <c r="B23789" s="3" t="s">
        <v>7</v>
      </c>
      <c r="C23789" s="3" t="s">
        <v>3830</v>
      </c>
      <c r="D23789" s="4">
        <f>DATE(2006,6,23)</f>
        <v>38891</v>
      </c>
      <c r="E23789" s="5">
        <f t="shared" si="395"/>
        <v>2006</v>
      </c>
      <c r="F23789" s="3" t="s">
        <v>3831</v>
      </c>
      <c r="G23789" s="6">
        <v>22875</v>
      </c>
      <c r="H23789" s="5">
        <v>6831</v>
      </c>
    </row>
    <row r="23790" spans="2:8" ht="15" customHeight="1" x14ac:dyDescent="0.4">
      <c r="B23790" s="3" t="s">
        <v>7</v>
      </c>
      <c r="C23790" s="3" t="s">
        <v>3830</v>
      </c>
      <c r="D23790" s="4">
        <f>DATE(2007,4,16)</f>
        <v>39188</v>
      </c>
      <c r="E23790" s="5">
        <f t="shared" si="395"/>
        <v>2007</v>
      </c>
      <c r="F23790" s="3" t="s">
        <v>3831</v>
      </c>
      <c r="G23790" s="6">
        <v>1830</v>
      </c>
      <c r="H23790" s="5">
        <v>8383</v>
      </c>
    </row>
    <row r="23791" spans="2:8" ht="15" customHeight="1" x14ac:dyDescent="0.4">
      <c r="B23791" s="3" t="s">
        <v>7</v>
      </c>
      <c r="C23791" s="3" t="s">
        <v>3830</v>
      </c>
      <c r="D23791" s="4">
        <f>DATE(2007,4,23)</f>
        <v>39195</v>
      </c>
      <c r="E23791" s="5">
        <f t="shared" si="395"/>
        <v>2007</v>
      </c>
      <c r="F23791" s="3" t="s">
        <v>3831</v>
      </c>
      <c r="G23791" s="6">
        <v>4587.7700000000004</v>
      </c>
      <c r="H23791" s="5">
        <v>8394</v>
      </c>
    </row>
    <row r="23792" spans="2:8" ht="15" customHeight="1" x14ac:dyDescent="0.4">
      <c r="B23792" s="3" t="s">
        <v>7</v>
      </c>
      <c r="C23792" s="3" t="s">
        <v>3830</v>
      </c>
      <c r="D23792" s="4">
        <f>DATE(2007,6,21)</f>
        <v>39254</v>
      </c>
      <c r="E23792" s="5">
        <f t="shared" si="395"/>
        <v>2007</v>
      </c>
      <c r="F23792" s="3" t="s">
        <v>3831</v>
      </c>
      <c r="G23792" s="6">
        <v>17.46</v>
      </c>
      <c r="H23792" s="5">
        <v>8792</v>
      </c>
    </row>
    <row r="23793" spans="2:8" ht="15" customHeight="1" x14ac:dyDescent="0.4">
      <c r="B23793" s="3" t="s">
        <v>7</v>
      </c>
      <c r="C23793" s="3" t="s">
        <v>3830</v>
      </c>
      <c r="D23793" s="4">
        <f>DATE(2007,7,18)</f>
        <v>39281</v>
      </c>
      <c r="E23793" s="5">
        <f t="shared" si="395"/>
        <v>2007</v>
      </c>
      <c r="F23793" s="3" t="s">
        <v>3831</v>
      </c>
      <c r="G23793" s="6">
        <v>1967.25</v>
      </c>
      <c r="H23793" s="5">
        <v>8899</v>
      </c>
    </row>
    <row r="23794" spans="2:8" ht="15" customHeight="1" x14ac:dyDescent="0.4">
      <c r="B23794" s="3" t="s">
        <v>7</v>
      </c>
      <c r="C23794" s="3" t="s">
        <v>3830</v>
      </c>
      <c r="D23794" s="4">
        <f>DATE(2007,7,25)</f>
        <v>39288</v>
      </c>
      <c r="E23794" s="5">
        <f t="shared" si="395"/>
        <v>2007</v>
      </c>
      <c r="F23794" s="3" t="s">
        <v>3831</v>
      </c>
      <c r="G23794" s="6">
        <v>7182.75</v>
      </c>
      <c r="H23794" s="5">
        <v>8899</v>
      </c>
    </row>
    <row r="23795" spans="2:8" ht="15" customHeight="1" x14ac:dyDescent="0.4">
      <c r="B23795" s="3" t="s">
        <v>7</v>
      </c>
      <c r="C23795" s="3" t="s">
        <v>3830</v>
      </c>
      <c r="D23795" s="4">
        <f>DATE(2008,2,6)</f>
        <v>39484</v>
      </c>
      <c r="E23795" s="5">
        <f t="shared" si="395"/>
        <v>2008</v>
      </c>
      <c r="F23795" s="3" t="s">
        <v>3831</v>
      </c>
      <c r="G23795" s="6">
        <v>2508.75</v>
      </c>
      <c r="H23795" s="5">
        <v>9875</v>
      </c>
    </row>
    <row r="23796" spans="2:8" ht="15" customHeight="1" x14ac:dyDescent="0.4">
      <c r="B23796" s="3" t="s">
        <v>7</v>
      </c>
      <c r="C23796" s="3" t="s">
        <v>3830</v>
      </c>
      <c r="D23796" s="4">
        <f>DATE(2008,4,15)</f>
        <v>39553</v>
      </c>
      <c r="E23796" s="5">
        <f t="shared" si="395"/>
        <v>2008</v>
      </c>
      <c r="F23796" s="3" t="s">
        <v>3831</v>
      </c>
      <c r="G23796" s="6">
        <v>1791</v>
      </c>
      <c r="H23796" s="5">
        <v>10462</v>
      </c>
    </row>
    <row r="23797" spans="2:8" ht="15" customHeight="1" x14ac:dyDescent="0.4">
      <c r="B23797" s="3" t="s">
        <v>7</v>
      </c>
      <c r="C23797" s="3" t="s">
        <v>3830</v>
      </c>
      <c r="D23797" s="4">
        <f>DATE(2008,5,7)</f>
        <v>39575</v>
      </c>
      <c r="E23797" s="5">
        <f t="shared" si="395"/>
        <v>2008</v>
      </c>
      <c r="F23797" s="3" t="s">
        <v>3831</v>
      </c>
      <c r="G23797" s="6">
        <v>4988</v>
      </c>
      <c r="H23797" s="5">
        <v>10558</v>
      </c>
    </row>
    <row r="23798" spans="2:8" ht="15" customHeight="1" x14ac:dyDescent="0.4">
      <c r="B23798" s="3" t="s">
        <v>7</v>
      </c>
      <c r="C23798" s="3" t="s">
        <v>3830</v>
      </c>
      <c r="D23798" s="4">
        <f>DATE(2008,5,16)</f>
        <v>39584</v>
      </c>
      <c r="E23798" s="5">
        <f t="shared" si="395"/>
        <v>2008</v>
      </c>
      <c r="F23798" s="3" t="s">
        <v>3831</v>
      </c>
      <c r="G23798" s="6">
        <v>5575</v>
      </c>
      <c r="H23798" s="5">
        <v>10640</v>
      </c>
    </row>
    <row r="23799" spans="2:8" ht="15" customHeight="1" x14ac:dyDescent="0.4">
      <c r="B23799" s="3" t="s">
        <v>7</v>
      </c>
      <c r="C23799" s="3" t="s">
        <v>3830</v>
      </c>
      <c r="D23799" s="4">
        <f>DATE(2008,6,25)</f>
        <v>39624</v>
      </c>
      <c r="E23799" s="5">
        <f t="shared" si="395"/>
        <v>2008</v>
      </c>
      <c r="F23799" s="3" t="s">
        <v>3831</v>
      </c>
      <c r="G23799" s="6">
        <v>11150</v>
      </c>
      <c r="H23799" s="5">
        <v>10649</v>
      </c>
    </row>
    <row r="23800" spans="2:8" ht="15" customHeight="1" x14ac:dyDescent="0.4">
      <c r="B23800" s="3" t="s">
        <v>7</v>
      </c>
      <c r="C23800" s="3" t="s">
        <v>3830</v>
      </c>
      <c r="D23800" s="4">
        <f>DATE(2008,7,28)</f>
        <v>39657</v>
      </c>
      <c r="E23800" s="5">
        <f t="shared" si="395"/>
        <v>2008</v>
      </c>
      <c r="F23800" s="3" t="s">
        <v>3831</v>
      </c>
      <c r="G23800" s="6">
        <v>65652</v>
      </c>
      <c r="H23800" s="5">
        <v>10691</v>
      </c>
    </row>
    <row r="23801" spans="2:8" ht="15" customHeight="1" x14ac:dyDescent="0.4">
      <c r="B23801" t="s">
        <v>7</v>
      </c>
      <c r="C23801" t="s">
        <v>3832</v>
      </c>
      <c r="D23801" s="7">
        <f>DATE(2004,8,4)</f>
        <v>38203</v>
      </c>
      <c r="E23801" s="8">
        <f t="shared" si="395"/>
        <v>2004</v>
      </c>
      <c r="F23801" t="s">
        <v>3833</v>
      </c>
      <c r="G23801" s="9">
        <v>3414.21</v>
      </c>
      <c r="H23801" s="8">
        <v>2014</v>
      </c>
    </row>
    <row r="23802" spans="2:8" ht="15" customHeight="1" x14ac:dyDescent="0.4">
      <c r="B23802" t="s">
        <v>7</v>
      </c>
      <c r="C23802" t="s">
        <v>3832</v>
      </c>
      <c r="D23802" s="7">
        <f>DATE(2006,5,4)</f>
        <v>38841</v>
      </c>
      <c r="E23802" s="8">
        <f t="shared" si="395"/>
        <v>2006</v>
      </c>
      <c r="F23802" t="s">
        <v>3833</v>
      </c>
      <c r="G23802" s="9">
        <v>5277.56</v>
      </c>
      <c r="H23802" s="8">
        <v>4576</v>
      </c>
    </row>
    <row r="23803" spans="2:8" ht="15" customHeight="1" x14ac:dyDescent="0.4">
      <c r="B23803" s="3" t="s">
        <v>7</v>
      </c>
      <c r="C23803" s="3" t="s">
        <v>610</v>
      </c>
      <c r="D23803" s="4">
        <f>DATE(2005,2,9)</f>
        <v>38392</v>
      </c>
      <c r="E23803" s="5">
        <f t="shared" si="395"/>
        <v>2005</v>
      </c>
      <c r="F23803" s="3" t="s">
        <v>3834</v>
      </c>
      <c r="G23803" s="6">
        <v>5732.3</v>
      </c>
      <c r="H23803" s="5">
        <v>4103</v>
      </c>
    </row>
    <row r="23804" spans="2:8" ht="15" customHeight="1" x14ac:dyDescent="0.4">
      <c r="B23804" s="3" t="s">
        <v>7</v>
      </c>
      <c r="C23804" s="3" t="s">
        <v>610</v>
      </c>
      <c r="D23804" s="4">
        <f>DATE(2005,2,7)</f>
        <v>38390</v>
      </c>
      <c r="E23804" s="5">
        <f t="shared" si="395"/>
        <v>2005</v>
      </c>
      <c r="F23804" s="3" t="s">
        <v>3834</v>
      </c>
      <c r="G23804" s="6">
        <v>2866.15</v>
      </c>
      <c r="H23804" s="5">
        <v>4090</v>
      </c>
    </row>
    <row r="23805" spans="2:8" ht="15" customHeight="1" x14ac:dyDescent="0.4">
      <c r="B23805" s="3" t="s">
        <v>7</v>
      </c>
      <c r="C23805" s="3" t="s">
        <v>610</v>
      </c>
      <c r="D23805" s="4">
        <f>DATE(2005,2,4)</f>
        <v>38387</v>
      </c>
      <c r="E23805" s="5">
        <f t="shared" si="395"/>
        <v>2005</v>
      </c>
      <c r="F23805" s="3" t="s">
        <v>3834</v>
      </c>
      <c r="G23805" s="6">
        <v>2866.15</v>
      </c>
      <c r="H23805" s="5">
        <v>4093</v>
      </c>
    </row>
    <row r="23806" spans="2:8" ht="15" customHeight="1" x14ac:dyDescent="0.4">
      <c r="B23806" s="3" t="s">
        <v>7</v>
      </c>
      <c r="C23806" s="3" t="s">
        <v>610</v>
      </c>
      <c r="D23806" s="4">
        <f>DATE(2005,2,11)</f>
        <v>38394</v>
      </c>
      <c r="E23806" s="5">
        <f t="shared" si="395"/>
        <v>2005</v>
      </c>
      <c r="F23806" s="3" t="s">
        <v>3834</v>
      </c>
      <c r="G23806" s="6">
        <v>2866.15</v>
      </c>
      <c r="H23806" s="5">
        <v>4129</v>
      </c>
    </row>
    <row r="23807" spans="2:8" ht="15" customHeight="1" x14ac:dyDescent="0.4">
      <c r="B23807" s="3" t="s">
        <v>7</v>
      </c>
      <c r="C23807" s="3" t="s">
        <v>3835</v>
      </c>
      <c r="D23807" s="4">
        <f>DATE(2003,6,19)</f>
        <v>37791</v>
      </c>
      <c r="E23807" s="5">
        <f t="shared" si="395"/>
        <v>2003</v>
      </c>
      <c r="F23807" s="3" t="s">
        <v>3836</v>
      </c>
      <c r="G23807" s="6">
        <v>652.5</v>
      </c>
      <c r="H23807" s="5">
        <v>1130</v>
      </c>
    </row>
    <row r="23808" spans="2:8" ht="15" customHeight="1" x14ac:dyDescent="0.4">
      <c r="B23808" s="3" t="s">
        <v>7</v>
      </c>
      <c r="C23808" s="3" t="s">
        <v>3835</v>
      </c>
      <c r="D23808" s="4">
        <f>DATE(2004,7,28)</f>
        <v>38196</v>
      </c>
      <c r="E23808" s="5">
        <f t="shared" si="395"/>
        <v>2004</v>
      </c>
      <c r="F23808" s="3" t="s">
        <v>3836</v>
      </c>
      <c r="G23808" s="6">
        <v>1100</v>
      </c>
      <c r="H23808" s="5">
        <v>3206</v>
      </c>
    </row>
    <row r="23809" spans="2:8" ht="15" customHeight="1" x14ac:dyDescent="0.4">
      <c r="B23809" s="3" t="s">
        <v>7</v>
      </c>
      <c r="C23809" s="3" t="s">
        <v>3835</v>
      </c>
      <c r="D23809" s="4">
        <f>DATE(2006,2,8)</f>
        <v>38756</v>
      </c>
      <c r="E23809" s="5">
        <f t="shared" si="395"/>
        <v>2006</v>
      </c>
      <c r="F23809" s="3" t="s">
        <v>3836</v>
      </c>
      <c r="G23809" s="6">
        <v>663</v>
      </c>
      <c r="H23809" s="5">
        <v>6002</v>
      </c>
    </row>
    <row r="23810" spans="2:8" ht="15" customHeight="1" x14ac:dyDescent="0.4">
      <c r="B23810" s="3" t="s">
        <v>7</v>
      </c>
      <c r="C23810" s="3" t="s">
        <v>3835</v>
      </c>
      <c r="D23810" s="4">
        <f>DATE(2006,7,17)</f>
        <v>38915</v>
      </c>
      <c r="E23810" s="5">
        <f t="shared" si="395"/>
        <v>2006</v>
      </c>
      <c r="F23810" s="3" t="s">
        <v>3836</v>
      </c>
      <c r="G23810" s="6">
        <v>1326</v>
      </c>
      <c r="H23810" s="5">
        <v>6953</v>
      </c>
    </row>
    <row r="23811" spans="2:8" ht="15" customHeight="1" x14ac:dyDescent="0.4">
      <c r="B23811" s="3" t="s">
        <v>7</v>
      </c>
      <c r="C23811" s="3" t="s">
        <v>3835</v>
      </c>
      <c r="D23811" s="4">
        <f>DATE(2007,5,30)</f>
        <v>39232</v>
      </c>
      <c r="E23811" s="5">
        <f t="shared" ref="E23811:E23874" si="396">YEAR(D23811)</f>
        <v>2007</v>
      </c>
      <c r="F23811" s="3" t="s">
        <v>3836</v>
      </c>
      <c r="G23811" s="6">
        <v>800</v>
      </c>
      <c r="H23811" s="5">
        <v>8685</v>
      </c>
    </row>
    <row r="23812" spans="2:8" ht="15" customHeight="1" x14ac:dyDescent="0.4">
      <c r="B23812" s="3" t="s">
        <v>7</v>
      </c>
      <c r="C23812" s="3" t="s">
        <v>3835</v>
      </c>
      <c r="D23812" s="4">
        <f>DATE(2007,6,13)</f>
        <v>39246</v>
      </c>
      <c r="E23812" s="5">
        <f t="shared" si="396"/>
        <v>2007</v>
      </c>
      <c r="F23812" s="3" t="s">
        <v>3836</v>
      </c>
      <c r="G23812" s="6">
        <v>800</v>
      </c>
      <c r="H23812" s="5">
        <v>8752</v>
      </c>
    </row>
    <row r="23813" spans="2:8" ht="15" customHeight="1" x14ac:dyDescent="0.4">
      <c r="B23813" s="3" t="s">
        <v>7</v>
      </c>
      <c r="C23813" s="3" t="s">
        <v>3835</v>
      </c>
      <c r="D23813" s="4">
        <f>DATE(2007,7,31)</f>
        <v>39294</v>
      </c>
      <c r="E23813" s="5">
        <f t="shared" si="396"/>
        <v>2007</v>
      </c>
      <c r="F23813" s="3" t="s">
        <v>3836</v>
      </c>
      <c r="G23813" s="6">
        <v>94.5</v>
      </c>
      <c r="H23813" s="5">
        <v>8956</v>
      </c>
    </row>
    <row r="23814" spans="2:8" ht="15" customHeight="1" x14ac:dyDescent="0.4">
      <c r="B23814" s="3" t="s">
        <v>7</v>
      </c>
      <c r="C23814" s="3" t="s">
        <v>3835</v>
      </c>
      <c r="D23814" s="4">
        <f>DATE(2008,5,21)</f>
        <v>39589</v>
      </c>
      <c r="E23814" s="5">
        <f t="shared" si="396"/>
        <v>2008</v>
      </c>
      <c r="F23814" s="3" t="s">
        <v>3836</v>
      </c>
      <c r="G23814" s="6">
        <v>1150</v>
      </c>
      <c r="H23814" s="5">
        <v>10715</v>
      </c>
    </row>
    <row r="23815" spans="2:8" ht="15" customHeight="1" x14ac:dyDescent="0.4">
      <c r="B23815" s="3" t="s">
        <v>7</v>
      </c>
      <c r="C23815" s="3" t="s">
        <v>3835</v>
      </c>
      <c r="D23815" s="4">
        <f>DATE(2008,9,16)</f>
        <v>39707</v>
      </c>
      <c r="E23815" s="5">
        <f t="shared" si="396"/>
        <v>2008</v>
      </c>
      <c r="F23815" s="3" t="s">
        <v>3836</v>
      </c>
      <c r="G23815" s="6">
        <v>7600</v>
      </c>
      <c r="H23815" s="5">
        <v>11261</v>
      </c>
    </row>
    <row r="23816" spans="2:8" ht="15" customHeight="1" x14ac:dyDescent="0.4">
      <c r="B23816" s="3" t="s">
        <v>7</v>
      </c>
      <c r="C23816" s="3" t="s">
        <v>3835</v>
      </c>
      <c r="D23816" s="4">
        <f>DATE(2008,10,23)</f>
        <v>39744</v>
      </c>
      <c r="E23816" s="5">
        <f t="shared" si="396"/>
        <v>2008</v>
      </c>
      <c r="F23816" s="3" t="s">
        <v>3836</v>
      </c>
      <c r="G23816" s="6">
        <v>200</v>
      </c>
      <c r="H23816" s="5">
        <v>11430</v>
      </c>
    </row>
    <row r="23817" spans="2:8" ht="15" customHeight="1" x14ac:dyDescent="0.4">
      <c r="B23817" s="3" t="s">
        <v>7</v>
      </c>
      <c r="C23817" s="3" t="s">
        <v>3835</v>
      </c>
      <c r="D23817" s="4">
        <f>DATE(2012,7,27)</f>
        <v>41117</v>
      </c>
      <c r="E23817" s="5">
        <f t="shared" si="396"/>
        <v>2012</v>
      </c>
      <c r="F23817" s="3" t="s">
        <v>3836</v>
      </c>
      <c r="G23817" s="6">
        <v>1449.98</v>
      </c>
      <c r="H23817" s="5">
        <v>17412</v>
      </c>
    </row>
    <row r="23818" spans="2:8" ht="15" customHeight="1" x14ac:dyDescent="0.4">
      <c r="B23818" s="3" t="s">
        <v>7</v>
      </c>
      <c r="C23818" s="3" t="s">
        <v>3835</v>
      </c>
      <c r="D23818" s="4">
        <f>DATE(2012,8,8)</f>
        <v>41129</v>
      </c>
      <c r="E23818" s="5">
        <f t="shared" si="396"/>
        <v>2012</v>
      </c>
      <c r="F23818" s="3" t="s">
        <v>3836</v>
      </c>
      <c r="G23818" s="6">
        <v>165.75</v>
      </c>
      <c r="H23818" s="5">
        <v>17450</v>
      </c>
    </row>
    <row r="23819" spans="2:8" ht="15" customHeight="1" x14ac:dyDescent="0.4">
      <c r="B23819" s="3" t="s">
        <v>7</v>
      </c>
      <c r="C23819" s="3" t="s">
        <v>3835</v>
      </c>
      <c r="D23819" s="4">
        <f>DATE(2012,9,25)</f>
        <v>41177</v>
      </c>
      <c r="E23819" s="5">
        <f t="shared" si="396"/>
        <v>2012</v>
      </c>
      <c r="F23819" s="3" t="s">
        <v>3836</v>
      </c>
      <c r="G23819" s="6">
        <v>7600</v>
      </c>
      <c r="H23819" s="5">
        <v>17401</v>
      </c>
    </row>
    <row r="23820" spans="2:8" ht="15" customHeight="1" x14ac:dyDescent="0.4">
      <c r="B23820" s="3" t="s">
        <v>7</v>
      </c>
      <c r="C23820" s="3" t="s">
        <v>3835</v>
      </c>
      <c r="D23820" s="4">
        <f>DATE(2013,2,8)</f>
        <v>41313</v>
      </c>
      <c r="E23820" s="5">
        <f t="shared" si="396"/>
        <v>2013</v>
      </c>
      <c r="F23820" s="3" t="s">
        <v>3836</v>
      </c>
      <c r="G23820" s="6">
        <v>640</v>
      </c>
      <c r="H23820" s="5">
        <v>18142</v>
      </c>
    </row>
    <row r="23821" spans="2:8" ht="15" customHeight="1" x14ac:dyDescent="0.4">
      <c r="B23821" t="s">
        <v>7</v>
      </c>
      <c r="C23821" t="s">
        <v>3837</v>
      </c>
      <c r="D23821" s="7">
        <f>DATE(2005,12,30)</f>
        <v>38716</v>
      </c>
      <c r="E23821" s="8">
        <f t="shared" si="396"/>
        <v>2005</v>
      </c>
      <c r="F23821" t="s">
        <v>3838</v>
      </c>
      <c r="G23821" s="9">
        <v>8073.38</v>
      </c>
      <c r="H23821" s="8">
        <v>3859</v>
      </c>
    </row>
    <row r="23822" spans="2:8" ht="15" customHeight="1" x14ac:dyDescent="0.4">
      <c r="B23822" t="s">
        <v>7</v>
      </c>
      <c r="C23822" t="s">
        <v>3837</v>
      </c>
      <c r="D23822" s="7">
        <f>DATE(2006,2,14)</f>
        <v>38762</v>
      </c>
      <c r="E23822" s="8">
        <f t="shared" si="396"/>
        <v>2006</v>
      </c>
      <c r="F23822" t="s">
        <v>3838</v>
      </c>
      <c r="G23822" s="9">
        <v>12779.21</v>
      </c>
      <c r="H23822" s="8">
        <v>4076</v>
      </c>
    </row>
    <row r="23823" spans="2:8" ht="15" customHeight="1" x14ac:dyDescent="0.4">
      <c r="B23823" s="3" t="s">
        <v>7</v>
      </c>
      <c r="C23823" s="3" t="s">
        <v>3837</v>
      </c>
      <c r="D23823" s="4">
        <f>DATE(2006,6,28)</f>
        <v>38896</v>
      </c>
      <c r="E23823" s="5">
        <f t="shared" si="396"/>
        <v>2006</v>
      </c>
      <c r="F23823" s="3" t="s">
        <v>3838</v>
      </c>
      <c r="G23823" s="6">
        <v>13342.1</v>
      </c>
      <c r="H23823" s="5">
        <v>1627</v>
      </c>
    </row>
    <row r="23824" spans="2:8" ht="15" customHeight="1" x14ac:dyDescent="0.4">
      <c r="B23824" s="3" t="s">
        <v>7</v>
      </c>
      <c r="C23824" s="3" t="s">
        <v>3839</v>
      </c>
      <c r="D23824" s="4">
        <f>DATE(2010,10,18)</f>
        <v>40469</v>
      </c>
      <c r="E23824" s="5">
        <f t="shared" si="396"/>
        <v>2010</v>
      </c>
      <c r="F23824" s="3" t="s">
        <v>3840</v>
      </c>
      <c r="G23824" s="6">
        <v>771.82</v>
      </c>
      <c r="H23824" s="5">
        <v>14613</v>
      </c>
    </row>
    <row r="23825" spans="2:8" ht="15" customHeight="1" x14ac:dyDescent="0.4">
      <c r="B23825" t="s">
        <v>7</v>
      </c>
      <c r="C23825" t="s">
        <v>3841</v>
      </c>
      <c r="D23825" s="7">
        <f>DATE(2015,6,10)</f>
        <v>42165</v>
      </c>
      <c r="E23825" s="8">
        <f t="shared" si="396"/>
        <v>2015</v>
      </c>
      <c r="F23825" t="s">
        <v>3842</v>
      </c>
      <c r="G23825" s="9">
        <v>1268.1500000000001</v>
      </c>
      <c r="H23825" s="8">
        <v>20715</v>
      </c>
    </row>
    <row r="23826" spans="2:8" ht="15" customHeight="1" x14ac:dyDescent="0.4">
      <c r="B23826" t="s">
        <v>7</v>
      </c>
      <c r="C23826" t="s">
        <v>3841</v>
      </c>
      <c r="D23826" s="7">
        <f>DATE(2015,11,18)</f>
        <v>42326</v>
      </c>
      <c r="E23826" s="8">
        <f t="shared" si="396"/>
        <v>2015</v>
      </c>
      <c r="F23826" t="s">
        <v>3842</v>
      </c>
      <c r="G23826" s="9">
        <v>1532.15</v>
      </c>
      <c r="H23826" s="8">
        <v>21650</v>
      </c>
    </row>
    <row r="23827" spans="2:8" ht="15" customHeight="1" x14ac:dyDescent="0.4">
      <c r="B23827" t="s">
        <v>7</v>
      </c>
      <c r="C23827" t="s">
        <v>3841</v>
      </c>
      <c r="D23827" s="7">
        <f>DATE(2015,11,27)</f>
        <v>42335</v>
      </c>
      <c r="E23827" s="8">
        <f t="shared" si="396"/>
        <v>2015</v>
      </c>
      <c r="F23827" t="s">
        <v>3842</v>
      </c>
      <c r="G23827" s="9">
        <v>766.88</v>
      </c>
      <c r="H23827" s="8">
        <v>21674</v>
      </c>
    </row>
    <row r="23828" spans="2:8" ht="15" customHeight="1" x14ac:dyDescent="0.4">
      <c r="B23828" t="s">
        <v>7</v>
      </c>
      <c r="C23828" t="s">
        <v>3841</v>
      </c>
      <c r="D23828" s="7">
        <f>DATE(2015,11,27)</f>
        <v>42335</v>
      </c>
      <c r="E23828" s="8">
        <f t="shared" si="396"/>
        <v>2015</v>
      </c>
      <c r="F23828" t="s">
        <v>3842</v>
      </c>
      <c r="G23828" s="9">
        <v>2111.96</v>
      </c>
      <c r="H23828" s="8">
        <v>21661</v>
      </c>
    </row>
    <row r="23829" spans="2:8" ht="15" customHeight="1" x14ac:dyDescent="0.4">
      <c r="B23829" t="s">
        <v>7</v>
      </c>
      <c r="C23829" t="s">
        <v>3841</v>
      </c>
      <c r="D23829" s="7">
        <f>DATE(2016,2,24)</f>
        <v>42424</v>
      </c>
      <c r="E23829" s="8">
        <f t="shared" si="396"/>
        <v>2016</v>
      </c>
      <c r="F23829" t="s">
        <v>3842</v>
      </c>
      <c r="G23829" s="9">
        <v>766.25</v>
      </c>
      <c r="H23829" s="8">
        <v>22143</v>
      </c>
    </row>
    <row r="23830" spans="2:8" ht="15" customHeight="1" x14ac:dyDescent="0.4">
      <c r="B23830" t="s">
        <v>7</v>
      </c>
      <c r="C23830" t="s">
        <v>3841</v>
      </c>
      <c r="D23830" s="7">
        <f>DATE(2016,2,24)</f>
        <v>42424</v>
      </c>
      <c r="E23830" s="8">
        <f t="shared" si="396"/>
        <v>2016</v>
      </c>
      <c r="F23830" t="s">
        <v>3842</v>
      </c>
      <c r="G23830" s="9">
        <v>2111.96</v>
      </c>
      <c r="H23830" s="8">
        <v>22186</v>
      </c>
    </row>
    <row r="23831" spans="2:8" ht="15" customHeight="1" x14ac:dyDescent="0.4">
      <c r="B23831" t="s">
        <v>7</v>
      </c>
      <c r="C23831" t="s">
        <v>3841</v>
      </c>
      <c r="D23831" s="7">
        <f>DATE(2016,2,24)</f>
        <v>42424</v>
      </c>
      <c r="E23831" s="8">
        <f t="shared" si="396"/>
        <v>2016</v>
      </c>
      <c r="F23831" t="s">
        <v>3842</v>
      </c>
      <c r="G23831" s="9">
        <v>2965.33</v>
      </c>
      <c r="H23831" s="8">
        <v>22223</v>
      </c>
    </row>
    <row r="23832" spans="2:8" ht="15" customHeight="1" x14ac:dyDescent="0.4">
      <c r="B23832" t="s">
        <v>7</v>
      </c>
      <c r="C23832" t="s">
        <v>3841</v>
      </c>
      <c r="D23832" s="7">
        <f>DATE(2016,4,6)</f>
        <v>42466</v>
      </c>
      <c r="E23832" s="8">
        <f t="shared" si="396"/>
        <v>2016</v>
      </c>
      <c r="F23832" t="s">
        <v>3842</v>
      </c>
      <c r="G23832" s="9">
        <v>4266.97</v>
      </c>
      <c r="H23832" s="8">
        <v>22568</v>
      </c>
    </row>
    <row r="23833" spans="2:8" ht="15" customHeight="1" x14ac:dyDescent="0.4">
      <c r="B23833" t="s">
        <v>7</v>
      </c>
      <c r="C23833" t="s">
        <v>3841</v>
      </c>
      <c r="D23833" s="7">
        <f>DATE(2016,9,22)</f>
        <v>42635</v>
      </c>
      <c r="E23833" s="8">
        <f t="shared" si="396"/>
        <v>2016</v>
      </c>
      <c r="F23833" t="s">
        <v>3842</v>
      </c>
      <c r="G23833" s="9">
        <v>766.25</v>
      </c>
      <c r="H23833" s="8">
        <v>23491</v>
      </c>
    </row>
    <row r="23834" spans="2:8" ht="15" customHeight="1" x14ac:dyDescent="0.4">
      <c r="B23834" t="s">
        <v>7</v>
      </c>
      <c r="C23834" t="s">
        <v>3841</v>
      </c>
      <c r="D23834" s="7">
        <f>DATE(2018,10,16)</f>
        <v>43389</v>
      </c>
      <c r="E23834" s="8">
        <f t="shared" si="396"/>
        <v>2018</v>
      </c>
      <c r="F23834" t="s">
        <v>3842</v>
      </c>
      <c r="G23834" s="9">
        <v>770.09</v>
      </c>
      <c r="H23834" s="8">
        <v>27810</v>
      </c>
    </row>
    <row r="23835" spans="2:8" ht="15" customHeight="1" x14ac:dyDescent="0.4">
      <c r="B23835" t="s">
        <v>7</v>
      </c>
      <c r="C23835" t="s">
        <v>3841</v>
      </c>
      <c r="D23835" s="7">
        <f>DATE(2015,4,30)</f>
        <v>42124</v>
      </c>
      <c r="E23835" s="8">
        <f t="shared" si="396"/>
        <v>2015</v>
      </c>
      <c r="F23835" t="s">
        <v>3842</v>
      </c>
      <c r="G23835" s="9">
        <v>6245.4</v>
      </c>
      <c r="H23835" s="8">
        <v>20435</v>
      </c>
    </row>
    <row r="23836" spans="2:8" ht="15" customHeight="1" x14ac:dyDescent="0.4">
      <c r="B23836" t="s">
        <v>7</v>
      </c>
      <c r="C23836" t="s">
        <v>3841</v>
      </c>
      <c r="D23836" s="7">
        <f>DATE(2015,8,13)</f>
        <v>42229</v>
      </c>
      <c r="E23836" s="8">
        <f t="shared" si="396"/>
        <v>2015</v>
      </c>
      <c r="F23836" t="s">
        <v>3842</v>
      </c>
      <c r="G23836" s="9">
        <v>19041.62</v>
      </c>
      <c r="H23836" s="8">
        <v>20815</v>
      </c>
    </row>
    <row r="23837" spans="2:8" ht="15" customHeight="1" x14ac:dyDescent="0.4">
      <c r="B23837" t="s">
        <v>7</v>
      </c>
      <c r="C23837" t="s">
        <v>3841</v>
      </c>
      <c r="D23837" s="7">
        <f>DATE(2003,12,9)</f>
        <v>37964</v>
      </c>
      <c r="E23837" s="8">
        <f t="shared" si="396"/>
        <v>2003</v>
      </c>
      <c r="F23837" t="s">
        <v>3842</v>
      </c>
      <c r="G23837" s="9">
        <v>3000</v>
      </c>
      <c r="H23837" s="8">
        <v>974</v>
      </c>
    </row>
    <row r="23838" spans="2:8" ht="15" customHeight="1" x14ac:dyDescent="0.4">
      <c r="B23838" t="s">
        <v>7</v>
      </c>
      <c r="C23838" t="s">
        <v>3841</v>
      </c>
      <c r="D23838" s="7">
        <f>DATE(2004,7,31)</f>
        <v>38199</v>
      </c>
      <c r="E23838" s="8">
        <f t="shared" si="396"/>
        <v>2004</v>
      </c>
      <c r="F23838" t="s">
        <v>3842</v>
      </c>
      <c r="G23838" s="9">
        <v>10232.01</v>
      </c>
      <c r="H23838" s="8">
        <v>2022</v>
      </c>
    </row>
    <row r="23839" spans="2:8" ht="15" customHeight="1" x14ac:dyDescent="0.4">
      <c r="B23839" t="s">
        <v>7</v>
      </c>
      <c r="C23839" t="s">
        <v>3841</v>
      </c>
      <c r="D23839" s="7">
        <f>DATE(2004,7,31)</f>
        <v>38199</v>
      </c>
      <c r="E23839" s="8">
        <f t="shared" si="396"/>
        <v>2004</v>
      </c>
      <c r="F23839" t="s">
        <v>3842</v>
      </c>
      <c r="G23839" s="9">
        <v>10743.61</v>
      </c>
      <c r="H23839" s="8">
        <v>2106</v>
      </c>
    </row>
    <row r="23840" spans="2:8" ht="15" customHeight="1" x14ac:dyDescent="0.4">
      <c r="B23840" t="s">
        <v>7</v>
      </c>
      <c r="C23840" t="s">
        <v>3841</v>
      </c>
      <c r="D23840" s="7">
        <f>DATE(2004,9,20)</f>
        <v>38250</v>
      </c>
      <c r="E23840" s="8">
        <f t="shared" si="396"/>
        <v>2004</v>
      </c>
      <c r="F23840" t="s">
        <v>3842</v>
      </c>
      <c r="G23840" s="9">
        <v>4317.95</v>
      </c>
      <c r="H23840" s="8">
        <v>2220</v>
      </c>
    </row>
    <row r="23841" spans="2:8" ht="15" customHeight="1" x14ac:dyDescent="0.4">
      <c r="B23841" t="s">
        <v>7</v>
      </c>
      <c r="C23841" t="s">
        <v>3841</v>
      </c>
      <c r="D23841" s="7">
        <f>DATE(2005,4,10)</f>
        <v>38452</v>
      </c>
      <c r="E23841" s="8">
        <f t="shared" si="396"/>
        <v>2005</v>
      </c>
      <c r="F23841" t="s">
        <v>3842</v>
      </c>
      <c r="G23841" s="9">
        <v>36313.07</v>
      </c>
      <c r="H23841" s="8">
        <v>3024</v>
      </c>
    </row>
    <row r="23842" spans="2:8" ht="15" customHeight="1" x14ac:dyDescent="0.4">
      <c r="B23842" t="s">
        <v>7</v>
      </c>
      <c r="C23842" t="s">
        <v>3841</v>
      </c>
      <c r="D23842" s="7">
        <f>DATE(2005,4,22)</f>
        <v>38464</v>
      </c>
      <c r="E23842" s="8">
        <f t="shared" si="396"/>
        <v>2005</v>
      </c>
      <c r="F23842" t="s">
        <v>3842</v>
      </c>
      <c r="G23842" s="9">
        <v>49297.31</v>
      </c>
      <c r="H23842" s="8">
        <v>3054</v>
      </c>
    </row>
    <row r="23843" spans="2:8" ht="15" customHeight="1" x14ac:dyDescent="0.4">
      <c r="B23843" t="s">
        <v>7</v>
      </c>
      <c r="C23843" t="s">
        <v>3841</v>
      </c>
      <c r="D23843" s="7">
        <f>DATE(2005,4,10)</f>
        <v>38452</v>
      </c>
      <c r="E23843" s="8">
        <f t="shared" si="396"/>
        <v>2005</v>
      </c>
      <c r="F23843" t="s">
        <v>3842</v>
      </c>
      <c r="G23843" s="9">
        <v>38128.730000000003</v>
      </c>
      <c r="H23843" s="8">
        <v>3206</v>
      </c>
    </row>
    <row r="23844" spans="2:8" ht="15" customHeight="1" x14ac:dyDescent="0.4">
      <c r="B23844" t="s">
        <v>7</v>
      </c>
      <c r="C23844" t="s">
        <v>3841</v>
      </c>
      <c r="D23844" s="7">
        <f>DATE(2005,4,30)</f>
        <v>38472</v>
      </c>
      <c r="E23844" s="8">
        <f t="shared" si="396"/>
        <v>2005</v>
      </c>
      <c r="F23844" t="s">
        <v>3842</v>
      </c>
      <c r="G23844" s="9">
        <v>32937.4</v>
      </c>
      <c r="H23844" s="8">
        <v>2837</v>
      </c>
    </row>
    <row r="23845" spans="2:8" ht="15" customHeight="1" x14ac:dyDescent="0.4">
      <c r="B23845" t="s">
        <v>7</v>
      </c>
      <c r="C23845" t="s">
        <v>3841</v>
      </c>
      <c r="D23845" s="7">
        <f>DATE(2007,2,25)</f>
        <v>39138</v>
      </c>
      <c r="E23845" s="8">
        <f t="shared" si="396"/>
        <v>2007</v>
      </c>
      <c r="F23845" t="s">
        <v>3842</v>
      </c>
      <c r="G23845" s="9">
        <v>33411.4</v>
      </c>
      <c r="H23845" s="8">
        <v>5424</v>
      </c>
    </row>
    <row r="23846" spans="2:8" ht="15" customHeight="1" x14ac:dyDescent="0.4">
      <c r="B23846" t="s">
        <v>7</v>
      </c>
      <c r="C23846" t="s">
        <v>3841</v>
      </c>
      <c r="D23846" s="7">
        <f>DATE(2007,2,28)</f>
        <v>39141</v>
      </c>
      <c r="E23846" s="8">
        <f t="shared" si="396"/>
        <v>2007</v>
      </c>
      <c r="F23846" t="s">
        <v>3842</v>
      </c>
      <c r="G23846" s="9">
        <v>14933.64</v>
      </c>
      <c r="H23846" s="8">
        <v>5426</v>
      </c>
    </row>
    <row r="23847" spans="2:8" ht="15" customHeight="1" x14ac:dyDescent="0.4">
      <c r="B23847" t="s">
        <v>7</v>
      </c>
      <c r="C23847" t="s">
        <v>3841</v>
      </c>
      <c r="D23847" s="7">
        <f>DATE(2007,9,21)</f>
        <v>39346</v>
      </c>
      <c r="E23847" s="8">
        <f t="shared" si="396"/>
        <v>2007</v>
      </c>
      <c r="F23847" t="s">
        <v>3842</v>
      </c>
      <c r="G23847" s="9">
        <v>37865.31</v>
      </c>
      <c r="H23847" s="8">
        <v>6073</v>
      </c>
    </row>
    <row r="23848" spans="2:8" ht="15" customHeight="1" x14ac:dyDescent="0.4">
      <c r="B23848" t="s">
        <v>7</v>
      </c>
      <c r="C23848" t="s">
        <v>3841</v>
      </c>
      <c r="D23848" s="7">
        <f>DATE(2007,9,27)</f>
        <v>39352</v>
      </c>
      <c r="E23848" s="8">
        <f t="shared" si="396"/>
        <v>2007</v>
      </c>
      <c r="F23848" t="s">
        <v>3842</v>
      </c>
      <c r="G23848" s="9">
        <v>19261.18</v>
      </c>
      <c r="H23848" s="8">
        <v>6077</v>
      </c>
    </row>
    <row r="23849" spans="2:8" ht="15" customHeight="1" x14ac:dyDescent="0.4">
      <c r="B23849" t="s">
        <v>7</v>
      </c>
      <c r="C23849" t="s">
        <v>3841</v>
      </c>
      <c r="D23849" s="7">
        <f>DATE(2008,2,16)</f>
        <v>39494</v>
      </c>
      <c r="E23849" s="8">
        <f t="shared" si="396"/>
        <v>2008</v>
      </c>
      <c r="F23849" t="s">
        <v>3842</v>
      </c>
      <c r="G23849" s="9">
        <v>36060.68</v>
      </c>
      <c r="H23849" s="8">
        <v>6721</v>
      </c>
    </row>
    <row r="23850" spans="2:8" ht="15" customHeight="1" x14ac:dyDescent="0.4">
      <c r="B23850" t="s">
        <v>7</v>
      </c>
      <c r="C23850" t="s">
        <v>3841</v>
      </c>
      <c r="D23850" s="7">
        <f>DATE(2008,2,15)</f>
        <v>39493</v>
      </c>
      <c r="E23850" s="8">
        <f t="shared" si="396"/>
        <v>2008</v>
      </c>
      <c r="F23850" t="s">
        <v>3842</v>
      </c>
      <c r="G23850" s="9">
        <v>18083.419999999998</v>
      </c>
      <c r="H23850" s="8">
        <v>6724</v>
      </c>
    </row>
    <row r="23851" spans="2:8" ht="15" customHeight="1" x14ac:dyDescent="0.4">
      <c r="B23851" t="s">
        <v>7</v>
      </c>
      <c r="C23851" t="s">
        <v>3841</v>
      </c>
      <c r="D23851" s="7">
        <f>DATE(2008,9,20)</f>
        <v>39711</v>
      </c>
      <c r="E23851" s="8">
        <f t="shared" si="396"/>
        <v>2008</v>
      </c>
      <c r="F23851" t="s">
        <v>3842</v>
      </c>
      <c r="G23851" s="9">
        <v>32363.61</v>
      </c>
      <c r="H23851" s="8">
        <v>7438</v>
      </c>
    </row>
    <row r="23852" spans="2:8" ht="15" customHeight="1" x14ac:dyDescent="0.4">
      <c r="B23852" t="s">
        <v>7</v>
      </c>
      <c r="C23852" t="s">
        <v>3841</v>
      </c>
      <c r="D23852" s="7">
        <f>DATE(2008,9,24)</f>
        <v>39715</v>
      </c>
      <c r="E23852" s="8">
        <f t="shared" si="396"/>
        <v>2008</v>
      </c>
      <c r="F23852" t="s">
        <v>3842</v>
      </c>
      <c r="G23852" s="9">
        <v>14198.89</v>
      </c>
      <c r="H23852" s="8">
        <v>7433</v>
      </c>
    </row>
    <row r="23853" spans="2:8" ht="15" customHeight="1" x14ac:dyDescent="0.4">
      <c r="B23853" t="s">
        <v>7</v>
      </c>
      <c r="C23853" t="s">
        <v>3841</v>
      </c>
      <c r="D23853" s="7">
        <f>DATE(2009,2,23)</f>
        <v>39867</v>
      </c>
      <c r="E23853" s="8">
        <f t="shared" si="396"/>
        <v>2009</v>
      </c>
      <c r="F23853" t="s">
        <v>3842</v>
      </c>
      <c r="G23853" s="9">
        <v>14781.64</v>
      </c>
      <c r="H23853" s="8">
        <v>7774</v>
      </c>
    </row>
    <row r="23854" spans="2:8" ht="15" customHeight="1" x14ac:dyDescent="0.4">
      <c r="B23854" t="s">
        <v>7</v>
      </c>
      <c r="C23854" t="s">
        <v>3841</v>
      </c>
      <c r="D23854" s="7">
        <f>DATE(2009,2,23)</f>
        <v>39867</v>
      </c>
      <c r="E23854" s="8">
        <f t="shared" si="396"/>
        <v>2009</v>
      </c>
      <c r="F23854" t="s">
        <v>3842</v>
      </c>
      <c r="G23854" s="9">
        <v>32057.919999999998</v>
      </c>
      <c r="H23854" s="8">
        <v>7766</v>
      </c>
    </row>
    <row r="23855" spans="2:8" ht="15" customHeight="1" x14ac:dyDescent="0.4">
      <c r="B23855" t="s">
        <v>7</v>
      </c>
      <c r="C23855" t="s">
        <v>3841</v>
      </c>
      <c r="D23855" s="7">
        <f>DATE(2009,3,19)</f>
        <v>39891</v>
      </c>
      <c r="E23855" s="8">
        <f t="shared" si="396"/>
        <v>2009</v>
      </c>
      <c r="F23855" t="s">
        <v>3842</v>
      </c>
      <c r="G23855" s="9">
        <v>111.75</v>
      </c>
      <c r="H23855" s="8">
        <v>8530</v>
      </c>
    </row>
    <row r="23856" spans="2:8" ht="15" customHeight="1" x14ac:dyDescent="0.4">
      <c r="B23856" t="s">
        <v>7</v>
      </c>
      <c r="C23856" t="s">
        <v>3841</v>
      </c>
      <c r="D23856" s="7">
        <f>DATE(2010,1,22)</f>
        <v>40200</v>
      </c>
      <c r="E23856" s="8">
        <f t="shared" si="396"/>
        <v>2010</v>
      </c>
      <c r="F23856" t="s">
        <v>3842</v>
      </c>
      <c r="G23856" s="9">
        <v>32884</v>
      </c>
      <c r="H23856" s="8">
        <v>9377</v>
      </c>
    </row>
    <row r="23857" spans="2:8" ht="15" customHeight="1" x14ac:dyDescent="0.4">
      <c r="B23857" t="s">
        <v>7</v>
      </c>
      <c r="C23857" t="s">
        <v>3841</v>
      </c>
      <c r="D23857" s="7">
        <f>DATE(2010,2,19)</f>
        <v>40228</v>
      </c>
      <c r="E23857" s="8">
        <f t="shared" si="396"/>
        <v>2010</v>
      </c>
      <c r="F23857" t="s">
        <v>3842</v>
      </c>
      <c r="G23857" s="9">
        <v>1644.2</v>
      </c>
      <c r="H23857" s="8">
        <v>9550</v>
      </c>
    </row>
    <row r="23858" spans="2:8" ht="15" customHeight="1" x14ac:dyDescent="0.4">
      <c r="B23858" t="s">
        <v>7</v>
      </c>
      <c r="C23858" t="s">
        <v>3841</v>
      </c>
      <c r="D23858" s="7">
        <f>DATE(2010,3,3)</f>
        <v>40240</v>
      </c>
      <c r="E23858" s="8">
        <f t="shared" si="396"/>
        <v>2010</v>
      </c>
      <c r="F23858" t="s">
        <v>3842</v>
      </c>
      <c r="G23858" s="9">
        <v>13189.65</v>
      </c>
      <c r="H23858" s="8">
        <v>9549</v>
      </c>
    </row>
    <row r="23859" spans="2:8" ht="15" customHeight="1" x14ac:dyDescent="0.4">
      <c r="B23859" t="s">
        <v>7</v>
      </c>
      <c r="C23859" t="s">
        <v>3841</v>
      </c>
      <c r="D23859" s="7">
        <f>DATE(2010,3,9)</f>
        <v>40246</v>
      </c>
      <c r="E23859" s="8">
        <f t="shared" si="396"/>
        <v>2010</v>
      </c>
      <c r="F23859" t="s">
        <v>3842</v>
      </c>
      <c r="G23859" s="9">
        <v>41502.300000000003</v>
      </c>
      <c r="H23859" s="8">
        <v>8984</v>
      </c>
    </row>
    <row r="23860" spans="2:8" ht="15" customHeight="1" x14ac:dyDescent="0.4">
      <c r="B23860" t="s">
        <v>7</v>
      </c>
      <c r="C23860" t="s">
        <v>3841</v>
      </c>
      <c r="D23860" s="7">
        <f>DATE(2010,3,9)</f>
        <v>40246</v>
      </c>
      <c r="E23860" s="8">
        <f t="shared" si="396"/>
        <v>2010</v>
      </c>
      <c r="F23860" t="s">
        <v>3842</v>
      </c>
      <c r="G23860" s="9">
        <v>21405.3</v>
      </c>
      <c r="H23860" s="8">
        <v>9322</v>
      </c>
    </row>
    <row r="23861" spans="2:8" ht="15" customHeight="1" x14ac:dyDescent="0.4">
      <c r="B23861" t="s">
        <v>7</v>
      </c>
      <c r="C23861" t="s">
        <v>3841</v>
      </c>
      <c r="D23861" s="7">
        <f>DATE(2010,3,24)</f>
        <v>40261</v>
      </c>
      <c r="E23861" s="8">
        <f t="shared" si="396"/>
        <v>2010</v>
      </c>
      <c r="F23861" t="s">
        <v>3842</v>
      </c>
      <c r="G23861" s="9">
        <v>6410.84</v>
      </c>
      <c r="H23861" s="8">
        <v>9640</v>
      </c>
    </row>
    <row r="23862" spans="2:8" ht="15" customHeight="1" x14ac:dyDescent="0.4">
      <c r="B23862" t="s">
        <v>7</v>
      </c>
      <c r="C23862" t="s">
        <v>3841</v>
      </c>
      <c r="D23862" s="7">
        <f>DATE(2010,6,18)</f>
        <v>40347</v>
      </c>
      <c r="E23862" s="8">
        <f t="shared" si="396"/>
        <v>2010</v>
      </c>
      <c r="F23862" t="s">
        <v>3842</v>
      </c>
      <c r="G23862" s="9">
        <v>9759.74</v>
      </c>
      <c r="H23862" s="8">
        <v>9904</v>
      </c>
    </row>
    <row r="23863" spans="2:8" ht="15" customHeight="1" x14ac:dyDescent="0.4">
      <c r="B23863" t="s">
        <v>7</v>
      </c>
      <c r="C23863" t="s">
        <v>3841</v>
      </c>
      <c r="D23863" s="7">
        <f>DATE(2014,7,31)</f>
        <v>41851</v>
      </c>
      <c r="E23863" s="8">
        <f t="shared" si="396"/>
        <v>2014</v>
      </c>
      <c r="F23863" t="s">
        <v>3842</v>
      </c>
      <c r="G23863" s="9">
        <v>15941.6</v>
      </c>
      <c r="H23863" s="8">
        <v>13331</v>
      </c>
    </row>
    <row r="23864" spans="2:8" ht="15" customHeight="1" x14ac:dyDescent="0.4">
      <c r="B23864" t="s">
        <v>16</v>
      </c>
      <c r="C23864" t="s">
        <v>3841</v>
      </c>
      <c r="D23864" s="7">
        <f>DATE(2004,7,31)</f>
        <v>38199</v>
      </c>
      <c r="E23864" s="8">
        <f t="shared" si="396"/>
        <v>2004</v>
      </c>
      <c r="F23864" t="s">
        <v>3842</v>
      </c>
      <c r="G23864" s="9">
        <v>10232.01</v>
      </c>
      <c r="H23864" s="8">
        <v>2104</v>
      </c>
    </row>
    <row r="23865" spans="2:8" ht="15" customHeight="1" x14ac:dyDescent="0.4">
      <c r="B23865" t="s">
        <v>16</v>
      </c>
      <c r="C23865" t="s">
        <v>3841</v>
      </c>
      <c r="D23865" s="7">
        <f>DATE(2005,4,10)</f>
        <v>38452</v>
      </c>
      <c r="E23865" s="8">
        <f t="shared" si="396"/>
        <v>2005</v>
      </c>
      <c r="F23865" t="s">
        <v>3842</v>
      </c>
      <c r="G23865" s="9">
        <v>36313.07</v>
      </c>
      <c r="H23865" s="8">
        <v>3205</v>
      </c>
    </row>
    <row r="23866" spans="2:8" ht="15" customHeight="1" x14ac:dyDescent="0.4">
      <c r="B23866" s="3" t="s">
        <v>7</v>
      </c>
      <c r="C23866" s="3" t="s">
        <v>3841</v>
      </c>
      <c r="D23866" s="4">
        <f>DATE(2004,10,25)</f>
        <v>38285</v>
      </c>
      <c r="E23866" s="5">
        <f t="shared" si="396"/>
        <v>2004</v>
      </c>
      <c r="F23866" s="3" t="s">
        <v>3842</v>
      </c>
      <c r="G23866" s="6">
        <v>840</v>
      </c>
      <c r="H23866" s="5">
        <v>3614</v>
      </c>
    </row>
    <row r="23867" spans="2:8" ht="15" customHeight="1" x14ac:dyDescent="0.4">
      <c r="B23867" s="3" t="s">
        <v>7</v>
      </c>
      <c r="C23867" s="3" t="s">
        <v>3841</v>
      </c>
      <c r="D23867" s="4">
        <f>DATE(2005,2,7)</f>
        <v>38390</v>
      </c>
      <c r="E23867" s="5">
        <f t="shared" si="396"/>
        <v>2005</v>
      </c>
      <c r="F23867" s="3" t="s">
        <v>3842</v>
      </c>
      <c r="G23867" s="6">
        <v>882</v>
      </c>
      <c r="H23867" s="5">
        <v>4080</v>
      </c>
    </row>
    <row r="23868" spans="2:8" ht="15" customHeight="1" x14ac:dyDescent="0.4">
      <c r="B23868" s="3" t="s">
        <v>7</v>
      </c>
      <c r="C23868" s="3" t="s">
        <v>3841</v>
      </c>
      <c r="D23868" s="4">
        <f>DATE(2005,2,8)</f>
        <v>38391</v>
      </c>
      <c r="E23868" s="5">
        <f t="shared" si="396"/>
        <v>2005</v>
      </c>
      <c r="F23868" s="3" t="s">
        <v>3842</v>
      </c>
      <c r="G23868" s="6">
        <v>588</v>
      </c>
      <c r="H23868" s="5">
        <v>4097</v>
      </c>
    </row>
    <row r="23869" spans="2:8" ht="15" customHeight="1" x14ac:dyDescent="0.4">
      <c r="B23869" s="3" t="s">
        <v>7</v>
      </c>
      <c r="C23869" s="3" t="s">
        <v>3841</v>
      </c>
      <c r="D23869" s="4">
        <f>DATE(2005,4,15)</f>
        <v>38457</v>
      </c>
      <c r="E23869" s="5">
        <f t="shared" si="396"/>
        <v>2005</v>
      </c>
      <c r="F23869" s="3" t="s">
        <v>3842</v>
      </c>
      <c r="G23869" s="6">
        <v>882</v>
      </c>
      <c r="H23869" s="5">
        <v>4559</v>
      </c>
    </row>
    <row r="23870" spans="2:8" ht="15" customHeight="1" x14ac:dyDescent="0.4">
      <c r="B23870" s="3" t="s">
        <v>7</v>
      </c>
      <c r="C23870" s="3" t="s">
        <v>3841</v>
      </c>
      <c r="D23870" s="4">
        <f>DATE(2005,4,26)</f>
        <v>38468</v>
      </c>
      <c r="E23870" s="5">
        <f t="shared" si="396"/>
        <v>2005</v>
      </c>
      <c r="F23870" s="3" t="s">
        <v>3842</v>
      </c>
      <c r="G23870" s="6">
        <v>882</v>
      </c>
      <c r="H23870" s="5">
        <v>4625</v>
      </c>
    </row>
    <row r="23871" spans="2:8" ht="15" customHeight="1" x14ac:dyDescent="0.4">
      <c r="B23871" s="3" t="s">
        <v>7</v>
      </c>
      <c r="C23871" s="3" t="s">
        <v>3841</v>
      </c>
      <c r="D23871" s="4">
        <f>DATE(2006,2,15)</f>
        <v>38763</v>
      </c>
      <c r="E23871" s="5">
        <f t="shared" si="396"/>
        <v>2006</v>
      </c>
      <c r="F23871" s="3" t="s">
        <v>3842</v>
      </c>
      <c r="G23871" s="6">
        <v>2000</v>
      </c>
      <c r="H23871" s="5">
        <v>6021</v>
      </c>
    </row>
    <row r="23872" spans="2:8" ht="15" customHeight="1" x14ac:dyDescent="0.4">
      <c r="B23872" s="3" t="s">
        <v>7</v>
      </c>
      <c r="C23872" s="3" t="s">
        <v>3841</v>
      </c>
      <c r="D23872" s="4">
        <f>DATE(2006,4,12)</f>
        <v>38819</v>
      </c>
      <c r="E23872" s="5">
        <f t="shared" si="396"/>
        <v>2006</v>
      </c>
      <c r="F23872" s="3" t="s">
        <v>3842</v>
      </c>
      <c r="G23872" s="6">
        <v>1986</v>
      </c>
      <c r="H23872" s="5">
        <v>6516</v>
      </c>
    </row>
    <row r="23873" spans="2:8" ht="15" customHeight="1" x14ac:dyDescent="0.4">
      <c r="B23873" s="3" t="s">
        <v>7</v>
      </c>
      <c r="C23873" s="3" t="s">
        <v>3841</v>
      </c>
      <c r="D23873" s="4">
        <f>DATE(2006,4,26)</f>
        <v>38833</v>
      </c>
      <c r="E23873" s="5">
        <f t="shared" si="396"/>
        <v>2006</v>
      </c>
      <c r="F23873" s="3" t="s">
        <v>3842</v>
      </c>
      <c r="G23873" s="6">
        <v>1986</v>
      </c>
      <c r="H23873" s="5">
        <v>6609</v>
      </c>
    </row>
    <row r="23874" spans="2:8" ht="15" customHeight="1" x14ac:dyDescent="0.4">
      <c r="B23874" s="3" t="s">
        <v>7</v>
      </c>
      <c r="C23874" s="3" t="s">
        <v>3841</v>
      </c>
      <c r="D23874" s="4">
        <f>DATE(2006,7,28)</f>
        <v>38926</v>
      </c>
      <c r="E23874" s="5">
        <f t="shared" si="396"/>
        <v>2006</v>
      </c>
      <c r="F23874" s="3" t="s">
        <v>3842</v>
      </c>
      <c r="G23874" s="6">
        <v>1986</v>
      </c>
      <c r="H23874" s="5">
        <v>6998</v>
      </c>
    </row>
    <row r="23875" spans="2:8" ht="15" customHeight="1" x14ac:dyDescent="0.4">
      <c r="B23875" s="3" t="s">
        <v>7</v>
      </c>
      <c r="C23875" s="3" t="s">
        <v>3841</v>
      </c>
      <c r="D23875" s="4">
        <f>DATE(2008,3,25)</f>
        <v>39532</v>
      </c>
      <c r="E23875" s="5">
        <f t="shared" ref="E23875:E23938" si="397">YEAR(D23875)</f>
        <v>2008</v>
      </c>
      <c r="F23875" s="3" t="s">
        <v>3842</v>
      </c>
      <c r="G23875" s="6">
        <v>1986</v>
      </c>
      <c r="H23875" s="5">
        <v>10299</v>
      </c>
    </row>
    <row r="23876" spans="2:8" ht="15" customHeight="1" x14ac:dyDescent="0.4">
      <c r="B23876" s="3" t="s">
        <v>7</v>
      </c>
      <c r="C23876" s="3" t="s">
        <v>3841</v>
      </c>
      <c r="D23876" s="4">
        <f>DATE(2008,10,23)</f>
        <v>39744</v>
      </c>
      <c r="E23876" s="5">
        <f t="shared" si="397"/>
        <v>2008</v>
      </c>
      <c r="F23876" s="3" t="s">
        <v>3842</v>
      </c>
      <c r="G23876" s="6">
        <v>1986</v>
      </c>
      <c r="H23876" s="5">
        <v>11478</v>
      </c>
    </row>
    <row r="23877" spans="2:8" ht="15" customHeight="1" x14ac:dyDescent="0.4">
      <c r="B23877" s="3" t="s">
        <v>7</v>
      </c>
      <c r="C23877" s="3" t="s">
        <v>3841</v>
      </c>
      <c r="D23877" s="4">
        <f>DATE(2009,4,9)</f>
        <v>39912</v>
      </c>
      <c r="E23877" s="5">
        <f t="shared" si="397"/>
        <v>2009</v>
      </c>
      <c r="F23877" s="3" t="s">
        <v>3842</v>
      </c>
      <c r="G23877" s="6">
        <v>234.5</v>
      </c>
      <c r="H23877" s="5">
        <v>12342</v>
      </c>
    </row>
    <row r="23878" spans="2:8" ht="15" customHeight="1" x14ac:dyDescent="0.4">
      <c r="B23878" s="3" t="s">
        <v>7</v>
      </c>
      <c r="C23878" s="3" t="s">
        <v>3841</v>
      </c>
      <c r="D23878" s="4">
        <f>DATE(2010,3,9)</f>
        <v>40246</v>
      </c>
      <c r="E23878" s="5">
        <f t="shared" si="397"/>
        <v>2010</v>
      </c>
      <c r="F23878" s="3" t="s">
        <v>3842</v>
      </c>
      <c r="G23878" s="6">
        <v>2979</v>
      </c>
      <c r="H23878" s="5">
        <v>13704</v>
      </c>
    </row>
    <row r="23879" spans="2:8" ht="15" customHeight="1" x14ac:dyDescent="0.4">
      <c r="B23879" s="3" t="s">
        <v>7</v>
      </c>
      <c r="C23879" s="3" t="s">
        <v>3841</v>
      </c>
      <c r="D23879" s="4">
        <f>DATE(2010,3,9)</f>
        <v>40246</v>
      </c>
      <c r="E23879" s="5">
        <f t="shared" si="397"/>
        <v>2010</v>
      </c>
      <c r="F23879" s="3" t="s">
        <v>3842</v>
      </c>
      <c r="G23879" s="6">
        <v>993</v>
      </c>
      <c r="H23879" s="5">
        <v>13703</v>
      </c>
    </row>
    <row r="23880" spans="2:8" ht="15" customHeight="1" x14ac:dyDescent="0.4">
      <c r="B23880" s="3" t="s">
        <v>7</v>
      </c>
      <c r="C23880" s="3" t="s">
        <v>3841</v>
      </c>
      <c r="D23880" s="4">
        <f>DATE(2011,4,22)</f>
        <v>40655</v>
      </c>
      <c r="E23880" s="5">
        <f t="shared" si="397"/>
        <v>2011</v>
      </c>
      <c r="F23880" s="3" t="s">
        <v>3842</v>
      </c>
      <c r="G23880" s="6">
        <v>486</v>
      </c>
      <c r="H23880" s="5">
        <v>15466</v>
      </c>
    </row>
    <row r="23881" spans="2:8" ht="15" customHeight="1" x14ac:dyDescent="0.4">
      <c r="B23881" s="3" t="s">
        <v>7</v>
      </c>
      <c r="C23881" s="3" t="s">
        <v>3841</v>
      </c>
      <c r="D23881" s="4">
        <f>DATE(2012,3,30)</f>
        <v>40998</v>
      </c>
      <c r="E23881" s="5">
        <f t="shared" si="397"/>
        <v>2012</v>
      </c>
      <c r="F23881" s="3" t="s">
        <v>3842</v>
      </c>
      <c r="G23881" s="6">
        <v>603.47</v>
      </c>
      <c r="H23881" s="5">
        <v>16870</v>
      </c>
    </row>
    <row r="23882" spans="2:8" ht="15" customHeight="1" x14ac:dyDescent="0.4">
      <c r="B23882" s="3" t="s">
        <v>7</v>
      </c>
      <c r="C23882" s="3" t="s">
        <v>3841</v>
      </c>
      <c r="D23882" s="4">
        <f>DATE(2012,3,30)</f>
        <v>40998</v>
      </c>
      <c r="E23882" s="5">
        <f t="shared" si="397"/>
        <v>2012</v>
      </c>
      <c r="F23882" s="3" t="s">
        <v>3842</v>
      </c>
      <c r="G23882" s="6">
        <v>1682.08</v>
      </c>
      <c r="H23882" s="5">
        <v>16882</v>
      </c>
    </row>
    <row r="23883" spans="2:8" ht="15" customHeight="1" x14ac:dyDescent="0.4">
      <c r="B23883" s="3" t="s">
        <v>7</v>
      </c>
      <c r="C23883" s="3" t="s">
        <v>3841</v>
      </c>
      <c r="D23883" s="4">
        <f>DATE(2012,11,26)</f>
        <v>41239</v>
      </c>
      <c r="E23883" s="5">
        <f t="shared" si="397"/>
        <v>2012</v>
      </c>
      <c r="F23883" s="3" t="s">
        <v>3842</v>
      </c>
      <c r="G23883" s="6">
        <v>1406.2</v>
      </c>
      <c r="H23883" s="5">
        <v>17853</v>
      </c>
    </row>
    <row r="23884" spans="2:8" ht="15" customHeight="1" x14ac:dyDescent="0.4">
      <c r="B23884" s="3" t="s">
        <v>7</v>
      </c>
      <c r="C23884" s="3" t="s">
        <v>3841</v>
      </c>
      <c r="D23884" s="4">
        <f>DATE(2013,1,10)</f>
        <v>41284</v>
      </c>
      <c r="E23884" s="5">
        <f t="shared" si="397"/>
        <v>2013</v>
      </c>
      <c r="F23884" s="3" t="s">
        <v>3842</v>
      </c>
      <c r="G23884" s="6">
        <v>727.5</v>
      </c>
      <c r="H23884" s="5">
        <v>17948</v>
      </c>
    </row>
    <row r="23885" spans="2:8" ht="15" customHeight="1" x14ac:dyDescent="0.4">
      <c r="B23885" s="3" t="s">
        <v>7</v>
      </c>
      <c r="C23885" s="3" t="s">
        <v>3841</v>
      </c>
      <c r="D23885" s="4">
        <f>DATE(2013,5,23)</f>
        <v>41417</v>
      </c>
      <c r="E23885" s="5">
        <f t="shared" si="397"/>
        <v>2013</v>
      </c>
      <c r="F23885" s="3" t="s">
        <v>3842</v>
      </c>
      <c r="G23885" s="6">
        <v>2056.92</v>
      </c>
      <c r="H23885" s="5">
        <v>18590</v>
      </c>
    </row>
    <row r="23886" spans="2:8" ht="15" customHeight="1" x14ac:dyDescent="0.4">
      <c r="B23886" s="3" t="s">
        <v>7</v>
      </c>
      <c r="C23886" s="3" t="s">
        <v>3841</v>
      </c>
      <c r="D23886" s="4">
        <f>DATE(2014,9,12)</f>
        <v>41894</v>
      </c>
      <c r="E23886" s="5">
        <f t="shared" si="397"/>
        <v>2014</v>
      </c>
      <c r="F23886" s="3" t="s">
        <v>3842</v>
      </c>
      <c r="G23886" s="6">
        <v>656.15</v>
      </c>
      <c r="H23886" s="5">
        <v>20382</v>
      </c>
    </row>
    <row r="23887" spans="2:8" ht="15" customHeight="1" x14ac:dyDescent="0.4">
      <c r="B23887" t="s">
        <v>7</v>
      </c>
      <c r="C23887" t="s">
        <v>3843</v>
      </c>
      <c r="D23887" s="7">
        <f>DATE(2017,3,31)</f>
        <v>42825</v>
      </c>
      <c r="E23887" s="8">
        <f t="shared" si="397"/>
        <v>2017</v>
      </c>
      <c r="F23887" t="s">
        <v>3844</v>
      </c>
      <c r="G23887" s="9">
        <v>33929.26</v>
      </c>
      <c r="H23887" s="8">
        <v>24246</v>
      </c>
    </row>
    <row r="23888" spans="2:8" ht="15" customHeight="1" x14ac:dyDescent="0.4">
      <c r="B23888" t="s">
        <v>7</v>
      </c>
      <c r="C23888" t="s">
        <v>3843</v>
      </c>
      <c r="D23888" s="7">
        <f>DATE(2015,4,1)</f>
        <v>42095</v>
      </c>
      <c r="E23888" s="8">
        <f t="shared" si="397"/>
        <v>2015</v>
      </c>
      <c r="F23888" t="s">
        <v>3844</v>
      </c>
      <c r="G23888" s="9">
        <v>541</v>
      </c>
      <c r="H23888" s="8">
        <v>20255</v>
      </c>
    </row>
    <row r="23889" spans="2:8" ht="15" customHeight="1" x14ac:dyDescent="0.4">
      <c r="B23889" t="s">
        <v>7</v>
      </c>
      <c r="C23889" t="s">
        <v>3843</v>
      </c>
      <c r="D23889" s="7">
        <f>DATE(2008,9,26)</f>
        <v>39717</v>
      </c>
      <c r="E23889" s="8">
        <f t="shared" si="397"/>
        <v>2008</v>
      </c>
      <c r="F23889" t="s">
        <v>3844</v>
      </c>
      <c r="G23889" s="9">
        <v>7904.39</v>
      </c>
      <c r="H23889" s="8">
        <v>7847</v>
      </c>
    </row>
    <row r="23890" spans="2:8" ht="15" customHeight="1" x14ac:dyDescent="0.4">
      <c r="B23890" t="s">
        <v>7</v>
      </c>
      <c r="C23890" t="s">
        <v>3843</v>
      </c>
      <c r="D23890" s="7">
        <f>DATE(2008,11,13)</f>
        <v>39765</v>
      </c>
      <c r="E23890" s="8">
        <f t="shared" si="397"/>
        <v>2008</v>
      </c>
      <c r="F23890" t="s">
        <v>3844</v>
      </c>
      <c r="G23890" s="9">
        <v>10461.51</v>
      </c>
      <c r="H23890" s="8">
        <v>8020</v>
      </c>
    </row>
    <row r="23891" spans="2:8" ht="15" customHeight="1" x14ac:dyDescent="0.4">
      <c r="B23891" t="s">
        <v>7</v>
      </c>
      <c r="C23891" t="s">
        <v>3843</v>
      </c>
      <c r="D23891" s="7">
        <f>DATE(2009,2,9)</f>
        <v>39853</v>
      </c>
      <c r="E23891" s="8">
        <f t="shared" si="397"/>
        <v>2009</v>
      </c>
      <c r="F23891" t="s">
        <v>3844</v>
      </c>
      <c r="G23891" s="9">
        <v>7439.32</v>
      </c>
      <c r="H23891" s="8">
        <v>8310</v>
      </c>
    </row>
    <row r="23892" spans="2:8" ht="15" customHeight="1" x14ac:dyDescent="0.4">
      <c r="B23892" t="s">
        <v>7</v>
      </c>
      <c r="C23892" t="s">
        <v>3843</v>
      </c>
      <c r="D23892" s="7">
        <f>DATE(2012,10,31)</f>
        <v>41213</v>
      </c>
      <c r="E23892" s="8">
        <f t="shared" si="397"/>
        <v>2012</v>
      </c>
      <c r="F23892" t="s">
        <v>3844</v>
      </c>
      <c r="G23892" s="9">
        <v>37842.370000000003</v>
      </c>
      <c r="H23892" s="8">
        <v>11727</v>
      </c>
    </row>
    <row r="23893" spans="2:8" ht="15" customHeight="1" x14ac:dyDescent="0.4">
      <c r="B23893" t="s">
        <v>7</v>
      </c>
      <c r="C23893" t="s">
        <v>3845</v>
      </c>
      <c r="D23893" s="7">
        <f>DATE(2010,11,18)</f>
        <v>40500</v>
      </c>
      <c r="E23893" s="8">
        <f t="shared" si="397"/>
        <v>2010</v>
      </c>
      <c r="F23893" t="s">
        <v>3846</v>
      </c>
      <c r="G23893" s="9">
        <v>553017.17000000004</v>
      </c>
      <c r="H23893" s="8">
        <v>10186</v>
      </c>
    </row>
    <row r="23894" spans="2:8" ht="15" customHeight="1" x14ac:dyDescent="0.4">
      <c r="B23894" t="s">
        <v>7</v>
      </c>
      <c r="C23894" t="s">
        <v>3845</v>
      </c>
      <c r="D23894" s="7">
        <f>DATE(2010,12,21)</f>
        <v>40533</v>
      </c>
      <c r="E23894" s="8">
        <f t="shared" si="397"/>
        <v>2010</v>
      </c>
      <c r="F23894" t="s">
        <v>3846</v>
      </c>
      <c r="G23894" s="9">
        <v>40705.1</v>
      </c>
      <c r="H23894" s="8">
        <v>10304</v>
      </c>
    </row>
    <row r="23895" spans="2:8" ht="15" customHeight="1" x14ac:dyDescent="0.4">
      <c r="B23895" t="s">
        <v>7</v>
      </c>
      <c r="C23895" t="s">
        <v>3845</v>
      </c>
      <c r="D23895" s="7">
        <f>DATE(2012,2,8)</f>
        <v>40947</v>
      </c>
      <c r="E23895" s="8">
        <f t="shared" si="397"/>
        <v>2012</v>
      </c>
      <c r="F23895" t="s">
        <v>3846</v>
      </c>
      <c r="G23895" s="9">
        <v>261145.04</v>
      </c>
      <c r="H23895" s="8">
        <v>11105</v>
      </c>
    </row>
    <row r="23896" spans="2:8" ht="15" customHeight="1" x14ac:dyDescent="0.4">
      <c r="B23896" t="s">
        <v>7</v>
      </c>
      <c r="C23896" t="s">
        <v>3845</v>
      </c>
      <c r="D23896" s="7">
        <f>DATE(2013,6,4)</f>
        <v>41429</v>
      </c>
      <c r="E23896" s="8">
        <f t="shared" si="397"/>
        <v>2013</v>
      </c>
      <c r="F23896" t="s">
        <v>3846</v>
      </c>
      <c r="G23896" s="9">
        <v>39483</v>
      </c>
      <c r="H23896" s="8">
        <v>12335</v>
      </c>
    </row>
    <row r="23897" spans="2:8" ht="15" customHeight="1" x14ac:dyDescent="0.4">
      <c r="B23897" t="s">
        <v>7</v>
      </c>
      <c r="C23897" t="s">
        <v>3845</v>
      </c>
      <c r="D23897" s="7">
        <f>DATE(2007,12,10)</f>
        <v>39426</v>
      </c>
      <c r="E23897" s="8">
        <f t="shared" si="397"/>
        <v>2007</v>
      </c>
      <c r="F23897" t="s">
        <v>3846</v>
      </c>
      <c r="G23897" s="9">
        <v>139717.92000000001</v>
      </c>
      <c r="H23897" s="8">
        <v>6197</v>
      </c>
    </row>
    <row r="23898" spans="2:8" ht="15" customHeight="1" x14ac:dyDescent="0.4">
      <c r="B23898" t="s">
        <v>7</v>
      </c>
      <c r="C23898" t="s">
        <v>3845</v>
      </c>
      <c r="D23898" s="7">
        <f>DATE(2008,10,26)</f>
        <v>39747</v>
      </c>
      <c r="E23898" s="8">
        <f t="shared" si="397"/>
        <v>2008</v>
      </c>
      <c r="F23898" t="s">
        <v>3846</v>
      </c>
      <c r="G23898" s="9">
        <v>142872.38</v>
      </c>
      <c r="H23898" s="8">
        <v>7671</v>
      </c>
    </row>
    <row r="23899" spans="2:8" ht="15" customHeight="1" x14ac:dyDescent="0.4">
      <c r="B23899" t="s">
        <v>7</v>
      </c>
      <c r="C23899" t="s">
        <v>3845</v>
      </c>
      <c r="D23899" s="7">
        <f>DATE(2009,10,23)</f>
        <v>40109</v>
      </c>
      <c r="E23899" s="8">
        <f t="shared" si="397"/>
        <v>2009</v>
      </c>
      <c r="F23899" t="s">
        <v>3846</v>
      </c>
      <c r="G23899" s="9">
        <v>135575.45000000001</v>
      </c>
      <c r="H23899" s="8">
        <v>9050</v>
      </c>
    </row>
    <row r="23900" spans="2:8" ht="15" customHeight="1" x14ac:dyDescent="0.4">
      <c r="B23900" t="s">
        <v>7</v>
      </c>
      <c r="C23900" t="s">
        <v>3845</v>
      </c>
      <c r="D23900" s="7">
        <f>DATE(2009,12,1)</f>
        <v>40148</v>
      </c>
      <c r="E23900" s="8">
        <f t="shared" si="397"/>
        <v>2009</v>
      </c>
      <c r="F23900" t="s">
        <v>3846</v>
      </c>
      <c r="G23900" s="9">
        <v>557163.48</v>
      </c>
      <c r="H23900" s="8">
        <v>9136</v>
      </c>
    </row>
    <row r="23901" spans="2:8" ht="15" customHeight="1" x14ac:dyDescent="0.4">
      <c r="B23901" t="s">
        <v>7</v>
      </c>
      <c r="C23901" t="s">
        <v>3845</v>
      </c>
      <c r="D23901" s="7">
        <f>DATE(2009,12,16)</f>
        <v>40163</v>
      </c>
      <c r="E23901" s="8">
        <f t="shared" si="397"/>
        <v>2009</v>
      </c>
      <c r="F23901" t="s">
        <v>3846</v>
      </c>
      <c r="G23901" s="9">
        <v>99362.94</v>
      </c>
      <c r="H23901" s="8">
        <v>9220</v>
      </c>
    </row>
    <row r="23902" spans="2:8" ht="15" customHeight="1" x14ac:dyDescent="0.4">
      <c r="B23902" t="s">
        <v>7</v>
      </c>
      <c r="C23902" t="s">
        <v>3845</v>
      </c>
      <c r="D23902" s="7">
        <f>DATE(2009,12,21)</f>
        <v>40168</v>
      </c>
      <c r="E23902" s="8">
        <f t="shared" si="397"/>
        <v>2009</v>
      </c>
      <c r="F23902" t="s">
        <v>3846</v>
      </c>
      <c r="G23902" s="9">
        <v>12273.99</v>
      </c>
      <c r="H23902" s="8">
        <v>9212</v>
      </c>
    </row>
    <row r="23903" spans="2:8" ht="15" customHeight="1" x14ac:dyDescent="0.4">
      <c r="B23903" t="s">
        <v>7</v>
      </c>
      <c r="C23903" t="s">
        <v>3845</v>
      </c>
      <c r="D23903" s="7">
        <f>DATE(2010,11,10)</f>
        <v>40492</v>
      </c>
      <c r="E23903" s="8">
        <f t="shared" si="397"/>
        <v>2010</v>
      </c>
      <c r="F23903" t="s">
        <v>3846</v>
      </c>
      <c r="G23903" s="9">
        <v>387865.52</v>
      </c>
      <c r="H23903" s="8">
        <v>10187</v>
      </c>
    </row>
    <row r="23904" spans="2:8" ht="15" customHeight="1" x14ac:dyDescent="0.4">
      <c r="B23904" t="s">
        <v>7</v>
      </c>
      <c r="C23904" t="s">
        <v>3845</v>
      </c>
      <c r="D23904" s="7">
        <f>DATE(2012,2,8)</f>
        <v>40947</v>
      </c>
      <c r="E23904" s="8">
        <f t="shared" si="397"/>
        <v>2012</v>
      </c>
      <c r="F23904" t="s">
        <v>3846</v>
      </c>
      <c r="G23904" s="9">
        <v>257270.51</v>
      </c>
      <c r="H23904" s="8">
        <v>11197</v>
      </c>
    </row>
    <row r="23905" spans="2:8" ht="15" customHeight="1" x14ac:dyDescent="0.4">
      <c r="B23905" t="s">
        <v>7</v>
      </c>
      <c r="C23905" t="s">
        <v>3845</v>
      </c>
      <c r="D23905" s="7">
        <f>DATE(2013,6,4)</f>
        <v>41429</v>
      </c>
      <c r="E23905" s="8">
        <f t="shared" si="397"/>
        <v>2013</v>
      </c>
      <c r="F23905" t="s">
        <v>3846</v>
      </c>
      <c r="G23905" s="9">
        <v>117377.25</v>
      </c>
      <c r="H23905" s="8">
        <v>12411</v>
      </c>
    </row>
    <row r="23906" spans="2:8" ht="15" customHeight="1" x14ac:dyDescent="0.4">
      <c r="B23906" t="s">
        <v>7</v>
      </c>
      <c r="C23906" t="s">
        <v>3845</v>
      </c>
      <c r="D23906" s="7">
        <f>DATE(2013,6,25)</f>
        <v>41450</v>
      </c>
      <c r="E23906" s="8">
        <f t="shared" si="397"/>
        <v>2013</v>
      </c>
      <c r="F23906" t="s">
        <v>3846</v>
      </c>
      <c r="G23906" s="9">
        <v>169229.97</v>
      </c>
      <c r="H23906" s="8">
        <v>12506</v>
      </c>
    </row>
    <row r="23907" spans="2:8" ht="15" customHeight="1" x14ac:dyDescent="0.4">
      <c r="B23907" s="3" t="s">
        <v>7</v>
      </c>
      <c r="C23907" s="3" t="s">
        <v>3845</v>
      </c>
      <c r="D23907" s="4">
        <f>DATE(2008,5,19)</f>
        <v>39587</v>
      </c>
      <c r="E23907" s="5">
        <f t="shared" si="397"/>
        <v>2008</v>
      </c>
      <c r="F23907" s="3" t="s">
        <v>3846</v>
      </c>
      <c r="G23907" s="6">
        <v>5656.88</v>
      </c>
      <c r="H23907" s="5">
        <v>10430</v>
      </c>
    </row>
    <row r="23908" spans="2:8" ht="15" customHeight="1" x14ac:dyDescent="0.4">
      <c r="B23908" s="3" t="s">
        <v>7</v>
      </c>
      <c r="C23908" s="3" t="s">
        <v>3845</v>
      </c>
      <c r="D23908" s="4">
        <f>DATE(2008,6,25)</f>
        <v>39624</v>
      </c>
      <c r="E23908" s="5">
        <f t="shared" si="397"/>
        <v>2008</v>
      </c>
      <c r="F23908" s="3" t="s">
        <v>3846</v>
      </c>
      <c r="G23908" s="6">
        <v>11214.66</v>
      </c>
      <c r="H23908" s="5">
        <v>10788</v>
      </c>
    </row>
    <row r="23909" spans="2:8" ht="15" customHeight="1" x14ac:dyDescent="0.4">
      <c r="B23909" s="3" t="s">
        <v>7</v>
      </c>
      <c r="C23909" s="3" t="s">
        <v>3845</v>
      </c>
      <c r="D23909" s="4">
        <f>DATE(2010,1,21)</f>
        <v>40199</v>
      </c>
      <c r="E23909" s="5">
        <f t="shared" si="397"/>
        <v>2010</v>
      </c>
      <c r="F23909" s="3" t="s">
        <v>3846</v>
      </c>
      <c r="G23909" s="6">
        <v>370.5</v>
      </c>
      <c r="H23909" s="5">
        <v>13469</v>
      </c>
    </row>
    <row r="23910" spans="2:8" ht="15" customHeight="1" x14ac:dyDescent="0.4">
      <c r="B23910" s="3" t="s">
        <v>16</v>
      </c>
      <c r="C23910" s="3" t="s">
        <v>3845</v>
      </c>
      <c r="D23910" s="4">
        <f>DATE(2008,6,1)</f>
        <v>39600</v>
      </c>
      <c r="E23910" s="5">
        <f t="shared" si="397"/>
        <v>2008</v>
      </c>
      <c r="F23910" s="3" t="s">
        <v>3846</v>
      </c>
      <c r="G23910" s="6">
        <v>406.88</v>
      </c>
      <c r="H23910" s="5">
        <v>10901</v>
      </c>
    </row>
    <row r="23911" spans="2:8" ht="15" customHeight="1" x14ac:dyDescent="0.4">
      <c r="B23911" s="3" t="s">
        <v>16</v>
      </c>
      <c r="C23911" s="3" t="s">
        <v>3845</v>
      </c>
      <c r="D23911" s="4">
        <f>DATE(2008,8,1)</f>
        <v>39661</v>
      </c>
      <c r="E23911" s="5">
        <f t="shared" si="397"/>
        <v>2008</v>
      </c>
      <c r="F23911" s="3" t="s">
        <v>3846</v>
      </c>
      <c r="G23911" s="6">
        <v>806.66</v>
      </c>
      <c r="H23911" s="5">
        <v>11162</v>
      </c>
    </row>
    <row r="23912" spans="2:8" ht="15" customHeight="1" x14ac:dyDescent="0.4">
      <c r="B23912" s="3" t="s">
        <v>7</v>
      </c>
      <c r="C23912" s="3" t="s">
        <v>3847</v>
      </c>
      <c r="D23912" s="4">
        <f>DATE(2004,5,5)</f>
        <v>38112</v>
      </c>
      <c r="E23912" s="5">
        <f t="shared" si="397"/>
        <v>2004</v>
      </c>
      <c r="F23912" s="3" t="s">
        <v>3848</v>
      </c>
      <c r="G23912" s="6">
        <v>17550</v>
      </c>
      <c r="H23912" s="5">
        <v>2761</v>
      </c>
    </row>
    <row r="23913" spans="2:8" ht="15" customHeight="1" x14ac:dyDescent="0.4">
      <c r="B23913" t="s">
        <v>7</v>
      </c>
      <c r="C23913" t="s">
        <v>3847</v>
      </c>
      <c r="D23913" s="7">
        <f>DATE(2017,5,1)</f>
        <v>42856</v>
      </c>
      <c r="E23913" s="8">
        <f t="shared" si="397"/>
        <v>2017</v>
      </c>
      <c r="F23913" t="s">
        <v>3849</v>
      </c>
      <c r="G23913" s="9">
        <v>68687.67</v>
      </c>
      <c r="H23913" s="8">
        <v>23960</v>
      </c>
    </row>
    <row r="23914" spans="2:8" ht="15" customHeight="1" x14ac:dyDescent="0.4">
      <c r="B23914" t="s">
        <v>7</v>
      </c>
      <c r="C23914" t="s">
        <v>3847</v>
      </c>
      <c r="D23914" s="7">
        <f>DATE(2016,4,6)</f>
        <v>42466</v>
      </c>
      <c r="E23914" s="8">
        <f t="shared" si="397"/>
        <v>2016</v>
      </c>
      <c r="F23914" t="s">
        <v>3849</v>
      </c>
      <c r="G23914" s="9">
        <v>394</v>
      </c>
      <c r="H23914" s="8">
        <v>22567</v>
      </c>
    </row>
    <row r="23915" spans="2:8" ht="15" customHeight="1" x14ac:dyDescent="0.4">
      <c r="B23915" t="s">
        <v>7</v>
      </c>
      <c r="C23915" t="s">
        <v>3847</v>
      </c>
      <c r="D23915" s="7">
        <f>DATE(2017,3,14)</f>
        <v>42808</v>
      </c>
      <c r="E23915" s="8">
        <f t="shared" si="397"/>
        <v>2017</v>
      </c>
      <c r="F23915" t="s">
        <v>3849</v>
      </c>
      <c r="G23915" s="9">
        <v>508</v>
      </c>
      <c r="H23915" s="8">
        <v>24480</v>
      </c>
    </row>
    <row r="23916" spans="2:8" ht="15" customHeight="1" x14ac:dyDescent="0.4">
      <c r="B23916" t="s">
        <v>7</v>
      </c>
      <c r="C23916" t="s">
        <v>3847</v>
      </c>
      <c r="D23916" s="7">
        <f>DATE(2011,12,20)</f>
        <v>40897</v>
      </c>
      <c r="E23916" s="8">
        <f t="shared" si="397"/>
        <v>2011</v>
      </c>
      <c r="F23916" t="s">
        <v>3849</v>
      </c>
      <c r="G23916" s="9">
        <v>74350.55</v>
      </c>
      <c r="H23916" s="8">
        <v>11017</v>
      </c>
    </row>
    <row r="23917" spans="2:8" ht="15" customHeight="1" x14ac:dyDescent="0.4">
      <c r="B23917" t="s">
        <v>7</v>
      </c>
      <c r="C23917" t="s">
        <v>3847</v>
      </c>
      <c r="D23917" s="7">
        <f>DATE(2004,7,16)</f>
        <v>38184</v>
      </c>
      <c r="E23917" s="8">
        <f t="shared" si="397"/>
        <v>2004</v>
      </c>
      <c r="F23917" t="s">
        <v>3849</v>
      </c>
      <c r="G23917" s="9">
        <v>24910.75</v>
      </c>
      <c r="H23917" s="8">
        <v>1964</v>
      </c>
    </row>
    <row r="23918" spans="2:8" ht="15" customHeight="1" x14ac:dyDescent="0.4">
      <c r="B23918" t="s">
        <v>7</v>
      </c>
      <c r="C23918" t="s">
        <v>3847</v>
      </c>
      <c r="D23918" s="7">
        <f>DATE(2007,3,30)</f>
        <v>39171</v>
      </c>
      <c r="E23918" s="8">
        <f t="shared" si="397"/>
        <v>2007</v>
      </c>
      <c r="F23918" t="s">
        <v>3849</v>
      </c>
      <c r="G23918" s="9">
        <v>4235.32</v>
      </c>
      <c r="H23918" s="8">
        <v>5729</v>
      </c>
    </row>
    <row r="23919" spans="2:8" ht="15" customHeight="1" x14ac:dyDescent="0.4">
      <c r="B23919" t="s">
        <v>7</v>
      </c>
      <c r="C23919" t="s">
        <v>3847</v>
      </c>
      <c r="D23919" s="7">
        <f>DATE(2007,5,28)</f>
        <v>39230</v>
      </c>
      <c r="E23919" s="8">
        <f t="shared" si="397"/>
        <v>2007</v>
      </c>
      <c r="F23919" t="s">
        <v>3849</v>
      </c>
      <c r="G23919" s="9">
        <v>32388.25</v>
      </c>
      <c r="H23919" s="8">
        <v>5704</v>
      </c>
    </row>
    <row r="23920" spans="2:8" ht="15" customHeight="1" x14ac:dyDescent="0.4">
      <c r="B23920" t="s">
        <v>7</v>
      </c>
      <c r="C23920" t="s">
        <v>3847</v>
      </c>
      <c r="D23920" s="7">
        <f>DATE(2007,10,30)</f>
        <v>39385</v>
      </c>
      <c r="E23920" s="8">
        <f t="shared" si="397"/>
        <v>2007</v>
      </c>
      <c r="F23920" t="s">
        <v>3849</v>
      </c>
      <c r="G23920" s="9">
        <v>4790.83</v>
      </c>
      <c r="H23920" s="8">
        <v>6529</v>
      </c>
    </row>
    <row r="23921" spans="2:8" ht="15" customHeight="1" x14ac:dyDescent="0.4">
      <c r="B23921" t="s">
        <v>7</v>
      </c>
      <c r="C23921" t="s">
        <v>3847</v>
      </c>
      <c r="D23921" s="7">
        <f>DATE(2008,3,1)</f>
        <v>39508</v>
      </c>
      <c r="E23921" s="8">
        <f t="shared" si="397"/>
        <v>2008</v>
      </c>
      <c r="F23921" t="s">
        <v>3849</v>
      </c>
      <c r="G23921" s="9">
        <v>10586.47</v>
      </c>
      <c r="H23921" s="8">
        <v>7109</v>
      </c>
    </row>
    <row r="23922" spans="2:8" ht="15" customHeight="1" x14ac:dyDescent="0.4">
      <c r="B23922" t="s">
        <v>7</v>
      </c>
      <c r="C23922" t="s">
        <v>3847</v>
      </c>
      <c r="D23922" s="7">
        <f>DATE(2008,3,25)</f>
        <v>39532</v>
      </c>
      <c r="E23922" s="8">
        <f t="shared" si="397"/>
        <v>2008</v>
      </c>
      <c r="F23922" t="s">
        <v>3849</v>
      </c>
      <c r="G23922" s="9">
        <v>5027.71</v>
      </c>
      <c r="H23922" s="8">
        <v>7206</v>
      </c>
    </row>
    <row r="23923" spans="2:8" ht="15" customHeight="1" x14ac:dyDescent="0.4">
      <c r="B23923" t="s">
        <v>7</v>
      </c>
      <c r="C23923" t="s">
        <v>3847</v>
      </c>
      <c r="D23923" s="7">
        <f>DATE(2008,5,11)</f>
        <v>39579</v>
      </c>
      <c r="E23923" s="8">
        <f t="shared" si="397"/>
        <v>2008</v>
      </c>
      <c r="F23923" t="s">
        <v>3849</v>
      </c>
      <c r="G23923" s="9">
        <v>24673.25</v>
      </c>
      <c r="H23923" s="8">
        <v>6826</v>
      </c>
    </row>
    <row r="23924" spans="2:8" ht="15" customHeight="1" x14ac:dyDescent="0.4">
      <c r="B23924" t="s">
        <v>7</v>
      </c>
      <c r="C23924" t="s">
        <v>3847</v>
      </c>
      <c r="D23924" s="7">
        <f>DATE(2008,5,16)</f>
        <v>39584</v>
      </c>
      <c r="E23924" s="8">
        <f t="shared" si="397"/>
        <v>2008</v>
      </c>
      <c r="F23924" t="s">
        <v>3849</v>
      </c>
      <c r="G23924" s="9">
        <v>19493</v>
      </c>
      <c r="H23924" s="8">
        <v>6832</v>
      </c>
    </row>
    <row r="23925" spans="2:8" ht="15" customHeight="1" x14ac:dyDescent="0.4">
      <c r="B23925" t="s">
        <v>7</v>
      </c>
      <c r="C23925" t="s">
        <v>3847</v>
      </c>
      <c r="D23925" s="7">
        <f>DATE(2008,6,3)</f>
        <v>39602</v>
      </c>
      <c r="E23925" s="8">
        <f t="shared" si="397"/>
        <v>2008</v>
      </c>
      <c r="F23925" t="s">
        <v>3849</v>
      </c>
      <c r="G23925" s="9">
        <v>14295.16</v>
      </c>
      <c r="H23925" s="8">
        <v>7483</v>
      </c>
    </row>
    <row r="23926" spans="2:8" ht="15" customHeight="1" x14ac:dyDescent="0.4">
      <c r="B23926" t="s">
        <v>7</v>
      </c>
      <c r="C23926" t="s">
        <v>3847</v>
      </c>
      <c r="D23926" s="7">
        <f>DATE(2009,2,20)</f>
        <v>39864</v>
      </c>
      <c r="E23926" s="8">
        <f t="shared" si="397"/>
        <v>2009</v>
      </c>
      <c r="F23926" t="s">
        <v>3849</v>
      </c>
      <c r="G23926" s="9">
        <v>5214.08</v>
      </c>
      <c r="H23926" s="8">
        <v>8311</v>
      </c>
    </row>
    <row r="23927" spans="2:8" ht="15" customHeight="1" x14ac:dyDescent="0.4">
      <c r="B23927" t="s">
        <v>7</v>
      </c>
      <c r="C23927" t="s">
        <v>3847</v>
      </c>
      <c r="D23927" s="7">
        <f>DATE(2009,10,30)</f>
        <v>40116</v>
      </c>
      <c r="E23927" s="8">
        <f t="shared" si="397"/>
        <v>2009</v>
      </c>
      <c r="F23927" t="s">
        <v>3849</v>
      </c>
      <c r="G23927" s="9">
        <v>11611.46</v>
      </c>
      <c r="H23927" s="8">
        <v>9140</v>
      </c>
    </row>
    <row r="23928" spans="2:8" ht="15" customHeight="1" x14ac:dyDescent="0.4">
      <c r="B23928" t="s">
        <v>7</v>
      </c>
      <c r="C23928" t="s">
        <v>3847</v>
      </c>
      <c r="D23928" s="7">
        <f>DATE(2009,10,30)</f>
        <v>40116</v>
      </c>
      <c r="E23928" s="8">
        <f t="shared" si="397"/>
        <v>2009</v>
      </c>
      <c r="F23928" t="s">
        <v>3849</v>
      </c>
      <c r="G23928" s="9">
        <v>17627.939999999999</v>
      </c>
      <c r="H23928" s="8">
        <v>9162</v>
      </c>
    </row>
    <row r="23929" spans="2:8" ht="15" customHeight="1" x14ac:dyDescent="0.4">
      <c r="B23929" t="s">
        <v>7</v>
      </c>
      <c r="C23929" t="s">
        <v>3847</v>
      </c>
      <c r="D23929" s="7">
        <f>DATE(2009,11,23)</f>
        <v>40140</v>
      </c>
      <c r="E23929" s="8">
        <f t="shared" si="397"/>
        <v>2009</v>
      </c>
      <c r="F23929" t="s">
        <v>3849</v>
      </c>
      <c r="G23929" s="9">
        <v>95987.3</v>
      </c>
      <c r="H23929" s="8">
        <v>9205</v>
      </c>
    </row>
    <row r="23930" spans="2:8" ht="15" customHeight="1" x14ac:dyDescent="0.4">
      <c r="B23930" t="s">
        <v>7</v>
      </c>
      <c r="C23930" t="s">
        <v>3847</v>
      </c>
      <c r="D23930" s="7">
        <f>DATE(2010,2,19)</f>
        <v>40228</v>
      </c>
      <c r="E23930" s="8">
        <f t="shared" si="397"/>
        <v>2010</v>
      </c>
      <c r="F23930" t="s">
        <v>3849</v>
      </c>
      <c r="G23930" s="9">
        <v>27872.68</v>
      </c>
      <c r="H23930" s="8">
        <v>9495</v>
      </c>
    </row>
    <row r="23931" spans="2:8" ht="15" customHeight="1" x14ac:dyDescent="0.4">
      <c r="B23931" t="s">
        <v>7</v>
      </c>
      <c r="C23931" t="s">
        <v>3847</v>
      </c>
      <c r="D23931" s="7">
        <f>DATE(2010,2,19)</f>
        <v>40228</v>
      </c>
      <c r="E23931" s="8">
        <f t="shared" si="397"/>
        <v>2010</v>
      </c>
      <c r="F23931" t="s">
        <v>3849</v>
      </c>
      <c r="G23931" s="9">
        <v>18137.240000000002</v>
      </c>
      <c r="H23931" s="8">
        <v>9481</v>
      </c>
    </row>
    <row r="23932" spans="2:8" ht="15" customHeight="1" x14ac:dyDescent="0.4">
      <c r="B23932" t="s">
        <v>7</v>
      </c>
      <c r="C23932" t="s">
        <v>3847</v>
      </c>
      <c r="D23932" s="7">
        <f>DATE(2010,2,19)</f>
        <v>40228</v>
      </c>
      <c r="E23932" s="8">
        <f t="shared" si="397"/>
        <v>2010</v>
      </c>
      <c r="F23932" t="s">
        <v>3849</v>
      </c>
      <c r="G23932" s="9">
        <v>25178</v>
      </c>
      <c r="H23932" s="8">
        <v>8784</v>
      </c>
    </row>
    <row r="23933" spans="2:8" ht="15" customHeight="1" x14ac:dyDescent="0.4">
      <c r="B23933" t="s">
        <v>7</v>
      </c>
      <c r="C23933" t="s">
        <v>3847</v>
      </c>
      <c r="D23933" s="7">
        <f>DATE(2010,3,17)</f>
        <v>40254</v>
      </c>
      <c r="E23933" s="8">
        <f t="shared" si="397"/>
        <v>2010</v>
      </c>
      <c r="F23933" t="s">
        <v>3849</v>
      </c>
      <c r="G23933" s="9">
        <v>48759</v>
      </c>
      <c r="H23933" s="8">
        <v>9614</v>
      </c>
    </row>
    <row r="23934" spans="2:8" ht="15" customHeight="1" x14ac:dyDescent="0.4">
      <c r="B23934" t="s">
        <v>7</v>
      </c>
      <c r="C23934" t="s">
        <v>3847</v>
      </c>
      <c r="D23934" s="7">
        <f>DATE(2012,5,22)</f>
        <v>41051</v>
      </c>
      <c r="E23934" s="8">
        <f t="shared" si="397"/>
        <v>2012</v>
      </c>
      <c r="F23934" t="s">
        <v>3849</v>
      </c>
      <c r="G23934" s="9">
        <v>28986.65</v>
      </c>
      <c r="H23934" s="8">
        <v>11509</v>
      </c>
    </row>
    <row r="23935" spans="2:8" ht="15" customHeight="1" x14ac:dyDescent="0.4">
      <c r="B23935" t="s">
        <v>7</v>
      </c>
      <c r="C23935" t="s">
        <v>3847</v>
      </c>
      <c r="D23935" s="7">
        <f>DATE(2013,5,16)</f>
        <v>41410</v>
      </c>
      <c r="E23935" s="8">
        <f t="shared" si="397"/>
        <v>2013</v>
      </c>
      <c r="F23935" t="s">
        <v>3849</v>
      </c>
      <c r="G23935" s="9">
        <v>23557.08</v>
      </c>
      <c r="H23935" s="8">
        <v>12163</v>
      </c>
    </row>
    <row r="23936" spans="2:8" ht="15" customHeight="1" x14ac:dyDescent="0.4">
      <c r="B23936" t="s">
        <v>7</v>
      </c>
      <c r="C23936" t="s">
        <v>3847</v>
      </c>
      <c r="D23936" s="7">
        <f>DATE(2012,10,19)</f>
        <v>41201</v>
      </c>
      <c r="E23936" s="8">
        <f t="shared" si="397"/>
        <v>2012</v>
      </c>
      <c r="F23936" t="s">
        <v>3849</v>
      </c>
      <c r="G23936" s="9">
        <v>5101.2</v>
      </c>
      <c r="H23936" s="8">
        <v>11892</v>
      </c>
    </row>
    <row r="23937" spans="2:8" ht="15" customHeight="1" x14ac:dyDescent="0.4">
      <c r="B23937" s="3" t="s">
        <v>7</v>
      </c>
      <c r="C23937" s="3" t="s">
        <v>3847</v>
      </c>
      <c r="D23937" s="4">
        <f>DATE(2003,8,12)</f>
        <v>37845</v>
      </c>
      <c r="E23937" s="5">
        <f t="shared" si="397"/>
        <v>2003</v>
      </c>
      <c r="F23937" s="3" t="s">
        <v>3849</v>
      </c>
      <c r="G23937" s="6">
        <v>1100</v>
      </c>
      <c r="H23937" s="5">
        <v>1363</v>
      </c>
    </row>
    <row r="23938" spans="2:8" ht="15" customHeight="1" x14ac:dyDescent="0.4">
      <c r="B23938" s="3" t="s">
        <v>7</v>
      </c>
      <c r="C23938" s="3" t="s">
        <v>3847</v>
      </c>
      <c r="D23938" s="4">
        <f>DATE(2005,9,9)</f>
        <v>38604</v>
      </c>
      <c r="E23938" s="5">
        <f t="shared" si="397"/>
        <v>2005</v>
      </c>
      <c r="F23938" s="3" t="s">
        <v>3849</v>
      </c>
      <c r="G23938" s="6">
        <v>297</v>
      </c>
      <c r="H23938" s="5">
        <v>5234</v>
      </c>
    </row>
    <row r="23939" spans="2:8" ht="15" customHeight="1" x14ac:dyDescent="0.4">
      <c r="B23939" s="3" t="s">
        <v>7</v>
      </c>
      <c r="C23939" s="3" t="s">
        <v>3847</v>
      </c>
      <c r="D23939" s="4">
        <f>DATE(2007,4,24)</f>
        <v>39196</v>
      </c>
      <c r="E23939" s="5">
        <f t="shared" ref="E23939:E24002" si="398">YEAR(D23939)</f>
        <v>2007</v>
      </c>
      <c r="F23939" s="3" t="s">
        <v>3849</v>
      </c>
      <c r="G23939" s="6">
        <v>11685</v>
      </c>
      <c r="H23939" s="5">
        <v>8173</v>
      </c>
    </row>
    <row r="23940" spans="2:8" ht="15" customHeight="1" x14ac:dyDescent="0.4">
      <c r="B23940" s="3" t="s">
        <v>7</v>
      </c>
      <c r="C23940" s="3" t="s">
        <v>3847</v>
      </c>
      <c r="D23940" s="4">
        <f>DATE(2008,1,25)</f>
        <v>39472</v>
      </c>
      <c r="E23940" s="5">
        <f t="shared" si="398"/>
        <v>2008</v>
      </c>
      <c r="F23940" s="3" t="s">
        <v>3849</v>
      </c>
      <c r="G23940" s="6">
        <v>508</v>
      </c>
      <c r="H23940" s="5">
        <v>9784</v>
      </c>
    </row>
    <row r="23941" spans="2:8" ht="15" customHeight="1" x14ac:dyDescent="0.4">
      <c r="B23941" s="3" t="s">
        <v>7</v>
      </c>
      <c r="C23941" s="3" t="s">
        <v>3847</v>
      </c>
      <c r="D23941" s="4">
        <f>DATE(2008,2,7)</f>
        <v>39485</v>
      </c>
      <c r="E23941" s="5">
        <f t="shared" si="398"/>
        <v>2008</v>
      </c>
      <c r="F23941" s="3" t="s">
        <v>3849</v>
      </c>
      <c r="G23941" s="6">
        <v>11685</v>
      </c>
      <c r="H23941" s="5">
        <v>9751</v>
      </c>
    </row>
    <row r="23942" spans="2:8" ht="15" customHeight="1" x14ac:dyDescent="0.4">
      <c r="B23942" s="3" t="s">
        <v>7</v>
      </c>
      <c r="C23942" s="3" t="s">
        <v>3847</v>
      </c>
      <c r="D23942" s="4">
        <f>DATE(2009,12,15)</f>
        <v>40162</v>
      </c>
      <c r="E23942" s="5">
        <f t="shared" si="398"/>
        <v>2009</v>
      </c>
      <c r="F23942" s="3" t="s">
        <v>3849</v>
      </c>
      <c r="G23942" s="6">
        <v>11685</v>
      </c>
      <c r="H23942" s="5">
        <v>13352</v>
      </c>
    </row>
    <row r="23943" spans="2:8" ht="15" customHeight="1" x14ac:dyDescent="0.4">
      <c r="B23943" s="3" t="s">
        <v>7</v>
      </c>
      <c r="C23943" s="3" t="s">
        <v>3847</v>
      </c>
      <c r="D23943" s="4">
        <f>DATE(2010,6,11)</f>
        <v>40340</v>
      </c>
      <c r="E23943" s="5">
        <f t="shared" si="398"/>
        <v>2010</v>
      </c>
      <c r="F23943" s="3" t="s">
        <v>3849</v>
      </c>
      <c r="G23943" s="6">
        <v>508</v>
      </c>
      <c r="H23943" s="5">
        <v>14136</v>
      </c>
    </row>
    <row r="23944" spans="2:8" ht="15" customHeight="1" x14ac:dyDescent="0.4">
      <c r="B23944" s="3" t="s">
        <v>7</v>
      </c>
      <c r="C23944" s="3" t="s">
        <v>3847</v>
      </c>
      <c r="D23944" s="4">
        <f>DATE(2011,3,17)</f>
        <v>40619</v>
      </c>
      <c r="E23944" s="5">
        <f t="shared" si="398"/>
        <v>2011</v>
      </c>
      <c r="F23944" s="3" t="s">
        <v>3849</v>
      </c>
      <c r="G23944" s="6">
        <v>11685</v>
      </c>
      <c r="H23944" s="5">
        <v>15220</v>
      </c>
    </row>
    <row r="23945" spans="2:8" ht="15" customHeight="1" x14ac:dyDescent="0.4">
      <c r="B23945" s="3" t="s">
        <v>7</v>
      </c>
      <c r="C23945" s="3" t="s">
        <v>3847</v>
      </c>
      <c r="D23945" s="4">
        <f>DATE(2013,5,17)</f>
        <v>41411</v>
      </c>
      <c r="E23945" s="5">
        <f t="shared" si="398"/>
        <v>2013</v>
      </c>
      <c r="F23945" s="3" t="s">
        <v>3849</v>
      </c>
      <c r="G23945" s="6">
        <v>7790</v>
      </c>
      <c r="H23945" s="5">
        <v>17678</v>
      </c>
    </row>
    <row r="23946" spans="2:8" ht="15" customHeight="1" x14ac:dyDescent="0.4">
      <c r="B23946" s="3" t="s">
        <v>7</v>
      </c>
      <c r="C23946" s="3" t="s">
        <v>3847</v>
      </c>
      <c r="D23946" s="4">
        <f>DATE(2014,3,27)</f>
        <v>41725</v>
      </c>
      <c r="E23946" s="5">
        <f t="shared" si="398"/>
        <v>2014</v>
      </c>
      <c r="F23946" s="3" t="s">
        <v>3849</v>
      </c>
      <c r="G23946" s="6">
        <v>3250</v>
      </c>
      <c r="H23946" s="5">
        <v>19619</v>
      </c>
    </row>
    <row r="23947" spans="2:8" ht="15" customHeight="1" x14ac:dyDescent="0.4">
      <c r="B23947" s="3" t="s">
        <v>7</v>
      </c>
      <c r="C23947" s="3" t="s">
        <v>3847</v>
      </c>
      <c r="D23947" s="4">
        <f>DATE(2014,4,2)</f>
        <v>41731</v>
      </c>
      <c r="E23947" s="5">
        <f t="shared" si="398"/>
        <v>2014</v>
      </c>
      <c r="F23947" s="3" t="s">
        <v>3849</v>
      </c>
      <c r="G23947" s="6">
        <v>631.65</v>
      </c>
      <c r="H23947" s="5">
        <v>19792</v>
      </c>
    </row>
    <row r="23948" spans="2:8" ht="15" customHeight="1" x14ac:dyDescent="0.4">
      <c r="B23948" s="3" t="s">
        <v>7</v>
      </c>
      <c r="C23948" s="3" t="s">
        <v>3850</v>
      </c>
      <c r="D23948" s="4">
        <f>DATE(2010,10,5)</f>
        <v>40456</v>
      </c>
      <c r="E23948" s="5">
        <f t="shared" si="398"/>
        <v>2010</v>
      </c>
      <c r="F23948" s="3" t="s">
        <v>3851</v>
      </c>
      <c r="G23948" s="6">
        <v>10241.200000000001</v>
      </c>
      <c r="H23948" s="5">
        <v>4126</v>
      </c>
    </row>
    <row r="23949" spans="2:8" ht="15" customHeight="1" x14ac:dyDescent="0.4">
      <c r="B23949" s="3" t="s">
        <v>16</v>
      </c>
      <c r="C23949" s="3" t="s">
        <v>3850</v>
      </c>
      <c r="D23949" s="4">
        <f>DATE(2010,10,5)</f>
        <v>40456</v>
      </c>
      <c r="E23949" s="5">
        <f t="shared" si="398"/>
        <v>2010</v>
      </c>
      <c r="F23949" s="3" t="s">
        <v>3851</v>
      </c>
      <c r="G23949" s="6">
        <v>3797.5</v>
      </c>
      <c r="H23949" s="5">
        <v>4183</v>
      </c>
    </row>
    <row r="23950" spans="2:8" ht="15" customHeight="1" x14ac:dyDescent="0.4">
      <c r="B23950" t="s">
        <v>7</v>
      </c>
      <c r="C23950" t="s">
        <v>3852</v>
      </c>
      <c r="D23950" s="7">
        <f>DATE(2015,4,23)</f>
        <v>42117</v>
      </c>
      <c r="E23950" s="8">
        <f t="shared" si="398"/>
        <v>2015</v>
      </c>
      <c r="F23950" t="s">
        <v>3853</v>
      </c>
      <c r="G23950" s="9">
        <v>24500</v>
      </c>
      <c r="H23950" s="8">
        <v>92</v>
      </c>
    </row>
    <row r="23951" spans="2:8" ht="15" customHeight="1" x14ac:dyDescent="0.4">
      <c r="B23951" t="s">
        <v>7</v>
      </c>
      <c r="C23951" t="s">
        <v>3852</v>
      </c>
      <c r="D23951" s="7">
        <f>DATE(2016,3,16)</f>
        <v>42445</v>
      </c>
      <c r="E23951" s="8">
        <f t="shared" si="398"/>
        <v>2016</v>
      </c>
      <c r="F23951" t="s">
        <v>3853</v>
      </c>
      <c r="G23951" s="9">
        <v>5735.12</v>
      </c>
      <c r="H23951" s="8">
        <v>21853</v>
      </c>
    </row>
    <row r="23952" spans="2:8" ht="15" customHeight="1" x14ac:dyDescent="0.4">
      <c r="B23952" t="s">
        <v>7</v>
      </c>
      <c r="C23952" t="s">
        <v>3852</v>
      </c>
      <c r="D23952" s="7">
        <f>DATE(2016,4,12)</f>
        <v>42472</v>
      </c>
      <c r="E23952" s="8">
        <f t="shared" si="398"/>
        <v>2016</v>
      </c>
      <c r="F23952" t="s">
        <v>3853</v>
      </c>
      <c r="G23952" s="9">
        <v>25900</v>
      </c>
      <c r="H23952" s="8">
        <v>22627</v>
      </c>
    </row>
    <row r="23953" spans="2:8" ht="15" customHeight="1" x14ac:dyDescent="0.4">
      <c r="B23953" t="s">
        <v>7</v>
      </c>
      <c r="C23953" t="s">
        <v>3852</v>
      </c>
      <c r="D23953" s="7">
        <f>DATE(2016,11,8)</f>
        <v>42682</v>
      </c>
      <c r="E23953" s="8">
        <f t="shared" si="398"/>
        <v>2016</v>
      </c>
      <c r="F23953" t="s">
        <v>3853</v>
      </c>
      <c r="G23953" s="9">
        <v>4800</v>
      </c>
      <c r="H23953" s="8">
        <v>23131</v>
      </c>
    </row>
    <row r="23954" spans="2:8" ht="15" customHeight="1" x14ac:dyDescent="0.4">
      <c r="B23954" t="s">
        <v>7</v>
      </c>
      <c r="C23954" t="s">
        <v>3852</v>
      </c>
      <c r="D23954" s="7">
        <f>DATE(2019,3,12)</f>
        <v>43536</v>
      </c>
      <c r="E23954" s="8">
        <f t="shared" si="398"/>
        <v>2019</v>
      </c>
      <c r="F23954" t="s">
        <v>3853</v>
      </c>
      <c r="G23954" s="9">
        <v>8364</v>
      </c>
      <c r="H23954" s="8">
        <v>27922</v>
      </c>
    </row>
    <row r="23955" spans="2:8" ht="15" customHeight="1" x14ac:dyDescent="0.4">
      <c r="B23955" t="s">
        <v>7</v>
      </c>
      <c r="C23955" t="s">
        <v>3852</v>
      </c>
      <c r="D23955" s="7">
        <f>DATE(2019,3,11)</f>
        <v>43535</v>
      </c>
      <c r="E23955" s="8">
        <f t="shared" si="398"/>
        <v>2019</v>
      </c>
      <c r="F23955" t="s">
        <v>3853</v>
      </c>
      <c r="G23955" s="9">
        <v>26900</v>
      </c>
      <c r="H23955" s="8">
        <v>28389</v>
      </c>
    </row>
    <row r="23956" spans="2:8" ht="15" customHeight="1" x14ac:dyDescent="0.4">
      <c r="B23956" t="s">
        <v>7</v>
      </c>
      <c r="C23956" t="s">
        <v>3852</v>
      </c>
      <c r="D23956" s="7">
        <f>DATE(2003,2,5)</f>
        <v>37657</v>
      </c>
      <c r="E23956" s="8">
        <f t="shared" si="398"/>
        <v>2003</v>
      </c>
      <c r="F23956" t="s">
        <v>3853</v>
      </c>
      <c r="G23956" s="9">
        <v>4838.1400000000003</v>
      </c>
      <c r="H23956" s="8">
        <v>168</v>
      </c>
    </row>
    <row r="23957" spans="2:8" ht="15" customHeight="1" x14ac:dyDescent="0.4">
      <c r="B23957" t="s">
        <v>7</v>
      </c>
      <c r="C23957" t="s">
        <v>3852</v>
      </c>
      <c r="D23957" s="7">
        <f>DATE(2003,5,4)</f>
        <v>37745</v>
      </c>
      <c r="E23957" s="8">
        <f t="shared" si="398"/>
        <v>2003</v>
      </c>
      <c r="F23957" t="s">
        <v>3853</v>
      </c>
      <c r="G23957" s="9">
        <v>17700</v>
      </c>
      <c r="H23957" s="8">
        <v>551</v>
      </c>
    </row>
    <row r="23958" spans="2:8" ht="15" customHeight="1" x14ac:dyDescent="0.4">
      <c r="B23958" t="s">
        <v>7</v>
      </c>
      <c r="C23958" t="s">
        <v>3852</v>
      </c>
      <c r="D23958" s="7">
        <f>DATE(2003,6,19)</f>
        <v>37791</v>
      </c>
      <c r="E23958" s="8">
        <f t="shared" si="398"/>
        <v>2003</v>
      </c>
      <c r="F23958" t="s">
        <v>3853</v>
      </c>
      <c r="G23958" s="9">
        <v>4920</v>
      </c>
      <c r="H23958" s="8">
        <v>683</v>
      </c>
    </row>
    <row r="23959" spans="2:8" ht="15" customHeight="1" x14ac:dyDescent="0.4">
      <c r="B23959" t="s">
        <v>7</v>
      </c>
      <c r="C23959" t="s">
        <v>3852</v>
      </c>
      <c r="D23959" s="7">
        <f>DATE(2003,6,18)</f>
        <v>37790</v>
      </c>
      <c r="E23959" s="8">
        <f t="shared" si="398"/>
        <v>2003</v>
      </c>
      <c r="F23959" t="s">
        <v>3853</v>
      </c>
      <c r="G23959" s="9">
        <v>14505.35</v>
      </c>
      <c r="H23959" s="8">
        <v>679</v>
      </c>
    </row>
    <row r="23960" spans="2:8" ht="15" customHeight="1" x14ac:dyDescent="0.4">
      <c r="B23960" t="s">
        <v>7</v>
      </c>
      <c r="C23960" t="s">
        <v>3852</v>
      </c>
      <c r="D23960" s="7">
        <f>DATE(2003,7,19)</f>
        <v>37821</v>
      </c>
      <c r="E23960" s="8">
        <f t="shared" si="398"/>
        <v>2003</v>
      </c>
      <c r="F23960" t="s">
        <v>3853</v>
      </c>
      <c r="G23960" s="9">
        <v>5488.96</v>
      </c>
      <c r="H23960" s="8">
        <v>737</v>
      </c>
    </row>
    <row r="23961" spans="2:8" ht="15" customHeight="1" x14ac:dyDescent="0.4">
      <c r="B23961" t="s">
        <v>7</v>
      </c>
      <c r="C23961" t="s">
        <v>3852</v>
      </c>
      <c r="D23961" s="7">
        <f>DATE(2003,12,12)</f>
        <v>37967</v>
      </c>
      <c r="E23961" s="8">
        <f t="shared" si="398"/>
        <v>2003</v>
      </c>
      <c r="F23961" t="s">
        <v>3853</v>
      </c>
      <c r="G23961" s="9">
        <v>1807.95</v>
      </c>
      <c r="H23961" s="8">
        <v>1085</v>
      </c>
    </row>
    <row r="23962" spans="2:8" ht="15" customHeight="1" x14ac:dyDescent="0.4">
      <c r="B23962" t="s">
        <v>7</v>
      </c>
      <c r="C23962" t="s">
        <v>3852</v>
      </c>
      <c r="D23962" s="7">
        <f>DATE(2004,2,27)</f>
        <v>38044</v>
      </c>
      <c r="E23962" s="8">
        <f t="shared" si="398"/>
        <v>2004</v>
      </c>
      <c r="F23962" t="s">
        <v>3853</v>
      </c>
      <c r="G23962" s="9">
        <v>10750</v>
      </c>
      <c r="H23962" s="8">
        <v>1389</v>
      </c>
    </row>
    <row r="23963" spans="2:8" ht="15" customHeight="1" x14ac:dyDescent="0.4">
      <c r="B23963" t="s">
        <v>7</v>
      </c>
      <c r="C23963" t="s">
        <v>3852</v>
      </c>
      <c r="D23963" s="7">
        <f>DATE(2004,3,26)</f>
        <v>38072</v>
      </c>
      <c r="E23963" s="8">
        <f t="shared" si="398"/>
        <v>2004</v>
      </c>
      <c r="F23963" t="s">
        <v>3853</v>
      </c>
      <c r="G23963" s="9">
        <v>27920</v>
      </c>
      <c r="H23963" s="8">
        <v>1571</v>
      </c>
    </row>
    <row r="23964" spans="2:8" ht="15" customHeight="1" x14ac:dyDescent="0.4">
      <c r="B23964" t="s">
        <v>7</v>
      </c>
      <c r="C23964" t="s">
        <v>3852</v>
      </c>
      <c r="D23964" s="7">
        <f>DATE(2004,4,9)</f>
        <v>38086</v>
      </c>
      <c r="E23964" s="8">
        <f t="shared" si="398"/>
        <v>2004</v>
      </c>
      <c r="F23964" t="s">
        <v>3853</v>
      </c>
      <c r="G23964" s="9">
        <v>2743.34</v>
      </c>
      <c r="H23964" s="8">
        <v>1649</v>
      </c>
    </row>
    <row r="23965" spans="2:8" ht="15" customHeight="1" x14ac:dyDescent="0.4">
      <c r="B23965" t="s">
        <v>7</v>
      </c>
      <c r="C23965" t="s">
        <v>3852</v>
      </c>
      <c r="D23965" s="7">
        <f>DATE(2004,4,14)</f>
        <v>38091</v>
      </c>
      <c r="E23965" s="8">
        <f t="shared" si="398"/>
        <v>2004</v>
      </c>
      <c r="F23965" t="s">
        <v>3853</v>
      </c>
      <c r="G23965" s="9">
        <v>27000</v>
      </c>
      <c r="H23965" s="8">
        <v>1615</v>
      </c>
    </row>
    <row r="23966" spans="2:8" ht="15" customHeight="1" x14ac:dyDescent="0.4">
      <c r="B23966" t="s">
        <v>7</v>
      </c>
      <c r="C23966" t="s">
        <v>3852</v>
      </c>
      <c r="D23966" s="7">
        <f>DATE(2004,4,29)</f>
        <v>38106</v>
      </c>
      <c r="E23966" s="8">
        <f t="shared" si="398"/>
        <v>2004</v>
      </c>
      <c r="F23966" t="s">
        <v>3853</v>
      </c>
      <c r="G23966" s="9">
        <v>2743.26</v>
      </c>
      <c r="H23966" s="8">
        <v>1703</v>
      </c>
    </row>
    <row r="23967" spans="2:8" ht="15" customHeight="1" x14ac:dyDescent="0.4">
      <c r="B23967" t="s">
        <v>7</v>
      </c>
      <c r="C23967" t="s">
        <v>3852</v>
      </c>
      <c r="D23967" s="7">
        <f>DATE(2005,2,25)</f>
        <v>38408</v>
      </c>
      <c r="E23967" s="8">
        <f t="shared" si="398"/>
        <v>2005</v>
      </c>
      <c r="F23967" t="s">
        <v>3853</v>
      </c>
      <c r="G23967" s="9">
        <v>41600</v>
      </c>
      <c r="H23967" s="8">
        <v>2792</v>
      </c>
    </row>
    <row r="23968" spans="2:8" ht="15" customHeight="1" x14ac:dyDescent="0.4">
      <c r="B23968" t="s">
        <v>7</v>
      </c>
      <c r="C23968" t="s">
        <v>3852</v>
      </c>
      <c r="D23968" s="7">
        <f>DATE(2006,2,13)</f>
        <v>38761</v>
      </c>
      <c r="E23968" s="8">
        <f t="shared" si="398"/>
        <v>2006</v>
      </c>
      <c r="F23968" t="s">
        <v>3853</v>
      </c>
      <c r="G23968" s="9">
        <v>24000</v>
      </c>
      <c r="H23968" s="8">
        <v>3926</v>
      </c>
    </row>
    <row r="23969" spans="2:8" ht="15" customHeight="1" x14ac:dyDescent="0.4">
      <c r="B23969" t="s">
        <v>7</v>
      </c>
      <c r="C23969" t="s">
        <v>3852</v>
      </c>
      <c r="D23969" s="7">
        <f>DATE(2006,3,20)</f>
        <v>38796</v>
      </c>
      <c r="E23969" s="8">
        <f t="shared" si="398"/>
        <v>2006</v>
      </c>
      <c r="F23969" t="s">
        <v>3853</v>
      </c>
      <c r="G23969" s="9">
        <v>26050</v>
      </c>
      <c r="H23969" s="8">
        <v>4288</v>
      </c>
    </row>
    <row r="23970" spans="2:8" ht="15" customHeight="1" x14ac:dyDescent="0.4">
      <c r="B23970" t="s">
        <v>7</v>
      </c>
      <c r="C23970" t="s">
        <v>3852</v>
      </c>
      <c r="D23970" s="7">
        <f>DATE(2007,3,29)</f>
        <v>39170</v>
      </c>
      <c r="E23970" s="8">
        <f t="shared" si="398"/>
        <v>2007</v>
      </c>
      <c r="F23970" t="s">
        <v>3853</v>
      </c>
      <c r="G23970" s="9">
        <v>23500</v>
      </c>
      <c r="H23970" s="8">
        <v>5713</v>
      </c>
    </row>
    <row r="23971" spans="2:8" ht="15" customHeight="1" x14ac:dyDescent="0.4">
      <c r="B23971" t="s">
        <v>7</v>
      </c>
      <c r="C23971" t="s">
        <v>3852</v>
      </c>
      <c r="D23971" s="7">
        <f>DATE(2008,3,29)</f>
        <v>39536</v>
      </c>
      <c r="E23971" s="8">
        <f t="shared" si="398"/>
        <v>2008</v>
      </c>
      <c r="F23971" t="s">
        <v>3853</v>
      </c>
      <c r="G23971" s="9">
        <v>16400</v>
      </c>
      <c r="H23971" s="8">
        <v>6953</v>
      </c>
    </row>
    <row r="23972" spans="2:8" ht="15" customHeight="1" x14ac:dyDescent="0.4">
      <c r="B23972" t="s">
        <v>7</v>
      </c>
      <c r="C23972" t="s">
        <v>3852</v>
      </c>
      <c r="D23972" s="7">
        <f>DATE(2008,4,18)</f>
        <v>39556</v>
      </c>
      <c r="E23972" s="8">
        <f t="shared" si="398"/>
        <v>2008</v>
      </c>
      <c r="F23972" t="s">
        <v>3853</v>
      </c>
      <c r="G23972" s="9">
        <v>24000</v>
      </c>
      <c r="H23972" s="8">
        <v>7314</v>
      </c>
    </row>
    <row r="23973" spans="2:8" ht="15" customHeight="1" x14ac:dyDescent="0.4">
      <c r="B23973" t="s">
        <v>7</v>
      </c>
      <c r="C23973" t="s">
        <v>3852</v>
      </c>
      <c r="D23973" s="7">
        <f>DATE(2009,6,11)</f>
        <v>39975</v>
      </c>
      <c r="E23973" s="8">
        <f t="shared" si="398"/>
        <v>2009</v>
      </c>
      <c r="F23973" t="s">
        <v>3853</v>
      </c>
      <c r="G23973" s="9">
        <v>47500</v>
      </c>
      <c r="H23973" s="8">
        <v>8692</v>
      </c>
    </row>
    <row r="23974" spans="2:8" ht="15" customHeight="1" x14ac:dyDescent="0.4">
      <c r="B23974" t="s">
        <v>7</v>
      </c>
      <c r="C23974" t="s">
        <v>3852</v>
      </c>
      <c r="D23974" s="7">
        <f>DATE(2010,3,23)</f>
        <v>40260</v>
      </c>
      <c r="E23974" s="8">
        <f t="shared" si="398"/>
        <v>2010</v>
      </c>
      <c r="F23974" t="s">
        <v>3853</v>
      </c>
      <c r="G23974" s="9">
        <v>19032</v>
      </c>
      <c r="H23974" s="8">
        <v>9547</v>
      </c>
    </row>
    <row r="23975" spans="2:8" ht="15" customHeight="1" x14ac:dyDescent="0.4">
      <c r="B23975" t="s">
        <v>7</v>
      </c>
      <c r="C23975" t="s">
        <v>3852</v>
      </c>
      <c r="D23975" s="7">
        <f>DATE(2010,5,5)</f>
        <v>40303</v>
      </c>
      <c r="E23975" s="8">
        <f t="shared" si="398"/>
        <v>2010</v>
      </c>
      <c r="F23975" t="s">
        <v>3853</v>
      </c>
      <c r="G23975" s="9">
        <v>19032</v>
      </c>
      <c r="H23975" s="8">
        <v>9741</v>
      </c>
    </row>
    <row r="23976" spans="2:8" ht="15" customHeight="1" x14ac:dyDescent="0.4">
      <c r="B23976" t="s">
        <v>7</v>
      </c>
      <c r="C23976" t="s">
        <v>3852</v>
      </c>
      <c r="D23976" s="7">
        <f>DATE(2011,4,5)</f>
        <v>40638</v>
      </c>
      <c r="E23976" s="8">
        <f t="shared" si="398"/>
        <v>2011</v>
      </c>
      <c r="F23976" t="s">
        <v>3853</v>
      </c>
      <c r="G23976" s="9">
        <v>20740</v>
      </c>
      <c r="H23976" s="8">
        <v>10592</v>
      </c>
    </row>
    <row r="23977" spans="2:8" ht="15" customHeight="1" x14ac:dyDescent="0.4">
      <c r="B23977" t="s">
        <v>7</v>
      </c>
      <c r="C23977" t="s">
        <v>3852</v>
      </c>
      <c r="D23977" s="7">
        <f>DATE(2011,5,26)</f>
        <v>40689</v>
      </c>
      <c r="E23977" s="8">
        <f t="shared" si="398"/>
        <v>2011</v>
      </c>
      <c r="F23977" t="s">
        <v>3853</v>
      </c>
      <c r="G23977" s="9">
        <v>5927.61</v>
      </c>
      <c r="H23977" s="8">
        <v>10690</v>
      </c>
    </row>
    <row r="23978" spans="2:8" ht="15" customHeight="1" x14ac:dyDescent="0.4">
      <c r="B23978" t="s">
        <v>7</v>
      </c>
      <c r="C23978" t="s">
        <v>3852</v>
      </c>
      <c r="D23978" s="7">
        <f>DATE(2011,6,8)</f>
        <v>40702</v>
      </c>
      <c r="E23978" s="8">
        <f t="shared" si="398"/>
        <v>2011</v>
      </c>
      <c r="F23978" t="s">
        <v>3853</v>
      </c>
      <c r="G23978" s="9">
        <v>24580</v>
      </c>
      <c r="H23978" s="8">
        <v>10797</v>
      </c>
    </row>
    <row r="23979" spans="2:8" ht="15" customHeight="1" x14ac:dyDescent="0.4">
      <c r="B23979" t="s">
        <v>7</v>
      </c>
      <c r="C23979" t="s">
        <v>3852</v>
      </c>
      <c r="D23979" s="7">
        <f>DATE(2012,3,2)</f>
        <v>40970</v>
      </c>
      <c r="E23979" s="8">
        <f t="shared" si="398"/>
        <v>2012</v>
      </c>
      <c r="F23979" t="s">
        <v>3853</v>
      </c>
      <c r="G23979" s="9">
        <v>29200</v>
      </c>
      <c r="H23979" s="8">
        <v>11400</v>
      </c>
    </row>
    <row r="23980" spans="2:8" ht="15" customHeight="1" x14ac:dyDescent="0.4">
      <c r="B23980" t="s">
        <v>7</v>
      </c>
      <c r="C23980" t="s">
        <v>3852</v>
      </c>
      <c r="D23980" s="7">
        <f>DATE(2012,3,23)</f>
        <v>40991</v>
      </c>
      <c r="E23980" s="8">
        <f t="shared" si="398"/>
        <v>2012</v>
      </c>
      <c r="F23980" t="s">
        <v>3853</v>
      </c>
      <c r="G23980" s="9">
        <v>25194.47</v>
      </c>
      <c r="H23980" s="8">
        <v>11301</v>
      </c>
    </row>
    <row r="23981" spans="2:8" ht="15" customHeight="1" x14ac:dyDescent="0.4">
      <c r="B23981" t="s">
        <v>7</v>
      </c>
      <c r="C23981" t="s">
        <v>3852</v>
      </c>
      <c r="D23981" s="7">
        <f>DATE(2012,5,21)</f>
        <v>41050</v>
      </c>
      <c r="E23981" s="8">
        <f t="shared" si="398"/>
        <v>2012</v>
      </c>
      <c r="F23981" t="s">
        <v>3853</v>
      </c>
      <c r="G23981" s="9">
        <v>19244.189999999999</v>
      </c>
      <c r="H23981" s="8">
        <v>11569</v>
      </c>
    </row>
    <row r="23982" spans="2:8" ht="15" customHeight="1" x14ac:dyDescent="0.4">
      <c r="B23982" t="s">
        <v>7</v>
      </c>
      <c r="C23982" t="s">
        <v>3852</v>
      </c>
      <c r="D23982" s="7">
        <f>DATE(2012,10,29)</f>
        <v>41211</v>
      </c>
      <c r="E23982" s="8">
        <f t="shared" si="398"/>
        <v>2012</v>
      </c>
      <c r="F23982" t="s">
        <v>3853</v>
      </c>
      <c r="G23982" s="9">
        <v>9516.08</v>
      </c>
      <c r="H23982" s="8">
        <v>11861</v>
      </c>
    </row>
    <row r="23983" spans="2:8" ht="15" customHeight="1" x14ac:dyDescent="0.4">
      <c r="B23983" t="s">
        <v>7</v>
      </c>
      <c r="C23983" t="s">
        <v>3852</v>
      </c>
      <c r="D23983" s="7">
        <f>DATE(2013,3,12)</f>
        <v>41345</v>
      </c>
      <c r="E23983" s="8">
        <f t="shared" si="398"/>
        <v>2013</v>
      </c>
      <c r="F23983" t="s">
        <v>3853</v>
      </c>
      <c r="G23983" s="9">
        <v>22500</v>
      </c>
      <c r="H23983" s="8">
        <v>12033</v>
      </c>
    </row>
    <row r="23984" spans="2:8" ht="15" customHeight="1" x14ac:dyDescent="0.4">
      <c r="B23984" t="s">
        <v>7</v>
      </c>
      <c r="C23984" t="s">
        <v>3852</v>
      </c>
      <c r="D23984" s="7">
        <f>DATE(2013,6,24)</f>
        <v>41449</v>
      </c>
      <c r="E23984" s="8">
        <f t="shared" si="398"/>
        <v>2013</v>
      </c>
      <c r="F23984" t="s">
        <v>3853</v>
      </c>
      <c r="G23984" s="9">
        <v>25389.82</v>
      </c>
      <c r="H23984" s="8">
        <v>12391</v>
      </c>
    </row>
    <row r="23985" spans="2:8" ht="15" customHeight="1" x14ac:dyDescent="0.4">
      <c r="B23985" t="s">
        <v>7</v>
      </c>
      <c r="C23985" t="s">
        <v>3852</v>
      </c>
      <c r="D23985" s="7">
        <f>DATE(2014,5,28)</f>
        <v>41787</v>
      </c>
      <c r="E23985" s="8">
        <f t="shared" si="398"/>
        <v>2014</v>
      </c>
      <c r="F23985" t="s">
        <v>3853</v>
      </c>
      <c r="G23985" s="9">
        <v>24250</v>
      </c>
      <c r="H23985" s="8">
        <v>12846</v>
      </c>
    </row>
    <row r="23986" spans="2:8" ht="15" customHeight="1" x14ac:dyDescent="0.4">
      <c r="B23986" t="s">
        <v>7</v>
      </c>
      <c r="C23986" t="s">
        <v>3852</v>
      </c>
      <c r="D23986" s="7">
        <f>DATE(2014,6,16)</f>
        <v>41806</v>
      </c>
      <c r="E23986" s="8">
        <f t="shared" si="398"/>
        <v>2014</v>
      </c>
      <c r="F23986" t="s">
        <v>3853</v>
      </c>
      <c r="G23986" s="9">
        <v>24500</v>
      </c>
      <c r="H23986" s="8">
        <v>12934</v>
      </c>
    </row>
    <row r="23987" spans="2:8" ht="15" customHeight="1" x14ac:dyDescent="0.4">
      <c r="B23987" s="3" t="s">
        <v>7</v>
      </c>
      <c r="C23987" s="3" t="s">
        <v>3852</v>
      </c>
      <c r="D23987" s="4">
        <f>DATE(2008,2,26)</f>
        <v>39504</v>
      </c>
      <c r="E23987" s="5">
        <f t="shared" si="398"/>
        <v>2008</v>
      </c>
      <c r="F23987" s="3" t="s">
        <v>3853</v>
      </c>
      <c r="G23987" s="6">
        <v>5409.5</v>
      </c>
      <c r="H23987" s="5">
        <v>9881</v>
      </c>
    </row>
    <row r="23988" spans="2:8" ht="15" customHeight="1" x14ac:dyDescent="0.4">
      <c r="B23988" s="3" t="s">
        <v>7</v>
      </c>
      <c r="C23988" s="3" t="s">
        <v>3852</v>
      </c>
      <c r="D23988" s="4">
        <f>DATE(2009,6,11)</f>
        <v>39975</v>
      </c>
      <c r="E23988" s="5">
        <f t="shared" si="398"/>
        <v>2009</v>
      </c>
      <c r="F23988" s="3" t="s">
        <v>3853</v>
      </c>
      <c r="G23988" s="6">
        <v>10850</v>
      </c>
      <c r="H23988" s="5">
        <v>12485</v>
      </c>
    </row>
    <row r="23989" spans="2:8" ht="15" customHeight="1" x14ac:dyDescent="0.4">
      <c r="B23989" s="3" t="s">
        <v>7</v>
      </c>
      <c r="C23989" s="3" t="s">
        <v>3852</v>
      </c>
      <c r="D23989" s="4">
        <f>DATE(2010,2,11)</f>
        <v>40220</v>
      </c>
      <c r="E23989" s="5">
        <f t="shared" si="398"/>
        <v>2010</v>
      </c>
      <c r="F23989" s="3" t="s">
        <v>3853</v>
      </c>
      <c r="G23989" s="6">
        <v>5409.5</v>
      </c>
      <c r="H23989" s="5">
        <v>13562</v>
      </c>
    </row>
    <row r="23990" spans="2:8" ht="15" customHeight="1" x14ac:dyDescent="0.4">
      <c r="B23990" s="3" t="s">
        <v>7</v>
      </c>
      <c r="C23990" s="3" t="s">
        <v>3852</v>
      </c>
      <c r="D23990" s="4">
        <f>DATE(2010,4,9)</f>
        <v>40277</v>
      </c>
      <c r="E23990" s="5">
        <f t="shared" si="398"/>
        <v>2010</v>
      </c>
      <c r="F23990" s="3" t="s">
        <v>3853</v>
      </c>
      <c r="G23990" s="6">
        <v>10850</v>
      </c>
      <c r="H23990" s="5">
        <v>13863</v>
      </c>
    </row>
    <row r="23991" spans="2:8" ht="15" customHeight="1" x14ac:dyDescent="0.4">
      <c r="B23991" s="3" t="s">
        <v>7</v>
      </c>
      <c r="C23991" s="3" t="s">
        <v>3852</v>
      </c>
      <c r="D23991" s="4">
        <f>DATE(2011,3,17)</f>
        <v>40619</v>
      </c>
      <c r="E23991" s="5">
        <f t="shared" si="398"/>
        <v>2011</v>
      </c>
      <c r="F23991" s="3" t="s">
        <v>3853</v>
      </c>
      <c r="G23991" s="6">
        <v>620</v>
      </c>
      <c r="H23991" s="5">
        <v>15179</v>
      </c>
    </row>
    <row r="23992" spans="2:8" ht="15" customHeight="1" x14ac:dyDescent="0.4">
      <c r="B23992" s="3" t="s">
        <v>7</v>
      </c>
      <c r="C23992" s="3" t="s">
        <v>3852</v>
      </c>
      <c r="D23992" s="4">
        <f>DATE(2011,4,15)</f>
        <v>40648</v>
      </c>
      <c r="E23992" s="5">
        <f t="shared" si="398"/>
        <v>2011</v>
      </c>
      <c r="F23992" s="3" t="s">
        <v>3853</v>
      </c>
      <c r="G23992" s="6">
        <v>6975</v>
      </c>
      <c r="H23992" s="5">
        <v>15440</v>
      </c>
    </row>
    <row r="23993" spans="2:8" ht="15" customHeight="1" x14ac:dyDescent="0.4">
      <c r="B23993" s="3" t="s">
        <v>7</v>
      </c>
      <c r="C23993" s="3" t="s">
        <v>3852</v>
      </c>
      <c r="D23993" s="4">
        <f>DATE(2011,5,12)</f>
        <v>40675</v>
      </c>
      <c r="E23993" s="5">
        <f t="shared" si="398"/>
        <v>2011</v>
      </c>
      <c r="F23993" s="3" t="s">
        <v>3853</v>
      </c>
      <c r="G23993" s="6">
        <v>1550</v>
      </c>
      <c r="H23993" s="5">
        <v>15554</v>
      </c>
    </row>
    <row r="23994" spans="2:8" ht="15" customHeight="1" x14ac:dyDescent="0.4">
      <c r="B23994" s="3" t="s">
        <v>7</v>
      </c>
      <c r="C23994" s="3" t="s">
        <v>3852</v>
      </c>
      <c r="D23994" s="4">
        <f>DATE(2012,2,3)</f>
        <v>40942</v>
      </c>
      <c r="E23994" s="5">
        <f t="shared" si="398"/>
        <v>2012</v>
      </c>
      <c r="F23994" s="3" t="s">
        <v>3853</v>
      </c>
      <c r="G23994" s="6">
        <v>5425</v>
      </c>
      <c r="H23994" s="5">
        <v>16466</v>
      </c>
    </row>
    <row r="23995" spans="2:8" ht="15" customHeight="1" x14ac:dyDescent="0.4">
      <c r="B23995" s="3" t="s">
        <v>7</v>
      </c>
      <c r="C23995" s="3" t="s">
        <v>3852</v>
      </c>
      <c r="D23995" s="4">
        <f>DATE(2012,2,24)</f>
        <v>40963</v>
      </c>
      <c r="E23995" s="5">
        <f t="shared" si="398"/>
        <v>2012</v>
      </c>
      <c r="F23995" s="3" t="s">
        <v>3853</v>
      </c>
      <c r="G23995" s="6">
        <v>5425</v>
      </c>
      <c r="H23995" s="5">
        <v>16597</v>
      </c>
    </row>
    <row r="23996" spans="2:8" ht="15" customHeight="1" x14ac:dyDescent="0.4">
      <c r="B23996" s="3" t="s">
        <v>7</v>
      </c>
      <c r="C23996" s="3" t="s">
        <v>3852</v>
      </c>
      <c r="D23996" s="4">
        <f>DATE(2012,6,15)</f>
        <v>41075</v>
      </c>
      <c r="E23996" s="5">
        <f t="shared" si="398"/>
        <v>2012</v>
      </c>
      <c r="F23996" s="3" t="s">
        <v>3853</v>
      </c>
      <c r="G23996" s="6">
        <v>3184.4</v>
      </c>
      <c r="H23996" s="5">
        <v>17259</v>
      </c>
    </row>
    <row r="23997" spans="2:8" ht="15" customHeight="1" x14ac:dyDescent="0.4">
      <c r="B23997" s="3" t="s">
        <v>7</v>
      </c>
      <c r="C23997" s="3" t="s">
        <v>3852</v>
      </c>
      <c r="D23997" s="4">
        <f>DATE(2012,6,21)</f>
        <v>41081</v>
      </c>
      <c r="E23997" s="5">
        <f t="shared" si="398"/>
        <v>2012</v>
      </c>
      <c r="F23997" s="3" t="s">
        <v>3853</v>
      </c>
      <c r="G23997" s="6">
        <v>167.6</v>
      </c>
      <c r="H23997" s="5">
        <v>17261</v>
      </c>
    </row>
    <row r="23998" spans="2:8" ht="15" customHeight="1" x14ac:dyDescent="0.4">
      <c r="B23998" t="s">
        <v>7</v>
      </c>
      <c r="C23998" t="s">
        <v>3854</v>
      </c>
      <c r="D23998" s="7">
        <f>DATE(2017,3,10)</f>
        <v>42804</v>
      </c>
      <c r="E23998" s="8">
        <f t="shared" si="398"/>
        <v>2017</v>
      </c>
      <c r="F23998" t="s">
        <v>3855</v>
      </c>
      <c r="G23998" s="9">
        <v>479.49</v>
      </c>
      <c r="H23998" s="8">
        <v>24326</v>
      </c>
    </row>
    <row r="23999" spans="2:8" ht="15" customHeight="1" x14ac:dyDescent="0.4">
      <c r="B23999" t="s">
        <v>7</v>
      </c>
      <c r="C23999" t="s">
        <v>3854</v>
      </c>
      <c r="D23999" s="7">
        <f>DATE(2017,3,14)</f>
        <v>42808</v>
      </c>
      <c r="E23999" s="8">
        <f t="shared" si="398"/>
        <v>2017</v>
      </c>
      <c r="F23999" t="s">
        <v>3855</v>
      </c>
      <c r="G23999" s="9">
        <v>1097.2</v>
      </c>
      <c r="H23999" s="8">
        <v>24481</v>
      </c>
    </row>
    <row r="24000" spans="2:8" ht="15" customHeight="1" x14ac:dyDescent="0.4">
      <c r="B24000" t="s">
        <v>7</v>
      </c>
      <c r="C24000" t="s">
        <v>3854</v>
      </c>
      <c r="D24000" s="7">
        <f>DATE(2008,6,13)</f>
        <v>39612</v>
      </c>
      <c r="E24000" s="8">
        <f t="shared" si="398"/>
        <v>2008</v>
      </c>
      <c r="F24000" t="s">
        <v>3855</v>
      </c>
      <c r="G24000" s="9">
        <v>12445</v>
      </c>
      <c r="H24000" s="8">
        <v>7519</v>
      </c>
    </row>
    <row r="24001" spans="2:8" ht="15" customHeight="1" x14ac:dyDescent="0.4">
      <c r="B24001" t="s">
        <v>7</v>
      </c>
      <c r="C24001" t="s">
        <v>3854</v>
      </c>
      <c r="D24001" s="7">
        <f>DATE(2008,6,21)</f>
        <v>39620</v>
      </c>
      <c r="E24001" s="8">
        <f t="shared" si="398"/>
        <v>2008</v>
      </c>
      <c r="F24001" t="s">
        <v>3855</v>
      </c>
      <c r="G24001" s="9">
        <v>67250</v>
      </c>
      <c r="H24001" s="8">
        <v>7521</v>
      </c>
    </row>
    <row r="24002" spans="2:8" ht="15" customHeight="1" x14ac:dyDescent="0.4">
      <c r="B24002" s="3" t="s">
        <v>7</v>
      </c>
      <c r="C24002" s="3" t="s">
        <v>3854</v>
      </c>
      <c r="D24002" s="4">
        <f>DATE(2008,6,21)</f>
        <v>39620</v>
      </c>
      <c r="E24002" s="5">
        <f t="shared" si="398"/>
        <v>2008</v>
      </c>
      <c r="F24002" s="3" t="s">
        <v>3855</v>
      </c>
      <c r="G24002" s="6">
        <v>7016.82</v>
      </c>
      <c r="H24002" s="5">
        <v>10831</v>
      </c>
    </row>
    <row r="24003" spans="2:8" ht="15" customHeight="1" x14ac:dyDescent="0.4">
      <c r="B24003" s="3" t="s">
        <v>16</v>
      </c>
      <c r="C24003" s="3" t="s">
        <v>3854</v>
      </c>
      <c r="D24003" s="4">
        <f>DATE(2009,7,11)</f>
        <v>40005</v>
      </c>
      <c r="E24003" s="5">
        <f t="shared" ref="E24003:E24066" si="399">YEAR(D24003)</f>
        <v>2009</v>
      </c>
      <c r="F24003" s="3" t="s">
        <v>3855</v>
      </c>
      <c r="G24003" s="6">
        <v>7016.82</v>
      </c>
      <c r="H24003" s="5">
        <v>12797</v>
      </c>
    </row>
    <row r="24004" spans="2:8" ht="15" customHeight="1" x14ac:dyDescent="0.4">
      <c r="B24004" t="s">
        <v>7</v>
      </c>
      <c r="C24004" t="s">
        <v>3856</v>
      </c>
      <c r="D24004" s="7">
        <f>DATE(2015,5,11)</f>
        <v>42135</v>
      </c>
      <c r="E24004" s="8">
        <f t="shared" si="399"/>
        <v>2015</v>
      </c>
      <c r="F24004" t="s">
        <v>3857</v>
      </c>
      <c r="G24004" s="9">
        <v>14751.83</v>
      </c>
      <c r="H24004" s="8">
        <v>20497</v>
      </c>
    </row>
    <row r="24005" spans="2:8" ht="15" customHeight="1" x14ac:dyDescent="0.4">
      <c r="B24005" t="s">
        <v>7</v>
      </c>
      <c r="C24005" t="s">
        <v>3856</v>
      </c>
      <c r="D24005" s="7">
        <f>DATE(2018,12,3)</f>
        <v>43437</v>
      </c>
      <c r="E24005" s="8">
        <f t="shared" si="399"/>
        <v>2018</v>
      </c>
      <c r="F24005" t="s">
        <v>3857</v>
      </c>
      <c r="G24005" s="9">
        <v>236.77</v>
      </c>
      <c r="H24005" s="8">
        <v>27913</v>
      </c>
    </row>
    <row r="24006" spans="2:8" ht="15" customHeight="1" x14ac:dyDescent="0.4">
      <c r="B24006" t="s">
        <v>7</v>
      </c>
      <c r="C24006" t="s">
        <v>3856</v>
      </c>
      <c r="D24006" s="7">
        <f>DATE(2018,12,3)</f>
        <v>43437</v>
      </c>
      <c r="E24006" s="8">
        <f t="shared" si="399"/>
        <v>2018</v>
      </c>
      <c r="F24006" t="s">
        <v>3857</v>
      </c>
      <c r="G24006" s="9">
        <v>10991.47</v>
      </c>
      <c r="H24006" s="8">
        <v>27923</v>
      </c>
    </row>
    <row r="24007" spans="2:8" ht="15" customHeight="1" x14ac:dyDescent="0.4">
      <c r="B24007" t="s">
        <v>7</v>
      </c>
      <c r="C24007" t="s">
        <v>3856</v>
      </c>
      <c r="D24007" s="7">
        <f>DATE(2003,4,14)</f>
        <v>37725</v>
      </c>
      <c r="E24007" s="8">
        <f t="shared" si="399"/>
        <v>2003</v>
      </c>
      <c r="F24007" t="s">
        <v>3857</v>
      </c>
      <c r="G24007" s="9">
        <v>8862.1299999999992</v>
      </c>
      <c r="H24007" s="8">
        <v>445</v>
      </c>
    </row>
    <row r="24008" spans="2:8" ht="15" customHeight="1" x14ac:dyDescent="0.4">
      <c r="B24008" t="s">
        <v>7</v>
      </c>
      <c r="C24008" t="s">
        <v>3856</v>
      </c>
      <c r="D24008" s="7">
        <f>DATE(2013,5,10)</f>
        <v>41404</v>
      </c>
      <c r="E24008" s="8">
        <f t="shared" si="399"/>
        <v>2013</v>
      </c>
      <c r="F24008" t="s">
        <v>3857</v>
      </c>
      <c r="G24008" s="9">
        <v>17821.73</v>
      </c>
      <c r="H24008" s="8">
        <v>12450</v>
      </c>
    </row>
    <row r="24009" spans="2:8" ht="15" customHeight="1" x14ac:dyDescent="0.4">
      <c r="B24009" t="s">
        <v>7</v>
      </c>
      <c r="C24009" t="s">
        <v>3856</v>
      </c>
      <c r="D24009" s="7">
        <f>DATE(2013,11,11)</f>
        <v>41589</v>
      </c>
      <c r="E24009" s="8">
        <f t="shared" si="399"/>
        <v>2013</v>
      </c>
      <c r="F24009" t="s">
        <v>3857</v>
      </c>
      <c r="G24009" s="9">
        <v>11837.66</v>
      </c>
      <c r="H24009" s="8">
        <v>12668</v>
      </c>
    </row>
    <row r="24010" spans="2:8" ht="15" customHeight="1" x14ac:dyDescent="0.4">
      <c r="B24010" t="s">
        <v>7</v>
      </c>
      <c r="C24010" t="s">
        <v>3856</v>
      </c>
      <c r="D24010" s="7">
        <f>DATE(2013,11,25)</f>
        <v>41603</v>
      </c>
      <c r="E24010" s="8">
        <f t="shared" si="399"/>
        <v>2013</v>
      </c>
      <c r="F24010" t="s">
        <v>3857</v>
      </c>
      <c r="G24010" s="9">
        <v>11311.1</v>
      </c>
      <c r="H24010" s="8">
        <v>12667</v>
      </c>
    </row>
    <row r="24011" spans="2:8" ht="15" customHeight="1" x14ac:dyDescent="0.4">
      <c r="B24011" t="s">
        <v>7</v>
      </c>
      <c r="C24011" t="s">
        <v>3858</v>
      </c>
      <c r="D24011" s="7">
        <f>DATE(2018,4,26)</f>
        <v>43216</v>
      </c>
      <c r="E24011" s="8">
        <f t="shared" si="399"/>
        <v>2018</v>
      </c>
      <c r="F24011" t="s">
        <v>3859</v>
      </c>
      <c r="G24011" s="9">
        <v>692</v>
      </c>
      <c r="H24011" s="8">
        <v>26944</v>
      </c>
    </row>
    <row r="24012" spans="2:8" ht="15" customHeight="1" x14ac:dyDescent="0.4">
      <c r="B24012" t="s">
        <v>7</v>
      </c>
      <c r="C24012" t="s">
        <v>3858</v>
      </c>
      <c r="D24012" s="7">
        <f>DATE(2004,11,8)</f>
        <v>38299</v>
      </c>
      <c r="E24012" s="8">
        <f t="shared" si="399"/>
        <v>2004</v>
      </c>
      <c r="F24012" t="s">
        <v>3859</v>
      </c>
      <c r="G24012" s="9">
        <v>732</v>
      </c>
      <c r="H24012" s="8">
        <v>2364</v>
      </c>
    </row>
    <row r="24013" spans="2:8" ht="15" customHeight="1" x14ac:dyDescent="0.4">
      <c r="B24013" t="s">
        <v>7</v>
      </c>
      <c r="C24013" t="s">
        <v>3860</v>
      </c>
      <c r="D24013" s="7">
        <f>DATE(2008,7,11)</f>
        <v>39640</v>
      </c>
      <c r="E24013" s="8">
        <f t="shared" si="399"/>
        <v>2008</v>
      </c>
      <c r="F24013" t="s">
        <v>3861</v>
      </c>
      <c r="G24013" s="9">
        <v>3843.76</v>
      </c>
      <c r="H24013" s="8">
        <v>7611</v>
      </c>
    </row>
    <row r="24014" spans="2:8" ht="15" customHeight="1" x14ac:dyDescent="0.4">
      <c r="B24014" t="s">
        <v>7</v>
      </c>
      <c r="C24014" t="s">
        <v>3860</v>
      </c>
      <c r="D24014" s="7">
        <f>DATE(2017,5,15)</f>
        <v>42870</v>
      </c>
      <c r="E24014" s="8">
        <f t="shared" si="399"/>
        <v>2017</v>
      </c>
      <c r="F24014" t="s">
        <v>3862</v>
      </c>
      <c r="G24014" s="9">
        <v>5857.49</v>
      </c>
      <c r="H24014" s="8">
        <v>24457</v>
      </c>
    </row>
    <row r="24015" spans="2:8" ht="15" customHeight="1" x14ac:dyDescent="0.4">
      <c r="B24015" t="s">
        <v>7</v>
      </c>
      <c r="C24015" t="s">
        <v>3860</v>
      </c>
      <c r="D24015" s="7">
        <f>DATE(2017,5,15)</f>
        <v>42870</v>
      </c>
      <c r="E24015" s="8">
        <f t="shared" si="399"/>
        <v>2017</v>
      </c>
      <c r="F24015" t="s">
        <v>3862</v>
      </c>
      <c r="G24015" s="9">
        <v>13600</v>
      </c>
      <c r="H24015" s="8">
        <v>24458</v>
      </c>
    </row>
    <row r="24016" spans="2:8" ht="15" customHeight="1" x14ac:dyDescent="0.4">
      <c r="B24016" t="s">
        <v>7</v>
      </c>
      <c r="C24016" t="s">
        <v>3863</v>
      </c>
      <c r="D24016" s="7">
        <f>DATE(2004,6,10)</f>
        <v>38148</v>
      </c>
      <c r="E24016" s="8">
        <f t="shared" si="399"/>
        <v>2004</v>
      </c>
      <c r="F24016" t="s">
        <v>3864</v>
      </c>
      <c r="G24016" s="9">
        <v>49990</v>
      </c>
      <c r="H24016" s="8">
        <v>1770</v>
      </c>
    </row>
    <row r="24017" spans="2:8" ht="15" customHeight="1" x14ac:dyDescent="0.4">
      <c r="B24017" t="s">
        <v>7</v>
      </c>
      <c r="C24017" t="s">
        <v>3863</v>
      </c>
      <c r="D24017" s="7">
        <f>DATE(2004,6,10)</f>
        <v>38148</v>
      </c>
      <c r="E24017" s="8">
        <f t="shared" si="399"/>
        <v>2004</v>
      </c>
      <c r="F24017" t="s">
        <v>3864</v>
      </c>
      <c r="G24017" s="9">
        <v>4780</v>
      </c>
      <c r="H24017" s="8">
        <v>1891</v>
      </c>
    </row>
    <row r="24018" spans="2:8" ht="15" customHeight="1" x14ac:dyDescent="0.4">
      <c r="B24018" t="s">
        <v>7</v>
      </c>
      <c r="C24018" t="s">
        <v>3863</v>
      </c>
      <c r="D24018" s="7">
        <f>DATE(2005,7,11)</f>
        <v>38544</v>
      </c>
      <c r="E24018" s="8">
        <f t="shared" si="399"/>
        <v>2005</v>
      </c>
      <c r="F24018" t="s">
        <v>3864</v>
      </c>
      <c r="G24018" s="9">
        <v>45990</v>
      </c>
      <c r="H24018" s="8">
        <v>3338</v>
      </c>
    </row>
    <row r="24019" spans="2:8" ht="15" customHeight="1" x14ac:dyDescent="0.4">
      <c r="B24019" t="s">
        <v>7</v>
      </c>
      <c r="C24019" t="s">
        <v>3863</v>
      </c>
      <c r="D24019" s="7">
        <f>DATE(2006,7,6)</f>
        <v>38904</v>
      </c>
      <c r="E24019" s="8">
        <f t="shared" si="399"/>
        <v>2006</v>
      </c>
      <c r="F24019" t="s">
        <v>3864</v>
      </c>
      <c r="G24019" s="9">
        <v>500</v>
      </c>
      <c r="H24019" s="8">
        <v>4835</v>
      </c>
    </row>
    <row r="24020" spans="2:8" ht="15" customHeight="1" x14ac:dyDescent="0.4">
      <c r="B24020" t="s">
        <v>7</v>
      </c>
      <c r="C24020" t="s">
        <v>3863</v>
      </c>
      <c r="D24020" s="7">
        <f>DATE(2007,6,30)</f>
        <v>39263</v>
      </c>
      <c r="E24020" s="8">
        <f t="shared" si="399"/>
        <v>2007</v>
      </c>
      <c r="F24020" t="s">
        <v>3864</v>
      </c>
      <c r="G24020" s="9">
        <v>58772.5</v>
      </c>
      <c r="H24020" s="8">
        <v>6042</v>
      </c>
    </row>
    <row r="24021" spans="2:8" ht="15" customHeight="1" x14ac:dyDescent="0.4">
      <c r="B24021" t="s">
        <v>7</v>
      </c>
      <c r="C24021" t="s">
        <v>3863</v>
      </c>
      <c r="D24021" s="7">
        <f>DATE(2008,7,3)</f>
        <v>39632</v>
      </c>
      <c r="E24021" s="8">
        <f t="shared" si="399"/>
        <v>2008</v>
      </c>
      <c r="F24021" t="s">
        <v>3864</v>
      </c>
      <c r="G24021" s="9">
        <v>53750</v>
      </c>
      <c r="H24021" s="8">
        <v>7251</v>
      </c>
    </row>
    <row r="24022" spans="2:8" ht="15" customHeight="1" x14ac:dyDescent="0.4">
      <c r="B24022" t="s">
        <v>7</v>
      </c>
      <c r="C24022" t="s">
        <v>3863</v>
      </c>
      <c r="D24022" s="7">
        <f>DATE(2008,7,3)</f>
        <v>39632</v>
      </c>
      <c r="E24022" s="8">
        <f t="shared" si="399"/>
        <v>2008</v>
      </c>
      <c r="F24022" t="s">
        <v>3864</v>
      </c>
      <c r="G24022" s="9">
        <v>5870</v>
      </c>
      <c r="H24022" s="8">
        <v>7591</v>
      </c>
    </row>
    <row r="24023" spans="2:8" ht="15" customHeight="1" x14ac:dyDescent="0.4">
      <c r="B24023" t="s">
        <v>7</v>
      </c>
      <c r="C24023" t="s">
        <v>3863</v>
      </c>
      <c r="D24023" s="7">
        <f>DATE(2009,7,20)</f>
        <v>40014</v>
      </c>
      <c r="E24023" s="8">
        <f t="shared" si="399"/>
        <v>2009</v>
      </c>
      <c r="F24023" t="s">
        <v>3864</v>
      </c>
      <c r="G24023" s="9">
        <v>53750</v>
      </c>
      <c r="H24023" s="8">
        <v>8529</v>
      </c>
    </row>
    <row r="24024" spans="2:8" ht="15" customHeight="1" x14ac:dyDescent="0.4">
      <c r="B24024" t="s">
        <v>7</v>
      </c>
      <c r="C24024" t="s">
        <v>3863</v>
      </c>
      <c r="D24024" s="7">
        <f>DATE(2013,7,12)</f>
        <v>41467</v>
      </c>
      <c r="E24024" s="8">
        <f t="shared" si="399"/>
        <v>2013</v>
      </c>
      <c r="F24024" t="s">
        <v>3864</v>
      </c>
      <c r="G24024" s="9">
        <v>58607.28</v>
      </c>
      <c r="H24024" s="8">
        <v>12460</v>
      </c>
    </row>
    <row r="24025" spans="2:8" ht="15" customHeight="1" x14ac:dyDescent="0.4">
      <c r="B24025" t="s">
        <v>7</v>
      </c>
      <c r="C24025" t="s">
        <v>3863</v>
      </c>
      <c r="D24025" s="7">
        <f>DATE(2014,1,7)</f>
        <v>41646</v>
      </c>
      <c r="E24025" s="8">
        <f t="shared" si="399"/>
        <v>2014</v>
      </c>
      <c r="F24025" t="s">
        <v>3864</v>
      </c>
      <c r="G24025" s="9">
        <v>13334.03</v>
      </c>
      <c r="H24025" s="8">
        <v>12837</v>
      </c>
    </row>
    <row r="24026" spans="2:8" ht="15" customHeight="1" x14ac:dyDescent="0.4">
      <c r="B24026" t="s">
        <v>7</v>
      </c>
      <c r="C24026" t="s">
        <v>3865</v>
      </c>
      <c r="D24026" s="7">
        <f>DATE(2007,5,4)</f>
        <v>39206</v>
      </c>
      <c r="E24026" s="8">
        <f t="shared" si="399"/>
        <v>2007</v>
      </c>
      <c r="F24026" t="s">
        <v>3866</v>
      </c>
      <c r="G24026" s="9">
        <v>7511.34</v>
      </c>
      <c r="H24026" s="8">
        <v>5951</v>
      </c>
    </row>
    <row r="24027" spans="2:8" ht="15" customHeight="1" x14ac:dyDescent="0.4">
      <c r="B24027" t="s">
        <v>7</v>
      </c>
      <c r="C24027" t="s">
        <v>3865</v>
      </c>
      <c r="D24027" s="7">
        <f>DATE(2007,5,14)</f>
        <v>39216</v>
      </c>
      <c r="E24027" s="8">
        <f t="shared" si="399"/>
        <v>2007</v>
      </c>
      <c r="F24027" t="s">
        <v>3866</v>
      </c>
      <c r="G24027" s="9">
        <v>10297.06</v>
      </c>
      <c r="H24027" s="8">
        <v>6043</v>
      </c>
    </row>
    <row r="24028" spans="2:8" ht="15" customHeight="1" x14ac:dyDescent="0.4">
      <c r="B24028" t="s">
        <v>7</v>
      </c>
      <c r="C24028" t="s">
        <v>3867</v>
      </c>
      <c r="D24028" s="7">
        <f>DATE(2018,3,1)</f>
        <v>43160</v>
      </c>
      <c r="E24028" s="8">
        <f t="shared" si="399"/>
        <v>2018</v>
      </c>
      <c r="F24028" t="s">
        <v>3868</v>
      </c>
      <c r="G24028" s="9">
        <v>78721.09</v>
      </c>
      <c r="H24028" s="8">
        <v>26279</v>
      </c>
    </row>
    <row r="24029" spans="2:8" ht="15" customHeight="1" x14ac:dyDescent="0.4">
      <c r="B24029" t="s">
        <v>7</v>
      </c>
      <c r="C24029" t="s">
        <v>3867</v>
      </c>
      <c r="D24029" s="7">
        <f>DATE(2018,3,1)</f>
        <v>43160</v>
      </c>
      <c r="E24029" s="8">
        <f t="shared" si="399"/>
        <v>2018</v>
      </c>
      <c r="F24029" t="s">
        <v>3868</v>
      </c>
      <c r="G24029" s="9">
        <v>3529.25</v>
      </c>
      <c r="H24029" s="8">
        <v>26445</v>
      </c>
    </row>
    <row r="24030" spans="2:8" ht="15" customHeight="1" x14ac:dyDescent="0.4">
      <c r="B24030" t="s">
        <v>7</v>
      </c>
      <c r="C24030" t="s">
        <v>3867</v>
      </c>
      <c r="D24030" s="7">
        <f>DATE(2018,4,19)</f>
        <v>43209</v>
      </c>
      <c r="E24030" s="8">
        <f t="shared" si="399"/>
        <v>2018</v>
      </c>
      <c r="F24030" t="s">
        <v>3868</v>
      </c>
      <c r="G24030" s="9">
        <v>24593.43</v>
      </c>
      <c r="H24030" s="8">
        <v>26813</v>
      </c>
    </row>
    <row r="24031" spans="2:8" ht="15" customHeight="1" x14ac:dyDescent="0.4">
      <c r="B24031" s="3" t="s">
        <v>7</v>
      </c>
      <c r="C24031" s="3" t="s">
        <v>3867</v>
      </c>
      <c r="D24031" s="4">
        <f>DATE(2003,1,27)</f>
        <v>37648</v>
      </c>
      <c r="E24031" s="5">
        <f t="shared" si="399"/>
        <v>2003</v>
      </c>
      <c r="F24031" s="3" t="s">
        <v>3868</v>
      </c>
      <c r="G24031" s="6">
        <v>1381.7</v>
      </c>
      <c r="H24031" s="5">
        <v>14</v>
      </c>
    </row>
    <row r="24032" spans="2:8" ht="15" customHeight="1" x14ac:dyDescent="0.4">
      <c r="B24032" s="3" t="s">
        <v>7</v>
      </c>
      <c r="C24032" s="3" t="s">
        <v>3867</v>
      </c>
      <c r="D24032" s="4">
        <f>DATE(2003,1,28)</f>
        <v>37649</v>
      </c>
      <c r="E24032" s="5">
        <f t="shared" si="399"/>
        <v>2003</v>
      </c>
      <c r="F24032" s="3" t="s">
        <v>3868</v>
      </c>
      <c r="G24032" s="6">
        <v>437.27</v>
      </c>
      <c r="H24032" s="5">
        <v>15</v>
      </c>
    </row>
    <row r="24033" spans="2:8" ht="15" customHeight="1" x14ac:dyDescent="0.4">
      <c r="B24033" s="3" t="s">
        <v>7</v>
      </c>
      <c r="C24033" s="3" t="s">
        <v>3867</v>
      </c>
      <c r="D24033" s="4">
        <f>DATE(2003,2,5)</f>
        <v>37657</v>
      </c>
      <c r="E24033" s="5">
        <f t="shared" si="399"/>
        <v>2003</v>
      </c>
      <c r="F24033" s="3" t="s">
        <v>3868</v>
      </c>
      <c r="G24033" s="6">
        <v>130.43</v>
      </c>
      <c r="H24033" s="5">
        <v>19</v>
      </c>
    </row>
    <row r="24034" spans="2:8" ht="15" customHeight="1" x14ac:dyDescent="0.4">
      <c r="B24034" s="3" t="s">
        <v>7</v>
      </c>
      <c r="C24034" s="3" t="s">
        <v>3867</v>
      </c>
      <c r="D24034" s="4">
        <f>DATE(2003,2,7)</f>
        <v>37659</v>
      </c>
      <c r="E24034" s="5">
        <f t="shared" si="399"/>
        <v>2003</v>
      </c>
      <c r="F24034" s="3" t="s">
        <v>3868</v>
      </c>
      <c r="G24034" s="6">
        <v>305.43</v>
      </c>
      <c r="H24034" s="5">
        <v>23</v>
      </c>
    </row>
    <row r="24035" spans="2:8" ht="15" customHeight="1" x14ac:dyDescent="0.4">
      <c r="B24035" s="3" t="s">
        <v>7</v>
      </c>
      <c r="C24035" s="3" t="s">
        <v>3867</v>
      </c>
      <c r="D24035" s="4">
        <f>DATE(2003,2,4)</f>
        <v>37656</v>
      </c>
      <c r="E24035" s="5">
        <f t="shared" si="399"/>
        <v>2003</v>
      </c>
      <c r="F24035" s="3" t="s">
        <v>3868</v>
      </c>
      <c r="G24035" s="6">
        <v>514.79999999999995</v>
      </c>
      <c r="H24035" s="5">
        <v>24</v>
      </c>
    </row>
    <row r="24036" spans="2:8" ht="15" customHeight="1" x14ac:dyDescent="0.4">
      <c r="B24036" s="3" t="s">
        <v>7</v>
      </c>
      <c r="C24036" s="3" t="s">
        <v>3867</v>
      </c>
      <c r="D24036" s="4">
        <f>DATE(2003,2,12)</f>
        <v>37664</v>
      </c>
      <c r="E24036" s="5">
        <f t="shared" si="399"/>
        <v>2003</v>
      </c>
      <c r="F24036" s="3" t="s">
        <v>3868</v>
      </c>
      <c r="G24036" s="6">
        <v>305.43</v>
      </c>
      <c r="H24036" s="5">
        <v>25</v>
      </c>
    </row>
    <row r="24037" spans="2:8" ht="15" customHeight="1" x14ac:dyDescent="0.4">
      <c r="B24037" s="3" t="s">
        <v>7</v>
      </c>
      <c r="C24037" s="3" t="s">
        <v>3867</v>
      </c>
      <c r="D24037" s="4">
        <f>DATE(2003,2,12)</f>
        <v>37664</v>
      </c>
      <c r="E24037" s="5">
        <f t="shared" si="399"/>
        <v>2003</v>
      </c>
      <c r="F24037" s="3" t="s">
        <v>3868</v>
      </c>
      <c r="G24037" s="6">
        <v>305.43</v>
      </c>
      <c r="H24037" s="5">
        <v>26</v>
      </c>
    </row>
    <row r="24038" spans="2:8" ht="15" customHeight="1" x14ac:dyDescent="0.4">
      <c r="B24038" s="3" t="s">
        <v>7</v>
      </c>
      <c r="C24038" s="3" t="s">
        <v>3867</v>
      </c>
      <c r="D24038" s="4">
        <f>DATE(2003,2,27)</f>
        <v>37679</v>
      </c>
      <c r="E24038" s="5">
        <f t="shared" si="399"/>
        <v>2003</v>
      </c>
      <c r="F24038" s="3" t="s">
        <v>3868</v>
      </c>
      <c r="G24038" s="6">
        <v>2120</v>
      </c>
      <c r="H24038" s="5">
        <v>41</v>
      </c>
    </row>
    <row r="24039" spans="2:8" ht="15" customHeight="1" x14ac:dyDescent="0.4">
      <c r="B24039" s="3" t="s">
        <v>7</v>
      </c>
      <c r="C24039" s="3" t="s">
        <v>3867</v>
      </c>
      <c r="D24039" s="4">
        <f>DATE(2003,4,7)</f>
        <v>37718</v>
      </c>
      <c r="E24039" s="5">
        <f t="shared" si="399"/>
        <v>2003</v>
      </c>
      <c r="F24039" s="3" t="s">
        <v>3868</v>
      </c>
      <c r="G24039" s="6">
        <v>419</v>
      </c>
      <c r="H24039" s="5">
        <v>115</v>
      </c>
    </row>
    <row r="24040" spans="2:8" ht="15" customHeight="1" x14ac:dyDescent="0.4">
      <c r="B24040" s="3" t="s">
        <v>7</v>
      </c>
      <c r="C24040" s="3" t="s">
        <v>3867</v>
      </c>
      <c r="D24040" s="4">
        <f>DATE(2003,4,15)</f>
        <v>37726</v>
      </c>
      <c r="E24040" s="5">
        <f t="shared" si="399"/>
        <v>2003</v>
      </c>
      <c r="F24040" s="3" t="s">
        <v>3868</v>
      </c>
      <c r="G24040" s="6">
        <v>456.87</v>
      </c>
      <c r="H24040" s="5">
        <v>122</v>
      </c>
    </row>
    <row r="24041" spans="2:8" ht="15" customHeight="1" x14ac:dyDescent="0.4">
      <c r="B24041" s="3" t="s">
        <v>7</v>
      </c>
      <c r="C24041" s="3" t="s">
        <v>3867</v>
      </c>
      <c r="D24041" s="4">
        <f>DATE(2003,4,18)</f>
        <v>37729</v>
      </c>
      <c r="E24041" s="5">
        <f t="shared" si="399"/>
        <v>2003</v>
      </c>
      <c r="F24041" s="3" t="s">
        <v>3868</v>
      </c>
      <c r="G24041" s="6">
        <v>1320.65</v>
      </c>
      <c r="H24041" s="5">
        <v>128</v>
      </c>
    </row>
    <row r="24042" spans="2:8" ht="15" customHeight="1" x14ac:dyDescent="0.4">
      <c r="B24042" s="3" t="s">
        <v>7</v>
      </c>
      <c r="C24042" s="3" t="s">
        <v>3867</v>
      </c>
      <c r="D24042" s="4">
        <f>DATE(2003,5,2)</f>
        <v>37743</v>
      </c>
      <c r="E24042" s="5">
        <f t="shared" si="399"/>
        <v>2003</v>
      </c>
      <c r="F24042" s="3" t="s">
        <v>3868</v>
      </c>
      <c r="G24042" s="6">
        <v>253</v>
      </c>
      <c r="H24042" s="5">
        <v>148</v>
      </c>
    </row>
    <row r="24043" spans="2:8" ht="15" customHeight="1" x14ac:dyDescent="0.4">
      <c r="B24043" s="3" t="s">
        <v>7</v>
      </c>
      <c r="C24043" s="3" t="s">
        <v>3867</v>
      </c>
      <c r="D24043" s="4">
        <f>DATE(2003,5,1)</f>
        <v>37742</v>
      </c>
      <c r="E24043" s="5">
        <f t="shared" si="399"/>
        <v>2003</v>
      </c>
      <c r="F24043" s="3" t="s">
        <v>3868</v>
      </c>
      <c r="G24043" s="6">
        <v>216.25</v>
      </c>
      <c r="H24043" s="5">
        <v>152</v>
      </c>
    </row>
    <row r="24044" spans="2:8" ht="15" customHeight="1" x14ac:dyDescent="0.4">
      <c r="B24044" s="3" t="s">
        <v>7</v>
      </c>
      <c r="C24044" s="3" t="s">
        <v>3867</v>
      </c>
      <c r="D24044" s="4">
        <f>DATE(2003,4,30)</f>
        <v>37741</v>
      </c>
      <c r="E24044" s="5">
        <f t="shared" si="399"/>
        <v>2003</v>
      </c>
      <c r="F24044" s="3" t="s">
        <v>3868</v>
      </c>
      <c r="G24044" s="6">
        <v>852.4</v>
      </c>
      <c r="H24044" s="5">
        <v>155</v>
      </c>
    </row>
    <row r="24045" spans="2:8" ht="15" customHeight="1" x14ac:dyDescent="0.4">
      <c r="B24045" s="3" t="s">
        <v>7</v>
      </c>
      <c r="C24045" s="3" t="s">
        <v>3867</v>
      </c>
      <c r="D24045" s="4">
        <f>DATE(2003,5,7)</f>
        <v>37748</v>
      </c>
      <c r="E24045" s="5">
        <f t="shared" si="399"/>
        <v>2003</v>
      </c>
      <c r="F24045" s="3" t="s">
        <v>3868</v>
      </c>
      <c r="G24045" s="6">
        <v>492.74</v>
      </c>
      <c r="H24045" s="5">
        <v>157</v>
      </c>
    </row>
    <row r="24046" spans="2:8" ht="15" customHeight="1" x14ac:dyDescent="0.4">
      <c r="B24046" s="3" t="s">
        <v>7</v>
      </c>
      <c r="C24046" s="3" t="s">
        <v>3867</v>
      </c>
      <c r="D24046" s="4">
        <f>DATE(2003,5,8)</f>
        <v>37749</v>
      </c>
      <c r="E24046" s="5">
        <f t="shared" si="399"/>
        <v>2003</v>
      </c>
      <c r="F24046" s="3" t="s">
        <v>3868</v>
      </c>
      <c r="G24046" s="6">
        <v>1085</v>
      </c>
      <c r="H24046" s="5">
        <v>177</v>
      </c>
    </row>
    <row r="24047" spans="2:8" ht="15" customHeight="1" x14ac:dyDescent="0.4">
      <c r="B24047" s="3" t="s">
        <v>7</v>
      </c>
      <c r="C24047" s="3" t="s">
        <v>3867</v>
      </c>
      <c r="D24047" s="4">
        <f>DATE(2003,7,25)</f>
        <v>37827</v>
      </c>
      <c r="E24047" s="5">
        <f t="shared" si="399"/>
        <v>2003</v>
      </c>
      <c r="F24047" s="3" t="s">
        <v>3868</v>
      </c>
      <c r="G24047" s="6">
        <v>1085</v>
      </c>
      <c r="H24047" s="5">
        <v>256</v>
      </c>
    </row>
    <row r="24048" spans="2:8" ht="15" customHeight="1" x14ac:dyDescent="0.4">
      <c r="B24048" s="3" t="s">
        <v>7</v>
      </c>
      <c r="C24048" s="3" t="s">
        <v>3867</v>
      </c>
      <c r="D24048" s="4">
        <f>DATE(2003,8,21)</f>
        <v>37854</v>
      </c>
      <c r="E24048" s="5">
        <f t="shared" si="399"/>
        <v>2003</v>
      </c>
      <c r="F24048" s="3" t="s">
        <v>3868</v>
      </c>
      <c r="G24048" s="6">
        <v>744.85</v>
      </c>
      <c r="H24048" s="5">
        <v>296</v>
      </c>
    </row>
    <row r="24049" spans="2:8" ht="15" customHeight="1" x14ac:dyDescent="0.4">
      <c r="B24049" s="3" t="s">
        <v>7</v>
      </c>
      <c r="C24049" s="3" t="s">
        <v>3867</v>
      </c>
      <c r="D24049" s="4">
        <f>DATE(2003,11,24)</f>
        <v>37949</v>
      </c>
      <c r="E24049" s="5">
        <f t="shared" si="399"/>
        <v>2003</v>
      </c>
      <c r="F24049" s="3" t="s">
        <v>3868</v>
      </c>
      <c r="G24049" s="6">
        <v>2260</v>
      </c>
      <c r="H24049" s="5">
        <v>431</v>
      </c>
    </row>
    <row r="24050" spans="2:8" ht="15" customHeight="1" x14ac:dyDescent="0.4">
      <c r="B24050" s="3" t="s">
        <v>7</v>
      </c>
      <c r="C24050" s="3" t="s">
        <v>3867</v>
      </c>
      <c r="D24050" s="4">
        <f>DATE(2003,11,17)</f>
        <v>37942</v>
      </c>
      <c r="E24050" s="5">
        <f t="shared" si="399"/>
        <v>2003</v>
      </c>
      <c r="F24050" s="3" t="s">
        <v>3868</v>
      </c>
      <c r="G24050" s="6">
        <v>3536.35</v>
      </c>
      <c r="H24050" s="5">
        <v>426</v>
      </c>
    </row>
    <row r="24051" spans="2:8" ht="15" customHeight="1" x14ac:dyDescent="0.4">
      <c r="B24051" s="3" t="s">
        <v>7</v>
      </c>
      <c r="C24051" s="3" t="s">
        <v>3867</v>
      </c>
      <c r="D24051" s="4">
        <f>DATE(2003,12,3)</f>
        <v>37958</v>
      </c>
      <c r="E24051" s="5">
        <f t="shared" si="399"/>
        <v>2003</v>
      </c>
      <c r="F24051" s="3" t="s">
        <v>3868</v>
      </c>
      <c r="G24051" s="6">
        <v>33.96</v>
      </c>
      <c r="H24051" s="5">
        <v>444</v>
      </c>
    </row>
    <row r="24052" spans="2:8" ht="15" customHeight="1" x14ac:dyDescent="0.4">
      <c r="B24052" s="3" t="s">
        <v>7</v>
      </c>
      <c r="C24052" s="3" t="s">
        <v>3867</v>
      </c>
      <c r="D24052" s="4">
        <f>DATE(2003,12,15)</f>
        <v>37970</v>
      </c>
      <c r="E24052" s="5">
        <f t="shared" si="399"/>
        <v>2003</v>
      </c>
      <c r="F24052" s="3" t="s">
        <v>3868</v>
      </c>
      <c r="G24052" s="6">
        <v>102.07</v>
      </c>
      <c r="H24052" s="5">
        <v>466</v>
      </c>
    </row>
    <row r="24053" spans="2:8" ht="15" customHeight="1" x14ac:dyDescent="0.4">
      <c r="B24053" s="3" t="s">
        <v>7</v>
      </c>
      <c r="C24053" s="3" t="s">
        <v>3867</v>
      </c>
      <c r="D24053" s="4">
        <f>DATE(2003,12,11)</f>
        <v>37966</v>
      </c>
      <c r="E24053" s="5">
        <f t="shared" si="399"/>
        <v>2003</v>
      </c>
      <c r="F24053" s="3" t="s">
        <v>3868</v>
      </c>
      <c r="G24053" s="6">
        <v>1090</v>
      </c>
      <c r="H24053" s="5">
        <v>473</v>
      </c>
    </row>
    <row r="24054" spans="2:8" ht="15" customHeight="1" x14ac:dyDescent="0.4">
      <c r="B24054" s="3" t="s">
        <v>7</v>
      </c>
      <c r="C24054" s="3" t="s">
        <v>3867</v>
      </c>
      <c r="D24054" s="4">
        <f>DATE(2004,1,13)</f>
        <v>37999</v>
      </c>
      <c r="E24054" s="5">
        <f t="shared" si="399"/>
        <v>2004</v>
      </c>
      <c r="F24054" s="3" t="s">
        <v>3868</v>
      </c>
      <c r="G24054" s="6">
        <v>107.55</v>
      </c>
      <c r="H24054" s="5">
        <v>505</v>
      </c>
    </row>
    <row r="24055" spans="2:8" ht="15" customHeight="1" x14ac:dyDescent="0.4">
      <c r="B24055" s="3" t="s">
        <v>7</v>
      </c>
      <c r="C24055" s="3" t="s">
        <v>3867</v>
      </c>
      <c r="D24055" s="4">
        <f>DATE(2004,8,19)</f>
        <v>38218</v>
      </c>
      <c r="E24055" s="5">
        <f t="shared" si="399"/>
        <v>2004</v>
      </c>
      <c r="F24055" s="3" t="s">
        <v>3868</v>
      </c>
      <c r="G24055" s="6">
        <v>1591.44</v>
      </c>
      <c r="H24055" s="5">
        <v>752</v>
      </c>
    </row>
    <row r="24056" spans="2:8" ht="15" customHeight="1" x14ac:dyDescent="0.4">
      <c r="B24056" s="3" t="s">
        <v>7</v>
      </c>
      <c r="C24056" s="3" t="s">
        <v>3867</v>
      </c>
      <c r="D24056" s="4">
        <f>DATE(2004,8,27)</f>
        <v>38226</v>
      </c>
      <c r="E24056" s="5">
        <f t="shared" si="399"/>
        <v>2004</v>
      </c>
      <c r="F24056" s="3" t="s">
        <v>3868</v>
      </c>
      <c r="G24056" s="6">
        <v>2260</v>
      </c>
      <c r="H24056" s="5">
        <v>766</v>
      </c>
    </row>
    <row r="24057" spans="2:8" ht="15" customHeight="1" x14ac:dyDescent="0.4">
      <c r="B24057" s="3" t="s">
        <v>7</v>
      </c>
      <c r="C24057" s="3" t="s">
        <v>3867</v>
      </c>
      <c r="D24057" s="4">
        <f>DATE(2004,11,10)</f>
        <v>38301</v>
      </c>
      <c r="E24057" s="5">
        <f t="shared" si="399"/>
        <v>2004</v>
      </c>
      <c r="F24057" s="3" t="s">
        <v>3868</v>
      </c>
      <c r="G24057" s="6">
        <v>432.6</v>
      </c>
      <c r="H24057" s="5">
        <v>847</v>
      </c>
    </row>
    <row r="24058" spans="2:8" ht="15" customHeight="1" x14ac:dyDescent="0.4">
      <c r="B24058" s="3" t="s">
        <v>7</v>
      </c>
      <c r="C24058" s="3" t="s">
        <v>3867</v>
      </c>
      <c r="D24058" s="4">
        <f>DATE(2004,11,10)</f>
        <v>38301</v>
      </c>
      <c r="E24058" s="5">
        <f t="shared" si="399"/>
        <v>2004</v>
      </c>
      <c r="F24058" s="3" t="s">
        <v>3868</v>
      </c>
      <c r="G24058" s="6">
        <v>258.45999999999998</v>
      </c>
      <c r="H24058" s="5">
        <v>848</v>
      </c>
    </row>
    <row r="24059" spans="2:8" ht="15" customHeight="1" x14ac:dyDescent="0.4">
      <c r="B24059" s="3" t="s">
        <v>7</v>
      </c>
      <c r="C24059" s="3" t="s">
        <v>3867</v>
      </c>
      <c r="D24059" s="4">
        <f>DATE(2004,11,15)</f>
        <v>38306</v>
      </c>
      <c r="E24059" s="5">
        <f t="shared" si="399"/>
        <v>2004</v>
      </c>
      <c r="F24059" s="3" t="s">
        <v>3868</v>
      </c>
      <c r="G24059" s="6">
        <v>471.52</v>
      </c>
      <c r="H24059" s="5">
        <v>857</v>
      </c>
    </row>
    <row r="24060" spans="2:8" ht="15" customHeight="1" x14ac:dyDescent="0.4">
      <c r="B24060" s="3" t="s">
        <v>7</v>
      </c>
      <c r="C24060" s="3" t="s">
        <v>3867</v>
      </c>
      <c r="D24060" s="4">
        <f>DATE(2004,11,23)</f>
        <v>38314</v>
      </c>
      <c r="E24060" s="5">
        <f t="shared" si="399"/>
        <v>2004</v>
      </c>
      <c r="F24060" s="3" t="s">
        <v>3868</v>
      </c>
      <c r="G24060" s="6">
        <v>551.04999999999995</v>
      </c>
      <c r="H24060" s="5">
        <v>864</v>
      </c>
    </row>
    <row r="24061" spans="2:8" ht="15" customHeight="1" x14ac:dyDescent="0.4">
      <c r="B24061" s="3" t="s">
        <v>7</v>
      </c>
      <c r="C24061" s="3" t="s">
        <v>3867</v>
      </c>
      <c r="D24061" s="4">
        <f>DATE(2004,12,6)</f>
        <v>38327</v>
      </c>
      <c r="E24061" s="5">
        <f t="shared" si="399"/>
        <v>2004</v>
      </c>
      <c r="F24061" s="3" t="s">
        <v>3868</v>
      </c>
      <c r="G24061" s="6">
        <v>288.57</v>
      </c>
      <c r="H24061" s="5">
        <v>878</v>
      </c>
    </row>
    <row r="24062" spans="2:8" ht="15" customHeight="1" x14ac:dyDescent="0.4">
      <c r="B24062" t="s">
        <v>7</v>
      </c>
      <c r="C24062" t="s">
        <v>3867</v>
      </c>
      <c r="D24062" s="7">
        <f>DATE(2018,6,26)</f>
        <v>43277</v>
      </c>
      <c r="E24062" s="8">
        <f t="shared" si="399"/>
        <v>2018</v>
      </c>
      <c r="F24062" t="s">
        <v>3869</v>
      </c>
      <c r="G24062" s="9">
        <v>2758</v>
      </c>
      <c r="H24062" s="8">
        <v>27144</v>
      </c>
    </row>
    <row r="24063" spans="2:8" ht="15" customHeight="1" x14ac:dyDescent="0.4">
      <c r="B24063" t="s">
        <v>7</v>
      </c>
      <c r="C24063" t="s">
        <v>3867</v>
      </c>
      <c r="D24063" s="7">
        <f>DATE(2018,10,1)</f>
        <v>43374</v>
      </c>
      <c r="E24063" s="8">
        <f t="shared" si="399"/>
        <v>2018</v>
      </c>
      <c r="F24063" t="s">
        <v>3869</v>
      </c>
      <c r="G24063" s="9">
        <v>27148.23</v>
      </c>
      <c r="H24063" s="8">
        <v>27573</v>
      </c>
    </row>
    <row r="24064" spans="2:8" ht="15" customHeight="1" x14ac:dyDescent="0.4">
      <c r="B24064" t="s">
        <v>7</v>
      </c>
      <c r="C24064" t="s">
        <v>3867</v>
      </c>
      <c r="D24064" s="7">
        <f>DATE(2019,4,30)</f>
        <v>43585</v>
      </c>
      <c r="E24064" s="8">
        <f t="shared" si="399"/>
        <v>2019</v>
      </c>
      <c r="F24064" t="s">
        <v>3869</v>
      </c>
      <c r="G24064" s="9">
        <v>69482.8</v>
      </c>
      <c r="H24064" s="8">
        <v>28521</v>
      </c>
    </row>
    <row r="24065" spans="2:8" ht="15" customHeight="1" x14ac:dyDescent="0.4">
      <c r="B24065" t="s">
        <v>7</v>
      </c>
      <c r="C24065" t="s">
        <v>3867</v>
      </c>
      <c r="D24065" s="7">
        <f>DATE(2018,11,21)</f>
        <v>43425</v>
      </c>
      <c r="E24065" s="8">
        <f t="shared" si="399"/>
        <v>2018</v>
      </c>
      <c r="F24065" t="s">
        <v>3869</v>
      </c>
      <c r="G24065" s="9">
        <v>9563.6200000000008</v>
      </c>
      <c r="H24065" s="8">
        <v>27916</v>
      </c>
    </row>
    <row r="24066" spans="2:8" ht="15" customHeight="1" x14ac:dyDescent="0.4">
      <c r="B24066" t="s">
        <v>7</v>
      </c>
      <c r="C24066" t="s">
        <v>3867</v>
      </c>
      <c r="D24066" s="7">
        <f>DATE(2019,2,21)</f>
        <v>43517</v>
      </c>
      <c r="E24066" s="8">
        <f t="shared" si="399"/>
        <v>2019</v>
      </c>
      <c r="F24066" t="s">
        <v>3869</v>
      </c>
      <c r="G24066" s="9">
        <v>50108.95</v>
      </c>
      <c r="H24066" s="8">
        <v>28367</v>
      </c>
    </row>
    <row r="24067" spans="2:8" ht="15" customHeight="1" x14ac:dyDescent="0.4">
      <c r="B24067" s="3" t="s">
        <v>7</v>
      </c>
      <c r="C24067" s="3" t="s">
        <v>3870</v>
      </c>
      <c r="D24067" s="4">
        <f>DATE(2003,7,22)</f>
        <v>37824</v>
      </c>
      <c r="E24067" s="5">
        <f t="shared" ref="E24067:E24130" si="400">YEAR(D24067)</f>
        <v>2003</v>
      </c>
      <c r="F24067" s="3" t="s">
        <v>3871</v>
      </c>
      <c r="G24067" s="6">
        <v>2774</v>
      </c>
      <c r="H24067" s="5">
        <v>1255</v>
      </c>
    </row>
    <row r="24068" spans="2:8" ht="15" customHeight="1" x14ac:dyDescent="0.4">
      <c r="B24068" s="3" t="s">
        <v>7</v>
      </c>
      <c r="C24068" s="3" t="s">
        <v>3870</v>
      </c>
      <c r="D24068" s="4">
        <f>DATE(2003,8,26)</f>
        <v>37859</v>
      </c>
      <c r="E24068" s="5">
        <f t="shared" si="400"/>
        <v>2003</v>
      </c>
      <c r="F24068" s="3" t="s">
        <v>3871</v>
      </c>
      <c r="G24068" s="6">
        <v>1335.6</v>
      </c>
      <c r="H24068" s="5">
        <v>1383</v>
      </c>
    </row>
    <row r="24069" spans="2:8" ht="15" customHeight="1" x14ac:dyDescent="0.4">
      <c r="B24069" s="3" t="s">
        <v>7</v>
      </c>
      <c r="C24069" s="3" t="s">
        <v>3870</v>
      </c>
      <c r="D24069" s="4">
        <f>DATE(2003,11,4)</f>
        <v>37929</v>
      </c>
      <c r="E24069" s="5">
        <f t="shared" si="400"/>
        <v>2003</v>
      </c>
      <c r="F24069" s="3" t="s">
        <v>3871</v>
      </c>
      <c r="G24069" s="6">
        <v>175.5</v>
      </c>
      <c r="H24069" s="5">
        <v>1735</v>
      </c>
    </row>
    <row r="24070" spans="2:8" ht="15" customHeight="1" x14ac:dyDescent="0.4">
      <c r="B24070" s="3" t="s">
        <v>7</v>
      </c>
      <c r="C24070" s="3" t="s">
        <v>3870</v>
      </c>
      <c r="D24070" s="4">
        <f>DATE(2003,11,18)</f>
        <v>37943</v>
      </c>
      <c r="E24070" s="5">
        <f t="shared" si="400"/>
        <v>2003</v>
      </c>
      <c r="F24070" s="3" t="s">
        <v>3871</v>
      </c>
      <c r="G24070" s="6">
        <v>218</v>
      </c>
      <c r="H24070" s="5">
        <v>1786</v>
      </c>
    </row>
    <row r="24071" spans="2:8" ht="15" customHeight="1" x14ac:dyDescent="0.4">
      <c r="B24071" s="3" t="s">
        <v>7</v>
      </c>
      <c r="C24071" s="3" t="s">
        <v>3870</v>
      </c>
      <c r="D24071" s="4">
        <f>DATE(2004,4,21)</f>
        <v>38098</v>
      </c>
      <c r="E24071" s="5">
        <f t="shared" si="400"/>
        <v>2004</v>
      </c>
      <c r="F24071" s="3" t="s">
        <v>3871</v>
      </c>
      <c r="G24071" s="6">
        <v>282</v>
      </c>
      <c r="H24071" s="5">
        <v>2675</v>
      </c>
    </row>
    <row r="24072" spans="2:8" ht="15" customHeight="1" x14ac:dyDescent="0.4">
      <c r="B24072" s="3" t="s">
        <v>7</v>
      </c>
      <c r="C24072" s="3" t="s">
        <v>3870</v>
      </c>
      <c r="D24072" s="4">
        <f>DATE(2004,5,14)</f>
        <v>38121</v>
      </c>
      <c r="E24072" s="5">
        <f t="shared" si="400"/>
        <v>2004</v>
      </c>
      <c r="F24072" s="3" t="s">
        <v>3871</v>
      </c>
      <c r="G24072" s="6">
        <v>7145</v>
      </c>
      <c r="H24072" s="5">
        <v>2799</v>
      </c>
    </row>
    <row r="24073" spans="2:8" ht="15" customHeight="1" x14ac:dyDescent="0.4">
      <c r="B24073" s="3" t="s">
        <v>7</v>
      </c>
      <c r="C24073" s="3" t="s">
        <v>3870</v>
      </c>
      <c r="D24073" s="4">
        <f>DATE(2004,9,21)</f>
        <v>38251</v>
      </c>
      <c r="E24073" s="5">
        <f t="shared" si="400"/>
        <v>2004</v>
      </c>
      <c r="F24073" s="3" t="s">
        <v>3871</v>
      </c>
      <c r="G24073" s="6">
        <v>1100.5</v>
      </c>
      <c r="H24073" s="5">
        <v>3371</v>
      </c>
    </row>
    <row r="24074" spans="2:8" ht="15" customHeight="1" x14ac:dyDescent="0.4">
      <c r="B24074" s="3" t="s">
        <v>7</v>
      </c>
      <c r="C24074" s="3" t="s">
        <v>3870</v>
      </c>
      <c r="D24074" s="4">
        <f>DATE(2005,3,8)</f>
        <v>38419</v>
      </c>
      <c r="E24074" s="5">
        <f t="shared" si="400"/>
        <v>2005</v>
      </c>
      <c r="F24074" s="3" t="s">
        <v>3871</v>
      </c>
      <c r="G24074" s="6">
        <v>10910</v>
      </c>
      <c r="H24074" s="5">
        <v>4219</v>
      </c>
    </row>
    <row r="24075" spans="2:8" ht="15" customHeight="1" x14ac:dyDescent="0.4">
      <c r="B24075" s="3" t="s">
        <v>7</v>
      </c>
      <c r="C24075" s="3" t="s">
        <v>3870</v>
      </c>
      <c r="D24075" s="4">
        <f>DATE(2005,5,9)</f>
        <v>38481</v>
      </c>
      <c r="E24075" s="5">
        <f t="shared" si="400"/>
        <v>2005</v>
      </c>
      <c r="F24075" s="3" t="s">
        <v>3871</v>
      </c>
      <c r="G24075" s="6">
        <v>20100</v>
      </c>
      <c r="H24075" s="5">
        <v>4571</v>
      </c>
    </row>
    <row r="24076" spans="2:8" ht="15" customHeight="1" x14ac:dyDescent="0.4">
      <c r="B24076" s="3" t="s">
        <v>7</v>
      </c>
      <c r="C24076" s="3" t="s">
        <v>3870</v>
      </c>
      <c r="D24076" s="4">
        <f>DATE(2006,12,20)</f>
        <v>39071</v>
      </c>
      <c r="E24076" s="5">
        <f t="shared" si="400"/>
        <v>2006</v>
      </c>
      <c r="F24076" s="3" t="s">
        <v>3871</v>
      </c>
      <c r="G24076" s="6">
        <v>469</v>
      </c>
      <c r="H24076" s="5">
        <v>7579</v>
      </c>
    </row>
    <row r="24077" spans="2:8" ht="15" customHeight="1" x14ac:dyDescent="0.4">
      <c r="B24077" s="3" t="s">
        <v>7</v>
      </c>
      <c r="C24077" s="3" t="s">
        <v>3870</v>
      </c>
      <c r="D24077" s="4">
        <f>DATE(2007,4,13)</f>
        <v>39185</v>
      </c>
      <c r="E24077" s="5">
        <f t="shared" si="400"/>
        <v>2007</v>
      </c>
      <c r="F24077" s="3" t="s">
        <v>3871</v>
      </c>
      <c r="G24077" s="6">
        <v>1330.5</v>
      </c>
      <c r="H24077" s="5">
        <v>8368</v>
      </c>
    </row>
    <row r="24078" spans="2:8" ht="15" customHeight="1" x14ac:dyDescent="0.4">
      <c r="B24078" s="3" t="s">
        <v>7</v>
      </c>
      <c r="C24078" s="3" t="s">
        <v>3870</v>
      </c>
      <c r="D24078" s="4">
        <f>DATE(2007,9,6)</f>
        <v>39331</v>
      </c>
      <c r="E24078" s="5">
        <f t="shared" si="400"/>
        <v>2007</v>
      </c>
      <c r="F24078" s="3" t="s">
        <v>3871</v>
      </c>
      <c r="G24078" s="6">
        <v>10741</v>
      </c>
      <c r="H24078" s="5">
        <v>9014</v>
      </c>
    </row>
    <row r="24079" spans="2:8" ht="15" customHeight="1" x14ac:dyDescent="0.4">
      <c r="B24079" s="3" t="s">
        <v>7</v>
      </c>
      <c r="C24079" s="3" t="s">
        <v>3870</v>
      </c>
      <c r="D24079" s="4">
        <f>DATE(2009,1,14)</f>
        <v>39827</v>
      </c>
      <c r="E24079" s="5">
        <f t="shared" si="400"/>
        <v>2009</v>
      </c>
      <c r="F24079" s="3" t="s">
        <v>3871</v>
      </c>
      <c r="G24079" s="6">
        <v>22</v>
      </c>
      <c r="H24079" s="5">
        <v>11705</v>
      </c>
    </row>
    <row r="24080" spans="2:8" ht="15" customHeight="1" x14ac:dyDescent="0.4">
      <c r="B24080" t="s">
        <v>7</v>
      </c>
      <c r="C24080" t="s">
        <v>3872</v>
      </c>
      <c r="D24080" s="7">
        <f>DATE(2017,6,26)</f>
        <v>42912</v>
      </c>
      <c r="E24080" s="8">
        <f t="shared" si="400"/>
        <v>2017</v>
      </c>
      <c r="F24080" t="s">
        <v>3873</v>
      </c>
      <c r="G24080" s="9">
        <v>5601</v>
      </c>
      <c r="H24080" s="8">
        <v>25047</v>
      </c>
    </row>
    <row r="24081" spans="2:8" ht="15" customHeight="1" x14ac:dyDescent="0.4">
      <c r="B24081" t="s">
        <v>7</v>
      </c>
      <c r="C24081" t="s">
        <v>3872</v>
      </c>
      <c r="D24081" s="7">
        <f>DATE(2017,8,10)</f>
        <v>42957</v>
      </c>
      <c r="E24081" s="8">
        <f t="shared" si="400"/>
        <v>2017</v>
      </c>
      <c r="F24081" t="s">
        <v>3873</v>
      </c>
      <c r="G24081" s="9">
        <v>2914.23</v>
      </c>
      <c r="H24081" s="8">
        <v>25364</v>
      </c>
    </row>
    <row r="24082" spans="2:8" ht="15" customHeight="1" x14ac:dyDescent="0.4">
      <c r="B24082" t="s">
        <v>7</v>
      </c>
      <c r="C24082" t="s">
        <v>3872</v>
      </c>
      <c r="D24082" s="7">
        <f>DATE(2014,10,30)</f>
        <v>41942</v>
      </c>
      <c r="E24082" s="8">
        <f t="shared" si="400"/>
        <v>2014</v>
      </c>
      <c r="F24082" t="s">
        <v>3873</v>
      </c>
      <c r="G24082" s="9">
        <v>2744.07</v>
      </c>
      <c r="H24082" s="8">
        <v>13560</v>
      </c>
    </row>
    <row r="24083" spans="2:8" ht="15" customHeight="1" x14ac:dyDescent="0.4">
      <c r="B24083" t="s">
        <v>7</v>
      </c>
      <c r="C24083" t="s">
        <v>3874</v>
      </c>
      <c r="D24083" s="7">
        <f>DATE(2016,11,14)</f>
        <v>42688</v>
      </c>
      <c r="E24083" s="8">
        <f t="shared" si="400"/>
        <v>2016</v>
      </c>
      <c r="F24083" t="s">
        <v>3875</v>
      </c>
      <c r="G24083" s="9">
        <v>1692.79</v>
      </c>
      <c r="H24083" s="8">
        <v>23301</v>
      </c>
    </row>
    <row r="24084" spans="2:8" ht="15" customHeight="1" x14ac:dyDescent="0.4">
      <c r="B24084" t="s">
        <v>7</v>
      </c>
      <c r="C24084" t="s">
        <v>3874</v>
      </c>
      <c r="D24084" s="7">
        <f>DATE(2016,11,11)</f>
        <v>42685</v>
      </c>
      <c r="E24084" s="8">
        <f t="shared" si="400"/>
        <v>2016</v>
      </c>
      <c r="F24084" t="s">
        <v>3875</v>
      </c>
      <c r="G24084" s="9">
        <v>7938.88</v>
      </c>
      <c r="H24084" s="8">
        <v>23303</v>
      </c>
    </row>
    <row r="24085" spans="2:8" ht="15" customHeight="1" x14ac:dyDescent="0.4">
      <c r="B24085" t="s">
        <v>7</v>
      </c>
      <c r="C24085" t="s">
        <v>3874</v>
      </c>
      <c r="D24085" s="7">
        <f>DATE(2008,5,16)</f>
        <v>39584</v>
      </c>
      <c r="E24085" s="8">
        <f t="shared" si="400"/>
        <v>2008</v>
      </c>
      <c r="F24085" t="s">
        <v>3875</v>
      </c>
      <c r="G24085" s="9">
        <v>3792.75</v>
      </c>
      <c r="H24085" s="8">
        <v>7445</v>
      </c>
    </row>
    <row r="24086" spans="2:8" ht="15" customHeight="1" x14ac:dyDescent="0.4">
      <c r="B24086" t="s">
        <v>7</v>
      </c>
      <c r="C24086" t="s">
        <v>3874</v>
      </c>
      <c r="D24086" s="7">
        <f>DATE(2011,1,19)</f>
        <v>40562</v>
      </c>
      <c r="E24086" s="8">
        <f t="shared" si="400"/>
        <v>2011</v>
      </c>
      <c r="F24086" t="s">
        <v>3875</v>
      </c>
      <c r="G24086" s="9">
        <v>10198</v>
      </c>
      <c r="H24086" s="8">
        <v>10368</v>
      </c>
    </row>
    <row r="24087" spans="2:8" ht="15" customHeight="1" x14ac:dyDescent="0.4">
      <c r="B24087" t="s">
        <v>7</v>
      </c>
      <c r="C24087" t="s">
        <v>3874</v>
      </c>
      <c r="D24087" s="7">
        <f>DATE(2011,4,26)</f>
        <v>40659</v>
      </c>
      <c r="E24087" s="8">
        <f t="shared" si="400"/>
        <v>2011</v>
      </c>
      <c r="F24087" t="s">
        <v>3875</v>
      </c>
      <c r="G24087" s="9">
        <v>10198.09</v>
      </c>
      <c r="H24087" s="8">
        <v>10636</v>
      </c>
    </row>
    <row r="24088" spans="2:8" ht="15" customHeight="1" x14ac:dyDescent="0.4">
      <c r="B24088" t="s">
        <v>7</v>
      </c>
      <c r="C24088" t="s">
        <v>3874</v>
      </c>
      <c r="D24088" s="7">
        <f>DATE(2010,9,20)</f>
        <v>40441</v>
      </c>
      <c r="E24088" s="8">
        <f t="shared" si="400"/>
        <v>2010</v>
      </c>
      <c r="F24088" t="s">
        <v>3875</v>
      </c>
      <c r="G24088" s="9">
        <v>4546.53</v>
      </c>
      <c r="H24088" s="8">
        <v>10112</v>
      </c>
    </row>
    <row r="24089" spans="2:8" ht="15" customHeight="1" x14ac:dyDescent="0.4">
      <c r="B24089" t="s">
        <v>7</v>
      </c>
      <c r="C24089" t="s">
        <v>3874</v>
      </c>
      <c r="D24089" s="7">
        <f>DATE(2011,1,27)</f>
        <v>40570</v>
      </c>
      <c r="E24089" s="8">
        <f t="shared" si="400"/>
        <v>2011</v>
      </c>
      <c r="F24089" t="s">
        <v>3875</v>
      </c>
      <c r="G24089" s="9">
        <v>4831.47</v>
      </c>
      <c r="H24089" s="8">
        <v>10364</v>
      </c>
    </row>
    <row r="24090" spans="2:8" ht="15" customHeight="1" x14ac:dyDescent="0.4">
      <c r="B24090" t="s">
        <v>7</v>
      </c>
      <c r="C24090" t="s">
        <v>3874</v>
      </c>
      <c r="D24090" s="7">
        <f>DATE(2011,5,4)</f>
        <v>40667</v>
      </c>
      <c r="E24090" s="8">
        <f t="shared" si="400"/>
        <v>2011</v>
      </c>
      <c r="F24090" t="s">
        <v>3875</v>
      </c>
      <c r="G24090" s="9">
        <v>4116.07</v>
      </c>
      <c r="H24090" s="8">
        <v>10699</v>
      </c>
    </row>
    <row r="24091" spans="2:8" ht="15" customHeight="1" x14ac:dyDescent="0.4">
      <c r="B24091" t="s">
        <v>7</v>
      </c>
      <c r="C24091" t="s">
        <v>3874</v>
      </c>
      <c r="D24091" s="7">
        <f>DATE(2011,10,7)</f>
        <v>40823</v>
      </c>
      <c r="E24091" s="8">
        <f t="shared" si="400"/>
        <v>2011</v>
      </c>
      <c r="F24091" t="s">
        <v>3875</v>
      </c>
      <c r="G24091" s="9">
        <v>6919.35</v>
      </c>
      <c r="H24091" s="8">
        <v>11068</v>
      </c>
    </row>
    <row r="24092" spans="2:8" ht="15" customHeight="1" x14ac:dyDescent="0.4">
      <c r="B24092" t="s">
        <v>7</v>
      </c>
      <c r="C24092" t="s">
        <v>3874</v>
      </c>
      <c r="D24092" s="7">
        <f>DATE(2012,3,6)</f>
        <v>40974</v>
      </c>
      <c r="E24092" s="8">
        <f t="shared" si="400"/>
        <v>2012</v>
      </c>
      <c r="F24092" t="s">
        <v>3875</v>
      </c>
      <c r="G24092" s="9">
        <v>7944.7</v>
      </c>
      <c r="H24092" s="8">
        <v>11427</v>
      </c>
    </row>
    <row r="24093" spans="2:8" ht="15" customHeight="1" x14ac:dyDescent="0.4">
      <c r="B24093" t="s">
        <v>7</v>
      </c>
      <c r="C24093" t="s">
        <v>3874</v>
      </c>
      <c r="D24093" s="7">
        <f>DATE(2013,11,1)</f>
        <v>41579</v>
      </c>
      <c r="E24093" s="8">
        <f t="shared" si="400"/>
        <v>2013</v>
      </c>
      <c r="F24093" t="s">
        <v>3875</v>
      </c>
      <c r="G24093" s="9">
        <v>8444.75</v>
      </c>
      <c r="H24093" s="8">
        <v>12751</v>
      </c>
    </row>
    <row r="24094" spans="2:8" ht="15" customHeight="1" x14ac:dyDescent="0.4">
      <c r="B24094" t="s">
        <v>7</v>
      </c>
      <c r="C24094" t="s">
        <v>3876</v>
      </c>
      <c r="D24094" s="7">
        <f>DATE(2019,4,1)</f>
        <v>43556</v>
      </c>
      <c r="E24094" s="8">
        <f t="shared" si="400"/>
        <v>2019</v>
      </c>
      <c r="F24094" t="s">
        <v>3877</v>
      </c>
      <c r="G24094" s="9">
        <v>12056</v>
      </c>
      <c r="H24094" s="8">
        <v>28661</v>
      </c>
    </row>
    <row r="24095" spans="2:8" ht="15" customHeight="1" x14ac:dyDescent="0.4">
      <c r="B24095" t="s">
        <v>7</v>
      </c>
      <c r="C24095" t="s">
        <v>3876</v>
      </c>
      <c r="D24095" s="7">
        <f>DATE(2019,4,1)</f>
        <v>43556</v>
      </c>
      <c r="E24095" s="8">
        <f t="shared" si="400"/>
        <v>2019</v>
      </c>
      <c r="F24095" t="s">
        <v>3877</v>
      </c>
      <c r="G24095" s="9">
        <v>6026.58</v>
      </c>
      <c r="H24095" s="8">
        <v>28662</v>
      </c>
    </row>
    <row r="24096" spans="2:8" ht="15" customHeight="1" x14ac:dyDescent="0.4">
      <c r="B24096" t="s">
        <v>7</v>
      </c>
      <c r="C24096" t="s">
        <v>3878</v>
      </c>
      <c r="D24096" s="7">
        <f>DATE(2018,6,26)</f>
        <v>43277</v>
      </c>
      <c r="E24096" s="8">
        <f t="shared" si="400"/>
        <v>2018</v>
      </c>
      <c r="F24096" t="s">
        <v>3879</v>
      </c>
      <c r="G24096" s="9">
        <v>22890.5</v>
      </c>
      <c r="H24096" s="8">
        <v>27262</v>
      </c>
    </row>
    <row r="24097" spans="2:8" ht="15" customHeight="1" x14ac:dyDescent="0.4">
      <c r="B24097" s="3" t="s">
        <v>7</v>
      </c>
      <c r="C24097" s="3" t="s">
        <v>3880</v>
      </c>
      <c r="D24097" s="4">
        <f>DATE(2007,4,9)</f>
        <v>39181</v>
      </c>
      <c r="E24097" s="5">
        <f t="shared" si="400"/>
        <v>2007</v>
      </c>
      <c r="F24097" s="3" t="s">
        <v>3881</v>
      </c>
      <c r="G24097" s="6">
        <v>448.05</v>
      </c>
      <c r="H24097" s="5">
        <v>8348</v>
      </c>
    </row>
    <row r="24098" spans="2:8" ht="15" customHeight="1" x14ac:dyDescent="0.4">
      <c r="B24098" s="3" t="s">
        <v>7</v>
      </c>
      <c r="C24098" s="3" t="s">
        <v>3882</v>
      </c>
      <c r="D24098" s="4">
        <f>DATE(2008,3,17)</f>
        <v>39524</v>
      </c>
      <c r="E24098" s="5">
        <f t="shared" si="400"/>
        <v>2008</v>
      </c>
      <c r="F24098" s="3" t="s">
        <v>3883</v>
      </c>
      <c r="G24098" s="6">
        <v>235.8</v>
      </c>
      <c r="H24098" s="5">
        <v>9945</v>
      </c>
    </row>
    <row r="24099" spans="2:8" ht="15" customHeight="1" x14ac:dyDescent="0.4">
      <c r="B24099" s="3" t="s">
        <v>7</v>
      </c>
      <c r="C24099" s="3" t="s">
        <v>3882</v>
      </c>
      <c r="D24099" s="4">
        <f>DATE(2009,2,4)</f>
        <v>39848</v>
      </c>
      <c r="E24099" s="5">
        <f t="shared" si="400"/>
        <v>2009</v>
      </c>
      <c r="F24099" s="3" t="s">
        <v>3883</v>
      </c>
      <c r="G24099" s="6">
        <v>146.1</v>
      </c>
      <c r="H24099" s="5">
        <v>11914</v>
      </c>
    </row>
    <row r="24100" spans="2:8" ht="15" customHeight="1" x14ac:dyDescent="0.4">
      <c r="B24100" s="3" t="s">
        <v>7</v>
      </c>
      <c r="C24100" s="3" t="s">
        <v>3882</v>
      </c>
      <c r="D24100" s="4">
        <f>DATE(2009,2,10)</f>
        <v>39854</v>
      </c>
      <c r="E24100" s="5">
        <f t="shared" si="400"/>
        <v>2009</v>
      </c>
      <c r="F24100" s="3" t="s">
        <v>3883</v>
      </c>
      <c r="G24100" s="6">
        <v>97.4</v>
      </c>
      <c r="H24100" s="5">
        <v>11914</v>
      </c>
    </row>
    <row r="24101" spans="2:8" ht="15" customHeight="1" x14ac:dyDescent="0.4">
      <c r="B24101" s="3" t="s">
        <v>7</v>
      </c>
      <c r="C24101" s="3" t="s">
        <v>3882</v>
      </c>
      <c r="D24101" s="4">
        <f>DATE(2009,12,22)</f>
        <v>40169</v>
      </c>
      <c r="E24101" s="5">
        <f t="shared" si="400"/>
        <v>2009</v>
      </c>
      <c r="F24101" s="3" t="s">
        <v>3883</v>
      </c>
      <c r="G24101" s="6">
        <v>250.5</v>
      </c>
      <c r="H24101" s="5">
        <v>13360</v>
      </c>
    </row>
    <row r="24102" spans="2:8" ht="15" customHeight="1" x14ac:dyDescent="0.4">
      <c r="B24102" s="3" t="s">
        <v>7</v>
      </c>
      <c r="C24102" s="3" t="s">
        <v>3882</v>
      </c>
      <c r="D24102" s="4">
        <f>DATE(2010,2,17)</f>
        <v>40226</v>
      </c>
      <c r="E24102" s="5">
        <f t="shared" si="400"/>
        <v>2010</v>
      </c>
      <c r="F24102" s="3" t="s">
        <v>3883</v>
      </c>
      <c r="G24102" s="6">
        <v>375</v>
      </c>
      <c r="H24102" s="5">
        <v>13534</v>
      </c>
    </row>
    <row r="24103" spans="2:8" ht="15" customHeight="1" x14ac:dyDescent="0.4">
      <c r="B24103" s="3" t="s">
        <v>7</v>
      </c>
      <c r="C24103" s="3" t="s">
        <v>3882</v>
      </c>
      <c r="D24103" s="4">
        <f>DATE(2012,2,9)</f>
        <v>40948</v>
      </c>
      <c r="E24103" s="5">
        <f t="shared" si="400"/>
        <v>2012</v>
      </c>
      <c r="F24103" s="3" t="s">
        <v>3883</v>
      </c>
      <c r="G24103" s="6">
        <v>460</v>
      </c>
      <c r="H24103" s="5">
        <v>16399</v>
      </c>
    </row>
    <row r="24104" spans="2:8" ht="15" customHeight="1" x14ac:dyDescent="0.4">
      <c r="B24104" s="3" t="s">
        <v>7</v>
      </c>
      <c r="C24104" s="3" t="s">
        <v>3884</v>
      </c>
      <c r="D24104" s="4">
        <f>DATE(2011,2,23)</f>
        <v>40597</v>
      </c>
      <c r="E24104" s="5">
        <f t="shared" si="400"/>
        <v>2011</v>
      </c>
      <c r="F24104" s="3" t="s">
        <v>3885</v>
      </c>
      <c r="G24104" s="6">
        <v>2652</v>
      </c>
      <c r="H24104" s="5">
        <v>4307</v>
      </c>
    </row>
    <row r="24105" spans="2:8" ht="15" customHeight="1" x14ac:dyDescent="0.4">
      <c r="B24105" t="s">
        <v>7</v>
      </c>
      <c r="C24105" t="s">
        <v>3886</v>
      </c>
      <c r="D24105" s="7">
        <f>DATE(2015,10,22)</f>
        <v>42299</v>
      </c>
      <c r="E24105" s="8">
        <f t="shared" si="400"/>
        <v>2015</v>
      </c>
      <c r="F24105" t="s">
        <v>3887</v>
      </c>
      <c r="G24105" s="9">
        <v>45168.13</v>
      </c>
      <c r="H24105" s="8">
        <v>21183</v>
      </c>
    </row>
    <row r="24106" spans="2:8" ht="15" customHeight="1" x14ac:dyDescent="0.4">
      <c r="B24106" t="s">
        <v>7</v>
      </c>
      <c r="C24106" t="s">
        <v>3886</v>
      </c>
      <c r="D24106" s="7">
        <f>DATE(2016,10,19)</f>
        <v>42662</v>
      </c>
      <c r="E24106" s="8">
        <f t="shared" si="400"/>
        <v>2016</v>
      </c>
      <c r="F24106" t="s">
        <v>3887</v>
      </c>
      <c r="G24106" s="9">
        <v>44737</v>
      </c>
      <c r="H24106" s="8">
        <v>23431</v>
      </c>
    </row>
    <row r="24107" spans="2:8" ht="15" customHeight="1" x14ac:dyDescent="0.4">
      <c r="B24107" t="s">
        <v>7</v>
      </c>
      <c r="C24107" t="s">
        <v>3886</v>
      </c>
      <c r="D24107" s="7">
        <f>DATE(2017,10,2)</f>
        <v>43010</v>
      </c>
      <c r="E24107" s="8">
        <f t="shared" si="400"/>
        <v>2017</v>
      </c>
      <c r="F24107" t="s">
        <v>3887</v>
      </c>
      <c r="G24107" s="9">
        <v>48124.26</v>
      </c>
      <c r="H24107" s="8">
        <v>25381</v>
      </c>
    </row>
    <row r="24108" spans="2:8" ht="15" customHeight="1" x14ac:dyDescent="0.4">
      <c r="B24108" t="s">
        <v>7</v>
      </c>
      <c r="C24108" t="s">
        <v>3886</v>
      </c>
      <c r="D24108" s="7">
        <f>DATE(2016,10,24)</f>
        <v>42667</v>
      </c>
      <c r="E24108" s="8">
        <f t="shared" si="400"/>
        <v>2016</v>
      </c>
      <c r="F24108" t="s">
        <v>3887</v>
      </c>
      <c r="G24108" s="9">
        <v>7415</v>
      </c>
      <c r="H24108" s="8">
        <v>23500</v>
      </c>
    </row>
    <row r="24109" spans="2:8" ht="15" customHeight="1" x14ac:dyDescent="0.4">
      <c r="B24109" t="s">
        <v>7</v>
      </c>
      <c r="C24109" t="s">
        <v>3886</v>
      </c>
      <c r="D24109" s="7">
        <f>DATE(2016,10,24)</f>
        <v>42667</v>
      </c>
      <c r="E24109" s="8">
        <f t="shared" si="400"/>
        <v>2016</v>
      </c>
      <c r="F24109" t="s">
        <v>3887</v>
      </c>
      <c r="G24109" s="9">
        <v>9285</v>
      </c>
      <c r="H24109" s="8">
        <v>23501</v>
      </c>
    </row>
    <row r="24110" spans="2:8" ht="15" customHeight="1" x14ac:dyDescent="0.4">
      <c r="B24110" t="s">
        <v>16</v>
      </c>
      <c r="C24110" t="s">
        <v>3886</v>
      </c>
      <c r="D24110" s="7">
        <f>DATE(2015,12,15)</f>
        <v>42353</v>
      </c>
      <c r="E24110" s="8">
        <f t="shared" si="400"/>
        <v>2015</v>
      </c>
      <c r="F24110" t="s">
        <v>3887</v>
      </c>
      <c r="G24110" s="9">
        <v>431.13</v>
      </c>
      <c r="H24110" s="8">
        <v>21845</v>
      </c>
    </row>
    <row r="24111" spans="2:8" ht="15" customHeight="1" x14ac:dyDescent="0.4">
      <c r="B24111" t="s">
        <v>7</v>
      </c>
      <c r="C24111" t="s">
        <v>3886</v>
      </c>
      <c r="D24111" s="7">
        <f>DATE(2013,2,28)</f>
        <v>41333</v>
      </c>
      <c r="E24111" s="8">
        <f t="shared" si="400"/>
        <v>2013</v>
      </c>
      <c r="F24111" t="s">
        <v>3887</v>
      </c>
      <c r="G24111" s="9">
        <v>8250.7099999999991</v>
      </c>
      <c r="H24111" s="8">
        <v>12181</v>
      </c>
    </row>
    <row r="24112" spans="2:8" ht="15" customHeight="1" x14ac:dyDescent="0.4">
      <c r="B24112" t="s">
        <v>7</v>
      </c>
      <c r="C24112" t="s">
        <v>3886</v>
      </c>
      <c r="D24112" s="7">
        <f>DATE(2013,5,17)</f>
        <v>41411</v>
      </c>
      <c r="E24112" s="8">
        <f t="shared" si="400"/>
        <v>2013</v>
      </c>
      <c r="F24112" t="s">
        <v>3887</v>
      </c>
      <c r="G24112" s="9">
        <v>11880</v>
      </c>
      <c r="H24112" s="8">
        <v>12418</v>
      </c>
    </row>
    <row r="24113" spans="2:8" ht="15" customHeight="1" x14ac:dyDescent="0.4">
      <c r="B24113" t="s">
        <v>7</v>
      </c>
      <c r="C24113" t="s">
        <v>3886</v>
      </c>
      <c r="D24113" s="7">
        <f>DATE(2003,1,24)</f>
        <v>37645</v>
      </c>
      <c r="E24113" s="8">
        <f t="shared" si="400"/>
        <v>2003</v>
      </c>
      <c r="F24113" t="s">
        <v>3887</v>
      </c>
      <c r="G24113" s="9">
        <v>37034.769999999997</v>
      </c>
      <c r="H24113" s="8">
        <v>45</v>
      </c>
    </row>
    <row r="24114" spans="2:8" ht="15" customHeight="1" x14ac:dyDescent="0.4">
      <c r="B24114" t="s">
        <v>7</v>
      </c>
      <c r="C24114" t="s">
        <v>3886</v>
      </c>
      <c r="D24114" s="7">
        <f>DATE(2003,3,25)</f>
        <v>37705</v>
      </c>
      <c r="E24114" s="8">
        <f t="shared" si="400"/>
        <v>2003</v>
      </c>
      <c r="F24114" t="s">
        <v>3887</v>
      </c>
      <c r="G24114" s="9">
        <v>37034.769999999997</v>
      </c>
      <c r="H24114" s="8">
        <v>223</v>
      </c>
    </row>
    <row r="24115" spans="2:8" ht="15" customHeight="1" x14ac:dyDescent="0.4">
      <c r="B24115" t="s">
        <v>7</v>
      </c>
      <c r="C24115" t="s">
        <v>3886</v>
      </c>
      <c r="D24115" s="7">
        <f>DATE(2003,10,4)</f>
        <v>37898</v>
      </c>
      <c r="E24115" s="8">
        <f t="shared" si="400"/>
        <v>2003</v>
      </c>
      <c r="F24115" t="s">
        <v>3887</v>
      </c>
      <c r="G24115" s="9">
        <v>37034</v>
      </c>
      <c r="H24115" s="8">
        <v>686</v>
      </c>
    </row>
    <row r="24116" spans="2:8" ht="15" customHeight="1" x14ac:dyDescent="0.4">
      <c r="B24116" t="s">
        <v>7</v>
      </c>
      <c r="C24116" t="s">
        <v>3886</v>
      </c>
      <c r="D24116" s="7">
        <f>DATE(2003,10,22)</f>
        <v>37916</v>
      </c>
      <c r="E24116" s="8">
        <f t="shared" si="400"/>
        <v>2003</v>
      </c>
      <c r="F24116" t="s">
        <v>3887</v>
      </c>
      <c r="G24116" s="9">
        <v>5595.08</v>
      </c>
      <c r="H24116" s="8">
        <v>946</v>
      </c>
    </row>
    <row r="24117" spans="2:8" ht="15" customHeight="1" x14ac:dyDescent="0.4">
      <c r="B24117" t="s">
        <v>7</v>
      </c>
      <c r="C24117" t="s">
        <v>3886</v>
      </c>
      <c r="D24117" s="7">
        <f>DATE(2004,3,18)</f>
        <v>38064</v>
      </c>
      <c r="E24117" s="8">
        <f t="shared" si="400"/>
        <v>2004</v>
      </c>
      <c r="F24117" t="s">
        <v>3887</v>
      </c>
      <c r="G24117" s="9">
        <v>37034.769999999997</v>
      </c>
      <c r="H24117" s="8">
        <v>1432</v>
      </c>
    </row>
    <row r="24118" spans="2:8" ht="15" customHeight="1" x14ac:dyDescent="0.4">
      <c r="B24118" t="s">
        <v>7</v>
      </c>
      <c r="C24118" t="s">
        <v>3886</v>
      </c>
      <c r="D24118" s="7">
        <f>DATE(2013,3,6)</f>
        <v>41339</v>
      </c>
      <c r="E24118" s="8">
        <f t="shared" si="400"/>
        <v>2013</v>
      </c>
      <c r="F24118" t="s">
        <v>3887</v>
      </c>
      <c r="G24118" s="9">
        <v>46795.23</v>
      </c>
      <c r="H24118" s="8">
        <v>12095</v>
      </c>
    </row>
    <row r="24119" spans="2:8" ht="15" customHeight="1" x14ac:dyDescent="0.4">
      <c r="B24119" t="s">
        <v>7</v>
      </c>
      <c r="C24119" t="s">
        <v>3886</v>
      </c>
      <c r="D24119" s="7">
        <f>DATE(2013,3,6)</f>
        <v>41339</v>
      </c>
      <c r="E24119" s="8">
        <f t="shared" si="400"/>
        <v>2013</v>
      </c>
      <c r="F24119" t="s">
        <v>3887</v>
      </c>
      <c r="G24119" s="9">
        <v>4617.87</v>
      </c>
      <c r="H24119" s="8">
        <v>12150</v>
      </c>
    </row>
    <row r="24120" spans="2:8" ht="15" customHeight="1" x14ac:dyDescent="0.4">
      <c r="B24120" t="s">
        <v>7</v>
      </c>
      <c r="C24120" t="s">
        <v>3886</v>
      </c>
      <c r="D24120" s="7">
        <f>DATE(2013,5,9)</f>
        <v>41403</v>
      </c>
      <c r="E24120" s="8">
        <f t="shared" si="400"/>
        <v>2013</v>
      </c>
      <c r="F24120" t="s">
        <v>3887</v>
      </c>
      <c r="G24120" s="9">
        <v>44737</v>
      </c>
      <c r="H24120" s="8">
        <v>12098</v>
      </c>
    </row>
    <row r="24121" spans="2:8" ht="15" customHeight="1" x14ac:dyDescent="0.4">
      <c r="B24121" t="s">
        <v>7</v>
      </c>
      <c r="C24121" t="s">
        <v>3886</v>
      </c>
      <c r="D24121" s="7">
        <f>DATE(2013,10,21)</f>
        <v>41568</v>
      </c>
      <c r="E24121" s="8">
        <f t="shared" si="400"/>
        <v>2013</v>
      </c>
      <c r="F24121" t="s">
        <v>3887</v>
      </c>
      <c r="G24121" s="9">
        <v>44737</v>
      </c>
      <c r="H24121" s="8">
        <v>12659</v>
      </c>
    </row>
    <row r="24122" spans="2:8" ht="15" customHeight="1" x14ac:dyDescent="0.4">
      <c r="B24122" t="s">
        <v>7</v>
      </c>
      <c r="C24122" t="s">
        <v>3886</v>
      </c>
      <c r="D24122" s="7">
        <f>DATE(2014,3,6)</f>
        <v>41704</v>
      </c>
      <c r="E24122" s="8">
        <f t="shared" si="400"/>
        <v>2014</v>
      </c>
      <c r="F24122" t="s">
        <v>3887</v>
      </c>
      <c r="G24122" s="9">
        <v>45115.92</v>
      </c>
      <c r="H24122" s="8">
        <v>12939</v>
      </c>
    </row>
    <row r="24123" spans="2:8" ht="15" customHeight="1" x14ac:dyDescent="0.4">
      <c r="B24123" t="s">
        <v>7</v>
      </c>
      <c r="C24123" t="s">
        <v>3886</v>
      </c>
      <c r="D24123" s="7">
        <f>DATE(2014,11,3)</f>
        <v>41946</v>
      </c>
      <c r="E24123" s="8">
        <f t="shared" si="400"/>
        <v>2014</v>
      </c>
      <c r="F24123" t="s">
        <v>3887</v>
      </c>
      <c r="G24123" s="9">
        <v>44737</v>
      </c>
      <c r="H24123" s="8">
        <v>13469</v>
      </c>
    </row>
    <row r="24124" spans="2:8" ht="15" customHeight="1" x14ac:dyDescent="0.4">
      <c r="B24124" t="s">
        <v>7</v>
      </c>
      <c r="C24124" t="s">
        <v>3886</v>
      </c>
      <c r="D24124" s="7">
        <f>DATE(2014,12,18)</f>
        <v>41991</v>
      </c>
      <c r="E24124" s="8">
        <f t="shared" si="400"/>
        <v>2014</v>
      </c>
      <c r="F24124" t="s">
        <v>3887</v>
      </c>
      <c r="G24124" s="9">
        <v>44737</v>
      </c>
      <c r="H24124" s="8">
        <v>13607</v>
      </c>
    </row>
    <row r="24125" spans="2:8" ht="15" customHeight="1" x14ac:dyDescent="0.4">
      <c r="B24125" s="3" t="s">
        <v>7</v>
      </c>
      <c r="C24125" s="3" t="s">
        <v>3886</v>
      </c>
      <c r="D24125" s="4">
        <f>DATE(2004,11,18)</f>
        <v>38309</v>
      </c>
      <c r="E24125" s="5">
        <f t="shared" si="400"/>
        <v>2004</v>
      </c>
      <c r="F24125" s="3" t="s">
        <v>3887</v>
      </c>
      <c r="G24125" s="6">
        <v>59465</v>
      </c>
      <c r="H24125" s="5">
        <v>3715</v>
      </c>
    </row>
    <row r="24126" spans="2:8" ht="15" customHeight="1" x14ac:dyDescent="0.4">
      <c r="B24126" s="3" t="s">
        <v>7</v>
      </c>
      <c r="C24126" s="3" t="s">
        <v>3886</v>
      </c>
      <c r="D24126" s="4">
        <f>DATE(2004,11,22)</f>
        <v>38313</v>
      </c>
      <c r="E24126" s="5">
        <f t="shared" si="400"/>
        <v>2004</v>
      </c>
      <c r="F24126" s="3" t="s">
        <v>3887</v>
      </c>
      <c r="G24126" s="6">
        <v>375</v>
      </c>
      <c r="H24126" s="5">
        <v>3746</v>
      </c>
    </row>
    <row r="24127" spans="2:8" ht="15" customHeight="1" x14ac:dyDescent="0.4">
      <c r="B24127" s="3" t="s">
        <v>7</v>
      </c>
      <c r="C24127" s="3" t="s">
        <v>3886</v>
      </c>
      <c r="D24127" s="4">
        <f>DATE(2004,11,22)</f>
        <v>38313</v>
      </c>
      <c r="E24127" s="5">
        <f t="shared" si="400"/>
        <v>2004</v>
      </c>
      <c r="F24127" s="3" t="s">
        <v>3887</v>
      </c>
      <c r="G24127" s="6">
        <v>165</v>
      </c>
      <c r="H24127" s="5">
        <v>3736</v>
      </c>
    </row>
    <row r="24128" spans="2:8" ht="15" customHeight="1" x14ac:dyDescent="0.4">
      <c r="B24128" s="3" t="s">
        <v>7</v>
      </c>
      <c r="C24128" s="3" t="s">
        <v>3886</v>
      </c>
      <c r="D24128" s="4">
        <f>DATE(2004,12,28)</f>
        <v>38349</v>
      </c>
      <c r="E24128" s="5">
        <f t="shared" si="400"/>
        <v>2004</v>
      </c>
      <c r="F24128" s="3" t="s">
        <v>3887</v>
      </c>
      <c r="G24128" s="6">
        <v>74</v>
      </c>
      <c r="H24128" s="5">
        <v>3850</v>
      </c>
    </row>
    <row r="24129" spans="2:8" ht="15" customHeight="1" x14ac:dyDescent="0.4">
      <c r="B24129" s="3" t="s">
        <v>7</v>
      </c>
      <c r="C24129" s="3" t="s">
        <v>3886</v>
      </c>
      <c r="D24129" s="4">
        <f>DATE(2005,2,18)</f>
        <v>38401</v>
      </c>
      <c r="E24129" s="5">
        <f t="shared" si="400"/>
        <v>2005</v>
      </c>
      <c r="F24129" s="3" t="s">
        <v>3887</v>
      </c>
      <c r="G24129" s="6">
        <v>26575</v>
      </c>
      <c r="H24129" s="5">
        <v>4112</v>
      </c>
    </row>
    <row r="24130" spans="2:8" ht="15" customHeight="1" x14ac:dyDescent="0.4">
      <c r="B24130" s="3" t="s">
        <v>7</v>
      </c>
      <c r="C24130" s="3" t="s">
        <v>3886</v>
      </c>
      <c r="D24130" s="4">
        <f>DATE(2005,3,9)</f>
        <v>38420</v>
      </c>
      <c r="E24130" s="5">
        <f t="shared" si="400"/>
        <v>2005</v>
      </c>
      <c r="F24130" s="3" t="s">
        <v>3887</v>
      </c>
      <c r="G24130" s="6">
        <v>1150</v>
      </c>
      <c r="H24130" s="5">
        <v>4249</v>
      </c>
    </row>
    <row r="24131" spans="2:8" ht="15" customHeight="1" x14ac:dyDescent="0.4">
      <c r="B24131" s="3" t="s">
        <v>7</v>
      </c>
      <c r="C24131" s="3" t="s">
        <v>3886</v>
      </c>
      <c r="D24131" s="4">
        <f>DATE(2006,3,17)</f>
        <v>38793</v>
      </c>
      <c r="E24131" s="5">
        <f t="shared" ref="E24131:E24194" si="401">YEAR(D24131)</f>
        <v>2006</v>
      </c>
      <c r="F24131" s="3" t="s">
        <v>3887</v>
      </c>
      <c r="G24131" s="6">
        <v>36510</v>
      </c>
      <c r="H24131" s="5">
        <v>6286</v>
      </c>
    </row>
    <row r="24132" spans="2:8" ht="15" customHeight="1" x14ac:dyDescent="0.4">
      <c r="B24132" s="3" t="s">
        <v>7</v>
      </c>
      <c r="C24132" s="3" t="s">
        <v>3886</v>
      </c>
      <c r="D24132" s="4">
        <f>DATE(2006,4,5)</f>
        <v>38812</v>
      </c>
      <c r="E24132" s="5">
        <f t="shared" si="401"/>
        <v>2006</v>
      </c>
      <c r="F24132" s="3" t="s">
        <v>3887</v>
      </c>
      <c r="G24132" s="6">
        <v>36510</v>
      </c>
      <c r="H24132" s="5">
        <v>6288</v>
      </c>
    </row>
    <row r="24133" spans="2:8" ht="15" customHeight="1" x14ac:dyDescent="0.4">
      <c r="B24133" s="3" t="s">
        <v>7</v>
      </c>
      <c r="C24133" s="3" t="s">
        <v>3886</v>
      </c>
      <c r="D24133" s="4">
        <f>DATE(2006,4,21)</f>
        <v>38828</v>
      </c>
      <c r="E24133" s="5">
        <f t="shared" si="401"/>
        <v>2006</v>
      </c>
      <c r="F24133" s="3" t="s">
        <v>3887</v>
      </c>
      <c r="G24133" s="6">
        <v>3900</v>
      </c>
      <c r="H24133" s="5">
        <v>6541</v>
      </c>
    </row>
    <row r="24134" spans="2:8" ht="15" customHeight="1" x14ac:dyDescent="0.4">
      <c r="B24134" s="3" t="s">
        <v>7</v>
      </c>
      <c r="C24134" s="3" t="s">
        <v>3886</v>
      </c>
      <c r="D24134" s="4">
        <f>DATE(2006,8,31)</f>
        <v>38960</v>
      </c>
      <c r="E24134" s="5">
        <f t="shared" si="401"/>
        <v>2006</v>
      </c>
      <c r="F24134" s="3" t="s">
        <v>3887</v>
      </c>
      <c r="G24134" s="6">
        <v>1617</v>
      </c>
      <c r="H24134" s="5">
        <v>6928</v>
      </c>
    </row>
    <row r="24135" spans="2:8" ht="15" customHeight="1" x14ac:dyDescent="0.4">
      <c r="B24135" s="3" t="s">
        <v>7</v>
      </c>
      <c r="C24135" s="3" t="s">
        <v>3886</v>
      </c>
      <c r="D24135" s="4">
        <f>DATE(2006,11,13)</f>
        <v>39034</v>
      </c>
      <c r="E24135" s="5">
        <f t="shared" si="401"/>
        <v>2006</v>
      </c>
      <c r="F24135" s="3" t="s">
        <v>3887</v>
      </c>
      <c r="G24135" s="6">
        <v>2925</v>
      </c>
      <c r="H24135" s="5">
        <v>7489</v>
      </c>
    </row>
    <row r="24136" spans="2:8" ht="15" customHeight="1" x14ac:dyDescent="0.4">
      <c r="B24136" t="s">
        <v>7</v>
      </c>
      <c r="C24136" t="s">
        <v>3888</v>
      </c>
      <c r="D24136" s="7">
        <f>DATE(2015,2,3)</f>
        <v>42038</v>
      </c>
      <c r="E24136" s="8">
        <f t="shared" si="401"/>
        <v>2015</v>
      </c>
      <c r="F24136" t="s">
        <v>3889</v>
      </c>
      <c r="G24136" s="9">
        <v>2309.52</v>
      </c>
      <c r="H24136" s="8">
        <v>245</v>
      </c>
    </row>
    <row r="24137" spans="2:8" ht="15" customHeight="1" x14ac:dyDescent="0.4">
      <c r="B24137" t="s">
        <v>7</v>
      </c>
      <c r="C24137" t="s">
        <v>3888</v>
      </c>
      <c r="D24137" s="7">
        <f>DATE(2015,4,13)</f>
        <v>42107</v>
      </c>
      <c r="E24137" s="8">
        <f t="shared" si="401"/>
        <v>2015</v>
      </c>
      <c r="F24137" t="s">
        <v>3889</v>
      </c>
      <c r="G24137" s="9">
        <v>2405.16</v>
      </c>
      <c r="H24137" s="8">
        <v>20348</v>
      </c>
    </row>
    <row r="24138" spans="2:8" ht="15" customHeight="1" x14ac:dyDescent="0.4">
      <c r="B24138" t="s">
        <v>7</v>
      </c>
      <c r="C24138" t="s">
        <v>3888</v>
      </c>
      <c r="D24138" s="7">
        <f>DATE(2013,10,15)</f>
        <v>41562</v>
      </c>
      <c r="E24138" s="8">
        <f t="shared" si="401"/>
        <v>2013</v>
      </c>
      <c r="F24138" t="s">
        <v>3889</v>
      </c>
      <c r="G24138" s="9">
        <v>2512.81</v>
      </c>
      <c r="H24138" s="8">
        <v>12717</v>
      </c>
    </row>
    <row r="24139" spans="2:8" ht="15" customHeight="1" x14ac:dyDescent="0.4">
      <c r="B24139" t="s">
        <v>7</v>
      </c>
      <c r="C24139" t="s">
        <v>3890</v>
      </c>
      <c r="D24139" s="7">
        <f>DATE(2016,12,14)</f>
        <v>42718</v>
      </c>
      <c r="E24139" s="8">
        <f t="shared" si="401"/>
        <v>2016</v>
      </c>
      <c r="F24139" t="s">
        <v>3891</v>
      </c>
      <c r="G24139" s="9">
        <v>3283.47</v>
      </c>
      <c r="H24139" s="8">
        <v>23837</v>
      </c>
    </row>
    <row r="24140" spans="2:8" ht="15" customHeight="1" x14ac:dyDescent="0.4">
      <c r="B24140" t="s">
        <v>7</v>
      </c>
      <c r="C24140" t="s">
        <v>3890</v>
      </c>
      <c r="D24140" s="7">
        <f>DATE(2017,1,16)</f>
        <v>42751</v>
      </c>
      <c r="E24140" s="8">
        <f t="shared" si="401"/>
        <v>2017</v>
      </c>
      <c r="F24140" t="s">
        <v>3891</v>
      </c>
      <c r="G24140" s="9">
        <v>74</v>
      </c>
      <c r="H24140" s="8">
        <v>23986</v>
      </c>
    </row>
    <row r="24141" spans="2:8" ht="15" customHeight="1" x14ac:dyDescent="0.4">
      <c r="B24141" t="s">
        <v>7</v>
      </c>
      <c r="C24141" t="s">
        <v>3890</v>
      </c>
      <c r="D24141" s="7">
        <f>DATE(2018,4,13)</f>
        <v>43203</v>
      </c>
      <c r="E24141" s="8">
        <f t="shared" si="401"/>
        <v>2018</v>
      </c>
      <c r="F24141" t="s">
        <v>3891</v>
      </c>
      <c r="G24141" s="9">
        <v>2206.8000000000002</v>
      </c>
      <c r="H24141" s="8">
        <v>26787</v>
      </c>
    </row>
    <row r="24142" spans="2:8" ht="15" customHeight="1" x14ac:dyDescent="0.4">
      <c r="B24142" t="s">
        <v>7</v>
      </c>
      <c r="C24142" t="s">
        <v>3890</v>
      </c>
      <c r="D24142" s="7">
        <f>DATE(2018,11,26)</f>
        <v>43430</v>
      </c>
      <c r="E24142" s="8">
        <f t="shared" si="401"/>
        <v>2018</v>
      </c>
      <c r="F24142" t="s">
        <v>3891</v>
      </c>
      <c r="G24142" s="9">
        <v>2742.88</v>
      </c>
      <c r="H24142" s="8">
        <v>27872</v>
      </c>
    </row>
    <row r="24143" spans="2:8" ht="15" customHeight="1" x14ac:dyDescent="0.4">
      <c r="B24143" s="3" t="s">
        <v>7</v>
      </c>
      <c r="C24143" s="3" t="s">
        <v>3890</v>
      </c>
      <c r="D24143" s="4">
        <f>DATE(2005,8,25)</f>
        <v>38589</v>
      </c>
      <c r="E24143" s="5">
        <f t="shared" si="401"/>
        <v>2005</v>
      </c>
      <c r="F24143" s="3" t="s">
        <v>3891</v>
      </c>
      <c r="G24143" s="6">
        <v>592</v>
      </c>
      <c r="H24143" s="5">
        <v>5155</v>
      </c>
    </row>
    <row r="24144" spans="2:8" ht="15" customHeight="1" x14ac:dyDescent="0.4">
      <c r="B24144" s="3" t="s">
        <v>7</v>
      </c>
      <c r="C24144" s="3" t="s">
        <v>3890</v>
      </c>
      <c r="D24144" s="4">
        <f>DATE(2008,2,7)</f>
        <v>39485</v>
      </c>
      <c r="E24144" s="5">
        <f t="shared" si="401"/>
        <v>2008</v>
      </c>
      <c r="F24144" s="3" t="s">
        <v>3891</v>
      </c>
      <c r="G24144" s="6">
        <v>1181.76</v>
      </c>
      <c r="H24144" s="5">
        <v>9901</v>
      </c>
    </row>
    <row r="24145" spans="2:8" ht="15" customHeight="1" x14ac:dyDescent="0.4">
      <c r="B24145" s="3" t="s">
        <v>7</v>
      </c>
      <c r="C24145" s="3" t="s">
        <v>3890</v>
      </c>
      <c r="D24145" s="4">
        <f>DATE(2008,3,31)</f>
        <v>39538</v>
      </c>
      <c r="E24145" s="5">
        <f t="shared" si="401"/>
        <v>2008</v>
      </c>
      <c r="F24145" s="3" t="s">
        <v>3891</v>
      </c>
      <c r="G24145" s="6">
        <v>546</v>
      </c>
      <c r="H24145" s="5">
        <v>10307</v>
      </c>
    </row>
    <row r="24146" spans="2:8" ht="15" customHeight="1" x14ac:dyDescent="0.4">
      <c r="B24146" s="3" t="s">
        <v>7</v>
      </c>
      <c r="C24146" s="3" t="s">
        <v>3890</v>
      </c>
      <c r="D24146" s="4">
        <f>DATE(2009,6,26)</f>
        <v>39990</v>
      </c>
      <c r="E24146" s="5">
        <f t="shared" si="401"/>
        <v>2009</v>
      </c>
      <c r="F24146" s="3" t="s">
        <v>3891</v>
      </c>
      <c r="G24146" s="6">
        <v>549</v>
      </c>
      <c r="H24146" s="5">
        <v>12687</v>
      </c>
    </row>
    <row r="24147" spans="2:8" ht="15" customHeight="1" x14ac:dyDescent="0.4">
      <c r="B24147" s="3" t="s">
        <v>7</v>
      </c>
      <c r="C24147" s="3" t="s">
        <v>3890</v>
      </c>
      <c r="D24147" s="4">
        <f>DATE(2011,9,8)</f>
        <v>40794</v>
      </c>
      <c r="E24147" s="5">
        <f t="shared" si="401"/>
        <v>2011</v>
      </c>
      <c r="F24147" s="3" t="s">
        <v>3891</v>
      </c>
      <c r="G24147" s="6">
        <v>3235.65</v>
      </c>
      <c r="H24147" s="5">
        <v>15905</v>
      </c>
    </row>
    <row r="24148" spans="2:8" ht="15" customHeight="1" x14ac:dyDescent="0.4">
      <c r="B24148" s="3" t="s">
        <v>7</v>
      </c>
      <c r="C24148" s="3" t="s">
        <v>3890</v>
      </c>
      <c r="D24148" s="4">
        <f>DATE(2011,9,12)</f>
        <v>40798</v>
      </c>
      <c r="E24148" s="5">
        <f t="shared" si="401"/>
        <v>2011</v>
      </c>
      <c r="F24148" s="3" t="s">
        <v>3891</v>
      </c>
      <c r="G24148" s="6">
        <v>553.54999999999995</v>
      </c>
      <c r="H24148" s="5">
        <v>15961</v>
      </c>
    </row>
    <row r="24149" spans="2:8" ht="15" customHeight="1" x14ac:dyDescent="0.4">
      <c r="B24149" s="3" t="s">
        <v>7</v>
      </c>
      <c r="C24149" s="3" t="s">
        <v>3890</v>
      </c>
      <c r="D24149" s="4">
        <f>DATE(2011,11,1)</f>
        <v>40848</v>
      </c>
      <c r="E24149" s="5">
        <f t="shared" si="401"/>
        <v>2011</v>
      </c>
      <c r="F24149" s="3" t="s">
        <v>3891</v>
      </c>
      <c r="G24149" s="6">
        <v>553.54999999999995</v>
      </c>
      <c r="H24149" s="5">
        <v>16155</v>
      </c>
    </row>
    <row r="24150" spans="2:8" ht="15" customHeight="1" x14ac:dyDescent="0.4">
      <c r="B24150" s="3" t="s">
        <v>7</v>
      </c>
      <c r="C24150" s="3" t="s">
        <v>3890</v>
      </c>
      <c r="D24150" s="4">
        <f>DATE(2011,12,7)</f>
        <v>40884</v>
      </c>
      <c r="E24150" s="5">
        <f t="shared" si="401"/>
        <v>2011</v>
      </c>
      <c r="F24150" s="3" t="s">
        <v>3891</v>
      </c>
      <c r="G24150" s="6">
        <v>553.54999999999995</v>
      </c>
      <c r="H24150" s="5">
        <v>16276</v>
      </c>
    </row>
    <row r="24151" spans="2:8" ht="15" customHeight="1" x14ac:dyDescent="0.4">
      <c r="B24151" s="3" t="s">
        <v>7</v>
      </c>
      <c r="C24151" s="3" t="s">
        <v>3890</v>
      </c>
      <c r="D24151" s="4">
        <f>DATE(2012,2,9)</f>
        <v>40948</v>
      </c>
      <c r="E24151" s="5">
        <f t="shared" si="401"/>
        <v>2012</v>
      </c>
      <c r="F24151" s="3" t="s">
        <v>3891</v>
      </c>
      <c r="G24151" s="6">
        <v>555</v>
      </c>
      <c r="H24151" s="5">
        <v>16494</v>
      </c>
    </row>
    <row r="24152" spans="2:8" ht="15" customHeight="1" x14ac:dyDescent="0.4">
      <c r="B24152" s="3" t="s">
        <v>7</v>
      </c>
      <c r="C24152" s="3" t="s">
        <v>3890</v>
      </c>
      <c r="D24152" s="4">
        <f>DATE(2012,5,14)</f>
        <v>41043</v>
      </c>
      <c r="E24152" s="5">
        <f t="shared" si="401"/>
        <v>2012</v>
      </c>
      <c r="F24152" s="3" t="s">
        <v>3891</v>
      </c>
      <c r="G24152" s="6">
        <v>1077.98</v>
      </c>
      <c r="H24152" s="5">
        <v>17099</v>
      </c>
    </row>
    <row r="24153" spans="2:8" ht="15" customHeight="1" x14ac:dyDescent="0.4">
      <c r="B24153" s="3" t="s">
        <v>7</v>
      </c>
      <c r="C24153" s="3" t="s">
        <v>3890</v>
      </c>
      <c r="D24153" s="4">
        <f>DATE(2014,1,22)</f>
        <v>41661</v>
      </c>
      <c r="E24153" s="5">
        <f t="shared" si="401"/>
        <v>2014</v>
      </c>
      <c r="F24153" s="3" t="s">
        <v>3891</v>
      </c>
      <c r="G24153" s="6">
        <v>525</v>
      </c>
      <c r="H24153" s="5">
        <v>19410</v>
      </c>
    </row>
    <row r="24154" spans="2:8" ht="15" customHeight="1" x14ac:dyDescent="0.4">
      <c r="B24154" s="3" t="s">
        <v>7</v>
      </c>
      <c r="C24154" s="3" t="s">
        <v>3890</v>
      </c>
      <c r="D24154" s="4">
        <f>DATE(2014,3,24)</f>
        <v>41722</v>
      </c>
      <c r="E24154" s="5">
        <f t="shared" si="401"/>
        <v>2014</v>
      </c>
      <c r="F24154" s="3" t="s">
        <v>3891</v>
      </c>
      <c r="G24154" s="6">
        <v>1050</v>
      </c>
      <c r="H24154" s="5">
        <v>19644</v>
      </c>
    </row>
    <row r="24155" spans="2:8" ht="15" customHeight="1" x14ac:dyDescent="0.4">
      <c r="B24155" s="3" t="s">
        <v>7</v>
      </c>
      <c r="C24155" s="3" t="s">
        <v>3890</v>
      </c>
      <c r="D24155" s="4">
        <f>DATE(2014,3,27)</f>
        <v>41725</v>
      </c>
      <c r="E24155" s="5">
        <f t="shared" si="401"/>
        <v>2014</v>
      </c>
      <c r="F24155" s="3" t="s">
        <v>3891</v>
      </c>
      <c r="G24155" s="6">
        <v>525</v>
      </c>
      <c r="H24155" s="5">
        <v>19703</v>
      </c>
    </row>
    <row r="24156" spans="2:8" ht="15" customHeight="1" x14ac:dyDescent="0.4">
      <c r="B24156" t="s">
        <v>7</v>
      </c>
      <c r="C24156" t="s">
        <v>3892</v>
      </c>
      <c r="D24156" s="7">
        <f>DATE(2003,11,14)</f>
        <v>37939</v>
      </c>
      <c r="E24156" s="8">
        <f t="shared" si="401"/>
        <v>2003</v>
      </c>
      <c r="F24156" t="s">
        <v>3893</v>
      </c>
      <c r="G24156" s="9">
        <v>3640</v>
      </c>
      <c r="H24156" s="8">
        <v>1009</v>
      </c>
    </row>
    <row r="24157" spans="2:8" ht="15" customHeight="1" x14ac:dyDescent="0.4">
      <c r="B24157" t="s">
        <v>7</v>
      </c>
      <c r="C24157" t="s">
        <v>3892</v>
      </c>
      <c r="D24157" s="7">
        <f>DATE(2005,6,1)</f>
        <v>38504</v>
      </c>
      <c r="E24157" s="8">
        <f t="shared" si="401"/>
        <v>2005</v>
      </c>
      <c r="F24157" t="s">
        <v>3893</v>
      </c>
      <c r="G24157" s="9">
        <v>821</v>
      </c>
      <c r="H24157" s="8">
        <v>3248</v>
      </c>
    </row>
    <row r="24158" spans="2:8" ht="15" customHeight="1" x14ac:dyDescent="0.4">
      <c r="B24158" t="s">
        <v>7</v>
      </c>
      <c r="C24158" t="s">
        <v>3892</v>
      </c>
      <c r="D24158" s="7">
        <f>DATE(2008,9,2)</f>
        <v>39693</v>
      </c>
      <c r="E24158" s="8">
        <f t="shared" si="401"/>
        <v>2008</v>
      </c>
      <c r="F24158" t="s">
        <v>3893</v>
      </c>
      <c r="G24158" s="9">
        <v>409</v>
      </c>
      <c r="H24158" s="8">
        <v>7779</v>
      </c>
    </row>
    <row r="24159" spans="2:8" ht="15" customHeight="1" x14ac:dyDescent="0.4">
      <c r="B24159" t="s">
        <v>7</v>
      </c>
      <c r="C24159" t="s">
        <v>3892</v>
      </c>
      <c r="D24159" s="7">
        <f>DATE(2009,11,4)</f>
        <v>40121</v>
      </c>
      <c r="E24159" s="8">
        <f t="shared" si="401"/>
        <v>2009</v>
      </c>
      <c r="F24159" t="s">
        <v>3893</v>
      </c>
      <c r="G24159" s="9">
        <v>1385</v>
      </c>
      <c r="H24159" s="8">
        <v>9201</v>
      </c>
    </row>
    <row r="24160" spans="2:8" ht="15" customHeight="1" x14ac:dyDescent="0.4">
      <c r="B24160" t="s">
        <v>7</v>
      </c>
      <c r="C24160" t="s">
        <v>3892</v>
      </c>
      <c r="D24160" s="7">
        <f>DATE(2011,1,11)</f>
        <v>40554</v>
      </c>
      <c r="E24160" s="8">
        <f t="shared" si="401"/>
        <v>2011</v>
      </c>
      <c r="F24160" t="s">
        <v>3893</v>
      </c>
      <c r="G24160" s="9">
        <v>460</v>
      </c>
      <c r="H24160" s="8">
        <v>10337</v>
      </c>
    </row>
    <row r="24161" spans="2:8" ht="15" customHeight="1" x14ac:dyDescent="0.4">
      <c r="B24161" t="s">
        <v>7</v>
      </c>
      <c r="C24161" t="s">
        <v>3892</v>
      </c>
      <c r="D24161" s="7">
        <f>DATE(2011,1,11)</f>
        <v>40554</v>
      </c>
      <c r="E24161" s="8">
        <f t="shared" si="401"/>
        <v>2011</v>
      </c>
      <c r="F24161" t="s">
        <v>3893</v>
      </c>
      <c r="G24161" s="9">
        <v>521</v>
      </c>
      <c r="H24161" s="8">
        <v>10338</v>
      </c>
    </row>
    <row r="24162" spans="2:8" ht="15" customHeight="1" x14ac:dyDescent="0.4">
      <c r="B24162" t="s">
        <v>7</v>
      </c>
      <c r="C24162" t="s">
        <v>3892</v>
      </c>
      <c r="D24162" s="7">
        <f>DATE(2011,4,21)</f>
        <v>40654</v>
      </c>
      <c r="E24162" s="8">
        <f t="shared" si="401"/>
        <v>2011</v>
      </c>
      <c r="F24162" t="s">
        <v>3893</v>
      </c>
      <c r="G24162" s="9">
        <v>911</v>
      </c>
      <c r="H24162" s="8">
        <v>10687</v>
      </c>
    </row>
    <row r="24163" spans="2:8" ht="15" customHeight="1" x14ac:dyDescent="0.4">
      <c r="B24163" t="s">
        <v>7</v>
      </c>
      <c r="C24163" t="s">
        <v>3892</v>
      </c>
      <c r="D24163" s="7">
        <f>DATE(2011,5,25)</f>
        <v>40688</v>
      </c>
      <c r="E24163" s="8">
        <f t="shared" si="401"/>
        <v>2011</v>
      </c>
      <c r="F24163" t="s">
        <v>3893</v>
      </c>
      <c r="G24163" s="9">
        <v>458</v>
      </c>
      <c r="H24163" s="8">
        <v>10775</v>
      </c>
    </row>
    <row r="24164" spans="2:8" ht="15" customHeight="1" x14ac:dyDescent="0.4">
      <c r="B24164" t="s">
        <v>7</v>
      </c>
      <c r="C24164" t="s">
        <v>3892</v>
      </c>
      <c r="D24164" s="7">
        <f>DATE(2011,10,6)</f>
        <v>40822</v>
      </c>
      <c r="E24164" s="8">
        <f t="shared" si="401"/>
        <v>2011</v>
      </c>
      <c r="F24164" t="s">
        <v>3893</v>
      </c>
      <c r="G24164" s="9">
        <v>900</v>
      </c>
      <c r="H24164" s="8">
        <v>11054</v>
      </c>
    </row>
    <row r="24165" spans="2:8" ht="15" customHeight="1" x14ac:dyDescent="0.4">
      <c r="B24165" t="s">
        <v>7</v>
      </c>
      <c r="C24165" t="s">
        <v>3892</v>
      </c>
      <c r="D24165" s="7">
        <f>DATE(2011,11,14)</f>
        <v>40861</v>
      </c>
      <c r="E24165" s="8">
        <f t="shared" si="401"/>
        <v>2011</v>
      </c>
      <c r="F24165" t="s">
        <v>3893</v>
      </c>
      <c r="G24165" s="9">
        <v>164</v>
      </c>
      <c r="H24165" s="8">
        <v>11132</v>
      </c>
    </row>
    <row r="24166" spans="2:8" ht="15" customHeight="1" x14ac:dyDescent="0.4">
      <c r="B24166" t="s">
        <v>7</v>
      </c>
      <c r="C24166" t="s">
        <v>3892</v>
      </c>
      <c r="D24166" s="7">
        <f>DATE(2011,11,18)</f>
        <v>40865</v>
      </c>
      <c r="E24166" s="8">
        <f t="shared" si="401"/>
        <v>2011</v>
      </c>
      <c r="F24166" t="s">
        <v>3893</v>
      </c>
      <c r="G24166" s="9">
        <v>70</v>
      </c>
      <c r="H24166" s="8">
        <v>11142</v>
      </c>
    </row>
    <row r="24167" spans="2:8" ht="15" customHeight="1" x14ac:dyDescent="0.4">
      <c r="B24167" t="s">
        <v>7</v>
      </c>
      <c r="C24167" t="s">
        <v>3892</v>
      </c>
      <c r="D24167" s="7">
        <f>DATE(2012,5,16)</f>
        <v>41045</v>
      </c>
      <c r="E24167" s="8">
        <f t="shared" si="401"/>
        <v>2012</v>
      </c>
      <c r="F24167" t="s">
        <v>3893</v>
      </c>
      <c r="G24167" s="9">
        <v>356</v>
      </c>
      <c r="H24167" s="8">
        <v>11646</v>
      </c>
    </row>
    <row r="24168" spans="2:8" ht="15" customHeight="1" x14ac:dyDescent="0.4">
      <c r="B24168" t="s">
        <v>7</v>
      </c>
      <c r="C24168" t="s">
        <v>3892</v>
      </c>
      <c r="D24168" s="7">
        <f>DATE(2013,1,14)</f>
        <v>41288</v>
      </c>
      <c r="E24168" s="8">
        <f t="shared" si="401"/>
        <v>2013</v>
      </c>
      <c r="F24168" t="s">
        <v>3893</v>
      </c>
      <c r="G24168" s="9">
        <v>50</v>
      </c>
      <c r="H24168" s="8">
        <v>12089</v>
      </c>
    </row>
    <row r="24169" spans="2:8" ht="15" customHeight="1" x14ac:dyDescent="0.4">
      <c r="B24169" t="s">
        <v>7</v>
      </c>
      <c r="C24169" t="s">
        <v>3892</v>
      </c>
      <c r="D24169" s="7">
        <f>DATE(2013,9,3)</f>
        <v>41520</v>
      </c>
      <c r="E24169" s="8">
        <f t="shared" si="401"/>
        <v>2013</v>
      </c>
      <c r="F24169" t="s">
        <v>3893</v>
      </c>
      <c r="G24169" s="9">
        <v>75</v>
      </c>
      <c r="H24169" s="8">
        <v>12641</v>
      </c>
    </row>
    <row r="24170" spans="2:8" ht="15" customHeight="1" x14ac:dyDescent="0.4">
      <c r="B24170" t="s">
        <v>7</v>
      </c>
      <c r="C24170" t="s">
        <v>3892</v>
      </c>
      <c r="D24170" s="7">
        <f>DATE(2014,11,24)</f>
        <v>41967</v>
      </c>
      <c r="E24170" s="8">
        <f t="shared" si="401"/>
        <v>2014</v>
      </c>
      <c r="F24170" t="s">
        <v>3893</v>
      </c>
      <c r="G24170" s="9">
        <v>450</v>
      </c>
      <c r="H24170" s="8">
        <v>13614</v>
      </c>
    </row>
    <row r="24171" spans="2:8" ht="15" customHeight="1" x14ac:dyDescent="0.4">
      <c r="B24171" t="s">
        <v>7</v>
      </c>
      <c r="C24171" t="s">
        <v>3892</v>
      </c>
      <c r="D24171" s="7">
        <f>DATE(2014,11,28)</f>
        <v>41971</v>
      </c>
      <c r="E24171" s="8">
        <f t="shared" si="401"/>
        <v>2014</v>
      </c>
      <c r="F24171" t="s">
        <v>3893</v>
      </c>
      <c r="G24171" s="9">
        <v>450</v>
      </c>
      <c r="H24171" s="8">
        <v>13620</v>
      </c>
    </row>
    <row r="24172" spans="2:8" ht="15" customHeight="1" x14ac:dyDescent="0.4">
      <c r="B24172" t="s">
        <v>7</v>
      </c>
      <c r="C24172" t="s">
        <v>3892</v>
      </c>
      <c r="D24172" s="7">
        <f>DATE(2014,12,14)</f>
        <v>41987</v>
      </c>
      <c r="E24172" s="8">
        <f t="shared" si="401"/>
        <v>2014</v>
      </c>
      <c r="F24172" t="s">
        <v>3893</v>
      </c>
      <c r="G24172" s="9">
        <v>450</v>
      </c>
      <c r="H24172" s="8">
        <v>13648</v>
      </c>
    </row>
    <row r="24173" spans="2:8" ht="15" customHeight="1" x14ac:dyDescent="0.4">
      <c r="B24173" t="s">
        <v>7</v>
      </c>
      <c r="C24173" t="s">
        <v>3892</v>
      </c>
      <c r="D24173" s="7">
        <f>DATE(2003,8,4)</f>
        <v>37837</v>
      </c>
      <c r="E24173" s="8">
        <f t="shared" si="401"/>
        <v>2003</v>
      </c>
      <c r="F24173" t="s">
        <v>3893</v>
      </c>
      <c r="G24173" s="9">
        <v>636</v>
      </c>
      <c r="H24173" s="8">
        <v>778</v>
      </c>
    </row>
    <row r="24174" spans="2:8" ht="15" customHeight="1" x14ac:dyDescent="0.4">
      <c r="B24174" t="s">
        <v>7</v>
      </c>
      <c r="C24174" t="s">
        <v>3894</v>
      </c>
      <c r="D24174" s="7">
        <f>DATE(2010,4,20)</f>
        <v>40288</v>
      </c>
      <c r="E24174" s="8">
        <f t="shared" si="401"/>
        <v>2010</v>
      </c>
      <c r="F24174" t="s">
        <v>3895</v>
      </c>
      <c r="G24174" s="9">
        <v>50238.75</v>
      </c>
      <c r="H24174" s="8">
        <v>9364</v>
      </c>
    </row>
    <row r="24175" spans="2:8" ht="15" customHeight="1" x14ac:dyDescent="0.4">
      <c r="B24175" t="s">
        <v>7</v>
      </c>
      <c r="C24175" t="s">
        <v>3896</v>
      </c>
      <c r="D24175" s="7">
        <f>DATE(2004,1,22)</f>
        <v>38008</v>
      </c>
      <c r="E24175" s="8">
        <f t="shared" si="401"/>
        <v>2004</v>
      </c>
      <c r="F24175" t="s">
        <v>3897</v>
      </c>
      <c r="G24175" s="9">
        <v>3506.06</v>
      </c>
      <c r="H24175" s="8">
        <v>1179</v>
      </c>
    </row>
    <row r="24176" spans="2:8" ht="15" customHeight="1" x14ac:dyDescent="0.4">
      <c r="B24176" t="s">
        <v>7</v>
      </c>
      <c r="C24176" t="s">
        <v>3896</v>
      </c>
      <c r="D24176" s="7">
        <f>DATE(2004,6,9)</f>
        <v>38147</v>
      </c>
      <c r="E24176" s="8">
        <f t="shared" si="401"/>
        <v>2004</v>
      </c>
      <c r="F24176" t="s">
        <v>3897</v>
      </c>
      <c r="G24176" s="9">
        <v>11775</v>
      </c>
      <c r="H24176" s="8">
        <v>1865</v>
      </c>
    </row>
    <row r="24177" spans="2:8" ht="15" customHeight="1" x14ac:dyDescent="0.4">
      <c r="B24177" t="s">
        <v>7</v>
      </c>
      <c r="C24177" t="s">
        <v>3896</v>
      </c>
      <c r="D24177" s="7">
        <f>DATE(2005,10,11)</f>
        <v>38636</v>
      </c>
      <c r="E24177" s="8">
        <f t="shared" si="401"/>
        <v>2005</v>
      </c>
      <c r="F24177" t="s">
        <v>3897</v>
      </c>
      <c r="G24177" s="9">
        <v>12475</v>
      </c>
      <c r="H24177" s="8">
        <v>3473</v>
      </c>
    </row>
    <row r="24178" spans="2:8" ht="15" customHeight="1" x14ac:dyDescent="0.4">
      <c r="B24178" t="s">
        <v>7</v>
      </c>
      <c r="C24178" t="s">
        <v>3896</v>
      </c>
      <c r="D24178" s="7">
        <f>DATE(2005,10,14)</f>
        <v>38639</v>
      </c>
      <c r="E24178" s="8">
        <f t="shared" si="401"/>
        <v>2005</v>
      </c>
      <c r="F24178" t="s">
        <v>3897</v>
      </c>
      <c r="G24178" s="9">
        <v>12413.25</v>
      </c>
      <c r="H24178" s="8">
        <v>3474</v>
      </c>
    </row>
    <row r="24179" spans="2:8" ht="15" customHeight="1" x14ac:dyDescent="0.4">
      <c r="B24179" t="s">
        <v>7</v>
      </c>
      <c r="C24179" t="s">
        <v>3896</v>
      </c>
      <c r="D24179" s="7">
        <f>DATE(2007,7,31)</f>
        <v>39294</v>
      </c>
      <c r="E24179" s="8">
        <f t="shared" si="401"/>
        <v>2007</v>
      </c>
      <c r="F24179" t="s">
        <v>3897</v>
      </c>
      <c r="G24179" s="9">
        <v>7000</v>
      </c>
      <c r="H24179" s="8">
        <v>6230</v>
      </c>
    </row>
    <row r="24180" spans="2:8" ht="15" customHeight="1" x14ac:dyDescent="0.4">
      <c r="B24180" t="s">
        <v>7</v>
      </c>
      <c r="C24180" t="s">
        <v>3896</v>
      </c>
      <c r="D24180" s="7">
        <f>DATE(2008,2,23)</f>
        <v>39501</v>
      </c>
      <c r="E24180" s="8">
        <f t="shared" si="401"/>
        <v>2008</v>
      </c>
      <c r="F24180" t="s">
        <v>3897</v>
      </c>
      <c r="G24180" s="9">
        <v>11300</v>
      </c>
      <c r="H24180" s="8">
        <v>7090</v>
      </c>
    </row>
    <row r="24181" spans="2:8" ht="15" customHeight="1" x14ac:dyDescent="0.4">
      <c r="B24181" t="s">
        <v>7</v>
      </c>
      <c r="C24181" t="s">
        <v>3896</v>
      </c>
      <c r="D24181" s="7">
        <f>DATE(2012,1,5)</f>
        <v>40913</v>
      </c>
      <c r="E24181" s="8">
        <f t="shared" si="401"/>
        <v>2012</v>
      </c>
      <c r="F24181" t="s">
        <v>3897</v>
      </c>
      <c r="G24181" s="9">
        <v>13895</v>
      </c>
      <c r="H24181" s="8">
        <v>11206</v>
      </c>
    </row>
    <row r="24182" spans="2:8" ht="15" customHeight="1" x14ac:dyDescent="0.4">
      <c r="B24182" t="s">
        <v>7</v>
      </c>
      <c r="C24182" t="s">
        <v>3896</v>
      </c>
      <c r="D24182" s="7">
        <f>DATE(2012,1,5)</f>
        <v>40913</v>
      </c>
      <c r="E24182" s="8">
        <f t="shared" si="401"/>
        <v>2012</v>
      </c>
      <c r="F24182" t="s">
        <v>3897</v>
      </c>
      <c r="G24182" s="9">
        <v>6584.29</v>
      </c>
      <c r="H24182" s="8">
        <v>11207</v>
      </c>
    </row>
    <row r="24183" spans="2:8" ht="15" customHeight="1" x14ac:dyDescent="0.4">
      <c r="B24183" t="s">
        <v>7</v>
      </c>
      <c r="C24183" t="s">
        <v>3896</v>
      </c>
      <c r="D24183" s="7">
        <f>DATE(2012,1,12)</f>
        <v>40920</v>
      </c>
      <c r="E24183" s="8">
        <f t="shared" si="401"/>
        <v>2012</v>
      </c>
      <c r="F24183" t="s">
        <v>3897</v>
      </c>
      <c r="G24183" s="9">
        <v>5824.28</v>
      </c>
      <c r="H24183" s="8">
        <v>11244</v>
      </c>
    </row>
    <row r="24184" spans="2:8" ht="15" customHeight="1" x14ac:dyDescent="0.4">
      <c r="B24184" t="s">
        <v>16</v>
      </c>
      <c r="C24184" t="s">
        <v>3896</v>
      </c>
      <c r="D24184" s="7">
        <f>DATE(2012,1,12)</f>
        <v>40920</v>
      </c>
      <c r="E24184" s="8">
        <f t="shared" si="401"/>
        <v>2012</v>
      </c>
      <c r="F24184" t="s">
        <v>3897</v>
      </c>
      <c r="G24184" s="9">
        <v>6584.29</v>
      </c>
      <c r="H24184" s="8">
        <v>11243</v>
      </c>
    </row>
    <row r="24185" spans="2:8" ht="15" customHeight="1" x14ac:dyDescent="0.4">
      <c r="B24185" s="3" t="s">
        <v>7</v>
      </c>
      <c r="C24185" s="3" t="s">
        <v>3896</v>
      </c>
      <c r="D24185" s="4">
        <f>DATE(2008,2,22)</f>
        <v>39500</v>
      </c>
      <c r="E24185" s="5">
        <f t="shared" si="401"/>
        <v>2008</v>
      </c>
      <c r="F24185" s="3" t="s">
        <v>3897</v>
      </c>
      <c r="G24185" s="6">
        <v>5700</v>
      </c>
      <c r="H24185" s="5">
        <v>10031</v>
      </c>
    </row>
    <row r="24186" spans="2:8" ht="15" customHeight="1" x14ac:dyDescent="0.4">
      <c r="B24186" s="3" t="s">
        <v>7</v>
      </c>
      <c r="C24186" s="3" t="s">
        <v>3896</v>
      </c>
      <c r="D24186" s="4">
        <f>DATE(2011,9,29)</f>
        <v>40815</v>
      </c>
      <c r="E24186" s="5">
        <f t="shared" si="401"/>
        <v>2011</v>
      </c>
      <c r="F24186" s="3" t="s">
        <v>3897</v>
      </c>
      <c r="G24186" s="6">
        <v>434</v>
      </c>
      <c r="H24186" s="5">
        <v>16044</v>
      </c>
    </row>
    <row r="24187" spans="2:8" ht="15" customHeight="1" x14ac:dyDescent="0.4">
      <c r="B24187" s="3" t="s">
        <v>7</v>
      </c>
      <c r="C24187" s="3" t="s">
        <v>3896</v>
      </c>
      <c r="D24187" s="4">
        <f>DATE(2012,1,11)</f>
        <v>40919</v>
      </c>
      <c r="E24187" s="5">
        <f t="shared" si="401"/>
        <v>2012</v>
      </c>
      <c r="F24187" s="3" t="s">
        <v>3897</v>
      </c>
      <c r="G24187" s="6">
        <v>221.5</v>
      </c>
      <c r="H24187" s="5">
        <v>16355</v>
      </c>
    </row>
    <row r="24188" spans="2:8" ht="15" customHeight="1" x14ac:dyDescent="0.4">
      <c r="B24188" t="s">
        <v>7</v>
      </c>
      <c r="C24188" t="s">
        <v>3898</v>
      </c>
      <c r="D24188" s="7">
        <f>DATE(2018,2,14)</f>
        <v>43145</v>
      </c>
      <c r="E24188" s="8">
        <f t="shared" si="401"/>
        <v>2018</v>
      </c>
      <c r="F24188" t="s">
        <v>3899</v>
      </c>
      <c r="G24188" s="9">
        <v>1132.97</v>
      </c>
      <c r="H24188" s="8">
        <v>26456</v>
      </c>
    </row>
    <row r="24189" spans="2:8" ht="15" customHeight="1" x14ac:dyDescent="0.4">
      <c r="B24189" t="s">
        <v>7</v>
      </c>
      <c r="C24189" t="s">
        <v>3898</v>
      </c>
      <c r="D24189" s="7">
        <f>DATE(2016,9,14)</f>
        <v>42627</v>
      </c>
      <c r="E24189" s="8">
        <f t="shared" si="401"/>
        <v>2016</v>
      </c>
      <c r="F24189" t="s">
        <v>3899</v>
      </c>
      <c r="G24189" s="9">
        <v>5079.18</v>
      </c>
      <c r="H24189" s="8">
        <v>23449</v>
      </c>
    </row>
    <row r="24190" spans="2:8" ht="15" customHeight="1" x14ac:dyDescent="0.4">
      <c r="B24190" s="3" t="s">
        <v>7</v>
      </c>
      <c r="C24190" s="3" t="s">
        <v>3898</v>
      </c>
      <c r="D24190" s="4">
        <f>DATE(2011,11,16)</f>
        <v>40863</v>
      </c>
      <c r="E24190" s="5">
        <f t="shared" si="401"/>
        <v>2011</v>
      </c>
      <c r="F24190" s="3" t="s">
        <v>3899</v>
      </c>
      <c r="G24190" s="6">
        <v>955</v>
      </c>
      <c r="H24190" s="5">
        <v>16217</v>
      </c>
    </row>
    <row r="24191" spans="2:8" ht="15" customHeight="1" x14ac:dyDescent="0.4">
      <c r="B24191" t="s">
        <v>7</v>
      </c>
      <c r="C24191" t="s">
        <v>3900</v>
      </c>
      <c r="D24191" s="7">
        <f>DATE(2003,1,28)</f>
        <v>37649</v>
      </c>
      <c r="E24191" s="8">
        <f t="shared" si="401"/>
        <v>2003</v>
      </c>
      <c r="F24191" t="s">
        <v>3901</v>
      </c>
      <c r="G24191" s="9">
        <v>3302.75</v>
      </c>
      <c r="H24191" s="8">
        <v>131</v>
      </c>
    </row>
    <row r="24192" spans="2:8" ht="15" customHeight="1" x14ac:dyDescent="0.4">
      <c r="B24192" t="s">
        <v>7</v>
      </c>
      <c r="C24192" t="s">
        <v>3900</v>
      </c>
      <c r="D24192" s="7">
        <f>DATE(2003,12,31)</f>
        <v>37986</v>
      </c>
      <c r="E24192" s="8">
        <f t="shared" si="401"/>
        <v>2003</v>
      </c>
      <c r="F24192" t="s">
        <v>3901</v>
      </c>
      <c r="G24192" s="9">
        <v>3136.89</v>
      </c>
      <c r="H24192" s="8">
        <v>1105</v>
      </c>
    </row>
    <row r="24193" spans="2:8" ht="15" customHeight="1" x14ac:dyDescent="0.4">
      <c r="B24193" t="s">
        <v>7</v>
      </c>
      <c r="C24193" t="s">
        <v>3900</v>
      </c>
      <c r="D24193" s="7">
        <f>DATE(2004,1,18)</f>
        <v>38004</v>
      </c>
      <c r="E24193" s="8">
        <f t="shared" si="401"/>
        <v>2004</v>
      </c>
      <c r="F24193" t="s">
        <v>3901</v>
      </c>
      <c r="G24193" s="9">
        <v>3066.9</v>
      </c>
      <c r="H24193" s="8">
        <v>1149</v>
      </c>
    </row>
    <row r="24194" spans="2:8" ht="15" customHeight="1" x14ac:dyDescent="0.4">
      <c r="B24194" t="s">
        <v>7</v>
      </c>
      <c r="C24194" t="s">
        <v>3900</v>
      </c>
      <c r="D24194" s="7">
        <f>DATE(2004,2,7)</f>
        <v>38024</v>
      </c>
      <c r="E24194" s="8">
        <f t="shared" si="401"/>
        <v>2004</v>
      </c>
      <c r="F24194" t="s">
        <v>3901</v>
      </c>
      <c r="G24194" s="9">
        <v>2567.02</v>
      </c>
      <c r="H24194" s="8">
        <v>1204</v>
      </c>
    </row>
    <row r="24195" spans="2:8" ht="15" customHeight="1" x14ac:dyDescent="0.4">
      <c r="B24195" t="s">
        <v>7</v>
      </c>
      <c r="C24195" t="s">
        <v>3900</v>
      </c>
      <c r="D24195" s="7">
        <f>DATE(2004,3,9)</f>
        <v>38055</v>
      </c>
      <c r="E24195" s="8">
        <f t="shared" ref="E24195:E24258" si="402">YEAR(D24195)</f>
        <v>2004</v>
      </c>
      <c r="F24195" t="s">
        <v>3901</v>
      </c>
      <c r="G24195" s="9">
        <v>2727.84</v>
      </c>
      <c r="H24195" s="8">
        <v>1494</v>
      </c>
    </row>
    <row r="24196" spans="2:8" ht="15" customHeight="1" x14ac:dyDescent="0.4">
      <c r="B24196" t="s">
        <v>7</v>
      </c>
      <c r="C24196" t="s">
        <v>3900</v>
      </c>
      <c r="D24196" s="7">
        <f>DATE(2004,4,4)</f>
        <v>38081</v>
      </c>
      <c r="E24196" s="8">
        <f t="shared" si="402"/>
        <v>2004</v>
      </c>
      <c r="F24196" t="s">
        <v>3901</v>
      </c>
      <c r="G24196" s="9">
        <v>41000</v>
      </c>
      <c r="H24196" s="8">
        <v>1631</v>
      </c>
    </row>
    <row r="24197" spans="2:8" ht="15" customHeight="1" x14ac:dyDescent="0.4">
      <c r="B24197" t="s">
        <v>7</v>
      </c>
      <c r="C24197" t="s">
        <v>3900</v>
      </c>
      <c r="D24197" s="7">
        <f>DATE(2004,10,28)</f>
        <v>38288</v>
      </c>
      <c r="E24197" s="8">
        <f t="shared" si="402"/>
        <v>2004</v>
      </c>
      <c r="F24197" t="s">
        <v>3901</v>
      </c>
      <c r="G24197" s="9">
        <v>4015.34</v>
      </c>
      <c r="H24197" s="8">
        <v>2318</v>
      </c>
    </row>
    <row r="24198" spans="2:8" ht="15" customHeight="1" x14ac:dyDescent="0.4">
      <c r="B24198" t="s">
        <v>7</v>
      </c>
      <c r="C24198" t="s">
        <v>3900</v>
      </c>
      <c r="D24198" s="7">
        <f>DATE(2005,1,10)</f>
        <v>38362</v>
      </c>
      <c r="E24198" s="8">
        <f t="shared" si="402"/>
        <v>2005</v>
      </c>
      <c r="F24198" t="s">
        <v>3901</v>
      </c>
      <c r="G24198" s="9">
        <v>3430.37</v>
      </c>
      <c r="H24198" s="8">
        <v>2409</v>
      </c>
    </row>
    <row r="24199" spans="2:8" ht="15" customHeight="1" x14ac:dyDescent="0.4">
      <c r="B24199" t="s">
        <v>7</v>
      </c>
      <c r="C24199" t="s">
        <v>3900</v>
      </c>
      <c r="D24199" s="7">
        <f>DATE(2005,4,24)</f>
        <v>38466</v>
      </c>
      <c r="E24199" s="8">
        <f t="shared" si="402"/>
        <v>2005</v>
      </c>
      <c r="F24199" t="s">
        <v>3901</v>
      </c>
      <c r="G24199" s="9">
        <v>41120</v>
      </c>
      <c r="H24199" s="8">
        <v>2999</v>
      </c>
    </row>
    <row r="24200" spans="2:8" ht="15" customHeight="1" x14ac:dyDescent="0.4">
      <c r="B24200" t="s">
        <v>7</v>
      </c>
      <c r="C24200" t="s">
        <v>3900</v>
      </c>
      <c r="D24200" s="7">
        <f>DATE(2005,9,16)</f>
        <v>38611</v>
      </c>
      <c r="E24200" s="8">
        <f t="shared" si="402"/>
        <v>2005</v>
      </c>
      <c r="F24200" t="s">
        <v>3901</v>
      </c>
      <c r="G24200" s="9">
        <v>5031.33</v>
      </c>
      <c r="H24200" s="8">
        <v>3593</v>
      </c>
    </row>
    <row r="24201" spans="2:8" ht="15" customHeight="1" x14ac:dyDescent="0.4">
      <c r="B24201" t="s">
        <v>7</v>
      </c>
      <c r="C24201" t="s">
        <v>3900</v>
      </c>
      <c r="D24201" s="7">
        <f>DATE(2005,10,29)</f>
        <v>38654</v>
      </c>
      <c r="E24201" s="8">
        <f t="shared" si="402"/>
        <v>2005</v>
      </c>
      <c r="F24201" t="s">
        <v>3901</v>
      </c>
      <c r="G24201" s="9">
        <v>5551.32</v>
      </c>
      <c r="H24201" s="8">
        <v>3704</v>
      </c>
    </row>
    <row r="24202" spans="2:8" ht="15" customHeight="1" x14ac:dyDescent="0.4">
      <c r="B24202" t="s">
        <v>7</v>
      </c>
      <c r="C24202" t="s">
        <v>3900</v>
      </c>
      <c r="D24202" s="7">
        <f>DATE(2005,11,12)</f>
        <v>38668</v>
      </c>
      <c r="E24202" s="8">
        <f t="shared" si="402"/>
        <v>2005</v>
      </c>
      <c r="F24202" t="s">
        <v>3901</v>
      </c>
      <c r="G24202" s="9">
        <v>2900.73</v>
      </c>
      <c r="H24202" s="8">
        <v>3751</v>
      </c>
    </row>
    <row r="24203" spans="2:8" ht="15" customHeight="1" x14ac:dyDescent="0.4">
      <c r="B24203" t="s">
        <v>7</v>
      </c>
      <c r="C24203" t="s">
        <v>3900</v>
      </c>
      <c r="D24203" s="7">
        <f>DATE(2005,12,10)</f>
        <v>38696</v>
      </c>
      <c r="E24203" s="8">
        <f t="shared" si="402"/>
        <v>2005</v>
      </c>
      <c r="F24203" t="s">
        <v>3901</v>
      </c>
      <c r="G24203" s="9">
        <v>5363.77</v>
      </c>
      <c r="H24203" s="8">
        <v>3829</v>
      </c>
    </row>
    <row r="24204" spans="2:8" ht="15" customHeight="1" x14ac:dyDescent="0.4">
      <c r="B24204" t="s">
        <v>7</v>
      </c>
      <c r="C24204" t="s">
        <v>3900</v>
      </c>
      <c r="D24204" s="7">
        <f>DATE(2005,12,21)</f>
        <v>38707</v>
      </c>
      <c r="E24204" s="8">
        <f t="shared" si="402"/>
        <v>2005</v>
      </c>
      <c r="F24204" t="s">
        <v>3901</v>
      </c>
      <c r="G24204" s="9">
        <v>3376.45</v>
      </c>
      <c r="H24204" s="8">
        <v>3879</v>
      </c>
    </row>
    <row r="24205" spans="2:8" ht="15" customHeight="1" x14ac:dyDescent="0.4">
      <c r="B24205" t="s">
        <v>7</v>
      </c>
      <c r="C24205" t="s">
        <v>3900</v>
      </c>
      <c r="D24205" s="7">
        <f>DATE(2006,6,8)</f>
        <v>38876</v>
      </c>
      <c r="E24205" s="8">
        <f t="shared" si="402"/>
        <v>2006</v>
      </c>
      <c r="F24205" t="s">
        <v>3901</v>
      </c>
      <c r="G24205" s="9">
        <v>4818.6899999999996</v>
      </c>
      <c r="H24205" s="8">
        <v>4676</v>
      </c>
    </row>
    <row r="24206" spans="2:8" ht="15" customHeight="1" x14ac:dyDescent="0.4">
      <c r="B24206" t="s">
        <v>7</v>
      </c>
      <c r="C24206" t="s">
        <v>3900</v>
      </c>
      <c r="D24206" s="7">
        <f>DATE(2006,6,27)</f>
        <v>38895</v>
      </c>
      <c r="E24206" s="8">
        <f t="shared" si="402"/>
        <v>2006</v>
      </c>
      <c r="F24206" t="s">
        <v>3901</v>
      </c>
      <c r="G24206" s="9">
        <v>41000</v>
      </c>
      <c r="H24206" s="8">
        <v>4688</v>
      </c>
    </row>
    <row r="24207" spans="2:8" ht="15" customHeight="1" x14ac:dyDescent="0.4">
      <c r="B24207" t="s">
        <v>7</v>
      </c>
      <c r="C24207" t="s">
        <v>3900</v>
      </c>
      <c r="D24207" s="7">
        <f>DATE(2006,10,4)</f>
        <v>38994</v>
      </c>
      <c r="E24207" s="8">
        <f t="shared" si="402"/>
        <v>2006</v>
      </c>
      <c r="F24207" t="s">
        <v>3901</v>
      </c>
      <c r="G24207" s="9">
        <v>3991.08</v>
      </c>
      <c r="H24207" s="8">
        <v>5058</v>
      </c>
    </row>
    <row r="24208" spans="2:8" ht="15" customHeight="1" x14ac:dyDescent="0.4">
      <c r="B24208" t="s">
        <v>7</v>
      </c>
      <c r="C24208" t="s">
        <v>3900</v>
      </c>
      <c r="D24208" s="7">
        <f>DATE(2006,11,4)</f>
        <v>39025</v>
      </c>
      <c r="E24208" s="8">
        <f t="shared" si="402"/>
        <v>2006</v>
      </c>
      <c r="F24208" t="s">
        <v>3901</v>
      </c>
      <c r="G24208" s="9">
        <v>18260</v>
      </c>
      <c r="H24208" s="8">
        <v>5098</v>
      </c>
    </row>
    <row r="24209" spans="2:8" ht="15" customHeight="1" x14ac:dyDescent="0.4">
      <c r="B24209" t="s">
        <v>7</v>
      </c>
      <c r="C24209" t="s">
        <v>3900</v>
      </c>
      <c r="D24209" s="7">
        <f>DATE(2007,5,1)</f>
        <v>39203</v>
      </c>
      <c r="E24209" s="8">
        <f t="shared" si="402"/>
        <v>2007</v>
      </c>
      <c r="F24209" t="s">
        <v>3901</v>
      </c>
      <c r="G24209" s="9">
        <v>48375</v>
      </c>
      <c r="H24209" s="8">
        <v>5783</v>
      </c>
    </row>
    <row r="24210" spans="2:8" ht="15" customHeight="1" x14ac:dyDescent="0.4">
      <c r="B24210" t="s">
        <v>7</v>
      </c>
      <c r="C24210" t="s">
        <v>3900</v>
      </c>
      <c r="D24210" s="7">
        <f>DATE(2007,5,1)</f>
        <v>39203</v>
      </c>
      <c r="E24210" s="8">
        <f t="shared" si="402"/>
        <v>2007</v>
      </c>
      <c r="F24210" t="s">
        <v>3901</v>
      </c>
      <c r="G24210" s="9">
        <v>5527.62</v>
      </c>
      <c r="H24210" s="8">
        <v>6072</v>
      </c>
    </row>
    <row r="24211" spans="2:8" ht="15" customHeight="1" x14ac:dyDescent="0.4">
      <c r="B24211" t="s">
        <v>7</v>
      </c>
      <c r="C24211" t="s">
        <v>3900</v>
      </c>
      <c r="D24211" s="7">
        <f>DATE(2007,7,20)</f>
        <v>39283</v>
      </c>
      <c r="E24211" s="8">
        <f t="shared" si="402"/>
        <v>2007</v>
      </c>
      <c r="F24211" t="s">
        <v>3901</v>
      </c>
      <c r="G24211" s="9">
        <v>51375</v>
      </c>
      <c r="H24211" s="8">
        <v>6172</v>
      </c>
    </row>
    <row r="24212" spans="2:8" ht="15" customHeight="1" x14ac:dyDescent="0.4">
      <c r="B24212" t="s">
        <v>7</v>
      </c>
      <c r="C24212" t="s">
        <v>3900</v>
      </c>
      <c r="D24212" s="7">
        <f>DATE(2008,1,10)</f>
        <v>39457</v>
      </c>
      <c r="E24212" s="8">
        <f t="shared" si="402"/>
        <v>2008</v>
      </c>
      <c r="F24212" t="s">
        <v>3901</v>
      </c>
      <c r="G24212" s="9">
        <v>4103.07</v>
      </c>
      <c r="H24212" s="8">
        <v>6750</v>
      </c>
    </row>
    <row r="24213" spans="2:8" ht="15" customHeight="1" x14ac:dyDescent="0.4">
      <c r="B24213" t="s">
        <v>7</v>
      </c>
      <c r="C24213" t="s">
        <v>3900</v>
      </c>
      <c r="D24213" s="7">
        <f>DATE(2008,4,4)</f>
        <v>39542</v>
      </c>
      <c r="E24213" s="8">
        <f t="shared" si="402"/>
        <v>2008</v>
      </c>
      <c r="F24213" t="s">
        <v>3901</v>
      </c>
      <c r="G24213" s="9">
        <v>3435.5</v>
      </c>
      <c r="H24213" s="8">
        <v>7259</v>
      </c>
    </row>
    <row r="24214" spans="2:8" ht="15" customHeight="1" x14ac:dyDescent="0.4">
      <c r="B24214" t="s">
        <v>7</v>
      </c>
      <c r="C24214" t="s">
        <v>3900</v>
      </c>
      <c r="D24214" s="7">
        <f>DATE(2008,6,23)</f>
        <v>39622</v>
      </c>
      <c r="E24214" s="8">
        <f t="shared" si="402"/>
        <v>2008</v>
      </c>
      <c r="F24214" t="s">
        <v>3901</v>
      </c>
      <c r="G24214" s="9">
        <v>160115.81</v>
      </c>
      <c r="H24214" s="8">
        <v>7257</v>
      </c>
    </row>
    <row r="24215" spans="2:8" ht="15" customHeight="1" x14ac:dyDescent="0.4">
      <c r="B24215" t="s">
        <v>7</v>
      </c>
      <c r="C24215" t="s">
        <v>3900</v>
      </c>
      <c r="D24215" s="7">
        <f>DATE(2008,7,1)</f>
        <v>39630</v>
      </c>
      <c r="E24215" s="8">
        <f t="shared" si="402"/>
        <v>2008</v>
      </c>
      <c r="F24215" t="s">
        <v>3901</v>
      </c>
      <c r="G24215" s="9">
        <v>40510.15</v>
      </c>
      <c r="H24215" s="8">
        <v>7523</v>
      </c>
    </row>
    <row r="24216" spans="2:8" ht="15" customHeight="1" x14ac:dyDescent="0.4">
      <c r="B24216" t="s">
        <v>7</v>
      </c>
      <c r="C24216" t="s">
        <v>3900</v>
      </c>
      <c r="D24216" s="7">
        <f>DATE(2008,8,1)</f>
        <v>39661</v>
      </c>
      <c r="E24216" s="8">
        <f t="shared" si="402"/>
        <v>2008</v>
      </c>
      <c r="F24216" t="s">
        <v>3901</v>
      </c>
      <c r="G24216" s="9">
        <v>20835</v>
      </c>
      <c r="H24216" s="8">
        <v>7550</v>
      </c>
    </row>
    <row r="24217" spans="2:8" ht="15" customHeight="1" x14ac:dyDescent="0.4">
      <c r="B24217" t="s">
        <v>7</v>
      </c>
      <c r="C24217" t="s">
        <v>3900</v>
      </c>
      <c r="D24217" s="7">
        <f>DATE(2008,12,3)</f>
        <v>39785</v>
      </c>
      <c r="E24217" s="8">
        <f t="shared" si="402"/>
        <v>2008</v>
      </c>
      <c r="F24217" t="s">
        <v>3901</v>
      </c>
      <c r="G24217" s="9">
        <v>3659.95</v>
      </c>
      <c r="H24217" s="8">
        <v>8067</v>
      </c>
    </row>
    <row r="24218" spans="2:8" ht="15" customHeight="1" x14ac:dyDescent="0.4">
      <c r="B24218" t="s">
        <v>7</v>
      </c>
      <c r="C24218" t="s">
        <v>3900</v>
      </c>
      <c r="D24218" s="7">
        <f>DATE(2009,4,2)</f>
        <v>39905</v>
      </c>
      <c r="E24218" s="8">
        <f t="shared" si="402"/>
        <v>2009</v>
      </c>
      <c r="F24218" t="s">
        <v>3901</v>
      </c>
      <c r="G24218" s="9">
        <v>3454.19</v>
      </c>
      <c r="H24218" s="8">
        <v>8510</v>
      </c>
    </row>
    <row r="24219" spans="2:8" ht="15" customHeight="1" x14ac:dyDescent="0.4">
      <c r="B24219" t="s">
        <v>7</v>
      </c>
      <c r="C24219" t="s">
        <v>3900</v>
      </c>
      <c r="D24219" s="7">
        <f>DATE(2009,4,20)</f>
        <v>39923</v>
      </c>
      <c r="E24219" s="8">
        <f t="shared" si="402"/>
        <v>2009</v>
      </c>
      <c r="F24219" t="s">
        <v>3901</v>
      </c>
      <c r="G24219" s="9">
        <v>3087.72</v>
      </c>
      <c r="H24219" s="8">
        <v>8605</v>
      </c>
    </row>
    <row r="24220" spans="2:8" ht="15" customHeight="1" x14ac:dyDescent="0.4">
      <c r="B24220" t="s">
        <v>7</v>
      </c>
      <c r="C24220" t="s">
        <v>3900</v>
      </c>
      <c r="D24220" s="7">
        <f>DATE(2009,12,15)</f>
        <v>40162</v>
      </c>
      <c r="E24220" s="8">
        <f t="shared" si="402"/>
        <v>2009</v>
      </c>
      <c r="F24220" t="s">
        <v>3901</v>
      </c>
      <c r="G24220" s="9">
        <v>6131.09</v>
      </c>
      <c r="H24220" s="8">
        <v>9283</v>
      </c>
    </row>
    <row r="24221" spans="2:8" ht="15" customHeight="1" x14ac:dyDescent="0.4">
      <c r="B24221" t="s">
        <v>7</v>
      </c>
      <c r="C24221" t="s">
        <v>3900</v>
      </c>
      <c r="D24221" s="7">
        <f>DATE(2010,1,8)</f>
        <v>40186</v>
      </c>
      <c r="E24221" s="8">
        <f t="shared" si="402"/>
        <v>2010</v>
      </c>
      <c r="F24221" t="s">
        <v>3901</v>
      </c>
      <c r="G24221" s="9">
        <v>4058.62</v>
      </c>
      <c r="H24221" s="8">
        <v>9349</v>
      </c>
    </row>
    <row r="24222" spans="2:8" ht="15" customHeight="1" x14ac:dyDescent="0.4">
      <c r="B24222" t="s">
        <v>7</v>
      </c>
      <c r="C24222" t="s">
        <v>3900</v>
      </c>
      <c r="D24222" s="7">
        <f>DATE(2010,1,15)</f>
        <v>40193</v>
      </c>
      <c r="E24222" s="8">
        <f t="shared" si="402"/>
        <v>2010</v>
      </c>
      <c r="F24222" t="s">
        <v>3901</v>
      </c>
      <c r="G24222" s="9">
        <v>3891.01</v>
      </c>
      <c r="H24222" s="8">
        <v>9342</v>
      </c>
    </row>
    <row r="24223" spans="2:8" ht="15" customHeight="1" x14ac:dyDescent="0.4">
      <c r="B24223" t="s">
        <v>7</v>
      </c>
      <c r="C24223" t="s">
        <v>3900</v>
      </c>
      <c r="D24223" s="7">
        <f>DATE(2011,2,14)</f>
        <v>40588</v>
      </c>
      <c r="E24223" s="8">
        <f t="shared" si="402"/>
        <v>2011</v>
      </c>
      <c r="F24223" t="s">
        <v>3901</v>
      </c>
      <c r="G24223" s="9">
        <v>4267.63</v>
      </c>
      <c r="H24223" s="8">
        <v>10460</v>
      </c>
    </row>
    <row r="24224" spans="2:8" ht="15" customHeight="1" x14ac:dyDescent="0.4">
      <c r="B24224" t="s">
        <v>7</v>
      </c>
      <c r="C24224" t="s">
        <v>3900</v>
      </c>
      <c r="D24224" s="7">
        <f>DATE(2013,5,7)</f>
        <v>41401</v>
      </c>
      <c r="E24224" s="8">
        <f t="shared" si="402"/>
        <v>2013</v>
      </c>
      <c r="F24224" t="s">
        <v>3901</v>
      </c>
      <c r="G24224" s="9">
        <v>5851.82</v>
      </c>
      <c r="H24224" s="8">
        <v>12048</v>
      </c>
    </row>
    <row r="24225" spans="2:8" ht="15" customHeight="1" x14ac:dyDescent="0.4">
      <c r="B24225" s="3" t="s">
        <v>7</v>
      </c>
      <c r="C24225" s="3" t="s">
        <v>3900</v>
      </c>
      <c r="D24225" s="4">
        <f>DATE(2003,5,7)</f>
        <v>37748</v>
      </c>
      <c r="E24225" s="5">
        <f t="shared" si="402"/>
        <v>2003</v>
      </c>
      <c r="F24225" s="3" t="s">
        <v>3901</v>
      </c>
      <c r="G24225" s="6">
        <v>45006.8</v>
      </c>
      <c r="H24225" s="5">
        <v>96</v>
      </c>
    </row>
    <row r="24226" spans="2:8" ht="15" customHeight="1" x14ac:dyDescent="0.4">
      <c r="B24226" s="3" t="s">
        <v>7</v>
      </c>
      <c r="C24226" s="3" t="s">
        <v>3900</v>
      </c>
      <c r="D24226" s="4">
        <f>DATE(2010,10,14)</f>
        <v>40465</v>
      </c>
      <c r="E24226" s="5">
        <f t="shared" si="402"/>
        <v>2010</v>
      </c>
      <c r="F24226" s="3" t="s">
        <v>3901</v>
      </c>
      <c r="G24226" s="6">
        <v>2063.06</v>
      </c>
      <c r="H24226" s="5">
        <v>14614</v>
      </c>
    </row>
    <row r="24227" spans="2:8" ht="15" customHeight="1" x14ac:dyDescent="0.4">
      <c r="B24227" t="s">
        <v>7</v>
      </c>
      <c r="C24227" t="s">
        <v>3902</v>
      </c>
      <c r="D24227" s="7">
        <f>DATE(2010,10,5)</f>
        <v>40456</v>
      </c>
      <c r="E24227" s="8">
        <f t="shared" si="402"/>
        <v>2010</v>
      </c>
      <c r="F24227" t="s">
        <v>3903</v>
      </c>
      <c r="G24227" s="9">
        <v>7991.57</v>
      </c>
      <c r="H24227" s="8">
        <v>10150</v>
      </c>
    </row>
    <row r="24228" spans="2:8" ht="15" customHeight="1" x14ac:dyDescent="0.4">
      <c r="B24228" t="s">
        <v>7</v>
      </c>
      <c r="C24228" t="s">
        <v>3902</v>
      </c>
      <c r="D24228" s="7">
        <f>DATE(2011,3,21)</f>
        <v>40623</v>
      </c>
      <c r="E24228" s="8">
        <f t="shared" si="402"/>
        <v>2011</v>
      </c>
      <c r="F24228" t="s">
        <v>3903</v>
      </c>
      <c r="G24228" s="9">
        <v>5645.32</v>
      </c>
      <c r="H24228" s="8">
        <v>10567</v>
      </c>
    </row>
    <row r="24229" spans="2:8" ht="15" customHeight="1" x14ac:dyDescent="0.4">
      <c r="B24229" t="s">
        <v>7</v>
      </c>
      <c r="C24229" t="s">
        <v>3902</v>
      </c>
      <c r="D24229" s="7">
        <f>DATE(2011,3,21)</f>
        <v>40623</v>
      </c>
      <c r="E24229" s="8">
        <f t="shared" si="402"/>
        <v>2011</v>
      </c>
      <c r="F24229" t="s">
        <v>3903</v>
      </c>
      <c r="G24229" s="9">
        <v>4928.79</v>
      </c>
      <c r="H24229" s="8">
        <v>10585</v>
      </c>
    </row>
    <row r="24230" spans="2:8" ht="15" customHeight="1" x14ac:dyDescent="0.4">
      <c r="B24230" t="s">
        <v>7</v>
      </c>
      <c r="C24230" t="s">
        <v>3902</v>
      </c>
      <c r="D24230" s="7">
        <f>DATE(2011,3,25)</f>
        <v>40627</v>
      </c>
      <c r="E24230" s="8">
        <f t="shared" si="402"/>
        <v>2011</v>
      </c>
      <c r="F24230" t="s">
        <v>3903</v>
      </c>
      <c r="G24230" s="9">
        <v>11329.88</v>
      </c>
      <c r="H24230" s="8">
        <v>10594</v>
      </c>
    </row>
    <row r="24231" spans="2:8" ht="15" customHeight="1" x14ac:dyDescent="0.4">
      <c r="B24231" t="s">
        <v>7</v>
      </c>
      <c r="C24231" t="s">
        <v>3902</v>
      </c>
      <c r="D24231" s="7">
        <f>DATE(2011,4,21)</f>
        <v>40654</v>
      </c>
      <c r="E24231" s="8">
        <f t="shared" si="402"/>
        <v>2011</v>
      </c>
      <c r="F24231" t="s">
        <v>3903</v>
      </c>
      <c r="G24231" s="9">
        <v>7766.24</v>
      </c>
      <c r="H24231" s="8">
        <v>10654</v>
      </c>
    </row>
    <row r="24232" spans="2:8" ht="15" customHeight="1" x14ac:dyDescent="0.4">
      <c r="B24232" t="s">
        <v>7</v>
      </c>
      <c r="C24232" t="s">
        <v>3902</v>
      </c>
      <c r="D24232" s="7">
        <f>DATE(2011,5,25)</f>
        <v>40688</v>
      </c>
      <c r="E24232" s="8">
        <f t="shared" si="402"/>
        <v>2011</v>
      </c>
      <c r="F24232" t="s">
        <v>3903</v>
      </c>
      <c r="G24232" s="9">
        <v>10194.86</v>
      </c>
      <c r="H24232" s="8">
        <v>10766</v>
      </c>
    </row>
    <row r="24233" spans="2:8" ht="15" customHeight="1" x14ac:dyDescent="0.4">
      <c r="B24233" t="s">
        <v>7</v>
      </c>
      <c r="C24233" t="s">
        <v>3902</v>
      </c>
      <c r="D24233" s="7">
        <f>DATE(2014,2,24)</f>
        <v>41694</v>
      </c>
      <c r="E24233" s="8">
        <f t="shared" si="402"/>
        <v>2014</v>
      </c>
      <c r="F24233" t="s">
        <v>3903</v>
      </c>
      <c r="G24233" s="9">
        <v>13456.08</v>
      </c>
      <c r="H24233" s="8">
        <v>12950</v>
      </c>
    </row>
    <row r="24234" spans="2:8" ht="15" customHeight="1" x14ac:dyDescent="0.4">
      <c r="B24234" s="3" t="s">
        <v>7</v>
      </c>
      <c r="C24234" s="3" t="s">
        <v>3902</v>
      </c>
      <c r="D24234" s="4">
        <f>DATE(2012,2,29)</f>
        <v>40968</v>
      </c>
      <c r="E24234" s="5">
        <f t="shared" si="402"/>
        <v>2012</v>
      </c>
      <c r="F24234" s="3" t="s">
        <v>3903</v>
      </c>
      <c r="G24234" s="6">
        <v>1844.38</v>
      </c>
      <c r="H24234" s="5">
        <v>16565</v>
      </c>
    </row>
    <row r="24235" spans="2:8" ht="15" customHeight="1" x14ac:dyDescent="0.4">
      <c r="B24235" s="3" t="s">
        <v>7</v>
      </c>
      <c r="C24235" s="3" t="s">
        <v>3303</v>
      </c>
      <c r="D24235" s="4">
        <f>DATE(2005,3,18)</f>
        <v>38429</v>
      </c>
      <c r="E24235" s="5">
        <f t="shared" si="402"/>
        <v>2005</v>
      </c>
      <c r="F24235" s="3" t="s">
        <v>3904</v>
      </c>
      <c r="G24235" s="6">
        <v>2853.22</v>
      </c>
      <c r="H24235" s="5">
        <v>4359</v>
      </c>
    </row>
    <row r="24236" spans="2:8" ht="15" customHeight="1" x14ac:dyDescent="0.4">
      <c r="B24236" t="s">
        <v>7</v>
      </c>
      <c r="C24236" t="s">
        <v>3303</v>
      </c>
      <c r="D24236" s="7">
        <f>DATE(2016,3,11)</f>
        <v>42440</v>
      </c>
      <c r="E24236" s="8">
        <f t="shared" si="402"/>
        <v>2016</v>
      </c>
      <c r="F24236" t="s">
        <v>3905</v>
      </c>
      <c r="G24236" s="9">
        <v>9595</v>
      </c>
      <c r="H24236" s="8">
        <v>22261</v>
      </c>
    </row>
    <row r="24237" spans="2:8" ht="15" customHeight="1" x14ac:dyDescent="0.4">
      <c r="B24237" t="s">
        <v>7</v>
      </c>
      <c r="C24237" t="s">
        <v>3303</v>
      </c>
      <c r="D24237" s="7">
        <f>DATE(2016,3,11)</f>
        <v>42440</v>
      </c>
      <c r="E24237" s="8">
        <f t="shared" si="402"/>
        <v>2016</v>
      </c>
      <c r="F24237" t="s">
        <v>3905</v>
      </c>
      <c r="G24237" s="9">
        <v>18700</v>
      </c>
      <c r="H24237" s="8">
        <v>22259</v>
      </c>
    </row>
    <row r="24238" spans="2:8" ht="15" customHeight="1" x14ac:dyDescent="0.4">
      <c r="B24238" t="s">
        <v>7</v>
      </c>
      <c r="C24238" t="s">
        <v>3303</v>
      </c>
      <c r="D24238" s="7">
        <f>DATE(2015,4,14)</f>
        <v>42108</v>
      </c>
      <c r="E24238" s="8">
        <f t="shared" si="402"/>
        <v>2015</v>
      </c>
      <c r="F24238" t="s">
        <v>3905</v>
      </c>
      <c r="G24238" s="9">
        <v>3175.66</v>
      </c>
      <c r="H24238" s="8">
        <v>20366</v>
      </c>
    </row>
    <row r="24239" spans="2:8" ht="15" customHeight="1" x14ac:dyDescent="0.4">
      <c r="B24239" t="s">
        <v>7</v>
      </c>
      <c r="C24239" t="s">
        <v>3303</v>
      </c>
      <c r="D24239" s="7">
        <f>DATE(2016,3,16)</f>
        <v>42445</v>
      </c>
      <c r="E24239" s="8">
        <f t="shared" si="402"/>
        <v>2016</v>
      </c>
      <c r="F24239" t="s">
        <v>3905</v>
      </c>
      <c r="G24239" s="9">
        <v>1588.06</v>
      </c>
      <c r="H24239" s="8">
        <v>22323</v>
      </c>
    </row>
    <row r="24240" spans="2:8" ht="15" customHeight="1" x14ac:dyDescent="0.4">
      <c r="B24240" t="s">
        <v>7</v>
      </c>
      <c r="C24240" t="s">
        <v>3303</v>
      </c>
      <c r="D24240" s="7">
        <f>DATE(2018,1,31)</f>
        <v>43131</v>
      </c>
      <c r="E24240" s="8">
        <f t="shared" si="402"/>
        <v>2018</v>
      </c>
      <c r="F24240" t="s">
        <v>3905</v>
      </c>
      <c r="G24240" s="9">
        <v>510</v>
      </c>
      <c r="H24240" s="8">
        <v>26248</v>
      </c>
    </row>
    <row r="24241" spans="2:8" ht="15" customHeight="1" x14ac:dyDescent="0.4">
      <c r="B24241" t="s">
        <v>7</v>
      </c>
      <c r="C24241" t="s">
        <v>3303</v>
      </c>
      <c r="D24241" s="7">
        <f>DATE(2018,2,16)</f>
        <v>43147</v>
      </c>
      <c r="E24241" s="8">
        <f t="shared" si="402"/>
        <v>2018</v>
      </c>
      <c r="F24241" t="s">
        <v>3905</v>
      </c>
      <c r="G24241" s="9">
        <v>1169</v>
      </c>
      <c r="H24241" s="8">
        <v>26482</v>
      </c>
    </row>
    <row r="24242" spans="2:8" ht="15" customHeight="1" x14ac:dyDescent="0.4">
      <c r="B24242" t="s">
        <v>7</v>
      </c>
      <c r="C24242" t="s">
        <v>3303</v>
      </c>
      <c r="D24242" s="7">
        <f>DATE(2018,2,21)</f>
        <v>43152</v>
      </c>
      <c r="E24242" s="8">
        <f t="shared" si="402"/>
        <v>2018</v>
      </c>
      <c r="F24242" t="s">
        <v>3905</v>
      </c>
      <c r="G24242" s="9">
        <v>1739.58</v>
      </c>
      <c r="H24242" s="8">
        <v>26505</v>
      </c>
    </row>
    <row r="24243" spans="2:8" ht="15" customHeight="1" x14ac:dyDescent="0.4">
      <c r="B24243" t="s">
        <v>7</v>
      </c>
      <c r="C24243" t="s">
        <v>3303</v>
      </c>
      <c r="D24243" s="7">
        <f>DATE(2018,3,12)</f>
        <v>43171</v>
      </c>
      <c r="E24243" s="8">
        <f t="shared" si="402"/>
        <v>2018</v>
      </c>
      <c r="F24243" t="s">
        <v>3905</v>
      </c>
      <c r="G24243" s="9">
        <v>550</v>
      </c>
      <c r="H24243" s="8">
        <v>26629</v>
      </c>
    </row>
    <row r="24244" spans="2:8" ht="15" customHeight="1" x14ac:dyDescent="0.4">
      <c r="B24244" t="s">
        <v>7</v>
      </c>
      <c r="C24244" t="s">
        <v>3303</v>
      </c>
      <c r="D24244" s="7">
        <f>DATE(2019,3,8)</f>
        <v>43532</v>
      </c>
      <c r="E24244" s="8">
        <f t="shared" si="402"/>
        <v>2019</v>
      </c>
      <c r="F24244" t="s">
        <v>3905</v>
      </c>
      <c r="G24244" s="9">
        <v>2671.51</v>
      </c>
      <c r="H24244" s="8">
        <v>28478</v>
      </c>
    </row>
    <row r="24245" spans="2:8" ht="15" customHeight="1" x14ac:dyDescent="0.4">
      <c r="B24245" t="s">
        <v>7</v>
      </c>
      <c r="C24245" t="s">
        <v>3303</v>
      </c>
      <c r="D24245" s="7">
        <f>DATE(2019,4,4)</f>
        <v>43559</v>
      </c>
      <c r="E24245" s="8">
        <f t="shared" si="402"/>
        <v>2019</v>
      </c>
      <c r="F24245" t="s">
        <v>3905</v>
      </c>
      <c r="G24245" s="9">
        <v>878.5</v>
      </c>
      <c r="H24245" s="8">
        <v>28756</v>
      </c>
    </row>
    <row r="24246" spans="2:8" ht="15" customHeight="1" x14ac:dyDescent="0.4">
      <c r="B24246" t="s">
        <v>16</v>
      </c>
      <c r="C24246" t="s">
        <v>3303</v>
      </c>
      <c r="D24246" s="7">
        <f>DATE(2016,7,19)</f>
        <v>42570</v>
      </c>
      <c r="E24246" s="8">
        <f t="shared" si="402"/>
        <v>2016</v>
      </c>
      <c r="F24246" t="s">
        <v>3905</v>
      </c>
      <c r="G24246" s="9">
        <v>100</v>
      </c>
      <c r="H24246" s="8">
        <v>23164</v>
      </c>
    </row>
    <row r="24247" spans="2:8" ht="15" customHeight="1" x14ac:dyDescent="0.4">
      <c r="B24247" t="s">
        <v>16</v>
      </c>
      <c r="C24247" t="s">
        <v>3303</v>
      </c>
      <c r="D24247" s="7">
        <f>DATE(2016,7,19)</f>
        <v>42570</v>
      </c>
      <c r="E24247" s="8">
        <f t="shared" si="402"/>
        <v>2016</v>
      </c>
      <c r="F24247" t="s">
        <v>3905</v>
      </c>
      <c r="G24247" s="9">
        <v>600</v>
      </c>
      <c r="H24247" s="8">
        <v>23166</v>
      </c>
    </row>
    <row r="24248" spans="2:8" ht="15" customHeight="1" x14ac:dyDescent="0.4">
      <c r="B24248" t="s">
        <v>7</v>
      </c>
      <c r="C24248" t="s">
        <v>3303</v>
      </c>
      <c r="D24248" s="7">
        <f>DATE(2011,12,7)</f>
        <v>40884</v>
      </c>
      <c r="E24248" s="8">
        <f t="shared" si="402"/>
        <v>2011</v>
      </c>
      <c r="F24248" t="s">
        <v>3905</v>
      </c>
      <c r="G24248" s="9">
        <v>2500</v>
      </c>
      <c r="H24248" s="8">
        <v>11106</v>
      </c>
    </row>
    <row r="24249" spans="2:8" ht="15" customHeight="1" x14ac:dyDescent="0.4">
      <c r="B24249" t="s">
        <v>7</v>
      </c>
      <c r="C24249" t="s">
        <v>3303</v>
      </c>
      <c r="D24249" s="7">
        <f>DATE(2011,4,22)</f>
        <v>40655</v>
      </c>
      <c r="E24249" s="8">
        <f t="shared" si="402"/>
        <v>2011</v>
      </c>
      <c r="F24249" t="s">
        <v>3905</v>
      </c>
      <c r="G24249" s="9">
        <v>15900.66</v>
      </c>
      <c r="H24249" s="8">
        <v>10672</v>
      </c>
    </row>
    <row r="24250" spans="2:8" ht="15" customHeight="1" x14ac:dyDescent="0.4">
      <c r="B24250" t="s">
        <v>7</v>
      </c>
      <c r="C24250" t="s">
        <v>3303</v>
      </c>
      <c r="D24250" s="7">
        <f>DATE(2012,4,18)</f>
        <v>41017</v>
      </c>
      <c r="E24250" s="8">
        <f t="shared" si="402"/>
        <v>2012</v>
      </c>
      <c r="F24250" t="s">
        <v>3905</v>
      </c>
      <c r="G24250" s="9">
        <v>139765</v>
      </c>
      <c r="H24250" s="8">
        <v>11432</v>
      </c>
    </row>
    <row r="24251" spans="2:8" ht="15" customHeight="1" x14ac:dyDescent="0.4">
      <c r="B24251" t="s">
        <v>7</v>
      </c>
      <c r="C24251" t="s">
        <v>3303</v>
      </c>
      <c r="D24251" s="7">
        <f>DATE(2013,11,6)</f>
        <v>41584</v>
      </c>
      <c r="E24251" s="8">
        <f t="shared" si="402"/>
        <v>2013</v>
      </c>
      <c r="F24251" t="s">
        <v>3905</v>
      </c>
      <c r="G24251" s="9">
        <v>123750</v>
      </c>
      <c r="H24251" s="8">
        <v>12700</v>
      </c>
    </row>
    <row r="24252" spans="2:8" ht="15" customHeight="1" x14ac:dyDescent="0.4">
      <c r="B24252" t="s">
        <v>7</v>
      </c>
      <c r="C24252" t="s">
        <v>3303</v>
      </c>
      <c r="D24252" s="7">
        <f>DATE(2014,4,9)</f>
        <v>41738</v>
      </c>
      <c r="E24252" s="8">
        <f t="shared" si="402"/>
        <v>2014</v>
      </c>
      <c r="F24252" t="s">
        <v>3905</v>
      </c>
      <c r="G24252" s="9">
        <v>128445</v>
      </c>
      <c r="H24252" s="8">
        <v>13027</v>
      </c>
    </row>
    <row r="24253" spans="2:8" ht="15" customHeight="1" x14ac:dyDescent="0.4">
      <c r="B24253" t="s">
        <v>7</v>
      </c>
      <c r="C24253" t="s">
        <v>3303</v>
      </c>
      <c r="D24253" s="7">
        <f>DATE(2006,11,18)</f>
        <v>39039</v>
      </c>
      <c r="E24253" s="8">
        <f t="shared" si="402"/>
        <v>2006</v>
      </c>
      <c r="F24253" t="s">
        <v>3905</v>
      </c>
      <c r="G24253" s="9">
        <v>17737.939999999999</v>
      </c>
      <c r="H24253" s="8">
        <v>5185</v>
      </c>
    </row>
    <row r="24254" spans="2:8" ht="15" customHeight="1" x14ac:dyDescent="0.4">
      <c r="B24254" t="s">
        <v>7</v>
      </c>
      <c r="C24254" t="s">
        <v>3303</v>
      </c>
      <c r="D24254" s="7">
        <f>DATE(2007,5,30)</f>
        <v>39232</v>
      </c>
      <c r="E24254" s="8">
        <f t="shared" si="402"/>
        <v>2007</v>
      </c>
      <c r="F24254" t="s">
        <v>3905</v>
      </c>
      <c r="G24254" s="9">
        <v>6168.75</v>
      </c>
      <c r="H24254" s="8">
        <v>6015</v>
      </c>
    </row>
    <row r="24255" spans="2:8" ht="15" customHeight="1" x14ac:dyDescent="0.4">
      <c r="B24255" t="s">
        <v>7</v>
      </c>
      <c r="C24255" t="s">
        <v>3303</v>
      </c>
      <c r="D24255" s="7">
        <f>DATE(2007,7,17)</f>
        <v>39280</v>
      </c>
      <c r="E24255" s="8">
        <f t="shared" si="402"/>
        <v>2007</v>
      </c>
      <c r="F24255" t="s">
        <v>3905</v>
      </c>
      <c r="G24255" s="9">
        <v>6506.14</v>
      </c>
      <c r="H24255" s="8">
        <v>6174</v>
      </c>
    </row>
    <row r="24256" spans="2:8" ht="15" customHeight="1" x14ac:dyDescent="0.4">
      <c r="B24256" t="s">
        <v>7</v>
      </c>
      <c r="C24256" t="s">
        <v>3303</v>
      </c>
      <c r="D24256" s="7">
        <f>DATE(2007,11,7)</f>
        <v>39393</v>
      </c>
      <c r="E24256" s="8">
        <f t="shared" si="402"/>
        <v>2007</v>
      </c>
      <c r="F24256" t="s">
        <v>3905</v>
      </c>
      <c r="G24256" s="9">
        <v>58141.23</v>
      </c>
      <c r="H24256" s="8">
        <v>6494</v>
      </c>
    </row>
    <row r="24257" spans="2:8" ht="15" customHeight="1" x14ac:dyDescent="0.4">
      <c r="B24257" t="s">
        <v>7</v>
      </c>
      <c r="C24257" t="s">
        <v>3303</v>
      </c>
      <c r="D24257" s="7">
        <f>DATE(2008,3,31)</f>
        <v>39538</v>
      </c>
      <c r="E24257" s="8">
        <f t="shared" si="402"/>
        <v>2008</v>
      </c>
      <c r="F24257" t="s">
        <v>3905</v>
      </c>
      <c r="G24257" s="9">
        <v>25730</v>
      </c>
      <c r="H24257" s="8">
        <v>6837</v>
      </c>
    </row>
    <row r="24258" spans="2:8" ht="15" customHeight="1" x14ac:dyDescent="0.4">
      <c r="B24258" t="s">
        <v>7</v>
      </c>
      <c r="C24258" t="s">
        <v>3303</v>
      </c>
      <c r="D24258" s="7">
        <f>DATE(2008,11,17)</f>
        <v>39769</v>
      </c>
      <c r="E24258" s="8">
        <f t="shared" si="402"/>
        <v>2008</v>
      </c>
      <c r="F24258" t="s">
        <v>3905</v>
      </c>
      <c r="G24258" s="9">
        <v>49750</v>
      </c>
      <c r="H24258" s="8">
        <v>8008</v>
      </c>
    </row>
    <row r="24259" spans="2:8" ht="15" customHeight="1" x14ac:dyDescent="0.4">
      <c r="B24259" t="s">
        <v>7</v>
      </c>
      <c r="C24259" t="s">
        <v>3303</v>
      </c>
      <c r="D24259" s="7">
        <f>DATE(2008,12,1)</f>
        <v>39783</v>
      </c>
      <c r="E24259" s="8">
        <f t="shared" ref="E24259:E24322" si="403">YEAR(D24259)</f>
        <v>2008</v>
      </c>
      <c r="F24259" t="s">
        <v>3905</v>
      </c>
      <c r="G24259" s="9">
        <v>2500</v>
      </c>
      <c r="H24259" s="8">
        <v>7978</v>
      </c>
    </row>
    <row r="24260" spans="2:8" ht="15" customHeight="1" x14ac:dyDescent="0.4">
      <c r="B24260" t="s">
        <v>7</v>
      </c>
      <c r="C24260" t="s">
        <v>3303</v>
      </c>
      <c r="D24260" s="7">
        <f>DATE(2009,12,1)</f>
        <v>40148</v>
      </c>
      <c r="E24260" s="8">
        <f t="shared" si="403"/>
        <v>2009</v>
      </c>
      <c r="F24260" t="s">
        <v>3905</v>
      </c>
      <c r="G24260" s="9">
        <v>12526.2</v>
      </c>
      <c r="H24260" s="8">
        <v>9265</v>
      </c>
    </row>
    <row r="24261" spans="2:8" ht="15" customHeight="1" x14ac:dyDescent="0.4">
      <c r="B24261" t="s">
        <v>7</v>
      </c>
      <c r="C24261" t="s">
        <v>3303</v>
      </c>
      <c r="D24261" s="7">
        <f>DATE(2010,5,3)</f>
        <v>40301</v>
      </c>
      <c r="E24261" s="8">
        <f t="shared" si="403"/>
        <v>2010</v>
      </c>
      <c r="F24261" t="s">
        <v>3905</v>
      </c>
      <c r="G24261" s="9">
        <v>5954.8</v>
      </c>
      <c r="H24261" s="8">
        <v>9582</v>
      </c>
    </row>
    <row r="24262" spans="2:8" ht="15" customHeight="1" x14ac:dyDescent="0.4">
      <c r="B24262" t="s">
        <v>7</v>
      </c>
      <c r="C24262" t="s">
        <v>3303</v>
      </c>
      <c r="D24262" s="7">
        <f>DATE(2013,11,6)</f>
        <v>41584</v>
      </c>
      <c r="E24262" s="8">
        <f t="shared" si="403"/>
        <v>2013</v>
      </c>
      <c r="F24262" t="s">
        <v>3905</v>
      </c>
      <c r="G24262" s="9">
        <v>36210</v>
      </c>
      <c r="H24262" s="8">
        <v>12701</v>
      </c>
    </row>
    <row r="24263" spans="2:8" ht="15" customHeight="1" x14ac:dyDescent="0.4">
      <c r="B24263" t="s">
        <v>7</v>
      </c>
      <c r="C24263" t="s">
        <v>3303</v>
      </c>
      <c r="D24263" s="7">
        <f>DATE(2014,4,9)</f>
        <v>41738</v>
      </c>
      <c r="E24263" s="8">
        <f t="shared" si="403"/>
        <v>2014</v>
      </c>
      <c r="F24263" t="s">
        <v>3905</v>
      </c>
      <c r="G24263" s="9">
        <v>40910</v>
      </c>
      <c r="H24263" s="8">
        <v>13029</v>
      </c>
    </row>
    <row r="24264" spans="2:8" ht="15" customHeight="1" x14ac:dyDescent="0.4">
      <c r="B24264" t="s">
        <v>7</v>
      </c>
      <c r="C24264" t="s">
        <v>3303</v>
      </c>
      <c r="D24264" s="7">
        <f>DATE(2010,11,18)</f>
        <v>40500</v>
      </c>
      <c r="E24264" s="8">
        <f t="shared" si="403"/>
        <v>2010</v>
      </c>
      <c r="F24264" t="s">
        <v>3905</v>
      </c>
      <c r="G24264" s="9">
        <v>7945.73</v>
      </c>
      <c r="H24264" s="8">
        <v>10239</v>
      </c>
    </row>
    <row r="24265" spans="2:8" ht="15" customHeight="1" x14ac:dyDescent="0.4">
      <c r="B24265" t="s">
        <v>7</v>
      </c>
      <c r="C24265" t="s">
        <v>3303</v>
      </c>
      <c r="D24265" s="7">
        <f>DATE(2011,11,29)</f>
        <v>40876</v>
      </c>
      <c r="E24265" s="8">
        <f t="shared" si="403"/>
        <v>2011</v>
      </c>
      <c r="F24265" t="s">
        <v>3905</v>
      </c>
      <c r="G24265" s="9">
        <v>10896.23</v>
      </c>
      <c r="H24265" s="8">
        <v>11108</v>
      </c>
    </row>
    <row r="24266" spans="2:8" ht="15" customHeight="1" x14ac:dyDescent="0.4">
      <c r="B24266" t="s">
        <v>7</v>
      </c>
      <c r="C24266" t="s">
        <v>3303</v>
      </c>
      <c r="D24266" s="7">
        <f>DATE(2012,8,2)</f>
        <v>41123</v>
      </c>
      <c r="E24266" s="8">
        <f t="shared" si="403"/>
        <v>2012</v>
      </c>
      <c r="F24266" t="s">
        <v>3905</v>
      </c>
      <c r="G24266" s="9">
        <v>7715.57</v>
      </c>
      <c r="H24266" s="8">
        <v>11766</v>
      </c>
    </row>
    <row r="24267" spans="2:8" ht="15" customHeight="1" x14ac:dyDescent="0.4">
      <c r="B24267" t="s">
        <v>7</v>
      </c>
      <c r="C24267" t="s">
        <v>3303</v>
      </c>
      <c r="D24267" s="7">
        <f>DATE(2013,11,20)</f>
        <v>41598</v>
      </c>
      <c r="E24267" s="8">
        <f t="shared" si="403"/>
        <v>2013</v>
      </c>
      <c r="F24267" t="s">
        <v>3905</v>
      </c>
      <c r="G24267" s="9">
        <v>7630.08</v>
      </c>
      <c r="H24267" s="8">
        <v>12782</v>
      </c>
    </row>
    <row r="24268" spans="2:8" ht="15" customHeight="1" x14ac:dyDescent="0.4">
      <c r="B24268" s="3" t="s">
        <v>7</v>
      </c>
      <c r="C24268" s="3" t="s">
        <v>3303</v>
      </c>
      <c r="D24268" s="4">
        <f>DATE(2005,3,30)</f>
        <v>38441</v>
      </c>
      <c r="E24268" s="5">
        <f t="shared" si="403"/>
        <v>2005</v>
      </c>
      <c r="F24268" s="3" t="s">
        <v>3905</v>
      </c>
      <c r="G24268" s="6">
        <v>3104.28</v>
      </c>
      <c r="H24268" s="5">
        <v>4430</v>
      </c>
    </row>
    <row r="24269" spans="2:8" ht="15" customHeight="1" x14ac:dyDescent="0.4">
      <c r="B24269" s="3" t="s">
        <v>7</v>
      </c>
      <c r="C24269" s="3" t="s">
        <v>3303</v>
      </c>
      <c r="D24269" s="4">
        <f>DATE(2006,3,14)</f>
        <v>38790</v>
      </c>
      <c r="E24269" s="5">
        <f t="shared" si="403"/>
        <v>2006</v>
      </c>
      <c r="F24269" s="3" t="s">
        <v>3905</v>
      </c>
      <c r="G24269" s="6">
        <v>204</v>
      </c>
      <c r="H24269" s="5">
        <v>6283</v>
      </c>
    </row>
    <row r="24270" spans="2:8" ht="15" customHeight="1" x14ac:dyDescent="0.4">
      <c r="B24270" s="3" t="s">
        <v>7</v>
      </c>
      <c r="C24270" s="3" t="s">
        <v>3303</v>
      </c>
      <c r="D24270" s="4">
        <f>DATE(2006,3,22)</f>
        <v>38798</v>
      </c>
      <c r="E24270" s="5">
        <f t="shared" si="403"/>
        <v>2006</v>
      </c>
      <c r="F24270" s="3" t="s">
        <v>3905</v>
      </c>
      <c r="G24270" s="6">
        <v>955.62</v>
      </c>
      <c r="H24270" s="5">
        <v>6362</v>
      </c>
    </row>
    <row r="24271" spans="2:8" ht="15" customHeight="1" x14ac:dyDescent="0.4">
      <c r="B24271" s="3" t="s">
        <v>7</v>
      </c>
      <c r="C24271" s="3" t="s">
        <v>3303</v>
      </c>
      <c r="D24271" s="4">
        <f>DATE(2006,11,1)</f>
        <v>39022</v>
      </c>
      <c r="E24271" s="5">
        <f t="shared" si="403"/>
        <v>2006</v>
      </c>
      <c r="F24271" s="3" t="s">
        <v>3905</v>
      </c>
      <c r="G24271" s="6">
        <v>81.33</v>
      </c>
      <c r="H24271" s="5">
        <v>7466</v>
      </c>
    </row>
    <row r="24272" spans="2:8" ht="15" customHeight="1" x14ac:dyDescent="0.4">
      <c r="B24272" s="3" t="s">
        <v>7</v>
      </c>
      <c r="C24272" s="3" t="s">
        <v>3303</v>
      </c>
      <c r="D24272" s="4">
        <f>DATE(2006,12,1)</f>
        <v>39052</v>
      </c>
      <c r="E24272" s="5">
        <f t="shared" si="403"/>
        <v>2006</v>
      </c>
      <c r="F24272" s="3" t="s">
        <v>3905</v>
      </c>
      <c r="G24272" s="6">
        <v>501</v>
      </c>
      <c r="H24272" s="5">
        <v>7592</v>
      </c>
    </row>
    <row r="24273" spans="2:8" ht="15" customHeight="1" x14ac:dyDescent="0.4">
      <c r="B24273" s="3" t="s">
        <v>7</v>
      </c>
      <c r="C24273" s="3" t="s">
        <v>3303</v>
      </c>
      <c r="D24273" s="4">
        <f>DATE(2007,4,9)</f>
        <v>39181</v>
      </c>
      <c r="E24273" s="5">
        <f t="shared" si="403"/>
        <v>2007</v>
      </c>
      <c r="F24273" s="3" t="s">
        <v>3905</v>
      </c>
      <c r="G24273" s="6">
        <v>585</v>
      </c>
      <c r="H24273" s="5">
        <v>8340</v>
      </c>
    </row>
    <row r="24274" spans="2:8" ht="15" customHeight="1" x14ac:dyDescent="0.4">
      <c r="B24274" s="3" t="s">
        <v>7</v>
      </c>
      <c r="C24274" s="3" t="s">
        <v>3303</v>
      </c>
      <c r="D24274" s="4">
        <f>DATE(2007,4,10)</f>
        <v>39182</v>
      </c>
      <c r="E24274" s="5">
        <f t="shared" si="403"/>
        <v>2007</v>
      </c>
      <c r="F24274" s="3" t="s">
        <v>3905</v>
      </c>
      <c r="G24274" s="6">
        <v>662.3</v>
      </c>
      <c r="H24274" s="5">
        <v>8364</v>
      </c>
    </row>
    <row r="24275" spans="2:8" ht="15" customHeight="1" x14ac:dyDescent="0.4">
      <c r="B24275" s="3" t="s">
        <v>7</v>
      </c>
      <c r="C24275" s="3" t="s">
        <v>3303</v>
      </c>
      <c r="D24275" s="4">
        <f>DATE(2007,4,11)</f>
        <v>39183</v>
      </c>
      <c r="E24275" s="5">
        <f t="shared" si="403"/>
        <v>2007</v>
      </c>
      <c r="F24275" s="3" t="s">
        <v>3905</v>
      </c>
      <c r="G24275" s="6">
        <v>501</v>
      </c>
      <c r="H24275" s="5">
        <v>8370</v>
      </c>
    </row>
    <row r="24276" spans="2:8" ht="15" customHeight="1" x14ac:dyDescent="0.4">
      <c r="B24276" s="3" t="s">
        <v>7</v>
      </c>
      <c r="C24276" s="3" t="s">
        <v>3303</v>
      </c>
      <c r="D24276" s="4">
        <f>DATE(2007,4,9)</f>
        <v>39181</v>
      </c>
      <c r="E24276" s="5">
        <f t="shared" si="403"/>
        <v>2007</v>
      </c>
      <c r="F24276" s="3" t="s">
        <v>3905</v>
      </c>
      <c r="G24276" s="6">
        <v>3844.15</v>
      </c>
      <c r="H24276" s="5">
        <v>8349</v>
      </c>
    </row>
    <row r="24277" spans="2:8" ht="15" customHeight="1" x14ac:dyDescent="0.4">
      <c r="B24277" s="3" t="s">
        <v>7</v>
      </c>
      <c r="C24277" s="3" t="s">
        <v>3303</v>
      </c>
      <c r="D24277" s="4">
        <f>DATE(2007,10,22)</f>
        <v>39377</v>
      </c>
      <c r="E24277" s="5">
        <f t="shared" si="403"/>
        <v>2007</v>
      </c>
      <c r="F24277" s="3" t="s">
        <v>3905</v>
      </c>
      <c r="G24277" s="6">
        <v>3083.69</v>
      </c>
      <c r="H24277" s="5">
        <v>9374</v>
      </c>
    </row>
    <row r="24278" spans="2:8" ht="15" customHeight="1" x14ac:dyDescent="0.4">
      <c r="B24278" s="3" t="s">
        <v>7</v>
      </c>
      <c r="C24278" s="3" t="s">
        <v>3303</v>
      </c>
      <c r="D24278" s="4">
        <f>DATE(2007,10,24)</f>
        <v>39379</v>
      </c>
      <c r="E24278" s="5">
        <f t="shared" si="403"/>
        <v>2007</v>
      </c>
      <c r="F24278" s="3" t="s">
        <v>3905</v>
      </c>
      <c r="G24278" s="6">
        <v>390</v>
      </c>
      <c r="H24278" s="5">
        <v>9381</v>
      </c>
    </row>
    <row r="24279" spans="2:8" ht="15" customHeight="1" x14ac:dyDescent="0.4">
      <c r="B24279" s="3" t="s">
        <v>7</v>
      </c>
      <c r="C24279" s="3" t="s">
        <v>3303</v>
      </c>
      <c r="D24279" s="4">
        <f>DATE(2008,1,10)</f>
        <v>39457</v>
      </c>
      <c r="E24279" s="5">
        <f t="shared" si="403"/>
        <v>2008</v>
      </c>
      <c r="F24279" s="3" t="s">
        <v>3905</v>
      </c>
      <c r="G24279" s="6">
        <v>234</v>
      </c>
      <c r="H24279" s="5">
        <v>9682</v>
      </c>
    </row>
    <row r="24280" spans="2:8" ht="15" customHeight="1" x14ac:dyDescent="0.4">
      <c r="B24280" s="3" t="s">
        <v>7</v>
      </c>
      <c r="C24280" s="3" t="s">
        <v>3303</v>
      </c>
      <c r="D24280" s="4">
        <f>DATE(2008,2,1)</f>
        <v>39479</v>
      </c>
      <c r="E24280" s="5">
        <f t="shared" si="403"/>
        <v>2008</v>
      </c>
      <c r="F24280" s="3" t="s">
        <v>3905</v>
      </c>
      <c r="G24280" s="6">
        <v>3112.14</v>
      </c>
      <c r="H24280" s="5">
        <v>9774</v>
      </c>
    </row>
    <row r="24281" spans="2:8" ht="15" customHeight="1" x14ac:dyDescent="0.4">
      <c r="B24281" s="3" t="s">
        <v>7</v>
      </c>
      <c r="C24281" s="3" t="s">
        <v>3303</v>
      </c>
      <c r="D24281" s="4">
        <f>DATE(2008,3,12)</f>
        <v>39519</v>
      </c>
      <c r="E24281" s="5">
        <f t="shared" si="403"/>
        <v>2008</v>
      </c>
      <c r="F24281" s="3" t="s">
        <v>3905</v>
      </c>
      <c r="G24281" s="6">
        <v>234</v>
      </c>
      <c r="H24281" s="5">
        <v>10193</v>
      </c>
    </row>
    <row r="24282" spans="2:8" ht="15" customHeight="1" x14ac:dyDescent="0.4">
      <c r="B24282" s="3" t="s">
        <v>7</v>
      </c>
      <c r="C24282" s="3" t="s">
        <v>3303</v>
      </c>
      <c r="D24282" s="4">
        <f>DATE(2008,3,20)</f>
        <v>39527</v>
      </c>
      <c r="E24282" s="5">
        <f t="shared" si="403"/>
        <v>2008</v>
      </c>
      <c r="F24282" s="3" t="s">
        <v>3905</v>
      </c>
      <c r="G24282" s="6">
        <v>585</v>
      </c>
      <c r="H24282" s="5">
        <v>10255</v>
      </c>
    </row>
    <row r="24283" spans="2:8" ht="15" customHeight="1" x14ac:dyDescent="0.4">
      <c r="B24283" s="3" t="s">
        <v>7</v>
      </c>
      <c r="C24283" s="3" t="s">
        <v>3303</v>
      </c>
      <c r="D24283" s="4">
        <f>DATE(2008,3,31)</f>
        <v>39538</v>
      </c>
      <c r="E24283" s="5">
        <f t="shared" si="403"/>
        <v>2008</v>
      </c>
      <c r="F24283" s="3" t="s">
        <v>3905</v>
      </c>
      <c r="G24283" s="6">
        <v>148</v>
      </c>
      <c r="H24283" s="5">
        <v>10339</v>
      </c>
    </row>
    <row r="24284" spans="2:8" ht="15" customHeight="1" x14ac:dyDescent="0.4">
      <c r="B24284" s="3" t="s">
        <v>7</v>
      </c>
      <c r="C24284" s="3" t="s">
        <v>3303</v>
      </c>
      <c r="D24284" s="4">
        <f>DATE(2008,8,14)</f>
        <v>39674</v>
      </c>
      <c r="E24284" s="5">
        <f t="shared" si="403"/>
        <v>2008</v>
      </c>
      <c r="F24284" s="3" t="s">
        <v>3905</v>
      </c>
      <c r="G24284" s="6">
        <v>2861.34</v>
      </c>
      <c r="H24284" s="5">
        <v>11024</v>
      </c>
    </row>
    <row r="24285" spans="2:8" ht="15" customHeight="1" x14ac:dyDescent="0.4">
      <c r="B24285" s="3" t="s">
        <v>7</v>
      </c>
      <c r="C24285" s="3" t="s">
        <v>3303</v>
      </c>
      <c r="D24285" s="4">
        <f>DATE(2008,10,16)</f>
        <v>39737</v>
      </c>
      <c r="E24285" s="5">
        <f t="shared" si="403"/>
        <v>2008</v>
      </c>
      <c r="F24285" s="3" t="s">
        <v>3905</v>
      </c>
      <c r="G24285" s="6">
        <v>269</v>
      </c>
      <c r="H24285" s="5">
        <v>11442</v>
      </c>
    </row>
    <row r="24286" spans="2:8" ht="15" customHeight="1" x14ac:dyDescent="0.4">
      <c r="B24286" s="3" t="s">
        <v>7</v>
      </c>
      <c r="C24286" s="3" t="s">
        <v>3303</v>
      </c>
      <c r="D24286" s="4">
        <f>DATE(2009,2,10)</f>
        <v>39854</v>
      </c>
      <c r="E24286" s="5">
        <f t="shared" si="403"/>
        <v>2009</v>
      </c>
      <c r="F24286" s="3" t="s">
        <v>3905</v>
      </c>
      <c r="G24286" s="6">
        <v>3334.19</v>
      </c>
      <c r="H24286" s="5">
        <v>11957</v>
      </c>
    </row>
    <row r="24287" spans="2:8" ht="15" customHeight="1" x14ac:dyDescent="0.4">
      <c r="B24287" s="3" t="s">
        <v>7</v>
      </c>
      <c r="C24287" s="3" t="s">
        <v>3303</v>
      </c>
      <c r="D24287" s="4">
        <f>DATE(2009,2,23)</f>
        <v>39867</v>
      </c>
      <c r="E24287" s="5">
        <f t="shared" si="403"/>
        <v>2009</v>
      </c>
      <c r="F24287" s="3" t="s">
        <v>3905</v>
      </c>
      <c r="G24287" s="6">
        <v>267.77</v>
      </c>
      <c r="H24287" s="5">
        <v>12054</v>
      </c>
    </row>
    <row r="24288" spans="2:8" ht="15" customHeight="1" x14ac:dyDescent="0.4">
      <c r="B24288" s="3" t="s">
        <v>7</v>
      </c>
      <c r="C24288" s="3" t="s">
        <v>3303</v>
      </c>
      <c r="D24288" s="4">
        <f>DATE(2009,2,23)</f>
        <v>39867</v>
      </c>
      <c r="E24288" s="5">
        <f t="shared" si="403"/>
        <v>2009</v>
      </c>
      <c r="F24288" s="3" t="s">
        <v>3905</v>
      </c>
      <c r="G24288" s="6">
        <v>267.77</v>
      </c>
      <c r="H24288" s="5">
        <v>12040</v>
      </c>
    </row>
    <row r="24289" spans="2:8" ht="15" customHeight="1" x14ac:dyDescent="0.4">
      <c r="B24289" s="3" t="s">
        <v>7</v>
      </c>
      <c r="C24289" s="3" t="s">
        <v>3303</v>
      </c>
      <c r="D24289" s="4">
        <f>DATE(2009,11,24)</f>
        <v>40141</v>
      </c>
      <c r="E24289" s="5">
        <f t="shared" si="403"/>
        <v>2009</v>
      </c>
      <c r="F24289" s="3" t="s">
        <v>3905</v>
      </c>
      <c r="G24289" s="6">
        <v>2488.94</v>
      </c>
      <c r="H24289" s="5">
        <v>13290</v>
      </c>
    </row>
    <row r="24290" spans="2:8" ht="15" customHeight="1" x14ac:dyDescent="0.4">
      <c r="B24290" s="3" t="s">
        <v>7</v>
      </c>
      <c r="C24290" s="3" t="s">
        <v>3303</v>
      </c>
      <c r="D24290" s="4">
        <f>DATE(2010,3,9)</f>
        <v>40246</v>
      </c>
      <c r="E24290" s="5">
        <f t="shared" si="403"/>
        <v>2010</v>
      </c>
      <c r="F24290" s="3" t="s">
        <v>3905</v>
      </c>
      <c r="G24290" s="6">
        <v>906.2</v>
      </c>
      <c r="H24290" s="5">
        <v>13690</v>
      </c>
    </row>
    <row r="24291" spans="2:8" ht="15" customHeight="1" x14ac:dyDescent="0.4">
      <c r="B24291" s="3" t="s">
        <v>7</v>
      </c>
      <c r="C24291" s="3" t="s">
        <v>3303</v>
      </c>
      <c r="D24291" s="4">
        <f>DATE(2010,3,22)</f>
        <v>40259</v>
      </c>
      <c r="E24291" s="5">
        <f t="shared" si="403"/>
        <v>2010</v>
      </c>
      <c r="F24291" s="3" t="s">
        <v>3905</v>
      </c>
      <c r="G24291" s="6">
        <v>503</v>
      </c>
      <c r="H24291" s="5">
        <v>13756</v>
      </c>
    </row>
    <row r="24292" spans="2:8" ht="15" customHeight="1" x14ac:dyDescent="0.4">
      <c r="B24292" s="3" t="s">
        <v>7</v>
      </c>
      <c r="C24292" s="3" t="s">
        <v>3303</v>
      </c>
      <c r="D24292" s="4">
        <f>DATE(2010,10,26)</f>
        <v>40477</v>
      </c>
      <c r="E24292" s="5">
        <f t="shared" si="403"/>
        <v>2010</v>
      </c>
      <c r="F24292" s="3" t="s">
        <v>3905</v>
      </c>
      <c r="G24292" s="6">
        <v>3053.12</v>
      </c>
      <c r="H24292" s="5">
        <v>14681</v>
      </c>
    </row>
    <row r="24293" spans="2:8" ht="15" customHeight="1" x14ac:dyDescent="0.4">
      <c r="B24293" s="3" t="s">
        <v>7</v>
      </c>
      <c r="C24293" s="3" t="s">
        <v>3303</v>
      </c>
      <c r="D24293" s="4">
        <f>DATE(2010,11,2)</f>
        <v>40484</v>
      </c>
      <c r="E24293" s="5">
        <f t="shared" si="403"/>
        <v>2010</v>
      </c>
      <c r="F24293" s="3" t="s">
        <v>3905</v>
      </c>
      <c r="G24293" s="6">
        <v>154.44</v>
      </c>
      <c r="H24293" s="5">
        <v>14706</v>
      </c>
    </row>
    <row r="24294" spans="2:8" ht="15" customHeight="1" x14ac:dyDescent="0.4">
      <c r="B24294" s="3" t="s">
        <v>7</v>
      </c>
      <c r="C24294" s="3" t="s">
        <v>3303</v>
      </c>
      <c r="D24294" s="4">
        <f>DATE(2011,2,23)</f>
        <v>40597</v>
      </c>
      <c r="E24294" s="5">
        <f t="shared" si="403"/>
        <v>2011</v>
      </c>
      <c r="F24294" s="3" t="s">
        <v>3905</v>
      </c>
      <c r="G24294" s="6">
        <v>2622.54</v>
      </c>
      <c r="H24294" s="5">
        <v>15073</v>
      </c>
    </row>
    <row r="24295" spans="2:8" ht="15" customHeight="1" x14ac:dyDescent="0.4">
      <c r="B24295" s="3" t="s">
        <v>7</v>
      </c>
      <c r="C24295" s="3" t="s">
        <v>3303</v>
      </c>
      <c r="D24295" s="4">
        <f>DATE(2011,4,12)</f>
        <v>40645</v>
      </c>
      <c r="E24295" s="5">
        <f t="shared" si="403"/>
        <v>2011</v>
      </c>
      <c r="F24295" s="3" t="s">
        <v>3905</v>
      </c>
      <c r="G24295" s="6">
        <v>505</v>
      </c>
      <c r="H24295" s="5">
        <v>15361</v>
      </c>
    </row>
    <row r="24296" spans="2:8" ht="15" customHeight="1" x14ac:dyDescent="0.4">
      <c r="B24296" s="3" t="s">
        <v>7</v>
      </c>
      <c r="C24296" s="3" t="s">
        <v>3303</v>
      </c>
      <c r="D24296" s="4">
        <f>DATE(2011,10,13)</f>
        <v>40829</v>
      </c>
      <c r="E24296" s="5">
        <f t="shared" si="403"/>
        <v>2011</v>
      </c>
      <c r="F24296" s="3" t="s">
        <v>3905</v>
      </c>
      <c r="G24296" s="6">
        <v>2878.68</v>
      </c>
      <c r="H24296" s="5">
        <v>16058</v>
      </c>
    </row>
    <row r="24297" spans="2:8" ht="15" customHeight="1" x14ac:dyDescent="0.4">
      <c r="B24297" s="3" t="s">
        <v>7</v>
      </c>
      <c r="C24297" s="3" t="s">
        <v>3303</v>
      </c>
      <c r="D24297" s="4">
        <f>DATE(2011,10,31)</f>
        <v>40847</v>
      </c>
      <c r="E24297" s="5">
        <f t="shared" si="403"/>
        <v>2011</v>
      </c>
      <c r="F24297" s="3" t="s">
        <v>3905</v>
      </c>
      <c r="G24297" s="6">
        <v>800</v>
      </c>
      <c r="H24297" s="5">
        <v>16158</v>
      </c>
    </row>
    <row r="24298" spans="2:8" ht="15" customHeight="1" x14ac:dyDescent="0.4">
      <c r="B24298" s="3" t="s">
        <v>7</v>
      </c>
      <c r="C24298" s="3" t="s">
        <v>3303</v>
      </c>
      <c r="D24298" s="4">
        <f>DATE(2011,11,7)</f>
        <v>40854</v>
      </c>
      <c r="E24298" s="5">
        <f t="shared" si="403"/>
        <v>2011</v>
      </c>
      <c r="F24298" s="3" t="s">
        <v>3905</v>
      </c>
      <c r="G24298" s="6">
        <v>1715</v>
      </c>
      <c r="H24298" s="5">
        <v>16164</v>
      </c>
    </row>
    <row r="24299" spans="2:8" ht="15" customHeight="1" x14ac:dyDescent="0.4">
      <c r="B24299" s="3" t="s">
        <v>7</v>
      </c>
      <c r="C24299" s="3" t="s">
        <v>3303</v>
      </c>
      <c r="D24299" s="4">
        <f>DATE(2011,11,7)</f>
        <v>40854</v>
      </c>
      <c r="E24299" s="5">
        <f t="shared" si="403"/>
        <v>2011</v>
      </c>
      <c r="F24299" s="3" t="s">
        <v>3905</v>
      </c>
      <c r="G24299" s="6">
        <v>1220</v>
      </c>
      <c r="H24299" s="5">
        <v>16160</v>
      </c>
    </row>
    <row r="24300" spans="2:8" ht="15" customHeight="1" x14ac:dyDescent="0.4">
      <c r="B24300" s="3" t="s">
        <v>7</v>
      </c>
      <c r="C24300" s="3" t="s">
        <v>3303</v>
      </c>
      <c r="D24300" s="4">
        <f>DATE(2012,4,3)</f>
        <v>41002</v>
      </c>
      <c r="E24300" s="5">
        <f t="shared" si="403"/>
        <v>2012</v>
      </c>
      <c r="F24300" s="3" t="s">
        <v>3905</v>
      </c>
      <c r="G24300" s="6">
        <v>505</v>
      </c>
      <c r="H24300" s="5">
        <v>16883</v>
      </c>
    </row>
    <row r="24301" spans="2:8" ht="15" customHeight="1" x14ac:dyDescent="0.4">
      <c r="B24301" s="3" t="s">
        <v>7</v>
      </c>
      <c r="C24301" s="3" t="s">
        <v>3303</v>
      </c>
      <c r="D24301" s="4">
        <f>DATE(2013,3,19)</f>
        <v>41352</v>
      </c>
      <c r="E24301" s="5">
        <f t="shared" si="403"/>
        <v>2013</v>
      </c>
      <c r="F24301" s="3" t="s">
        <v>3905</v>
      </c>
      <c r="G24301" s="6">
        <v>2431.4499999999998</v>
      </c>
      <c r="H24301" s="5">
        <v>18266</v>
      </c>
    </row>
    <row r="24302" spans="2:8" ht="15" customHeight="1" x14ac:dyDescent="0.4">
      <c r="B24302" s="3" t="s">
        <v>7</v>
      </c>
      <c r="C24302" s="3" t="s">
        <v>3303</v>
      </c>
      <c r="D24302" s="4">
        <f>DATE(2013,3,20)</f>
        <v>41353</v>
      </c>
      <c r="E24302" s="5">
        <f t="shared" si="403"/>
        <v>2013</v>
      </c>
      <c r="F24302" s="3" t="s">
        <v>3905</v>
      </c>
      <c r="G24302" s="6">
        <v>3593.77</v>
      </c>
      <c r="H24302" s="5">
        <v>18326</v>
      </c>
    </row>
    <row r="24303" spans="2:8" ht="15" customHeight="1" x14ac:dyDescent="0.4">
      <c r="B24303" s="3" t="s">
        <v>7</v>
      </c>
      <c r="C24303" s="3" t="s">
        <v>3303</v>
      </c>
      <c r="D24303" s="4">
        <f>DATE(2013,11,1)</f>
        <v>41579</v>
      </c>
      <c r="E24303" s="5">
        <f t="shared" si="403"/>
        <v>2013</v>
      </c>
      <c r="F24303" s="3" t="s">
        <v>3905</v>
      </c>
      <c r="G24303" s="6">
        <v>506</v>
      </c>
      <c r="H24303" s="5">
        <v>19138</v>
      </c>
    </row>
    <row r="24304" spans="2:8" ht="15" customHeight="1" x14ac:dyDescent="0.4">
      <c r="B24304" s="3" t="s">
        <v>7</v>
      </c>
      <c r="C24304" s="3" t="s">
        <v>3303</v>
      </c>
      <c r="D24304" s="4">
        <f>DATE(2014,2,20)</f>
        <v>41690</v>
      </c>
      <c r="E24304" s="5">
        <f t="shared" si="403"/>
        <v>2014</v>
      </c>
      <c r="F24304" s="3" t="s">
        <v>3905</v>
      </c>
      <c r="G24304" s="6">
        <v>2976.51</v>
      </c>
      <c r="H24304" s="5">
        <v>19462</v>
      </c>
    </row>
    <row r="24305" spans="2:8" ht="15" customHeight="1" x14ac:dyDescent="0.4">
      <c r="B24305" s="3" t="s">
        <v>7</v>
      </c>
      <c r="C24305" s="3" t="s">
        <v>3303</v>
      </c>
      <c r="D24305" s="4">
        <f>DATE(2014,11,21)</f>
        <v>41964</v>
      </c>
      <c r="E24305" s="5">
        <f t="shared" si="403"/>
        <v>2014</v>
      </c>
      <c r="F24305" s="3" t="s">
        <v>3905</v>
      </c>
      <c r="G24305" s="6">
        <v>1129.5</v>
      </c>
      <c r="H24305" s="5">
        <v>20659</v>
      </c>
    </row>
    <row r="24306" spans="2:8" ht="15" customHeight="1" x14ac:dyDescent="0.4">
      <c r="B24306" t="s">
        <v>7</v>
      </c>
      <c r="C24306" t="s">
        <v>3906</v>
      </c>
      <c r="D24306" s="7">
        <f>DATE(2016,9,29)</f>
        <v>42642</v>
      </c>
      <c r="E24306" s="8">
        <f t="shared" si="403"/>
        <v>2016</v>
      </c>
      <c r="F24306" t="s">
        <v>3907</v>
      </c>
      <c r="G24306" s="9">
        <v>2126.3200000000002</v>
      </c>
      <c r="H24306" s="8">
        <v>23523</v>
      </c>
    </row>
    <row r="24307" spans="2:8" ht="15" customHeight="1" x14ac:dyDescent="0.4">
      <c r="B24307" t="s">
        <v>7</v>
      </c>
      <c r="C24307" t="s">
        <v>3906</v>
      </c>
      <c r="D24307" s="7">
        <f>DATE(2016,12,16)</f>
        <v>42720</v>
      </c>
      <c r="E24307" s="8">
        <f t="shared" si="403"/>
        <v>2016</v>
      </c>
      <c r="F24307" t="s">
        <v>3907</v>
      </c>
      <c r="G24307" s="9">
        <v>540</v>
      </c>
      <c r="H24307" s="8">
        <v>24002</v>
      </c>
    </row>
    <row r="24308" spans="2:8" ht="15" customHeight="1" x14ac:dyDescent="0.4">
      <c r="B24308" t="s">
        <v>7</v>
      </c>
      <c r="C24308" t="s">
        <v>3906</v>
      </c>
      <c r="D24308" s="7">
        <f>DATE(2017,10,4)</f>
        <v>43012</v>
      </c>
      <c r="E24308" s="8">
        <f t="shared" si="403"/>
        <v>2017</v>
      </c>
      <c r="F24308" t="s">
        <v>3907</v>
      </c>
      <c r="G24308" s="9">
        <v>1071</v>
      </c>
      <c r="H24308" s="8">
        <v>25659</v>
      </c>
    </row>
    <row r="24309" spans="2:8" ht="15" customHeight="1" x14ac:dyDescent="0.4">
      <c r="B24309" t="s">
        <v>7</v>
      </c>
      <c r="C24309" t="s">
        <v>3906</v>
      </c>
      <c r="D24309" s="7">
        <f>DATE(2017,11,10)</f>
        <v>43049</v>
      </c>
      <c r="E24309" s="8">
        <f t="shared" si="403"/>
        <v>2017</v>
      </c>
      <c r="F24309" t="s">
        <v>3907</v>
      </c>
      <c r="G24309" s="9">
        <v>3904.48</v>
      </c>
      <c r="H24309" s="8">
        <v>25875</v>
      </c>
    </row>
    <row r="24310" spans="2:8" ht="15" customHeight="1" x14ac:dyDescent="0.4">
      <c r="B24310" t="s">
        <v>7</v>
      </c>
      <c r="C24310" t="s">
        <v>3906</v>
      </c>
      <c r="D24310" s="7">
        <f>DATE(2018,3,5)</f>
        <v>43164</v>
      </c>
      <c r="E24310" s="8">
        <f t="shared" si="403"/>
        <v>2018</v>
      </c>
      <c r="F24310" t="s">
        <v>3907</v>
      </c>
      <c r="G24310" s="9">
        <v>541</v>
      </c>
      <c r="H24310" s="8">
        <v>26577</v>
      </c>
    </row>
    <row r="24311" spans="2:8" ht="15" customHeight="1" x14ac:dyDescent="0.4">
      <c r="B24311" s="3" t="s">
        <v>7</v>
      </c>
      <c r="C24311" s="3" t="s">
        <v>3906</v>
      </c>
      <c r="D24311" s="4">
        <f>DATE(2004,9,27)</f>
        <v>38257</v>
      </c>
      <c r="E24311" s="5">
        <f t="shared" si="403"/>
        <v>2004</v>
      </c>
      <c r="F24311" s="3" t="s">
        <v>3907</v>
      </c>
      <c r="G24311" s="6">
        <v>288</v>
      </c>
      <c r="H24311" s="5">
        <v>3465</v>
      </c>
    </row>
    <row r="24312" spans="2:8" ht="15" customHeight="1" x14ac:dyDescent="0.4">
      <c r="B24312" s="3" t="s">
        <v>7</v>
      </c>
      <c r="C24312" s="3" t="s">
        <v>3906</v>
      </c>
      <c r="D24312" s="4">
        <f>DATE(2005,1,28)</f>
        <v>38380</v>
      </c>
      <c r="E24312" s="5">
        <f t="shared" si="403"/>
        <v>2005</v>
      </c>
      <c r="F24312" s="3" t="s">
        <v>3907</v>
      </c>
      <c r="G24312" s="6">
        <v>610</v>
      </c>
      <c r="H24312" s="5">
        <v>4040</v>
      </c>
    </row>
    <row r="24313" spans="2:8" ht="15" customHeight="1" x14ac:dyDescent="0.4">
      <c r="B24313" s="3" t="s">
        <v>7</v>
      </c>
      <c r="C24313" s="3" t="s">
        <v>3906</v>
      </c>
      <c r="D24313" s="4">
        <f>DATE(2005,4,5)</f>
        <v>38447</v>
      </c>
      <c r="E24313" s="5">
        <f t="shared" si="403"/>
        <v>2005</v>
      </c>
      <c r="F24313" s="3" t="s">
        <v>3907</v>
      </c>
      <c r="G24313" s="6">
        <v>1131</v>
      </c>
      <c r="H24313" s="5">
        <v>4009</v>
      </c>
    </row>
    <row r="24314" spans="2:8" ht="15" customHeight="1" x14ac:dyDescent="0.4">
      <c r="B24314" s="3" t="s">
        <v>7</v>
      </c>
      <c r="C24314" s="3" t="s">
        <v>3906</v>
      </c>
      <c r="D24314" s="4">
        <f>DATE(2005,8,17)</f>
        <v>38581</v>
      </c>
      <c r="E24314" s="5">
        <f t="shared" si="403"/>
        <v>2005</v>
      </c>
      <c r="F24314" s="3" t="s">
        <v>3907</v>
      </c>
      <c r="G24314" s="6">
        <v>571.79999999999995</v>
      </c>
      <c r="H24314" s="5">
        <v>5120</v>
      </c>
    </row>
    <row r="24315" spans="2:8" ht="15" customHeight="1" x14ac:dyDescent="0.4">
      <c r="B24315" s="3" t="s">
        <v>7</v>
      </c>
      <c r="C24315" s="3" t="s">
        <v>3906</v>
      </c>
      <c r="D24315" s="4">
        <f>DATE(2005,10,28)</f>
        <v>38653</v>
      </c>
      <c r="E24315" s="5">
        <f t="shared" si="403"/>
        <v>2005</v>
      </c>
      <c r="F24315" s="3" t="s">
        <v>3907</v>
      </c>
      <c r="G24315" s="6">
        <v>1333</v>
      </c>
      <c r="H24315" s="5">
        <v>5493</v>
      </c>
    </row>
    <row r="24316" spans="2:8" ht="15" customHeight="1" x14ac:dyDescent="0.4">
      <c r="B24316" s="3" t="s">
        <v>7</v>
      </c>
      <c r="C24316" s="3" t="s">
        <v>3906</v>
      </c>
      <c r="D24316" s="4">
        <f>DATE(2005,10,31)</f>
        <v>38656</v>
      </c>
      <c r="E24316" s="5">
        <f t="shared" si="403"/>
        <v>2005</v>
      </c>
      <c r="F24316" s="3" t="s">
        <v>3907</v>
      </c>
      <c r="G24316" s="6">
        <v>1333</v>
      </c>
      <c r="H24316" s="5">
        <v>5500</v>
      </c>
    </row>
    <row r="24317" spans="2:8" ht="15" customHeight="1" x14ac:dyDescent="0.4">
      <c r="B24317" s="3" t="s">
        <v>7</v>
      </c>
      <c r="C24317" s="3" t="s">
        <v>3906</v>
      </c>
      <c r="D24317" s="4">
        <f>DATE(2006,1,13)</f>
        <v>38730</v>
      </c>
      <c r="E24317" s="5">
        <f t="shared" si="403"/>
        <v>2006</v>
      </c>
      <c r="F24317" s="3" t="s">
        <v>3907</v>
      </c>
      <c r="G24317" s="6">
        <v>479</v>
      </c>
      <c r="H24317" s="5">
        <v>5837</v>
      </c>
    </row>
    <row r="24318" spans="2:8" ht="15" customHeight="1" x14ac:dyDescent="0.4">
      <c r="B24318" s="3" t="s">
        <v>7</v>
      </c>
      <c r="C24318" s="3" t="s">
        <v>3906</v>
      </c>
      <c r="D24318" s="4">
        <f>DATE(2006,2,3)</f>
        <v>38751</v>
      </c>
      <c r="E24318" s="5">
        <f t="shared" si="403"/>
        <v>2006</v>
      </c>
      <c r="F24318" s="3" t="s">
        <v>3907</v>
      </c>
      <c r="G24318" s="6">
        <v>952</v>
      </c>
      <c r="H24318" s="5">
        <v>5834</v>
      </c>
    </row>
    <row r="24319" spans="2:8" ht="15" customHeight="1" x14ac:dyDescent="0.4">
      <c r="B24319" s="3" t="s">
        <v>7</v>
      </c>
      <c r="C24319" s="3" t="s">
        <v>3906</v>
      </c>
      <c r="D24319" s="4">
        <f>DATE(2006,8,31)</f>
        <v>38960</v>
      </c>
      <c r="E24319" s="5">
        <f t="shared" si="403"/>
        <v>2006</v>
      </c>
      <c r="F24319" s="3" t="s">
        <v>3907</v>
      </c>
      <c r="G24319" s="6">
        <v>952</v>
      </c>
      <c r="H24319" s="5">
        <v>7172</v>
      </c>
    </row>
    <row r="24320" spans="2:8" ht="15" customHeight="1" x14ac:dyDescent="0.4">
      <c r="B24320" s="3" t="s">
        <v>7</v>
      </c>
      <c r="C24320" s="3" t="s">
        <v>3906</v>
      </c>
      <c r="D24320" s="4">
        <f>DATE(2006,12,15)</f>
        <v>39066</v>
      </c>
      <c r="E24320" s="5">
        <f t="shared" si="403"/>
        <v>2006</v>
      </c>
      <c r="F24320" s="3" t="s">
        <v>3907</v>
      </c>
      <c r="G24320" s="6">
        <v>952</v>
      </c>
      <c r="H24320" s="5">
        <v>7657</v>
      </c>
    </row>
    <row r="24321" spans="2:8" ht="15" customHeight="1" x14ac:dyDescent="0.4">
      <c r="B24321" s="3" t="s">
        <v>7</v>
      </c>
      <c r="C24321" s="3" t="s">
        <v>3906</v>
      </c>
      <c r="D24321" s="4">
        <f>DATE(2007,11,9)</f>
        <v>39395</v>
      </c>
      <c r="E24321" s="5">
        <f t="shared" si="403"/>
        <v>2007</v>
      </c>
      <c r="F24321" s="3" t="s">
        <v>3907</v>
      </c>
      <c r="G24321" s="6">
        <v>953</v>
      </c>
      <c r="H24321" s="5">
        <v>9468</v>
      </c>
    </row>
    <row r="24322" spans="2:8" ht="15" customHeight="1" x14ac:dyDescent="0.4">
      <c r="B24322" s="3" t="s">
        <v>7</v>
      </c>
      <c r="C24322" s="3" t="s">
        <v>3906</v>
      </c>
      <c r="D24322" s="4">
        <f>DATE(2008,3,28)</f>
        <v>39535</v>
      </c>
      <c r="E24322" s="5">
        <f t="shared" si="403"/>
        <v>2008</v>
      </c>
      <c r="F24322" s="3" t="s">
        <v>3907</v>
      </c>
      <c r="G24322" s="6">
        <v>953</v>
      </c>
      <c r="H24322" s="5">
        <v>10287</v>
      </c>
    </row>
    <row r="24323" spans="2:8" ht="15" customHeight="1" x14ac:dyDescent="0.4">
      <c r="B24323" s="3" t="s">
        <v>7</v>
      </c>
      <c r="C24323" s="3" t="s">
        <v>3906</v>
      </c>
      <c r="D24323" s="4">
        <f>DATE(2008,6,5)</f>
        <v>39604</v>
      </c>
      <c r="E24323" s="5">
        <f t="shared" ref="E24323:E24386" si="404">YEAR(D24323)</f>
        <v>2008</v>
      </c>
      <c r="F24323" s="3" t="s">
        <v>3907</v>
      </c>
      <c r="G24323" s="6">
        <v>1061</v>
      </c>
      <c r="H24323" s="5">
        <v>10797</v>
      </c>
    </row>
    <row r="24324" spans="2:8" ht="15" customHeight="1" x14ac:dyDescent="0.4">
      <c r="B24324" s="3" t="s">
        <v>7</v>
      </c>
      <c r="C24324" s="3" t="s">
        <v>3906</v>
      </c>
      <c r="D24324" s="4">
        <f>DATE(2008,10,29)</f>
        <v>39750</v>
      </c>
      <c r="E24324" s="5">
        <f t="shared" si="404"/>
        <v>2008</v>
      </c>
      <c r="F24324" s="3" t="s">
        <v>3907</v>
      </c>
      <c r="G24324" s="6">
        <v>534</v>
      </c>
      <c r="H24324" s="5">
        <v>11509</v>
      </c>
    </row>
    <row r="24325" spans="2:8" ht="15" customHeight="1" x14ac:dyDescent="0.4">
      <c r="B24325" s="3" t="s">
        <v>7</v>
      </c>
      <c r="C24325" s="3" t="s">
        <v>3906</v>
      </c>
      <c r="D24325" s="4">
        <f>DATE(2008,12,10)</f>
        <v>39792</v>
      </c>
      <c r="E24325" s="5">
        <f t="shared" si="404"/>
        <v>2008</v>
      </c>
      <c r="F24325" s="3" t="s">
        <v>3907</v>
      </c>
      <c r="G24325" s="6">
        <v>1061</v>
      </c>
      <c r="H24325" s="5">
        <v>11671</v>
      </c>
    </row>
    <row r="24326" spans="2:8" ht="15" customHeight="1" x14ac:dyDescent="0.4">
      <c r="B24326" s="3" t="s">
        <v>7</v>
      </c>
      <c r="C24326" s="3" t="s">
        <v>3906</v>
      </c>
      <c r="D24326" s="4">
        <f>DATE(2009,2,23)</f>
        <v>39867</v>
      </c>
      <c r="E24326" s="5">
        <f t="shared" si="404"/>
        <v>2009</v>
      </c>
      <c r="F24326" s="3" t="s">
        <v>3907</v>
      </c>
      <c r="G24326" s="6">
        <v>534</v>
      </c>
      <c r="H24326" s="5">
        <v>12022</v>
      </c>
    </row>
    <row r="24327" spans="2:8" ht="15" customHeight="1" x14ac:dyDescent="0.4">
      <c r="B24327" s="3" t="s">
        <v>7</v>
      </c>
      <c r="C24327" s="3" t="s">
        <v>3906</v>
      </c>
      <c r="D24327" s="4">
        <f>DATE(2009,9,29)</f>
        <v>40085</v>
      </c>
      <c r="E24327" s="5">
        <f t="shared" si="404"/>
        <v>2009</v>
      </c>
      <c r="F24327" s="3" t="s">
        <v>3907</v>
      </c>
      <c r="G24327" s="6">
        <v>534</v>
      </c>
      <c r="H24327" s="5">
        <v>13051</v>
      </c>
    </row>
    <row r="24328" spans="2:8" ht="15" customHeight="1" x14ac:dyDescent="0.4">
      <c r="B24328" s="3" t="s">
        <v>7</v>
      </c>
      <c r="C24328" s="3" t="s">
        <v>3906</v>
      </c>
      <c r="D24328" s="4">
        <f>DATE(2009,10,21)</f>
        <v>40107</v>
      </c>
      <c r="E24328" s="5">
        <f t="shared" si="404"/>
        <v>2009</v>
      </c>
      <c r="F24328" s="3" t="s">
        <v>3907</v>
      </c>
      <c r="G24328" s="6">
        <v>534</v>
      </c>
      <c r="H24328" s="5">
        <v>13150</v>
      </c>
    </row>
    <row r="24329" spans="2:8" ht="15" customHeight="1" x14ac:dyDescent="0.4">
      <c r="B24329" s="3" t="s">
        <v>7</v>
      </c>
      <c r="C24329" s="3" t="s">
        <v>3906</v>
      </c>
      <c r="D24329" s="4">
        <f>DATE(2009,12,2)</f>
        <v>40149</v>
      </c>
      <c r="E24329" s="5">
        <f t="shared" si="404"/>
        <v>2009</v>
      </c>
      <c r="F24329" s="3" t="s">
        <v>3907</v>
      </c>
      <c r="G24329" s="6">
        <v>534</v>
      </c>
      <c r="H24329" s="5">
        <v>13296</v>
      </c>
    </row>
    <row r="24330" spans="2:8" ht="15" customHeight="1" x14ac:dyDescent="0.4">
      <c r="B24330" s="3" t="s">
        <v>7</v>
      </c>
      <c r="C24330" s="3" t="s">
        <v>3906</v>
      </c>
      <c r="D24330" s="4">
        <f>DATE(2009,12,4)</f>
        <v>40151</v>
      </c>
      <c r="E24330" s="5">
        <f t="shared" si="404"/>
        <v>2009</v>
      </c>
      <c r="F24330" s="3" t="s">
        <v>3907</v>
      </c>
      <c r="G24330" s="6">
        <v>534</v>
      </c>
      <c r="H24330" s="5">
        <v>13324</v>
      </c>
    </row>
    <row r="24331" spans="2:8" ht="15" customHeight="1" x14ac:dyDescent="0.4">
      <c r="B24331" s="3" t="s">
        <v>7</v>
      </c>
      <c r="C24331" s="3" t="s">
        <v>3906</v>
      </c>
      <c r="D24331" s="4">
        <f>DATE(2010,2,19)</f>
        <v>40228</v>
      </c>
      <c r="E24331" s="5">
        <f t="shared" si="404"/>
        <v>2010</v>
      </c>
      <c r="F24331" s="3" t="s">
        <v>3907</v>
      </c>
      <c r="G24331" s="6">
        <v>2117.61</v>
      </c>
      <c r="H24331" s="5">
        <v>13572</v>
      </c>
    </row>
    <row r="24332" spans="2:8" ht="15" customHeight="1" x14ac:dyDescent="0.4">
      <c r="B24332" s="3" t="s">
        <v>7</v>
      </c>
      <c r="C24332" s="3" t="s">
        <v>3906</v>
      </c>
      <c r="D24332" s="4">
        <f>DATE(2010,6,4)</f>
        <v>40333</v>
      </c>
      <c r="E24332" s="5">
        <f t="shared" si="404"/>
        <v>2010</v>
      </c>
      <c r="F24332" s="3" t="s">
        <v>3907</v>
      </c>
      <c r="G24332" s="6">
        <v>1063</v>
      </c>
      <c r="H24332" s="5">
        <v>14131</v>
      </c>
    </row>
    <row r="24333" spans="2:8" ht="15" customHeight="1" x14ac:dyDescent="0.4">
      <c r="B24333" s="3" t="s">
        <v>7</v>
      </c>
      <c r="C24333" s="3" t="s">
        <v>3906</v>
      </c>
      <c r="D24333" s="4">
        <f>DATE(2010,10,18)</f>
        <v>40469</v>
      </c>
      <c r="E24333" s="5">
        <f t="shared" si="404"/>
        <v>2010</v>
      </c>
      <c r="F24333" s="3" t="s">
        <v>3907</v>
      </c>
      <c r="G24333" s="6">
        <v>1063</v>
      </c>
      <c r="H24333" s="5">
        <v>14635</v>
      </c>
    </row>
    <row r="24334" spans="2:8" ht="15" customHeight="1" x14ac:dyDescent="0.4">
      <c r="B24334" s="3" t="s">
        <v>7</v>
      </c>
      <c r="C24334" s="3" t="s">
        <v>3906</v>
      </c>
      <c r="D24334" s="4">
        <f>DATE(2010,11,15)</f>
        <v>40497</v>
      </c>
      <c r="E24334" s="5">
        <f t="shared" si="404"/>
        <v>2010</v>
      </c>
      <c r="F24334" s="3" t="s">
        <v>3907</v>
      </c>
      <c r="G24334" s="6">
        <v>535</v>
      </c>
      <c r="H24334" s="5">
        <v>14739</v>
      </c>
    </row>
    <row r="24335" spans="2:8" ht="15" customHeight="1" x14ac:dyDescent="0.4">
      <c r="B24335" s="3" t="s">
        <v>7</v>
      </c>
      <c r="C24335" s="3" t="s">
        <v>3906</v>
      </c>
      <c r="D24335" s="4">
        <f>DATE(2011,3,25)</f>
        <v>40627</v>
      </c>
      <c r="E24335" s="5">
        <f t="shared" si="404"/>
        <v>2011</v>
      </c>
      <c r="F24335" s="3" t="s">
        <v>3907</v>
      </c>
      <c r="G24335" s="6">
        <v>1064</v>
      </c>
      <c r="H24335" s="5">
        <v>15319</v>
      </c>
    </row>
    <row r="24336" spans="2:8" ht="15" customHeight="1" x14ac:dyDescent="0.4">
      <c r="B24336" s="3" t="s">
        <v>7</v>
      </c>
      <c r="C24336" s="3" t="s">
        <v>3906</v>
      </c>
      <c r="D24336" s="4">
        <f>DATE(2011,3,31)</f>
        <v>40633</v>
      </c>
      <c r="E24336" s="5">
        <f t="shared" si="404"/>
        <v>2011</v>
      </c>
      <c r="F24336" s="3" t="s">
        <v>3907</v>
      </c>
      <c r="G24336" s="6">
        <v>1064</v>
      </c>
      <c r="H24336" s="5">
        <v>15333</v>
      </c>
    </row>
    <row r="24337" spans="2:8" ht="15" customHeight="1" x14ac:dyDescent="0.4">
      <c r="B24337" s="3" t="s">
        <v>7</v>
      </c>
      <c r="C24337" s="3" t="s">
        <v>3906</v>
      </c>
      <c r="D24337" s="4">
        <f>DATE(2011,4,26)</f>
        <v>40659</v>
      </c>
      <c r="E24337" s="5">
        <f t="shared" si="404"/>
        <v>2011</v>
      </c>
      <c r="F24337" s="3" t="s">
        <v>3907</v>
      </c>
      <c r="G24337" s="6">
        <v>540</v>
      </c>
      <c r="H24337" s="5">
        <v>15483</v>
      </c>
    </row>
    <row r="24338" spans="2:8" ht="15" customHeight="1" x14ac:dyDescent="0.4">
      <c r="B24338" s="3" t="s">
        <v>7</v>
      </c>
      <c r="C24338" s="3" t="s">
        <v>3906</v>
      </c>
      <c r="D24338" s="4">
        <f>DATE(2011,4,26)</f>
        <v>40659</v>
      </c>
      <c r="E24338" s="5">
        <f t="shared" si="404"/>
        <v>2011</v>
      </c>
      <c r="F24338" s="3" t="s">
        <v>3907</v>
      </c>
      <c r="G24338" s="6">
        <v>2517.7800000000002</v>
      </c>
      <c r="H24338" s="5">
        <v>15476</v>
      </c>
    </row>
    <row r="24339" spans="2:8" ht="15" customHeight="1" x14ac:dyDescent="0.4">
      <c r="B24339" s="3" t="s">
        <v>7</v>
      </c>
      <c r="C24339" s="3" t="s">
        <v>3906</v>
      </c>
      <c r="D24339" s="4">
        <f>DATE(2011,5,12)</f>
        <v>40675</v>
      </c>
      <c r="E24339" s="5">
        <f t="shared" si="404"/>
        <v>2011</v>
      </c>
      <c r="F24339" s="3" t="s">
        <v>3907</v>
      </c>
      <c r="G24339" s="6">
        <v>2651.21</v>
      </c>
      <c r="H24339" s="5">
        <v>15542</v>
      </c>
    </row>
    <row r="24340" spans="2:8" ht="15" customHeight="1" x14ac:dyDescent="0.4">
      <c r="B24340" s="3" t="s">
        <v>7</v>
      </c>
      <c r="C24340" s="3" t="s">
        <v>3906</v>
      </c>
      <c r="D24340" s="4">
        <f>DATE(2012,2,24)</f>
        <v>40963</v>
      </c>
      <c r="E24340" s="5">
        <f t="shared" si="404"/>
        <v>2012</v>
      </c>
      <c r="F24340" s="3" t="s">
        <v>3907</v>
      </c>
      <c r="G24340" s="6">
        <v>1069</v>
      </c>
      <c r="H24340" s="5">
        <v>16591</v>
      </c>
    </row>
    <row r="24341" spans="2:8" ht="15" customHeight="1" x14ac:dyDescent="0.4">
      <c r="B24341" s="3" t="s">
        <v>7</v>
      </c>
      <c r="C24341" s="3" t="s">
        <v>3906</v>
      </c>
      <c r="D24341" s="4">
        <f>DATE(2012,3,21)</f>
        <v>40989</v>
      </c>
      <c r="E24341" s="5">
        <f t="shared" si="404"/>
        <v>2012</v>
      </c>
      <c r="F24341" s="3" t="s">
        <v>3907</v>
      </c>
      <c r="G24341" s="6">
        <v>1597.25</v>
      </c>
      <c r="H24341" s="5">
        <v>16792</v>
      </c>
    </row>
    <row r="24342" spans="2:8" ht="15" customHeight="1" x14ac:dyDescent="0.4">
      <c r="B24342" s="3" t="s">
        <v>7</v>
      </c>
      <c r="C24342" s="3" t="s">
        <v>3906</v>
      </c>
      <c r="D24342" s="4">
        <f>DATE(2012,6,15)</f>
        <v>41075</v>
      </c>
      <c r="E24342" s="5">
        <f t="shared" si="404"/>
        <v>2012</v>
      </c>
      <c r="F24342" s="3" t="s">
        <v>3907</v>
      </c>
      <c r="G24342" s="6">
        <v>2652.92</v>
      </c>
      <c r="H24342" s="5">
        <v>17268</v>
      </c>
    </row>
    <row r="24343" spans="2:8" ht="15" customHeight="1" x14ac:dyDescent="0.4">
      <c r="B24343" s="3" t="s">
        <v>7</v>
      </c>
      <c r="C24343" s="3" t="s">
        <v>3906</v>
      </c>
      <c r="D24343" s="4">
        <f>DATE(2012,7,26)</f>
        <v>41116</v>
      </c>
      <c r="E24343" s="5">
        <f t="shared" si="404"/>
        <v>2012</v>
      </c>
      <c r="F24343" s="3" t="s">
        <v>3907</v>
      </c>
      <c r="G24343" s="6">
        <v>541</v>
      </c>
      <c r="H24343" s="5">
        <v>17393</v>
      </c>
    </row>
    <row r="24344" spans="2:8" ht="15" customHeight="1" x14ac:dyDescent="0.4">
      <c r="B24344" s="3" t="s">
        <v>7</v>
      </c>
      <c r="C24344" s="3" t="s">
        <v>3906</v>
      </c>
      <c r="D24344" s="4">
        <f>DATE(2012,9,7)</f>
        <v>41159</v>
      </c>
      <c r="E24344" s="5">
        <f t="shared" si="404"/>
        <v>2012</v>
      </c>
      <c r="F24344" s="3" t="s">
        <v>3907</v>
      </c>
      <c r="G24344" s="6">
        <v>541</v>
      </c>
      <c r="H24344" s="5">
        <v>17561</v>
      </c>
    </row>
    <row r="24345" spans="2:8" ht="15" customHeight="1" x14ac:dyDescent="0.4">
      <c r="B24345" s="3" t="s">
        <v>7</v>
      </c>
      <c r="C24345" s="3" t="s">
        <v>3906</v>
      </c>
      <c r="D24345" s="4">
        <f>DATE(2012,10,11)</f>
        <v>41193</v>
      </c>
      <c r="E24345" s="5">
        <f t="shared" si="404"/>
        <v>2012</v>
      </c>
      <c r="F24345" s="3" t="s">
        <v>3907</v>
      </c>
      <c r="G24345" s="6">
        <v>541</v>
      </c>
      <c r="H24345" s="5">
        <v>17697</v>
      </c>
    </row>
    <row r="24346" spans="2:8" ht="15" customHeight="1" x14ac:dyDescent="0.4">
      <c r="B24346" s="3" t="s">
        <v>7</v>
      </c>
      <c r="C24346" s="3" t="s">
        <v>3906</v>
      </c>
      <c r="D24346" s="4">
        <f>DATE(2013,4,5)</f>
        <v>41369</v>
      </c>
      <c r="E24346" s="5">
        <f t="shared" si="404"/>
        <v>2013</v>
      </c>
      <c r="F24346" s="3" t="s">
        <v>3907</v>
      </c>
      <c r="G24346" s="6">
        <v>1071</v>
      </c>
      <c r="H24346" s="5">
        <v>18399</v>
      </c>
    </row>
    <row r="24347" spans="2:8" ht="15" customHeight="1" x14ac:dyDescent="0.4">
      <c r="B24347" t="s">
        <v>7</v>
      </c>
      <c r="C24347" t="s">
        <v>3908</v>
      </c>
      <c r="D24347" s="7">
        <f>DATE(2016,6,15)</f>
        <v>42536</v>
      </c>
      <c r="E24347" s="8">
        <f t="shared" si="404"/>
        <v>2016</v>
      </c>
      <c r="F24347" t="s">
        <v>3909</v>
      </c>
      <c r="G24347" s="9">
        <v>5100</v>
      </c>
      <c r="H24347" s="8">
        <v>22094</v>
      </c>
    </row>
    <row r="24348" spans="2:8" ht="15" customHeight="1" x14ac:dyDescent="0.4">
      <c r="B24348" t="s">
        <v>7</v>
      </c>
      <c r="C24348" t="s">
        <v>3908</v>
      </c>
      <c r="D24348" s="7">
        <f>DATE(2016,6,15)</f>
        <v>42536</v>
      </c>
      <c r="E24348" s="8">
        <f t="shared" si="404"/>
        <v>2016</v>
      </c>
      <c r="F24348" t="s">
        <v>3909</v>
      </c>
      <c r="G24348" s="9">
        <v>8900</v>
      </c>
      <c r="H24348" s="8">
        <v>22095</v>
      </c>
    </row>
    <row r="24349" spans="2:8" ht="15" customHeight="1" x14ac:dyDescent="0.4">
      <c r="B24349" t="s">
        <v>7</v>
      </c>
      <c r="C24349" t="s">
        <v>3910</v>
      </c>
      <c r="D24349" s="7">
        <f>DATE(2018,11,12)</f>
        <v>43416</v>
      </c>
      <c r="E24349" s="8">
        <f t="shared" si="404"/>
        <v>2018</v>
      </c>
      <c r="F24349" t="s">
        <v>3911</v>
      </c>
      <c r="G24349" s="9">
        <v>4997.32</v>
      </c>
      <c r="H24349" s="8">
        <v>27960</v>
      </c>
    </row>
    <row r="24350" spans="2:8" ht="15" customHeight="1" x14ac:dyDescent="0.4">
      <c r="B24350" t="s">
        <v>7</v>
      </c>
      <c r="C24350" t="s">
        <v>3910</v>
      </c>
      <c r="D24350" s="7">
        <f>DATE(2009,6,11)</f>
        <v>39975</v>
      </c>
      <c r="E24350" s="8">
        <f t="shared" si="404"/>
        <v>2009</v>
      </c>
      <c r="F24350" t="s">
        <v>3911</v>
      </c>
      <c r="G24350" s="9">
        <v>9714.06</v>
      </c>
      <c r="H24350" s="8">
        <v>8758</v>
      </c>
    </row>
    <row r="24351" spans="2:8" ht="15" customHeight="1" x14ac:dyDescent="0.4">
      <c r="B24351" t="s">
        <v>7</v>
      </c>
      <c r="C24351" t="s">
        <v>3912</v>
      </c>
      <c r="D24351" s="7">
        <f>DATE(2017,8,24)</f>
        <v>42971</v>
      </c>
      <c r="E24351" s="8">
        <f t="shared" si="404"/>
        <v>2017</v>
      </c>
      <c r="F24351" t="s">
        <v>3913</v>
      </c>
      <c r="G24351" s="9">
        <v>7988.88</v>
      </c>
      <c r="H24351" s="8">
        <v>25367</v>
      </c>
    </row>
    <row r="24352" spans="2:8" ht="15" customHeight="1" x14ac:dyDescent="0.4">
      <c r="B24352" t="s">
        <v>7</v>
      </c>
      <c r="C24352" t="s">
        <v>3912</v>
      </c>
      <c r="D24352" s="7">
        <f>DATE(2017,9,27)</f>
        <v>43005</v>
      </c>
      <c r="E24352" s="8">
        <f t="shared" si="404"/>
        <v>2017</v>
      </c>
      <c r="F24352" t="s">
        <v>3913</v>
      </c>
      <c r="G24352" s="9">
        <v>22211.14</v>
      </c>
      <c r="H24352" s="8">
        <v>25488</v>
      </c>
    </row>
    <row r="24353" spans="2:8" ht="15" customHeight="1" x14ac:dyDescent="0.4">
      <c r="B24353" t="s">
        <v>7</v>
      </c>
      <c r="C24353" t="s">
        <v>3912</v>
      </c>
      <c r="D24353" s="7">
        <f>DATE(2018,10,9)</f>
        <v>43382</v>
      </c>
      <c r="E24353" s="8">
        <f t="shared" si="404"/>
        <v>2018</v>
      </c>
      <c r="F24353" t="s">
        <v>3913</v>
      </c>
      <c r="G24353" s="9">
        <v>20939.2</v>
      </c>
      <c r="H24353" s="8">
        <v>27404</v>
      </c>
    </row>
    <row r="24354" spans="2:8" ht="15" customHeight="1" x14ac:dyDescent="0.4">
      <c r="B24354" t="s">
        <v>7</v>
      </c>
      <c r="C24354" t="s">
        <v>3912</v>
      </c>
      <c r="D24354" s="7">
        <f>DATE(2019,5,7)</f>
        <v>43592</v>
      </c>
      <c r="E24354" s="8">
        <f t="shared" si="404"/>
        <v>2019</v>
      </c>
      <c r="F24354" t="s">
        <v>3913</v>
      </c>
      <c r="G24354" s="9">
        <v>27442.27</v>
      </c>
      <c r="H24354" s="8">
        <v>28613</v>
      </c>
    </row>
    <row r="24355" spans="2:8" ht="15" customHeight="1" x14ac:dyDescent="0.4">
      <c r="B24355" t="s">
        <v>7</v>
      </c>
      <c r="C24355" t="s">
        <v>3912</v>
      </c>
      <c r="D24355" s="7">
        <f>DATE(2017,8,30)</f>
        <v>42977</v>
      </c>
      <c r="E24355" s="8">
        <f t="shared" si="404"/>
        <v>2017</v>
      </c>
      <c r="F24355" t="s">
        <v>3913</v>
      </c>
      <c r="G24355" s="9">
        <v>2112.9</v>
      </c>
      <c r="H24355" s="8">
        <v>25447</v>
      </c>
    </row>
    <row r="24356" spans="2:8" ht="15" customHeight="1" x14ac:dyDescent="0.4">
      <c r="B24356" t="s">
        <v>7</v>
      </c>
      <c r="C24356" t="s">
        <v>3912</v>
      </c>
      <c r="D24356" s="7">
        <f>DATE(2018,8,21)</f>
        <v>43333</v>
      </c>
      <c r="E24356" s="8">
        <f t="shared" si="404"/>
        <v>2018</v>
      </c>
      <c r="F24356" t="s">
        <v>3913</v>
      </c>
      <c r="G24356" s="9">
        <v>3188.2</v>
      </c>
      <c r="H24356" s="8">
        <v>27527</v>
      </c>
    </row>
    <row r="24357" spans="2:8" ht="15" customHeight="1" x14ac:dyDescent="0.4">
      <c r="B24357" t="s">
        <v>7</v>
      </c>
      <c r="C24357" t="s">
        <v>3912</v>
      </c>
      <c r="D24357" s="7">
        <f>DATE(2015,10,26)</f>
        <v>42303</v>
      </c>
      <c r="E24357" s="8">
        <f t="shared" si="404"/>
        <v>2015</v>
      </c>
      <c r="F24357" t="s">
        <v>3913</v>
      </c>
      <c r="G24357" s="9">
        <v>11299.27</v>
      </c>
      <c r="H24357" s="8">
        <v>21433</v>
      </c>
    </row>
    <row r="24358" spans="2:8" ht="15" customHeight="1" x14ac:dyDescent="0.4">
      <c r="B24358" t="s">
        <v>7</v>
      </c>
      <c r="C24358" t="s">
        <v>3912</v>
      </c>
      <c r="D24358" s="7">
        <f>DATE(2018,12,13)</f>
        <v>43447</v>
      </c>
      <c r="E24358" s="8">
        <f t="shared" si="404"/>
        <v>2018</v>
      </c>
      <c r="F24358" t="s">
        <v>3913</v>
      </c>
      <c r="G24358" s="9">
        <v>14007.95</v>
      </c>
      <c r="H24358" s="8">
        <v>28058</v>
      </c>
    </row>
    <row r="24359" spans="2:8" ht="15" customHeight="1" x14ac:dyDescent="0.4">
      <c r="B24359" t="s">
        <v>16</v>
      </c>
      <c r="C24359" t="s">
        <v>3912</v>
      </c>
      <c r="D24359" s="7">
        <f>DATE(2018,8,28)</f>
        <v>43340</v>
      </c>
      <c r="E24359" s="8">
        <f t="shared" si="404"/>
        <v>2018</v>
      </c>
      <c r="F24359" t="s">
        <v>3913</v>
      </c>
      <c r="G24359" s="9">
        <v>3188.2</v>
      </c>
      <c r="H24359" s="8">
        <v>27572</v>
      </c>
    </row>
    <row r="24360" spans="2:8" ht="15" customHeight="1" x14ac:dyDescent="0.4">
      <c r="B24360" t="s">
        <v>7</v>
      </c>
      <c r="C24360" t="s">
        <v>3912</v>
      </c>
      <c r="D24360" s="7">
        <f>DATE(2012,6,11)</f>
        <v>41071</v>
      </c>
      <c r="E24360" s="8">
        <f t="shared" si="404"/>
        <v>2012</v>
      </c>
      <c r="F24360" t="s">
        <v>3913</v>
      </c>
      <c r="G24360" s="9">
        <v>3841</v>
      </c>
      <c r="H24360" s="8">
        <v>11664</v>
      </c>
    </row>
    <row r="24361" spans="2:8" ht="15" customHeight="1" x14ac:dyDescent="0.4">
      <c r="B24361" s="3" t="s">
        <v>7</v>
      </c>
      <c r="C24361" s="3" t="s">
        <v>3912</v>
      </c>
      <c r="D24361" s="4">
        <f>DATE(2011,6,17)</f>
        <v>40711</v>
      </c>
      <c r="E24361" s="5">
        <f t="shared" si="404"/>
        <v>2011</v>
      </c>
      <c r="F24361" s="3" t="s">
        <v>3914</v>
      </c>
      <c r="G24361" s="6">
        <v>10504.28</v>
      </c>
      <c r="H24361" s="5">
        <v>15609</v>
      </c>
    </row>
    <row r="24362" spans="2:8" ht="15" customHeight="1" x14ac:dyDescent="0.4">
      <c r="B24362" s="3" t="s">
        <v>7</v>
      </c>
      <c r="C24362" s="3" t="s">
        <v>3915</v>
      </c>
      <c r="D24362" s="4">
        <f>DATE(2010,8,23)</f>
        <v>40413</v>
      </c>
      <c r="E24362" s="5">
        <f t="shared" si="404"/>
        <v>2010</v>
      </c>
      <c r="F24362" s="3" t="s">
        <v>3916</v>
      </c>
      <c r="G24362" s="6">
        <v>115.2</v>
      </c>
      <c r="H24362" s="5">
        <v>14380</v>
      </c>
    </row>
    <row r="24363" spans="2:8" ht="15" customHeight="1" x14ac:dyDescent="0.4">
      <c r="B24363" s="3" t="s">
        <v>7</v>
      </c>
      <c r="C24363" s="3" t="s">
        <v>3915</v>
      </c>
      <c r="D24363" s="4">
        <f>DATE(2010,8,27)</f>
        <v>40417</v>
      </c>
      <c r="E24363" s="5">
        <f t="shared" si="404"/>
        <v>2010</v>
      </c>
      <c r="F24363" s="3" t="s">
        <v>3916</v>
      </c>
      <c r="G24363" s="6">
        <v>202</v>
      </c>
      <c r="H24363" s="5">
        <v>14440</v>
      </c>
    </row>
    <row r="24364" spans="2:8" ht="15" customHeight="1" x14ac:dyDescent="0.4">
      <c r="B24364" s="3" t="s">
        <v>7</v>
      </c>
      <c r="C24364" s="3" t="s">
        <v>3915</v>
      </c>
      <c r="D24364" s="4">
        <f>DATE(2011,2,24)</f>
        <v>40598</v>
      </c>
      <c r="E24364" s="5">
        <f t="shared" si="404"/>
        <v>2011</v>
      </c>
      <c r="F24364" s="3" t="s">
        <v>3916</v>
      </c>
      <c r="G24364" s="6">
        <v>97.5</v>
      </c>
      <c r="H24364" s="5">
        <v>15129</v>
      </c>
    </row>
    <row r="24365" spans="2:8" ht="15" customHeight="1" x14ac:dyDescent="0.4">
      <c r="B24365" t="s">
        <v>7</v>
      </c>
      <c r="C24365" t="s">
        <v>3917</v>
      </c>
      <c r="D24365" s="7">
        <f>DATE(2004,4,24)</f>
        <v>38101</v>
      </c>
      <c r="E24365" s="8">
        <f t="shared" si="404"/>
        <v>2004</v>
      </c>
      <c r="F24365" t="s">
        <v>3918</v>
      </c>
      <c r="G24365" s="9">
        <v>4730.6000000000004</v>
      </c>
      <c r="H24365" s="8">
        <v>1702</v>
      </c>
    </row>
    <row r="24366" spans="2:8" ht="15" customHeight="1" x14ac:dyDescent="0.4">
      <c r="B24366" t="s">
        <v>7</v>
      </c>
      <c r="C24366" t="s">
        <v>3917</v>
      </c>
      <c r="D24366" s="7">
        <f>DATE(2004,5,14)</f>
        <v>38121</v>
      </c>
      <c r="E24366" s="8">
        <f t="shared" si="404"/>
        <v>2004</v>
      </c>
      <c r="F24366" t="s">
        <v>3918</v>
      </c>
      <c r="G24366" s="9">
        <v>3777.46</v>
      </c>
      <c r="H24366" s="8">
        <v>1777</v>
      </c>
    </row>
    <row r="24367" spans="2:8" ht="15" customHeight="1" x14ac:dyDescent="0.4">
      <c r="B24367" t="s">
        <v>7</v>
      </c>
      <c r="C24367" t="s">
        <v>3917</v>
      </c>
      <c r="D24367" s="7">
        <f>DATE(2004,5,20)</f>
        <v>38127</v>
      </c>
      <c r="E24367" s="8">
        <f t="shared" si="404"/>
        <v>2004</v>
      </c>
      <c r="F24367" t="s">
        <v>3919</v>
      </c>
      <c r="G24367" s="9">
        <v>4698.7299999999996</v>
      </c>
      <c r="H24367" s="8">
        <v>1798</v>
      </c>
    </row>
    <row r="24368" spans="2:8" ht="15" customHeight="1" x14ac:dyDescent="0.4">
      <c r="B24368" t="s">
        <v>7</v>
      </c>
      <c r="C24368" t="s">
        <v>3917</v>
      </c>
      <c r="D24368" s="7">
        <f>DATE(2004,5,20)</f>
        <v>38127</v>
      </c>
      <c r="E24368" s="8">
        <f t="shared" si="404"/>
        <v>2004</v>
      </c>
      <c r="F24368" t="s">
        <v>3919</v>
      </c>
      <c r="G24368" s="9">
        <v>1490</v>
      </c>
      <c r="H24368" s="8">
        <v>1815</v>
      </c>
    </row>
    <row r="24369" spans="2:8" ht="15" customHeight="1" x14ac:dyDescent="0.4">
      <c r="B24369" t="s">
        <v>7</v>
      </c>
      <c r="C24369" t="s">
        <v>3917</v>
      </c>
      <c r="D24369" s="7">
        <f>DATE(2004,7,2)</f>
        <v>38170</v>
      </c>
      <c r="E24369" s="8">
        <f t="shared" si="404"/>
        <v>2004</v>
      </c>
      <c r="F24369" t="s">
        <v>3919</v>
      </c>
      <c r="G24369" s="9">
        <v>4742.97</v>
      </c>
      <c r="H24369" s="8">
        <v>1936</v>
      </c>
    </row>
    <row r="24370" spans="2:8" ht="15" customHeight="1" x14ac:dyDescent="0.4">
      <c r="B24370" t="s">
        <v>7</v>
      </c>
      <c r="C24370" t="s">
        <v>3917</v>
      </c>
      <c r="D24370" s="7">
        <f>DATE(2005,5,14)</f>
        <v>38486</v>
      </c>
      <c r="E24370" s="8">
        <f t="shared" si="404"/>
        <v>2005</v>
      </c>
      <c r="F24370" t="s">
        <v>3919</v>
      </c>
      <c r="G24370" s="9">
        <v>3686.93</v>
      </c>
      <c r="H24370" s="8">
        <v>3204</v>
      </c>
    </row>
    <row r="24371" spans="2:8" ht="15" customHeight="1" x14ac:dyDescent="0.4">
      <c r="B24371" t="s">
        <v>7</v>
      </c>
      <c r="C24371" t="s">
        <v>3920</v>
      </c>
      <c r="D24371" s="7">
        <f>DATE(2015,4,10)</f>
        <v>42104</v>
      </c>
      <c r="E24371" s="8">
        <f t="shared" si="404"/>
        <v>2015</v>
      </c>
      <c r="F24371" t="s">
        <v>3921</v>
      </c>
      <c r="G24371" s="9">
        <v>17999.240000000002</v>
      </c>
      <c r="H24371" s="8">
        <v>192</v>
      </c>
    </row>
    <row r="24372" spans="2:8" ht="15" customHeight="1" x14ac:dyDescent="0.4">
      <c r="B24372" t="s">
        <v>7</v>
      </c>
      <c r="C24372" t="s">
        <v>3920</v>
      </c>
      <c r="D24372" s="7">
        <f>DATE(2018,5,16)</f>
        <v>43236</v>
      </c>
      <c r="E24372" s="8">
        <f t="shared" si="404"/>
        <v>2018</v>
      </c>
      <c r="F24372" t="s">
        <v>3921</v>
      </c>
      <c r="G24372" s="9">
        <v>21205</v>
      </c>
      <c r="H24372" s="8">
        <v>26324</v>
      </c>
    </row>
    <row r="24373" spans="2:8" ht="15" customHeight="1" x14ac:dyDescent="0.4">
      <c r="B24373" t="s">
        <v>7</v>
      </c>
      <c r="C24373" t="s">
        <v>3920</v>
      </c>
      <c r="D24373" s="7">
        <f>DATE(2018,5,16)</f>
        <v>43236</v>
      </c>
      <c r="E24373" s="8">
        <f t="shared" si="404"/>
        <v>2018</v>
      </c>
      <c r="F24373" t="s">
        <v>3921</v>
      </c>
      <c r="G24373" s="9">
        <v>12378</v>
      </c>
      <c r="H24373" s="8">
        <v>26716</v>
      </c>
    </row>
    <row r="24374" spans="2:8" ht="15" customHeight="1" x14ac:dyDescent="0.4">
      <c r="B24374" t="s">
        <v>7</v>
      </c>
      <c r="C24374" t="s">
        <v>3920</v>
      </c>
      <c r="D24374" s="7">
        <f>DATE(2015,7,6)</f>
        <v>42191</v>
      </c>
      <c r="E24374" s="8">
        <f t="shared" si="404"/>
        <v>2015</v>
      </c>
      <c r="F24374" t="s">
        <v>3921</v>
      </c>
      <c r="G24374" s="9">
        <v>8250</v>
      </c>
      <c r="H24374" s="8">
        <v>20732</v>
      </c>
    </row>
    <row r="24375" spans="2:8" ht="15" customHeight="1" x14ac:dyDescent="0.4">
      <c r="B24375" t="s">
        <v>7</v>
      </c>
      <c r="C24375" t="s">
        <v>3920</v>
      </c>
      <c r="D24375" s="7">
        <f>DATE(2005,11,4)</f>
        <v>38660</v>
      </c>
      <c r="E24375" s="8">
        <f t="shared" si="404"/>
        <v>2005</v>
      </c>
      <c r="F24375" t="s">
        <v>3921</v>
      </c>
      <c r="G24375" s="9">
        <v>14800</v>
      </c>
      <c r="H24375" s="8">
        <v>3466</v>
      </c>
    </row>
    <row r="24376" spans="2:8" ht="15" customHeight="1" x14ac:dyDescent="0.4">
      <c r="B24376" t="s">
        <v>7</v>
      </c>
      <c r="C24376" t="s">
        <v>3920</v>
      </c>
      <c r="D24376" s="7">
        <f>DATE(2007,1,25)</f>
        <v>39107</v>
      </c>
      <c r="E24376" s="8">
        <f t="shared" si="404"/>
        <v>2007</v>
      </c>
      <c r="F24376" t="s">
        <v>3921</v>
      </c>
      <c r="G24376" s="9">
        <v>14268</v>
      </c>
      <c r="H24376" s="8">
        <v>4882</v>
      </c>
    </row>
    <row r="24377" spans="2:8" ht="15" customHeight="1" x14ac:dyDescent="0.4">
      <c r="B24377" t="s">
        <v>7</v>
      </c>
      <c r="C24377" t="s">
        <v>3920</v>
      </c>
      <c r="D24377" s="7">
        <f>DATE(2007,1,23)</f>
        <v>39105</v>
      </c>
      <c r="E24377" s="8">
        <f t="shared" si="404"/>
        <v>2007</v>
      </c>
      <c r="F24377" t="s">
        <v>3921</v>
      </c>
      <c r="G24377" s="9">
        <v>4500</v>
      </c>
      <c r="H24377" s="8">
        <v>5390</v>
      </c>
    </row>
    <row r="24378" spans="2:8" ht="15" customHeight="1" x14ac:dyDescent="0.4">
      <c r="B24378" t="s">
        <v>7</v>
      </c>
      <c r="C24378" t="s">
        <v>3920</v>
      </c>
      <c r="D24378" s="7">
        <f>DATE(2008,3,20)</f>
        <v>39527</v>
      </c>
      <c r="E24378" s="8">
        <f t="shared" si="404"/>
        <v>2008</v>
      </c>
      <c r="F24378" t="s">
        <v>3921</v>
      </c>
      <c r="G24378" s="9">
        <v>14428</v>
      </c>
      <c r="H24378" s="8">
        <v>6806</v>
      </c>
    </row>
    <row r="24379" spans="2:8" ht="15" customHeight="1" x14ac:dyDescent="0.4">
      <c r="B24379" t="s">
        <v>7</v>
      </c>
      <c r="C24379" t="s">
        <v>3920</v>
      </c>
      <c r="D24379" s="7">
        <f>DATE(2009,3,4)</f>
        <v>39876</v>
      </c>
      <c r="E24379" s="8">
        <f t="shared" si="404"/>
        <v>2009</v>
      </c>
      <c r="F24379" t="s">
        <v>3921</v>
      </c>
      <c r="G24379" s="9">
        <v>15719</v>
      </c>
      <c r="H24379" s="8">
        <v>8089</v>
      </c>
    </row>
    <row r="24380" spans="2:8" ht="15" customHeight="1" x14ac:dyDescent="0.4">
      <c r="B24380" t="s">
        <v>7</v>
      </c>
      <c r="C24380" t="s">
        <v>3920</v>
      </c>
      <c r="D24380" s="7">
        <f>DATE(2010,2,20)</f>
        <v>40229</v>
      </c>
      <c r="E24380" s="8">
        <f t="shared" si="404"/>
        <v>2010</v>
      </c>
      <c r="F24380" t="s">
        <v>3921</v>
      </c>
      <c r="G24380" s="9">
        <v>15998</v>
      </c>
      <c r="H24380" s="8">
        <v>9230</v>
      </c>
    </row>
    <row r="24381" spans="2:8" ht="15" customHeight="1" x14ac:dyDescent="0.4">
      <c r="B24381" t="s">
        <v>7</v>
      </c>
      <c r="C24381" t="s">
        <v>3920</v>
      </c>
      <c r="D24381" s="7">
        <f>DATE(2010,3,9)</f>
        <v>40246</v>
      </c>
      <c r="E24381" s="8">
        <f t="shared" si="404"/>
        <v>2010</v>
      </c>
      <c r="F24381" t="s">
        <v>3921</v>
      </c>
      <c r="G24381" s="9">
        <v>2218.98</v>
      </c>
      <c r="H24381" s="8">
        <v>9634</v>
      </c>
    </row>
    <row r="24382" spans="2:8" ht="15" customHeight="1" x14ac:dyDescent="0.4">
      <c r="B24382" t="s">
        <v>7</v>
      </c>
      <c r="C24382" t="s">
        <v>3920</v>
      </c>
      <c r="D24382" s="7">
        <f>DATE(2011,5,25)</f>
        <v>40688</v>
      </c>
      <c r="E24382" s="8">
        <f t="shared" si="404"/>
        <v>2011</v>
      </c>
      <c r="F24382" t="s">
        <v>3921</v>
      </c>
      <c r="G24382" s="9">
        <v>15998</v>
      </c>
      <c r="H24382" s="8">
        <v>10619</v>
      </c>
    </row>
    <row r="24383" spans="2:8" ht="15" customHeight="1" x14ac:dyDescent="0.4">
      <c r="B24383" s="3" t="s">
        <v>7</v>
      </c>
      <c r="C24383" s="3" t="s">
        <v>3920</v>
      </c>
      <c r="D24383" s="4">
        <f>DATE(2003,1,27)</f>
        <v>37648</v>
      </c>
      <c r="E24383" s="5">
        <f t="shared" si="404"/>
        <v>2003</v>
      </c>
      <c r="F24383" s="3" t="s">
        <v>3921</v>
      </c>
      <c r="G24383" s="6">
        <v>2880</v>
      </c>
      <c r="H24383" s="5">
        <v>139</v>
      </c>
    </row>
    <row r="24384" spans="2:8" ht="15" customHeight="1" x14ac:dyDescent="0.4">
      <c r="B24384" s="3" t="s">
        <v>7</v>
      </c>
      <c r="C24384" s="3" t="s">
        <v>3920</v>
      </c>
      <c r="D24384" s="4">
        <f>DATE(2003,4,23)</f>
        <v>37734</v>
      </c>
      <c r="E24384" s="5">
        <f t="shared" si="404"/>
        <v>2003</v>
      </c>
      <c r="F24384" s="3" t="s">
        <v>3921</v>
      </c>
      <c r="G24384" s="6">
        <v>2880</v>
      </c>
      <c r="H24384" s="5">
        <v>816</v>
      </c>
    </row>
    <row r="24385" spans="2:8" ht="15" customHeight="1" x14ac:dyDescent="0.4">
      <c r="B24385" s="3" t="s">
        <v>7</v>
      </c>
      <c r="C24385" s="3" t="s">
        <v>3920</v>
      </c>
      <c r="D24385" s="4">
        <f>DATE(2005,9,12)</f>
        <v>38607</v>
      </c>
      <c r="E24385" s="5">
        <f t="shared" si="404"/>
        <v>2005</v>
      </c>
      <c r="F24385" s="3" t="s">
        <v>3921</v>
      </c>
      <c r="G24385" s="6">
        <v>287</v>
      </c>
      <c r="H24385" s="5">
        <v>5241</v>
      </c>
    </row>
    <row r="24386" spans="2:8" ht="15" customHeight="1" x14ac:dyDescent="0.4">
      <c r="B24386" s="3" t="s">
        <v>7</v>
      </c>
      <c r="C24386" s="3" t="s">
        <v>3920</v>
      </c>
      <c r="D24386" s="4">
        <f>DATE(2007,1,18)</f>
        <v>39100</v>
      </c>
      <c r="E24386" s="5">
        <f t="shared" si="404"/>
        <v>2007</v>
      </c>
      <c r="F24386" s="3" t="s">
        <v>3921</v>
      </c>
      <c r="G24386" s="6">
        <v>459.2</v>
      </c>
      <c r="H24386" s="5">
        <v>7765</v>
      </c>
    </row>
    <row r="24387" spans="2:8" ht="15" customHeight="1" x14ac:dyDescent="0.4">
      <c r="B24387" t="s">
        <v>7</v>
      </c>
      <c r="C24387" t="s">
        <v>3922</v>
      </c>
      <c r="D24387" s="7">
        <f>DATE(2018,6,11)</f>
        <v>43262</v>
      </c>
      <c r="E24387" s="8">
        <f t="shared" ref="E24387:E24450" si="405">YEAR(D24387)</f>
        <v>2018</v>
      </c>
      <c r="F24387" t="s">
        <v>3923</v>
      </c>
      <c r="G24387" s="9">
        <v>12921.19</v>
      </c>
      <c r="H24387" s="8">
        <v>27111</v>
      </c>
    </row>
    <row r="24388" spans="2:8" ht="15" customHeight="1" x14ac:dyDescent="0.4">
      <c r="B24388" t="s">
        <v>7</v>
      </c>
      <c r="C24388" t="s">
        <v>3922</v>
      </c>
      <c r="D24388" s="7">
        <f>DATE(2018,9,10)</f>
        <v>43353</v>
      </c>
      <c r="E24388" s="8">
        <f t="shared" si="405"/>
        <v>2018</v>
      </c>
      <c r="F24388" t="s">
        <v>3923</v>
      </c>
      <c r="G24388" s="9">
        <v>19884.669999999998</v>
      </c>
      <c r="H24388" s="8">
        <v>27243</v>
      </c>
    </row>
    <row r="24389" spans="2:8" ht="15" customHeight="1" x14ac:dyDescent="0.4">
      <c r="B24389" t="s">
        <v>7</v>
      </c>
      <c r="C24389" t="s">
        <v>3922</v>
      </c>
      <c r="D24389" s="7">
        <f>DATE(2019,1,28)</f>
        <v>43493</v>
      </c>
      <c r="E24389" s="8">
        <f t="shared" si="405"/>
        <v>2019</v>
      </c>
      <c r="F24389" t="s">
        <v>3923</v>
      </c>
      <c r="G24389" s="9">
        <v>18020.11</v>
      </c>
      <c r="H24389" s="8">
        <v>28189</v>
      </c>
    </row>
    <row r="24390" spans="2:8" ht="15" customHeight="1" x14ac:dyDescent="0.4">
      <c r="B24390" s="3" t="s">
        <v>7</v>
      </c>
      <c r="C24390" s="3" t="s">
        <v>3922</v>
      </c>
      <c r="D24390" s="4">
        <f>DATE(2013,8,5)</f>
        <v>41491</v>
      </c>
      <c r="E24390" s="5">
        <f t="shared" si="405"/>
        <v>2013</v>
      </c>
      <c r="F24390" s="3" t="s">
        <v>3923</v>
      </c>
      <c r="G24390" s="6">
        <v>850</v>
      </c>
      <c r="H24390" s="5">
        <v>18826</v>
      </c>
    </row>
    <row r="24391" spans="2:8" ht="15" customHeight="1" x14ac:dyDescent="0.4">
      <c r="B24391" s="3" t="s">
        <v>7</v>
      </c>
      <c r="C24391" s="3" t="s">
        <v>3922</v>
      </c>
      <c r="D24391" s="4">
        <f>DATE(2013,10,3)</f>
        <v>41550</v>
      </c>
      <c r="E24391" s="5">
        <f t="shared" si="405"/>
        <v>2013</v>
      </c>
      <c r="F24391" s="3" t="s">
        <v>3923</v>
      </c>
      <c r="G24391" s="6">
        <v>413.24</v>
      </c>
      <c r="H24391" s="5">
        <v>19017</v>
      </c>
    </row>
    <row r="24392" spans="2:8" ht="15" customHeight="1" x14ac:dyDescent="0.4">
      <c r="B24392" t="s">
        <v>7</v>
      </c>
      <c r="C24392" t="s">
        <v>3924</v>
      </c>
      <c r="D24392" s="7">
        <f>DATE(2006,1,31)</f>
        <v>38748</v>
      </c>
      <c r="E24392" s="8">
        <f t="shared" si="405"/>
        <v>2006</v>
      </c>
      <c r="F24392" t="s">
        <v>3925</v>
      </c>
      <c r="G24392" s="9">
        <v>6522.5</v>
      </c>
      <c r="H24392" s="8">
        <v>3987</v>
      </c>
    </row>
    <row r="24393" spans="2:8" ht="15" customHeight="1" x14ac:dyDescent="0.4">
      <c r="B24393" t="s">
        <v>7</v>
      </c>
      <c r="C24393" t="s">
        <v>3924</v>
      </c>
      <c r="D24393" s="7">
        <f>DATE(2008,2,28)</f>
        <v>39506</v>
      </c>
      <c r="E24393" s="8">
        <f t="shared" si="405"/>
        <v>2008</v>
      </c>
      <c r="F24393" t="s">
        <v>3925</v>
      </c>
      <c r="G24393" s="9">
        <v>17235</v>
      </c>
      <c r="H24393" s="8">
        <v>6946</v>
      </c>
    </row>
    <row r="24394" spans="2:8" ht="15" customHeight="1" x14ac:dyDescent="0.4">
      <c r="B24394" t="s">
        <v>7</v>
      </c>
      <c r="C24394" t="s">
        <v>3924</v>
      </c>
      <c r="D24394" s="7">
        <f>DATE(2008,4,11)</f>
        <v>39549</v>
      </c>
      <c r="E24394" s="8">
        <f t="shared" si="405"/>
        <v>2008</v>
      </c>
      <c r="F24394" t="s">
        <v>3925</v>
      </c>
      <c r="G24394" s="9">
        <v>16735.73</v>
      </c>
      <c r="H24394" s="8">
        <v>7035</v>
      </c>
    </row>
    <row r="24395" spans="2:8" ht="15" customHeight="1" x14ac:dyDescent="0.4">
      <c r="B24395" t="s">
        <v>7</v>
      </c>
      <c r="C24395" t="s">
        <v>3924</v>
      </c>
      <c r="D24395" s="7">
        <f>DATE(2011,10,19)</f>
        <v>40835</v>
      </c>
      <c r="E24395" s="8">
        <f t="shared" si="405"/>
        <v>2011</v>
      </c>
      <c r="F24395" t="s">
        <v>3925</v>
      </c>
      <c r="G24395" s="9">
        <v>8819.75</v>
      </c>
      <c r="H24395" s="8">
        <v>11079</v>
      </c>
    </row>
    <row r="24396" spans="2:8" ht="15" customHeight="1" x14ac:dyDescent="0.4">
      <c r="B24396" t="s">
        <v>7</v>
      </c>
      <c r="C24396" t="s">
        <v>3924</v>
      </c>
      <c r="D24396" s="7">
        <f>DATE(2012,3,6)</f>
        <v>40974</v>
      </c>
      <c r="E24396" s="8">
        <f t="shared" si="405"/>
        <v>2012</v>
      </c>
      <c r="F24396" t="s">
        <v>3925</v>
      </c>
      <c r="G24396" s="9">
        <v>6794.26</v>
      </c>
      <c r="H24396" s="8">
        <v>11267</v>
      </c>
    </row>
    <row r="24397" spans="2:8" ht="15" customHeight="1" x14ac:dyDescent="0.4">
      <c r="B24397" t="s">
        <v>7</v>
      </c>
      <c r="C24397" t="s">
        <v>3924</v>
      </c>
      <c r="D24397" s="7">
        <f>DATE(2012,5,18)</f>
        <v>41047</v>
      </c>
      <c r="E24397" s="8">
        <f t="shared" si="405"/>
        <v>2012</v>
      </c>
      <c r="F24397" t="s">
        <v>3925</v>
      </c>
      <c r="G24397" s="9">
        <v>9067.6</v>
      </c>
      <c r="H24397" s="8">
        <v>11611</v>
      </c>
    </row>
    <row r="24398" spans="2:8" ht="15" customHeight="1" x14ac:dyDescent="0.4">
      <c r="B24398" t="s">
        <v>7</v>
      </c>
      <c r="C24398" t="s">
        <v>3924</v>
      </c>
      <c r="D24398" s="7">
        <f>DATE(2012,6,5)</f>
        <v>41065</v>
      </c>
      <c r="E24398" s="8">
        <f t="shared" si="405"/>
        <v>2012</v>
      </c>
      <c r="F24398" t="s">
        <v>3925</v>
      </c>
      <c r="G24398" s="9">
        <v>8050.38</v>
      </c>
      <c r="H24398" s="8">
        <v>11662</v>
      </c>
    </row>
    <row r="24399" spans="2:8" ht="15" customHeight="1" x14ac:dyDescent="0.4">
      <c r="B24399" t="s">
        <v>7</v>
      </c>
      <c r="C24399" t="s">
        <v>3926</v>
      </c>
      <c r="D24399" s="7">
        <f>DATE(2010,9,2)</f>
        <v>40423</v>
      </c>
      <c r="E24399" s="8">
        <f t="shared" si="405"/>
        <v>2010</v>
      </c>
      <c r="F24399" t="s">
        <v>3927</v>
      </c>
      <c r="G24399" s="9">
        <v>7598</v>
      </c>
      <c r="H24399" s="8">
        <v>9989</v>
      </c>
    </row>
    <row r="24400" spans="2:8" ht="15" customHeight="1" x14ac:dyDescent="0.4">
      <c r="B24400" s="3" t="s">
        <v>7</v>
      </c>
      <c r="C24400" s="3" t="s">
        <v>3928</v>
      </c>
      <c r="D24400" s="4">
        <f>DATE(2009,6,24)</f>
        <v>39988</v>
      </c>
      <c r="E24400" s="5">
        <f t="shared" si="405"/>
        <v>2009</v>
      </c>
      <c r="F24400" s="3" t="s">
        <v>3929</v>
      </c>
      <c r="G24400" s="6">
        <v>5767.75</v>
      </c>
      <c r="H24400" s="5">
        <v>12706</v>
      </c>
    </row>
    <row r="24401" spans="2:8" ht="15" customHeight="1" x14ac:dyDescent="0.4">
      <c r="B24401" s="3" t="s">
        <v>16</v>
      </c>
      <c r="C24401" s="3" t="s">
        <v>3928</v>
      </c>
      <c r="D24401" s="4">
        <f>DATE(2009,9,22)</f>
        <v>40078</v>
      </c>
      <c r="E24401" s="5">
        <f t="shared" si="405"/>
        <v>2009</v>
      </c>
      <c r="F24401" s="3" t="s">
        <v>3929</v>
      </c>
      <c r="G24401" s="6">
        <v>454.14</v>
      </c>
      <c r="H24401" s="5">
        <v>13047</v>
      </c>
    </row>
    <row r="24402" spans="2:8" ht="15" customHeight="1" x14ac:dyDescent="0.4">
      <c r="B24402" t="s">
        <v>7</v>
      </c>
      <c r="C24402" t="s">
        <v>3930</v>
      </c>
      <c r="D24402" s="7">
        <f>DATE(2012,3,15)</f>
        <v>40983</v>
      </c>
      <c r="E24402" s="8">
        <f t="shared" si="405"/>
        <v>2012</v>
      </c>
      <c r="F24402" t="s">
        <v>3931</v>
      </c>
      <c r="G24402" s="9">
        <v>28619.06</v>
      </c>
      <c r="H24402" s="8">
        <v>11446</v>
      </c>
    </row>
    <row r="24403" spans="2:8" ht="15" customHeight="1" x14ac:dyDescent="0.4">
      <c r="B24403" t="s">
        <v>7</v>
      </c>
      <c r="C24403" t="s">
        <v>3930</v>
      </c>
      <c r="D24403" s="7">
        <f>DATE(2012,4,11)</f>
        <v>41010</v>
      </c>
      <c r="E24403" s="8">
        <f t="shared" si="405"/>
        <v>2012</v>
      </c>
      <c r="F24403" t="s">
        <v>3931</v>
      </c>
      <c r="G24403" s="9">
        <v>9813.65</v>
      </c>
      <c r="H24403" s="8">
        <v>11514</v>
      </c>
    </row>
    <row r="24404" spans="2:8" ht="15" customHeight="1" x14ac:dyDescent="0.4">
      <c r="B24404" t="s">
        <v>7</v>
      </c>
      <c r="C24404" t="s">
        <v>3932</v>
      </c>
      <c r="D24404" s="7">
        <f>DATE(2004,2,13)</f>
        <v>38030</v>
      </c>
      <c r="E24404" s="8">
        <f t="shared" si="405"/>
        <v>2004</v>
      </c>
      <c r="F24404" t="s">
        <v>3933</v>
      </c>
      <c r="G24404" s="9">
        <v>490</v>
      </c>
      <c r="H24404" s="8">
        <v>1289</v>
      </c>
    </row>
    <row r="24405" spans="2:8" ht="15" customHeight="1" x14ac:dyDescent="0.4">
      <c r="B24405" t="s">
        <v>7</v>
      </c>
      <c r="C24405" t="s">
        <v>3932</v>
      </c>
      <c r="D24405" s="7">
        <f>DATE(2009,4,15)</f>
        <v>39918</v>
      </c>
      <c r="E24405" s="8">
        <f t="shared" si="405"/>
        <v>2009</v>
      </c>
      <c r="F24405" t="s">
        <v>3933</v>
      </c>
      <c r="G24405" s="9">
        <v>900</v>
      </c>
      <c r="H24405" s="8">
        <v>8584</v>
      </c>
    </row>
    <row r="24406" spans="2:8" ht="15" customHeight="1" x14ac:dyDescent="0.4">
      <c r="B24406" t="s">
        <v>7</v>
      </c>
      <c r="C24406" t="s">
        <v>3932</v>
      </c>
      <c r="D24406" s="7">
        <f>DATE(2013,4,1)</f>
        <v>41365</v>
      </c>
      <c r="E24406" s="8">
        <f t="shared" si="405"/>
        <v>2013</v>
      </c>
      <c r="F24406" t="s">
        <v>3933</v>
      </c>
      <c r="G24406" s="9">
        <v>900</v>
      </c>
      <c r="H24406" s="8">
        <v>12359</v>
      </c>
    </row>
    <row r="24407" spans="2:8" ht="15" customHeight="1" x14ac:dyDescent="0.4">
      <c r="B24407" t="s">
        <v>7</v>
      </c>
      <c r="C24407" t="s">
        <v>3932</v>
      </c>
      <c r="D24407" s="7">
        <f>DATE(2010,3,17)</f>
        <v>40254</v>
      </c>
      <c r="E24407" s="8">
        <f t="shared" si="405"/>
        <v>2010</v>
      </c>
      <c r="F24407" t="s">
        <v>3933</v>
      </c>
      <c r="G24407" s="9">
        <v>6668.74</v>
      </c>
      <c r="H24407" s="8">
        <v>9620</v>
      </c>
    </row>
    <row r="24408" spans="2:8" ht="15" customHeight="1" x14ac:dyDescent="0.4">
      <c r="B24408" t="s">
        <v>7</v>
      </c>
      <c r="C24408" t="s">
        <v>3934</v>
      </c>
      <c r="D24408" s="7">
        <f>DATE(2015,11,18)</f>
        <v>42326</v>
      </c>
      <c r="E24408" s="8">
        <f t="shared" si="405"/>
        <v>2015</v>
      </c>
      <c r="F24408" t="s">
        <v>3935</v>
      </c>
      <c r="G24408" s="9">
        <v>19240</v>
      </c>
      <c r="H24408" s="8">
        <v>21465</v>
      </c>
    </row>
    <row r="24409" spans="2:8" ht="15" customHeight="1" x14ac:dyDescent="0.4">
      <c r="B24409" t="s">
        <v>7</v>
      </c>
      <c r="C24409" t="s">
        <v>3934</v>
      </c>
      <c r="D24409" s="7">
        <f>DATE(2015,11,30)</f>
        <v>42338</v>
      </c>
      <c r="E24409" s="8">
        <f t="shared" si="405"/>
        <v>2015</v>
      </c>
      <c r="F24409" t="s">
        <v>3935</v>
      </c>
      <c r="G24409" s="9">
        <v>19240</v>
      </c>
      <c r="H24409" s="8">
        <v>21468</v>
      </c>
    </row>
    <row r="24410" spans="2:8" ht="15" customHeight="1" x14ac:dyDescent="0.4">
      <c r="B24410" t="s">
        <v>7</v>
      </c>
      <c r="C24410" t="s">
        <v>3934</v>
      </c>
      <c r="D24410" s="7">
        <f>DATE(2015,11,30)</f>
        <v>42338</v>
      </c>
      <c r="E24410" s="8">
        <f t="shared" si="405"/>
        <v>2015</v>
      </c>
      <c r="F24410" t="s">
        <v>3935</v>
      </c>
      <c r="G24410" s="9">
        <v>16522</v>
      </c>
      <c r="H24410" s="8">
        <v>21466</v>
      </c>
    </row>
    <row r="24411" spans="2:8" ht="15" customHeight="1" x14ac:dyDescent="0.4">
      <c r="B24411" t="s">
        <v>7</v>
      </c>
      <c r="C24411" t="s">
        <v>3934</v>
      </c>
      <c r="D24411" s="7">
        <f>DATE(2016,5,16)</f>
        <v>42506</v>
      </c>
      <c r="E24411" s="8">
        <f t="shared" si="405"/>
        <v>2016</v>
      </c>
      <c r="F24411" t="s">
        <v>3935</v>
      </c>
      <c r="G24411" s="9">
        <v>16522</v>
      </c>
      <c r="H24411" s="8">
        <v>21467</v>
      </c>
    </row>
    <row r="24412" spans="2:8" ht="15" customHeight="1" x14ac:dyDescent="0.4">
      <c r="B24412" t="s">
        <v>7</v>
      </c>
      <c r="C24412" t="s">
        <v>3934</v>
      </c>
      <c r="D24412" s="7">
        <f>DATE(2017,1,3)</f>
        <v>42738</v>
      </c>
      <c r="E24412" s="8">
        <f t="shared" si="405"/>
        <v>2017</v>
      </c>
      <c r="F24412" t="s">
        <v>3935</v>
      </c>
      <c r="G24412" s="9">
        <v>19478</v>
      </c>
      <c r="H24412" s="8">
        <v>24054</v>
      </c>
    </row>
    <row r="24413" spans="2:8" ht="15" customHeight="1" x14ac:dyDescent="0.4">
      <c r="B24413" t="s">
        <v>7</v>
      </c>
      <c r="C24413" t="s">
        <v>3934</v>
      </c>
      <c r="D24413" s="7">
        <f>DATE(2017,8,8)</f>
        <v>42955</v>
      </c>
      <c r="E24413" s="8">
        <f t="shared" si="405"/>
        <v>2017</v>
      </c>
      <c r="F24413" t="s">
        <v>3935</v>
      </c>
      <c r="G24413" s="9">
        <v>18017.05</v>
      </c>
      <c r="H24413" s="8">
        <v>25307</v>
      </c>
    </row>
    <row r="24414" spans="2:8" ht="15" customHeight="1" x14ac:dyDescent="0.4">
      <c r="B24414" t="s">
        <v>7</v>
      </c>
      <c r="C24414" t="s">
        <v>3934</v>
      </c>
      <c r="D24414" s="7">
        <f>DATE(2018,4,5)</f>
        <v>43195</v>
      </c>
      <c r="E24414" s="8">
        <f t="shared" si="405"/>
        <v>2018</v>
      </c>
      <c r="F24414" t="s">
        <v>3935</v>
      </c>
      <c r="G24414" s="9">
        <v>32260.85</v>
      </c>
      <c r="H24414" s="8">
        <v>26332</v>
      </c>
    </row>
    <row r="24415" spans="2:8" ht="15" customHeight="1" x14ac:dyDescent="0.4">
      <c r="B24415" t="s">
        <v>7</v>
      </c>
      <c r="C24415" t="s">
        <v>3934</v>
      </c>
      <c r="D24415" s="7">
        <f>DATE(2018,4,5)</f>
        <v>43195</v>
      </c>
      <c r="E24415" s="8">
        <f t="shared" si="405"/>
        <v>2018</v>
      </c>
      <c r="F24415" t="s">
        <v>3935</v>
      </c>
      <c r="G24415" s="9">
        <v>13490.25</v>
      </c>
      <c r="H24415" s="8">
        <v>26356</v>
      </c>
    </row>
    <row r="24416" spans="2:8" ht="15" customHeight="1" x14ac:dyDescent="0.4">
      <c r="B24416" t="s">
        <v>7</v>
      </c>
      <c r="C24416" t="s">
        <v>3934</v>
      </c>
      <c r="D24416" s="7">
        <f>DATE(2018,5,18)</f>
        <v>43238</v>
      </c>
      <c r="E24416" s="8">
        <f t="shared" si="405"/>
        <v>2018</v>
      </c>
      <c r="F24416" t="s">
        <v>3935</v>
      </c>
      <c r="G24416" s="9">
        <v>16950</v>
      </c>
      <c r="H24416" s="8">
        <v>26955</v>
      </c>
    </row>
    <row r="24417" spans="2:8" ht="15" customHeight="1" x14ac:dyDescent="0.4">
      <c r="B24417" t="s">
        <v>7</v>
      </c>
      <c r="C24417" t="s">
        <v>3934</v>
      </c>
      <c r="D24417" s="7">
        <f>DATE(2018,5,18)</f>
        <v>43238</v>
      </c>
      <c r="E24417" s="8">
        <f t="shared" si="405"/>
        <v>2018</v>
      </c>
      <c r="F24417" t="s">
        <v>3935</v>
      </c>
      <c r="G24417" s="9">
        <v>11520.5</v>
      </c>
      <c r="H24417" s="8">
        <v>26957</v>
      </c>
    </row>
    <row r="24418" spans="2:8" ht="15" customHeight="1" x14ac:dyDescent="0.4">
      <c r="B24418" t="s">
        <v>7</v>
      </c>
      <c r="C24418" t="s">
        <v>3934</v>
      </c>
      <c r="D24418" s="7">
        <f>DATE(2018,5,18)</f>
        <v>43238</v>
      </c>
      <c r="E24418" s="8">
        <f t="shared" si="405"/>
        <v>2018</v>
      </c>
      <c r="F24418" t="s">
        <v>3935</v>
      </c>
      <c r="G24418" s="9">
        <v>16950</v>
      </c>
      <c r="H24418" s="8">
        <v>26954</v>
      </c>
    </row>
    <row r="24419" spans="2:8" ht="15" customHeight="1" x14ac:dyDescent="0.4">
      <c r="B24419" t="s">
        <v>7</v>
      </c>
      <c r="C24419" t="s">
        <v>3934</v>
      </c>
      <c r="D24419" s="7">
        <f>DATE(2018,5,18)</f>
        <v>43238</v>
      </c>
      <c r="E24419" s="8">
        <f t="shared" si="405"/>
        <v>2018</v>
      </c>
      <c r="F24419" t="s">
        <v>3935</v>
      </c>
      <c r="G24419" s="9">
        <v>9853</v>
      </c>
      <c r="H24419" s="8">
        <v>26956</v>
      </c>
    </row>
    <row r="24420" spans="2:8" ht="15" customHeight="1" x14ac:dyDescent="0.4">
      <c r="B24420" t="s">
        <v>7</v>
      </c>
      <c r="C24420" t="s">
        <v>3934</v>
      </c>
      <c r="D24420" s="7">
        <f>DATE(2019,4,23)</f>
        <v>43578</v>
      </c>
      <c r="E24420" s="8">
        <f t="shared" si="405"/>
        <v>2019</v>
      </c>
      <c r="F24420" t="s">
        <v>3935</v>
      </c>
      <c r="G24420" s="9">
        <v>13902</v>
      </c>
      <c r="H24420" s="8">
        <v>28296</v>
      </c>
    </row>
    <row r="24421" spans="2:8" ht="15" customHeight="1" x14ac:dyDescent="0.4">
      <c r="B24421" t="s">
        <v>7</v>
      </c>
      <c r="C24421" t="s">
        <v>3934</v>
      </c>
      <c r="D24421" s="7">
        <f>DATE(2019,4,23)</f>
        <v>43578</v>
      </c>
      <c r="E24421" s="8">
        <f t="shared" si="405"/>
        <v>2019</v>
      </c>
      <c r="F24421" t="s">
        <v>3935</v>
      </c>
      <c r="G24421" s="9">
        <v>15900</v>
      </c>
      <c r="H24421" s="8">
        <v>28303</v>
      </c>
    </row>
    <row r="24422" spans="2:8" ht="15" customHeight="1" x14ac:dyDescent="0.4">
      <c r="B24422" t="s">
        <v>7</v>
      </c>
      <c r="C24422" t="s">
        <v>3934</v>
      </c>
      <c r="D24422" s="7">
        <f>DATE(2019,5,9)</f>
        <v>43594</v>
      </c>
      <c r="E24422" s="8">
        <f t="shared" si="405"/>
        <v>2019</v>
      </c>
      <c r="F24422" t="s">
        <v>3935</v>
      </c>
      <c r="G24422" s="9">
        <v>17330</v>
      </c>
      <c r="H24422" s="8">
        <v>28288</v>
      </c>
    </row>
    <row r="24423" spans="2:8" ht="15" customHeight="1" x14ac:dyDescent="0.4">
      <c r="B24423" t="s">
        <v>7</v>
      </c>
      <c r="C24423" t="s">
        <v>3934</v>
      </c>
      <c r="D24423" s="7">
        <f>DATE(2019,5,16)</f>
        <v>43601</v>
      </c>
      <c r="E24423" s="8">
        <f t="shared" si="405"/>
        <v>2019</v>
      </c>
      <c r="F24423" t="s">
        <v>3935</v>
      </c>
      <c r="G24423" s="9">
        <v>14900</v>
      </c>
      <c r="H24423" s="8">
        <v>28282</v>
      </c>
    </row>
    <row r="24424" spans="2:8" ht="15" customHeight="1" x14ac:dyDescent="0.4">
      <c r="B24424" t="s">
        <v>7</v>
      </c>
      <c r="C24424" t="s">
        <v>3934</v>
      </c>
      <c r="D24424" s="7">
        <f>DATE(2015,10,1)</f>
        <v>42278</v>
      </c>
      <c r="E24424" s="8">
        <f t="shared" si="405"/>
        <v>2015</v>
      </c>
      <c r="F24424" t="s">
        <v>3935</v>
      </c>
      <c r="G24424" s="9">
        <v>19343.7</v>
      </c>
      <c r="H24424" s="8">
        <v>21214</v>
      </c>
    </row>
    <row r="24425" spans="2:8" ht="15" customHeight="1" x14ac:dyDescent="0.4">
      <c r="B24425" t="s">
        <v>7</v>
      </c>
      <c r="C24425" t="s">
        <v>3934</v>
      </c>
      <c r="D24425" s="7">
        <f>DATE(2016,6,29)</f>
        <v>42550</v>
      </c>
      <c r="E24425" s="8">
        <f t="shared" si="405"/>
        <v>2016</v>
      </c>
      <c r="F24425" t="s">
        <v>3935</v>
      </c>
      <c r="G24425" s="9">
        <v>48400</v>
      </c>
      <c r="H24425" s="8">
        <v>22963</v>
      </c>
    </row>
    <row r="24426" spans="2:8" ht="15" customHeight="1" x14ac:dyDescent="0.4">
      <c r="B24426" t="s">
        <v>7</v>
      </c>
      <c r="C24426" t="s">
        <v>3934</v>
      </c>
      <c r="D24426" s="7">
        <f>DATE(2016,9,1)</f>
        <v>42614</v>
      </c>
      <c r="E24426" s="8">
        <f t="shared" si="405"/>
        <v>2016</v>
      </c>
      <c r="F24426" t="s">
        <v>3935</v>
      </c>
      <c r="G24426" s="9">
        <v>188161.56</v>
      </c>
      <c r="H24426" s="8">
        <v>23235</v>
      </c>
    </row>
    <row r="24427" spans="2:8" ht="15" customHeight="1" x14ac:dyDescent="0.4">
      <c r="B24427" t="s">
        <v>7</v>
      </c>
      <c r="C24427" t="s">
        <v>3934</v>
      </c>
      <c r="D24427" s="7">
        <f>DATE(2015,12,3)</f>
        <v>42341</v>
      </c>
      <c r="E24427" s="8">
        <f t="shared" si="405"/>
        <v>2015</v>
      </c>
      <c r="F24427" t="s">
        <v>3935</v>
      </c>
      <c r="G24427" s="9">
        <v>13750</v>
      </c>
      <c r="H24427" s="8">
        <v>21660</v>
      </c>
    </row>
    <row r="24428" spans="2:8" ht="15" customHeight="1" x14ac:dyDescent="0.4">
      <c r="B24428" t="s">
        <v>7</v>
      </c>
      <c r="C24428" t="s">
        <v>3934</v>
      </c>
      <c r="D24428" s="7">
        <f>DATE(2016,5,31)</f>
        <v>42521</v>
      </c>
      <c r="E24428" s="8">
        <f t="shared" si="405"/>
        <v>2016</v>
      </c>
      <c r="F24428" t="s">
        <v>3935</v>
      </c>
      <c r="G24428" s="9">
        <v>13805</v>
      </c>
      <c r="H24428" s="8">
        <v>22764</v>
      </c>
    </row>
    <row r="24429" spans="2:8" ht="15" customHeight="1" x14ac:dyDescent="0.4">
      <c r="B24429" t="s">
        <v>7</v>
      </c>
      <c r="C24429" t="s">
        <v>3934</v>
      </c>
      <c r="D24429" s="7">
        <f>DATE(2016,6,28)</f>
        <v>42549</v>
      </c>
      <c r="E24429" s="8">
        <f t="shared" si="405"/>
        <v>2016</v>
      </c>
      <c r="F24429" t="s">
        <v>3935</v>
      </c>
      <c r="G24429" s="9">
        <v>13750</v>
      </c>
      <c r="H24429" s="8">
        <v>22764</v>
      </c>
    </row>
    <row r="24430" spans="2:8" ht="15" customHeight="1" x14ac:dyDescent="0.4">
      <c r="B24430" t="s">
        <v>7</v>
      </c>
      <c r="C24430" t="s">
        <v>3934</v>
      </c>
      <c r="D24430" s="7">
        <f>DATE(2016,7,22)</f>
        <v>42573</v>
      </c>
      <c r="E24430" s="8">
        <f t="shared" si="405"/>
        <v>2016</v>
      </c>
      <c r="F24430" t="s">
        <v>3935</v>
      </c>
      <c r="G24430" s="9">
        <v>19360</v>
      </c>
      <c r="H24430" s="8">
        <v>23043</v>
      </c>
    </row>
    <row r="24431" spans="2:8" ht="15" customHeight="1" x14ac:dyDescent="0.4">
      <c r="B24431" t="s">
        <v>7</v>
      </c>
      <c r="C24431" t="s">
        <v>3934</v>
      </c>
      <c r="D24431" s="7">
        <f>DATE(2017,2,7)</f>
        <v>42773</v>
      </c>
      <c r="E24431" s="8">
        <f t="shared" si="405"/>
        <v>2017</v>
      </c>
      <c r="F24431" t="s">
        <v>3935</v>
      </c>
      <c r="G24431" s="9">
        <v>18150</v>
      </c>
      <c r="H24431" s="8">
        <v>24050</v>
      </c>
    </row>
    <row r="24432" spans="2:8" ht="15" customHeight="1" x14ac:dyDescent="0.4">
      <c r="B24432" t="s">
        <v>7</v>
      </c>
      <c r="C24432" t="s">
        <v>3934</v>
      </c>
      <c r="D24432" s="7">
        <f>DATE(2015,1,23)</f>
        <v>42027</v>
      </c>
      <c r="E24432" s="8">
        <f t="shared" si="405"/>
        <v>2015</v>
      </c>
      <c r="F24432" t="s">
        <v>3935</v>
      </c>
      <c r="G24432" s="9">
        <v>4464.2</v>
      </c>
      <c r="H24432" s="8">
        <v>187</v>
      </c>
    </row>
    <row r="24433" spans="2:8" ht="15" customHeight="1" x14ac:dyDescent="0.4">
      <c r="B24433" t="s">
        <v>7</v>
      </c>
      <c r="C24433" t="s">
        <v>3934</v>
      </c>
      <c r="D24433" s="7">
        <f>DATE(2015,5,1)</f>
        <v>42125</v>
      </c>
      <c r="E24433" s="8">
        <f t="shared" si="405"/>
        <v>2015</v>
      </c>
      <c r="F24433" t="s">
        <v>3935</v>
      </c>
      <c r="G24433" s="9">
        <v>4623.18</v>
      </c>
      <c r="H24433" s="8">
        <v>20485</v>
      </c>
    </row>
    <row r="24434" spans="2:8" ht="15" customHeight="1" x14ac:dyDescent="0.4">
      <c r="B24434" t="s">
        <v>7</v>
      </c>
      <c r="C24434" t="s">
        <v>3934</v>
      </c>
      <c r="D24434" s="7">
        <f>DATE(2017,3,29)</f>
        <v>42823</v>
      </c>
      <c r="E24434" s="8">
        <f t="shared" si="405"/>
        <v>2017</v>
      </c>
      <c r="F24434" t="s">
        <v>3935</v>
      </c>
      <c r="G24434" s="9">
        <v>6318.56</v>
      </c>
      <c r="H24434" s="8">
        <v>24580</v>
      </c>
    </row>
    <row r="24435" spans="2:8" ht="15" customHeight="1" x14ac:dyDescent="0.4">
      <c r="B24435" t="s">
        <v>7</v>
      </c>
      <c r="C24435" t="s">
        <v>3934</v>
      </c>
      <c r="D24435" s="7">
        <f>DATE(2017,10,5)</f>
        <v>43013</v>
      </c>
      <c r="E24435" s="8">
        <f t="shared" si="405"/>
        <v>2017</v>
      </c>
      <c r="F24435" t="s">
        <v>3935</v>
      </c>
      <c r="G24435" s="9">
        <v>8524.92</v>
      </c>
      <c r="H24435" s="8">
        <v>25629</v>
      </c>
    </row>
    <row r="24436" spans="2:8" ht="15" customHeight="1" x14ac:dyDescent="0.4">
      <c r="B24436" t="s">
        <v>7</v>
      </c>
      <c r="C24436" t="s">
        <v>3934</v>
      </c>
      <c r="D24436" s="7">
        <f>DATE(2016,6,29)</f>
        <v>42550</v>
      </c>
      <c r="E24436" s="8">
        <f t="shared" si="405"/>
        <v>2016</v>
      </c>
      <c r="F24436" t="s">
        <v>3935</v>
      </c>
      <c r="G24436" s="9">
        <v>33883.56</v>
      </c>
      <c r="H24436" s="8">
        <v>21571</v>
      </c>
    </row>
    <row r="24437" spans="2:8" ht="15" customHeight="1" x14ac:dyDescent="0.4">
      <c r="B24437" t="s">
        <v>7</v>
      </c>
      <c r="C24437" t="s">
        <v>3934</v>
      </c>
      <c r="D24437" s="7">
        <f>DATE(2016,7,25)</f>
        <v>42576</v>
      </c>
      <c r="E24437" s="8">
        <f t="shared" si="405"/>
        <v>2016</v>
      </c>
      <c r="F24437" t="s">
        <v>3935</v>
      </c>
      <c r="G24437" s="9">
        <v>6636.18</v>
      </c>
      <c r="H24437" s="8">
        <v>23073</v>
      </c>
    </row>
    <row r="24438" spans="2:8" ht="15" customHeight="1" x14ac:dyDescent="0.4">
      <c r="B24438" t="s">
        <v>7</v>
      </c>
      <c r="C24438" t="s">
        <v>3934</v>
      </c>
      <c r="D24438" s="7">
        <f>DATE(2016,8,4)</f>
        <v>42586</v>
      </c>
      <c r="E24438" s="8">
        <f t="shared" si="405"/>
        <v>2016</v>
      </c>
      <c r="F24438" t="s">
        <v>3935</v>
      </c>
      <c r="G24438" s="9">
        <v>2427.5</v>
      </c>
      <c r="H24438" s="8">
        <v>23217</v>
      </c>
    </row>
    <row r="24439" spans="2:8" ht="15" customHeight="1" x14ac:dyDescent="0.4">
      <c r="B24439" t="s">
        <v>7</v>
      </c>
      <c r="C24439" t="s">
        <v>3934</v>
      </c>
      <c r="D24439" s="7">
        <f>DATE(2017,8,8)</f>
        <v>42955</v>
      </c>
      <c r="E24439" s="8">
        <f t="shared" si="405"/>
        <v>2017</v>
      </c>
      <c r="F24439" t="s">
        <v>3935</v>
      </c>
      <c r="G24439" s="9">
        <v>2122</v>
      </c>
      <c r="H24439" s="8">
        <v>25308</v>
      </c>
    </row>
    <row r="24440" spans="2:8" ht="15" customHeight="1" x14ac:dyDescent="0.4">
      <c r="B24440" t="s">
        <v>7</v>
      </c>
      <c r="C24440" t="s">
        <v>3934</v>
      </c>
      <c r="D24440" s="7">
        <f>DATE(2011,5,17)</f>
        <v>40680</v>
      </c>
      <c r="E24440" s="8">
        <f t="shared" si="405"/>
        <v>2011</v>
      </c>
      <c r="F24440" t="s">
        <v>3935</v>
      </c>
      <c r="G24440" s="9">
        <v>8981</v>
      </c>
      <c r="H24440" s="8">
        <v>10674</v>
      </c>
    </row>
    <row r="24441" spans="2:8" ht="15" customHeight="1" x14ac:dyDescent="0.4">
      <c r="B24441" t="s">
        <v>7</v>
      </c>
      <c r="C24441" t="s">
        <v>3934</v>
      </c>
      <c r="D24441" s="7">
        <f>DATE(2012,2,21)</f>
        <v>40960</v>
      </c>
      <c r="E24441" s="8">
        <f t="shared" si="405"/>
        <v>2012</v>
      </c>
      <c r="F24441" t="s">
        <v>3935</v>
      </c>
      <c r="G24441" s="9">
        <v>3649.35</v>
      </c>
      <c r="H24441" s="8">
        <v>11351</v>
      </c>
    </row>
    <row r="24442" spans="2:8" ht="15" customHeight="1" x14ac:dyDescent="0.4">
      <c r="B24442" t="s">
        <v>7</v>
      </c>
      <c r="C24442" t="s">
        <v>3934</v>
      </c>
      <c r="D24442" s="7">
        <f>DATE(2012,2,21)</f>
        <v>40960</v>
      </c>
      <c r="E24442" s="8">
        <f t="shared" si="405"/>
        <v>2012</v>
      </c>
      <c r="F24442" t="s">
        <v>3935</v>
      </c>
      <c r="G24442" s="9">
        <v>3887</v>
      </c>
      <c r="H24442" s="8">
        <v>11357</v>
      </c>
    </row>
    <row r="24443" spans="2:8" ht="15" customHeight="1" x14ac:dyDescent="0.4">
      <c r="B24443" t="s">
        <v>7</v>
      </c>
      <c r="C24443" t="s">
        <v>3934</v>
      </c>
      <c r="D24443" s="7">
        <f>DATE(2012,5,11)</f>
        <v>41040</v>
      </c>
      <c r="E24443" s="8">
        <f t="shared" si="405"/>
        <v>2012</v>
      </c>
      <c r="F24443" t="s">
        <v>3935</v>
      </c>
      <c r="G24443" s="9">
        <v>3006.5</v>
      </c>
      <c r="H24443" s="8">
        <v>11591</v>
      </c>
    </row>
    <row r="24444" spans="2:8" ht="15" customHeight="1" x14ac:dyDescent="0.4">
      <c r="B24444" t="s">
        <v>7</v>
      </c>
      <c r="C24444" t="s">
        <v>3934</v>
      </c>
      <c r="D24444" s="7">
        <f>DATE(2012,5,16)</f>
        <v>41045</v>
      </c>
      <c r="E24444" s="8">
        <f t="shared" si="405"/>
        <v>2012</v>
      </c>
      <c r="F24444" t="s">
        <v>3935</v>
      </c>
      <c r="G24444" s="9">
        <v>4190</v>
      </c>
      <c r="H24444" s="8">
        <v>11618</v>
      </c>
    </row>
    <row r="24445" spans="2:8" ht="15" customHeight="1" x14ac:dyDescent="0.4">
      <c r="B24445" t="s">
        <v>7</v>
      </c>
      <c r="C24445" t="s">
        <v>3934</v>
      </c>
      <c r="D24445" s="7">
        <f>DATE(2003,4,16)</f>
        <v>37727</v>
      </c>
      <c r="E24445" s="8">
        <f t="shared" si="405"/>
        <v>2003</v>
      </c>
      <c r="F24445" t="s">
        <v>3935</v>
      </c>
      <c r="G24445" s="9">
        <v>13240</v>
      </c>
      <c r="H24445" s="8">
        <v>351</v>
      </c>
    </row>
    <row r="24446" spans="2:8" ht="15" customHeight="1" x14ac:dyDescent="0.4">
      <c r="B24446" t="s">
        <v>7</v>
      </c>
      <c r="C24446" t="s">
        <v>3934</v>
      </c>
      <c r="D24446" s="7">
        <f>DATE(2003,5,23)</f>
        <v>37764</v>
      </c>
      <c r="E24446" s="8">
        <f t="shared" si="405"/>
        <v>2003</v>
      </c>
      <c r="F24446" t="s">
        <v>3935</v>
      </c>
      <c r="G24446" s="9">
        <v>286.25</v>
      </c>
      <c r="H24446" s="8">
        <v>412</v>
      </c>
    </row>
    <row r="24447" spans="2:8" ht="15" customHeight="1" x14ac:dyDescent="0.4">
      <c r="B24447" t="s">
        <v>7</v>
      </c>
      <c r="C24447" t="s">
        <v>3934</v>
      </c>
      <c r="D24447" s="7">
        <f>DATE(2003,5,24)</f>
        <v>37765</v>
      </c>
      <c r="E24447" s="8">
        <f t="shared" si="405"/>
        <v>2003</v>
      </c>
      <c r="F24447" t="s">
        <v>3935</v>
      </c>
      <c r="G24447" s="9">
        <v>11628.5</v>
      </c>
      <c r="H24447" s="8">
        <v>315</v>
      </c>
    </row>
    <row r="24448" spans="2:8" ht="15" customHeight="1" x14ac:dyDescent="0.4">
      <c r="B24448" t="s">
        <v>7</v>
      </c>
      <c r="C24448" t="s">
        <v>3934</v>
      </c>
      <c r="D24448" s="7">
        <f>DATE(2003,5,26)</f>
        <v>37767</v>
      </c>
      <c r="E24448" s="8">
        <f t="shared" si="405"/>
        <v>2003</v>
      </c>
      <c r="F24448" t="s">
        <v>3935</v>
      </c>
      <c r="G24448" s="9">
        <v>11628.5</v>
      </c>
      <c r="H24448" s="8">
        <v>350</v>
      </c>
    </row>
    <row r="24449" spans="2:8" ht="15" customHeight="1" x14ac:dyDescent="0.4">
      <c r="B24449" t="s">
        <v>7</v>
      </c>
      <c r="C24449" t="s">
        <v>3934</v>
      </c>
      <c r="D24449" s="7">
        <f>DATE(2003,5,14)</f>
        <v>37755</v>
      </c>
      <c r="E24449" s="8">
        <f t="shared" si="405"/>
        <v>2003</v>
      </c>
      <c r="F24449" t="s">
        <v>3935</v>
      </c>
      <c r="G24449" s="9">
        <v>13896.25</v>
      </c>
      <c r="H24449" s="8">
        <v>162</v>
      </c>
    </row>
    <row r="24450" spans="2:8" ht="15" customHeight="1" x14ac:dyDescent="0.4">
      <c r="B24450" t="s">
        <v>7</v>
      </c>
      <c r="C24450" t="s">
        <v>3934</v>
      </c>
      <c r="D24450" s="7">
        <f>DATE(2004,1,29)</f>
        <v>38015</v>
      </c>
      <c r="E24450" s="8">
        <f t="shared" si="405"/>
        <v>2004</v>
      </c>
      <c r="F24450" t="s">
        <v>3935</v>
      </c>
      <c r="G24450" s="9">
        <v>15554.13</v>
      </c>
      <c r="H24450" s="8">
        <v>911</v>
      </c>
    </row>
    <row r="24451" spans="2:8" ht="15" customHeight="1" x14ac:dyDescent="0.4">
      <c r="B24451" t="s">
        <v>7</v>
      </c>
      <c r="C24451" t="s">
        <v>3934</v>
      </c>
      <c r="D24451" s="7">
        <f>DATE(2004,2,24)</f>
        <v>38041</v>
      </c>
      <c r="E24451" s="8">
        <f t="shared" ref="E24451:E24514" si="406">YEAR(D24451)</f>
        <v>2004</v>
      </c>
      <c r="F24451" t="s">
        <v>3935</v>
      </c>
      <c r="G24451" s="9">
        <v>2109.35</v>
      </c>
      <c r="H24451" s="8">
        <v>1416</v>
      </c>
    </row>
    <row r="24452" spans="2:8" ht="15" customHeight="1" x14ac:dyDescent="0.4">
      <c r="B24452" t="s">
        <v>7</v>
      </c>
      <c r="C24452" t="s">
        <v>3934</v>
      </c>
      <c r="D24452" s="7">
        <f>DATE(2004,5,4)</f>
        <v>38111</v>
      </c>
      <c r="E24452" s="8">
        <f t="shared" si="406"/>
        <v>2004</v>
      </c>
      <c r="F24452" t="s">
        <v>3935</v>
      </c>
      <c r="G24452" s="9">
        <v>12255.88</v>
      </c>
      <c r="H24452" s="8">
        <v>1626</v>
      </c>
    </row>
    <row r="24453" spans="2:8" ht="15" customHeight="1" x14ac:dyDescent="0.4">
      <c r="B24453" t="s">
        <v>7</v>
      </c>
      <c r="C24453" t="s">
        <v>3934</v>
      </c>
      <c r="D24453" s="7">
        <f>DATE(2004,5,4)</f>
        <v>38111</v>
      </c>
      <c r="E24453" s="8">
        <f t="shared" si="406"/>
        <v>2004</v>
      </c>
      <c r="F24453" t="s">
        <v>3935</v>
      </c>
      <c r="G24453" s="9">
        <v>12255.88</v>
      </c>
      <c r="H24453" s="8">
        <v>1627</v>
      </c>
    </row>
    <row r="24454" spans="2:8" ht="15" customHeight="1" x14ac:dyDescent="0.4">
      <c r="B24454" t="s">
        <v>7</v>
      </c>
      <c r="C24454" t="s">
        <v>3934</v>
      </c>
      <c r="D24454" s="7">
        <f>DATE(2004,5,18)</f>
        <v>38125</v>
      </c>
      <c r="E24454" s="8">
        <f t="shared" si="406"/>
        <v>2004</v>
      </c>
      <c r="F24454" t="s">
        <v>3935</v>
      </c>
      <c r="G24454" s="9">
        <v>17413.5</v>
      </c>
      <c r="H24454" s="8">
        <v>1628</v>
      </c>
    </row>
    <row r="24455" spans="2:8" ht="15" customHeight="1" x14ac:dyDescent="0.4">
      <c r="B24455" t="s">
        <v>7</v>
      </c>
      <c r="C24455" t="s">
        <v>3934</v>
      </c>
      <c r="D24455" s="7">
        <f>DATE(2004,6,13)</f>
        <v>38151</v>
      </c>
      <c r="E24455" s="8">
        <f t="shared" si="406"/>
        <v>2004</v>
      </c>
      <c r="F24455" t="s">
        <v>3935</v>
      </c>
      <c r="G24455" s="9">
        <v>16099.5</v>
      </c>
      <c r="H24455" s="8">
        <v>1884</v>
      </c>
    </row>
    <row r="24456" spans="2:8" ht="15" customHeight="1" x14ac:dyDescent="0.4">
      <c r="B24456" t="s">
        <v>7</v>
      </c>
      <c r="C24456" t="s">
        <v>3934</v>
      </c>
      <c r="D24456" s="7">
        <f>DATE(2005,5,4)</f>
        <v>38476</v>
      </c>
      <c r="E24456" s="8">
        <f t="shared" si="406"/>
        <v>2005</v>
      </c>
      <c r="F24456" t="s">
        <v>3935</v>
      </c>
      <c r="G24456" s="9">
        <v>12868.67</v>
      </c>
      <c r="H24456" s="8">
        <v>2594</v>
      </c>
    </row>
    <row r="24457" spans="2:8" ht="15" customHeight="1" x14ac:dyDescent="0.4">
      <c r="B24457" t="s">
        <v>7</v>
      </c>
      <c r="C24457" t="s">
        <v>3934</v>
      </c>
      <c r="D24457" s="7">
        <f>DATE(2005,5,31)</f>
        <v>38503</v>
      </c>
      <c r="E24457" s="8">
        <f t="shared" si="406"/>
        <v>2005</v>
      </c>
      <c r="F24457" t="s">
        <v>3935</v>
      </c>
      <c r="G24457" s="9">
        <v>16987.5</v>
      </c>
      <c r="H24457" s="8">
        <v>3071</v>
      </c>
    </row>
    <row r="24458" spans="2:8" ht="15" customHeight="1" x14ac:dyDescent="0.4">
      <c r="B24458" t="s">
        <v>7</v>
      </c>
      <c r="C24458" t="s">
        <v>3934</v>
      </c>
      <c r="D24458" s="7">
        <f>DATE(2005,5,23)</f>
        <v>38495</v>
      </c>
      <c r="E24458" s="8">
        <f t="shared" si="406"/>
        <v>2005</v>
      </c>
      <c r="F24458" t="s">
        <v>3935</v>
      </c>
      <c r="G24458" s="9">
        <v>12868.67</v>
      </c>
      <c r="H24458" s="8">
        <v>3073</v>
      </c>
    </row>
    <row r="24459" spans="2:8" ht="15" customHeight="1" x14ac:dyDescent="0.4">
      <c r="B24459" t="s">
        <v>7</v>
      </c>
      <c r="C24459" t="s">
        <v>3934</v>
      </c>
      <c r="D24459" s="7">
        <f>DATE(2005,5,31)</f>
        <v>38503</v>
      </c>
      <c r="E24459" s="8">
        <f t="shared" si="406"/>
        <v>2005</v>
      </c>
      <c r="F24459" t="s">
        <v>3935</v>
      </c>
      <c r="G24459" s="9">
        <v>14944.5</v>
      </c>
      <c r="H24459" s="8">
        <v>3072</v>
      </c>
    </row>
    <row r="24460" spans="2:8" ht="15" customHeight="1" x14ac:dyDescent="0.4">
      <c r="B24460" t="s">
        <v>7</v>
      </c>
      <c r="C24460" t="s">
        <v>3934</v>
      </c>
      <c r="D24460" s="7">
        <f>DATE(2006,3,11)</f>
        <v>38787</v>
      </c>
      <c r="E24460" s="8">
        <f t="shared" si="406"/>
        <v>2006</v>
      </c>
      <c r="F24460" t="s">
        <v>3935</v>
      </c>
      <c r="G24460" s="9">
        <v>1979</v>
      </c>
      <c r="H24460" s="8">
        <v>4322</v>
      </c>
    </row>
    <row r="24461" spans="2:8" ht="15" customHeight="1" x14ac:dyDescent="0.4">
      <c r="B24461" t="s">
        <v>7</v>
      </c>
      <c r="C24461" t="s">
        <v>3934</v>
      </c>
      <c r="D24461" s="7">
        <f>DATE(2006,4,29)</f>
        <v>38836</v>
      </c>
      <c r="E24461" s="8">
        <f t="shared" si="406"/>
        <v>2006</v>
      </c>
      <c r="F24461" t="s">
        <v>3935</v>
      </c>
      <c r="G24461" s="9">
        <v>16782.5</v>
      </c>
      <c r="H24461" s="8">
        <v>4454</v>
      </c>
    </row>
    <row r="24462" spans="2:8" ht="15" customHeight="1" x14ac:dyDescent="0.4">
      <c r="B24462" t="s">
        <v>7</v>
      </c>
      <c r="C24462" t="s">
        <v>3934</v>
      </c>
      <c r="D24462" s="7">
        <f>DATE(2006,5,14)</f>
        <v>38851</v>
      </c>
      <c r="E24462" s="8">
        <f t="shared" si="406"/>
        <v>2006</v>
      </c>
      <c r="F24462" t="s">
        <v>3935</v>
      </c>
      <c r="G24462" s="9">
        <v>14549</v>
      </c>
      <c r="H24462" s="8">
        <v>4340</v>
      </c>
    </row>
    <row r="24463" spans="2:8" ht="15" customHeight="1" x14ac:dyDescent="0.4">
      <c r="B24463" t="s">
        <v>7</v>
      </c>
      <c r="C24463" t="s">
        <v>3934</v>
      </c>
      <c r="D24463" s="7">
        <f>DATE(2006,5,21)</f>
        <v>38858</v>
      </c>
      <c r="E24463" s="8">
        <f t="shared" si="406"/>
        <v>2006</v>
      </c>
      <c r="F24463" t="s">
        <v>3935</v>
      </c>
      <c r="G24463" s="9">
        <v>16400</v>
      </c>
      <c r="H24463" s="8">
        <v>4455</v>
      </c>
    </row>
    <row r="24464" spans="2:8" ht="15" customHeight="1" x14ac:dyDescent="0.4">
      <c r="B24464" t="s">
        <v>7</v>
      </c>
      <c r="C24464" t="s">
        <v>3934</v>
      </c>
      <c r="D24464" s="7">
        <f>DATE(2006,4,29)</f>
        <v>38836</v>
      </c>
      <c r="E24464" s="8">
        <f t="shared" si="406"/>
        <v>2006</v>
      </c>
      <c r="F24464" t="s">
        <v>3935</v>
      </c>
      <c r="G24464" s="9">
        <v>16782.5</v>
      </c>
      <c r="H24464" s="8">
        <v>4681</v>
      </c>
    </row>
    <row r="24465" spans="2:8" ht="15" customHeight="1" x14ac:dyDescent="0.4">
      <c r="B24465" t="s">
        <v>7</v>
      </c>
      <c r="C24465" t="s">
        <v>3934</v>
      </c>
      <c r="D24465" s="7">
        <f>DATE(2006,5,29)</f>
        <v>38866</v>
      </c>
      <c r="E24465" s="8">
        <f t="shared" si="406"/>
        <v>2006</v>
      </c>
      <c r="F24465" t="s">
        <v>3935</v>
      </c>
      <c r="G24465" s="9">
        <v>14549</v>
      </c>
      <c r="H24465" s="8">
        <v>4616</v>
      </c>
    </row>
    <row r="24466" spans="2:8" ht="15" customHeight="1" x14ac:dyDescent="0.4">
      <c r="B24466" t="s">
        <v>7</v>
      </c>
      <c r="C24466" t="s">
        <v>3934</v>
      </c>
      <c r="D24466" s="7">
        <f>DATE(2006,9,21)</f>
        <v>38981</v>
      </c>
      <c r="E24466" s="8">
        <f t="shared" si="406"/>
        <v>2006</v>
      </c>
      <c r="F24466" t="s">
        <v>3935</v>
      </c>
      <c r="G24466" s="9">
        <v>13286</v>
      </c>
      <c r="H24466" s="8">
        <v>4787</v>
      </c>
    </row>
    <row r="24467" spans="2:8" ht="15" customHeight="1" x14ac:dyDescent="0.4">
      <c r="B24467" t="s">
        <v>7</v>
      </c>
      <c r="C24467" t="s">
        <v>3934</v>
      </c>
      <c r="D24467" s="7">
        <f>DATE(2006,9,23)</f>
        <v>38983</v>
      </c>
      <c r="E24467" s="8">
        <f t="shared" si="406"/>
        <v>2006</v>
      </c>
      <c r="F24467" t="s">
        <v>3935</v>
      </c>
      <c r="G24467" s="9">
        <v>6680</v>
      </c>
      <c r="H24467" s="8">
        <v>4788</v>
      </c>
    </row>
    <row r="24468" spans="2:8" ht="15" customHeight="1" x14ac:dyDescent="0.4">
      <c r="B24468" t="s">
        <v>7</v>
      </c>
      <c r="C24468" t="s">
        <v>3934</v>
      </c>
      <c r="D24468" s="7">
        <f>DATE(2007,5,13)</f>
        <v>39215</v>
      </c>
      <c r="E24468" s="8">
        <f t="shared" si="406"/>
        <v>2007</v>
      </c>
      <c r="F24468" t="s">
        <v>3935</v>
      </c>
      <c r="G24468" s="9">
        <v>17681</v>
      </c>
      <c r="H24468" s="8">
        <v>5897</v>
      </c>
    </row>
    <row r="24469" spans="2:8" ht="15" customHeight="1" x14ac:dyDescent="0.4">
      <c r="B24469" t="s">
        <v>7</v>
      </c>
      <c r="C24469" t="s">
        <v>3934</v>
      </c>
      <c r="D24469" s="7">
        <f>DATE(2007,5,20)</f>
        <v>39222</v>
      </c>
      <c r="E24469" s="8">
        <f t="shared" si="406"/>
        <v>2007</v>
      </c>
      <c r="F24469" t="s">
        <v>3935</v>
      </c>
      <c r="G24469" s="9">
        <v>14512</v>
      </c>
      <c r="H24469" s="8">
        <v>6007</v>
      </c>
    </row>
    <row r="24470" spans="2:8" ht="15" customHeight="1" x14ac:dyDescent="0.4">
      <c r="B24470" t="s">
        <v>7</v>
      </c>
      <c r="C24470" t="s">
        <v>3934</v>
      </c>
      <c r="D24470" s="7">
        <f>DATE(2007,5,6)</f>
        <v>39208</v>
      </c>
      <c r="E24470" s="8">
        <f t="shared" si="406"/>
        <v>2007</v>
      </c>
      <c r="F24470" t="s">
        <v>3935</v>
      </c>
      <c r="G24470" s="9">
        <v>13346</v>
      </c>
      <c r="H24470" s="8">
        <v>5896</v>
      </c>
    </row>
    <row r="24471" spans="2:8" ht="15" customHeight="1" x14ac:dyDescent="0.4">
      <c r="B24471" t="s">
        <v>7</v>
      </c>
      <c r="C24471" t="s">
        <v>3934</v>
      </c>
      <c r="D24471" s="7">
        <f>DATE(2007,5,19)</f>
        <v>39221</v>
      </c>
      <c r="E24471" s="8">
        <f t="shared" si="406"/>
        <v>2007</v>
      </c>
      <c r="F24471" t="s">
        <v>3935</v>
      </c>
      <c r="G24471" s="9">
        <v>17376</v>
      </c>
      <c r="H24471" s="8">
        <v>5898</v>
      </c>
    </row>
    <row r="24472" spans="2:8" ht="15" customHeight="1" x14ac:dyDescent="0.4">
      <c r="B24472" t="s">
        <v>7</v>
      </c>
      <c r="C24472" t="s">
        <v>3934</v>
      </c>
      <c r="D24472" s="7">
        <f>DATE(2007,7,21)</f>
        <v>39284</v>
      </c>
      <c r="E24472" s="8">
        <f t="shared" si="406"/>
        <v>2007</v>
      </c>
      <c r="F24472" t="s">
        <v>3935</v>
      </c>
      <c r="G24472" s="9">
        <v>2643.95</v>
      </c>
      <c r="H24472" s="8">
        <v>6196</v>
      </c>
    </row>
    <row r="24473" spans="2:8" ht="15" customHeight="1" x14ac:dyDescent="0.4">
      <c r="B24473" t="s">
        <v>7</v>
      </c>
      <c r="C24473" t="s">
        <v>3934</v>
      </c>
      <c r="D24473" s="7">
        <f>DATE(2007,10,6)</f>
        <v>39361</v>
      </c>
      <c r="E24473" s="8">
        <f t="shared" si="406"/>
        <v>2007</v>
      </c>
      <c r="F24473" t="s">
        <v>3935</v>
      </c>
      <c r="G24473" s="9">
        <v>17670</v>
      </c>
      <c r="H24473" s="8">
        <v>6436</v>
      </c>
    </row>
    <row r="24474" spans="2:8" ht="15" customHeight="1" x14ac:dyDescent="0.4">
      <c r="B24474" t="s">
        <v>7</v>
      </c>
      <c r="C24474" t="s">
        <v>3934</v>
      </c>
      <c r="D24474" s="7">
        <f>DATE(2007,10,21)</f>
        <v>39376</v>
      </c>
      <c r="E24474" s="8">
        <f t="shared" si="406"/>
        <v>2007</v>
      </c>
      <c r="F24474" t="s">
        <v>3935</v>
      </c>
      <c r="G24474" s="9">
        <v>22845</v>
      </c>
      <c r="H24474" s="8">
        <v>6522</v>
      </c>
    </row>
    <row r="24475" spans="2:8" ht="15" customHeight="1" x14ac:dyDescent="0.4">
      <c r="B24475" t="s">
        <v>7</v>
      </c>
      <c r="C24475" t="s">
        <v>3934</v>
      </c>
      <c r="D24475" s="7">
        <f>DATE(2007,11,1)</f>
        <v>39387</v>
      </c>
      <c r="E24475" s="8">
        <f t="shared" si="406"/>
        <v>2007</v>
      </c>
      <c r="F24475" t="s">
        <v>3935</v>
      </c>
      <c r="G24475" s="9">
        <v>16925.52</v>
      </c>
      <c r="H24475" s="8">
        <v>6505</v>
      </c>
    </row>
    <row r="24476" spans="2:8" ht="15" customHeight="1" x14ac:dyDescent="0.4">
      <c r="B24476" t="s">
        <v>7</v>
      </c>
      <c r="C24476" t="s">
        <v>3934</v>
      </c>
      <c r="D24476" s="7">
        <f>DATE(2008,5,14)</f>
        <v>39582</v>
      </c>
      <c r="E24476" s="8">
        <f t="shared" si="406"/>
        <v>2008</v>
      </c>
      <c r="F24476" t="s">
        <v>3935</v>
      </c>
      <c r="G24476" s="9">
        <v>14163</v>
      </c>
      <c r="H24476" s="8">
        <v>7400</v>
      </c>
    </row>
    <row r="24477" spans="2:8" ht="15" customHeight="1" x14ac:dyDescent="0.4">
      <c r="B24477" t="s">
        <v>7</v>
      </c>
      <c r="C24477" t="s">
        <v>3934</v>
      </c>
      <c r="D24477" s="7">
        <f>DATE(2008,5,24)</f>
        <v>39592</v>
      </c>
      <c r="E24477" s="8">
        <f t="shared" si="406"/>
        <v>2008</v>
      </c>
      <c r="F24477" t="s">
        <v>3935</v>
      </c>
      <c r="G24477" s="9">
        <v>16768</v>
      </c>
      <c r="H24477" s="8">
        <v>7443</v>
      </c>
    </row>
    <row r="24478" spans="2:8" ht="15" customHeight="1" x14ac:dyDescent="0.4">
      <c r="B24478" t="s">
        <v>7</v>
      </c>
      <c r="C24478" t="s">
        <v>3934</v>
      </c>
      <c r="D24478" s="7">
        <f>DATE(2008,5,29)</f>
        <v>39597</v>
      </c>
      <c r="E24478" s="8">
        <f t="shared" si="406"/>
        <v>2008</v>
      </c>
      <c r="F24478" t="s">
        <v>3935</v>
      </c>
      <c r="G24478" s="9">
        <v>19691.259999999998</v>
      </c>
      <c r="H24478" s="8">
        <v>7468</v>
      </c>
    </row>
    <row r="24479" spans="2:8" ht="15" customHeight="1" x14ac:dyDescent="0.4">
      <c r="B24479" t="s">
        <v>7</v>
      </c>
      <c r="C24479" t="s">
        <v>3934</v>
      </c>
      <c r="D24479" s="7">
        <f>DATE(2008,6,22)</f>
        <v>39621</v>
      </c>
      <c r="E24479" s="8">
        <f t="shared" si="406"/>
        <v>2008</v>
      </c>
      <c r="F24479" t="s">
        <v>3935</v>
      </c>
      <c r="G24479" s="9">
        <v>17454</v>
      </c>
      <c r="H24479" s="8">
        <v>7544</v>
      </c>
    </row>
    <row r="24480" spans="2:8" ht="15" customHeight="1" x14ac:dyDescent="0.4">
      <c r="B24480" t="s">
        <v>7</v>
      </c>
      <c r="C24480" t="s">
        <v>3934</v>
      </c>
      <c r="D24480" s="7">
        <f>DATE(2008,8,28)</f>
        <v>39688</v>
      </c>
      <c r="E24480" s="8">
        <f t="shared" si="406"/>
        <v>2008</v>
      </c>
      <c r="F24480" t="s">
        <v>3935</v>
      </c>
      <c r="G24480" s="9">
        <v>19140</v>
      </c>
      <c r="H24480" s="8">
        <v>7760</v>
      </c>
    </row>
    <row r="24481" spans="2:8" ht="15" customHeight="1" x14ac:dyDescent="0.4">
      <c r="B24481" t="s">
        <v>7</v>
      </c>
      <c r="C24481" t="s">
        <v>3934</v>
      </c>
      <c r="D24481" s="7">
        <f>DATE(2008,9,1)</f>
        <v>39692</v>
      </c>
      <c r="E24481" s="8">
        <f t="shared" si="406"/>
        <v>2008</v>
      </c>
      <c r="F24481" t="s">
        <v>3935</v>
      </c>
      <c r="G24481" s="9">
        <v>17970</v>
      </c>
      <c r="H24481" s="8">
        <v>7735</v>
      </c>
    </row>
    <row r="24482" spans="2:8" ht="15" customHeight="1" x14ac:dyDescent="0.4">
      <c r="B24482" t="s">
        <v>7</v>
      </c>
      <c r="C24482" t="s">
        <v>3934</v>
      </c>
      <c r="D24482" s="7">
        <f>DATE(2008,9,14)</f>
        <v>39705</v>
      </c>
      <c r="E24482" s="8">
        <f t="shared" si="406"/>
        <v>2008</v>
      </c>
      <c r="F24482" t="s">
        <v>3935</v>
      </c>
      <c r="G24482" s="9">
        <v>17970</v>
      </c>
      <c r="H24482" s="8">
        <v>7815</v>
      </c>
    </row>
    <row r="24483" spans="2:8" ht="15" customHeight="1" x14ac:dyDescent="0.4">
      <c r="B24483" t="s">
        <v>7</v>
      </c>
      <c r="C24483" t="s">
        <v>3934</v>
      </c>
      <c r="D24483" s="7">
        <f>DATE(2008,10,30)</f>
        <v>39751</v>
      </c>
      <c r="E24483" s="8">
        <f t="shared" si="406"/>
        <v>2008</v>
      </c>
      <c r="F24483" t="s">
        <v>3935</v>
      </c>
      <c r="G24483" s="9">
        <v>3558.43</v>
      </c>
      <c r="H24483" s="8">
        <v>7989</v>
      </c>
    </row>
    <row r="24484" spans="2:8" ht="15" customHeight="1" x14ac:dyDescent="0.4">
      <c r="B24484" t="s">
        <v>7</v>
      </c>
      <c r="C24484" t="s">
        <v>3934</v>
      </c>
      <c r="D24484" s="7">
        <f>DATE(2009,5,27)</f>
        <v>39960</v>
      </c>
      <c r="E24484" s="8">
        <f t="shared" si="406"/>
        <v>2009</v>
      </c>
      <c r="F24484" t="s">
        <v>3935</v>
      </c>
      <c r="G24484" s="9">
        <v>18413.5</v>
      </c>
      <c r="H24484" s="8">
        <v>8384</v>
      </c>
    </row>
    <row r="24485" spans="2:8" ht="15" customHeight="1" x14ac:dyDescent="0.4">
      <c r="B24485" t="s">
        <v>7</v>
      </c>
      <c r="C24485" t="s">
        <v>3934</v>
      </c>
      <c r="D24485" s="7">
        <f>DATE(2009,5,27)</f>
        <v>39960</v>
      </c>
      <c r="E24485" s="8">
        <f t="shared" si="406"/>
        <v>2009</v>
      </c>
      <c r="F24485" t="s">
        <v>3935</v>
      </c>
      <c r="G24485" s="9">
        <v>19825</v>
      </c>
      <c r="H24485" s="8">
        <v>8704</v>
      </c>
    </row>
    <row r="24486" spans="2:8" ht="15" customHeight="1" x14ac:dyDescent="0.4">
      <c r="B24486" t="s">
        <v>7</v>
      </c>
      <c r="C24486" t="s">
        <v>3934</v>
      </c>
      <c r="D24486" s="7">
        <f>DATE(2009,5,28)</f>
        <v>39961</v>
      </c>
      <c r="E24486" s="8">
        <f t="shared" si="406"/>
        <v>2009</v>
      </c>
      <c r="F24486" t="s">
        <v>3935</v>
      </c>
      <c r="G24486" s="9">
        <v>9259</v>
      </c>
      <c r="H24486" s="8">
        <v>8382</v>
      </c>
    </row>
    <row r="24487" spans="2:8" ht="15" customHeight="1" x14ac:dyDescent="0.4">
      <c r="B24487" t="s">
        <v>7</v>
      </c>
      <c r="C24487" t="s">
        <v>3934</v>
      </c>
      <c r="D24487" s="7">
        <f>DATE(2009,7,9)</f>
        <v>40003</v>
      </c>
      <c r="E24487" s="8">
        <f t="shared" si="406"/>
        <v>2009</v>
      </c>
      <c r="F24487" t="s">
        <v>3935</v>
      </c>
      <c r="G24487" s="9">
        <v>15524</v>
      </c>
      <c r="H24487" s="8">
        <v>8861</v>
      </c>
    </row>
    <row r="24488" spans="2:8" ht="15" customHeight="1" x14ac:dyDescent="0.4">
      <c r="B24488" t="s">
        <v>7</v>
      </c>
      <c r="C24488" t="s">
        <v>3934</v>
      </c>
      <c r="D24488" s="7">
        <f>DATE(2009,7,23)</f>
        <v>40017</v>
      </c>
      <c r="E24488" s="8">
        <f t="shared" si="406"/>
        <v>2009</v>
      </c>
      <c r="F24488" t="s">
        <v>3935</v>
      </c>
      <c r="G24488" s="9">
        <v>17970</v>
      </c>
      <c r="H24488" s="8">
        <v>8879</v>
      </c>
    </row>
    <row r="24489" spans="2:8" ht="15" customHeight="1" x14ac:dyDescent="0.4">
      <c r="B24489" t="s">
        <v>7</v>
      </c>
      <c r="C24489" t="s">
        <v>3934</v>
      </c>
      <c r="D24489" s="7">
        <f>DATE(2009,10,5)</f>
        <v>40091</v>
      </c>
      <c r="E24489" s="8">
        <f t="shared" si="406"/>
        <v>2009</v>
      </c>
      <c r="F24489" t="s">
        <v>3935</v>
      </c>
      <c r="G24489" s="9">
        <v>20515</v>
      </c>
      <c r="H24489" s="8">
        <v>9117</v>
      </c>
    </row>
    <row r="24490" spans="2:8" ht="15" customHeight="1" x14ac:dyDescent="0.4">
      <c r="B24490" t="s">
        <v>7</v>
      </c>
      <c r="C24490" t="s">
        <v>3934</v>
      </c>
      <c r="D24490" s="7">
        <f>DATE(2010,6,17)</f>
        <v>40346</v>
      </c>
      <c r="E24490" s="8">
        <f t="shared" si="406"/>
        <v>2010</v>
      </c>
      <c r="F24490" t="s">
        <v>3935</v>
      </c>
      <c r="G24490" s="9">
        <v>15506</v>
      </c>
      <c r="H24490" s="8">
        <v>9913</v>
      </c>
    </row>
    <row r="24491" spans="2:8" ht="15" customHeight="1" x14ac:dyDescent="0.4">
      <c r="B24491" t="s">
        <v>7</v>
      </c>
      <c r="C24491" t="s">
        <v>3934</v>
      </c>
      <c r="D24491" s="7">
        <f>DATE(2010,6,30)</f>
        <v>40359</v>
      </c>
      <c r="E24491" s="8">
        <f t="shared" si="406"/>
        <v>2010</v>
      </c>
      <c r="F24491" t="s">
        <v>3935</v>
      </c>
      <c r="G24491" s="9">
        <v>2253.85</v>
      </c>
      <c r="H24491" s="8">
        <v>9864</v>
      </c>
    </row>
    <row r="24492" spans="2:8" ht="15" customHeight="1" x14ac:dyDescent="0.4">
      <c r="B24492" t="s">
        <v>7</v>
      </c>
      <c r="C24492" t="s">
        <v>3934</v>
      </c>
      <c r="D24492" s="7">
        <f>DATE(2010,6,30)</f>
        <v>40359</v>
      </c>
      <c r="E24492" s="8">
        <f t="shared" si="406"/>
        <v>2010</v>
      </c>
      <c r="F24492" t="s">
        <v>3935</v>
      </c>
      <c r="G24492" s="9">
        <v>13646</v>
      </c>
      <c r="H24492" s="8">
        <v>9915</v>
      </c>
    </row>
    <row r="24493" spans="2:8" ht="15" customHeight="1" x14ac:dyDescent="0.4">
      <c r="B24493" t="s">
        <v>7</v>
      </c>
      <c r="C24493" t="s">
        <v>3934</v>
      </c>
      <c r="D24493" s="7">
        <f>DATE(2010,6,30)</f>
        <v>40359</v>
      </c>
      <c r="E24493" s="8">
        <f t="shared" si="406"/>
        <v>2010</v>
      </c>
      <c r="F24493" t="s">
        <v>3935</v>
      </c>
      <c r="G24493" s="9">
        <v>13646</v>
      </c>
      <c r="H24493" s="8">
        <v>9916</v>
      </c>
    </row>
    <row r="24494" spans="2:8" ht="15" customHeight="1" x14ac:dyDescent="0.4">
      <c r="B24494" t="s">
        <v>7</v>
      </c>
      <c r="C24494" t="s">
        <v>3934</v>
      </c>
      <c r="D24494" s="7">
        <f>DATE(2010,7,19)</f>
        <v>40378</v>
      </c>
      <c r="E24494" s="8">
        <f t="shared" si="406"/>
        <v>2010</v>
      </c>
      <c r="F24494" t="s">
        <v>3935</v>
      </c>
      <c r="G24494" s="9">
        <v>15506</v>
      </c>
      <c r="H24494" s="8">
        <v>9864</v>
      </c>
    </row>
    <row r="24495" spans="2:8" ht="15" customHeight="1" x14ac:dyDescent="0.4">
      <c r="B24495" t="s">
        <v>7</v>
      </c>
      <c r="C24495" t="s">
        <v>3934</v>
      </c>
      <c r="D24495" s="7">
        <f>DATE(2010,7,19)</f>
        <v>40378</v>
      </c>
      <c r="E24495" s="8">
        <f t="shared" si="406"/>
        <v>2010</v>
      </c>
      <c r="F24495" t="s">
        <v>3935</v>
      </c>
      <c r="G24495" s="9">
        <v>17383</v>
      </c>
      <c r="H24495" s="8">
        <v>9991</v>
      </c>
    </row>
    <row r="24496" spans="2:8" ht="15" customHeight="1" x14ac:dyDescent="0.4">
      <c r="B24496" t="s">
        <v>7</v>
      </c>
      <c r="C24496" t="s">
        <v>3934</v>
      </c>
      <c r="D24496" s="7">
        <f>DATE(2010,8,5)</f>
        <v>40395</v>
      </c>
      <c r="E24496" s="8">
        <f t="shared" si="406"/>
        <v>2010</v>
      </c>
      <c r="F24496" t="s">
        <v>3935</v>
      </c>
      <c r="G24496" s="9">
        <v>16415</v>
      </c>
      <c r="H24496" s="8">
        <v>9995</v>
      </c>
    </row>
    <row r="24497" spans="2:8" ht="15" customHeight="1" x14ac:dyDescent="0.4">
      <c r="B24497" t="s">
        <v>7</v>
      </c>
      <c r="C24497" t="s">
        <v>3934</v>
      </c>
      <c r="D24497" s="7">
        <f>DATE(2010,8,31)</f>
        <v>40421</v>
      </c>
      <c r="E24497" s="8">
        <f t="shared" si="406"/>
        <v>2010</v>
      </c>
      <c r="F24497" t="s">
        <v>3935</v>
      </c>
      <c r="G24497" s="9">
        <v>22181</v>
      </c>
      <c r="H24497" s="8">
        <v>10084</v>
      </c>
    </row>
    <row r="24498" spans="2:8" ht="15" customHeight="1" x14ac:dyDescent="0.4">
      <c r="B24498" t="s">
        <v>7</v>
      </c>
      <c r="C24498" t="s">
        <v>3934</v>
      </c>
      <c r="D24498" s="7">
        <f>DATE(2010,9,17)</f>
        <v>40438</v>
      </c>
      <c r="E24498" s="8">
        <f t="shared" si="406"/>
        <v>2010</v>
      </c>
      <c r="F24498" t="s">
        <v>3935</v>
      </c>
      <c r="G24498" s="9">
        <v>17966</v>
      </c>
      <c r="H24498" s="8">
        <v>10117</v>
      </c>
    </row>
    <row r="24499" spans="2:8" ht="15" customHeight="1" x14ac:dyDescent="0.4">
      <c r="B24499" t="s">
        <v>7</v>
      </c>
      <c r="C24499" t="s">
        <v>3934</v>
      </c>
      <c r="D24499" s="7">
        <f>DATE(2010,10,1)</f>
        <v>40452</v>
      </c>
      <c r="E24499" s="8">
        <f t="shared" si="406"/>
        <v>2010</v>
      </c>
      <c r="F24499" t="s">
        <v>3935</v>
      </c>
      <c r="G24499" s="9">
        <v>21990</v>
      </c>
      <c r="H24499" s="8">
        <v>10134</v>
      </c>
    </row>
    <row r="24500" spans="2:8" ht="15" customHeight="1" x14ac:dyDescent="0.4">
      <c r="B24500" t="s">
        <v>7</v>
      </c>
      <c r="C24500" t="s">
        <v>3934</v>
      </c>
      <c r="D24500" s="7">
        <f>DATE(2011,1,10)</f>
        <v>40553</v>
      </c>
      <c r="E24500" s="8">
        <f t="shared" si="406"/>
        <v>2011</v>
      </c>
      <c r="F24500" t="s">
        <v>3935</v>
      </c>
      <c r="G24500" s="9">
        <v>2577.1999999999998</v>
      </c>
      <c r="H24500" s="8">
        <v>10327</v>
      </c>
    </row>
    <row r="24501" spans="2:8" ht="15" customHeight="1" x14ac:dyDescent="0.4">
      <c r="B24501" t="s">
        <v>7</v>
      </c>
      <c r="C24501" t="s">
        <v>3934</v>
      </c>
      <c r="D24501" s="7">
        <f>DATE(2011,5,17)</f>
        <v>40680</v>
      </c>
      <c r="E24501" s="8">
        <f t="shared" si="406"/>
        <v>2011</v>
      </c>
      <c r="F24501" t="s">
        <v>3935</v>
      </c>
      <c r="G24501" s="9">
        <v>18864</v>
      </c>
      <c r="H24501" s="8">
        <v>10673</v>
      </c>
    </row>
    <row r="24502" spans="2:8" ht="15" customHeight="1" x14ac:dyDescent="0.4">
      <c r="B24502" t="s">
        <v>7</v>
      </c>
      <c r="C24502" t="s">
        <v>3934</v>
      </c>
      <c r="D24502" s="7">
        <f>DATE(2011,6,24)</f>
        <v>40718</v>
      </c>
      <c r="E24502" s="8">
        <f t="shared" si="406"/>
        <v>2011</v>
      </c>
      <c r="F24502" t="s">
        <v>3935</v>
      </c>
      <c r="G24502" s="9">
        <v>31540</v>
      </c>
      <c r="H24502" s="8">
        <v>10786</v>
      </c>
    </row>
    <row r="24503" spans="2:8" ht="15" customHeight="1" x14ac:dyDescent="0.4">
      <c r="B24503" t="s">
        <v>7</v>
      </c>
      <c r="C24503" t="s">
        <v>3934</v>
      </c>
      <c r="D24503" s="7">
        <f>DATE(2011,6,27)</f>
        <v>40721</v>
      </c>
      <c r="E24503" s="8">
        <f t="shared" si="406"/>
        <v>2011</v>
      </c>
      <c r="F24503" t="s">
        <v>3935</v>
      </c>
      <c r="G24503" s="9">
        <v>17966</v>
      </c>
      <c r="H24503" s="8">
        <v>10823</v>
      </c>
    </row>
    <row r="24504" spans="2:8" ht="15" customHeight="1" x14ac:dyDescent="0.4">
      <c r="B24504" t="s">
        <v>7</v>
      </c>
      <c r="C24504" t="s">
        <v>3934</v>
      </c>
      <c r="D24504" s="7">
        <f>DATE(2011,6,27)</f>
        <v>40721</v>
      </c>
      <c r="E24504" s="8">
        <f t="shared" si="406"/>
        <v>2011</v>
      </c>
      <c r="F24504" t="s">
        <v>3935</v>
      </c>
      <c r="G24504" s="9">
        <v>13980.98</v>
      </c>
      <c r="H24504" s="8">
        <v>10813</v>
      </c>
    </row>
    <row r="24505" spans="2:8" ht="15" customHeight="1" x14ac:dyDescent="0.4">
      <c r="B24505" t="s">
        <v>7</v>
      </c>
      <c r="C24505" t="s">
        <v>3934</v>
      </c>
      <c r="D24505" s="7">
        <f>DATE(2011,7,28)</f>
        <v>40752</v>
      </c>
      <c r="E24505" s="8">
        <f t="shared" si="406"/>
        <v>2011</v>
      </c>
      <c r="F24505" t="s">
        <v>3935</v>
      </c>
      <c r="G24505" s="9">
        <v>21990</v>
      </c>
      <c r="H24505" s="8">
        <v>10897</v>
      </c>
    </row>
    <row r="24506" spans="2:8" ht="15" customHeight="1" x14ac:dyDescent="0.4">
      <c r="B24506" t="s">
        <v>7</v>
      </c>
      <c r="C24506" t="s">
        <v>3934</v>
      </c>
      <c r="D24506" s="7">
        <f>DATE(2011,7,28)</f>
        <v>40752</v>
      </c>
      <c r="E24506" s="8">
        <f t="shared" si="406"/>
        <v>2011</v>
      </c>
      <c r="F24506" t="s">
        <v>3935</v>
      </c>
      <c r="G24506" s="9">
        <v>19124</v>
      </c>
      <c r="H24506" s="8">
        <v>10910</v>
      </c>
    </row>
    <row r="24507" spans="2:8" ht="15" customHeight="1" x14ac:dyDescent="0.4">
      <c r="B24507" t="s">
        <v>7</v>
      </c>
      <c r="C24507" t="s">
        <v>3934</v>
      </c>
      <c r="D24507" s="7">
        <f>DATE(2011,7,28)</f>
        <v>40752</v>
      </c>
      <c r="E24507" s="8">
        <f t="shared" si="406"/>
        <v>2011</v>
      </c>
      <c r="F24507" t="s">
        <v>3935</v>
      </c>
      <c r="G24507" s="9">
        <v>19707</v>
      </c>
      <c r="H24507" s="8">
        <v>10912</v>
      </c>
    </row>
    <row r="24508" spans="2:8" ht="15" customHeight="1" x14ac:dyDescent="0.4">
      <c r="B24508" t="s">
        <v>7</v>
      </c>
      <c r="C24508" t="s">
        <v>3934</v>
      </c>
      <c r="D24508" s="7">
        <f>DATE(2011,8,24)</f>
        <v>40779</v>
      </c>
      <c r="E24508" s="8">
        <f t="shared" si="406"/>
        <v>2011</v>
      </c>
      <c r="F24508" t="s">
        <v>3935</v>
      </c>
      <c r="G24508" s="9">
        <v>19124</v>
      </c>
      <c r="H24508" s="8">
        <v>10942</v>
      </c>
    </row>
    <row r="24509" spans="2:8" ht="15" customHeight="1" x14ac:dyDescent="0.4">
      <c r="B24509" t="s">
        <v>7</v>
      </c>
      <c r="C24509" t="s">
        <v>3934</v>
      </c>
      <c r="D24509" s="7">
        <f>DATE(2011,9,8)</f>
        <v>40794</v>
      </c>
      <c r="E24509" s="8">
        <f t="shared" si="406"/>
        <v>2011</v>
      </c>
      <c r="F24509" t="s">
        <v>3935</v>
      </c>
      <c r="G24509" s="9">
        <v>22190</v>
      </c>
      <c r="H24509" s="8">
        <v>10982</v>
      </c>
    </row>
    <row r="24510" spans="2:8" ht="15" customHeight="1" x14ac:dyDescent="0.4">
      <c r="B24510" t="s">
        <v>7</v>
      </c>
      <c r="C24510" t="s">
        <v>3934</v>
      </c>
      <c r="D24510" s="7">
        <f>DATE(2012,5,25)</f>
        <v>41054</v>
      </c>
      <c r="E24510" s="8">
        <f t="shared" si="406"/>
        <v>2012</v>
      </c>
      <c r="F24510" t="s">
        <v>3935</v>
      </c>
      <c r="G24510" s="9">
        <v>18980</v>
      </c>
      <c r="H24510" s="8">
        <v>11619</v>
      </c>
    </row>
    <row r="24511" spans="2:8" ht="15" customHeight="1" x14ac:dyDescent="0.4">
      <c r="B24511" t="s">
        <v>7</v>
      </c>
      <c r="C24511" t="s">
        <v>3934</v>
      </c>
      <c r="D24511" s="7">
        <f>DATE(2012,5,25)</f>
        <v>41054</v>
      </c>
      <c r="E24511" s="8">
        <f t="shared" si="406"/>
        <v>2012</v>
      </c>
      <c r="F24511" t="s">
        <v>3935</v>
      </c>
      <c r="G24511" s="9">
        <v>755</v>
      </c>
      <c r="H24511" s="8">
        <v>11624</v>
      </c>
    </row>
    <row r="24512" spans="2:8" ht="15" customHeight="1" x14ac:dyDescent="0.4">
      <c r="B24512" t="s">
        <v>7</v>
      </c>
      <c r="C24512" t="s">
        <v>3934</v>
      </c>
      <c r="D24512" s="7">
        <f>DATE(2012,5,25)</f>
        <v>41054</v>
      </c>
      <c r="E24512" s="8">
        <f t="shared" si="406"/>
        <v>2012</v>
      </c>
      <c r="F24512" t="s">
        <v>3935</v>
      </c>
      <c r="G24512" s="9">
        <v>15975</v>
      </c>
      <c r="H24512" s="8">
        <v>11640</v>
      </c>
    </row>
    <row r="24513" spans="2:8" ht="15" customHeight="1" x14ac:dyDescent="0.4">
      <c r="B24513" t="s">
        <v>7</v>
      </c>
      <c r="C24513" t="s">
        <v>3934</v>
      </c>
      <c r="D24513" s="7">
        <f>DATE(2012,5,30)</f>
        <v>41059</v>
      </c>
      <c r="E24513" s="8">
        <f t="shared" si="406"/>
        <v>2012</v>
      </c>
      <c r="F24513" t="s">
        <v>3935</v>
      </c>
      <c r="G24513" s="9">
        <v>755</v>
      </c>
      <c r="H24513" s="8">
        <v>11636</v>
      </c>
    </row>
    <row r="24514" spans="2:8" ht="15" customHeight="1" x14ac:dyDescent="0.4">
      <c r="B24514" t="s">
        <v>7</v>
      </c>
      <c r="C24514" t="s">
        <v>3934</v>
      </c>
      <c r="D24514" s="7">
        <f>DATE(2012,6,1)</f>
        <v>41061</v>
      </c>
      <c r="E24514" s="8">
        <f t="shared" si="406"/>
        <v>2012</v>
      </c>
      <c r="F24514" t="s">
        <v>3935</v>
      </c>
      <c r="G24514" s="9">
        <v>17446</v>
      </c>
      <c r="H24514" s="8">
        <v>11647</v>
      </c>
    </row>
    <row r="24515" spans="2:8" ht="15" customHeight="1" x14ac:dyDescent="0.4">
      <c r="B24515" t="s">
        <v>7</v>
      </c>
      <c r="C24515" t="s">
        <v>3934</v>
      </c>
      <c r="D24515" s="7">
        <f>DATE(2012,6,11)</f>
        <v>41071</v>
      </c>
      <c r="E24515" s="8">
        <f t="shared" ref="E24515:E24578" si="407">YEAR(D24515)</f>
        <v>2012</v>
      </c>
      <c r="F24515" t="s">
        <v>3935</v>
      </c>
      <c r="G24515" s="9">
        <v>23597</v>
      </c>
      <c r="H24515" s="8">
        <v>11660</v>
      </c>
    </row>
    <row r="24516" spans="2:8" ht="15" customHeight="1" x14ac:dyDescent="0.4">
      <c r="B24516" t="s">
        <v>7</v>
      </c>
      <c r="C24516" t="s">
        <v>3934</v>
      </c>
      <c r="D24516" s="7">
        <f>DATE(2012,7,6)</f>
        <v>41096</v>
      </c>
      <c r="E24516" s="8">
        <f t="shared" si="407"/>
        <v>2012</v>
      </c>
      <c r="F24516" t="s">
        <v>3935</v>
      </c>
      <c r="G24516" s="9">
        <v>22310</v>
      </c>
      <c r="H24516" s="8">
        <v>11715</v>
      </c>
    </row>
    <row r="24517" spans="2:8" ht="15" customHeight="1" x14ac:dyDescent="0.4">
      <c r="B24517" t="s">
        <v>7</v>
      </c>
      <c r="C24517" t="s">
        <v>3934</v>
      </c>
      <c r="D24517" s="7">
        <f>DATE(2012,7,18)</f>
        <v>41108</v>
      </c>
      <c r="E24517" s="8">
        <f t="shared" si="407"/>
        <v>2012</v>
      </c>
      <c r="F24517" t="s">
        <v>3935</v>
      </c>
      <c r="G24517" s="9">
        <v>22310</v>
      </c>
      <c r="H24517" s="8">
        <v>11738</v>
      </c>
    </row>
    <row r="24518" spans="2:8" ht="15" customHeight="1" x14ac:dyDescent="0.4">
      <c r="B24518" t="s">
        <v>7</v>
      </c>
      <c r="C24518" t="s">
        <v>3934</v>
      </c>
      <c r="D24518" s="7">
        <f>DATE(2012,8,1)</f>
        <v>41122</v>
      </c>
      <c r="E24518" s="8">
        <f t="shared" si="407"/>
        <v>2012</v>
      </c>
      <c r="F24518" t="s">
        <v>3935</v>
      </c>
      <c r="G24518" s="9">
        <v>18150</v>
      </c>
      <c r="H24518" s="8">
        <v>11758</v>
      </c>
    </row>
    <row r="24519" spans="2:8" ht="15" customHeight="1" x14ac:dyDescent="0.4">
      <c r="B24519" t="s">
        <v>7</v>
      </c>
      <c r="C24519" t="s">
        <v>3934</v>
      </c>
      <c r="D24519" s="7">
        <f>DATE(2012,8,9)</f>
        <v>41130</v>
      </c>
      <c r="E24519" s="8">
        <f t="shared" si="407"/>
        <v>2012</v>
      </c>
      <c r="F24519" t="s">
        <v>3935</v>
      </c>
      <c r="G24519" s="9">
        <v>18150</v>
      </c>
      <c r="H24519" s="8">
        <v>11770</v>
      </c>
    </row>
    <row r="24520" spans="2:8" ht="15" customHeight="1" x14ac:dyDescent="0.4">
      <c r="B24520" t="s">
        <v>7</v>
      </c>
      <c r="C24520" t="s">
        <v>3934</v>
      </c>
      <c r="D24520" s="7">
        <f>DATE(2012,9,19)</f>
        <v>41171</v>
      </c>
      <c r="E24520" s="8">
        <f t="shared" si="407"/>
        <v>2012</v>
      </c>
      <c r="F24520" t="s">
        <v>3935</v>
      </c>
      <c r="G24520" s="9">
        <v>18150</v>
      </c>
      <c r="H24520" s="8">
        <v>11872</v>
      </c>
    </row>
    <row r="24521" spans="2:8" ht="15" customHeight="1" x14ac:dyDescent="0.4">
      <c r="B24521" t="s">
        <v>7</v>
      </c>
      <c r="C24521" t="s">
        <v>3934</v>
      </c>
      <c r="D24521" s="7">
        <f>DATE(2012,10,19)</f>
        <v>41201</v>
      </c>
      <c r="E24521" s="8">
        <f t="shared" si="407"/>
        <v>2012</v>
      </c>
      <c r="F24521" t="s">
        <v>3935</v>
      </c>
      <c r="G24521" s="9">
        <v>17074</v>
      </c>
      <c r="H24521" s="8">
        <v>11922</v>
      </c>
    </row>
    <row r="24522" spans="2:8" ht="15" customHeight="1" x14ac:dyDescent="0.4">
      <c r="B24522" t="s">
        <v>7</v>
      </c>
      <c r="C24522" t="s">
        <v>3934</v>
      </c>
      <c r="D24522" s="7">
        <f>DATE(2013,5,1)</f>
        <v>41395</v>
      </c>
      <c r="E24522" s="8">
        <f t="shared" si="407"/>
        <v>2013</v>
      </c>
      <c r="F24522" t="s">
        <v>3935</v>
      </c>
      <c r="G24522" s="9">
        <v>858</v>
      </c>
      <c r="H24522" s="8">
        <v>12438</v>
      </c>
    </row>
    <row r="24523" spans="2:8" ht="15" customHeight="1" x14ac:dyDescent="0.4">
      <c r="B24523" t="s">
        <v>7</v>
      </c>
      <c r="C24523" t="s">
        <v>3934</v>
      </c>
      <c r="D24523" s="7">
        <f>DATE(2013,5,1)</f>
        <v>41395</v>
      </c>
      <c r="E24523" s="8">
        <f t="shared" si="407"/>
        <v>2013</v>
      </c>
      <c r="F24523" t="s">
        <v>3935</v>
      </c>
      <c r="G24523" s="9">
        <v>858</v>
      </c>
      <c r="H24523" s="8">
        <v>12423</v>
      </c>
    </row>
    <row r="24524" spans="2:8" ht="15" customHeight="1" x14ac:dyDescent="0.4">
      <c r="B24524" t="s">
        <v>7</v>
      </c>
      <c r="C24524" t="s">
        <v>3934</v>
      </c>
      <c r="D24524" s="7">
        <f>DATE(2013,5,1)</f>
        <v>41395</v>
      </c>
      <c r="E24524" s="8">
        <f t="shared" si="407"/>
        <v>2013</v>
      </c>
      <c r="F24524" t="s">
        <v>3935</v>
      </c>
      <c r="G24524" s="9">
        <v>18008</v>
      </c>
      <c r="H24524" s="8">
        <v>12422</v>
      </c>
    </row>
    <row r="24525" spans="2:8" ht="15" customHeight="1" x14ac:dyDescent="0.4">
      <c r="B24525" t="s">
        <v>7</v>
      </c>
      <c r="C24525" t="s">
        <v>3934</v>
      </c>
      <c r="D24525" s="7">
        <f>DATE(2013,5,1)</f>
        <v>41395</v>
      </c>
      <c r="E24525" s="8">
        <f t="shared" si="407"/>
        <v>2013</v>
      </c>
      <c r="F24525" t="s">
        <v>3935</v>
      </c>
      <c r="G24525" s="9">
        <v>16294</v>
      </c>
      <c r="H24525" s="8">
        <v>12421</v>
      </c>
    </row>
    <row r="24526" spans="2:8" ht="15" customHeight="1" x14ac:dyDescent="0.4">
      <c r="B24526" t="s">
        <v>7</v>
      </c>
      <c r="C24526" t="s">
        <v>3934</v>
      </c>
      <c r="D24526" s="7">
        <f>DATE(2013,5,24)</f>
        <v>41418</v>
      </c>
      <c r="E24526" s="8">
        <f t="shared" si="407"/>
        <v>2013</v>
      </c>
      <c r="F24526" t="s">
        <v>3935</v>
      </c>
      <c r="G24526" s="9">
        <v>15990</v>
      </c>
      <c r="H24526" s="8">
        <v>12463</v>
      </c>
    </row>
    <row r="24527" spans="2:8" ht="15" customHeight="1" x14ac:dyDescent="0.4">
      <c r="B24527" t="s">
        <v>7</v>
      </c>
      <c r="C24527" t="s">
        <v>3934</v>
      </c>
      <c r="D24527" s="7">
        <f>DATE(2013,10,1)</f>
        <v>41548</v>
      </c>
      <c r="E24527" s="8">
        <f t="shared" si="407"/>
        <v>2013</v>
      </c>
      <c r="F24527" t="s">
        <v>3935</v>
      </c>
      <c r="G24527" s="9">
        <v>2413.71</v>
      </c>
      <c r="H24527" s="8">
        <v>12648</v>
      </c>
    </row>
    <row r="24528" spans="2:8" ht="15" customHeight="1" x14ac:dyDescent="0.4">
      <c r="B24528" t="s">
        <v>7</v>
      </c>
      <c r="C24528" t="s">
        <v>3934</v>
      </c>
      <c r="D24528" s="7">
        <f>DATE(2013,10,17)</f>
        <v>41564</v>
      </c>
      <c r="E24528" s="8">
        <f t="shared" si="407"/>
        <v>2013</v>
      </c>
      <c r="F24528" t="s">
        <v>3935</v>
      </c>
      <c r="G24528" s="9">
        <v>13571</v>
      </c>
      <c r="H24528" s="8">
        <v>12694</v>
      </c>
    </row>
    <row r="24529" spans="2:8" ht="15" customHeight="1" x14ac:dyDescent="0.4">
      <c r="B24529" t="s">
        <v>7</v>
      </c>
      <c r="C24529" t="s">
        <v>3934</v>
      </c>
      <c r="D24529" s="7">
        <f>DATE(2013,10,17)</f>
        <v>41564</v>
      </c>
      <c r="E24529" s="8">
        <f t="shared" si="407"/>
        <v>2013</v>
      </c>
      <c r="F24529" t="s">
        <v>3935</v>
      </c>
      <c r="G24529" s="9">
        <v>16650</v>
      </c>
      <c r="H24529" s="8">
        <v>12723</v>
      </c>
    </row>
    <row r="24530" spans="2:8" ht="15" customHeight="1" x14ac:dyDescent="0.4">
      <c r="B24530" t="s">
        <v>7</v>
      </c>
      <c r="C24530" t="s">
        <v>3934</v>
      </c>
      <c r="D24530" s="7">
        <f>DATE(2011,3,9)</f>
        <v>40611</v>
      </c>
      <c r="E24530" s="8">
        <f t="shared" si="407"/>
        <v>2011</v>
      </c>
      <c r="F24530" t="s">
        <v>3935</v>
      </c>
      <c r="G24530" s="9">
        <v>4390.33</v>
      </c>
      <c r="H24530" s="8">
        <v>10457</v>
      </c>
    </row>
    <row r="24531" spans="2:8" ht="15" customHeight="1" x14ac:dyDescent="0.4">
      <c r="B24531" t="s">
        <v>16</v>
      </c>
      <c r="C24531" t="s">
        <v>3934</v>
      </c>
      <c r="D24531" s="7">
        <f>DATE(2006,4,29)</f>
        <v>38836</v>
      </c>
      <c r="E24531" s="8">
        <f t="shared" si="407"/>
        <v>2006</v>
      </c>
      <c r="F24531" t="s">
        <v>3935</v>
      </c>
      <c r="G24531" s="9">
        <v>16782.5</v>
      </c>
      <c r="H24531" s="8">
        <v>4679</v>
      </c>
    </row>
    <row r="24532" spans="2:8" ht="15" customHeight="1" x14ac:dyDescent="0.4">
      <c r="B24532" s="3" t="s">
        <v>7</v>
      </c>
      <c r="C24532" s="3" t="s">
        <v>3934</v>
      </c>
      <c r="D24532" s="4">
        <f>DATE(2010,5,13)</f>
        <v>40311</v>
      </c>
      <c r="E24532" s="5">
        <f t="shared" si="407"/>
        <v>2010</v>
      </c>
      <c r="F24532" s="3" t="s">
        <v>3935</v>
      </c>
      <c r="G24532" s="6">
        <v>12920</v>
      </c>
      <c r="H24532" s="5">
        <v>14042</v>
      </c>
    </row>
    <row r="24533" spans="2:8" ht="15" customHeight="1" x14ac:dyDescent="0.4">
      <c r="B24533" s="3" t="s">
        <v>7</v>
      </c>
      <c r="C24533" s="3" t="s">
        <v>3934</v>
      </c>
      <c r="D24533" s="4">
        <f>DATE(2010,6,11)</f>
        <v>40340</v>
      </c>
      <c r="E24533" s="5">
        <f t="shared" si="407"/>
        <v>2010</v>
      </c>
      <c r="F24533" s="3" t="s">
        <v>3935</v>
      </c>
      <c r="G24533" s="6">
        <v>1900</v>
      </c>
      <c r="H24533" s="5">
        <v>14171</v>
      </c>
    </row>
    <row r="24534" spans="2:8" ht="15" customHeight="1" x14ac:dyDescent="0.4">
      <c r="B24534" s="3" t="s">
        <v>7</v>
      </c>
      <c r="C24534" s="3" t="s">
        <v>3934</v>
      </c>
      <c r="D24534" s="4">
        <f>DATE(2010,7,1)</f>
        <v>40360</v>
      </c>
      <c r="E24534" s="5">
        <f t="shared" si="407"/>
        <v>2010</v>
      </c>
      <c r="F24534" s="3" t="s">
        <v>3935</v>
      </c>
      <c r="G24534" s="6">
        <v>1900</v>
      </c>
      <c r="H24534" s="5">
        <v>14224</v>
      </c>
    </row>
    <row r="24535" spans="2:8" ht="15" customHeight="1" x14ac:dyDescent="0.4">
      <c r="B24535" s="3" t="s">
        <v>7</v>
      </c>
      <c r="C24535" s="3" t="s">
        <v>3934</v>
      </c>
      <c r="D24535" s="4">
        <f>DATE(2010,7,20)</f>
        <v>40379</v>
      </c>
      <c r="E24535" s="5">
        <f t="shared" si="407"/>
        <v>2010</v>
      </c>
      <c r="F24535" s="3" t="s">
        <v>3935</v>
      </c>
      <c r="G24535" s="6">
        <v>13350</v>
      </c>
      <c r="H24535" s="5">
        <v>14273</v>
      </c>
    </row>
    <row r="24536" spans="2:8" ht="15" customHeight="1" x14ac:dyDescent="0.4">
      <c r="B24536" t="s">
        <v>7</v>
      </c>
      <c r="C24536" t="s">
        <v>3936</v>
      </c>
      <c r="D24536" s="7">
        <f>DATE(2015,4,17)</f>
        <v>42111</v>
      </c>
      <c r="E24536" s="8">
        <f t="shared" si="407"/>
        <v>2015</v>
      </c>
      <c r="F24536" t="s">
        <v>3937</v>
      </c>
      <c r="G24536" s="9">
        <v>3630</v>
      </c>
      <c r="H24536" s="8">
        <v>20432</v>
      </c>
    </row>
    <row r="24537" spans="2:8" ht="15" customHeight="1" x14ac:dyDescent="0.4">
      <c r="B24537" t="s">
        <v>7</v>
      </c>
      <c r="C24537" t="s">
        <v>3936</v>
      </c>
      <c r="D24537" s="7">
        <f>DATE(2018,2,21)</f>
        <v>43152</v>
      </c>
      <c r="E24537" s="8">
        <f t="shared" si="407"/>
        <v>2018</v>
      </c>
      <c r="F24537" t="s">
        <v>3937</v>
      </c>
      <c r="G24537" s="9">
        <v>1818</v>
      </c>
      <c r="H24537" s="8">
        <v>26499</v>
      </c>
    </row>
    <row r="24538" spans="2:8" ht="15" customHeight="1" x14ac:dyDescent="0.4">
      <c r="B24538" t="s">
        <v>7</v>
      </c>
      <c r="C24538" t="s">
        <v>3936</v>
      </c>
      <c r="D24538" s="7">
        <f>DATE(2018,3,19)</f>
        <v>43178</v>
      </c>
      <c r="E24538" s="8">
        <f t="shared" si="407"/>
        <v>2018</v>
      </c>
      <c r="F24538" t="s">
        <v>3937</v>
      </c>
      <c r="G24538" s="9">
        <v>1815</v>
      </c>
      <c r="H24538" s="8">
        <v>26670</v>
      </c>
    </row>
    <row r="24539" spans="2:8" ht="15" customHeight="1" x14ac:dyDescent="0.4">
      <c r="B24539" t="s">
        <v>7</v>
      </c>
      <c r="C24539" t="s">
        <v>3936</v>
      </c>
      <c r="D24539" s="7">
        <f>DATE(2018,3,19)</f>
        <v>43178</v>
      </c>
      <c r="E24539" s="8">
        <f t="shared" si="407"/>
        <v>2018</v>
      </c>
      <c r="F24539" t="s">
        <v>3937</v>
      </c>
      <c r="G24539" s="9">
        <v>1815</v>
      </c>
      <c r="H24539" s="8">
        <v>26671</v>
      </c>
    </row>
    <row r="24540" spans="2:8" ht="15" customHeight="1" x14ac:dyDescent="0.4">
      <c r="B24540" t="s">
        <v>7</v>
      </c>
      <c r="C24540" t="s">
        <v>3936</v>
      </c>
      <c r="D24540" s="7">
        <f>DATE(2015,6,4)</f>
        <v>42159</v>
      </c>
      <c r="E24540" s="8">
        <f t="shared" si="407"/>
        <v>2015</v>
      </c>
      <c r="F24540" t="s">
        <v>3937</v>
      </c>
      <c r="G24540" s="9">
        <v>43060.22</v>
      </c>
      <c r="H24540" s="8">
        <v>20300</v>
      </c>
    </row>
    <row r="24541" spans="2:8" ht="15" customHeight="1" x14ac:dyDescent="0.4">
      <c r="B24541" t="s">
        <v>7</v>
      </c>
      <c r="C24541" t="s">
        <v>3936</v>
      </c>
      <c r="D24541" s="7">
        <f>DATE(2016,11,7)</f>
        <v>42681</v>
      </c>
      <c r="E24541" s="8">
        <f t="shared" si="407"/>
        <v>2016</v>
      </c>
      <c r="F24541" t="s">
        <v>3937</v>
      </c>
      <c r="G24541" s="9">
        <v>7930.89</v>
      </c>
      <c r="H24541" s="8">
        <v>23762</v>
      </c>
    </row>
    <row r="24542" spans="2:8" ht="15" customHeight="1" x14ac:dyDescent="0.4">
      <c r="B24542" t="s">
        <v>7</v>
      </c>
      <c r="C24542" t="s">
        <v>3936</v>
      </c>
      <c r="D24542" s="7">
        <f>DATE(2016,11,17)</f>
        <v>42691</v>
      </c>
      <c r="E24542" s="8">
        <f t="shared" si="407"/>
        <v>2016</v>
      </c>
      <c r="F24542" t="s">
        <v>3937</v>
      </c>
      <c r="G24542" s="9">
        <v>15525.91</v>
      </c>
      <c r="H24542" s="8">
        <v>23650</v>
      </c>
    </row>
    <row r="24543" spans="2:8" ht="15" customHeight="1" x14ac:dyDescent="0.4">
      <c r="B24543" t="s">
        <v>7</v>
      </c>
      <c r="C24543" t="s">
        <v>3936</v>
      </c>
      <c r="D24543" s="7">
        <f>DATE(2017,9,26)</f>
        <v>43004</v>
      </c>
      <c r="E24543" s="8">
        <f t="shared" si="407"/>
        <v>2017</v>
      </c>
      <c r="F24543" t="s">
        <v>3937</v>
      </c>
      <c r="G24543" s="9">
        <v>7889.1</v>
      </c>
      <c r="H24543" s="8">
        <v>25563</v>
      </c>
    </row>
    <row r="24544" spans="2:8" ht="15" customHeight="1" x14ac:dyDescent="0.4">
      <c r="B24544" t="s">
        <v>7</v>
      </c>
      <c r="C24544" t="s">
        <v>3936</v>
      </c>
      <c r="D24544" s="7">
        <f>DATE(2017,10,6)</f>
        <v>43014</v>
      </c>
      <c r="E24544" s="8">
        <f t="shared" si="407"/>
        <v>2017</v>
      </c>
      <c r="F24544" t="s">
        <v>3937</v>
      </c>
      <c r="G24544" s="9">
        <v>14462.66</v>
      </c>
      <c r="H24544" s="8">
        <v>25624</v>
      </c>
    </row>
    <row r="24545" spans="2:8" ht="15" customHeight="1" x14ac:dyDescent="0.4">
      <c r="B24545" t="s">
        <v>7</v>
      </c>
      <c r="C24545" t="s">
        <v>3936</v>
      </c>
      <c r="D24545" s="7">
        <f>DATE(2017,10,20)</f>
        <v>43028</v>
      </c>
      <c r="E24545" s="8">
        <f t="shared" si="407"/>
        <v>2017</v>
      </c>
      <c r="F24545" t="s">
        <v>3937</v>
      </c>
      <c r="G24545" s="9">
        <v>20494.97</v>
      </c>
      <c r="H24545" s="8">
        <v>25703</v>
      </c>
    </row>
    <row r="24546" spans="2:8" ht="15" customHeight="1" x14ac:dyDescent="0.4">
      <c r="B24546" t="s">
        <v>7</v>
      </c>
      <c r="C24546" t="s">
        <v>3936</v>
      </c>
      <c r="D24546" s="7">
        <f>DATE(2017,11,1)</f>
        <v>43040</v>
      </c>
      <c r="E24546" s="8">
        <f t="shared" si="407"/>
        <v>2017</v>
      </c>
      <c r="F24546" t="s">
        <v>3937</v>
      </c>
      <c r="G24546" s="9">
        <v>6463.22</v>
      </c>
      <c r="H24546" s="8">
        <v>25797</v>
      </c>
    </row>
    <row r="24547" spans="2:8" ht="15" customHeight="1" x14ac:dyDescent="0.4">
      <c r="B24547" t="s">
        <v>7</v>
      </c>
      <c r="C24547" t="s">
        <v>3936</v>
      </c>
      <c r="D24547" s="7">
        <f>DATE(2017,11,16)</f>
        <v>43055</v>
      </c>
      <c r="E24547" s="8">
        <f t="shared" si="407"/>
        <v>2017</v>
      </c>
      <c r="F24547" t="s">
        <v>3937</v>
      </c>
      <c r="G24547" s="9">
        <v>2920.02</v>
      </c>
      <c r="H24547" s="8">
        <v>25827</v>
      </c>
    </row>
    <row r="24548" spans="2:8" ht="15" customHeight="1" x14ac:dyDescent="0.4">
      <c r="B24548" t="s">
        <v>7</v>
      </c>
      <c r="C24548" t="s">
        <v>3936</v>
      </c>
      <c r="D24548" s="7">
        <f>DATE(2018,2,23)</f>
        <v>43154</v>
      </c>
      <c r="E24548" s="8">
        <f t="shared" si="407"/>
        <v>2018</v>
      </c>
      <c r="F24548" t="s">
        <v>3937</v>
      </c>
      <c r="G24548" s="9">
        <v>3335.94</v>
      </c>
      <c r="H24548" s="8">
        <v>26409</v>
      </c>
    </row>
    <row r="24549" spans="2:8" ht="15" customHeight="1" x14ac:dyDescent="0.4">
      <c r="B24549" t="s">
        <v>7</v>
      </c>
      <c r="C24549" t="s">
        <v>3936</v>
      </c>
      <c r="D24549" s="7">
        <f>DATE(2018,4,10)</f>
        <v>43200</v>
      </c>
      <c r="E24549" s="8">
        <f t="shared" si="407"/>
        <v>2018</v>
      </c>
      <c r="F24549" t="s">
        <v>3937</v>
      </c>
      <c r="G24549" s="9">
        <v>3108.26</v>
      </c>
      <c r="H24549" s="8">
        <v>26807</v>
      </c>
    </row>
    <row r="24550" spans="2:8" ht="15" customHeight="1" x14ac:dyDescent="0.4">
      <c r="B24550" t="s">
        <v>7</v>
      </c>
      <c r="C24550" t="s">
        <v>3936</v>
      </c>
      <c r="D24550" s="7">
        <f>DATE(2018,5,16)</f>
        <v>43236</v>
      </c>
      <c r="E24550" s="8">
        <f t="shared" si="407"/>
        <v>2018</v>
      </c>
      <c r="F24550" t="s">
        <v>3937</v>
      </c>
      <c r="G24550" s="9">
        <v>25290.89</v>
      </c>
      <c r="H24550" s="8">
        <v>26985</v>
      </c>
    </row>
    <row r="24551" spans="2:8" ht="15" customHeight="1" x14ac:dyDescent="0.4">
      <c r="B24551" t="s">
        <v>7</v>
      </c>
      <c r="C24551" t="s">
        <v>3936</v>
      </c>
      <c r="D24551" s="7">
        <f>DATE(2018,6,4)</f>
        <v>43255</v>
      </c>
      <c r="E24551" s="8">
        <f t="shared" si="407"/>
        <v>2018</v>
      </c>
      <c r="F24551" t="s">
        <v>3937</v>
      </c>
      <c r="G24551" s="9">
        <v>5732.71</v>
      </c>
      <c r="H24551" s="8">
        <v>27110</v>
      </c>
    </row>
    <row r="24552" spans="2:8" ht="15" customHeight="1" x14ac:dyDescent="0.4">
      <c r="B24552" t="s">
        <v>7</v>
      </c>
      <c r="C24552" t="s">
        <v>3936</v>
      </c>
      <c r="D24552" s="7">
        <f>DATE(2018,12,6)</f>
        <v>43440</v>
      </c>
      <c r="E24552" s="8">
        <f t="shared" si="407"/>
        <v>2018</v>
      </c>
      <c r="F24552" t="s">
        <v>3937</v>
      </c>
      <c r="G24552" s="9">
        <v>5598.74</v>
      </c>
      <c r="H24552" s="8">
        <v>27974</v>
      </c>
    </row>
    <row r="24553" spans="2:8" ht="15" customHeight="1" x14ac:dyDescent="0.4">
      <c r="B24553" t="s">
        <v>7</v>
      </c>
      <c r="C24553" t="s">
        <v>3936</v>
      </c>
      <c r="D24553" s="7">
        <f>DATE(2019,1,28)</f>
        <v>43493</v>
      </c>
      <c r="E24553" s="8">
        <f t="shared" si="407"/>
        <v>2019</v>
      </c>
      <c r="F24553" t="s">
        <v>3937</v>
      </c>
      <c r="G24553" s="9">
        <v>5979.33</v>
      </c>
      <c r="H24553" s="8">
        <v>28266</v>
      </c>
    </row>
    <row r="24554" spans="2:8" ht="15" customHeight="1" x14ac:dyDescent="0.4">
      <c r="B24554" t="s">
        <v>7</v>
      </c>
      <c r="C24554" t="s">
        <v>3936</v>
      </c>
      <c r="D24554" s="7">
        <f>DATE(2019,3,1)</f>
        <v>43525</v>
      </c>
      <c r="E24554" s="8">
        <f t="shared" si="407"/>
        <v>2019</v>
      </c>
      <c r="F24554" t="s">
        <v>3937</v>
      </c>
      <c r="G24554" s="9">
        <v>3142.44</v>
      </c>
      <c r="H24554" s="8">
        <v>28482</v>
      </c>
    </row>
    <row r="24555" spans="2:8" ht="15" customHeight="1" x14ac:dyDescent="0.4">
      <c r="B24555" t="s">
        <v>7</v>
      </c>
      <c r="C24555" t="s">
        <v>3936</v>
      </c>
      <c r="D24555" s="7">
        <f>DATE(2013,10,25)</f>
        <v>41572</v>
      </c>
      <c r="E24555" s="8">
        <f t="shared" si="407"/>
        <v>2013</v>
      </c>
      <c r="F24555" t="s">
        <v>3937</v>
      </c>
      <c r="G24555" s="9">
        <v>10407.06</v>
      </c>
      <c r="H24555" s="8">
        <v>12719</v>
      </c>
    </row>
    <row r="24556" spans="2:8" ht="15" customHeight="1" x14ac:dyDescent="0.4">
      <c r="B24556" t="s">
        <v>7</v>
      </c>
      <c r="C24556" t="s">
        <v>3936</v>
      </c>
      <c r="D24556" s="7">
        <f>DATE(2014,1,7)</f>
        <v>41646</v>
      </c>
      <c r="E24556" s="8">
        <f t="shared" si="407"/>
        <v>2014</v>
      </c>
      <c r="F24556" t="s">
        <v>3937</v>
      </c>
      <c r="G24556" s="9">
        <v>8008.4</v>
      </c>
      <c r="H24556" s="8">
        <v>12855</v>
      </c>
    </row>
    <row r="24557" spans="2:8" ht="15" customHeight="1" x14ac:dyDescent="0.4">
      <c r="B24557" t="s">
        <v>7</v>
      </c>
      <c r="C24557" t="s">
        <v>3936</v>
      </c>
      <c r="D24557" s="7">
        <f>DATE(2014,1,30)</f>
        <v>41669</v>
      </c>
      <c r="E24557" s="8">
        <f t="shared" si="407"/>
        <v>2014</v>
      </c>
      <c r="F24557" t="s">
        <v>3937</v>
      </c>
      <c r="G24557" s="9">
        <v>8111.14</v>
      </c>
      <c r="H24557" s="8">
        <v>12891</v>
      </c>
    </row>
    <row r="24558" spans="2:8" ht="15" customHeight="1" x14ac:dyDescent="0.4">
      <c r="B24558" t="s">
        <v>7</v>
      </c>
      <c r="C24558" t="s">
        <v>3936</v>
      </c>
      <c r="D24558" s="7">
        <f>DATE(2014,5,14)</f>
        <v>41773</v>
      </c>
      <c r="E24558" s="8">
        <f t="shared" si="407"/>
        <v>2014</v>
      </c>
      <c r="F24558" t="s">
        <v>3937</v>
      </c>
      <c r="G24558" s="9">
        <v>7170.68</v>
      </c>
      <c r="H24558" s="8">
        <v>13165</v>
      </c>
    </row>
    <row r="24559" spans="2:8" ht="15" customHeight="1" x14ac:dyDescent="0.4">
      <c r="B24559" t="s">
        <v>7</v>
      </c>
      <c r="C24559" t="s">
        <v>3936</v>
      </c>
      <c r="D24559" s="7">
        <f>DATE(2014,5,30)</f>
        <v>41789</v>
      </c>
      <c r="E24559" s="8">
        <f t="shared" si="407"/>
        <v>2014</v>
      </c>
      <c r="F24559" t="s">
        <v>3937</v>
      </c>
      <c r="G24559" s="9">
        <v>29415.82</v>
      </c>
      <c r="H24559" s="8">
        <v>13205</v>
      </c>
    </row>
    <row r="24560" spans="2:8" ht="15" customHeight="1" x14ac:dyDescent="0.4">
      <c r="B24560" s="3" t="s">
        <v>7</v>
      </c>
      <c r="C24560" s="3" t="s">
        <v>3936</v>
      </c>
      <c r="D24560" s="4">
        <f>DATE(2012,2,20)</f>
        <v>40959</v>
      </c>
      <c r="E24560" s="5">
        <f t="shared" si="407"/>
        <v>2012</v>
      </c>
      <c r="F24560" s="3" t="s">
        <v>3937</v>
      </c>
      <c r="G24560" s="6">
        <v>840</v>
      </c>
      <c r="H24560" s="5">
        <v>16577</v>
      </c>
    </row>
    <row r="24561" spans="2:8" ht="15" customHeight="1" x14ac:dyDescent="0.4">
      <c r="B24561" s="3" t="s">
        <v>7</v>
      </c>
      <c r="C24561" s="3" t="s">
        <v>3936</v>
      </c>
      <c r="D24561" s="4">
        <f>DATE(2012,3,8)</f>
        <v>40976</v>
      </c>
      <c r="E24561" s="5">
        <f t="shared" si="407"/>
        <v>2012</v>
      </c>
      <c r="F24561" s="3" t="s">
        <v>3937</v>
      </c>
      <c r="G24561" s="6">
        <v>840</v>
      </c>
      <c r="H24561" s="5">
        <v>16721</v>
      </c>
    </row>
    <row r="24562" spans="2:8" ht="15" customHeight="1" x14ac:dyDescent="0.4">
      <c r="B24562" s="3" t="s">
        <v>7</v>
      </c>
      <c r="C24562" s="3" t="s">
        <v>3936</v>
      </c>
      <c r="D24562" s="4">
        <f>DATE(2013,11,7)</f>
        <v>41585</v>
      </c>
      <c r="E24562" s="5">
        <f t="shared" si="407"/>
        <v>2013</v>
      </c>
      <c r="F24562" s="3" t="s">
        <v>3937</v>
      </c>
      <c r="G24562" s="6">
        <v>210</v>
      </c>
      <c r="H24562" s="5">
        <v>19201</v>
      </c>
    </row>
    <row r="24563" spans="2:8" ht="15" customHeight="1" x14ac:dyDescent="0.4">
      <c r="B24563" t="s">
        <v>7</v>
      </c>
      <c r="C24563" t="s">
        <v>3936</v>
      </c>
      <c r="D24563" s="7">
        <f>DATE(2010,12,9)</f>
        <v>40521</v>
      </c>
      <c r="E24563" s="8">
        <f t="shared" si="407"/>
        <v>2010</v>
      </c>
      <c r="F24563" t="s">
        <v>3938</v>
      </c>
      <c r="G24563" s="9">
        <v>8455.6</v>
      </c>
      <c r="H24563" s="8">
        <v>10284</v>
      </c>
    </row>
    <row r="24564" spans="2:8" ht="15" customHeight="1" x14ac:dyDescent="0.4">
      <c r="B24564" t="s">
        <v>7</v>
      </c>
      <c r="C24564" t="s">
        <v>3939</v>
      </c>
      <c r="D24564" s="7">
        <f>DATE(2015,1,28)</f>
        <v>42032</v>
      </c>
      <c r="E24564" s="8">
        <f t="shared" si="407"/>
        <v>2015</v>
      </c>
      <c r="F24564" t="s">
        <v>3940</v>
      </c>
      <c r="G24564" s="9">
        <v>938</v>
      </c>
      <c r="H24564" s="8">
        <v>295</v>
      </c>
    </row>
    <row r="24565" spans="2:8" ht="15" customHeight="1" x14ac:dyDescent="0.4">
      <c r="B24565" t="s">
        <v>7</v>
      </c>
      <c r="C24565" t="s">
        <v>3939</v>
      </c>
      <c r="D24565" s="7">
        <f>DATE(2015,3,13)</f>
        <v>42076</v>
      </c>
      <c r="E24565" s="8">
        <f t="shared" si="407"/>
        <v>2015</v>
      </c>
      <c r="F24565" t="s">
        <v>3940</v>
      </c>
      <c r="G24565" s="9">
        <v>938</v>
      </c>
      <c r="H24565" s="8">
        <v>20093</v>
      </c>
    </row>
    <row r="24566" spans="2:8" ht="15" customHeight="1" x14ac:dyDescent="0.4">
      <c r="B24566" t="s">
        <v>7</v>
      </c>
      <c r="C24566" t="s">
        <v>3939</v>
      </c>
      <c r="D24566" s="7">
        <f>DATE(2015,4,17)</f>
        <v>42111</v>
      </c>
      <c r="E24566" s="8">
        <f t="shared" si="407"/>
        <v>2015</v>
      </c>
      <c r="F24566" t="s">
        <v>3940</v>
      </c>
      <c r="G24566" s="9">
        <v>938</v>
      </c>
      <c r="H24566" s="8">
        <v>20417</v>
      </c>
    </row>
    <row r="24567" spans="2:8" ht="15" customHeight="1" x14ac:dyDescent="0.4">
      <c r="B24567" t="s">
        <v>7</v>
      </c>
      <c r="C24567" t="s">
        <v>3939</v>
      </c>
      <c r="D24567" s="7">
        <f>DATE(2015,5,12)</f>
        <v>42136</v>
      </c>
      <c r="E24567" s="8">
        <f t="shared" si="407"/>
        <v>2015</v>
      </c>
      <c r="F24567" t="s">
        <v>3940</v>
      </c>
      <c r="G24567" s="9">
        <v>938</v>
      </c>
      <c r="H24567" s="8">
        <v>20546</v>
      </c>
    </row>
    <row r="24568" spans="2:8" ht="15" customHeight="1" x14ac:dyDescent="0.4">
      <c r="B24568" t="s">
        <v>7</v>
      </c>
      <c r="C24568" t="s">
        <v>3939</v>
      </c>
      <c r="D24568" s="7">
        <f>DATE(2015,6,25)</f>
        <v>42180</v>
      </c>
      <c r="E24568" s="8">
        <f t="shared" si="407"/>
        <v>2015</v>
      </c>
      <c r="F24568" t="s">
        <v>3940</v>
      </c>
      <c r="G24568" s="9">
        <v>938</v>
      </c>
      <c r="H24568" s="8">
        <v>20837</v>
      </c>
    </row>
    <row r="24569" spans="2:8" ht="15" customHeight="1" x14ac:dyDescent="0.4">
      <c r="B24569" t="s">
        <v>7</v>
      </c>
      <c r="C24569" t="s">
        <v>3939</v>
      </c>
      <c r="D24569" s="7">
        <f>DATE(2015,12,24)</f>
        <v>42362</v>
      </c>
      <c r="E24569" s="8">
        <f t="shared" si="407"/>
        <v>2015</v>
      </c>
      <c r="F24569" t="s">
        <v>3940</v>
      </c>
      <c r="G24569" s="9">
        <v>938</v>
      </c>
      <c r="H24569" s="8">
        <v>21879</v>
      </c>
    </row>
    <row r="24570" spans="2:8" ht="15" customHeight="1" x14ac:dyDescent="0.4">
      <c r="B24570" t="s">
        <v>7</v>
      </c>
      <c r="C24570" t="s">
        <v>3939</v>
      </c>
      <c r="D24570" s="7">
        <f>DATE(2016,11,15)</f>
        <v>42689</v>
      </c>
      <c r="E24570" s="8">
        <f t="shared" si="407"/>
        <v>2016</v>
      </c>
      <c r="F24570" t="s">
        <v>3940</v>
      </c>
      <c r="G24570" s="9">
        <v>1876</v>
      </c>
      <c r="H24570" s="8">
        <v>23803</v>
      </c>
    </row>
    <row r="24571" spans="2:8" ht="15" customHeight="1" x14ac:dyDescent="0.4">
      <c r="B24571" t="s">
        <v>7</v>
      </c>
      <c r="C24571" t="s">
        <v>3939</v>
      </c>
      <c r="D24571" s="7">
        <f>DATE(2018,2,28)</f>
        <v>43159</v>
      </c>
      <c r="E24571" s="8">
        <f t="shared" si="407"/>
        <v>2018</v>
      </c>
      <c r="F24571" t="s">
        <v>3940</v>
      </c>
      <c r="G24571" s="9">
        <v>938</v>
      </c>
      <c r="H24571" s="8">
        <v>26534</v>
      </c>
    </row>
    <row r="24572" spans="2:8" ht="15" customHeight="1" x14ac:dyDescent="0.4">
      <c r="B24572" s="3" t="s">
        <v>7</v>
      </c>
      <c r="C24572" s="3" t="s">
        <v>3939</v>
      </c>
      <c r="D24572" s="4">
        <f>DATE(2014,4,11)</f>
        <v>41740</v>
      </c>
      <c r="E24572" s="5">
        <f t="shared" si="407"/>
        <v>2014</v>
      </c>
      <c r="F24572" s="3" t="s">
        <v>3940</v>
      </c>
      <c r="G24572" s="6">
        <v>1901</v>
      </c>
      <c r="H24572" s="5">
        <v>19801</v>
      </c>
    </row>
    <row r="24573" spans="2:8" ht="15" customHeight="1" x14ac:dyDescent="0.4">
      <c r="B24573" s="3" t="s">
        <v>7</v>
      </c>
      <c r="C24573" s="3" t="s">
        <v>3939</v>
      </c>
      <c r="D24573" s="4">
        <f>DATE(2014,7,25)</f>
        <v>41845</v>
      </c>
      <c r="E24573" s="5">
        <f t="shared" si="407"/>
        <v>2014</v>
      </c>
      <c r="F24573" s="3" t="s">
        <v>3940</v>
      </c>
      <c r="G24573" s="6">
        <v>955</v>
      </c>
      <c r="H24573" s="5">
        <v>20209</v>
      </c>
    </row>
    <row r="24574" spans="2:8" ht="15" customHeight="1" x14ac:dyDescent="0.4">
      <c r="B24574" s="3" t="s">
        <v>7</v>
      </c>
      <c r="C24574" s="3" t="s">
        <v>3939</v>
      </c>
      <c r="D24574" s="4">
        <f>DATE(2003,5,20)</f>
        <v>37761</v>
      </c>
      <c r="E24574" s="5">
        <f t="shared" si="407"/>
        <v>2003</v>
      </c>
      <c r="F24574" s="3" t="s">
        <v>3941</v>
      </c>
      <c r="G24574" s="6">
        <v>59.37</v>
      </c>
      <c r="H24574" s="5">
        <v>181</v>
      </c>
    </row>
    <row r="24575" spans="2:8" ht="15" customHeight="1" x14ac:dyDescent="0.4">
      <c r="B24575" s="3" t="s">
        <v>7</v>
      </c>
      <c r="C24575" s="3" t="s">
        <v>3939</v>
      </c>
      <c r="D24575" s="4">
        <f>DATE(2003,6,18)</f>
        <v>37790</v>
      </c>
      <c r="E24575" s="5">
        <f t="shared" si="407"/>
        <v>2003</v>
      </c>
      <c r="F24575" s="3" t="s">
        <v>3941</v>
      </c>
      <c r="G24575" s="6">
        <v>242.51</v>
      </c>
      <c r="H24575" s="5">
        <v>221</v>
      </c>
    </row>
    <row r="24576" spans="2:8" ht="15" customHeight="1" x14ac:dyDescent="0.4">
      <c r="B24576" s="3" t="s">
        <v>7</v>
      </c>
      <c r="C24576" s="3" t="s">
        <v>3939</v>
      </c>
      <c r="D24576" s="4">
        <f>DATE(2003,6,30)</f>
        <v>37802</v>
      </c>
      <c r="E24576" s="5">
        <f t="shared" si="407"/>
        <v>2003</v>
      </c>
      <c r="F24576" s="3" t="s">
        <v>3941</v>
      </c>
      <c r="G24576" s="6">
        <v>631.12</v>
      </c>
      <c r="H24576" s="5">
        <v>232</v>
      </c>
    </row>
    <row r="24577" spans="2:8" ht="15" customHeight="1" x14ac:dyDescent="0.4">
      <c r="B24577" s="3" t="s">
        <v>7</v>
      </c>
      <c r="C24577" s="3" t="s">
        <v>3939</v>
      </c>
      <c r="D24577" s="4">
        <f>DATE(2003,7,31)</f>
        <v>37833</v>
      </c>
      <c r="E24577" s="5">
        <f t="shared" si="407"/>
        <v>2003</v>
      </c>
      <c r="F24577" s="3" t="s">
        <v>3941</v>
      </c>
      <c r="G24577" s="6">
        <v>1288.23</v>
      </c>
      <c r="H24577" s="5">
        <v>270</v>
      </c>
    </row>
    <row r="24578" spans="2:8" ht="15" customHeight="1" x14ac:dyDescent="0.4">
      <c r="B24578" s="3" t="s">
        <v>7</v>
      </c>
      <c r="C24578" s="3" t="s">
        <v>3939</v>
      </c>
      <c r="D24578" s="4">
        <f>DATE(2003,8,1)</f>
        <v>37834</v>
      </c>
      <c r="E24578" s="5">
        <f t="shared" si="407"/>
        <v>2003</v>
      </c>
      <c r="F24578" s="3" t="s">
        <v>3941</v>
      </c>
      <c r="G24578" s="6">
        <v>470.9</v>
      </c>
      <c r="H24578" s="5">
        <v>279</v>
      </c>
    </row>
    <row r="24579" spans="2:8" ht="15" customHeight="1" x14ac:dyDescent="0.4">
      <c r="B24579" s="3" t="s">
        <v>7</v>
      </c>
      <c r="C24579" s="3" t="s">
        <v>3939</v>
      </c>
      <c r="D24579" s="4">
        <f>DATE(2003,8,1)</f>
        <v>37834</v>
      </c>
      <c r="E24579" s="5">
        <f t="shared" ref="E24579:E24642" si="408">YEAR(D24579)</f>
        <v>2003</v>
      </c>
      <c r="F24579" s="3" t="s">
        <v>3941</v>
      </c>
      <c r="G24579" s="6">
        <v>368.75</v>
      </c>
      <c r="H24579" s="5">
        <v>277</v>
      </c>
    </row>
    <row r="24580" spans="2:8" ht="15" customHeight="1" x14ac:dyDescent="0.4">
      <c r="B24580" s="3" t="s">
        <v>7</v>
      </c>
      <c r="C24580" s="3" t="s">
        <v>3939</v>
      </c>
      <c r="D24580" s="4">
        <f>DATE(2004,2,19)</f>
        <v>38036</v>
      </c>
      <c r="E24580" s="5">
        <f t="shared" si="408"/>
        <v>2004</v>
      </c>
      <c r="F24580" s="3" t="s">
        <v>3941</v>
      </c>
      <c r="G24580" s="6">
        <v>728.63</v>
      </c>
      <c r="H24580" s="5">
        <v>542</v>
      </c>
    </row>
    <row r="24581" spans="2:8" ht="15" customHeight="1" x14ac:dyDescent="0.4">
      <c r="B24581" s="3" t="s">
        <v>7</v>
      </c>
      <c r="C24581" s="3" t="s">
        <v>3939</v>
      </c>
      <c r="D24581" s="4">
        <f>DATE(2004,10,18)</f>
        <v>38278</v>
      </c>
      <c r="E24581" s="5">
        <f t="shared" si="408"/>
        <v>2004</v>
      </c>
      <c r="F24581" s="3" t="s">
        <v>3941</v>
      </c>
      <c r="G24581" s="6">
        <v>1090.96</v>
      </c>
      <c r="H24581" s="5">
        <v>832</v>
      </c>
    </row>
    <row r="24582" spans="2:8" ht="15" customHeight="1" x14ac:dyDescent="0.4">
      <c r="B24582" s="3" t="s">
        <v>7</v>
      </c>
      <c r="C24582" s="3" t="s">
        <v>3939</v>
      </c>
      <c r="D24582" s="4">
        <f>DATE(2005,7,21)</f>
        <v>38554</v>
      </c>
      <c r="E24582" s="5">
        <f t="shared" si="408"/>
        <v>2005</v>
      </c>
      <c r="F24582" s="3" t="s">
        <v>3941</v>
      </c>
      <c r="G24582" s="6">
        <v>998.65</v>
      </c>
      <c r="H24582" s="5">
        <v>1177</v>
      </c>
    </row>
    <row r="24583" spans="2:8" ht="15" customHeight="1" x14ac:dyDescent="0.4">
      <c r="B24583" s="3" t="s">
        <v>7</v>
      </c>
      <c r="C24583" s="3" t="s">
        <v>3939</v>
      </c>
      <c r="D24583" s="4">
        <f>DATE(2006,2,28)</f>
        <v>38776</v>
      </c>
      <c r="E24583" s="5">
        <f t="shared" si="408"/>
        <v>2006</v>
      </c>
      <c r="F24583" s="3" t="s">
        <v>3941</v>
      </c>
      <c r="G24583" s="6">
        <v>1669.7</v>
      </c>
      <c r="H24583" s="5">
        <v>1449</v>
      </c>
    </row>
    <row r="24584" spans="2:8" ht="15" customHeight="1" x14ac:dyDescent="0.4">
      <c r="B24584" s="3" t="s">
        <v>7</v>
      </c>
      <c r="C24584" s="3" t="s">
        <v>3942</v>
      </c>
      <c r="D24584" s="4">
        <f>DATE(2003,2,4)</f>
        <v>37656</v>
      </c>
      <c r="E24584" s="5">
        <f t="shared" si="408"/>
        <v>2003</v>
      </c>
      <c r="F24584" s="3" t="s">
        <v>3943</v>
      </c>
      <c r="G24584" s="6">
        <v>691</v>
      </c>
      <c r="H24584" s="5">
        <v>167</v>
      </c>
    </row>
    <row r="24585" spans="2:8" ht="15" customHeight="1" x14ac:dyDescent="0.4">
      <c r="B24585" s="3" t="s">
        <v>7</v>
      </c>
      <c r="C24585" s="3" t="s">
        <v>3942</v>
      </c>
      <c r="D24585" s="4">
        <f>DATE(2005,6,20)</f>
        <v>38523</v>
      </c>
      <c r="E24585" s="5">
        <f t="shared" si="408"/>
        <v>2005</v>
      </c>
      <c r="F24585" s="3" t="s">
        <v>3943</v>
      </c>
      <c r="G24585" s="6">
        <v>1468</v>
      </c>
      <c r="H24585" s="5">
        <v>4903</v>
      </c>
    </row>
    <row r="24586" spans="2:8" ht="15" customHeight="1" x14ac:dyDescent="0.4">
      <c r="B24586" t="s">
        <v>7</v>
      </c>
      <c r="C24586" t="s">
        <v>3944</v>
      </c>
      <c r="D24586" s="7">
        <f>DATE(2015,11,18)</f>
        <v>42326</v>
      </c>
      <c r="E24586" s="8">
        <f t="shared" si="408"/>
        <v>2015</v>
      </c>
      <c r="F24586" t="s">
        <v>3945</v>
      </c>
      <c r="G24586" s="9">
        <v>8040.86</v>
      </c>
      <c r="H24586" s="8">
        <v>301</v>
      </c>
    </row>
    <row r="24587" spans="2:8" ht="15" customHeight="1" x14ac:dyDescent="0.4">
      <c r="B24587" t="s">
        <v>7</v>
      </c>
      <c r="C24587" t="s">
        <v>3944</v>
      </c>
      <c r="D24587" s="7">
        <f>DATE(2015,9,30)</f>
        <v>42277</v>
      </c>
      <c r="E24587" s="8">
        <f t="shared" si="408"/>
        <v>2015</v>
      </c>
      <c r="F24587" t="s">
        <v>3945</v>
      </c>
      <c r="G24587" s="9">
        <v>38832</v>
      </c>
      <c r="H24587" s="8">
        <v>382</v>
      </c>
    </row>
    <row r="24588" spans="2:8" ht="15" customHeight="1" x14ac:dyDescent="0.4">
      <c r="B24588" t="s">
        <v>7</v>
      </c>
      <c r="C24588" t="s">
        <v>3944</v>
      </c>
      <c r="D24588" s="7">
        <f>DATE(2015,11,18)</f>
        <v>42326</v>
      </c>
      <c r="E24588" s="8">
        <f t="shared" si="408"/>
        <v>2015</v>
      </c>
      <c r="F24588" t="s">
        <v>3945</v>
      </c>
      <c r="G24588" s="9">
        <v>14365</v>
      </c>
      <c r="H24588" s="8">
        <v>302</v>
      </c>
    </row>
    <row r="24589" spans="2:8" ht="15" customHeight="1" x14ac:dyDescent="0.4">
      <c r="B24589" t="s">
        <v>7</v>
      </c>
      <c r="C24589" t="s">
        <v>3944</v>
      </c>
      <c r="D24589" s="7">
        <f>DATE(2016,6,7)</f>
        <v>42528</v>
      </c>
      <c r="E24589" s="8">
        <f t="shared" si="408"/>
        <v>2016</v>
      </c>
      <c r="F24589" t="s">
        <v>3945</v>
      </c>
      <c r="G24589" s="9">
        <v>29709</v>
      </c>
      <c r="H24589" s="8">
        <v>21707</v>
      </c>
    </row>
    <row r="24590" spans="2:8" ht="15" customHeight="1" x14ac:dyDescent="0.4">
      <c r="B24590" t="s">
        <v>7</v>
      </c>
      <c r="C24590" t="s">
        <v>3944</v>
      </c>
      <c r="D24590" s="7">
        <f>DATE(2018,11,5)</f>
        <v>43409</v>
      </c>
      <c r="E24590" s="8">
        <f t="shared" si="408"/>
        <v>2018</v>
      </c>
      <c r="F24590" t="s">
        <v>3945</v>
      </c>
      <c r="G24590" s="9">
        <v>27520</v>
      </c>
      <c r="H24590" s="8">
        <v>27373</v>
      </c>
    </row>
    <row r="24591" spans="2:8" ht="15" customHeight="1" x14ac:dyDescent="0.4">
      <c r="B24591" t="s">
        <v>7</v>
      </c>
      <c r="C24591" t="s">
        <v>3944</v>
      </c>
      <c r="D24591" s="7">
        <f>DATE(2015,10,6)</f>
        <v>42283</v>
      </c>
      <c r="E24591" s="8">
        <f t="shared" si="408"/>
        <v>2015</v>
      </c>
      <c r="F24591" t="s">
        <v>3945</v>
      </c>
      <c r="G24591" s="9">
        <v>1470</v>
      </c>
      <c r="H24591" s="8">
        <v>21370</v>
      </c>
    </row>
    <row r="24592" spans="2:8" ht="15" customHeight="1" x14ac:dyDescent="0.4">
      <c r="B24592" t="s">
        <v>7</v>
      </c>
      <c r="C24592" t="s">
        <v>3944</v>
      </c>
      <c r="D24592" s="7">
        <f>DATE(2015,12,9)</f>
        <v>42347</v>
      </c>
      <c r="E24592" s="8">
        <f t="shared" si="408"/>
        <v>2015</v>
      </c>
      <c r="F24592" t="s">
        <v>3945</v>
      </c>
      <c r="G24592" s="9">
        <v>341.25</v>
      </c>
      <c r="H24592" s="8">
        <v>21700</v>
      </c>
    </row>
    <row r="24593" spans="2:8" ht="15" customHeight="1" x14ac:dyDescent="0.4">
      <c r="B24593" t="s">
        <v>7</v>
      </c>
      <c r="C24593" t="s">
        <v>3944</v>
      </c>
      <c r="D24593" s="7">
        <f>DATE(2016,5,10)</f>
        <v>42500</v>
      </c>
      <c r="E24593" s="8">
        <f t="shared" si="408"/>
        <v>2016</v>
      </c>
      <c r="F24593" t="s">
        <v>3945</v>
      </c>
      <c r="G24593" s="9">
        <v>265.25</v>
      </c>
      <c r="H24593" s="8">
        <v>22810</v>
      </c>
    </row>
    <row r="24594" spans="2:8" ht="15" customHeight="1" x14ac:dyDescent="0.4">
      <c r="B24594" t="s">
        <v>7</v>
      </c>
      <c r="C24594" t="s">
        <v>3944</v>
      </c>
      <c r="D24594" s="7">
        <f>DATE(2018,8,3)</f>
        <v>43315</v>
      </c>
      <c r="E24594" s="8">
        <f t="shared" si="408"/>
        <v>2018</v>
      </c>
      <c r="F24594" t="s">
        <v>3945</v>
      </c>
      <c r="G24594" s="9">
        <v>1715</v>
      </c>
      <c r="H24594" s="8">
        <v>27399</v>
      </c>
    </row>
    <row r="24595" spans="2:8" ht="15" customHeight="1" x14ac:dyDescent="0.4">
      <c r="B24595" t="s">
        <v>16</v>
      </c>
      <c r="C24595" t="s">
        <v>3944</v>
      </c>
      <c r="D24595" s="7">
        <f>DATE(2015,12,15)</f>
        <v>42353</v>
      </c>
      <c r="E24595" s="8">
        <f t="shared" si="408"/>
        <v>2015</v>
      </c>
      <c r="F24595" t="s">
        <v>3945</v>
      </c>
      <c r="G24595" s="9">
        <v>210</v>
      </c>
      <c r="H24595" s="8">
        <v>21846</v>
      </c>
    </row>
    <row r="24596" spans="2:8" ht="15" customHeight="1" x14ac:dyDescent="0.4">
      <c r="B24596" t="s">
        <v>16</v>
      </c>
      <c r="C24596" t="s">
        <v>3944</v>
      </c>
      <c r="D24596" s="7">
        <f>DATE(2018,12,10)</f>
        <v>43444</v>
      </c>
      <c r="E24596" s="8">
        <f t="shared" si="408"/>
        <v>2018</v>
      </c>
      <c r="F24596" t="s">
        <v>3945</v>
      </c>
      <c r="G24596" s="9">
        <v>720</v>
      </c>
      <c r="H24596" s="8">
        <v>28102</v>
      </c>
    </row>
    <row r="24597" spans="2:8" ht="15" customHeight="1" x14ac:dyDescent="0.4">
      <c r="B24597" t="s">
        <v>7</v>
      </c>
      <c r="C24597" t="s">
        <v>3944</v>
      </c>
      <c r="D24597" s="7">
        <f>DATE(2010,9,30)</f>
        <v>40451</v>
      </c>
      <c r="E24597" s="8">
        <f t="shared" si="408"/>
        <v>2010</v>
      </c>
      <c r="F24597" t="s">
        <v>3945</v>
      </c>
      <c r="G24597" s="9">
        <v>9644</v>
      </c>
      <c r="H24597" s="8">
        <v>10030</v>
      </c>
    </row>
    <row r="24598" spans="2:8" ht="15" customHeight="1" x14ac:dyDescent="0.4">
      <c r="B24598" t="s">
        <v>7</v>
      </c>
      <c r="C24598" t="s">
        <v>3944</v>
      </c>
      <c r="D24598" s="7">
        <f>DATE(2011,9,29)</f>
        <v>40815</v>
      </c>
      <c r="E24598" s="8">
        <f t="shared" si="408"/>
        <v>2011</v>
      </c>
      <c r="F24598" t="s">
        <v>3945</v>
      </c>
      <c r="G24598" s="9">
        <v>20421</v>
      </c>
      <c r="H24598" s="8">
        <v>11034</v>
      </c>
    </row>
    <row r="24599" spans="2:8" ht="15" customHeight="1" x14ac:dyDescent="0.4">
      <c r="B24599" t="s">
        <v>7</v>
      </c>
      <c r="C24599" t="s">
        <v>3944</v>
      </c>
      <c r="D24599" s="7">
        <f>DATE(2011,10,25)</f>
        <v>40841</v>
      </c>
      <c r="E24599" s="8">
        <f t="shared" si="408"/>
        <v>2011</v>
      </c>
      <c r="F24599" t="s">
        <v>3945</v>
      </c>
      <c r="G24599" s="9">
        <v>7896</v>
      </c>
      <c r="H24599" s="8">
        <v>10960</v>
      </c>
    </row>
    <row r="24600" spans="2:8" ht="15" customHeight="1" x14ac:dyDescent="0.4">
      <c r="B24600" t="s">
        <v>7</v>
      </c>
      <c r="C24600" t="s">
        <v>3944</v>
      </c>
      <c r="D24600" s="7">
        <f>DATE(2013,4,2)</f>
        <v>41366</v>
      </c>
      <c r="E24600" s="8">
        <f t="shared" si="408"/>
        <v>2013</v>
      </c>
      <c r="F24600" t="s">
        <v>3945</v>
      </c>
      <c r="G24600" s="9">
        <v>10025.719999999999</v>
      </c>
      <c r="H24600" s="8">
        <v>12184</v>
      </c>
    </row>
    <row r="24601" spans="2:8" ht="15" customHeight="1" x14ac:dyDescent="0.4">
      <c r="B24601" t="s">
        <v>7</v>
      </c>
      <c r="C24601" t="s">
        <v>3944</v>
      </c>
      <c r="D24601" s="7">
        <f>DATE(2014,4,14)</f>
        <v>41743</v>
      </c>
      <c r="E24601" s="8">
        <f t="shared" si="408"/>
        <v>2014</v>
      </c>
      <c r="F24601" t="s">
        <v>3945</v>
      </c>
      <c r="G24601" s="9">
        <v>40410.699999999997</v>
      </c>
      <c r="H24601" s="8">
        <v>12878</v>
      </c>
    </row>
    <row r="24602" spans="2:8" ht="15" customHeight="1" x14ac:dyDescent="0.4">
      <c r="B24602" t="s">
        <v>7</v>
      </c>
      <c r="C24602" t="s">
        <v>3944</v>
      </c>
      <c r="D24602" s="7">
        <f>DATE(2014,9,25)</f>
        <v>41907</v>
      </c>
      <c r="E24602" s="8">
        <f t="shared" si="408"/>
        <v>2014</v>
      </c>
      <c r="F24602" t="s">
        <v>3945</v>
      </c>
      <c r="G24602" s="9">
        <v>14660</v>
      </c>
      <c r="H24602" s="8">
        <v>13295</v>
      </c>
    </row>
    <row r="24603" spans="2:8" ht="15" customHeight="1" x14ac:dyDescent="0.4">
      <c r="B24603" t="s">
        <v>7</v>
      </c>
      <c r="C24603" t="s">
        <v>3944</v>
      </c>
      <c r="D24603" s="7">
        <f>DATE(2003,4,21)</f>
        <v>37732</v>
      </c>
      <c r="E24603" s="8">
        <f t="shared" si="408"/>
        <v>2003</v>
      </c>
      <c r="F24603" t="s">
        <v>3945</v>
      </c>
      <c r="G24603" s="9">
        <v>26518</v>
      </c>
      <c r="H24603" s="8">
        <v>118</v>
      </c>
    </row>
    <row r="24604" spans="2:8" ht="15" customHeight="1" x14ac:dyDescent="0.4">
      <c r="B24604" t="s">
        <v>7</v>
      </c>
      <c r="C24604" t="s">
        <v>3944</v>
      </c>
      <c r="D24604" s="7">
        <f>DATE(2004,9,30)</f>
        <v>38260</v>
      </c>
      <c r="E24604" s="8">
        <f t="shared" si="408"/>
        <v>2004</v>
      </c>
      <c r="F24604" t="s">
        <v>3945</v>
      </c>
      <c r="G24604" s="9">
        <v>5510</v>
      </c>
      <c r="H24604" s="8">
        <v>2086</v>
      </c>
    </row>
    <row r="24605" spans="2:8" ht="15" customHeight="1" x14ac:dyDescent="0.4">
      <c r="B24605" t="s">
        <v>7</v>
      </c>
      <c r="C24605" t="s">
        <v>3944</v>
      </c>
      <c r="D24605" s="7">
        <f>DATE(2004,9,30)</f>
        <v>38260</v>
      </c>
      <c r="E24605" s="8">
        <f t="shared" si="408"/>
        <v>2004</v>
      </c>
      <c r="F24605" t="s">
        <v>3945</v>
      </c>
      <c r="G24605" s="9">
        <v>1999</v>
      </c>
      <c r="H24605" s="8">
        <v>2087</v>
      </c>
    </row>
    <row r="24606" spans="2:8" ht="15" customHeight="1" x14ac:dyDescent="0.4">
      <c r="B24606" t="s">
        <v>7</v>
      </c>
      <c r="C24606" t="s">
        <v>3944</v>
      </c>
      <c r="D24606" s="7">
        <f>DATE(2004,12,4)</f>
        <v>38325</v>
      </c>
      <c r="E24606" s="8">
        <f t="shared" si="408"/>
        <v>2004</v>
      </c>
      <c r="F24606" t="s">
        <v>3945</v>
      </c>
      <c r="G24606" s="9">
        <v>451.73</v>
      </c>
      <c r="H24606" s="8">
        <v>2413</v>
      </c>
    </row>
    <row r="24607" spans="2:8" ht="15" customHeight="1" x14ac:dyDescent="0.4">
      <c r="B24607" t="s">
        <v>7</v>
      </c>
      <c r="C24607" t="s">
        <v>3944</v>
      </c>
      <c r="D24607" s="7">
        <f>DATE(2004,12,5)</f>
        <v>38326</v>
      </c>
      <c r="E24607" s="8">
        <f t="shared" si="408"/>
        <v>2004</v>
      </c>
      <c r="F24607" t="s">
        <v>3945</v>
      </c>
      <c r="G24607" s="9">
        <v>32461.65</v>
      </c>
      <c r="H24607" s="8">
        <v>2240</v>
      </c>
    </row>
    <row r="24608" spans="2:8" ht="15" customHeight="1" x14ac:dyDescent="0.4">
      <c r="B24608" t="s">
        <v>7</v>
      </c>
      <c r="C24608" t="s">
        <v>3944</v>
      </c>
      <c r="D24608" s="7">
        <f>DATE(2006,3,9)</f>
        <v>38785</v>
      </c>
      <c r="E24608" s="8">
        <f t="shared" si="408"/>
        <v>2006</v>
      </c>
      <c r="F24608" t="s">
        <v>3945</v>
      </c>
      <c r="G24608" s="9">
        <v>7447.95</v>
      </c>
      <c r="H24608" s="8">
        <v>4352</v>
      </c>
    </row>
    <row r="24609" spans="2:8" ht="15" customHeight="1" x14ac:dyDescent="0.4">
      <c r="B24609" t="s">
        <v>7</v>
      </c>
      <c r="C24609" t="s">
        <v>3944</v>
      </c>
      <c r="D24609" s="7">
        <f>DATE(2006,3,9)</f>
        <v>38785</v>
      </c>
      <c r="E24609" s="8">
        <f t="shared" si="408"/>
        <v>2006</v>
      </c>
      <c r="F24609" t="s">
        <v>3945</v>
      </c>
      <c r="G24609" s="9">
        <v>10918.75</v>
      </c>
      <c r="H24609" s="8">
        <v>3942</v>
      </c>
    </row>
    <row r="24610" spans="2:8" ht="15" customHeight="1" x14ac:dyDescent="0.4">
      <c r="B24610" t="s">
        <v>7</v>
      </c>
      <c r="C24610" t="s">
        <v>3944</v>
      </c>
      <c r="D24610" s="7">
        <f>DATE(2006,5,4)</f>
        <v>38841</v>
      </c>
      <c r="E24610" s="8">
        <f t="shared" si="408"/>
        <v>2006</v>
      </c>
      <c r="F24610" t="s">
        <v>3945</v>
      </c>
      <c r="G24610" s="9">
        <v>10221.459999999999</v>
      </c>
      <c r="H24610" s="8">
        <v>3943</v>
      </c>
    </row>
    <row r="24611" spans="2:8" ht="15" customHeight="1" x14ac:dyDescent="0.4">
      <c r="B24611" t="s">
        <v>7</v>
      </c>
      <c r="C24611" t="s">
        <v>3944</v>
      </c>
      <c r="D24611" s="7">
        <f>DATE(2006,5,2)</f>
        <v>38839</v>
      </c>
      <c r="E24611" s="8">
        <f t="shared" si="408"/>
        <v>2006</v>
      </c>
      <c r="F24611" t="s">
        <v>3945</v>
      </c>
      <c r="G24611" s="9">
        <v>7697.66</v>
      </c>
      <c r="H24611" s="8">
        <v>3952</v>
      </c>
    </row>
    <row r="24612" spans="2:8" ht="15" customHeight="1" x14ac:dyDescent="0.4">
      <c r="B24612" t="s">
        <v>7</v>
      </c>
      <c r="C24612" t="s">
        <v>3944</v>
      </c>
      <c r="D24612" s="7">
        <f>DATE(2006,5,2)</f>
        <v>38839</v>
      </c>
      <c r="E24612" s="8">
        <f t="shared" si="408"/>
        <v>2006</v>
      </c>
      <c r="F24612" t="s">
        <v>3945</v>
      </c>
      <c r="G24612" s="9">
        <v>3701.1</v>
      </c>
      <c r="H24612" s="8">
        <v>4572</v>
      </c>
    </row>
    <row r="24613" spans="2:8" ht="15" customHeight="1" x14ac:dyDescent="0.4">
      <c r="B24613" t="s">
        <v>7</v>
      </c>
      <c r="C24613" t="s">
        <v>3944</v>
      </c>
      <c r="D24613" s="7">
        <f>DATE(2008,9,19)</f>
        <v>39710</v>
      </c>
      <c r="E24613" s="8">
        <f t="shared" si="408"/>
        <v>2008</v>
      </c>
      <c r="F24613" t="s">
        <v>3945</v>
      </c>
      <c r="G24613" s="9">
        <v>1820</v>
      </c>
      <c r="H24613" s="8">
        <v>6879</v>
      </c>
    </row>
    <row r="24614" spans="2:8" ht="15" customHeight="1" x14ac:dyDescent="0.4">
      <c r="B24614" t="s">
        <v>7</v>
      </c>
      <c r="C24614" t="s">
        <v>3944</v>
      </c>
      <c r="D24614" s="7">
        <f>DATE(2008,9,20)</f>
        <v>39711</v>
      </c>
      <c r="E24614" s="8">
        <f t="shared" si="408"/>
        <v>2008</v>
      </c>
      <c r="F24614" t="s">
        <v>3945</v>
      </c>
      <c r="G24614" s="9">
        <v>7293</v>
      </c>
      <c r="H24614" s="8">
        <v>6880</v>
      </c>
    </row>
    <row r="24615" spans="2:8" ht="15" customHeight="1" x14ac:dyDescent="0.4">
      <c r="B24615" t="s">
        <v>7</v>
      </c>
      <c r="C24615" t="s">
        <v>3944</v>
      </c>
      <c r="D24615" s="7">
        <f>DATE(2010,3,9)</f>
        <v>40246</v>
      </c>
      <c r="E24615" s="8">
        <f t="shared" si="408"/>
        <v>2010</v>
      </c>
      <c r="F24615" t="s">
        <v>3945</v>
      </c>
      <c r="G24615" s="9">
        <v>41467</v>
      </c>
      <c r="H24615" s="8">
        <v>8085</v>
      </c>
    </row>
    <row r="24616" spans="2:8" ht="15" customHeight="1" x14ac:dyDescent="0.4">
      <c r="B24616" t="s">
        <v>7</v>
      </c>
      <c r="C24616" t="s">
        <v>3944</v>
      </c>
      <c r="D24616" s="7">
        <f>DATE(2010,9,30)</f>
        <v>40451</v>
      </c>
      <c r="E24616" s="8">
        <f t="shared" si="408"/>
        <v>2010</v>
      </c>
      <c r="F24616" t="s">
        <v>3945</v>
      </c>
      <c r="G24616" s="9">
        <v>3625</v>
      </c>
      <c r="H24616" s="8">
        <v>9576</v>
      </c>
    </row>
    <row r="24617" spans="2:8" ht="15" customHeight="1" x14ac:dyDescent="0.4">
      <c r="B24617" t="s">
        <v>7</v>
      </c>
      <c r="C24617" t="s">
        <v>3944</v>
      </c>
      <c r="D24617" s="7">
        <f>DATE(2010,9,30)</f>
        <v>40451</v>
      </c>
      <c r="E24617" s="8">
        <f t="shared" si="408"/>
        <v>2010</v>
      </c>
      <c r="F24617" t="s">
        <v>3945</v>
      </c>
      <c r="G24617" s="9">
        <v>10050.799999999999</v>
      </c>
      <c r="H24617" s="8">
        <v>10029</v>
      </c>
    </row>
    <row r="24618" spans="2:8" ht="15" customHeight="1" x14ac:dyDescent="0.4">
      <c r="B24618" t="s">
        <v>7</v>
      </c>
      <c r="C24618" t="s">
        <v>3944</v>
      </c>
      <c r="D24618" s="7">
        <f>DATE(2010,9,30)</f>
        <v>40451</v>
      </c>
      <c r="E24618" s="8">
        <f t="shared" si="408"/>
        <v>2010</v>
      </c>
      <c r="F24618" t="s">
        <v>3945</v>
      </c>
      <c r="G24618" s="9">
        <v>42066</v>
      </c>
      <c r="H24618" s="8">
        <v>9345</v>
      </c>
    </row>
    <row r="24619" spans="2:8" ht="15" customHeight="1" x14ac:dyDescent="0.4">
      <c r="B24619" t="s">
        <v>7</v>
      </c>
      <c r="C24619" t="s">
        <v>3944</v>
      </c>
      <c r="D24619" s="7">
        <f>DATE(2011,9,29)</f>
        <v>40815</v>
      </c>
      <c r="E24619" s="8">
        <f t="shared" si="408"/>
        <v>2011</v>
      </c>
      <c r="F24619" t="s">
        <v>3945</v>
      </c>
      <c r="G24619" s="9">
        <v>6676.5</v>
      </c>
      <c r="H24619" s="8">
        <v>11033</v>
      </c>
    </row>
    <row r="24620" spans="2:8" ht="15" customHeight="1" x14ac:dyDescent="0.4">
      <c r="B24620" t="s">
        <v>7</v>
      </c>
      <c r="C24620" t="s">
        <v>3944</v>
      </c>
      <c r="D24620" s="7">
        <f>DATE(2011,10,25)</f>
        <v>40841</v>
      </c>
      <c r="E24620" s="8">
        <f t="shared" si="408"/>
        <v>2011</v>
      </c>
      <c r="F24620" t="s">
        <v>3945</v>
      </c>
      <c r="G24620" s="9">
        <v>7320.41</v>
      </c>
      <c r="H24620" s="8">
        <v>10958</v>
      </c>
    </row>
    <row r="24621" spans="2:8" ht="15" customHeight="1" x14ac:dyDescent="0.4">
      <c r="B24621" t="s">
        <v>7</v>
      </c>
      <c r="C24621" t="s">
        <v>3944</v>
      </c>
      <c r="D24621" s="7">
        <f>DATE(2013,4,2)</f>
        <v>41366</v>
      </c>
      <c r="E24621" s="8">
        <f t="shared" si="408"/>
        <v>2013</v>
      </c>
      <c r="F24621" t="s">
        <v>3945</v>
      </c>
      <c r="G24621" s="9">
        <v>1597.81</v>
      </c>
      <c r="H24621" s="8">
        <v>12309</v>
      </c>
    </row>
    <row r="24622" spans="2:8" ht="15" customHeight="1" x14ac:dyDescent="0.4">
      <c r="B24622" t="s">
        <v>7</v>
      </c>
      <c r="C24622" t="s">
        <v>3944</v>
      </c>
      <c r="D24622" s="7">
        <f>DATE(2014,9,25)</f>
        <v>41907</v>
      </c>
      <c r="E24622" s="8">
        <f t="shared" si="408"/>
        <v>2014</v>
      </c>
      <c r="F24622" t="s">
        <v>3945</v>
      </c>
      <c r="G24622" s="9">
        <v>7951.3</v>
      </c>
      <c r="H24622" s="8">
        <v>13294</v>
      </c>
    </row>
    <row r="24623" spans="2:8" ht="15" customHeight="1" x14ac:dyDescent="0.4">
      <c r="B24623" s="3" t="s">
        <v>7</v>
      </c>
      <c r="C24623" s="3" t="s">
        <v>3944</v>
      </c>
      <c r="D24623" s="4">
        <f>DATE(2003,3,11)</f>
        <v>37691</v>
      </c>
      <c r="E24623" s="5">
        <f t="shared" si="408"/>
        <v>2003</v>
      </c>
      <c r="F24623" s="3" t="s">
        <v>3945</v>
      </c>
      <c r="G24623" s="6">
        <v>3622</v>
      </c>
      <c r="H24623" s="5">
        <v>491</v>
      </c>
    </row>
    <row r="24624" spans="2:8" ht="15" customHeight="1" x14ac:dyDescent="0.4">
      <c r="B24624" s="3" t="s">
        <v>7</v>
      </c>
      <c r="C24624" s="3" t="s">
        <v>3944</v>
      </c>
      <c r="D24624" s="4">
        <f>DATE(2003,7,23)</f>
        <v>37825</v>
      </c>
      <c r="E24624" s="5">
        <f t="shared" si="408"/>
        <v>2003</v>
      </c>
      <c r="F24624" s="3" t="s">
        <v>3945</v>
      </c>
      <c r="G24624" s="6">
        <v>1617.4</v>
      </c>
      <c r="H24624" s="5">
        <v>1236</v>
      </c>
    </row>
    <row r="24625" spans="2:8" ht="15" customHeight="1" x14ac:dyDescent="0.4">
      <c r="B24625" s="3" t="s">
        <v>7</v>
      </c>
      <c r="C24625" s="3" t="s">
        <v>3944</v>
      </c>
      <c r="D24625" s="4">
        <f>DATE(2003,9,29)</f>
        <v>37893</v>
      </c>
      <c r="E24625" s="5">
        <f t="shared" si="408"/>
        <v>2003</v>
      </c>
      <c r="F24625" s="3" t="s">
        <v>3945</v>
      </c>
      <c r="G24625" s="6">
        <v>425.05</v>
      </c>
      <c r="H24625" s="5">
        <v>1563</v>
      </c>
    </row>
    <row r="24626" spans="2:8" ht="15" customHeight="1" x14ac:dyDescent="0.4">
      <c r="B24626" s="3" t="s">
        <v>7</v>
      </c>
      <c r="C24626" s="3" t="s">
        <v>3944</v>
      </c>
      <c r="D24626" s="4">
        <f>DATE(2004,3,2)</f>
        <v>38048</v>
      </c>
      <c r="E24626" s="5">
        <f t="shared" si="408"/>
        <v>2004</v>
      </c>
      <c r="F24626" s="3" t="s">
        <v>3945</v>
      </c>
      <c r="G24626" s="6">
        <v>95</v>
      </c>
      <c r="H24626" s="5">
        <v>2312</v>
      </c>
    </row>
    <row r="24627" spans="2:8" ht="15" customHeight="1" x14ac:dyDescent="0.4">
      <c r="B24627" s="3" t="s">
        <v>7</v>
      </c>
      <c r="C24627" s="3" t="s">
        <v>3944</v>
      </c>
      <c r="D24627" s="4">
        <f>DATE(2004,3,4)</f>
        <v>38050</v>
      </c>
      <c r="E24627" s="5">
        <f t="shared" si="408"/>
        <v>2004</v>
      </c>
      <c r="F24627" s="3" t="s">
        <v>3945</v>
      </c>
      <c r="G24627" s="6">
        <v>5435.33</v>
      </c>
      <c r="H24627" s="5">
        <v>2328</v>
      </c>
    </row>
    <row r="24628" spans="2:8" ht="15" customHeight="1" x14ac:dyDescent="0.4">
      <c r="B24628" s="3" t="s">
        <v>7</v>
      </c>
      <c r="C24628" s="3" t="s">
        <v>3944</v>
      </c>
      <c r="D24628" s="4">
        <f>DATE(2004,9,8)</f>
        <v>38238</v>
      </c>
      <c r="E24628" s="5">
        <f t="shared" si="408"/>
        <v>2004</v>
      </c>
      <c r="F24628" s="3" t="s">
        <v>3945</v>
      </c>
      <c r="G24628" s="6">
        <v>5075.34</v>
      </c>
      <c r="H24628" s="5">
        <v>3347</v>
      </c>
    </row>
    <row r="24629" spans="2:8" ht="15" customHeight="1" x14ac:dyDescent="0.4">
      <c r="B24629" s="3" t="s">
        <v>7</v>
      </c>
      <c r="C24629" s="3" t="s">
        <v>3944</v>
      </c>
      <c r="D24629" s="4">
        <f>DATE(2004,10,13)</f>
        <v>38273</v>
      </c>
      <c r="E24629" s="5">
        <f t="shared" si="408"/>
        <v>2004</v>
      </c>
      <c r="F24629" s="3" t="s">
        <v>3945</v>
      </c>
      <c r="G24629" s="6">
        <v>194</v>
      </c>
      <c r="H24629" s="5">
        <v>3566</v>
      </c>
    </row>
    <row r="24630" spans="2:8" ht="15" customHeight="1" x14ac:dyDescent="0.4">
      <c r="B24630" s="3" t="s">
        <v>7</v>
      </c>
      <c r="C24630" s="3" t="s">
        <v>3944</v>
      </c>
      <c r="D24630" s="4">
        <f>DATE(2004,11,17)</f>
        <v>38308</v>
      </c>
      <c r="E24630" s="5">
        <f t="shared" si="408"/>
        <v>2004</v>
      </c>
      <c r="F24630" s="3" t="s">
        <v>3945</v>
      </c>
      <c r="G24630" s="6">
        <v>5400</v>
      </c>
      <c r="H24630" s="5">
        <v>3718</v>
      </c>
    </row>
    <row r="24631" spans="2:8" ht="15" customHeight="1" x14ac:dyDescent="0.4">
      <c r="B24631" s="3" t="s">
        <v>7</v>
      </c>
      <c r="C24631" s="3" t="s">
        <v>3944</v>
      </c>
      <c r="D24631" s="4">
        <f>DATE(2004,11,22)</f>
        <v>38313</v>
      </c>
      <c r="E24631" s="5">
        <f t="shared" si="408"/>
        <v>2004</v>
      </c>
      <c r="F24631" s="3" t="s">
        <v>3945</v>
      </c>
      <c r="G24631" s="6">
        <v>397.5</v>
      </c>
      <c r="H24631" s="5">
        <v>3733</v>
      </c>
    </row>
    <row r="24632" spans="2:8" ht="15" customHeight="1" x14ac:dyDescent="0.4">
      <c r="B24632" s="3" t="s">
        <v>7</v>
      </c>
      <c r="C24632" s="3" t="s">
        <v>3944</v>
      </c>
      <c r="D24632" s="4">
        <f>DATE(2005,3,14)</f>
        <v>38425</v>
      </c>
      <c r="E24632" s="5">
        <f t="shared" si="408"/>
        <v>2005</v>
      </c>
      <c r="F24632" s="3" t="s">
        <v>3945</v>
      </c>
      <c r="G24632" s="6">
        <v>5355.55</v>
      </c>
      <c r="H24632" s="5">
        <v>4308</v>
      </c>
    </row>
    <row r="24633" spans="2:8" ht="15" customHeight="1" x14ac:dyDescent="0.4">
      <c r="B24633" s="3" t="s">
        <v>7</v>
      </c>
      <c r="C24633" s="3" t="s">
        <v>3944</v>
      </c>
      <c r="D24633" s="4">
        <f>DATE(2005,8,1)</f>
        <v>38565</v>
      </c>
      <c r="E24633" s="5">
        <f t="shared" si="408"/>
        <v>2005</v>
      </c>
      <c r="F24633" s="3" t="s">
        <v>3945</v>
      </c>
      <c r="G24633" s="6">
        <v>2660</v>
      </c>
      <c r="H24633" s="5">
        <v>5045</v>
      </c>
    </row>
    <row r="24634" spans="2:8" ht="15" customHeight="1" x14ac:dyDescent="0.4">
      <c r="B24634" s="3" t="s">
        <v>7</v>
      </c>
      <c r="C24634" s="3" t="s">
        <v>3944</v>
      </c>
      <c r="D24634" s="4">
        <f>DATE(2006,1,9)</f>
        <v>38726</v>
      </c>
      <c r="E24634" s="5">
        <f t="shared" si="408"/>
        <v>2006</v>
      </c>
      <c r="F24634" s="3" t="s">
        <v>3945</v>
      </c>
      <c r="G24634" s="6">
        <v>2660</v>
      </c>
      <c r="H24634" s="5">
        <v>5809</v>
      </c>
    </row>
    <row r="24635" spans="2:8" ht="15" customHeight="1" x14ac:dyDescent="0.4">
      <c r="B24635" s="3" t="s">
        <v>7</v>
      </c>
      <c r="C24635" s="3" t="s">
        <v>3944</v>
      </c>
      <c r="D24635" s="4">
        <f>DATE(2006,5,1)</f>
        <v>38838</v>
      </c>
      <c r="E24635" s="5">
        <f t="shared" si="408"/>
        <v>2006</v>
      </c>
      <c r="F24635" s="3" t="s">
        <v>3945</v>
      </c>
      <c r="G24635" s="6">
        <v>265.89999999999998</v>
      </c>
      <c r="H24635" s="5">
        <v>6647</v>
      </c>
    </row>
    <row r="24636" spans="2:8" ht="15" customHeight="1" x14ac:dyDescent="0.4">
      <c r="B24636" s="3" t="s">
        <v>7</v>
      </c>
      <c r="C24636" s="3" t="s">
        <v>3944</v>
      </c>
      <c r="D24636" s="4">
        <f>DATE(2006,8,11)</f>
        <v>38940</v>
      </c>
      <c r="E24636" s="5">
        <f t="shared" si="408"/>
        <v>2006</v>
      </c>
      <c r="F24636" s="3" t="s">
        <v>3945</v>
      </c>
      <c r="G24636" s="6">
        <v>9265.5</v>
      </c>
      <c r="H24636" s="5">
        <v>7075</v>
      </c>
    </row>
    <row r="24637" spans="2:8" ht="15" customHeight="1" x14ac:dyDescent="0.4">
      <c r="B24637" s="3" t="s">
        <v>7</v>
      </c>
      <c r="C24637" s="3" t="s">
        <v>3944</v>
      </c>
      <c r="D24637" s="4">
        <f>DATE(2006,12,6)</f>
        <v>39057</v>
      </c>
      <c r="E24637" s="5">
        <f t="shared" si="408"/>
        <v>2006</v>
      </c>
      <c r="F24637" s="3" t="s">
        <v>3945</v>
      </c>
      <c r="G24637" s="6">
        <v>760</v>
      </c>
      <c r="H24637" s="5">
        <v>7617</v>
      </c>
    </row>
    <row r="24638" spans="2:8" ht="15" customHeight="1" x14ac:dyDescent="0.4">
      <c r="B24638" s="3" t="s">
        <v>7</v>
      </c>
      <c r="C24638" s="3" t="s">
        <v>3944</v>
      </c>
      <c r="D24638" s="4">
        <f>DATE(2007,7,26)</f>
        <v>39289</v>
      </c>
      <c r="E24638" s="5">
        <f t="shared" si="408"/>
        <v>2007</v>
      </c>
      <c r="F24638" s="3" t="s">
        <v>3945</v>
      </c>
      <c r="G24638" s="6">
        <v>5092</v>
      </c>
      <c r="H24638" s="5">
        <v>8933</v>
      </c>
    </row>
    <row r="24639" spans="2:8" ht="15" customHeight="1" x14ac:dyDescent="0.4">
      <c r="B24639" s="3" t="s">
        <v>7</v>
      </c>
      <c r="C24639" s="3" t="s">
        <v>3944</v>
      </c>
      <c r="D24639" s="4">
        <f>DATE(2007,8,2)</f>
        <v>39296</v>
      </c>
      <c r="E24639" s="5">
        <f t="shared" si="408"/>
        <v>2007</v>
      </c>
      <c r="F24639" s="3" t="s">
        <v>3945</v>
      </c>
      <c r="G24639" s="6">
        <v>1640.17</v>
      </c>
      <c r="H24639" s="5">
        <v>8981</v>
      </c>
    </row>
    <row r="24640" spans="2:8" ht="15" customHeight="1" x14ac:dyDescent="0.4">
      <c r="B24640" s="3" t="s">
        <v>7</v>
      </c>
      <c r="C24640" s="3" t="s">
        <v>3944</v>
      </c>
      <c r="D24640" s="4">
        <f>DATE(2008,1,16)</f>
        <v>39463</v>
      </c>
      <c r="E24640" s="5">
        <f t="shared" si="408"/>
        <v>2008</v>
      </c>
      <c r="F24640" s="3" t="s">
        <v>3945</v>
      </c>
      <c r="G24640" s="6">
        <v>6460</v>
      </c>
      <c r="H24640" s="5">
        <v>9717</v>
      </c>
    </row>
    <row r="24641" spans="2:8" ht="15" customHeight="1" x14ac:dyDescent="0.4">
      <c r="B24641" s="3" t="s">
        <v>7</v>
      </c>
      <c r="C24641" s="3" t="s">
        <v>3944</v>
      </c>
      <c r="D24641" s="4">
        <f>DATE(2008,2,25)</f>
        <v>39503</v>
      </c>
      <c r="E24641" s="5">
        <f t="shared" si="408"/>
        <v>2008</v>
      </c>
      <c r="F24641" s="3" t="s">
        <v>3945</v>
      </c>
      <c r="G24641" s="6">
        <v>2660</v>
      </c>
      <c r="H24641" s="5">
        <v>10018</v>
      </c>
    </row>
    <row r="24642" spans="2:8" ht="15" customHeight="1" x14ac:dyDescent="0.4">
      <c r="B24642" s="3" t="s">
        <v>7</v>
      </c>
      <c r="C24642" s="3" t="s">
        <v>3944</v>
      </c>
      <c r="D24642" s="4">
        <f>DATE(2008,3,31)</f>
        <v>39538</v>
      </c>
      <c r="E24642" s="5">
        <f t="shared" si="408"/>
        <v>2008</v>
      </c>
      <c r="F24642" s="3" t="s">
        <v>3945</v>
      </c>
      <c r="G24642" s="6">
        <v>3276.25</v>
      </c>
      <c r="H24642" s="5">
        <v>10331</v>
      </c>
    </row>
    <row r="24643" spans="2:8" ht="15" customHeight="1" x14ac:dyDescent="0.4">
      <c r="B24643" s="3" t="s">
        <v>7</v>
      </c>
      <c r="C24643" s="3" t="s">
        <v>3944</v>
      </c>
      <c r="D24643" s="4">
        <f>DATE(2008,7,9)</f>
        <v>39638</v>
      </c>
      <c r="E24643" s="5">
        <f t="shared" ref="E24643:E24706" si="409">YEAR(D24643)</f>
        <v>2008</v>
      </c>
      <c r="F24643" s="3" t="s">
        <v>3945</v>
      </c>
      <c r="G24643" s="6">
        <v>1987.5</v>
      </c>
      <c r="H24643" s="5">
        <v>10929</v>
      </c>
    </row>
    <row r="24644" spans="2:8" ht="15" customHeight="1" x14ac:dyDescent="0.4">
      <c r="B24644" s="3" t="s">
        <v>7</v>
      </c>
      <c r="C24644" s="3" t="s">
        <v>3944</v>
      </c>
      <c r="D24644" s="4">
        <f>DATE(2008,7,30)</f>
        <v>39659</v>
      </c>
      <c r="E24644" s="5">
        <f t="shared" si="409"/>
        <v>2008</v>
      </c>
      <c r="F24644" s="3" t="s">
        <v>3945</v>
      </c>
      <c r="G24644" s="6">
        <v>90</v>
      </c>
      <c r="H24644" s="5">
        <v>11026</v>
      </c>
    </row>
    <row r="24645" spans="2:8" ht="15" customHeight="1" x14ac:dyDescent="0.4">
      <c r="B24645" s="3" t="s">
        <v>7</v>
      </c>
      <c r="C24645" s="3" t="s">
        <v>3944</v>
      </c>
      <c r="D24645" s="4">
        <f>DATE(2008,10,9)</f>
        <v>39730</v>
      </c>
      <c r="E24645" s="5">
        <f t="shared" si="409"/>
        <v>2008</v>
      </c>
      <c r="F24645" s="3" t="s">
        <v>3945</v>
      </c>
      <c r="G24645" s="6">
        <v>65.239999999999995</v>
      </c>
      <c r="H24645" s="5">
        <v>11397</v>
      </c>
    </row>
    <row r="24646" spans="2:8" ht="15" customHeight="1" x14ac:dyDescent="0.4">
      <c r="B24646" s="3" t="s">
        <v>7</v>
      </c>
      <c r="C24646" s="3" t="s">
        <v>3944</v>
      </c>
      <c r="D24646" s="4">
        <f>DATE(2009,1,14)</f>
        <v>39827</v>
      </c>
      <c r="E24646" s="5">
        <f t="shared" si="409"/>
        <v>2009</v>
      </c>
      <c r="F24646" s="3" t="s">
        <v>3945</v>
      </c>
      <c r="G24646" s="6">
        <v>4180</v>
      </c>
      <c r="H24646" s="5">
        <v>11822</v>
      </c>
    </row>
    <row r="24647" spans="2:8" ht="15" customHeight="1" x14ac:dyDescent="0.4">
      <c r="B24647" s="3" t="s">
        <v>7</v>
      </c>
      <c r="C24647" s="3" t="s">
        <v>3944</v>
      </c>
      <c r="D24647" s="4">
        <f>DATE(2009,8,3)</f>
        <v>40028</v>
      </c>
      <c r="E24647" s="5">
        <f t="shared" si="409"/>
        <v>2009</v>
      </c>
      <c r="F24647" s="3" t="s">
        <v>3945</v>
      </c>
      <c r="G24647" s="6">
        <v>5784.15</v>
      </c>
      <c r="H24647" s="5">
        <v>12862</v>
      </c>
    </row>
    <row r="24648" spans="2:8" ht="15" customHeight="1" x14ac:dyDescent="0.4">
      <c r="B24648" s="3" t="s">
        <v>7</v>
      </c>
      <c r="C24648" s="3" t="s">
        <v>3944</v>
      </c>
      <c r="D24648" s="4">
        <f>DATE(2009,12,10)</f>
        <v>40157</v>
      </c>
      <c r="E24648" s="5">
        <f t="shared" si="409"/>
        <v>2009</v>
      </c>
      <c r="F24648" s="3" t="s">
        <v>3945</v>
      </c>
      <c r="G24648" s="6">
        <v>38</v>
      </c>
      <c r="H24648" s="5">
        <v>13323</v>
      </c>
    </row>
    <row r="24649" spans="2:8" ht="15" customHeight="1" x14ac:dyDescent="0.4">
      <c r="B24649" s="3" t="s">
        <v>7</v>
      </c>
      <c r="C24649" s="3" t="s">
        <v>3944</v>
      </c>
      <c r="D24649" s="4">
        <f>DATE(2010,1,21)</f>
        <v>40199</v>
      </c>
      <c r="E24649" s="5">
        <f t="shared" si="409"/>
        <v>2010</v>
      </c>
      <c r="F24649" s="3" t="s">
        <v>3945</v>
      </c>
      <c r="G24649" s="6">
        <v>1520</v>
      </c>
      <c r="H24649" s="5">
        <v>13444</v>
      </c>
    </row>
    <row r="24650" spans="2:8" ht="15" customHeight="1" x14ac:dyDescent="0.4">
      <c r="B24650" s="3" t="s">
        <v>7</v>
      </c>
      <c r="C24650" s="3" t="s">
        <v>3944</v>
      </c>
      <c r="D24650" s="4">
        <f>DATE(2010,3,9)</f>
        <v>40246</v>
      </c>
      <c r="E24650" s="5">
        <f t="shared" si="409"/>
        <v>2010</v>
      </c>
      <c r="F24650" s="3" t="s">
        <v>3945</v>
      </c>
      <c r="G24650" s="6">
        <v>3800</v>
      </c>
      <c r="H24650" s="5">
        <v>13714</v>
      </c>
    </row>
    <row r="24651" spans="2:8" ht="15" customHeight="1" x14ac:dyDescent="0.4">
      <c r="B24651" s="3" t="s">
        <v>7</v>
      </c>
      <c r="C24651" s="3" t="s">
        <v>3944</v>
      </c>
      <c r="D24651" s="4">
        <f>DATE(2010,6,3)</f>
        <v>40332</v>
      </c>
      <c r="E24651" s="5">
        <f t="shared" si="409"/>
        <v>2010</v>
      </c>
      <c r="F24651" s="3" t="s">
        <v>3945</v>
      </c>
      <c r="G24651" s="6">
        <v>380</v>
      </c>
      <c r="H24651" s="5">
        <v>14092</v>
      </c>
    </row>
    <row r="24652" spans="2:8" ht="15" customHeight="1" x14ac:dyDescent="0.4">
      <c r="B24652" s="3" t="s">
        <v>7</v>
      </c>
      <c r="C24652" s="3" t="s">
        <v>3944</v>
      </c>
      <c r="D24652" s="4">
        <f>DATE(2010,6,17)</f>
        <v>40346</v>
      </c>
      <c r="E24652" s="5">
        <f t="shared" si="409"/>
        <v>2010</v>
      </c>
      <c r="F24652" s="3" t="s">
        <v>3945</v>
      </c>
      <c r="G24652" s="6">
        <v>3800</v>
      </c>
      <c r="H24652" s="5">
        <v>14179</v>
      </c>
    </row>
    <row r="24653" spans="2:8" ht="15" customHeight="1" x14ac:dyDescent="0.4">
      <c r="B24653" s="3" t="s">
        <v>7</v>
      </c>
      <c r="C24653" s="3" t="s">
        <v>3944</v>
      </c>
      <c r="D24653" s="4">
        <f>DATE(2010,6,25)</f>
        <v>40354</v>
      </c>
      <c r="E24653" s="5">
        <f t="shared" si="409"/>
        <v>2010</v>
      </c>
      <c r="F24653" s="3" t="s">
        <v>3945</v>
      </c>
      <c r="G24653" s="6">
        <v>2100</v>
      </c>
      <c r="H24653" s="5">
        <v>14216</v>
      </c>
    </row>
    <row r="24654" spans="2:8" ht="15" customHeight="1" x14ac:dyDescent="0.4">
      <c r="B24654" s="3" t="s">
        <v>7</v>
      </c>
      <c r="C24654" s="3" t="s">
        <v>3944</v>
      </c>
      <c r="D24654" s="4">
        <f>DATE(2010,11,5)</f>
        <v>40487</v>
      </c>
      <c r="E24654" s="5">
        <f t="shared" si="409"/>
        <v>2010</v>
      </c>
      <c r="F24654" s="3" t="s">
        <v>3945</v>
      </c>
      <c r="G24654" s="6">
        <v>597</v>
      </c>
      <c r="H24654" s="5">
        <v>14729</v>
      </c>
    </row>
    <row r="24655" spans="2:8" ht="15" customHeight="1" x14ac:dyDescent="0.4">
      <c r="B24655" s="3" t="s">
        <v>7</v>
      </c>
      <c r="C24655" s="3" t="s">
        <v>3944</v>
      </c>
      <c r="D24655" s="4">
        <f>DATE(2011,1,13)</f>
        <v>40556</v>
      </c>
      <c r="E24655" s="5">
        <f t="shared" si="409"/>
        <v>2011</v>
      </c>
      <c r="F24655" s="3" t="s">
        <v>3945</v>
      </c>
      <c r="G24655" s="6">
        <v>3800</v>
      </c>
      <c r="H24655" s="5">
        <v>14870</v>
      </c>
    </row>
    <row r="24656" spans="2:8" ht="15" customHeight="1" x14ac:dyDescent="0.4">
      <c r="B24656" s="3" t="s">
        <v>7</v>
      </c>
      <c r="C24656" s="3" t="s">
        <v>3944</v>
      </c>
      <c r="D24656" s="4">
        <f>DATE(2011,1,21)</f>
        <v>40564</v>
      </c>
      <c r="E24656" s="5">
        <f t="shared" si="409"/>
        <v>2011</v>
      </c>
      <c r="F24656" s="3" t="s">
        <v>3945</v>
      </c>
      <c r="G24656" s="6">
        <v>380</v>
      </c>
      <c r="H24656" s="5">
        <v>14947</v>
      </c>
    </row>
    <row r="24657" spans="2:8" ht="15" customHeight="1" x14ac:dyDescent="0.4">
      <c r="B24657" s="3" t="s">
        <v>7</v>
      </c>
      <c r="C24657" s="3" t="s">
        <v>3944</v>
      </c>
      <c r="D24657" s="4">
        <f>DATE(2011,3,10)</f>
        <v>40612</v>
      </c>
      <c r="E24657" s="5">
        <f t="shared" si="409"/>
        <v>2011</v>
      </c>
      <c r="F24657" s="3" t="s">
        <v>3945</v>
      </c>
      <c r="G24657" s="6">
        <v>3040</v>
      </c>
      <c r="H24657" s="5">
        <v>15225</v>
      </c>
    </row>
    <row r="24658" spans="2:8" ht="15" customHeight="1" x14ac:dyDescent="0.4">
      <c r="B24658" s="3" t="s">
        <v>7</v>
      </c>
      <c r="C24658" s="3" t="s">
        <v>3944</v>
      </c>
      <c r="D24658" s="4">
        <f>DATE(2011,5,12)</f>
        <v>40675</v>
      </c>
      <c r="E24658" s="5">
        <f t="shared" si="409"/>
        <v>2011</v>
      </c>
      <c r="F24658" s="3" t="s">
        <v>3945</v>
      </c>
      <c r="G24658" s="6">
        <v>380</v>
      </c>
      <c r="H24658" s="5">
        <v>15567</v>
      </c>
    </row>
    <row r="24659" spans="2:8" ht="15" customHeight="1" x14ac:dyDescent="0.4">
      <c r="B24659" s="3" t="s">
        <v>7</v>
      </c>
      <c r="C24659" s="3" t="s">
        <v>3944</v>
      </c>
      <c r="D24659" s="4">
        <f>DATE(2011,6,17)</f>
        <v>40711</v>
      </c>
      <c r="E24659" s="5">
        <f t="shared" si="409"/>
        <v>2011</v>
      </c>
      <c r="F24659" s="3" t="s">
        <v>3945</v>
      </c>
      <c r="G24659" s="6">
        <v>1282.5</v>
      </c>
      <c r="H24659" s="5">
        <v>15650</v>
      </c>
    </row>
    <row r="24660" spans="2:8" ht="15" customHeight="1" x14ac:dyDescent="0.4">
      <c r="B24660" s="3" t="s">
        <v>7</v>
      </c>
      <c r="C24660" s="3" t="s">
        <v>3944</v>
      </c>
      <c r="D24660" s="4">
        <f>DATE(2011,7,8)</f>
        <v>40732</v>
      </c>
      <c r="E24660" s="5">
        <f t="shared" si="409"/>
        <v>2011</v>
      </c>
      <c r="F24660" s="3" t="s">
        <v>3945</v>
      </c>
      <c r="G24660" s="6">
        <v>6840</v>
      </c>
      <c r="H24660" s="5">
        <v>15759</v>
      </c>
    </row>
    <row r="24661" spans="2:8" ht="15" customHeight="1" x14ac:dyDescent="0.4">
      <c r="B24661" s="3" t="s">
        <v>7</v>
      </c>
      <c r="C24661" s="3" t="s">
        <v>3944</v>
      </c>
      <c r="D24661" s="4">
        <f>DATE(2011,10,7)</f>
        <v>40823</v>
      </c>
      <c r="E24661" s="5">
        <f t="shared" si="409"/>
        <v>2011</v>
      </c>
      <c r="F24661" s="3" t="s">
        <v>3945</v>
      </c>
      <c r="G24661" s="6">
        <v>1650</v>
      </c>
      <c r="H24661" s="5">
        <v>16068</v>
      </c>
    </row>
    <row r="24662" spans="2:8" ht="15" customHeight="1" x14ac:dyDescent="0.4">
      <c r="B24662" s="3" t="s">
        <v>7</v>
      </c>
      <c r="C24662" s="3" t="s">
        <v>3944</v>
      </c>
      <c r="D24662" s="4">
        <f>DATE(2011,11,18)</f>
        <v>40865</v>
      </c>
      <c r="E24662" s="5">
        <f t="shared" si="409"/>
        <v>2011</v>
      </c>
      <c r="F24662" s="3" t="s">
        <v>3945</v>
      </c>
      <c r="G24662" s="6">
        <v>90</v>
      </c>
      <c r="H24662" s="5">
        <v>16229</v>
      </c>
    </row>
    <row r="24663" spans="2:8" ht="15" customHeight="1" x14ac:dyDescent="0.4">
      <c r="B24663" s="3" t="s">
        <v>7</v>
      </c>
      <c r="C24663" s="3" t="s">
        <v>3944</v>
      </c>
      <c r="D24663" s="4">
        <f>DATE(2012,6,5)</f>
        <v>41065</v>
      </c>
      <c r="E24663" s="5">
        <f t="shared" si="409"/>
        <v>2012</v>
      </c>
      <c r="F24663" s="3" t="s">
        <v>3945</v>
      </c>
      <c r="G24663" s="6">
        <v>1650</v>
      </c>
      <c r="H24663" s="5">
        <v>17219</v>
      </c>
    </row>
    <row r="24664" spans="2:8" ht="15" customHeight="1" x14ac:dyDescent="0.4">
      <c r="B24664" s="3" t="s">
        <v>7</v>
      </c>
      <c r="C24664" s="3" t="s">
        <v>3944</v>
      </c>
      <c r="D24664" s="4">
        <f>DATE(2012,7,13)</f>
        <v>41103</v>
      </c>
      <c r="E24664" s="5">
        <f t="shared" si="409"/>
        <v>2012</v>
      </c>
      <c r="F24664" s="3" t="s">
        <v>3945</v>
      </c>
      <c r="G24664" s="6">
        <v>380</v>
      </c>
      <c r="H24664" s="5">
        <v>17362</v>
      </c>
    </row>
    <row r="24665" spans="2:8" ht="15" customHeight="1" x14ac:dyDescent="0.4">
      <c r="B24665" s="3" t="s">
        <v>7</v>
      </c>
      <c r="C24665" s="3" t="s">
        <v>3944</v>
      </c>
      <c r="D24665" s="4">
        <f>DATE(2012,9,19)</f>
        <v>41171</v>
      </c>
      <c r="E24665" s="5">
        <f t="shared" si="409"/>
        <v>2012</v>
      </c>
      <c r="F24665" s="3" t="s">
        <v>3945</v>
      </c>
      <c r="G24665" s="6">
        <v>1650</v>
      </c>
      <c r="H24665" s="5">
        <v>17616</v>
      </c>
    </row>
    <row r="24666" spans="2:8" ht="15" customHeight="1" x14ac:dyDescent="0.4">
      <c r="B24666" s="3" t="s">
        <v>7</v>
      </c>
      <c r="C24666" s="3" t="s">
        <v>3944</v>
      </c>
      <c r="D24666" s="4">
        <f>DATE(2013,4,26)</f>
        <v>41390</v>
      </c>
      <c r="E24666" s="5">
        <f t="shared" si="409"/>
        <v>2013</v>
      </c>
      <c r="F24666" s="3" t="s">
        <v>3945</v>
      </c>
      <c r="G24666" s="6">
        <v>550</v>
      </c>
      <c r="H24666" s="5">
        <v>18477</v>
      </c>
    </row>
    <row r="24667" spans="2:8" ht="15" customHeight="1" x14ac:dyDescent="0.4">
      <c r="B24667" s="3" t="s">
        <v>7</v>
      </c>
      <c r="C24667" s="3" t="s">
        <v>3944</v>
      </c>
      <c r="D24667" s="4">
        <f>DATE(2014,1,13)</f>
        <v>41652</v>
      </c>
      <c r="E24667" s="5">
        <f t="shared" si="409"/>
        <v>2014</v>
      </c>
      <c r="F24667" s="3" t="s">
        <v>3945</v>
      </c>
      <c r="G24667" s="6">
        <v>1100</v>
      </c>
      <c r="H24667" s="5">
        <v>19384</v>
      </c>
    </row>
    <row r="24668" spans="2:8" ht="15" customHeight="1" x14ac:dyDescent="0.4">
      <c r="B24668" s="3" t="s">
        <v>7</v>
      </c>
      <c r="C24668" s="3" t="s">
        <v>3944</v>
      </c>
      <c r="D24668" s="4">
        <f>DATE(2014,4,11)</f>
        <v>41740</v>
      </c>
      <c r="E24668" s="5">
        <f t="shared" si="409"/>
        <v>2014</v>
      </c>
      <c r="F24668" s="3" t="s">
        <v>3945</v>
      </c>
      <c r="G24668" s="6">
        <v>1498.5</v>
      </c>
      <c r="H24668" s="5">
        <v>19798</v>
      </c>
    </row>
    <row r="24669" spans="2:8" ht="15" customHeight="1" x14ac:dyDescent="0.4">
      <c r="B24669" s="3" t="s">
        <v>7</v>
      </c>
      <c r="C24669" s="3" t="s">
        <v>3944</v>
      </c>
      <c r="D24669" s="4">
        <f>DATE(2014,4,11)</f>
        <v>41740</v>
      </c>
      <c r="E24669" s="5">
        <f t="shared" si="409"/>
        <v>2014</v>
      </c>
      <c r="F24669" s="3" t="s">
        <v>3945</v>
      </c>
      <c r="G24669" s="6">
        <v>499.5</v>
      </c>
      <c r="H24669" s="5">
        <v>19834</v>
      </c>
    </row>
    <row r="24670" spans="2:8" ht="15" customHeight="1" x14ac:dyDescent="0.4">
      <c r="B24670" t="s">
        <v>7</v>
      </c>
      <c r="C24670" t="s">
        <v>3946</v>
      </c>
      <c r="D24670" s="7">
        <f>DATE(2018,8,15)</f>
        <v>43327</v>
      </c>
      <c r="E24670" s="8">
        <f t="shared" si="409"/>
        <v>2018</v>
      </c>
      <c r="F24670" t="s">
        <v>3947</v>
      </c>
      <c r="G24670" s="9">
        <v>25365.27</v>
      </c>
      <c r="H24670" s="8">
        <v>27503</v>
      </c>
    </row>
    <row r="24671" spans="2:8" ht="15" customHeight="1" x14ac:dyDescent="0.4">
      <c r="B24671" s="3" t="s">
        <v>7</v>
      </c>
      <c r="C24671" s="3" t="s">
        <v>3948</v>
      </c>
      <c r="D24671" s="4">
        <f>DATE(2011,2,10)</f>
        <v>40584</v>
      </c>
      <c r="E24671" s="5">
        <f t="shared" si="409"/>
        <v>2011</v>
      </c>
      <c r="F24671" s="3" t="s">
        <v>3949</v>
      </c>
      <c r="G24671" s="6">
        <v>32073.74</v>
      </c>
      <c r="H24671" s="5">
        <v>4309</v>
      </c>
    </row>
    <row r="24672" spans="2:8" ht="15" customHeight="1" x14ac:dyDescent="0.4">
      <c r="B24672" s="3" t="s">
        <v>7</v>
      </c>
      <c r="C24672" s="3" t="s">
        <v>3950</v>
      </c>
      <c r="D24672" s="4">
        <f>DATE(2011,3,10)</f>
        <v>40612</v>
      </c>
      <c r="E24672" s="5">
        <f t="shared" si="409"/>
        <v>2011</v>
      </c>
      <c r="F24672" s="3" t="s">
        <v>3949</v>
      </c>
      <c r="G24672" s="6">
        <v>98438</v>
      </c>
      <c r="H24672" s="5">
        <v>4277</v>
      </c>
    </row>
    <row r="24673" spans="2:8" ht="15" customHeight="1" x14ac:dyDescent="0.4">
      <c r="B24673" t="s">
        <v>7</v>
      </c>
      <c r="C24673" t="s">
        <v>3951</v>
      </c>
      <c r="D24673" s="7">
        <f>DATE(2018,4,9)</f>
        <v>43199</v>
      </c>
      <c r="E24673" s="8">
        <f t="shared" si="409"/>
        <v>2018</v>
      </c>
      <c r="F24673" t="s">
        <v>3952</v>
      </c>
      <c r="G24673" s="9">
        <v>17755.7</v>
      </c>
      <c r="H24673" s="8">
        <v>26766</v>
      </c>
    </row>
    <row r="24674" spans="2:8" ht="15" customHeight="1" x14ac:dyDescent="0.4">
      <c r="B24674" t="s">
        <v>7</v>
      </c>
      <c r="C24674" t="s">
        <v>3951</v>
      </c>
      <c r="D24674" s="7">
        <f>DATE(2018,4,19)</f>
        <v>43209</v>
      </c>
      <c r="E24674" s="8">
        <f t="shared" si="409"/>
        <v>2018</v>
      </c>
      <c r="F24674" t="s">
        <v>3952</v>
      </c>
      <c r="G24674" s="9">
        <v>6570.32</v>
      </c>
      <c r="H24674" s="8">
        <v>26869</v>
      </c>
    </row>
    <row r="24675" spans="2:8" ht="15" customHeight="1" x14ac:dyDescent="0.4">
      <c r="B24675" t="s">
        <v>7</v>
      </c>
      <c r="C24675" t="s">
        <v>3951</v>
      </c>
      <c r="D24675" s="7">
        <f>DATE(2018,5,11)</f>
        <v>43231</v>
      </c>
      <c r="E24675" s="8">
        <f t="shared" si="409"/>
        <v>2018</v>
      </c>
      <c r="F24675" t="s">
        <v>3952</v>
      </c>
      <c r="G24675" s="9">
        <v>12732.33</v>
      </c>
      <c r="H24675" s="8">
        <v>26916</v>
      </c>
    </row>
    <row r="24676" spans="2:8" ht="15" customHeight="1" x14ac:dyDescent="0.4">
      <c r="B24676" t="s">
        <v>7</v>
      </c>
      <c r="C24676" t="s">
        <v>3951</v>
      </c>
      <c r="D24676" s="7">
        <f>DATE(2018,8,1)</f>
        <v>43313</v>
      </c>
      <c r="E24676" s="8">
        <f t="shared" si="409"/>
        <v>2018</v>
      </c>
      <c r="F24676" t="s">
        <v>3952</v>
      </c>
      <c r="G24676" s="9">
        <v>33404.660000000003</v>
      </c>
      <c r="H24676" s="8">
        <v>27083</v>
      </c>
    </row>
    <row r="24677" spans="2:8" ht="15" customHeight="1" x14ac:dyDescent="0.4">
      <c r="B24677" t="s">
        <v>7</v>
      </c>
      <c r="C24677" t="s">
        <v>3951</v>
      </c>
      <c r="D24677" s="7">
        <f>DATE(2018,10,25)</f>
        <v>43398</v>
      </c>
      <c r="E24677" s="8">
        <f t="shared" si="409"/>
        <v>2018</v>
      </c>
      <c r="F24677" t="s">
        <v>3952</v>
      </c>
      <c r="G24677" s="9">
        <v>5100.5</v>
      </c>
      <c r="H24677" s="8">
        <v>27649</v>
      </c>
    </row>
    <row r="24678" spans="2:8" ht="15" customHeight="1" x14ac:dyDescent="0.4">
      <c r="B24678" t="s">
        <v>7</v>
      </c>
      <c r="C24678" t="s">
        <v>3951</v>
      </c>
      <c r="D24678" s="7">
        <f>DATE(2019,2,13)</f>
        <v>43509</v>
      </c>
      <c r="E24678" s="8">
        <f t="shared" si="409"/>
        <v>2019</v>
      </c>
      <c r="F24678" t="s">
        <v>3952</v>
      </c>
      <c r="G24678" s="9">
        <v>25097.72</v>
      </c>
      <c r="H24678" s="8">
        <v>28249</v>
      </c>
    </row>
    <row r="24679" spans="2:8" ht="15" customHeight="1" x14ac:dyDescent="0.4">
      <c r="B24679" t="s">
        <v>7</v>
      </c>
      <c r="C24679" t="s">
        <v>3951</v>
      </c>
      <c r="D24679" s="7">
        <f>DATE(2018,4,9)</f>
        <v>43199</v>
      </c>
      <c r="E24679" s="8">
        <f t="shared" si="409"/>
        <v>2018</v>
      </c>
      <c r="F24679" t="s">
        <v>3952</v>
      </c>
      <c r="G24679" s="9">
        <v>14357.5</v>
      </c>
      <c r="H24679" s="8">
        <v>26767</v>
      </c>
    </row>
    <row r="24680" spans="2:8" ht="15" customHeight="1" x14ac:dyDescent="0.4">
      <c r="B24680" t="s">
        <v>7</v>
      </c>
      <c r="C24680" t="s">
        <v>3951</v>
      </c>
      <c r="D24680" s="7">
        <f>DATE(2018,4,19)</f>
        <v>43209</v>
      </c>
      <c r="E24680" s="8">
        <f t="shared" si="409"/>
        <v>2018</v>
      </c>
      <c r="F24680" t="s">
        <v>3952</v>
      </c>
      <c r="G24680" s="9">
        <v>9400</v>
      </c>
      <c r="H24680" s="8">
        <v>26837</v>
      </c>
    </row>
    <row r="24681" spans="2:8" ht="15" customHeight="1" x14ac:dyDescent="0.4">
      <c r="B24681" t="s">
        <v>7</v>
      </c>
      <c r="C24681" t="s">
        <v>3951</v>
      </c>
      <c r="D24681" s="7">
        <f>DATE(2018,4,19)</f>
        <v>43209</v>
      </c>
      <c r="E24681" s="8">
        <f t="shared" si="409"/>
        <v>2018</v>
      </c>
      <c r="F24681" t="s">
        <v>3952</v>
      </c>
      <c r="G24681" s="9">
        <v>4123</v>
      </c>
      <c r="H24681" s="8">
        <v>26870</v>
      </c>
    </row>
    <row r="24682" spans="2:8" ht="15" customHeight="1" x14ac:dyDescent="0.4">
      <c r="B24682" t="s">
        <v>7</v>
      </c>
      <c r="C24682" t="s">
        <v>3951</v>
      </c>
      <c r="D24682" s="7">
        <f>DATE(2018,5,11)</f>
        <v>43231</v>
      </c>
      <c r="E24682" s="8">
        <f t="shared" si="409"/>
        <v>2018</v>
      </c>
      <c r="F24682" t="s">
        <v>3952</v>
      </c>
      <c r="G24682" s="9">
        <v>15886.25</v>
      </c>
      <c r="H24682" s="8">
        <v>26908</v>
      </c>
    </row>
    <row r="24683" spans="2:8" ht="15" customHeight="1" x14ac:dyDescent="0.4">
      <c r="B24683" t="s">
        <v>7</v>
      </c>
      <c r="C24683" t="s">
        <v>3951</v>
      </c>
      <c r="D24683" s="7">
        <f>DATE(2018,8,1)</f>
        <v>43313</v>
      </c>
      <c r="E24683" s="8">
        <f t="shared" si="409"/>
        <v>2018</v>
      </c>
      <c r="F24683" t="s">
        <v>3952</v>
      </c>
      <c r="G24683" s="9">
        <v>12635</v>
      </c>
      <c r="H24683" s="8">
        <v>27085</v>
      </c>
    </row>
    <row r="24684" spans="2:8" ht="15" customHeight="1" x14ac:dyDescent="0.4">
      <c r="B24684" t="s">
        <v>7</v>
      </c>
      <c r="C24684" t="s">
        <v>3951</v>
      </c>
      <c r="D24684" s="7">
        <f>DATE(2018,10,25)</f>
        <v>43398</v>
      </c>
      <c r="E24684" s="8">
        <f t="shared" si="409"/>
        <v>2018</v>
      </c>
      <c r="F24684" t="s">
        <v>3952</v>
      </c>
      <c r="G24684" s="9">
        <v>8961.8799999999992</v>
      </c>
      <c r="H24684" s="8">
        <v>27622</v>
      </c>
    </row>
    <row r="24685" spans="2:8" ht="15" customHeight="1" x14ac:dyDescent="0.4">
      <c r="B24685" t="s">
        <v>7</v>
      </c>
      <c r="C24685" t="s">
        <v>3951</v>
      </c>
      <c r="D24685" s="7">
        <f>DATE(2019,2,13)</f>
        <v>43509</v>
      </c>
      <c r="E24685" s="8">
        <f t="shared" si="409"/>
        <v>2019</v>
      </c>
      <c r="F24685" t="s">
        <v>3952</v>
      </c>
      <c r="G24685" s="9">
        <v>14109.5</v>
      </c>
      <c r="H24685" s="8">
        <v>28291</v>
      </c>
    </row>
    <row r="24686" spans="2:8" ht="15" customHeight="1" x14ac:dyDescent="0.4">
      <c r="B24686" s="3" t="s">
        <v>7</v>
      </c>
      <c r="C24686" s="3" t="s">
        <v>3948</v>
      </c>
      <c r="D24686" s="4">
        <f>DATE(2012,6,15)</f>
        <v>41075</v>
      </c>
      <c r="E24686" s="5">
        <f t="shared" si="409"/>
        <v>2012</v>
      </c>
      <c r="F24686" s="3" t="s">
        <v>3953</v>
      </c>
      <c r="G24686" s="6">
        <v>25303.200000000001</v>
      </c>
      <c r="H24686" s="5">
        <v>4966</v>
      </c>
    </row>
    <row r="24687" spans="2:8" ht="15" customHeight="1" x14ac:dyDescent="0.4">
      <c r="B24687" s="3" t="s">
        <v>7</v>
      </c>
      <c r="C24687" s="3" t="s">
        <v>3948</v>
      </c>
      <c r="D24687" s="4">
        <f>DATE(2012,6,15)</f>
        <v>41075</v>
      </c>
      <c r="E24687" s="5">
        <f t="shared" si="409"/>
        <v>2012</v>
      </c>
      <c r="F24687" s="3" t="s">
        <v>3953</v>
      </c>
      <c r="G24687" s="6">
        <v>22600</v>
      </c>
      <c r="H24687" s="5">
        <v>4966</v>
      </c>
    </row>
    <row r="24688" spans="2:8" ht="15" customHeight="1" x14ac:dyDescent="0.4">
      <c r="B24688" s="3" t="s">
        <v>7</v>
      </c>
      <c r="C24688" s="3" t="s">
        <v>3950</v>
      </c>
      <c r="D24688" s="4">
        <f>DATE(2011,2,8)</f>
        <v>40582</v>
      </c>
      <c r="E24688" s="5">
        <f t="shared" si="409"/>
        <v>2011</v>
      </c>
      <c r="F24688" s="3" t="s">
        <v>3954</v>
      </c>
      <c r="G24688" s="6">
        <v>7935.56</v>
      </c>
      <c r="H24688" s="5">
        <v>4298</v>
      </c>
    </row>
    <row r="24689" spans="2:8" ht="15" customHeight="1" x14ac:dyDescent="0.4">
      <c r="B24689" t="s">
        <v>7</v>
      </c>
      <c r="C24689" t="s">
        <v>3950</v>
      </c>
      <c r="D24689" s="7">
        <f>DATE(2015,9,1)</f>
        <v>42248</v>
      </c>
      <c r="E24689" s="8">
        <f t="shared" si="409"/>
        <v>2015</v>
      </c>
      <c r="F24689" t="s">
        <v>3955</v>
      </c>
      <c r="G24689" s="9">
        <v>34469.68</v>
      </c>
      <c r="H24689" s="8">
        <v>21064</v>
      </c>
    </row>
    <row r="24690" spans="2:8" ht="15" customHeight="1" x14ac:dyDescent="0.4">
      <c r="B24690" s="3" t="s">
        <v>7</v>
      </c>
      <c r="C24690" s="3" t="s">
        <v>3950</v>
      </c>
      <c r="D24690" s="4">
        <f>DATE(2011,5,25)</f>
        <v>40688</v>
      </c>
      <c r="E24690" s="5">
        <f t="shared" si="409"/>
        <v>2011</v>
      </c>
      <c r="F24690" s="3" t="s">
        <v>3955</v>
      </c>
      <c r="G24690" s="6">
        <v>35535.120000000003</v>
      </c>
      <c r="H24690" s="5">
        <v>4418</v>
      </c>
    </row>
    <row r="24691" spans="2:8" ht="15" customHeight="1" x14ac:dyDescent="0.4">
      <c r="B24691" t="s">
        <v>7</v>
      </c>
      <c r="C24691" t="s">
        <v>3956</v>
      </c>
      <c r="D24691" s="7">
        <f>DATE(2016,4,1)</f>
        <v>42461</v>
      </c>
      <c r="E24691" s="8">
        <f t="shared" si="409"/>
        <v>2016</v>
      </c>
      <c r="F24691" t="s">
        <v>3957</v>
      </c>
      <c r="G24691" s="9">
        <v>26572</v>
      </c>
      <c r="H24691" s="8">
        <v>22230</v>
      </c>
    </row>
    <row r="24692" spans="2:8" ht="15" customHeight="1" x14ac:dyDescent="0.4">
      <c r="B24692" t="s">
        <v>7</v>
      </c>
      <c r="C24692" t="s">
        <v>3956</v>
      </c>
      <c r="D24692" s="7">
        <f>DATE(2016,4,1)</f>
        <v>42461</v>
      </c>
      <c r="E24692" s="8">
        <f t="shared" si="409"/>
        <v>2016</v>
      </c>
      <c r="F24692" t="s">
        <v>3957</v>
      </c>
      <c r="G24692" s="9">
        <v>168400.06</v>
      </c>
      <c r="H24692" s="8">
        <v>22258</v>
      </c>
    </row>
    <row r="24693" spans="2:8" ht="15" customHeight="1" x14ac:dyDescent="0.4">
      <c r="B24693" t="s">
        <v>7</v>
      </c>
      <c r="C24693" t="s">
        <v>3958</v>
      </c>
      <c r="D24693" s="7">
        <f>DATE(2016,3,10)</f>
        <v>42439</v>
      </c>
      <c r="E24693" s="8">
        <f t="shared" si="409"/>
        <v>2016</v>
      </c>
      <c r="F24693" t="s">
        <v>3959</v>
      </c>
      <c r="G24693" s="9">
        <v>1529.05</v>
      </c>
      <c r="H24693" s="8">
        <v>22154</v>
      </c>
    </row>
    <row r="24694" spans="2:8" ht="15" customHeight="1" x14ac:dyDescent="0.4">
      <c r="B24694" t="s">
        <v>7</v>
      </c>
      <c r="C24694" t="s">
        <v>3958</v>
      </c>
      <c r="D24694" s="7">
        <f>DATE(2010,1,11)</f>
        <v>40189</v>
      </c>
      <c r="E24694" s="8">
        <f t="shared" si="409"/>
        <v>2010</v>
      </c>
      <c r="F24694" t="s">
        <v>3959</v>
      </c>
      <c r="G24694" s="9">
        <v>1340.76</v>
      </c>
      <c r="H24694" s="8">
        <v>9307</v>
      </c>
    </row>
    <row r="24695" spans="2:8" ht="15" customHeight="1" x14ac:dyDescent="0.4">
      <c r="B24695" t="s">
        <v>7</v>
      </c>
      <c r="C24695" t="s">
        <v>3958</v>
      </c>
      <c r="D24695" s="7">
        <f>DATE(2014,5,21)</f>
        <v>41780</v>
      </c>
      <c r="E24695" s="8">
        <f t="shared" si="409"/>
        <v>2014</v>
      </c>
      <c r="F24695" t="s">
        <v>3959</v>
      </c>
      <c r="G24695" s="9">
        <v>1095.99</v>
      </c>
      <c r="H24695" s="8">
        <v>13160</v>
      </c>
    </row>
    <row r="24696" spans="2:8" ht="15" customHeight="1" x14ac:dyDescent="0.4">
      <c r="B24696" s="3" t="s">
        <v>7</v>
      </c>
      <c r="C24696" s="3" t="s">
        <v>3958</v>
      </c>
      <c r="D24696" s="4">
        <f>DATE(2008,12,1)</f>
        <v>39783</v>
      </c>
      <c r="E24696" s="5">
        <f t="shared" si="409"/>
        <v>2008</v>
      </c>
      <c r="F24696" s="3" t="s">
        <v>3959</v>
      </c>
      <c r="G24696" s="6">
        <v>183.69</v>
      </c>
      <c r="H24696" s="5">
        <v>11590</v>
      </c>
    </row>
    <row r="24697" spans="2:8" ht="15" customHeight="1" x14ac:dyDescent="0.4">
      <c r="B24697" s="3" t="s">
        <v>7</v>
      </c>
      <c r="C24697" s="3" t="s">
        <v>3958</v>
      </c>
      <c r="D24697" s="4">
        <f>DATE(2012,7,27)</f>
        <v>41117</v>
      </c>
      <c r="E24697" s="5">
        <f t="shared" si="409"/>
        <v>2012</v>
      </c>
      <c r="F24697" s="3" t="s">
        <v>3959</v>
      </c>
      <c r="G24697" s="6">
        <v>1403.27</v>
      </c>
      <c r="H24697" s="5">
        <v>17404</v>
      </c>
    </row>
    <row r="24698" spans="2:8" ht="15" customHeight="1" x14ac:dyDescent="0.4">
      <c r="B24698" s="3" t="s">
        <v>7</v>
      </c>
      <c r="C24698" s="3" t="s">
        <v>3958</v>
      </c>
      <c r="D24698" s="4">
        <f>DATE(2012,8,24)</f>
        <v>41145</v>
      </c>
      <c r="E24698" s="5">
        <f t="shared" si="409"/>
        <v>2012</v>
      </c>
      <c r="F24698" s="3" t="s">
        <v>3959</v>
      </c>
      <c r="G24698" s="6">
        <v>4005.68</v>
      </c>
      <c r="H24698" s="5">
        <v>17498</v>
      </c>
    </row>
    <row r="24699" spans="2:8" ht="15" customHeight="1" x14ac:dyDescent="0.4">
      <c r="B24699" s="3" t="s">
        <v>7</v>
      </c>
      <c r="C24699" s="3" t="s">
        <v>3958</v>
      </c>
      <c r="D24699" s="4">
        <f>DATE(2013,1,24)</f>
        <v>41298</v>
      </c>
      <c r="E24699" s="5">
        <f t="shared" si="409"/>
        <v>2013</v>
      </c>
      <c r="F24699" s="3" t="s">
        <v>3959</v>
      </c>
      <c r="G24699" s="6">
        <v>478.2</v>
      </c>
      <c r="H24699" s="5">
        <v>18029</v>
      </c>
    </row>
    <row r="24700" spans="2:8" ht="15" customHeight="1" x14ac:dyDescent="0.4">
      <c r="B24700" s="3" t="s">
        <v>7</v>
      </c>
      <c r="C24700" s="3" t="s">
        <v>3958</v>
      </c>
      <c r="D24700" s="4">
        <f>DATE(2013,2,6)</f>
        <v>41311</v>
      </c>
      <c r="E24700" s="5">
        <f t="shared" si="409"/>
        <v>2013</v>
      </c>
      <c r="F24700" s="3" t="s">
        <v>3959</v>
      </c>
      <c r="G24700" s="6">
        <v>54.07</v>
      </c>
      <c r="H24700" s="5">
        <v>18121</v>
      </c>
    </row>
    <row r="24701" spans="2:8" ht="15" customHeight="1" x14ac:dyDescent="0.4">
      <c r="B24701" s="3" t="s">
        <v>7</v>
      </c>
      <c r="C24701" s="3" t="s">
        <v>3958</v>
      </c>
      <c r="D24701" s="4">
        <f>DATE(2013,10,23)</f>
        <v>41570</v>
      </c>
      <c r="E24701" s="5">
        <f t="shared" si="409"/>
        <v>2013</v>
      </c>
      <c r="F24701" s="3" t="s">
        <v>3959</v>
      </c>
      <c r="G24701" s="6">
        <v>109.55</v>
      </c>
      <c r="H24701" s="5">
        <v>19111</v>
      </c>
    </row>
    <row r="24702" spans="2:8" ht="15" customHeight="1" x14ac:dyDescent="0.4">
      <c r="B24702" t="s">
        <v>7</v>
      </c>
      <c r="C24702" t="s">
        <v>3958</v>
      </c>
      <c r="D24702" s="7">
        <f>DATE(2003,6,26)</f>
        <v>37798</v>
      </c>
      <c r="E24702" s="8">
        <f t="shared" si="409"/>
        <v>2003</v>
      </c>
      <c r="F24702" t="s">
        <v>3960</v>
      </c>
      <c r="G24702" s="9">
        <v>9476.7800000000007</v>
      </c>
      <c r="H24702" s="8">
        <v>699</v>
      </c>
    </row>
    <row r="24703" spans="2:8" ht="15" customHeight="1" x14ac:dyDescent="0.4">
      <c r="B24703" t="s">
        <v>7</v>
      </c>
      <c r="C24703" t="s">
        <v>3958</v>
      </c>
      <c r="D24703" s="7">
        <f>DATE(2003,9,10)</f>
        <v>37874</v>
      </c>
      <c r="E24703" s="8">
        <f t="shared" si="409"/>
        <v>2003</v>
      </c>
      <c r="F24703" t="s">
        <v>3960</v>
      </c>
      <c r="G24703" s="9">
        <v>1401.35</v>
      </c>
      <c r="H24703" s="8">
        <v>869</v>
      </c>
    </row>
    <row r="24704" spans="2:8" ht="15" customHeight="1" x14ac:dyDescent="0.4">
      <c r="B24704" t="s">
        <v>7</v>
      </c>
      <c r="C24704" t="s">
        <v>3958</v>
      </c>
      <c r="D24704" s="7">
        <f>DATE(2006,4,12)</f>
        <v>38819</v>
      </c>
      <c r="E24704" s="8">
        <f t="shared" si="409"/>
        <v>2006</v>
      </c>
      <c r="F24704" t="s">
        <v>3960</v>
      </c>
      <c r="G24704" s="9">
        <v>7782.1</v>
      </c>
      <c r="H24704" s="8">
        <v>4476</v>
      </c>
    </row>
    <row r="24705" spans="2:8" ht="15" customHeight="1" x14ac:dyDescent="0.4">
      <c r="B24705" t="s">
        <v>7</v>
      </c>
      <c r="C24705" t="s">
        <v>3958</v>
      </c>
      <c r="D24705" s="7">
        <f>DATE(2003,1,23)</f>
        <v>37644</v>
      </c>
      <c r="E24705" s="8">
        <f t="shared" si="409"/>
        <v>2003</v>
      </c>
      <c r="F24705" t="s">
        <v>3961</v>
      </c>
      <c r="G24705" s="9">
        <v>11316.81</v>
      </c>
      <c r="H24705" s="8">
        <v>52</v>
      </c>
    </row>
    <row r="24706" spans="2:8" ht="15" customHeight="1" x14ac:dyDescent="0.4">
      <c r="B24706" s="3" t="s">
        <v>7</v>
      </c>
      <c r="C24706" s="3" t="s">
        <v>3958</v>
      </c>
      <c r="D24706" s="4">
        <f>DATE(2003,1,27)</f>
        <v>37648</v>
      </c>
      <c r="E24706" s="5">
        <f t="shared" si="409"/>
        <v>2003</v>
      </c>
      <c r="F24706" s="3" t="s">
        <v>3961</v>
      </c>
      <c r="G24706" s="6">
        <v>97.51</v>
      </c>
      <c r="H24706" s="5">
        <v>66</v>
      </c>
    </row>
    <row r="24707" spans="2:8" ht="15" customHeight="1" x14ac:dyDescent="0.4">
      <c r="B24707" t="s">
        <v>7</v>
      </c>
      <c r="C24707" t="s">
        <v>3962</v>
      </c>
      <c r="D24707" s="7">
        <f>DATE(2008,2,1)</f>
        <v>39479</v>
      </c>
      <c r="E24707" s="8">
        <f t="shared" ref="E24707:E24770" si="410">YEAR(D24707)</f>
        <v>2008</v>
      </c>
      <c r="F24707" t="s">
        <v>3963</v>
      </c>
      <c r="G24707" s="9">
        <v>4882.25</v>
      </c>
      <c r="H24707" s="8">
        <v>6827</v>
      </c>
    </row>
    <row r="24708" spans="2:8" ht="15" customHeight="1" x14ac:dyDescent="0.4">
      <c r="B24708" t="s">
        <v>7</v>
      </c>
      <c r="C24708" t="s">
        <v>3962</v>
      </c>
      <c r="D24708" s="7">
        <f>DATE(2008,2,1)</f>
        <v>39479</v>
      </c>
      <c r="E24708" s="8">
        <f t="shared" si="410"/>
        <v>2008</v>
      </c>
      <c r="F24708" t="s">
        <v>3963</v>
      </c>
      <c r="G24708" s="9">
        <v>1730</v>
      </c>
      <c r="H24708" s="8">
        <v>6876</v>
      </c>
    </row>
    <row r="24709" spans="2:8" ht="15" customHeight="1" x14ac:dyDescent="0.4">
      <c r="B24709" t="s">
        <v>16</v>
      </c>
      <c r="C24709" t="s">
        <v>3962</v>
      </c>
      <c r="D24709" s="7">
        <f>DATE(2008,4,1)</f>
        <v>39539</v>
      </c>
      <c r="E24709" s="8">
        <f t="shared" si="410"/>
        <v>2008</v>
      </c>
      <c r="F24709" t="s">
        <v>3963</v>
      </c>
      <c r="G24709" s="9">
        <v>1097.5</v>
      </c>
      <c r="H24709" s="8">
        <v>7349</v>
      </c>
    </row>
    <row r="24710" spans="2:8" ht="15" customHeight="1" x14ac:dyDescent="0.4">
      <c r="B24710" t="s">
        <v>16</v>
      </c>
      <c r="C24710" t="s">
        <v>3962</v>
      </c>
      <c r="D24710" s="7">
        <f>DATE(2008,4,1)</f>
        <v>39539</v>
      </c>
      <c r="E24710" s="8">
        <f t="shared" si="410"/>
        <v>2008</v>
      </c>
      <c r="F24710" t="s">
        <v>3963</v>
      </c>
      <c r="G24710" s="9">
        <v>882.19</v>
      </c>
      <c r="H24710" s="8">
        <v>7350</v>
      </c>
    </row>
    <row r="24711" spans="2:8" ht="15" customHeight="1" x14ac:dyDescent="0.4">
      <c r="B24711" s="3" t="s">
        <v>7</v>
      </c>
      <c r="C24711" s="3" t="s">
        <v>3964</v>
      </c>
      <c r="D24711" s="4">
        <f>DATE(2009,3,3)</f>
        <v>39875</v>
      </c>
      <c r="E24711" s="5">
        <f t="shared" si="410"/>
        <v>2009</v>
      </c>
      <c r="F24711" s="3" t="s">
        <v>3965</v>
      </c>
      <c r="G24711" s="6">
        <v>9201.25</v>
      </c>
      <c r="H24711" s="5">
        <v>3000</v>
      </c>
    </row>
    <row r="24712" spans="2:8" ht="15" customHeight="1" x14ac:dyDescent="0.4">
      <c r="B24712" s="3" t="s">
        <v>7</v>
      </c>
      <c r="C24712" s="3" t="s">
        <v>3964</v>
      </c>
      <c r="D24712" s="4">
        <f>DATE(2009,7,9)</f>
        <v>40003</v>
      </c>
      <c r="E24712" s="5">
        <f t="shared" si="410"/>
        <v>2009</v>
      </c>
      <c r="F24712" s="3" t="s">
        <v>3965</v>
      </c>
      <c r="G24712" s="6">
        <v>9250</v>
      </c>
      <c r="H24712" s="5">
        <v>3495</v>
      </c>
    </row>
    <row r="24713" spans="2:8" ht="15" customHeight="1" x14ac:dyDescent="0.4">
      <c r="B24713" s="3" t="s">
        <v>16</v>
      </c>
      <c r="C24713" s="3" t="s">
        <v>3964</v>
      </c>
      <c r="D24713" s="4">
        <f>DATE(2009,3,3)</f>
        <v>39875</v>
      </c>
      <c r="E24713" s="5">
        <f t="shared" si="410"/>
        <v>2009</v>
      </c>
      <c r="F24713" s="3" t="s">
        <v>3965</v>
      </c>
      <c r="G24713" s="6">
        <v>701.25</v>
      </c>
      <c r="H24713" s="5">
        <v>3383</v>
      </c>
    </row>
    <row r="24714" spans="2:8" ht="15" customHeight="1" x14ac:dyDescent="0.4">
      <c r="B24714" t="s">
        <v>7</v>
      </c>
      <c r="C24714" t="s">
        <v>3966</v>
      </c>
      <c r="D24714" s="7">
        <f>DATE(2005,5,27)</f>
        <v>38499</v>
      </c>
      <c r="E24714" s="8">
        <f t="shared" si="410"/>
        <v>2005</v>
      </c>
      <c r="F24714" t="s">
        <v>3967</v>
      </c>
      <c r="G24714" s="9">
        <v>12132</v>
      </c>
      <c r="H24714" s="8">
        <v>3075</v>
      </c>
    </row>
    <row r="24715" spans="2:8" ht="15" customHeight="1" x14ac:dyDescent="0.4">
      <c r="B24715" t="s">
        <v>7</v>
      </c>
      <c r="C24715" t="s">
        <v>3966</v>
      </c>
      <c r="D24715" s="7">
        <f>DATE(2005,9,30)</f>
        <v>38625</v>
      </c>
      <c r="E24715" s="8">
        <f t="shared" si="410"/>
        <v>2005</v>
      </c>
      <c r="F24715" t="s">
        <v>3967</v>
      </c>
      <c r="G24715" s="9">
        <v>7544.3</v>
      </c>
      <c r="H24715" s="8">
        <v>3616</v>
      </c>
    </row>
    <row r="24716" spans="2:8" ht="15" customHeight="1" x14ac:dyDescent="0.4">
      <c r="B24716" t="s">
        <v>7</v>
      </c>
      <c r="C24716" t="s">
        <v>3966</v>
      </c>
      <c r="D24716" s="7">
        <f>DATE(2006,4,29)</f>
        <v>38836</v>
      </c>
      <c r="E24716" s="8">
        <f t="shared" si="410"/>
        <v>2006</v>
      </c>
      <c r="F24716" t="s">
        <v>3967</v>
      </c>
      <c r="G24716" s="9">
        <v>8545.56</v>
      </c>
      <c r="H24716" s="8">
        <v>4529</v>
      </c>
    </row>
    <row r="24717" spans="2:8" ht="15" customHeight="1" x14ac:dyDescent="0.4">
      <c r="B24717" s="3" t="s">
        <v>7</v>
      </c>
      <c r="C24717" s="3" t="s">
        <v>3966</v>
      </c>
      <c r="D24717" s="4">
        <f>DATE(2003,11,22)</f>
        <v>37947</v>
      </c>
      <c r="E24717" s="5">
        <f t="shared" si="410"/>
        <v>2003</v>
      </c>
      <c r="F24717" s="3" t="s">
        <v>3967</v>
      </c>
      <c r="G24717" s="6">
        <v>936.1</v>
      </c>
      <c r="H24717" s="5">
        <v>1812</v>
      </c>
    </row>
    <row r="24718" spans="2:8" ht="15" customHeight="1" x14ac:dyDescent="0.4">
      <c r="B24718" s="3" t="s">
        <v>7</v>
      </c>
      <c r="C24718" s="3" t="s">
        <v>3966</v>
      </c>
      <c r="D24718" s="4">
        <f>DATE(2004,4,1)</f>
        <v>38078</v>
      </c>
      <c r="E24718" s="5">
        <f t="shared" si="410"/>
        <v>2004</v>
      </c>
      <c r="F24718" s="3" t="s">
        <v>3967</v>
      </c>
      <c r="G24718" s="6">
        <v>1128.5</v>
      </c>
      <c r="H24718" s="5">
        <v>2462</v>
      </c>
    </row>
    <row r="24719" spans="2:8" ht="15" customHeight="1" x14ac:dyDescent="0.4">
      <c r="B24719" s="3" t="s">
        <v>7</v>
      </c>
      <c r="C24719" s="3" t="s">
        <v>3966</v>
      </c>
      <c r="D24719" s="4">
        <f>DATE(2004,9,3)</f>
        <v>38233</v>
      </c>
      <c r="E24719" s="5">
        <f t="shared" si="410"/>
        <v>2004</v>
      </c>
      <c r="F24719" s="3" t="s">
        <v>3967</v>
      </c>
      <c r="G24719" s="6">
        <v>2606.3000000000002</v>
      </c>
      <c r="H24719" s="5">
        <v>3326</v>
      </c>
    </row>
    <row r="24720" spans="2:8" ht="15" customHeight="1" x14ac:dyDescent="0.4">
      <c r="B24720" s="3" t="s">
        <v>7</v>
      </c>
      <c r="C24720" s="3" t="s">
        <v>3966</v>
      </c>
      <c r="D24720" s="4">
        <f>DATE(2006,12,18)</f>
        <v>39069</v>
      </c>
      <c r="E24720" s="5">
        <f t="shared" si="410"/>
        <v>2006</v>
      </c>
      <c r="F24720" s="3" t="s">
        <v>3967</v>
      </c>
      <c r="G24720" s="6">
        <v>1194.08</v>
      </c>
      <c r="H24720" s="5">
        <v>7642</v>
      </c>
    </row>
    <row r="24721" spans="2:8" ht="15" customHeight="1" x14ac:dyDescent="0.4">
      <c r="B24721" s="3" t="s">
        <v>7</v>
      </c>
      <c r="C24721" s="3" t="s">
        <v>3968</v>
      </c>
      <c r="D24721" s="4">
        <f>DATE(2009,1,12)</f>
        <v>39825</v>
      </c>
      <c r="E24721" s="5">
        <f t="shared" si="410"/>
        <v>2009</v>
      </c>
      <c r="F24721" s="3" t="s">
        <v>3969</v>
      </c>
      <c r="G24721" s="6">
        <v>1045.55</v>
      </c>
      <c r="H24721" s="5">
        <v>11786</v>
      </c>
    </row>
    <row r="24722" spans="2:8" ht="15" customHeight="1" x14ac:dyDescent="0.4">
      <c r="B24722" s="3" t="s">
        <v>7</v>
      </c>
      <c r="C24722" s="3" t="s">
        <v>3968</v>
      </c>
      <c r="D24722" s="4">
        <f>DATE(2009,1,14)</f>
        <v>39827</v>
      </c>
      <c r="E24722" s="5">
        <f t="shared" si="410"/>
        <v>2009</v>
      </c>
      <c r="F24722" s="3" t="s">
        <v>3969</v>
      </c>
      <c r="G24722" s="6">
        <v>2557.9</v>
      </c>
      <c r="H24722" s="5">
        <v>11821</v>
      </c>
    </row>
    <row r="24723" spans="2:8" ht="15" customHeight="1" x14ac:dyDescent="0.4">
      <c r="B24723" t="s">
        <v>7</v>
      </c>
      <c r="C24723" t="s">
        <v>3970</v>
      </c>
      <c r="D24723" s="7">
        <f>DATE(2005,1,19)</f>
        <v>38371</v>
      </c>
      <c r="E24723" s="8">
        <f t="shared" si="410"/>
        <v>2005</v>
      </c>
      <c r="F24723" t="s">
        <v>3971</v>
      </c>
      <c r="G24723" s="9">
        <v>4438.49</v>
      </c>
      <c r="H24723" s="8">
        <v>2635</v>
      </c>
    </row>
    <row r="24724" spans="2:8" ht="15" customHeight="1" x14ac:dyDescent="0.4">
      <c r="B24724" s="3" t="s">
        <v>7</v>
      </c>
      <c r="C24724" s="3" t="s">
        <v>3972</v>
      </c>
      <c r="D24724" s="4">
        <f>DATE(2007,8,15)</f>
        <v>39309</v>
      </c>
      <c r="E24724" s="5">
        <f t="shared" si="410"/>
        <v>2007</v>
      </c>
      <c r="F24724" s="3" t="s">
        <v>3973</v>
      </c>
      <c r="G24724" s="6">
        <v>17865.5</v>
      </c>
      <c r="H24724" s="5">
        <v>7569</v>
      </c>
    </row>
    <row r="24725" spans="2:8" ht="15" customHeight="1" x14ac:dyDescent="0.4">
      <c r="B24725" s="3" t="s">
        <v>7</v>
      </c>
      <c r="C24725" s="3" t="s">
        <v>3972</v>
      </c>
      <c r="D24725" s="4">
        <f>DATE(2008,12,29)</f>
        <v>39811</v>
      </c>
      <c r="E24725" s="5">
        <f t="shared" si="410"/>
        <v>2008</v>
      </c>
      <c r="F24725" s="3" t="s">
        <v>3973</v>
      </c>
      <c r="G24725" s="6">
        <v>760</v>
      </c>
      <c r="H24725" s="5">
        <v>11286</v>
      </c>
    </row>
    <row r="24726" spans="2:8" ht="15" customHeight="1" x14ac:dyDescent="0.4">
      <c r="B24726" t="s">
        <v>7</v>
      </c>
      <c r="C24726" t="s">
        <v>3974</v>
      </c>
      <c r="D24726" s="7">
        <f>DATE(2018,7,10)</f>
        <v>43291</v>
      </c>
      <c r="E24726" s="8">
        <f t="shared" si="410"/>
        <v>2018</v>
      </c>
      <c r="F24726" t="s">
        <v>3975</v>
      </c>
      <c r="G24726" s="9">
        <v>4770.7700000000004</v>
      </c>
      <c r="H24726" s="8">
        <v>26312</v>
      </c>
    </row>
    <row r="24727" spans="2:8" ht="15" customHeight="1" x14ac:dyDescent="0.4">
      <c r="B24727" t="s">
        <v>7</v>
      </c>
      <c r="C24727" t="s">
        <v>3974</v>
      </c>
      <c r="D24727" s="7">
        <f>DATE(2018,7,18)</f>
        <v>43299</v>
      </c>
      <c r="E24727" s="8">
        <f t="shared" si="410"/>
        <v>2018</v>
      </c>
      <c r="F24727" t="s">
        <v>3975</v>
      </c>
      <c r="G24727" s="9">
        <v>8091.08</v>
      </c>
      <c r="H24727" s="8">
        <v>26313</v>
      </c>
    </row>
    <row r="24728" spans="2:8" ht="15" customHeight="1" x14ac:dyDescent="0.4">
      <c r="B24728" t="s">
        <v>7</v>
      </c>
      <c r="C24728" t="s">
        <v>3974</v>
      </c>
      <c r="D24728" s="7">
        <f>DATE(2018,9,10)</f>
        <v>43353</v>
      </c>
      <c r="E24728" s="8">
        <f t="shared" si="410"/>
        <v>2018</v>
      </c>
      <c r="F24728" t="s">
        <v>3975</v>
      </c>
      <c r="G24728" s="9">
        <v>11165.29</v>
      </c>
      <c r="H24728" s="8">
        <v>27493</v>
      </c>
    </row>
    <row r="24729" spans="2:8" ht="15" customHeight="1" x14ac:dyDescent="0.4">
      <c r="B24729" t="s">
        <v>7</v>
      </c>
      <c r="C24729" t="s">
        <v>3974</v>
      </c>
      <c r="D24729" s="7">
        <f>DATE(2018,9,10)</f>
        <v>43353</v>
      </c>
      <c r="E24729" s="8">
        <f t="shared" si="410"/>
        <v>2018</v>
      </c>
      <c r="F24729" t="s">
        <v>3975</v>
      </c>
      <c r="G24729" s="9">
        <v>1855.58</v>
      </c>
      <c r="H24729" s="8">
        <v>27562</v>
      </c>
    </row>
    <row r="24730" spans="2:8" ht="15" customHeight="1" x14ac:dyDescent="0.4">
      <c r="B24730" t="s">
        <v>7</v>
      </c>
      <c r="C24730" t="s">
        <v>3974</v>
      </c>
      <c r="D24730" s="7">
        <f>DATE(2018,9,19)</f>
        <v>43362</v>
      </c>
      <c r="E24730" s="8">
        <f t="shared" si="410"/>
        <v>2018</v>
      </c>
      <c r="F24730" t="s">
        <v>3975</v>
      </c>
      <c r="G24730" s="9">
        <v>3798.01</v>
      </c>
      <c r="H24730" s="8">
        <v>27591</v>
      </c>
    </row>
    <row r="24731" spans="2:8" ht="15" customHeight="1" x14ac:dyDescent="0.4">
      <c r="B24731" t="s">
        <v>7</v>
      </c>
      <c r="C24731" t="s">
        <v>3974</v>
      </c>
      <c r="D24731" s="7">
        <f>DATE(2018,9,19)</f>
        <v>43362</v>
      </c>
      <c r="E24731" s="8">
        <f t="shared" si="410"/>
        <v>2018</v>
      </c>
      <c r="F24731" t="s">
        <v>3975</v>
      </c>
      <c r="G24731" s="9">
        <v>5884.52</v>
      </c>
      <c r="H24731" s="8">
        <v>27625</v>
      </c>
    </row>
    <row r="24732" spans="2:8" ht="15" customHeight="1" x14ac:dyDescent="0.4">
      <c r="B24732" t="s">
        <v>7</v>
      </c>
      <c r="C24732" t="s">
        <v>3974</v>
      </c>
      <c r="D24732" s="7">
        <f>DATE(2018,10,5)</f>
        <v>43378</v>
      </c>
      <c r="E24732" s="8">
        <f t="shared" si="410"/>
        <v>2018</v>
      </c>
      <c r="F24732" t="s">
        <v>3975</v>
      </c>
      <c r="G24732" s="9">
        <v>7069.43</v>
      </c>
      <c r="H24732" s="8">
        <v>27701</v>
      </c>
    </row>
    <row r="24733" spans="2:8" ht="15" customHeight="1" x14ac:dyDescent="0.4">
      <c r="B24733" t="s">
        <v>7</v>
      </c>
      <c r="C24733" t="s">
        <v>3974</v>
      </c>
      <c r="D24733" s="7">
        <f>DATE(2018,10,5)</f>
        <v>43378</v>
      </c>
      <c r="E24733" s="8">
        <f t="shared" si="410"/>
        <v>2018</v>
      </c>
      <c r="F24733" t="s">
        <v>3975</v>
      </c>
      <c r="G24733" s="9">
        <v>10616.49</v>
      </c>
      <c r="H24733" s="8">
        <v>27665</v>
      </c>
    </row>
    <row r="24734" spans="2:8" ht="15" customHeight="1" x14ac:dyDescent="0.4">
      <c r="B24734" t="s">
        <v>7</v>
      </c>
      <c r="C24734" t="s">
        <v>3974</v>
      </c>
      <c r="D24734" s="7">
        <f>DATE(2018,5,23)</f>
        <v>43243</v>
      </c>
      <c r="E24734" s="8">
        <f t="shared" si="410"/>
        <v>2018</v>
      </c>
      <c r="F24734" t="s">
        <v>3975</v>
      </c>
      <c r="G24734" s="9">
        <v>24285</v>
      </c>
      <c r="H24734" s="8">
        <v>27053</v>
      </c>
    </row>
    <row r="24735" spans="2:8" ht="15" customHeight="1" x14ac:dyDescent="0.4">
      <c r="B24735" t="s">
        <v>7</v>
      </c>
      <c r="C24735" t="s">
        <v>3974</v>
      </c>
      <c r="D24735" s="7">
        <f>DATE(2018,6,15)</f>
        <v>43266</v>
      </c>
      <c r="E24735" s="8">
        <f t="shared" si="410"/>
        <v>2018</v>
      </c>
      <c r="F24735" t="s">
        <v>3975</v>
      </c>
      <c r="G24735" s="9">
        <v>16945.28</v>
      </c>
      <c r="H24735" s="8">
        <v>27184</v>
      </c>
    </row>
    <row r="24736" spans="2:8" ht="15" customHeight="1" x14ac:dyDescent="0.4">
      <c r="B24736" t="s">
        <v>7</v>
      </c>
      <c r="C24736" t="s">
        <v>3974</v>
      </c>
      <c r="D24736" s="7">
        <f>DATE(2004,2,4)</f>
        <v>38021</v>
      </c>
      <c r="E24736" s="8">
        <f t="shared" si="410"/>
        <v>2004</v>
      </c>
      <c r="F24736" t="s">
        <v>3976</v>
      </c>
      <c r="G24736" s="9">
        <v>7446.92</v>
      </c>
      <c r="H24736" s="8">
        <v>1246</v>
      </c>
    </row>
    <row r="24737" spans="2:8" ht="15" customHeight="1" x14ac:dyDescent="0.4">
      <c r="B24737" t="s">
        <v>7</v>
      </c>
      <c r="C24737" t="s">
        <v>3974</v>
      </c>
      <c r="D24737" s="7">
        <f>DATE(2004,8,11)</f>
        <v>38210</v>
      </c>
      <c r="E24737" s="8">
        <f t="shared" si="410"/>
        <v>2004</v>
      </c>
      <c r="F24737" t="s">
        <v>3976</v>
      </c>
      <c r="G24737" s="9">
        <v>5192.8999999999996</v>
      </c>
      <c r="H24737" s="8">
        <v>1971</v>
      </c>
    </row>
    <row r="24738" spans="2:8" ht="15" customHeight="1" x14ac:dyDescent="0.4">
      <c r="B24738" t="s">
        <v>7</v>
      </c>
      <c r="C24738" t="s">
        <v>3977</v>
      </c>
      <c r="D24738" s="7">
        <f>DATE(2015,4,9)</f>
        <v>42103</v>
      </c>
      <c r="E24738" s="8">
        <f t="shared" si="410"/>
        <v>2015</v>
      </c>
      <c r="F24738" t="s">
        <v>3978</v>
      </c>
      <c r="G24738" s="9">
        <v>39932.559999999998</v>
      </c>
      <c r="H24738" s="8">
        <v>89</v>
      </c>
    </row>
    <row r="24739" spans="2:8" ht="15" customHeight="1" x14ac:dyDescent="0.4">
      <c r="B24739" t="s">
        <v>7</v>
      </c>
      <c r="C24739" t="s">
        <v>3977</v>
      </c>
      <c r="D24739" s="7">
        <f>DATE(2016,4,15)</f>
        <v>42475</v>
      </c>
      <c r="E24739" s="8">
        <f t="shared" si="410"/>
        <v>2016</v>
      </c>
      <c r="F24739" t="s">
        <v>3978</v>
      </c>
      <c r="G24739" s="9">
        <v>25409</v>
      </c>
      <c r="H24739" s="8">
        <v>22511</v>
      </c>
    </row>
    <row r="24740" spans="2:8" ht="15" customHeight="1" x14ac:dyDescent="0.4">
      <c r="B24740" t="s">
        <v>7</v>
      </c>
      <c r="C24740" t="s">
        <v>3977</v>
      </c>
      <c r="D24740" s="7">
        <f>DATE(2018,4,20)</f>
        <v>43210</v>
      </c>
      <c r="E24740" s="8">
        <f t="shared" si="410"/>
        <v>2018</v>
      </c>
      <c r="F24740" t="s">
        <v>3978</v>
      </c>
      <c r="G24740" s="9">
        <v>39177.69</v>
      </c>
      <c r="H24740" s="8">
        <v>26377</v>
      </c>
    </row>
    <row r="24741" spans="2:8" ht="15" customHeight="1" x14ac:dyDescent="0.4">
      <c r="B24741" t="s">
        <v>7</v>
      </c>
      <c r="C24741" t="s">
        <v>3977</v>
      </c>
      <c r="D24741" s="7">
        <f>DATE(2015,4,9)</f>
        <v>42103</v>
      </c>
      <c r="E24741" s="8">
        <f t="shared" si="410"/>
        <v>2015</v>
      </c>
      <c r="F24741" t="s">
        <v>3978</v>
      </c>
      <c r="G24741" s="9">
        <v>10812.83</v>
      </c>
      <c r="H24741" s="8">
        <v>90</v>
      </c>
    </row>
    <row r="24742" spans="2:8" ht="15" customHeight="1" x14ac:dyDescent="0.4">
      <c r="B24742" t="s">
        <v>7</v>
      </c>
      <c r="C24742" t="s">
        <v>3977</v>
      </c>
      <c r="D24742" s="7">
        <f>DATE(2012,4,27)</f>
        <v>41026</v>
      </c>
      <c r="E24742" s="8">
        <f t="shared" si="410"/>
        <v>2012</v>
      </c>
      <c r="F24742" t="s">
        <v>3978</v>
      </c>
      <c r="G24742" s="9">
        <v>1065.97</v>
      </c>
      <c r="H24742" s="8">
        <v>11537</v>
      </c>
    </row>
    <row r="24743" spans="2:8" ht="15" customHeight="1" x14ac:dyDescent="0.4">
      <c r="B24743" t="s">
        <v>7</v>
      </c>
      <c r="C24743" t="s">
        <v>3977</v>
      </c>
      <c r="D24743" s="7">
        <f>DATE(2004,4,28)</f>
        <v>38105</v>
      </c>
      <c r="E24743" s="8">
        <f t="shared" si="410"/>
        <v>2004</v>
      </c>
      <c r="F24743" t="s">
        <v>3978</v>
      </c>
      <c r="G24743" s="9">
        <v>19048</v>
      </c>
      <c r="H24743" s="8">
        <v>1700</v>
      </c>
    </row>
    <row r="24744" spans="2:8" ht="15" customHeight="1" x14ac:dyDescent="0.4">
      <c r="B24744" t="s">
        <v>7</v>
      </c>
      <c r="C24744" t="s">
        <v>3977</v>
      </c>
      <c r="D24744" s="7">
        <f>DATE(2008,4,18)</f>
        <v>39556</v>
      </c>
      <c r="E24744" s="8">
        <f t="shared" si="410"/>
        <v>2008</v>
      </c>
      <c r="F24744" t="s">
        <v>3978</v>
      </c>
      <c r="G24744" s="9">
        <v>34380.11</v>
      </c>
      <c r="H24744" s="8">
        <v>7309</v>
      </c>
    </row>
    <row r="24745" spans="2:8" ht="15" customHeight="1" x14ac:dyDescent="0.4">
      <c r="B24745" t="s">
        <v>7</v>
      </c>
      <c r="C24745" t="s">
        <v>3977</v>
      </c>
      <c r="D24745" s="7">
        <f>DATE(2010,5,6)</f>
        <v>40304</v>
      </c>
      <c r="E24745" s="8">
        <f t="shared" si="410"/>
        <v>2010</v>
      </c>
      <c r="F24745" t="s">
        <v>3978</v>
      </c>
      <c r="G24745" s="9">
        <v>1006.83</v>
      </c>
      <c r="H24745" s="8">
        <v>9618</v>
      </c>
    </row>
    <row r="24746" spans="2:8" ht="15" customHeight="1" x14ac:dyDescent="0.4">
      <c r="B24746" t="s">
        <v>7</v>
      </c>
      <c r="C24746" t="s">
        <v>3977</v>
      </c>
      <c r="D24746" s="7">
        <f>DATE(2012,3,26)</f>
        <v>40994</v>
      </c>
      <c r="E24746" s="8">
        <f t="shared" si="410"/>
        <v>2012</v>
      </c>
      <c r="F24746" t="s">
        <v>3978</v>
      </c>
      <c r="G24746" s="9">
        <v>46044.07</v>
      </c>
      <c r="H24746" s="8">
        <v>11360</v>
      </c>
    </row>
    <row r="24747" spans="2:8" ht="15" customHeight="1" x14ac:dyDescent="0.4">
      <c r="B24747" t="s">
        <v>7</v>
      </c>
      <c r="C24747" t="s">
        <v>3977</v>
      </c>
      <c r="D24747" s="7">
        <f>DATE(2013,6,25)</f>
        <v>41450</v>
      </c>
      <c r="E24747" s="8">
        <f t="shared" si="410"/>
        <v>2013</v>
      </c>
      <c r="F24747" t="s">
        <v>3978</v>
      </c>
      <c r="G24747" s="9">
        <v>7406.54</v>
      </c>
      <c r="H24747" s="8">
        <v>12525</v>
      </c>
    </row>
    <row r="24748" spans="2:8" ht="15" customHeight="1" x14ac:dyDescent="0.4">
      <c r="B24748" s="3" t="s">
        <v>7</v>
      </c>
      <c r="C24748" s="3" t="s">
        <v>3977</v>
      </c>
      <c r="D24748" s="4">
        <f>DATE(2010,5,6)</f>
        <v>40304</v>
      </c>
      <c r="E24748" s="5">
        <f t="shared" si="410"/>
        <v>2010</v>
      </c>
      <c r="F24748" s="3" t="s">
        <v>3978</v>
      </c>
      <c r="G24748" s="6">
        <v>8200</v>
      </c>
      <c r="H24748" s="5">
        <v>13716</v>
      </c>
    </row>
    <row r="24749" spans="2:8" ht="15" customHeight="1" x14ac:dyDescent="0.4">
      <c r="B24749" s="3" t="s">
        <v>7</v>
      </c>
      <c r="C24749" s="3" t="s">
        <v>3977</v>
      </c>
      <c r="D24749" s="4">
        <f>DATE(2012,3,31)</f>
        <v>40999</v>
      </c>
      <c r="E24749" s="5">
        <f t="shared" si="410"/>
        <v>2012</v>
      </c>
      <c r="F24749" s="3" t="s">
        <v>3978</v>
      </c>
      <c r="G24749" s="6">
        <v>772</v>
      </c>
      <c r="H24749" s="5">
        <v>16901</v>
      </c>
    </row>
    <row r="24750" spans="2:8" ht="15" customHeight="1" x14ac:dyDescent="0.4">
      <c r="B24750" s="3" t="s">
        <v>7</v>
      </c>
      <c r="C24750" s="3" t="s">
        <v>3977</v>
      </c>
      <c r="D24750" s="4">
        <f>DATE(2012,4,13)</f>
        <v>41012</v>
      </c>
      <c r="E24750" s="5">
        <f t="shared" si="410"/>
        <v>2012</v>
      </c>
      <c r="F24750" s="3" t="s">
        <v>3978</v>
      </c>
      <c r="G24750" s="6">
        <v>380</v>
      </c>
      <c r="H24750" s="5">
        <v>16980</v>
      </c>
    </row>
    <row r="24751" spans="2:8" ht="15" customHeight="1" x14ac:dyDescent="0.4">
      <c r="B24751" t="s">
        <v>7</v>
      </c>
      <c r="C24751" t="s">
        <v>3979</v>
      </c>
      <c r="D24751" s="7">
        <f>DATE(2003,11,1)</f>
        <v>37926</v>
      </c>
      <c r="E24751" s="8">
        <f t="shared" si="410"/>
        <v>2003</v>
      </c>
      <c r="F24751" t="s">
        <v>3980</v>
      </c>
      <c r="G24751" s="9">
        <v>4243.38</v>
      </c>
      <c r="H24751" s="8">
        <v>980</v>
      </c>
    </row>
    <row r="24752" spans="2:8" ht="15" customHeight="1" x14ac:dyDescent="0.4">
      <c r="B24752" t="s">
        <v>7</v>
      </c>
      <c r="C24752" t="s">
        <v>3979</v>
      </c>
      <c r="D24752" s="7">
        <f>DATE(2005,1,6)</f>
        <v>38358</v>
      </c>
      <c r="E24752" s="8">
        <f t="shared" si="410"/>
        <v>2005</v>
      </c>
      <c r="F24752" t="s">
        <v>3980</v>
      </c>
      <c r="G24752" s="9">
        <v>3779.8</v>
      </c>
      <c r="H24752" s="8">
        <v>2526</v>
      </c>
    </row>
    <row r="24753" spans="2:8" ht="15" customHeight="1" x14ac:dyDescent="0.4">
      <c r="B24753" s="3" t="s">
        <v>7</v>
      </c>
      <c r="C24753" s="3" t="s">
        <v>3979</v>
      </c>
      <c r="D24753" s="4">
        <f>DATE(2006,8,17)</f>
        <v>38946</v>
      </c>
      <c r="E24753" s="5">
        <f t="shared" si="410"/>
        <v>2006</v>
      </c>
      <c r="F24753" s="3" t="s">
        <v>3980</v>
      </c>
      <c r="G24753" s="6">
        <v>2370</v>
      </c>
      <c r="H24753" s="5">
        <v>7102</v>
      </c>
    </row>
    <row r="24754" spans="2:8" ht="15" customHeight="1" x14ac:dyDescent="0.4">
      <c r="B24754" s="3" t="s">
        <v>7</v>
      </c>
      <c r="C24754" s="3" t="s">
        <v>3979</v>
      </c>
      <c r="D24754" s="4">
        <f>DATE(2007,1,29)</f>
        <v>39111</v>
      </c>
      <c r="E24754" s="5">
        <f t="shared" si="410"/>
        <v>2007</v>
      </c>
      <c r="F24754" s="3" t="s">
        <v>3980</v>
      </c>
      <c r="G24754" s="6">
        <v>389</v>
      </c>
      <c r="H24754" s="5">
        <v>7837</v>
      </c>
    </row>
    <row r="24755" spans="2:8" ht="15" customHeight="1" x14ac:dyDescent="0.4">
      <c r="B24755" t="s">
        <v>7</v>
      </c>
      <c r="C24755" t="s">
        <v>3981</v>
      </c>
      <c r="D24755" s="7">
        <f>DATE(2004,5,28)</f>
        <v>38135</v>
      </c>
      <c r="E24755" s="8">
        <f t="shared" si="410"/>
        <v>2004</v>
      </c>
      <c r="F24755" t="s">
        <v>3982</v>
      </c>
      <c r="G24755" s="9">
        <v>169676.97</v>
      </c>
      <c r="H24755" s="8">
        <v>1265</v>
      </c>
    </row>
    <row r="24756" spans="2:8" ht="15" customHeight="1" x14ac:dyDescent="0.4">
      <c r="B24756" s="3" t="s">
        <v>7</v>
      </c>
      <c r="C24756" s="3" t="s">
        <v>3981</v>
      </c>
      <c r="D24756" s="4">
        <f>DATE(2003,4,11)</f>
        <v>37722</v>
      </c>
      <c r="E24756" s="5">
        <f t="shared" si="410"/>
        <v>2003</v>
      </c>
      <c r="F24756" s="3" t="s">
        <v>3982</v>
      </c>
      <c r="G24756" s="6">
        <v>1810</v>
      </c>
      <c r="H24756" s="5">
        <v>721</v>
      </c>
    </row>
    <row r="24757" spans="2:8" ht="15" customHeight="1" x14ac:dyDescent="0.4">
      <c r="B24757" s="3" t="s">
        <v>7</v>
      </c>
      <c r="C24757" s="3" t="s">
        <v>3981</v>
      </c>
      <c r="D24757" s="4">
        <f>DATE(2003,6,26)</f>
        <v>37798</v>
      </c>
      <c r="E24757" s="5">
        <f t="shared" si="410"/>
        <v>2003</v>
      </c>
      <c r="F24757" s="3" t="s">
        <v>3982</v>
      </c>
      <c r="G24757" s="6">
        <v>1958.44</v>
      </c>
      <c r="H24757" s="5">
        <v>1126</v>
      </c>
    </row>
    <row r="24758" spans="2:8" ht="15" customHeight="1" x14ac:dyDescent="0.4">
      <c r="B24758" s="3" t="s">
        <v>7</v>
      </c>
      <c r="C24758" s="3" t="s">
        <v>3981</v>
      </c>
      <c r="D24758" s="4">
        <f>DATE(2005,4,5)</f>
        <v>38447</v>
      </c>
      <c r="E24758" s="5">
        <f t="shared" si="410"/>
        <v>2005</v>
      </c>
      <c r="F24758" s="3" t="s">
        <v>3982</v>
      </c>
      <c r="G24758" s="6">
        <v>1911</v>
      </c>
      <c r="H24758" s="5">
        <v>4504</v>
      </c>
    </row>
    <row r="24759" spans="2:8" ht="15" customHeight="1" x14ac:dyDescent="0.4">
      <c r="B24759" s="3" t="s">
        <v>7</v>
      </c>
      <c r="C24759" s="3" t="s">
        <v>3981</v>
      </c>
      <c r="D24759" s="4">
        <f>DATE(2007,3,28)</f>
        <v>39169</v>
      </c>
      <c r="E24759" s="5">
        <f t="shared" si="410"/>
        <v>2007</v>
      </c>
      <c r="F24759" s="3" t="s">
        <v>3982</v>
      </c>
      <c r="G24759" s="6">
        <v>2442.0500000000002</v>
      </c>
      <c r="H24759" s="5">
        <v>8255</v>
      </c>
    </row>
    <row r="24760" spans="2:8" ht="15" customHeight="1" x14ac:dyDescent="0.4">
      <c r="B24760" t="s">
        <v>7</v>
      </c>
      <c r="C24760" t="s">
        <v>3983</v>
      </c>
      <c r="D24760" s="7">
        <f>DATE(2017,3,22)</f>
        <v>42816</v>
      </c>
      <c r="E24760" s="8">
        <f t="shared" si="410"/>
        <v>2017</v>
      </c>
      <c r="F24760" t="s">
        <v>3984</v>
      </c>
      <c r="G24760" s="9">
        <v>11750.78</v>
      </c>
      <c r="H24760" s="8">
        <v>24499</v>
      </c>
    </row>
    <row r="24761" spans="2:8" ht="15" customHeight="1" x14ac:dyDescent="0.4">
      <c r="B24761" t="s">
        <v>7</v>
      </c>
      <c r="C24761" t="s">
        <v>3983</v>
      </c>
      <c r="D24761" s="7">
        <f>DATE(2017,4,21)</f>
        <v>42846</v>
      </c>
      <c r="E24761" s="8">
        <f t="shared" si="410"/>
        <v>2017</v>
      </c>
      <c r="F24761" t="s">
        <v>3984</v>
      </c>
      <c r="G24761" s="9">
        <v>10171.82</v>
      </c>
      <c r="H24761" s="8">
        <v>24709</v>
      </c>
    </row>
    <row r="24762" spans="2:8" ht="15" customHeight="1" x14ac:dyDescent="0.4">
      <c r="B24762" t="s">
        <v>7</v>
      </c>
      <c r="C24762" t="s">
        <v>3983</v>
      </c>
      <c r="D24762" s="7">
        <f>DATE(2017,5,10)</f>
        <v>42865</v>
      </c>
      <c r="E24762" s="8">
        <f t="shared" si="410"/>
        <v>2017</v>
      </c>
      <c r="F24762" t="s">
        <v>3984</v>
      </c>
      <c r="G24762" s="9">
        <v>9872.6200000000008</v>
      </c>
      <c r="H24762" s="8">
        <v>24857</v>
      </c>
    </row>
    <row r="24763" spans="2:8" ht="15" customHeight="1" x14ac:dyDescent="0.4">
      <c r="B24763" t="s">
        <v>7</v>
      </c>
      <c r="C24763" t="s">
        <v>3983</v>
      </c>
      <c r="D24763" s="7">
        <f>DATE(2017,7,13)</f>
        <v>42929</v>
      </c>
      <c r="E24763" s="8">
        <f t="shared" si="410"/>
        <v>2017</v>
      </c>
      <c r="F24763" t="s">
        <v>3984</v>
      </c>
      <c r="G24763" s="9">
        <v>14444.25</v>
      </c>
      <c r="H24763" s="8">
        <v>25214</v>
      </c>
    </row>
    <row r="24764" spans="2:8" ht="15" customHeight="1" x14ac:dyDescent="0.4">
      <c r="B24764" t="s">
        <v>7</v>
      </c>
      <c r="C24764" t="s">
        <v>3983</v>
      </c>
      <c r="D24764" s="7">
        <f>DATE(2013,5,8)</f>
        <v>41402</v>
      </c>
      <c r="E24764" s="8">
        <f t="shared" si="410"/>
        <v>2013</v>
      </c>
      <c r="F24764" t="s">
        <v>3984</v>
      </c>
      <c r="G24764" s="9">
        <v>31100</v>
      </c>
      <c r="H24764" s="8">
        <v>12286</v>
      </c>
    </row>
    <row r="24765" spans="2:8" ht="15" customHeight="1" x14ac:dyDescent="0.4">
      <c r="B24765" t="s">
        <v>7</v>
      </c>
      <c r="C24765" t="s">
        <v>3983</v>
      </c>
      <c r="D24765" s="7">
        <f>DATE(2009,6,11)</f>
        <v>39975</v>
      </c>
      <c r="E24765" s="8">
        <f t="shared" si="410"/>
        <v>2009</v>
      </c>
      <c r="F24765" t="s">
        <v>3984</v>
      </c>
      <c r="G24765" s="9">
        <v>3900.89</v>
      </c>
      <c r="H24765" s="8">
        <v>8788</v>
      </c>
    </row>
    <row r="24766" spans="2:8" ht="15" customHeight="1" x14ac:dyDescent="0.4">
      <c r="B24766" t="s">
        <v>7</v>
      </c>
      <c r="C24766" t="s">
        <v>3983</v>
      </c>
      <c r="D24766" s="7">
        <f>DATE(2010,3,15)</f>
        <v>40252</v>
      </c>
      <c r="E24766" s="8">
        <f t="shared" si="410"/>
        <v>2010</v>
      </c>
      <c r="F24766" t="s">
        <v>3984</v>
      </c>
      <c r="G24766" s="9">
        <v>6408.85</v>
      </c>
      <c r="H24766" s="8">
        <v>9525</v>
      </c>
    </row>
    <row r="24767" spans="2:8" ht="15" customHeight="1" x14ac:dyDescent="0.4">
      <c r="B24767" t="s">
        <v>7</v>
      </c>
      <c r="C24767" t="s">
        <v>3983</v>
      </c>
      <c r="D24767" s="7">
        <f>DATE(2013,12,13)</f>
        <v>41621</v>
      </c>
      <c r="E24767" s="8">
        <f t="shared" si="410"/>
        <v>2013</v>
      </c>
      <c r="F24767" t="s">
        <v>3984</v>
      </c>
      <c r="G24767" s="9">
        <v>31972</v>
      </c>
      <c r="H24767" s="8">
        <v>12813</v>
      </c>
    </row>
    <row r="24768" spans="2:8" ht="15" customHeight="1" x14ac:dyDescent="0.4">
      <c r="B24768" t="s">
        <v>7</v>
      </c>
      <c r="C24768" t="s">
        <v>3983</v>
      </c>
      <c r="D24768" s="7">
        <f>DATE(2010,5,6)</f>
        <v>40304</v>
      </c>
      <c r="E24768" s="8">
        <f t="shared" si="410"/>
        <v>2010</v>
      </c>
      <c r="F24768" t="s">
        <v>3984</v>
      </c>
      <c r="G24768" s="9">
        <v>13868.56</v>
      </c>
      <c r="H24768" s="8">
        <v>9801</v>
      </c>
    </row>
    <row r="24769" spans="2:8" ht="15" customHeight="1" x14ac:dyDescent="0.4">
      <c r="B24769" t="s">
        <v>7</v>
      </c>
      <c r="C24769" t="s">
        <v>3983</v>
      </c>
      <c r="D24769" s="7">
        <f>DATE(2010,12,15)</f>
        <v>40527</v>
      </c>
      <c r="E24769" s="8">
        <f t="shared" si="410"/>
        <v>2010</v>
      </c>
      <c r="F24769" t="s">
        <v>3984</v>
      </c>
      <c r="G24769" s="9">
        <v>3800.16</v>
      </c>
      <c r="H24769" s="8">
        <v>10276</v>
      </c>
    </row>
    <row r="24770" spans="2:8" ht="15" customHeight="1" x14ac:dyDescent="0.4">
      <c r="B24770" t="s">
        <v>7</v>
      </c>
      <c r="C24770" t="s">
        <v>3983</v>
      </c>
      <c r="D24770" s="7">
        <f>DATE(2011,1,13)</f>
        <v>40556</v>
      </c>
      <c r="E24770" s="8">
        <f t="shared" si="410"/>
        <v>2011</v>
      </c>
      <c r="F24770" t="s">
        <v>3984</v>
      </c>
      <c r="G24770" s="9">
        <v>4766.37</v>
      </c>
      <c r="H24770" s="8">
        <v>10333</v>
      </c>
    </row>
    <row r="24771" spans="2:8" ht="15" customHeight="1" x14ac:dyDescent="0.4">
      <c r="B24771" t="s">
        <v>7</v>
      </c>
      <c r="C24771" t="s">
        <v>3983</v>
      </c>
      <c r="D24771" s="7">
        <f>DATE(2011,5,2)</f>
        <v>40665</v>
      </c>
      <c r="E24771" s="8">
        <f t="shared" ref="E24771:E24834" si="411">YEAR(D24771)</f>
        <v>2011</v>
      </c>
      <c r="F24771" t="s">
        <v>3984</v>
      </c>
      <c r="G24771" s="9">
        <v>5741.57</v>
      </c>
      <c r="H24771" s="8">
        <v>10648</v>
      </c>
    </row>
    <row r="24772" spans="2:8" ht="15" customHeight="1" x14ac:dyDescent="0.4">
      <c r="B24772" t="s">
        <v>7</v>
      </c>
      <c r="C24772" t="s">
        <v>3983</v>
      </c>
      <c r="D24772" s="7">
        <f>DATE(2011,6,15)</f>
        <v>40709</v>
      </c>
      <c r="E24772" s="8">
        <f t="shared" si="411"/>
        <v>2011</v>
      </c>
      <c r="F24772" t="s">
        <v>3984</v>
      </c>
      <c r="G24772" s="9">
        <v>4338.8100000000004</v>
      </c>
      <c r="H24772" s="8">
        <v>10780</v>
      </c>
    </row>
    <row r="24773" spans="2:8" ht="15" customHeight="1" x14ac:dyDescent="0.4">
      <c r="B24773" t="s">
        <v>7</v>
      </c>
      <c r="C24773" t="s">
        <v>3983</v>
      </c>
      <c r="D24773" s="7">
        <f>DATE(2011,7,26)</f>
        <v>40750</v>
      </c>
      <c r="E24773" s="8">
        <f t="shared" si="411"/>
        <v>2011</v>
      </c>
      <c r="F24773" t="s">
        <v>3984</v>
      </c>
      <c r="G24773" s="9">
        <v>13845.42</v>
      </c>
      <c r="H24773" s="8">
        <v>10871</v>
      </c>
    </row>
    <row r="24774" spans="2:8" ht="15" customHeight="1" x14ac:dyDescent="0.4">
      <c r="B24774" t="s">
        <v>7</v>
      </c>
      <c r="C24774" t="s">
        <v>3983</v>
      </c>
      <c r="D24774" s="7">
        <f>DATE(2011,12,13)</f>
        <v>40890</v>
      </c>
      <c r="E24774" s="8">
        <f t="shared" si="411"/>
        <v>2011</v>
      </c>
      <c r="F24774" t="s">
        <v>3984</v>
      </c>
      <c r="G24774" s="9">
        <v>6255.07</v>
      </c>
      <c r="H24774" s="8">
        <v>11083</v>
      </c>
    </row>
    <row r="24775" spans="2:8" ht="15" customHeight="1" x14ac:dyDescent="0.4">
      <c r="B24775" t="s">
        <v>7</v>
      </c>
      <c r="C24775" t="s">
        <v>3983</v>
      </c>
      <c r="D24775" s="7">
        <f>DATE(2012,5,1)</f>
        <v>41030</v>
      </c>
      <c r="E24775" s="8">
        <f t="shared" si="411"/>
        <v>2012</v>
      </c>
      <c r="F24775" t="s">
        <v>3984</v>
      </c>
      <c r="G24775" s="9">
        <v>12273.1</v>
      </c>
      <c r="H24775" s="8">
        <v>11490</v>
      </c>
    </row>
    <row r="24776" spans="2:8" ht="15" customHeight="1" x14ac:dyDescent="0.4">
      <c r="B24776" t="s">
        <v>7</v>
      </c>
      <c r="C24776" t="s">
        <v>3983</v>
      </c>
      <c r="D24776" s="7">
        <f>DATE(2013,2,1)</f>
        <v>41306</v>
      </c>
      <c r="E24776" s="8">
        <f t="shared" si="411"/>
        <v>2013</v>
      </c>
      <c r="F24776" t="s">
        <v>3984</v>
      </c>
      <c r="G24776" s="9">
        <v>7978.28</v>
      </c>
      <c r="H24776" s="8">
        <v>12110</v>
      </c>
    </row>
    <row r="24777" spans="2:8" ht="15" customHeight="1" x14ac:dyDescent="0.4">
      <c r="B24777" t="s">
        <v>7</v>
      </c>
      <c r="C24777" t="s">
        <v>3983</v>
      </c>
      <c r="D24777" s="7">
        <f>DATE(2014,2,24)</f>
        <v>41694</v>
      </c>
      <c r="E24777" s="8">
        <f t="shared" si="411"/>
        <v>2014</v>
      </c>
      <c r="F24777" t="s">
        <v>3984</v>
      </c>
      <c r="G24777" s="9">
        <v>4706.41</v>
      </c>
      <c r="H24777" s="8">
        <v>12877</v>
      </c>
    </row>
    <row r="24778" spans="2:8" ht="15" customHeight="1" x14ac:dyDescent="0.4">
      <c r="B24778" t="s">
        <v>7</v>
      </c>
      <c r="C24778" t="s">
        <v>3983</v>
      </c>
      <c r="D24778" s="7">
        <f>DATE(2014,10,29)</f>
        <v>41941</v>
      </c>
      <c r="E24778" s="8">
        <f t="shared" si="411"/>
        <v>2014</v>
      </c>
      <c r="F24778" t="s">
        <v>3984</v>
      </c>
      <c r="G24778" s="9">
        <v>5220.6400000000003</v>
      </c>
      <c r="H24778" s="8">
        <v>13536</v>
      </c>
    </row>
    <row r="24779" spans="2:8" ht="15" customHeight="1" x14ac:dyDescent="0.4">
      <c r="B24779" t="s">
        <v>7</v>
      </c>
      <c r="C24779" t="s">
        <v>3985</v>
      </c>
      <c r="D24779" s="7">
        <f>DATE(2015,3,13)</f>
        <v>42076</v>
      </c>
      <c r="E24779" s="8">
        <f t="shared" si="411"/>
        <v>2015</v>
      </c>
      <c r="F24779" t="s">
        <v>3986</v>
      </c>
      <c r="G24779" s="9">
        <v>5068.26</v>
      </c>
      <c r="H24779" s="8">
        <v>20087</v>
      </c>
    </row>
    <row r="24780" spans="2:8" ht="15" customHeight="1" x14ac:dyDescent="0.4">
      <c r="B24780" t="s">
        <v>7</v>
      </c>
      <c r="C24780" t="s">
        <v>3985</v>
      </c>
      <c r="D24780" s="7">
        <f>DATE(2017,11,30)</f>
        <v>43069</v>
      </c>
      <c r="E24780" s="8">
        <f t="shared" si="411"/>
        <v>2017</v>
      </c>
      <c r="F24780" t="s">
        <v>3986</v>
      </c>
      <c r="G24780" s="9">
        <v>2968.13</v>
      </c>
      <c r="H24780" s="8">
        <v>25948</v>
      </c>
    </row>
    <row r="24781" spans="2:8" ht="15" customHeight="1" x14ac:dyDescent="0.4">
      <c r="B24781" t="s">
        <v>7</v>
      </c>
      <c r="C24781" t="s">
        <v>3985</v>
      </c>
      <c r="D24781" s="7">
        <f>DATE(2005,12,30)</f>
        <v>38716</v>
      </c>
      <c r="E24781" s="8">
        <f t="shared" si="411"/>
        <v>2005</v>
      </c>
      <c r="F24781" t="s">
        <v>3986</v>
      </c>
      <c r="G24781" s="9">
        <v>3514.91</v>
      </c>
      <c r="H24781" s="8">
        <v>3791</v>
      </c>
    </row>
    <row r="24782" spans="2:8" ht="15" customHeight="1" x14ac:dyDescent="0.4">
      <c r="B24782" t="s">
        <v>7</v>
      </c>
      <c r="C24782" t="s">
        <v>3985</v>
      </c>
      <c r="D24782" s="7">
        <f>DATE(2006,4,4)</f>
        <v>38811</v>
      </c>
      <c r="E24782" s="8">
        <f t="shared" si="411"/>
        <v>2006</v>
      </c>
      <c r="F24782" t="s">
        <v>3986</v>
      </c>
      <c r="G24782" s="9">
        <v>3449.64</v>
      </c>
      <c r="H24782" s="8">
        <v>4404</v>
      </c>
    </row>
    <row r="24783" spans="2:8" ht="15" customHeight="1" x14ac:dyDescent="0.4">
      <c r="B24783" t="s">
        <v>7</v>
      </c>
      <c r="C24783" t="s">
        <v>3985</v>
      </c>
      <c r="D24783" s="7">
        <f>DATE(2006,4,4)</f>
        <v>38811</v>
      </c>
      <c r="E24783" s="8">
        <f t="shared" si="411"/>
        <v>2006</v>
      </c>
      <c r="F24783" t="s">
        <v>3986</v>
      </c>
      <c r="G24783" s="9">
        <v>949.64</v>
      </c>
      <c r="H24783" s="8">
        <v>4510</v>
      </c>
    </row>
    <row r="24784" spans="2:8" ht="15" customHeight="1" x14ac:dyDescent="0.4">
      <c r="B24784" t="s">
        <v>7</v>
      </c>
      <c r="C24784" t="s">
        <v>3985</v>
      </c>
      <c r="D24784" s="7">
        <f>DATE(2007,4,1)</f>
        <v>39173</v>
      </c>
      <c r="E24784" s="8">
        <f t="shared" si="411"/>
        <v>2007</v>
      </c>
      <c r="F24784" t="s">
        <v>3986</v>
      </c>
      <c r="G24784" s="9">
        <v>3611.94</v>
      </c>
      <c r="H24784" s="8">
        <v>5708</v>
      </c>
    </row>
    <row r="24785" spans="2:8" ht="15" customHeight="1" x14ac:dyDescent="0.4">
      <c r="B24785" t="s">
        <v>7</v>
      </c>
      <c r="C24785" t="s">
        <v>3985</v>
      </c>
      <c r="D24785" s="7">
        <f>DATE(2008,4,1)</f>
        <v>39539</v>
      </c>
      <c r="E24785" s="8">
        <f t="shared" si="411"/>
        <v>2008</v>
      </c>
      <c r="F24785" t="s">
        <v>3986</v>
      </c>
      <c r="G24785" s="9">
        <v>3132.71</v>
      </c>
      <c r="H24785" s="8">
        <v>7088</v>
      </c>
    </row>
    <row r="24786" spans="2:8" ht="15" customHeight="1" x14ac:dyDescent="0.4">
      <c r="B24786" t="s">
        <v>7</v>
      </c>
      <c r="C24786" t="s">
        <v>3985</v>
      </c>
      <c r="D24786" s="7">
        <f>DATE(2008,5,7)</f>
        <v>39575</v>
      </c>
      <c r="E24786" s="8">
        <f t="shared" si="411"/>
        <v>2008</v>
      </c>
      <c r="F24786" t="s">
        <v>3986</v>
      </c>
      <c r="G24786" s="9">
        <v>3012.05</v>
      </c>
      <c r="H24786" s="8">
        <v>7418</v>
      </c>
    </row>
    <row r="24787" spans="2:8" ht="15" customHeight="1" x14ac:dyDescent="0.4">
      <c r="B24787" t="s">
        <v>16</v>
      </c>
      <c r="C24787" t="s">
        <v>3985</v>
      </c>
      <c r="D24787" s="7">
        <f>DATE(2006,4,4)</f>
        <v>38811</v>
      </c>
      <c r="E24787" s="8">
        <f t="shared" si="411"/>
        <v>2006</v>
      </c>
      <c r="F24787" t="s">
        <v>3986</v>
      </c>
      <c r="G24787" s="9">
        <v>949.64</v>
      </c>
      <c r="H24787" s="8">
        <v>4508</v>
      </c>
    </row>
    <row r="24788" spans="2:8" ht="15" customHeight="1" x14ac:dyDescent="0.4">
      <c r="B24788" s="3" t="s">
        <v>7</v>
      </c>
      <c r="C24788" s="3" t="s">
        <v>3985</v>
      </c>
      <c r="D24788" s="4">
        <f>DATE(2005,11,25)</f>
        <v>38681</v>
      </c>
      <c r="E24788" s="5">
        <f t="shared" si="411"/>
        <v>2005</v>
      </c>
      <c r="F24788" s="3" t="s">
        <v>3986</v>
      </c>
      <c r="G24788" s="6">
        <v>68</v>
      </c>
      <c r="H24788" s="5">
        <v>5626</v>
      </c>
    </row>
    <row r="24789" spans="2:8" ht="15" customHeight="1" x14ac:dyDescent="0.4">
      <c r="B24789" s="3" t="s">
        <v>7</v>
      </c>
      <c r="C24789" s="3" t="s">
        <v>3985</v>
      </c>
      <c r="D24789" s="4">
        <f>DATE(2006,1,11)</f>
        <v>38728</v>
      </c>
      <c r="E24789" s="5">
        <f t="shared" si="411"/>
        <v>2006</v>
      </c>
      <c r="F24789" s="3" t="s">
        <v>3986</v>
      </c>
      <c r="G24789" s="6">
        <v>389</v>
      </c>
      <c r="H24789" s="5">
        <v>5823</v>
      </c>
    </row>
    <row r="24790" spans="2:8" ht="15" customHeight="1" x14ac:dyDescent="0.4">
      <c r="B24790" s="3" t="s">
        <v>7</v>
      </c>
      <c r="C24790" s="3" t="s">
        <v>3985</v>
      </c>
      <c r="D24790" s="4">
        <f>DATE(2006,4,4)</f>
        <v>38811</v>
      </c>
      <c r="E24790" s="5">
        <f t="shared" si="411"/>
        <v>2006</v>
      </c>
      <c r="F24790" s="3" t="s">
        <v>3986</v>
      </c>
      <c r="G24790" s="6">
        <v>2050</v>
      </c>
      <c r="H24790" s="5">
        <v>6413</v>
      </c>
    </row>
    <row r="24791" spans="2:8" ht="15" customHeight="1" x14ac:dyDescent="0.4">
      <c r="B24791" s="3" t="s">
        <v>7</v>
      </c>
      <c r="C24791" s="3" t="s">
        <v>3985</v>
      </c>
      <c r="D24791" s="4">
        <f>DATE(2006,4,26)</f>
        <v>38833</v>
      </c>
      <c r="E24791" s="5">
        <f t="shared" si="411"/>
        <v>2006</v>
      </c>
      <c r="F24791" s="3" t="s">
        <v>3986</v>
      </c>
      <c r="G24791" s="6">
        <v>1639.81</v>
      </c>
      <c r="H24791" s="5">
        <v>6624</v>
      </c>
    </row>
    <row r="24792" spans="2:8" ht="15" customHeight="1" x14ac:dyDescent="0.4">
      <c r="B24792" s="3" t="s">
        <v>7</v>
      </c>
      <c r="C24792" s="3" t="s">
        <v>3985</v>
      </c>
      <c r="D24792" s="4">
        <f>DATE(2006,7,28)</f>
        <v>38926</v>
      </c>
      <c r="E24792" s="5">
        <f t="shared" si="411"/>
        <v>2006</v>
      </c>
      <c r="F24792" s="3" t="s">
        <v>3986</v>
      </c>
      <c r="G24792" s="6">
        <v>480</v>
      </c>
      <c r="H24792" s="5">
        <v>7001</v>
      </c>
    </row>
    <row r="24793" spans="2:8" ht="15" customHeight="1" x14ac:dyDescent="0.4">
      <c r="B24793" s="3" t="s">
        <v>7</v>
      </c>
      <c r="C24793" s="3" t="s">
        <v>3985</v>
      </c>
      <c r="D24793" s="4">
        <f>DATE(2007,3,14)</f>
        <v>39155</v>
      </c>
      <c r="E24793" s="5">
        <f t="shared" si="411"/>
        <v>2007</v>
      </c>
      <c r="F24793" s="3" t="s">
        <v>3986</v>
      </c>
      <c r="G24793" s="6">
        <v>1040</v>
      </c>
      <c r="H24793" s="5">
        <v>8143</v>
      </c>
    </row>
    <row r="24794" spans="2:8" ht="15" customHeight="1" x14ac:dyDescent="0.4">
      <c r="B24794" s="3" t="s">
        <v>7</v>
      </c>
      <c r="C24794" s="3" t="s">
        <v>3985</v>
      </c>
      <c r="D24794" s="4">
        <f>DATE(2007,5,9)</f>
        <v>39211</v>
      </c>
      <c r="E24794" s="5">
        <f t="shared" si="411"/>
        <v>2007</v>
      </c>
      <c r="F24794" s="3" t="s">
        <v>3986</v>
      </c>
      <c r="G24794" s="6">
        <v>864</v>
      </c>
      <c r="H24794" s="5">
        <v>8543</v>
      </c>
    </row>
    <row r="24795" spans="2:8" ht="15" customHeight="1" x14ac:dyDescent="0.4">
      <c r="B24795" s="3" t="s">
        <v>7</v>
      </c>
      <c r="C24795" s="3" t="s">
        <v>3985</v>
      </c>
      <c r="D24795" s="4">
        <f>DATE(2008,3,5)</f>
        <v>39512</v>
      </c>
      <c r="E24795" s="5">
        <f t="shared" si="411"/>
        <v>2008</v>
      </c>
      <c r="F24795" s="3" t="s">
        <v>3986</v>
      </c>
      <c r="G24795" s="6">
        <v>4510</v>
      </c>
      <c r="H24795" s="5">
        <v>10116</v>
      </c>
    </row>
    <row r="24796" spans="2:8" ht="15" customHeight="1" x14ac:dyDescent="0.4">
      <c r="B24796" s="3" t="s">
        <v>7</v>
      </c>
      <c r="C24796" s="3" t="s">
        <v>3985</v>
      </c>
      <c r="D24796" s="4">
        <f>DATE(2008,5,7)</f>
        <v>39575</v>
      </c>
      <c r="E24796" s="5">
        <f t="shared" si="411"/>
        <v>2008</v>
      </c>
      <c r="F24796" s="3" t="s">
        <v>3986</v>
      </c>
      <c r="G24796" s="6">
        <v>4510</v>
      </c>
      <c r="H24796" s="5">
        <v>10624</v>
      </c>
    </row>
    <row r="24797" spans="2:8" ht="15" customHeight="1" x14ac:dyDescent="0.4">
      <c r="B24797" s="3" t="s">
        <v>7</v>
      </c>
      <c r="C24797" s="3" t="s">
        <v>3985</v>
      </c>
      <c r="D24797" s="4">
        <f>DATE(2008,10,8)</f>
        <v>39729</v>
      </c>
      <c r="E24797" s="5">
        <f t="shared" si="411"/>
        <v>2008</v>
      </c>
      <c r="F24797" s="3" t="s">
        <v>3986</v>
      </c>
      <c r="G24797" s="6">
        <v>2378.91</v>
      </c>
      <c r="H24797" s="5">
        <v>11375</v>
      </c>
    </row>
    <row r="24798" spans="2:8" ht="15" customHeight="1" x14ac:dyDescent="0.4">
      <c r="B24798" s="3" t="s">
        <v>7</v>
      </c>
      <c r="C24798" s="3" t="s">
        <v>3985</v>
      </c>
      <c r="D24798" s="4">
        <f>DATE(2010,12,10)</f>
        <v>40522</v>
      </c>
      <c r="E24798" s="5">
        <f t="shared" si="411"/>
        <v>2010</v>
      </c>
      <c r="F24798" s="3" t="s">
        <v>3986</v>
      </c>
      <c r="G24798" s="6">
        <v>1083.3699999999999</v>
      </c>
      <c r="H24798" s="5">
        <v>14817</v>
      </c>
    </row>
    <row r="24799" spans="2:8" ht="15" customHeight="1" x14ac:dyDescent="0.4">
      <c r="B24799" s="3" t="s">
        <v>7</v>
      </c>
      <c r="C24799" s="3" t="s">
        <v>3985</v>
      </c>
      <c r="D24799" s="4">
        <f>DATE(2011,7,28)</f>
        <v>40752</v>
      </c>
      <c r="E24799" s="5">
        <f t="shared" si="411"/>
        <v>2011</v>
      </c>
      <c r="F24799" s="3" t="s">
        <v>3986</v>
      </c>
      <c r="G24799" s="6">
        <v>962</v>
      </c>
      <c r="H24799" s="5">
        <v>15813</v>
      </c>
    </row>
    <row r="24800" spans="2:8" ht="15" customHeight="1" x14ac:dyDescent="0.4">
      <c r="B24800" s="3" t="s">
        <v>7</v>
      </c>
      <c r="C24800" s="3" t="s">
        <v>3985</v>
      </c>
      <c r="D24800" s="4">
        <f>DATE(2012,6,4)</f>
        <v>41064</v>
      </c>
      <c r="E24800" s="5">
        <f t="shared" si="411"/>
        <v>2012</v>
      </c>
      <c r="F24800" s="3" t="s">
        <v>3986</v>
      </c>
      <c r="G24800" s="6">
        <v>1913.94</v>
      </c>
      <c r="H24800" s="5">
        <v>17208</v>
      </c>
    </row>
    <row r="24801" spans="2:8" ht="15" customHeight="1" x14ac:dyDescent="0.4">
      <c r="B24801" s="3" t="s">
        <v>7</v>
      </c>
      <c r="C24801" s="3" t="s">
        <v>3985</v>
      </c>
      <c r="D24801" s="4">
        <f>DATE(2013,3,13)</f>
        <v>41346</v>
      </c>
      <c r="E24801" s="5">
        <f t="shared" si="411"/>
        <v>2013</v>
      </c>
      <c r="F24801" s="3" t="s">
        <v>3986</v>
      </c>
      <c r="G24801" s="6">
        <v>5100.8999999999996</v>
      </c>
      <c r="H24801" s="5">
        <v>18301</v>
      </c>
    </row>
    <row r="24802" spans="2:8" ht="15" customHeight="1" x14ac:dyDescent="0.4">
      <c r="B24802" s="3" t="s">
        <v>7</v>
      </c>
      <c r="C24802" s="3" t="s">
        <v>3985</v>
      </c>
      <c r="D24802" s="4">
        <f>DATE(2013,9,30)</f>
        <v>41547</v>
      </c>
      <c r="E24802" s="5">
        <f t="shared" si="411"/>
        <v>2013</v>
      </c>
      <c r="F24802" s="3" t="s">
        <v>3986</v>
      </c>
      <c r="G24802" s="6">
        <v>2387.0100000000002</v>
      </c>
      <c r="H24802" s="5">
        <v>19016</v>
      </c>
    </row>
    <row r="24803" spans="2:8" ht="15" customHeight="1" x14ac:dyDescent="0.4">
      <c r="B24803" s="3" t="s">
        <v>7</v>
      </c>
      <c r="C24803" s="3" t="s">
        <v>3987</v>
      </c>
      <c r="D24803" s="4">
        <f>DATE(2003,6,26)</f>
        <v>37798</v>
      </c>
      <c r="E24803" s="5">
        <f t="shared" si="411"/>
        <v>2003</v>
      </c>
      <c r="F24803" s="3" t="s">
        <v>3988</v>
      </c>
      <c r="G24803" s="6">
        <v>3280</v>
      </c>
      <c r="H24803" s="5">
        <v>1135</v>
      </c>
    </row>
    <row r="24804" spans="2:8" ht="15" customHeight="1" x14ac:dyDescent="0.4">
      <c r="B24804" s="3" t="s">
        <v>7</v>
      </c>
      <c r="C24804" s="3" t="s">
        <v>3987</v>
      </c>
      <c r="D24804" s="4">
        <f>DATE(2003,10,29)</f>
        <v>37923</v>
      </c>
      <c r="E24804" s="5">
        <f t="shared" si="411"/>
        <v>2003</v>
      </c>
      <c r="F24804" s="3" t="s">
        <v>3988</v>
      </c>
      <c r="G24804" s="6">
        <v>3407</v>
      </c>
      <c r="H24804" s="5">
        <v>1720</v>
      </c>
    </row>
    <row r="24805" spans="2:8" ht="15" customHeight="1" x14ac:dyDescent="0.4">
      <c r="B24805" s="3" t="s">
        <v>7</v>
      </c>
      <c r="C24805" s="3" t="s">
        <v>3987</v>
      </c>
      <c r="D24805" s="4">
        <f>DATE(2004,3,25)</f>
        <v>38071</v>
      </c>
      <c r="E24805" s="5">
        <f t="shared" si="411"/>
        <v>2004</v>
      </c>
      <c r="F24805" s="3" t="s">
        <v>3988</v>
      </c>
      <c r="G24805" s="6">
        <v>1706</v>
      </c>
      <c r="H24805" s="5">
        <v>2451</v>
      </c>
    </row>
    <row r="24806" spans="2:8" ht="15" customHeight="1" x14ac:dyDescent="0.4">
      <c r="B24806" s="3" t="s">
        <v>7</v>
      </c>
      <c r="C24806" s="3" t="s">
        <v>3987</v>
      </c>
      <c r="D24806" s="4">
        <f>DATE(2005,5,4)</f>
        <v>38476</v>
      </c>
      <c r="E24806" s="5">
        <f t="shared" si="411"/>
        <v>2005</v>
      </c>
      <c r="F24806" s="3" t="s">
        <v>3988</v>
      </c>
      <c r="G24806" s="6">
        <v>1706</v>
      </c>
      <c r="H24806" s="5">
        <v>4648</v>
      </c>
    </row>
    <row r="24807" spans="2:8" ht="15" customHeight="1" x14ac:dyDescent="0.4">
      <c r="B24807" s="3" t="s">
        <v>7</v>
      </c>
      <c r="C24807" s="3" t="s">
        <v>3987</v>
      </c>
      <c r="D24807" s="4">
        <f>DATE(2005,12,8)</f>
        <v>38694</v>
      </c>
      <c r="E24807" s="5">
        <f t="shared" si="411"/>
        <v>2005</v>
      </c>
      <c r="F24807" s="3" t="s">
        <v>3989</v>
      </c>
      <c r="G24807" s="6">
        <v>4258</v>
      </c>
      <c r="H24807" s="5">
        <v>5682</v>
      </c>
    </row>
    <row r="24808" spans="2:8" ht="15" customHeight="1" x14ac:dyDescent="0.4">
      <c r="B24808" s="3" t="s">
        <v>7</v>
      </c>
      <c r="C24808" s="3" t="s">
        <v>3987</v>
      </c>
      <c r="D24808" s="4">
        <f>DATE(2006,5,1)</f>
        <v>38838</v>
      </c>
      <c r="E24808" s="5">
        <f t="shared" si="411"/>
        <v>2006</v>
      </c>
      <c r="F24808" s="3" t="s">
        <v>3989</v>
      </c>
      <c r="G24808" s="6">
        <v>2760</v>
      </c>
      <c r="H24808" s="5">
        <v>6631</v>
      </c>
    </row>
    <row r="24809" spans="2:8" ht="15" customHeight="1" x14ac:dyDescent="0.4">
      <c r="B24809" s="3" t="s">
        <v>7</v>
      </c>
      <c r="C24809" s="3" t="s">
        <v>3987</v>
      </c>
      <c r="D24809" s="4">
        <f>DATE(2006,5,16)</f>
        <v>38853</v>
      </c>
      <c r="E24809" s="5">
        <f t="shared" si="411"/>
        <v>2006</v>
      </c>
      <c r="F24809" s="3" t="s">
        <v>3989</v>
      </c>
      <c r="G24809" s="6">
        <v>2767</v>
      </c>
      <c r="H24809" s="5">
        <v>6717</v>
      </c>
    </row>
    <row r="24810" spans="2:8" ht="15" customHeight="1" x14ac:dyDescent="0.4">
      <c r="B24810" s="3" t="s">
        <v>7</v>
      </c>
      <c r="C24810" s="3" t="s">
        <v>3990</v>
      </c>
      <c r="D24810" s="4">
        <f>DATE(2008,11,6)</f>
        <v>39758</v>
      </c>
      <c r="E24810" s="5">
        <f t="shared" si="411"/>
        <v>2008</v>
      </c>
      <c r="F24810" s="3" t="s">
        <v>3991</v>
      </c>
      <c r="G24810" s="6">
        <v>1800</v>
      </c>
      <c r="H24810" s="5">
        <v>3145</v>
      </c>
    </row>
    <row r="24811" spans="2:8" ht="15" customHeight="1" x14ac:dyDescent="0.4">
      <c r="B24811" s="3" t="s">
        <v>7</v>
      </c>
      <c r="C24811" s="3" t="s">
        <v>3990</v>
      </c>
      <c r="D24811" s="4">
        <f>DATE(2008,12,5)</f>
        <v>39787</v>
      </c>
      <c r="E24811" s="5">
        <f t="shared" si="411"/>
        <v>2008</v>
      </c>
      <c r="F24811" s="3" t="s">
        <v>3991</v>
      </c>
      <c r="G24811" s="6">
        <v>3000</v>
      </c>
      <c r="H24811" s="5">
        <v>3172</v>
      </c>
    </row>
    <row r="24812" spans="2:8" ht="15" customHeight="1" x14ac:dyDescent="0.4">
      <c r="B24812" t="s">
        <v>7</v>
      </c>
      <c r="C24812" t="s">
        <v>3992</v>
      </c>
      <c r="D24812" s="7">
        <f>DATE(2006,8,19)</f>
        <v>38948</v>
      </c>
      <c r="E24812" s="8">
        <f t="shared" si="411"/>
        <v>2006</v>
      </c>
      <c r="F24812" t="s">
        <v>3993</v>
      </c>
      <c r="G24812" s="9">
        <v>30522.98</v>
      </c>
      <c r="H24812" s="8">
        <v>4911</v>
      </c>
    </row>
    <row r="24813" spans="2:8" ht="15" customHeight="1" x14ac:dyDescent="0.4">
      <c r="B24813" t="s">
        <v>7</v>
      </c>
      <c r="C24813" t="s">
        <v>3992</v>
      </c>
      <c r="D24813" s="7">
        <f>DATE(2007,5,1)</f>
        <v>39203</v>
      </c>
      <c r="E24813" s="8">
        <f t="shared" si="411"/>
        <v>2007</v>
      </c>
      <c r="F24813" t="s">
        <v>3993</v>
      </c>
      <c r="G24813" s="9">
        <v>45730.78</v>
      </c>
      <c r="H24813" s="8">
        <v>5884</v>
      </c>
    </row>
    <row r="24814" spans="2:8" ht="15" customHeight="1" x14ac:dyDescent="0.4">
      <c r="B24814" t="s">
        <v>7</v>
      </c>
      <c r="C24814" t="s">
        <v>3992</v>
      </c>
      <c r="D24814" s="7">
        <f>DATE(2007,11,4)</f>
        <v>39390</v>
      </c>
      <c r="E24814" s="8">
        <f t="shared" si="411"/>
        <v>2007</v>
      </c>
      <c r="F24814" t="s">
        <v>3993</v>
      </c>
      <c r="G24814" s="9">
        <v>37058.629999999997</v>
      </c>
      <c r="H24814" s="8">
        <v>6551</v>
      </c>
    </row>
    <row r="24815" spans="2:8" ht="15" customHeight="1" x14ac:dyDescent="0.4">
      <c r="B24815" t="s">
        <v>7</v>
      </c>
      <c r="C24815" t="s">
        <v>3992</v>
      </c>
      <c r="D24815" s="7">
        <f>DATE(2008,5,26)</f>
        <v>39594</v>
      </c>
      <c r="E24815" s="8">
        <f t="shared" si="411"/>
        <v>2008</v>
      </c>
      <c r="F24815" t="s">
        <v>3993</v>
      </c>
      <c r="G24815" s="9">
        <v>39033.199999999997</v>
      </c>
      <c r="H24815" s="8">
        <v>7449</v>
      </c>
    </row>
    <row r="24816" spans="2:8" ht="15" customHeight="1" x14ac:dyDescent="0.4">
      <c r="B24816" t="s">
        <v>7</v>
      </c>
      <c r="C24816" t="s">
        <v>3992</v>
      </c>
      <c r="D24816" s="7">
        <f>DATE(2008,10,4)</f>
        <v>39725</v>
      </c>
      <c r="E24816" s="8">
        <f t="shared" si="411"/>
        <v>2008</v>
      </c>
      <c r="F24816" t="s">
        <v>3993</v>
      </c>
      <c r="G24816" s="9">
        <v>35115.35</v>
      </c>
      <c r="H24816" s="8">
        <v>7666</v>
      </c>
    </row>
    <row r="24817" spans="2:8" ht="15" customHeight="1" x14ac:dyDescent="0.4">
      <c r="B24817" t="s">
        <v>7</v>
      </c>
      <c r="C24817" t="s">
        <v>3992</v>
      </c>
      <c r="D24817" s="7">
        <f>DATE(2009,7,15)</f>
        <v>40009</v>
      </c>
      <c r="E24817" s="8">
        <f t="shared" si="411"/>
        <v>2009</v>
      </c>
      <c r="F24817" t="s">
        <v>3993</v>
      </c>
      <c r="G24817" s="9">
        <v>38872.51</v>
      </c>
      <c r="H24817" s="8">
        <v>8776</v>
      </c>
    </row>
    <row r="24818" spans="2:8" ht="15" customHeight="1" x14ac:dyDescent="0.4">
      <c r="B24818" t="s">
        <v>7</v>
      </c>
      <c r="C24818" t="s">
        <v>3992</v>
      </c>
      <c r="D24818" s="7">
        <f>DATE(2004,4,8)</f>
        <v>38085</v>
      </c>
      <c r="E24818" s="8">
        <f t="shared" si="411"/>
        <v>2004</v>
      </c>
      <c r="F24818" t="s">
        <v>3993</v>
      </c>
      <c r="G24818" s="9">
        <v>45409.99</v>
      </c>
      <c r="H24818" s="8">
        <v>17</v>
      </c>
    </row>
    <row r="24819" spans="2:8" ht="15" customHeight="1" x14ac:dyDescent="0.4">
      <c r="B24819" t="s">
        <v>7</v>
      </c>
      <c r="C24819" t="s">
        <v>3992</v>
      </c>
      <c r="D24819" s="7">
        <f>DATE(2005,3,13)</f>
        <v>38424</v>
      </c>
      <c r="E24819" s="8">
        <f t="shared" si="411"/>
        <v>2005</v>
      </c>
      <c r="F24819" t="s">
        <v>3993</v>
      </c>
      <c r="G24819" s="9">
        <v>32120</v>
      </c>
      <c r="H24819" s="8">
        <v>57</v>
      </c>
    </row>
    <row r="24820" spans="2:8" ht="15" customHeight="1" x14ac:dyDescent="0.4">
      <c r="B24820" t="s">
        <v>7</v>
      </c>
      <c r="C24820" t="s">
        <v>3992</v>
      </c>
      <c r="D24820" s="7">
        <f>DATE(2006,4,19)</f>
        <v>38826</v>
      </c>
      <c r="E24820" s="8">
        <f t="shared" si="411"/>
        <v>2006</v>
      </c>
      <c r="F24820" t="s">
        <v>3993</v>
      </c>
      <c r="G24820" s="9">
        <v>52651.44</v>
      </c>
      <c r="H24820" s="8">
        <v>100</v>
      </c>
    </row>
    <row r="24821" spans="2:8" ht="15" customHeight="1" x14ac:dyDescent="0.4">
      <c r="B24821" t="s">
        <v>7</v>
      </c>
      <c r="C24821" t="s">
        <v>3994</v>
      </c>
      <c r="D24821" s="7">
        <f>DATE(2016,8,31)</f>
        <v>42613</v>
      </c>
      <c r="E24821" s="8">
        <f t="shared" si="411"/>
        <v>2016</v>
      </c>
      <c r="F24821" t="s">
        <v>3995</v>
      </c>
      <c r="G24821" s="9">
        <v>66665.34</v>
      </c>
      <c r="H24821" s="8">
        <v>22979</v>
      </c>
    </row>
    <row r="24822" spans="2:8" ht="15" customHeight="1" x14ac:dyDescent="0.4">
      <c r="B24822" s="3" t="s">
        <v>7</v>
      </c>
      <c r="C24822" s="3" t="s">
        <v>3994</v>
      </c>
      <c r="D24822" s="4">
        <f>DATE(2009,12,11)</f>
        <v>40158</v>
      </c>
      <c r="E24822" s="5">
        <f t="shared" si="411"/>
        <v>2009</v>
      </c>
      <c r="F24822" s="3" t="s">
        <v>3995</v>
      </c>
      <c r="G24822" s="6">
        <v>53707.76</v>
      </c>
      <c r="H24822" s="5">
        <v>12494</v>
      </c>
    </row>
    <row r="24823" spans="2:8" ht="15" customHeight="1" x14ac:dyDescent="0.4">
      <c r="B24823" s="3" t="s">
        <v>7</v>
      </c>
      <c r="C24823" s="3" t="s">
        <v>3994</v>
      </c>
      <c r="D24823" s="4">
        <f>DATE(2013,9,24)</f>
        <v>41541</v>
      </c>
      <c r="E24823" s="5">
        <f t="shared" si="411"/>
        <v>2013</v>
      </c>
      <c r="F24823" s="3" t="s">
        <v>3995</v>
      </c>
      <c r="G24823" s="6">
        <v>27576.63</v>
      </c>
      <c r="H24823" s="5">
        <v>18310</v>
      </c>
    </row>
    <row r="24824" spans="2:8" ht="15" customHeight="1" x14ac:dyDescent="0.4">
      <c r="B24824" t="s">
        <v>7</v>
      </c>
      <c r="C24824" t="s">
        <v>3996</v>
      </c>
      <c r="D24824" s="7">
        <f>DATE(2016,12,14)</f>
        <v>42718</v>
      </c>
      <c r="E24824" s="8">
        <f t="shared" si="411"/>
        <v>2016</v>
      </c>
      <c r="F24824" t="s">
        <v>3997</v>
      </c>
      <c r="G24824" s="9">
        <v>28210</v>
      </c>
      <c r="H24824" s="8">
        <v>23934</v>
      </c>
    </row>
    <row r="24825" spans="2:8" ht="15" customHeight="1" x14ac:dyDescent="0.4">
      <c r="B24825" t="s">
        <v>7</v>
      </c>
      <c r="C24825" t="s">
        <v>3996</v>
      </c>
      <c r="D24825" s="7">
        <f>DATE(2017,6,12)</f>
        <v>42898</v>
      </c>
      <c r="E24825" s="8">
        <f t="shared" si="411"/>
        <v>2017</v>
      </c>
      <c r="F24825" t="s">
        <v>3997</v>
      </c>
      <c r="G24825" s="9">
        <v>24955</v>
      </c>
      <c r="H24825" s="8">
        <v>24846</v>
      </c>
    </row>
    <row r="24826" spans="2:8" ht="15" customHeight="1" x14ac:dyDescent="0.4">
      <c r="B24826" t="s">
        <v>7</v>
      </c>
      <c r="C24826" t="s">
        <v>3996</v>
      </c>
      <c r="D24826" s="7">
        <f>DATE(2017,8,25)</f>
        <v>42972</v>
      </c>
      <c r="E24826" s="8">
        <f t="shared" si="411"/>
        <v>2017</v>
      </c>
      <c r="F24826" t="s">
        <v>3997</v>
      </c>
      <c r="G24826" s="9">
        <v>137150</v>
      </c>
      <c r="H24826" s="8">
        <v>25044</v>
      </c>
    </row>
    <row r="24827" spans="2:8" ht="15" customHeight="1" x14ac:dyDescent="0.4">
      <c r="B24827" t="s">
        <v>7</v>
      </c>
      <c r="C24827" t="s">
        <v>3996</v>
      </c>
      <c r="D24827" s="7">
        <f>DATE(2017,9,1)</f>
        <v>42979</v>
      </c>
      <c r="E24827" s="8">
        <f t="shared" si="411"/>
        <v>2017</v>
      </c>
      <c r="F24827" t="s">
        <v>3997</v>
      </c>
      <c r="G24827" s="9">
        <v>132930</v>
      </c>
      <c r="H24827" s="8">
        <v>25144</v>
      </c>
    </row>
    <row r="24828" spans="2:8" ht="15" customHeight="1" x14ac:dyDescent="0.4">
      <c r="B24828" t="s">
        <v>7</v>
      </c>
      <c r="C24828" t="s">
        <v>3996</v>
      </c>
      <c r="D24828" s="7">
        <f>DATE(2017,10,10)</f>
        <v>43018</v>
      </c>
      <c r="E24828" s="8">
        <f t="shared" si="411"/>
        <v>2017</v>
      </c>
      <c r="F24828" t="s">
        <v>3997</v>
      </c>
      <c r="G24828" s="9">
        <v>135884</v>
      </c>
      <c r="H24828" s="8">
        <v>25232</v>
      </c>
    </row>
    <row r="24829" spans="2:8" ht="15" customHeight="1" x14ac:dyDescent="0.4">
      <c r="B24829" t="s">
        <v>7</v>
      </c>
      <c r="C24829" t="s">
        <v>3998</v>
      </c>
      <c r="D24829" s="7">
        <f>DATE(2006,10,7)</f>
        <v>38997</v>
      </c>
      <c r="E24829" s="8">
        <f t="shared" si="411"/>
        <v>2006</v>
      </c>
      <c r="F24829" t="s">
        <v>3999</v>
      </c>
      <c r="G24829" s="9">
        <v>40824</v>
      </c>
      <c r="H24829" s="8">
        <v>5034</v>
      </c>
    </row>
    <row r="24830" spans="2:8" ht="15" customHeight="1" x14ac:dyDescent="0.4">
      <c r="B24830" t="s">
        <v>7</v>
      </c>
      <c r="C24830" t="s">
        <v>4000</v>
      </c>
      <c r="D24830" s="7">
        <f>DATE(2004,2,5)</f>
        <v>38022</v>
      </c>
      <c r="E24830" s="8">
        <f t="shared" si="411"/>
        <v>2004</v>
      </c>
      <c r="F24830" t="s">
        <v>4001</v>
      </c>
      <c r="G24830" s="9">
        <v>1842.04</v>
      </c>
      <c r="H24830" s="8">
        <v>1300</v>
      </c>
    </row>
    <row r="24831" spans="2:8" ht="15" customHeight="1" x14ac:dyDescent="0.4">
      <c r="B24831" t="s">
        <v>7</v>
      </c>
      <c r="C24831" t="s">
        <v>4002</v>
      </c>
      <c r="D24831" s="7">
        <f>DATE(2006,3,29)</f>
        <v>38805</v>
      </c>
      <c r="E24831" s="8">
        <f t="shared" si="411"/>
        <v>2006</v>
      </c>
      <c r="F24831" t="s">
        <v>4003</v>
      </c>
      <c r="G24831" s="9">
        <v>922.74</v>
      </c>
      <c r="H24831" s="8">
        <v>4453</v>
      </c>
    </row>
    <row r="24832" spans="2:8" ht="15" customHeight="1" x14ac:dyDescent="0.4">
      <c r="B24832" t="s">
        <v>7</v>
      </c>
      <c r="C24832" t="s">
        <v>235</v>
      </c>
      <c r="D24832" s="7">
        <f>DATE(2015,3,3)</f>
        <v>42066</v>
      </c>
      <c r="E24832" s="8">
        <f t="shared" si="411"/>
        <v>2015</v>
      </c>
      <c r="F24832" t="s">
        <v>4004</v>
      </c>
      <c r="G24832" s="9">
        <v>18832.689999999999</v>
      </c>
      <c r="H24832" s="8">
        <v>58</v>
      </c>
    </row>
    <row r="24833" spans="2:8" ht="15" customHeight="1" x14ac:dyDescent="0.4">
      <c r="B24833" t="s">
        <v>7</v>
      </c>
      <c r="C24833" t="s">
        <v>235</v>
      </c>
      <c r="D24833" s="7">
        <f>DATE(2015,4,10)</f>
        <v>42104</v>
      </c>
      <c r="E24833" s="8">
        <f t="shared" si="411"/>
        <v>2015</v>
      </c>
      <c r="F24833" t="s">
        <v>4004</v>
      </c>
      <c r="G24833" s="9">
        <v>17805.45</v>
      </c>
      <c r="H24833" s="8">
        <v>356</v>
      </c>
    </row>
    <row r="24834" spans="2:8" ht="15" customHeight="1" x14ac:dyDescent="0.4">
      <c r="B24834" t="s">
        <v>7</v>
      </c>
      <c r="C24834" t="s">
        <v>235</v>
      </c>
      <c r="D24834" s="7">
        <f>DATE(2015,12,30)</f>
        <v>42368</v>
      </c>
      <c r="E24834" s="8">
        <f t="shared" si="411"/>
        <v>2015</v>
      </c>
      <c r="F24834" t="s">
        <v>4004</v>
      </c>
      <c r="G24834" s="9">
        <v>3534.2</v>
      </c>
      <c r="H24834" s="8">
        <v>21901</v>
      </c>
    </row>
    <row r="24835" spans="2:8" ht="15" customHeight="1" x14ac:dyDescent="0.4">
      <c r="B24835" t="s">
        <v>7</v>
      </c>
      <c r="C24835" t="s">
        <v>235</v>
      </c>
      <c r="D24835" s="7">
        <f>DATE(2015,12,30)</f>
        <v>42368</v>
      </c>
      <c r="E24835" s="8">
        <f t="shared" ref="E24835:E24898" si="412">YEAR(D24835)</f>
        <v>2015</v>
      </c>
      <c r="F24835" t="s">
        <v>4004</v>
      </c>
      <c r="G24835" s="9">
        <v>21519.43</v>
      </c>
      <c r="H24835" s="8">
        <v>21588</v>
      </c>
    </row>
    <row r="24836" spans="2:8" ht="15" customHeight="1" x14ac:dyDescent="0.4">
      <c r="B24836" t="s">
        <v>7</v>
      </c>
      <c r="C24836" t="s">
        <v>235</v>
      </c>
      <c r="D24836" s="7">
        <f>DATE(2016,2,17)</f>
        <v>42417</v>
      </c>
      <c r="E24836" s="8">
        <f t="shared" si="412"/>
        <v>2016</v>
      </c>
      <c r="F24836" t="s">
        <v>4004</v>
      </c>
      <c r="G24836" s="9">
        <v>7772.33</v>
      </c>
      <c r="H24836" s="8">
        <v>21745</v>
      </c>
    </row>
    <row r="24837" spans="2:8" ht="15" customHeight="1" x14ac:dyDescent="0.4">
      <c r="B24837" t="s">
        <v>7</v>
      </c>
      <c r="C24837" t="s">
        <v>235</v>
      </c>
      <c r="D24837" s="7">
        <f>DATE(2017,1,23)</f>
        <v>42758</v>
      </c>
      <c r="E24837" s="8">
        <f t="shared" si="412"/>
        <v>2017</v>
      </c>
      <c r="F24837" t="s">
        <v>4004</v>
      </c>
      <c r="G24837" s="9">
        <v>21791.55</v>
      </c>
      <c r="H24837" s="8">
        <v>23771</v>
      </c>
    </row>
    <row r="24838" spans="2:8" ht="15" customHeight="1" x14ac:dyDescent="0.4">
      <c r="B24838" t="s">
        <v>7</v>
      </c>
      <c r="C24838" t="s">
        <v>235</v>
      </c>
      <c r="D24838" s="7">
        <f>DATE(2018,2,13)</f>
        <v>43144</v>
      </c>
      <c r="E24838" s="8">
        <f t="shared" si="412"/>
        <v>2018</v>
      </c>
      <c r="F24838" t="s">
        <v>4004</v>
      </c>
      <c r="G24838" s="9">
        <v>26912</v>
      </c>
      <c r="H24838" s="8">
        <v>26077</v>
      </c>
    </row>
    <row r="24839" spans="2:8" ht="15" customHeight="1" x14ac:dyDescent="0.4">
      <c r="B24839" t="s">
        <v>7</v>
      </c>
      <c r="C24839" t="s">
        <v>235</v>
      </c>
      <c r="D24839" s="7">
        <f>DATE(2018,4,2)</f>
        <v>43192</v>
      </c>
      <c r="E24839" s="8">
        <f t="shared" si="412"/>
        <v>2018</v>
      </c>
      <c r="F24839" t="s">
        <v>4004</v>
      </c>
      <c r="G24839" s="9">
        <v>23600.7</v>
      </c>
      <c r="H24839" s="8">
        <v>26236</v>
      </c>
    </row>
    <row r="24840" spans="2:8" ht="15" customHeight="1" x14ac:dyDescent="0.4">
      <c r="B24840" t="s">
        <v>7</v>
      </c>
      <c r="C24840" t="s">
        <v>235</v>
      </c>
      <c r="D24840" s="7">
        <f>DATE(2018,12,28)</f>
        <v>43462</v>
      </c>
      <c r="E24840" s="8">
        <f t="shared" si="412"/>
        <v>2018</v>
      </c>
      <c r="F24840" t="s">
        <v>4004</v>
      </c>
      <c r="G24840" s="9">
        <v>24951.54</v>
      </c>
      <c r="H24840" s="8">
        <v>27905</v>
      </c>
    </row>
    <row r="24841" spans="2:8" ht="15" customHeight="1" x14ac:dyDescent="0.4">
      <c r="B24841" t="s">
        <v>7</v>
      </c>
      <c r="C24841" t="s">
        <v>235</v>
      </c>
      <c r="D24841" s="7">
        <f>DATE(2019,1,23)</f>
        <v>43488</v>
      </c>
      <c r="E24841" s="8">
        <f t="shared" si="412"/>
        <v>2019</v>
      </c>
      <c r="F24841" t="s">
        <v>4004</v>
      </c>
      <c r="G24841" s="9">
        <v>21859</v>
      </c>
      <c r="H24841" s="8">
        <v>27907</v>
      </c>
    </row>
    <row r="24842" spans="2:8" ht="15" customHeight="1" x14ac:dyDescent="0.4">
      <c r="B24842" t="s">
        <v>7</v>
      </c>
      <c r="C24842" t="s">
        <v>235</v>
      </c>
      <c r="D24842" s="7">
        <f>DATE(2015,3,3)</f>
        <v>42066</v>
      </c>
      <c r="E24842" s="8">
        <f t="shared" si="412"/>
        <v>2015</v>
      </c>
      <c r="F24842" t="s">
        <v>4004</v>
      </c>
      <c r="G24842" s="9">
        <v>25199.13</v>
      </c>
      <c r="H24842" s="8">
        <v>76</v>
      </c>
    </row>
    <row r="24843" spans="2:8" ht="15" customHeight="1" x14ac:dyDescent="0.4">
      <c r="B24843" t="s">
        <v>7</v>
      </c>
      <c r="C24843" t="s">
        <v>235</v>
      </c>
      <c r="D24843" s="7">
        <f>DATE(2015,4,10)</f>
        <v>42104</v>
      </c>
      <c r="E24843" s="8">
        <f t="shared" si="412"/>
        <v>2015</v>
      </c>
      <c r="F24843" t="s">
        <v>4004</v>
      </c>
      <c r="G24843" s="9">
        <v>25445.43</v>
      </c>
      <c r="H24843" s="8">
        <v>357</v>
      </c>
    </row>
    <row r="24844" spans="2:8" ht="15" customHeight="1" x14ac:dyDescent="0.4">
      <c r="B24844" t="s">
        <v>7</v>
      </c>
      <c r="C24844" t="s">
        <v>235</v>
      </c>
      <c r="D24844" s="7">
        <f>DATE(2017,1,23)</f>
        <v>42758</v>
      </c>
      <c r="E24844" s="8">
        <f t="shared" si="412"/>
        <v>2017</v>
      </c>
      <c r="F24844" t="s">
        <v>4004</v>
      </c>
      <c r="G24844" s="9">
        <v>14400</v>
      </c>
      <c r="H24844" s="8">
        <v>23772</v>
      </c>
    </row>
    <row r="24845" spans="2:8" ht="15" customHeight="1" x14ac:dyDescent="0.4">
      <c r="B24845" t="s">
        <v>7</v>
      </c>
      <c r="C24845" t="s">
        <v>235</v>
      </c>
      <c r="D24845" s="7">
        <f>DATE(2018,2,13)</f>
        <v>43144</v>
      </c>
      <c r="E24845" s="8">
        <f t="shared" si="412"/>
        <v>2018</v>
      </c>
      <c r="F24845" t="s">
        <v>4004</v>
      </c>
      <c r="G24845" s="9">
        <v>15400</v>
      </c>
      <c r="H24845" s="8">
        <v>26057</v>
      </c>
    </row>
    <row r="24846" spans="2:8" ht="15" customHeight="1" x14ac:dyDescent="0.4">
      <c r="B24846" t="s">
        <v>7</v>
      </c>
      <c r="C24846" t="s">
        <v>235</v>
      </c>
      <c r="D24846" s="7">
        <f>DATE(2018,12,28)</f>
        <v>43462</v>
      </c>
      <c r="E24846" s="8">
        <f t="shared" si="412"/>
        <v>2018</v>
      </c>
      <c r="F24846" t="s">
        <v>4004</v>
      </c>
      <c r="G24846" s="9">
        <v>15890</v>
      </c>
      <c r="H24846" s="8">
        <v>28022</v>
      </c>
    </row>
    <row r="24847" spans="2:8" ht="15" customHeight="1" x14ac:dyDescent="0.4">
      <c r="B24847" t="s">
        <v>7</v>
      </c>
      <c r="C24847" t="s">
        <v>235</v>
      </c>
      <c r="D24847" s="7">
        <f>DATE(2015,3,4)</f>
        <v>42067</v>
      </c>
      <c r="E24847" s="8">
        <f t="shared" si="412"/>
        <v>2015</v>
      </c>
      <c r="F24847" t="s">
        <v>4004</v>
      </c>
      <c r="G24847" s="9">
        <v>22205.95</v>
      </c>
      <c r="H24847" s="8">
        <v>279</v>
      </c>
    </row>
    <row r="24848" spans="2:8" ht="15" customHeight="1" x14ac:dyDescent="0.4">
      <c r="B24848" t="s">
        <v>7</v>
      </c>
      <c r="C24848" t="s">
        <v>235</v>
      </c>
      <c r="D24848" s="7">
        <f>DATE(2015,3,12)</f>
        <v>42075</v>
      </c>
      <c r="E24848" s="8">
        <f t="shared" si="412"/>
        <v>2015</v>
      </c>
      <c r="F24848" t="s">
        <v>4004</v>
      </c>
      <c r="G24848" s="9">
        <v>14244.21</v>
      </c>
      <c r="H24848" s="8">
        <v>20067</v>
      </c>
    </row>
    <row r="24849" spans="2:8" ht="15" customHeight="1" x14ac:dyDescent="0.4">
      <c r="B24849" t="s">
        <v>7</v>
      </c>
      <c r="C24849" t="s">
        <v>235</v>
      </c>
      <c r="D24849" s="7">
        <f>DATE(2015,9,18)</f>
        <v>42265</v>
      </c>
      <c r="E24849" s="8">
        <f t="shared" si="412"/>
        <v>2015</v>
      </c>
      <c r="F24849" t="s">
        <v>4004</v>
      </c>
      <c r="G24849" s="9">
        <v>6372.2</v>
      </c>
      <c r="H24849" s="8">
        <v>21235</v>
      </c>
    </row>
    <row r="24850" spans="2:8" ht="15" customHeight="1" x14ac:dyDescent="0.4">
      <c r="B24850" t="s">
        <v>7</v>
      </c>
      <c r="C24850" t="s">
        <v>235</v>
      </c>
      <c r="D24850" s="7">
        <f>DATE(2015,12,29)</f>
        <v>42367</v>
      </c>
      <c r="E24850" s="8">
        <f t="shared" si="412"/>
        <v>2015</v>
      </c>
      <c r="F24850" t="s">
        <v>4004</v>
      </c>
      <c r="G24850" s="9">
        <v>8682.4699999999993</v>
      </c>
      <c r="H24850" s="8">
        <v>21548</v>
      </c>
    </row>
    <row r="24851" spans="2:8" ht="15" customHeight="1" x14ac:dyDescent="0.4">
      <c r="B24851" t="s">
        <v>7</v>
      </c>
      <c r="C24851" t="s">
        <v>235</v>
      </c>
      <c r="D24851" s="7">
        <f>DATE(2016,3,4)</f>
        <v>42433</v>
      </c>
      <c r="E24851" s="8">
        <f t="shared" si="412"/>
        <v>2016</v>
      </c>
      <c r="F24851" t="s">
        <v>4004</v>
      </c>
      <c r="G24851" s="9">
        <v>13232.58</v>
      </c>
      <c r="H24851" s="8">
        <v>21925</v>
      </c>
    </row>
    <row r="24852" spans="2:8" ht="15" customHeight="1" x14ac:dyDescent="0.4">
      <c r="B24852" t="s">
        <v>7</v>
      </c>
      <c r="C24852" t="s">
        <v>235</v>
      </c>
      <c r="D24852" s="7">
        <f>DATE(2016,4,27)</f>
        <v>42487</v>
      </c>
      <c r="E24852" s="8">
        <f t="shared" si="412"/>
        <v>2016</v>
      </c>
      <c r="F24852" t="s">
        <v>4004</v>
      </c>
      <c r="G24852" s="9">
        <v>5976.64</v>
      </c>
      <c r="H24852" s="8">
        <v>22618</v>
      </c>
    </row>
    <row r="24853" spans="2:8" ht="15" customHeight="1" x14ac:dyDescent="0.4">
      <c r="B24853" t="s">
        <v>7</v>
      </c>
      <c r="C24853" t="s">
        <v>235</v>
      </c>
      <c r="D24853" s="7">
        <f>DATE(2016,11,23)</f>
        <v>42697</v>
      </c>
      <c r="E24853" s="8">
        <f t="shared" si="412"/>
        <v>2016</v>
      </c>
      <c r="F24853" t="s">
        <v>4004</v>
      </c>
      <c r="G24853" s="9">
        <v>12884.06</v>
      </c>
      <c r="H24853" s="8">
        <v>23788</v>
      </c>
    </row>
    <row r="24854" spans="2:8" ht="15" customHeight="1" x14ac:dyDescent="0.4">
      <c r="B24854" t="s">
        <v>7</v>
      </c>
      <c r="C24854" t="s">
        <v>235</v>
      </c>
      <c r="D24854" s="7">
        <f>DATE(2017,11,28)</f>
        <v>43067</v>
      </c>
      <c r="E24854" s="8">
        <f t="shared" si="412"/>
        <v>2017</v>
      </c>
      <c r="F24854" t="s">
        <v>4004</v>
      </c>
      <c r="G24854" s="9">
        <v>13611.72</v>
      </c>
      <c r="H24854" s="8">
        <v>25538</v>
      </c>
    </row>
    <row r="24855" spans="2:8" ht="15" customHeight="1" x14ac:dyDescent="0.4">
      <c r="B24855" t="s">
        <v>7</v>
      </c>
      <c r="C24855" t="s">
        <v>235</v>
      </c>
      <c r="D24855" s="7">
        <f>DATE(2018,11,28)</f>
        <v>43432</v>
      </c>
      <c r="E24855" s="8">
        <f t="shared" si="412"/>
        <v>2018</v>
      </c>
      <c r="F24855" t="s">
        <v>4004</v>
      </c>
      <c r="G24855" s="9">
        <v>19828.03</v>
      </c>
      <c r="H24855" s="8">
        <v>27915</v>
      </c>
    </row>
    <row r="24856" spans="2:8" ht="15" customHeight="1" x14ac:dyDescent="0.4">
      <c r="B24856" t="s">
        <v>7</v>
      </c>
      <c r="C24856" t="s">
        <v>235</v>
      </c>
      <c r="D24856" s="7">
        <f>DATE(2019,1,28)</f>
        <v>43493</v>
      </c>
      <c r="E24856" s="8">
        <f t="shared" si="412"/>
        <v>2019</v>
      </c>
      <c r="F24856" t="s">
        <v>4004</v>
      </c>
      <c r="G24856" s="9">
        <v>10796</v>
      </c>
      <c r="H24856" s="8">
        <v>28226</v>
      </c>
    </row>
    <row r="24857" spans="2:8" ht="15" customHeight="1" x14ac:dyDescent="0.4">
      <c r="B24857" t="s">
        <v>7</v>
      </c>
      <c r="C24857" t="s">
        <v>235</v>
      </c>
      <c r="D24857" s="7">
        <f>DATE(2014,6,13)</f>
        <v>41803</v>
      </c>
      <c r="E24857" s="8">
        <f t="shared" si="412"/>
        <v>2014</v>
      </c>
      <c r="F24857" t="s">
        <v>4004</v>
      </c>
      <c r="G24857" s="9">
        <v>63271.8</v>
      </c>
      <c r="H24857" s="8">
        <v>13119</v>
      </c>
    </row>
    <row r="24858" spans="2:8" ht="15" customHeight="1" x14ac:dyDescent="0.4">
      <c r="B24858" t="s">
        <v>7</v>
      </c>
      <c r="C24858" t="s">
        <v>235</v>
      </c>
      <c r="D24858" s="7">
        <f>DATE(2014,6,13)</f>
        <v>41803</v>
      </c>
      <c r="E24858" s="8">
        <f t="shared" si="412"/>
        <v>2014</v>
      </c>
      <c r="F24858" t="s">
        <v>4004</v>
      </c>
      <c r="G24858" s="9">
        <v>35563.449999999997</v>
      </c>
      <c r="H24858" s="8">
        <v>13193</v>
      </c>
    </row>
    <row r="24859" spans="2:8" ht="15" customHeight="1" x14ac:dyDescent="0.4">
      <c r="B24859" t="s">
        <v>7</v>
      </c>
      <c r="C24859" t="s">
        <v>235</v>
      </c>
      <c r="D24859" s="7">
        <f>DATE(2014,8,6)</f>
        <v>41857</v>
      </c>
      <c r="E24859" s="8">
        <f t="shared" si="412"/>
        <v>2014</v>
      </c>
      <c r="F24859" t="s">
        <v>4004</v>
      </c>
      <c r="G24859" s="9">
        <v>11320.5</v>
      </c>
      <c r="H24859" s="8">
        <v>13279</v>
      </c>
    </row>
    <row r="24860" spans="2:8" ht="15" customHeight="1" x14ac:dyDescent="0.4">
      <c r="B24860" t="s">
        <v>7</v>
      </c>
      <c r="C24860" t="s">
        <v>235</v>
      </c>
      <c r="D24860" s="7">
        <f>DATE(2014,8,6)</f>
        <v>41857</v>
      </c>
      <c r="E24860" s="8">
        <f t="shared" si="412"/>
        <v>2014</v>
      </c>
      <c r="F24860" t="s">
        <v>4004</v>
      </c>
      <c r="G24860" s="9">
        <v>14787.27</v>
      </c>
      <c r="H24860" s="8">
        <v>13293</v>
      </c>
    </row>
    <row r="24861" spans="2:8" ht="15" customHeight="1" x14ac:dyDescent="0.4">
      <c r="B24861" t="s">
        <v>7</v>
      </c>
      <c r="C24861" t="s">
        <v>235</v>
      </c>
      <c r="D24861" s="7">
        <f>DATE(2014,8,8)</f>
        <v>41859</v>
      </c>
      <c r="E24861" s="8">
        <f t="shared" si="412"/>
        <v>2014</v>
      </c>
      <c r="F24861" t="s">
        <v>4004</v>
      </c>
      <c r="G24861" s="9">
        <v>105036.94</v>
      </c>
      <c r="H24861" s="8">
        <v>13362</v>
      </c>
    </row>
    <row r="24862" spans="2:8" ht="15" customHeight="1" x14ac:dyDescent="0.4">
      <c r="B24862" t="s">
        <v>7</v>
      </c>
      <c r="C24862" t="s">
        <v>235</v>
      </c>
      <c r="D24862" s="7">
        <f>DATE(2014,8,8)</f>
        <v>41859</v>
      </c>
      <c r="E24862" s="8">
        <f t="shared" si="412"/>
        <v>2014</v>
      </c>
      <c r="F24862" t="s">
        <v>4004</v>
      </c>
      <c r="G24862" s="9">
        <v>26700.82</v>
      </c>
      <c r="H24862" s="8">
        <v>13410</v>
      </c>
    </row>
    <row r="24863" spans="2:8" ht="15" customHeight="1" x14ac:dyDescent="0.4">
      <c r="B24863" t="s">
        <v>7</v>
      </c>
      <c r="C24863" t="s">
        <v>235</v>
      </c>
      <c r="D24863" s="7">
        <f>DATE(2014,4,10)</f>
        <v>41739</v>
      </c>
      <c r="E24863" s="8">
        <f t="shared" si="412"/>
        <v>2014</v>
      </c>
      <c r="F24863" t="s">
        <v>4004</v>
      </c>
      <c r="G24863" s="9">
        <v>37973.43</v>
      </c>
      <c r="H24863" s="8">
        <v>12983</v>
      </c>
    </row>
    <row r="24864" spans="2:8" ht="15" customHeight="1" x14ac:dyDescent="0.4">
      <c r="B24864" t="s">
        <v>7</v>
      </c>
      <c r="C24864" t="s">
        <v>235</v>
      </c>
      <c r="D24864" s="7">
        <f>DATE(2014,4,10)</f>
        <v>41739</v>
      </c>
      <c r="E24864" s="8">
        <f t="shared" si="412"/>
        <v>2014</v>
      </c>
      <c r="F24864" t="s">
        <v>4004</v>
      </c>
      <c r="G24864" s="9">
        <v>33168.35</v>
      </c>
      <c r="H24864" s="8">
        <v>13009</v>
      </c>
    </row>
    <row r="24865" spans="2:8" ht="15" customHeight="1" x14ac:dyDescent="0.4">
      <c r="B24865" t="s">
        <v>7</v>
      </c>
      <c r="C24865" t="s">
        <v>235</v>
      </c>
      <c r="D24865" s="7">
        <f>DATE(2014,6,13)</f>
        <v>41803</v>
      </c>
      <c r="E24865" s="8">
        <f t="shared" si="412"/>
        <v>2014</v>
      </c>
      <c r="F24865" t="s">
        <v>4004</v>
      </c>
      <c r="G24865" s="9">
        <v>125582.76</v>
      </c>
      <c r="H24865" s="8">
        <v>12967</v>
      </c>
    </row>
    <row r="24866" spans="2:8" ht="15" customHeight="1" x14ac:dyDescent="0.4">
      <c r="B24866" t="s">
        <v>7</v>
      </c>
      <c r="C24866" t="s">
        <v>235</v>
      </c>
      <c r="D24866" s="7">
        <f>DATE(2014,8,6)</f>
        <v>41857</v>
      </c>
      <c r="E24866" s="8">
        <f t="shared" si="412"/>
        <v>2014</v>
      </c>
      <c r="F24866" t="s">
        <v>4004</v>
      </c>
      <c r="G24866" s="9">
        <v>15911.46</v>
      </c>
      <c r="H24866" s="8">
        <v>13275</v>
      </c>
    </row>
    <row r="24867" spans="2:8" ht="15" customHeight="1" x14ac:dyDescent="0.4">
      <c r="B24867" t="s">
        <v>7</v>
      </c>
      <c r="C24867" t="s">
        <v>235</v>
      </c>
      <c r="D24867" s="7">
        <f>DATE(2014,11,21)</f>
        <v>41964</v>
      </c>
      <c r="E24867" s="8">
        <f t="shared" si="412"/>
        <v>2014</v>
      </c>
      <c r="F24867" t="s">
        <v>4004</v>
      </c>
      <c r="G24867" s="9">
        <v>10054.36</v>
      </c>
      <c r="H24867" s="8">
        <v>13603</v>
      </c>
    </row>
    <row r="24868" spans="2:8" ht="15" customHeight="1" x14ac:dyDescent="0.4">
      <c r="B24868" t="s">
        <v>16</v>
      </c>
      <c r="C24868" t="s">
        <v>235</v>
      </c>
      <c r="D24868" s="7">
        <f>DATE(2014,8,26)</f>
        <v>41877</v>
      </c>
      <c r="E24868" s="8">
        <f t="shared" si="412"/>
        <v>2014</v>
      </c>
      <c r="F24868" t="s">
        <v>4004</v>
      </c>
      <c r="G24868" s="9">
        <v>2411.25</v>
      </c>
      <c r="H24868" s="8">
        <v>13446</v>
      </c>
    </row>
    <row r="24869" spans="2:8" ht="15" customHeight="1" x14ac:dyDescent="0.4">
      <c r="B24869" s="3" t="s">
        <v>7</v>
      </c>
      <c r="C24869" s="3" t="s">
        <v>4005</v>
      </c>
      <c r="D24869" s="4">
        <f>DATE(2008,5,27)</f>
        <v>39595</v>
      </c>
      <c r="E24869" s="5">
        <f t="shared" si="412"/>
        <v>2008</v>
      </c>
      <c r="F24869" s="3" t="s">
        <v>4006</v>
      </c>
      <c r="G24869" s="6">
        <v>2401.25</v>
      </c>
      <c r="H24869" s="5">
        <v>2853</v>
      </c>
    </row>
    <row r="24870" spans="2:8" ht="15" customHeight="1" x14ac:dyDescent="0.4">
      <c r="B24870" s="3" t="s">
        <v>7</v>
      </c>
      <c r="C24870" s="3" t="s">
        <v>1204</v>
      </c>
      <c r="D24870" s="4">
        <f>DATE(2005,7,26)</f>
        <v>38559</v>
      </c>
      <c r="E24870" s="5">
        <f t="shared" si="412"/>
        <v>2005</v>
      </c>
      <c r="F24870" s="3" t="s">
        <v>4007</v>
      </c>
      <c r="G24870" s="6">
        <v>1125</v>
      </c>
      <c r="H24870" s="5">
        <v>1170</v>
      </c>
    </row>
    <row r="24871" spans="2:8" ht="15" customHeight="1" x14ac:dyDescent="0.4">
      <c r="B24871" s="3" t="s">
        <v>7</v>
      </c>
      <c r="C24871" s="3" t="s">
        <v>4005</v>
      </c>
      <c r="D24871" s="4">
        <f>DATE(2007,6,20)</f>
        <v>39253</v>
      </c>
      <c r="E24871" s="5">
        <f t="shared" si="412"/>
        <v>2007</v>
      </c>
      <c r="F24871" s="3" t="s">
        <v>4007</v>
      </c>
      <c r="G24871" s="6">
        <v>2242.5</v>
      </c>
      <c r="H24871" s="5">
        <v>2311</v>
      </c>
    </row>
    <row r="24872" spans="2:8" ht="15" customHeight="1" x14ac:dyDescent="0.4">
      <c r="B24872" s="3" t="s">
        <v>7</v>
      </c>
      <c r="C24872" s="3" t="s">
        <v>4005</v>
      </c>
      <c r="D24872" s="4">
        <f>DATE(2007,10,31)</f>
        <v>39386</v>
      </c>
      <c r="E24872" s="5">
        <f t="shared" si="412"/>
        <v>2007</v>
      </c>
      <c r="F24872" s="3" t="s">
        <v>4007</v>
      </c>
      <c r="G24872" s="6">
        <v>3870</v>
      </c>
      <c r="H24872" s="5">
        <v>2456</v>
      </c>
    </row>
    <row r="24873" spans="2:8" ht="15" customHeight="1" x14ac:dyDescent="0.4">
      <c r="B24873" s="3" t="s">
        <v>7</v>
      </c>
      <c r="C24873" s="3" t="s">
        <v>4005</v>
      </c>
      <c r="D24873" s="4">
        <f>DATE(2007,11,16)</f>
        <v>39402</v>
      </c>
      <c r="E24873" s="5">
        <f t="shared" si="412"/>
        <v>2007</v>
      </c>
      <c r="F24873" s="3" t="s">
        <v>4007</v>
      </c>
      <c r="G24873" s="6">
        <v>1238.7</v>
      </c>
      <c r="H24873" s="5">
        <v>2490</v>
      </c>
    </row>
    <row r="24874" spans="2:8" ht="15" customHeight="1" x14ac:dyDescent="0.4">
      <c r="B24874" s="3" t="s">
        <v>7</v>
      </c>
      <c r="C24874" s="3" t="s">
        <v>4005</v>
      </c>
      <c r="D24874" s="4">
        <f>DATE(2007,11,20)</f>
        <v>39406</v>
      </c>
      <c r="E24874" s="5">
        <f t="shared" si="412"/>
        <v>2007</v>
      </c>
      <c r="F24874" s="3" t="s">
        <v>4007</v>
      </c>
      <c r="G24874" s="6">
        <v>1038.5</v>
      </c>
      <c r="H24874" s="5">
        <v>2485</v>
      </c>
    </row>
    <row r="24875" spans="2:8" ht="15" customHeight="1" x14ac:dyDescent="0.4">
      <c r="B24875" s="3" t="s">
        <v>7</v>
      </c>
      <c r="C24875" s="3" t="s">
        <v>4005</v>
      </c>
      <c r="D24875" s="4">
        <f>DATE(2008,2,5)</f>
        <v>39483</v>
      </c>
      <c r="E24875" s="5">
        <f t="shared" si="412"/>
        <v>2008</v>
      </c>
      <c r="F24875" s="3" t="s">
        <v>4007</v>
      </c>
      <c r="G24875" s="6">
        <v>988.7</v>
      </c>
      <c r="H24875" s="5">
        <v>2607</v>
      </c>
    </row>
    <row r="24876" spans="2:8" ht="15" customHeight="1" x14ac:dyDescent="0.4">
      <c r="B24876" s="3" t="s">
        <v>7</v>
      </c>
      <c r="C24876" s="3" t="s">
        <v>4005</v>
      </c>
      <c r="D24876" s="4">
        <f>DATE(2008,2,22)</f>
        <v>39500</v>
      </c>
      <c r="E24876" s="5">
        <f t="shared" si="412"/>
        <v>2008</v>
      </c>
      <c r="F24876" s="3" t="s">
        <v>4007</v>
      </c>
      <c r="G24876" s="6">
        <v>1434.15</v>
      </c>
      <c r="H24876" s="5">
        <v>2606</v>
      </c>
    </row>
    <row r="24877" spans="2:8" ht="15" customHeight="1" x14ac:dyDescent="0.4">
      <c r="B24877" s="3" t="s">
        <v>7</v>
      </c>
      <c r="C24877" s="3" t="s">
        <v>4005</v>
      </c>
      <c r="D24877" s="4">
        <f>DATE(2008,2,13)</f>
        <v>39491</v>
      </c>
      <c r="E24877" s="5">
        <f t="shared" si="412"/>
        <v>2008</v>
      </c>
      <c r="F24877" s="3" t="s">
        <v>4007</v>
      </c>
      <c r="G24877" s="6">
        <v>1287.5999999999999</v>
      </c>
      <c r="H24877" s="5">
        <v>2649</v>
      </c>
    </row>
    <row r="24878" spans="2:8" ht="15" customHeight="1" x14ac:dyDescent="0.4">
      <c r="B24878" s="3" t="s">
        <v>7</v>
      </c>
      <c r="C24878" s="3" t="s">
        <v>4005</v>
      </c>
      <c r="D24878" s="4">
        <f>DATE(2008,2,13)</f>
        <v>39491</v>
      </c>
      <c r="E24878" s="5">
        <f t="shared" si="412"/>
        <v>2008</v>
      </c>
      <c r="F24878" s="3" t="s">
        <v>4007</v>
      </c>
      <c r="G24878" s="6">
        <v>6450</v>
      </c>
      <c r="H24878" s="5">
        <v>2650</v>
      </c>
    </row>
    <row r="24879" spans="2:8" ht="15" customHeight="1" x14ac:dyDescent="0.4">
      <c r="B24879" s="3" t="s">
        <v>7</v>
      </c>
      <c r="C24879" s="3" t="s">
        <v>4005</v>
      </c>
      <c r="D24879" s="4">
        <f>DATE(2008,2,22)</f>
        <v>39500</v>
      </c>
      <c r="E24879" s="5">
        <f t="shared" si="412"/>
        <v>2008</v>
      </c>
      <c r="F24879" s="3" t="s">
        <v>4007</v>
      </c>
      <c r="G24879" s="6">
        <v>1287.5999999999999</v>
      </c>
      <c r="H24879" s="5">
        <v>2674</v>
      </c>
    </row>
    <row r="24880" spans="2:8" ht="15" customHeight="1" x14ac:dyDescent="0.4">
      <c r="B24880" s="3" t="s">
        <v>7</v>
      </c>
      <c r="C24880" s="3" t="s">
        <v>4005</v>
      </c>
      <c r="D24880" s="4">
        <f>DATE(2008,2,13)</f>
        <v>39491</v>
      </c>
      <c r="E24880" s="5">
        <f t="shared" si="412"/>
        <v>2008</v>
      </c>
      <c r="F24880" s="3" t="s">
        <v>4007</v>
      </c>
      <c r="G24880" s="6">
        <v>415.86</v>
      </c>
      <c r="H24880" s="5">
        <v>2673</v>
      </c>
    </row>
    <row r="24881" spans="2:8" ht="15" customHeight="1" x14ac:dyDescent="0.4">
      <c r="B24881" s="3" t="s">
        <v>7</v>
      </c>
      <c r="C24881" s="3" t="s">
        <v>4005</v>
      </c>
      <c r="D24881" s="4">
        <f>DATE(2008,3,14)</f>
        <v>39521</v>
      </c>
      <c r="E24881" s="5">
        <f t="shared" si="412"/>
        <v>2008</v>
      </c>
      <c r="F24881" s="3" t="s">
        <v>4007</v>
      </c>
      <c r="G24881" s="6">
        <v>10175</v>
      </c>
      <c r="H24881" s="5">
        <v>2629</v>
      </c>
    </row>
    <row r="24882" spans="2:8" ht="15" customHeight="1" x14ac:dyDescent="0.4">
      <c r="B24882" s="3" t="s">
        <v>7</v>
      </c>
      <c r="C24882" s="3" t="s">
        <v>4005</v>
      </c>
      <c r="D24882" s="4">
        <f>DATE(2008,4,9)</f>
        <v>39547</v>
      </c>
      <c r="E24882" s="5">
        <f t="shared" si="412"/>
        <v>2008</v>
      </c>
      <c r="F24882" s="3" t="s">
        <v>4007</v>
      </c>
      <c r="G24882" s="6">
        <v>2055</v>
      </c>
      <c r="H24882" s="5">
        <v>2753</v>
      </c>
    </row>
    <row r="24883" spans="2:8" ht="15" customHeight="1" x14ac:dyDescent="0.4">
      <c r="B24883" s="3" t="s">
        <v>7</v>
      </c>
      <c r="C24883" s="3" t="s">
        <v>4005</v>
      </c>
      <c r="D24883" s="4">
        <f>DATE(2008,4,17)</f>
        <v>39555</v>
      </c>
      <c r="E24883" s="5">
        <f t="shared" si="412"/>
        <v>2008</v>
      </c>
      <c r="F24883" s="3" t="s">
        <v>4007</v>
      </c>
      <c r="G24883" s="6">
        <v>2171.5500000000002</v>
      </c>
      <c r="H24883" s="5">
        <v>2775</v>
      </c>
    </row>
    <row r="24884" spans="2:8" ht="15" customHeight="1" x14ac:dyDescent="0.4">
      <c r="B24884" s="3" t="s">
        <v>7</v>
      </c>
      <c r="C24884" s="3" t="s">
        <v>4005</v>
      </c>
      <c r="D24884" s="4">
        <f>DATE(2008,9,24)</f>
        <v>39715</v>
      </c>
      <c r="E24884" s="5">
        <f t="shared" si="412"/>
        <v>2008</v>
      </c>
      <c r="F24884" s="3" t="s">
        <v>4007</v>
      </c>
      <c r="G24884" s="6">
        <v>1712.5</v>
      </c>
      <c r="H24884" s="5">
        <v>3019</v>
      </c>
    </row>
    <row r="24885" spans="2:8" ht="15" customHeight="1" x14ac:dyDescent="0.4">
      <c r="B24885" s="3" t="s">
        <v>7</v>
      </c>
      <c r="C24885" s="3" t="s">
        <v>4005</v>
      </c>
      <c r="D24885" s="4">
        <f>DATE(2008,10,7)</f>
        <v>39728</v>
      </c>
      <c r="E24885" s="5">
        <f t="shared" si="412"/>
        <v>2008</v>
      </c>
      <c r="F24885" s="3" t="s">
        <v>4007</v>
      </c>
      <c r="G24885" s="6">
        <v>1575.5</v>
      </c>
      <c r="H24885" s="5">
        <v>3086</v>
      </c>
    </row>
    <row r="24886" spans="2:8" ht="15" customHeight="1" x14ac:dyDescent="0.4">
      <c r="B24886" s="3" t="s">
        <v>7</v>
      </c>
      <c r="C24886" s="3" t="s">
        <v>4005</v>
      </c>
      <c r="D24886" s="4">
        <f>DATE(2008,10,8)</f>
        <v>39729</v>
      </c>
      <c r="E24886" s="5">
        <f t="shared" si="412"/>
        <v>2008</v>
      </c>
      <c r="F24886" s="3" t="s">
        <v>4007</v>
      </c>
      <c r="G24886" s="6">
        <v>1508</v>
      </c>
      <c r="H24886" s="5">
        <v>3100</v>
      </c>
    </row>
    <row r="24887" spans="2:8" ht="15" customHeight="1" x14ac:dyDescent="0.4">
      <c r="B24887" s="3" t="s">
        <v>7</v>
      </c>
      <c r="C24887" s="3" t="s">
        <v>4005</v>
      </c>
      <c r="D24887" s="4">
        <f>DATE(2008,10,17)</f>
        <v>39738</v>
      </c>
      <c r="E24887" s="5">
        <f t="shared" si="412"/>
        <v>2008</v>
      </c>
      <c r="F24887" s="3" t="s">
        <v>4007</v>
      </c>
      <c r="G24887" s="6">
        <v>2071.41</v>
      </c>
      <c r="H24887" s="5">
        <v>3101</v>
      </c>
    </row>
    <row r="24888" spans="2:8" ht="15" customHeight="1" x14ac:dyDescent="0.4">
      <c r="B24888" s="3" t="s">
        <v>7</v>
      </c>
      <c r="C24888" s="3" t="s">
        <v>4005</v>
      </c>
      <c r="D24888" s="4">
        <f>DATE(2008,10,17)</f>
        <v>39738</v>
      </c>
      <c r="E24888" s="5">
        <f t="shared" si="412"/>
        <v>2008</v>
      </c>
      <c r="F24888" s="3" t="s">
        <v>4007</v>
      </c>
      <c r="G24888" s="6">
        <v>3655.8</v>
      </c>
      <c r="H24888" s="5">
        <v>3090</v>
      </c>
    </row>
    <row r="24889" spans="2:8" ht="15" customHeight="1" x14ac:dyDescent="0.4">
      <c r="B24889" s="3" t="s">
        <v>7</v>
      </c>
      <c r="C24889" s="3" t="s">
        <v>4005</v>
      </c>
      <c r="D24889" s="4">
        <f>DATE(2008,10,27)</f>
        <v>39748</v>
      </c>
      <c r="E24889" s="5">
        <f t="shared" si="412"/>
        <v>2008</v>
      </c>
      <c r="F24889" s="3" t="s">
        <v>4007</v>
      </c>
      <c r="G24889" s="6">
        <v>4646.3999999999996</v>
      </c>
      <c r="H24889" s="5">
        <v>3126</v>
      </c>
    </row>
    <row r="24890" spans="2:8" ht="15" customHeight="1" x14ac:dyDescent="0.4">
      <c r="B24890" s="3" t="s">
        <v>7</v>
      </c>
      <c r="C24890" s="3" t="s">
        <v>4005</v>
      </c>
      <c r="D24890" s="4">
        <f>DATE(2008,11,20)</f>
        <v>39772</v>
      </c>
      <c r="E24890" s="5">
        <f t="shared" si="412"/>
        <v>2008</v>
      </c>
      <c r="F24890" s="3" t="s">
        <v>4007</v>
      </c>
      <c r="G24890" s="6">
        <v>7407.8</v>
      </c>
      <c r="H24890" s="5">
        <v>3136</v>
      </c>
    </row>
    <row r="24891" spans="2:8" ht="15" customHeight="1" x14ac:dyDescent="0.4">
      <c r="B24891" s="3" t="s">
        <v>7</v>
      </c>
      <c r="C24891" s="3" t="s">
        <v>4005</v>
      </c>
      <c r="D24891" s="4">
        <f>DATE(2008,12,22)</f>
        <v>39804</v>
      </c>
      <c r="E24891" s="5">
        <f t="shared" si="412"/>
        <v>2008</v>
      </c>
      <c r="F24891" s="3" t="s">
        <v>4007</v>
      </c>
      <c r="G24891" s="6">
        <v>9250</v>
      </c>
      <c r="H24891" s="5">
        <v>3168</v>
      </c>
    </row>
    <row r="24892" spans="2:8" ht="15" customHeight="1" x14ac:dyDescent="0.4">
      <c r="B24892" s="3" t="s">
        <v>7</v>
      </c>
      <c r="C24892" s="3" t="s">
        <v>4005</v>
      </c>
      <c r="D24892" s="4">
        <f>DATE(2009,1,6)</f>
        <v>39819</v>
      </c>
      <c r="E24892" s="5">
        <f t="shared" si="412"/>
        <v>2009</v>
      </c>
      <c r="F24892" s="3" t="s">
        <v>4007</v>
      </c>
      <c r="G24892" s="6">
        <v>1290</v>
      </c>
      <c r="H24892" s="5">
        <v>3178</v>
      </c>
    </row>
    <row r="24893" spans="2:8" ht="15" customHeight="1" x14ac:dyDescent="0.4">
      <c r="B24893" s="3" t="s">
        <v>7</v>
      </c>
      <c r="C24893" s="3" t="s">
        <v>4005</v>
      </c>
      <c r="D24893" s="4">
        <f>DATE(2009,2,27)</f>
        <v>39871</v>
      </c>
      <c r="E24893" s="5">
        <f t="shared" si="412"/>
        <v>2009</v>
      </c>
      <c r="F24893" s="3" t="s">
        <v>4007</v>
      </c>
      <c r="G24893" s="6">
        <v>2192</v>
      </c>
      <c r="H24893" s="5">
        <v>3256</v>
      </c>
    </row>
    <row r="24894" spans="2:8" ht="15" customHeight="1" x14ac:dyDescent="0.4">
      <c r="B24894" s="3" t="s">
        <v>7</v>
      </c>
      <c r="C24894" s="3" t="s">
        <v>4005</v>
      </c>
      <c r="D24894" s="4">
        <f>DATE(2009,3,4)</f>
        <v>39876</v>
      </c>
      <c r="E24894" s="5">
        <f t="shared" si="412"/>
        <v>2009</v>
      </c>
      <c r="F24894" s="3" t="s">
        <v>4007</v>
      </c>
      <c r="G24894" s="6">
        <v>4646.3999999999996</v>
      </c>
      <c r="H24894" s="5">
        <v>3305</v>
      </c>
    </row>
    <row r="24895" spans="2:8" ht="15" customHeight="1" x14ac:dyDescent="0.4">
      <c r="B24895" s="3" t="s">
        <v>7</v>
      </c>
      <c r="C24895" s="3" t="s">
        <v>4005</v>
      </c>
      <c r="D24895" s="4">
        <f>DATE(2009,3,16)</f>
        <v>39888</v>
      </c>
      <c r="E24895" s="5">
        <f t="shared" si="412"/>
        <v>2009</v>
      </c>
      <c r="F24895" s="3" t="s">
        <v>4007</v>
      </c>
      <c r="G24895" s="6">
        <v>754</v>
      </c>
      <c r="H24895" s="5">
        <v>3313</v>
      </c>
    </row>
    <row r="24896" spans="2:8" ht="15" customHeight="1" x14ac:dyDescent="0.4">
      <c r="B24896" s="3" t="s">
        <v>7</v>
      </c>
      <c r="C24896" s="3" t="s">
        <v>4005</v>
      </c>
      <c r="D24896" s="4">
        <f>DATE(2009,3,16)</f>
        <v>39888</v>
      </c>
      <c r="E24896" s="5">
        <f t="shared" si="412"/>
        <v>2009</v>
      </c>
      <c r="F24896" s="3" t="s">
        <v>4007</v>
      </c>
      <c r="G24896" s="6">
        <v>484.41</v>
      </c>
      <c r="H24896" s="5">
        <v>3307</v>
      </c>
    </row>
    <row r="24897" spans="2:8" ht="15" customHeight="1" x14ac:dyDescent="0.4">
      <c r="B24897" s="3" t="s">
        <v>7</v>
      </c>
      <c r="C24897" s="3" t="s">
        <v>4005</v>
      </c>
      <c r="D24897" s="4">
        <f>DATE(2009,3,25)</f>
        <v>39897</v>
      </c>
      <c r="E24897" s="5">
        <f t="shared" si="412"/>
        <v>2009</v>
      </c>
      <c r="F24897" s="3" t="s">
        <v>4007</v>
      </c>
      <c r="G24897" s="6">
        <v>1290</v>
      </c>
      <c r="H24897" s="5">
        <v>3304</v>
      </c>
    </row>
    <row r="24898" spans="2:8" ht="15" customHeight="1" x14ac:dyDescent="0.4">
      <c r="B24898" s="3" t="s">
        <v>7</v>
      </c>
      <c r="C24898" s="3" t="s">
        <v>4005</v>
      </c>
      <c r="D24898" s="4">
        <f>DATE(2009,3,27)</f>
        <v>39899</v>
      </c>
      <c r="E24898" s="5">
        <f t="shared" si="412"/>
        <v>2009</v>
      </c>
      <c r="F24898" s="3" t="s">
        <v>4007</v>
      </c>
      <c r="G24898" s="6">
        <v>4248</v>
      </c>
      <c r="H24898" s="5">
        <v>3352</v>
      </c>
    </row>
    <row r="24899" spans="2:8" ht="15" customHeight="1" x14ac:dyDescent="0.4">
      <c r="B24899" s="3" t="s">
        <v>7</v>
      </c>
      <c r="C24899" s="3" t="s">
        <v>4005</v>
      </c>
      <c r="D24899" s="4">
        <f>DATE(2009,4,1)</f>
        <v>39904</v>
      </c>
      <c r="E24899" s="5">
        <f t="shared" ref="E24899:E24962" si="413">YEAR(D24899)</f>
        <v>2009</v>
      </c>
      <c r="F24899" s="3" t="s">
        <v>4007</v>
      </c>
      <c r="G24899" s="6">
        <v>1290</v>
      </c>
      <c r="H24899" s="5">
        <v>3361</v>
      </c>
    </row>
    <row r="24900" spans="2:8" ht="15" customHeight="1" x14ac:dyDescent="0.4">
      <c r="B24900" s="3" t="s">
        <v>7</v>
      </c>
      <c r="C24900" s="3" t="s">
        <v>260</v>
      </c>
      <c r="D24900" s="4">
        <f>DATE(2009,4,13)</f>
        <v>39916</v>
      </c>
      <c r="E24900" s="5">
        <f t="shared" si="413"/>
        <v>2009</v>
      </c>
      <c r="F24900" s="3" t="s">
        <v>4007</v>
      </c>
      <c r="G24900" s="6">
        <v>1370</v>
      </c>
      <c r="H24900" s="5">
        <v>3375</v>
      </c>
    </row>
    <row r="24901" spans="2:8" ht="15" customHeight="1" x14ac:dyDescent="0.4">
      <c r="B24901" s="3" t="s">
        <v>7</v>
      </c>
      <c r="C24901" s="3" t="s">
        <v>4005</v>
      </c>
      <c r="D24901" s="4">
        <f>DATE(2009,4,30)</f>
        <v>39933</v>
      </c>
      <c r="E24901" s="5">
        <f t="shared" si="413"/>
        <v>2009</v>
      </c>
      <c r="F24901" s="3" t="s">
        <v>4007</v>
      </c>
      <c r="G24901" s="6">
        <v>822</v>
      </c>
      <c r="H24901" s="5">
        <v>3402</v>
      </c>
    </row>
    <row r="24902" spans="2:8" ht="15" customHeight="1" x14ac:dyDescent="0.4">
      <c r="B24902" s="3" t="s">
        <v>7</v>
      </c>
      <c r="C24902" s="3" t="s">
        <v>4005</v>
      </c>
      <c r="D24902" s="4">
        <f>DATE(2009,5,19)</f>
        <v>39952</v>
      </c>
      <c r="E24902" s="5">
        <f t="shared" si="413"/>
        <v>2009</v>
      </c>
      <c r="F24902" s="3" t="s">
        <v>4007</v>
      </c>
      <c r="G24902" s="6">
        <v>45.53</v>
      </c>
      <c r="H24902" s="5">
        <v>3428</v>
      </c>
    </row>
    <row r="24903" spans="2:8" ht="15" customHeight="1" x14ac:dyDescent="0.4">
      <c r="B24903" s="3" t="s">
        <v>7</v>
      </c>
      <c r="C24903" s="3" t="s">
        <v>4005</v>
      </c>
      <c r="D24903" s="4">
        <f>DATE(2009,5,19)</f>
        <v>39952</v>
      </c>
      <c r="E24903" s="5">
        <f t="shared" si="413"/>
        <v>2009</v>
      </c>
      <c r="F24903" s="3" t="s">
        <v>4007</v>
      </c>
      <c r="G24903" s="6">
        <v>3619.25</v>
      </c>
      <c r="H24903" s="5">
        <v>3426</v>
      </c>
    </row>
    <row r="24904" spans="2:8" ht="15" customHeight="1" x14ac:dyDescent="0.4">
      <c r="B24904" s="3" t="s">
        <v>7</v>
      </c>
      <c r="C24904" s="3" t="s">
        <v>4005</v>
      </c>
      <c r="D24904" s="4">
        <f>DATE(2009,5,29)</f>
        <v>39962</v>
      </c>
      <c r="E24904" s="5">
        <f t="shared" si="413"/>
        <v>2009</v>
      </c>
      <c r="F24904" s="3" t="s">
        <v>4007</v>
      </c>
      <c r="G24904" s="6">
        <v>2360.6</v>
      </c>
      <c r="H24904" s="5">
        <v>3455</v>
      </c>
    </row>
    <row r="24905" spans="2:8" ht="15" customHeight="1" x14ac:dyDescent="0.4">
      <c r="B24905" s="3" t="s">
        <v>7</v>
      </c>
      <c r="C24905" s="3" t="s">
        <v>4005</v>
      </c>
      <c r="D24905" s="4">
        <f>DATE(2009,10,15)</f>
        <v>40101</v>
      </c>
      <c r="E24905" s="5">
        <f t="shared" si="413"/>
        <v>2009</v>
      </c>
      <c r="F24905" s="3" t="s">
        <v>4007</v>
      </c>
      <c r="G24905" s="6">
        <v>338</v>
      </c>
      <c r="H24905" s="5">
        <v>3616</v>
      </c>
    </row>
    <row r="24906" spans="2:8" ht="15" customHeight="1" x14ac:dyDescent="0.4">
      <c r="B24906" s="3" t="s">
        <v>7</v>
      </c>
      <c r="C24906" s="3" t="s">
        <v>260</v>
      </c>
      <c r="D24906" s="4">
        <f>DATE(2008,9,17)</f>
        <v>39708</v>
      </c>
      <c r="E24906" s="5">
        <f t="shared" si="413"/>
        <v>2008</v>
      </c>
      <c r="F24906" s="3" t="s">
        <v>4007</v>
      </c>
      <c r="G24906" s="6">
        <v>20157.759999999998</v>
      </c>
      <c r="H24906" s="5">
        <v>3070</v>
      </c>
    </row>
    <row r="24907" spans="2:8" ht="15" customHeight="1" x14ac:dyDescent="0.4">
      <c r="B24907" s="3" t="s">
        <v>7</v>
      </c>
      <c r="C24907" s="3" t="s">
        <v>4005</v>
      </c>
      <c r="D24907" s="4">
        <f>DATE(2007,6,13)</f>
        <v>39246</v>
      </c>
      <c r="E24907" s="5">
        <f t="shared" si="413"/>
        <v>2007</v>
      </c>
      <c r="F24907" s="3" t="s">
        <v>4008</v>
      </c>
      <c r="G24907" s="6">
        <v>2569</v>
      </c>
      <c r="H24907" s="5">
        <v>2300</v>
      </c>
    </row>
    <row r="24908" spans="2:8" ht="15" customHeight="1" x14ac:dyDescent="0.4">
      <c r="B24908" t="s">
        <v>7</v>
      </c>
      <c r="C24908" t="s">
        <v>4009</v>
      </c>
      <c r="D24908" s="7">
        <f>DATE(2018,3,13)</f>
        <v>43172</v>
      </c>
      <c r="E24908" s="8">
        <f t="shared" si="413"/>
        <v>2018</v>
      </c>
      <c r="F24908" t="s">
        <v>4010</v>
      </c>
      <c r="G24908" s="9">
        <v>73272.47</v>
      </c>
      <c r="H24908" s="8">
        <v>26449</v>
      </c>
    </row>
    <row r="24909" spans="2:8" ht="15" customHeight="1" x14ac:dyDescent="0.4">
      <c r="B24909" t="s">
        <v>7</v>
      </c>
      <c r="C24909" t="s">
        <v>4009</v>
      </c>
      <c r="D24909" s="7">
        <f>DATE(2018,5,1)</f>
        <v>43221</v>
      </c>
      <c r="E24909" s="8">
        <f t="shared" si="413"/>
        <v>2018</v>
      </c>
      <c r="F24909" t="s">
        <v>4010</v>
      </c>
      <c r="G24909" s="9">
        <v>20351.599999999999</v>
      </c>
      <c r="H24909" s="8">
        <v>26776</v>
      </c>
    </row>
    <row r="24910" spans="2:8" ht="15" customHeight="1" x14ac:dyDescent="0.4">
      <c r="B24910" t="s">
        <v>7</v>
      </c>
      <c r="C24910" t="s">
        <v>4009</v>
      </c>
      <c r="D24910" s="7">
        <f>DATE(2018,5,1)</f>
        <v>43221</v>
      </c>
      <c r="E24910" s="8">
        <f t="shared" si="413"/>
        <v>2018</v>
      </c>
      <c r="F24910" t="s">
        <v>4010</v>
      </c>
      <c r="G24910" s="9">
        <v>23258.74</v>
      </c>
      <c r="H24910" s="8">
        <v>26774</v>
      </c>
    </row>
    <row r="24911" spans="2:8" ht="15" customHeight="1" x14ac:dyDescent="0.4">
      <c r="B24911" t="s">
        <v>7</v>
      </c>
      <c r="C24911" t="s">
        <v>4009</v>
      </c>
      <c r="D24911" s="7">
        <f>DATE(2018,5,1)</f>
        <v>43221</v>
      </c>
      <c r="E24911" s="8">
        <f t="shared" si="413"/>
        <v>2018</v>
      </c>
      <c r="F24911" t="s">
        <v>4010</v>
      </c>
      <c r="G24911" s="9">
        <v>26728.400000000001</v>
      </c>
      <c r="H24911" s="8">
        <v>26777</v>
      </c>
    </row>
    <row r="24912" spans="2:8" ht="15" customHeight="1" x14ac:dyDescent="0.4">
      <c r="B24912" t="s">
        <v>7</v>
      </c>
      <c r="C24912" t="s">
        <v>4009</v>
      </c>
      <c r="D24912" s="7">
        <f>DATE(2018,3,22)</f>
        <v>43181</v>
      </c>
      <c r="E24912" s="8">
        <f t="shared" si="413"/>
        <v>2018</v>
      </c>
      <c r="F24912" t="s">
        <v>4010</v>
      </c>
      <c r="G24912" s="9">
        <v>5580</v>
      </c>
      <c r="H24912" s="8">
        <v>26644</v>
      </c>
    </row>
    <row r="24913" spans="2:8" ht="15" customHeight="1" x14ac:dyDescent="0.4">
      <c r="B24913" t="s">
        <v>7</v>
      </c>
      <c r="C24913" t="s">
        <v>66</v>
      </c>
      <c r="D24913" s="7">
        <f>DATE(2006,4,5)</f>
        <v>38812</v>
      </c>
      <c r="E24913" s="8">
        <f t="shared" si="413"/>
        <v>2006</v>
      </c>
      <c r="F24913" t="s">
        <v>4011</v>
      </c>
      <c r="G24913" s="9">
        <v>4537.33</v>
      </c>
      <c r="H24913" s="8">
        <v>4429</v>
      </c>
    </row>
    <row r="24914" spans="2:8" ht="15" customHeight="1" x14ac:dyDescent="0.4">
      <c r="B24914" t="s">
        <v>7</v>
      </c>
      <c r="C24914" t="s">
        <v>66</v>
      </c>
      <c r="D24914" s="7">
        <f>DATE(2006,7,13)</f>
        <v>38911</v>
      </c>
      <c r="E24914" s="8">
        <f t="shared" si="413"/>
        <v>2006</v>
      </c>
      <c r="F24914" t="s">
        <v>4011</v>
      </c>
      <c r="G24914" s="9">
        <v>4576.03</v>
      </c>
      <c r="H24914" s="8">
        <v>4769</v>
      </c>
    </row>
    <row r="24915" spans="2:8" ht="15" customHeight="1" x14ac:dyDescent="0.4">
      <c r="B24915" t="s">
        <v>7</v>
      </c>
      <c r="C24915" t="s">
        <v>66</v>
      </c>
      <c r="D24915" s="7">
        <f>DATE(2007,5,23)</f>
        <v>39225</v>
      </c>
      <c r="E24915" s="8">
        <f t="shared" si="413"/>
        <v>2007</v>
      </c>
      <c r="F24915" t="s">
        <v>4011</v>
      </c>
      <c r="G24915" s="9">
        <v>8659.7999999999993</v>
      </c>
      <c r="H24915" s="8">
        <v>6006</v>
      </c>
    </row>
    <row r="24916" spans="2:8" ht="15" customHeight="1" x14ac:dyDescent="0.4">
      <c r="B24916" s="3" t="s">
        <v>7</v>
      </c>
      <c r="C24916" s="3" t="s">
        <v>66</v>
      </c>
      <c r="D24916" s="4">
        <f>DATE(2003,10,24)</f>
        <v>37918</v>
      </c>
      <c r="E24916" s="5">
        <f t="shared" si="413"/>
        <v>2003</v>
      </c>
      <c r="F24916" s="3" t="s">
        <v>4011</v>
      </c>
      <c r="G24916" s="6">
        <v>1128.5</v>
      </c>
      <c r="H24916" s="5">
        <v>1697</v>
      </c>
    </row>
    <row r="24917" spans="2:8" ht="15" customHeight="1" x14ac:dyDescent="0.4">
      <c r="B24917" s="3" t="s">
        <v>7</v>
      </c>
      <c r="C24917" s="3" t="s">
        <v>66</v>
      </c>
      <c r="D24917" s="4">
        <f>DATE(2003,11,26)</f>
        <v>37951</v>
      </c>
      <c r="E24917" s="5">
        <f t="shared" si="413"/>
        <v>2003</v>
      </c>
      <c r="F24917" s="3" t="s">
        <v>4011</v>
      </c>
      <c r="G24917" s="6">
        <v>2919</v>
      </c>
      <c r="H24917" s="5">
        <v>1818</v>
      </c>
    </row>
    <row r="24918" spans="2:8" ht="15" customHeight="1" x14ac:dyDescent="0.4">
      <c r="B24918" t="s">
        <v>7</v>
      </c>
      <c r="C24918" t="s">
        <v>4012</v>
      </c>
      <c r="D24918" s="7">
        <f>DATE(2015,7,22)</f>
        <v>42207</v>
      </c>
      <c r="E24918" s="8">
        <f t="shared" si="413"/>
        <v>2015</v>
      </c>
      <c r="F24918" t="s">
        <v>4013</v>
      </c>
      <c r="G24918" s="9">
        <v>4918.8900000000003</v>
      </c>
      <c r="H24918" s="8">
        <v>20930</v>
      </c>
    </row>
    <row r="24919" spans="2:8" ht="15" customHeight="1" x14ac:dyDescent="0.4">
      <c r="B24919" t="s">
        <v>7</v>
      </c>
      <c r="C24919" t="s">
        <v>4014</v>
      </c>
      <c r="D24919" s="7">
        <f>DATE(2018,5,23)</f>
        <v>43243</v>
      </c>
      <c r="E24919" s="8">
        <f t="shared" si="413"/>
        <v>2018</v>
      </c>
      <c r="F24919" t="s">
        <v>4015</v>
      </c>
      <c r="G24919" s="9">
        <v>35912.51</v>
      </c>
      <c r="H24919" s="8">
        <v>26523</v>
      </c>
    </row>
    <row r="24920" spans="2:8" ht="15" customHeight="1" x14ac:dyDescent="0.4">
      <c r="B24920" t="s">
        <v>7</v>
      </c>
      <c r="C24920" t="s">
        <v>4014</v>
      </c>
      <c r="D24920" s="7">
        <f>DATE(2018,5,24)</f>
        <v>43244</v>
      </c>
      <c r="E24920" s="8">
        <f t="shared" si="413"/>
        <v>2018</v>
      </c>
      <c r="F24920" t="s">
        <v>4015</v>
      </c>
      <c r="G24920" s="9">
        <v>25785.21</v>
      </c>
      <c r="H24920" s="8">
        <v>26469</v>
      </c>
    </row>
    <row r="24921" spans="2:8" ht="15" customHeight="1" x14ac:dyDescent="0.4">
      <c r="B24921" t="s">
        <v>7</v>
      </c>
      <c r="C24921" t="s">
        <v>4014</v>
      </c>
      <c r="D24921" s="7">
        <f>DATE(2019,4,30)</f>
        <v>43585</v>
      </c>
      <c r="E24921" s="8">
        <f t="shared" si="413"/>
        <v>2019</v>
      </c>
      <c r="F24921" t="s">
        <v>4015</v>
      </c>
      <c r="G24921" s="9">
        <v>42729.919999999998</v>
      </c>
      <c r="H24921" s="8">
        <v>28564</v>
      </c>
    </row>
    <row r="24922" spans="2:8" ht="15" customHeight="1" x14ac:dyDescent="0.4">
      <c r="B24922" t="s">
        <v>7</v>
      </c>
      <c r="C24922" t="s">
        <v>4014</v>
      </c>
      <c r="D24922" s="7">
        <f>DATE(2016,3,16)</f>
        <v>42445</v>
      </c>
      <c r="E24922" s="8">
        <f t="shared" si="413"/>
        <v>2016</v>
      </c>
      <c r="F24922" t="s">
        <v>4015</v>
      </c>
      <c r="G24922" s="9">
        <v>734</v>
      </c>
      <c r="H24922" s="8">
        <v>22444</v>
      </c>
    </row>
    <row r="24923" spans="2:8" ht="15" customHeight="1" x14ac:dyDescent="0.4">
      <c r="B24923" t="s">
        <v>7</v>
      </c>
      <c r="C24923" t="s">
        <v>4014</v>
      </c>
      <c r="D24923" s="7">
        <f>DATE(2018,5,30)</f>
        <v>43250</v>
      </c>
      <c r="E24923" s="8">
        <f t="shared" si="413"/>
        <v>2018</v>
      </c>
      <c r="F24923" t="s">
        <v>4015</v>
      </c>
      <c r="G24923" s="9">
        <v>8741.2999999999993</v>
      </c>
      <c r="H24923" s="8">
        <v>27107</v>
      </c>
    </row>
    <row r="24924" spans="2:8" ht="15" customHeight="1" x14ac:dyDescent="0.4">
      <c r="B24924" s="3" t="s">
        <v>7</v>
      </c>
      <c r="C24924" s="3" t="s">
        <v>4014</v>
      </c>
      <c r="D24924" s="4">
        <f>DATE(2004,10,15)</f>
        <v>38275</v>
      </c>
      <c r="E24924" s="5">
        <f t="shared" si="413"/>
        <v>2004</v>
      </c>
      <c r="F24924" s="3" t="s">
        <v>4015</v>
      </c>
      <c r="G24924" s="6">
        <v>511.25</v>
      </c>
      <c r="H24924" s="5">
        <v>3455</v>
      </c>
    </row>
    <row r="24925" spans="2:8" ht="15" customHeight="1" x14ac:dyDescent="0.4">
      <c r="B24925" s="3" t="s">
        <v>7</v>
      </c>
      <c r="C24925" s="3" t="s">
        <v>4014</v>
      </c>
      <c r="D24925" s="4">
        <f>DATE(2012,3,2)</f>
        <v>40970</v>
      </c>
      <c r="E24925" s="5">
        <f t="shared" si="413"/>
        <v>2012</v>
      </c>
      <c r="F24925" s="3" t="s">
        <v>4015</v>
      </c>
      <c r="G24925" s="6">
        <v>103.5</v>
      </c>
      <c r="H24925" s="5">
        <v>16692</v>
      </c>
    </row>
    <row r="24926" spans="2:8" ht="15" customHeight="1" x14ac:dyDescent="0.4">
      <c r="B24926" s="3" t="s">
        <v>7</v>
      </c>
      <c r="C24926" s="3" t="s">
        <v>4014</v>
      </c>
      <c r="D24926" s="4">
        <f>DATE(2012,4,9)</f>
        <v>41008</v>
      </c>
      <c r="E24926" s="5">
        <f t="shared" si="413"/>
        <v>2012</v>
      </c>
      <c r="F24926" s="3" t="s">
        <v>4015</v>
      </c>
      <c r="G24926" s="6">
        <v>489</v>
      </c>
      <c r="H24926" s="5">
        <v>16925</v>
      </c>
    </row>
    <row r="24927" spans="2:8" ht="15" customHeight="1" x14ac:dyDescent="0.4">
      <c r="B24927" s="3" t="s">
        <v>7</v>
      </c>
      <c r="C24927" s="3" t="s">
        <v>4014</v>
      </c>
      <c r="D24927" s="4">
        <f>DATE(2013,2,14)</f>
        <v>41319</v>
      </c>
      <c r="E24927" s="5">
        <f t="shared" si="413"/>
        <v>2013</v>
      </c>
      <c r="F24927" s="3" t="s">
        <v>4015</v>
      </c>
      <c r="G24927" s="6">
        <v>2134.59</v>
      </c>
      <c r="H24927" s="5">
        <v>18124</v>
      </c>
    </row>
    <row r="24928" spans="2:8" ht="15" customHeight="1" x14ac:dyDescent="0.4">
      <c r="B24928" s="3" t="s">
        <v>7</v>
      </c>
      <c r="C24928" s="3" t="s">
        <v>4014</v>
      </c>
      <c r="D24928" s="4">
        <f>DATE(2013,3,20)</f>
        <v>41353</v>
      </c>
      <c r="E24928" s="5">
        <f t="shared" si="413"/>
        <v>2013</v>
      </c>
      <c r="F24928" s="3" t="s">
        <v>4015</v>
      </c>
      <c r="G24928" s="6">
        <v>5851.99</v>
      </c>
      <c r="H24928" s="5">
        <v>18277</v>
      </c>
    </row>
    <row r="24929" spans="2:8" ht="15" customHeight="1" x14ac:dyDescent="0.4">
      <c r="B24929" s="3" t="s">
        <v>7</v>
      </c>
      <c r="C24929" s="3" t="s">
        <v>4014</v>
      </c>
      <c r="D24929" s="4">
        <f>DATE(2014,11,5)</f>
        <v>41948</v>
      </c>
      <c r="E24929" s="5">
        <f t="shared" si="413"/>
        <v>2014</v>
      </c>
      <c r="F24929" s="3" t="s">
        <v>4015</v>
      </c>
      <c r="G24929" s="6">
        <v>962</v>
      </c>
      <c r="H24929" s="5">
        <v>20597</v>
      </c>
    </row>
    <row r="24930" spans="2:8" ht="15" customHeight="1" x14ac:dyDescent="0.4">
      <c r="B24930" t="s">
        <v>7</v>
      </c>
      <c r="C24930" t="s">
        <v>4016</v>
      </c>
      <c r="D24930" s="7">
        <f>DATE(2019,5,7)</f>
        <v>43592</v>
      </c>
      <c r="E24930" s="8">
        <f t="shared" si="413"/>
        <v>2019</v>
      </c>
      <c r="F24930" t="s">
        <v>4017</v>
      </c>
      <c r="G24930" s="9">
        <v>18368.2</v>
      </c>
      <c r="H24930" s="8">
        <v>28811</v>
      </c>
    </row>
    <row r="24931" spans="2:8" ht="15" customHeight="1" x14ac:dyDescent="0.4">
      <c r="B24931" t="s">
        <v>7</v>
      </c>
      <c r="C24931" t="s">
        <v>4016</v>
      </c>
      <c r="D24931" s="7">
        <f>DATE(2019,3,11)</f>
        <v>43535</v>
      </c>
      <c r="E24931" s="8">
        <f t="shared" si="413"/>
        <v>2019</v>
      </c>
      <c r="F24931" t="s">
        <v>4017</v>
      </c>
      <c r="G24931" s="9">
        <v>2209</v>
      </c>
      <c r="H24931" s="8">
        <v>28601</v>
      </c>
    </row>
    <row r="24932" spans="2:8" ht="15" customHeight="1" x14ac:dyDescent="0.4">
      <c r="B24932" t="s">
        <v>7</v>
      </c>
      <c r="C24932" t="s">
        <v>4016</v>
      </c>
      <c r="D24932" s="7">
        <f>DATE(2019,5,7)</f>
        <v>43592</v>
      </c>
      <c r="E24932" s="8">
        <f t="shared" si="413"/>
        <v>2019</v>
      </c>
      <c r="F24932" t="s">
        <v>4017</v>
      </c>
      <c r="G24932" s="9">
        <v>2904.46</v>
      </c>
      <c r="H24932" s="8">
        <v>28810</v>
      </c>
    </row>
    <row r="24933" spans="2:8" ht="15" customHeight="1" x14ac:dyDescent="0.4">
      <c r="B24933" t="s">
        <v>7</v>
      </c>
      <c r="C24933" t="s">
        <v>4018</v>
      </c>
      <c r="D24933" s="7">
        <f>DATE(2016,10,26)</f>
        <v>42669</v>
      </c>
      <c r="E24933" s="8">
        <f t="shared" si="413"/>
        <v>2016</v>
      </c>
      <c r="F24933" t="s">
        <v>4019</v>
      </c>
      <c r="G24933" s="9">
        <v>160.56</v>
      </c>
      <c r="H24933" s="8">
        <v>23699</v>
      </c>
    </row>
    <row r="24934" spans="2:8" ht="15" customHeight="1" x14ac:dyDescent="0.4">
      <c r="B24934" t="s">
        <v>7</v>
      </c>
      <c r="C24934" t="s">
        <v>4020</v>
      </c>
      <c r="D24934" s="7">
        <f>DATE(2015,3,24)</f>
        <v>42087</v>
      </c>
      <c r="E24934" s="8">
        <f t="shared" si="413"/>
        <v>2015</v>
      </c>
      <c r="F24934" t="s">
        <v>4021</v>
      </c>
      <c r="G24934" s="9">
        <v>38693</v>
      </c>
      <c r="H24934" s="8">
        <v>182</v>
      </c>
    </row>
    <row r="24935" spans="2:8" ht="15" customHeight="1" x14ac:dyDescent="0.4">
      <c r="B24935" t="s">
        <v>7</v>
      </c>
      <c r="C24935" t="s">
        <v>4020</v>
      </c>
      <c r="D24935" s="7">
        <f>DATE(2015,5,20)</f>
        <v>42144</v>
      </c>
      <c r="E24935" s="8">
        <f t="shared" si="413"/>
        <v>2015</v>
      </c>
      <c r="F24935" t="s">
        <v>4021</v>
      </c>
      <c r="G24935" s="9">
        <v>40880</v>
      </c>
      <c r="H24935" s="8">
        <v>20447</v>
      </c>
    </row>
    <row r="24936" spans="2:8" ht="15" customHeight="1" x14ac:dyDescent="0.4">
      <c r="B24936" t="s">
        <v>7</v>
      </c>
      <c r="C24936" t="s">
        <v>4020</v>
      </c>
      <c r="D24936" s="7">
        <f>DATE(2016,2,29)</f>
        <v>42429</v>
      </c>
      <c r="E24936" s="8">
        <f t="shared" si="413"/>
        <v>2016</v>
      </c>
      <c r="F24936" t="s">
        <v>4021</v>
      </c>
      <c r="G24936" s="9">
        <v>25648</v>
      </c>
      <c r="H24936" s="8">
        <v>22102</v>
      </c>
    </row>
    <row r="24937" spans="2:8" ht="15" customHeight="1" x14ac:dyDescent="0.4">
      <c r="B24937" t="s">
        <v>7</v>
      </c>
      <c r="C24937" t="s">
        <v>4020</v>
      </c>
      <c r="D24937" s="7">
        <f>DATE(2016,5,4)</f>
        <v>42494</v>
      </c>
      <c r="E24937" s="8">
        <f t="shared" si="413"/>
        <v>2016</v>
      </c>
      <c r="F24937" t="s">
        <v>4021</v>
      </c>
      <c r="G24937" s="9">
        <v>26737.42</v>
      </c>
      <c r="H24937" s="8">
        <v>22695</v>
      </c>
    </row>
    <row r="24938" spans="2:8" ht="15" customHeight="1" x14ac:dyDescent="0.4">
      <c r="B24938" t="s">
        <v>7</v>
      </c>
      <c r="C24938" t="s">
        <v>4020</v>
      </c>
      <c r="D24938" s="7">
        <f>DATE(2017,3,17)</f>
        <v>42811</v>
      </c>
      <c r="E24938" s="8">
        <f t="shared" si="413"/>
        <v>2017</v>
      </c>
      <c r="F24938" t="s">
        <v>4021</v>
      </c>
      <c r="G24938" s="9">
        <v>33110</v>
      </c>
      <c r="H24938" s="8">
        <v>23999</v>
      </c>
    </row>
    <row r="24939" spans="2:8" ht="15" customHeight="1" x14ac:dyDescent="0.4">
      <c r="B24939" t="s">
        <v>7</v>
      </c>
      <c r="C24939" t="s">
        <v>4020</v>
      </c>
      <c r="D24939" s="7">
        <f>DATE(2017,3,17)</f>
        <v>42811</v>
      </c>
      <c r="E24939" s="8">
        <f t="shared" si="413"/>
        <v>2017</v>
      </c>
      <c r="F24939" t="s">
        <v>4021</v>
      </c>
      <c r="G24939" s="9">
        <v>5873</v>
      </c>
      <c r="H24939" s="8">
        <v>24000</v>
      </c>
    </row>
    <row r="24940" spans="2:8" ht="15" customHeight="1" x14ac:dyDescent="0.4">
      <c r="B24940" t="s">
        <v>7</v>
      </c>
      <c r="C24940" t="s">
        <v>4020</v>
      </c>
      <c r="D24940" s="7">
        <f>DATE(2017,7,5)</f>
        <v>42921</v>
      </c>
      <c r="E24940" s="8">
        <f t="shared" si="413"/>
        <v>2017</v>
      </c>
      <c r="F24940" t="s">
        <v>4021</v>
      </c>
      <c r="G24940" s="9">
        <v>7253.65</v>
      </c>
      <c r="H24940" s="8">
        <v>25198</v>
      </c>
    </row>
    <row r="24941" spans="2:8" ht="15" customHeight="1" x14ac:dyDescent="0.4">
      <c r="B24941" t="s">
        <v>7</v>
      </c>
      <c r="C24941" t="s">
        <v>4020</v>
      </c>
      <c r="D24941" s="7">
        <f>DATE(2017,8,25)</f>
        <v>42972</v>
      </c>
      <c r="E24941" s="8">
        <f t="shared" si="413"/>
        <v>2017</v>
      </c>
      <c r="F24941" t="s">
        <v>4021</v>
      </c>
      <c r="G24941" s="9">
        <v>7531.13</v>
      </c>
      <c r="H24941" s="8">
        <v>25463</v>
      </c>
    </row>
    <row r="24942" spans="2:8" ht="15" customHeight="1" x14ac:dyDescent="0.4">
      <c r="B24942" t="s">
        <v>7</v>
      </c>
      <c r="C24942" t="s">
        <v>4020</v>
      </c>
      <c r="D24942" s="7">
        <f>DATE(2018,4,5)</f>
        <v>43195</v>
      </c>
      <c r="E24942" s="8">
        <f t="shared" si="413"/>
        <v>2018</v>
      </c>
      <c r="F24942" t="s">
        <v>4021</v>
      </c>
      <c r="G24942" s="9">
        <v>41403.160000000003</v>
      </c>
      <c r="H24942" s="8">
        <v>26721</v>
      </c>
    </row>
    <row r="24943" spans="2:8" ht="15" customHeight="1" x14ac:dyDescent="0.4">
      <c r="B24943" t="s">
        <v>7</v>
      </c>
      <c r="C24943" t="s">
        <v>4020</v>
      </c>
      <c r="D24943" s="7">
        <f>DATE(2018,5,31)</f>
        <v>43251</v>
      </c>
      <c r="E24943" s="8">
        <f t="shared" si="413"/>
        <v>2018</v>
      </c>
      <c r="F24943" t="s">
        <v>4021</v>
      </c>
      <c r="G24943" s="9">
        <v>40263.53</v>
      </c>
      <c r="H24943" s="8">
        <v>26338</v>
      </c>
    </row>
    <row r="24944" spans="2:8" ht="15" customHeight="1" x14ac:dyDescent="0.4">
      <c r="B24944" t="s">
        <v>7</v>
      </c>
      <c r="C24944" t="s">
        <v>4020</v>
      </c>
      <c r="D24944" s="7">
        <f>DATE(2018,7,9)</f>
        <v>43290</v>
      </c>
      <c r="E24944" s="8">
        <f t="shared" si="413"/>
        <v>2018</v>
      </c>
      <c r="F24944" t="s">
        <v>4021</v>
      </c>
      <c r="G24944" s="9">
        <v>49839.85</v>
      </c>
      <c r="H24944" s="8">
        <v>27251</v>
      </c>
    </row>
    <row r="24945" spans="2:8" ht="15" customHeight="1" x14ac:dyDescent="0.4">
      <c r="B24945" t="s">
        <v>7</v>
      </c>
      <c r="C24945" t="s">
        <v>4020</v>
      </c>
      <c r="D24945" s="7">
        <f>DATE(2016,9,27)</f>
        <v>42640</v>
      </c>
      <c r="E24945" s="8">
        <f t="shared" si="413"/>
        <v>2016</v>
      </c>
      <c r="F24945" t="s">
        <v>4021</v>
      </c>
      <c r="G24945" s="9">
        <v>6156.34</v>
      </c>
      <c r="H24945" s="8">
        <v>23462</v>
      </c>
    </row>
    <row r="24946" spans="2:8" ht="15" customHeight="1" x14ac:dyDescent="0.4">
      <c r="B24946" t="s">
        <v>7</v>
      </c>
      <c r="C24946" t="s">
        <v>4020</v>
      </c>
      <c r="D24946" s="7">
        <f t="shared" ref="D24946:D24952" si="414">DATE(2016,9,30)</f>
        <v>42643</v>
      </c>
      <c r="E24946" s="8">
        <f t="shared" si="413"/>
        <v>2016</v>
      </c>
      <c r="F24946" t="s">
        <v>4021</v>
      </c>
      <c r="G24946" s="9">
        <v>3632.82</v>
      </c>
      <c r="H24946" s="8">
        <v>23462</v>
      </c>
    </row>
    <row r="24947" spans="2:8" ht="15" customHeight="1" x14ac:dyDescent="0.4">
      <c r="B24947" t="s">
        <v>7</v>
      </c>
      <c r="C24947" t="s">
        <v>4020</v>
      </c>
      <c r="D24947" s="7">
        <f t="shared" si="414"/>
        <v>42643</v>
      </c>
      <c r="E24947" s="8">
        <f t="shared" si="413"/>
        <v>2016</v>
      </c>
      <c r="F24947" t="s">
        <v>4021</v>
      </c>
      <c r="G24947" s="9">
        <v>6051.97</v>
      </c>
      <c r="H24947" s="8">
        <v>23462</v>
      </c>
    </row>
    <row r="24948" spans="2:8" ht="15" customHeight="1" x14ac:dyDescent="0.4">
      <c r="B24948" t="s">
        <v>7</v>
      </c>
      <c r="C24948" t="s">
        <v>4020</v>
      </c>
      <c r="D24948" s="7">
        <f t="shared" si="414"/>
        <v>42643</v>
      </c>
      <c r="E24948" s="8">
        <f t="shared" si="413"/>
        <v>2016</v>
      </c>
      <c r="F24948" t="s">
        <v>4021</v>
      </c>
      <c r="G24948" s="9">
        <v>10701.47</v>
      </c>
      <c r="H24948" s="8">
        <v>23462</v>
      </c>
    </row>
    <row r="24949" spans="2:8" ht="15" customHeight="1" x14ac:dyDescent="0.4">
      <c r="B24949" t="s">
        <v>7</v>
      </c>
      <c r="C24949" t="s">
        <v>4020</v>
      </c>
      <c r="D24949" s="7">
        <f t="shared" si="414"/>
        <v>42643</v>
      </c>
      <c r="E24949" s="8">
        <f t="shared" si="413"/>
        <v>2016</v>
      </c>
      <c r="F24949" t="s">
        <v>4021</v>
      </c>
      <c r="G24949" s="9">
        <v>2689.91</v>
      </c>
      <c r="H24949" s="8">
        <v>23484</v>
      </c>
    </row>
    <row r="24950" spans="2:8" ht="15" customHeight="1" x14ac:dyDescent="0.4">
      <c r="B24950" t="s">
        <v>7</v>
      </c>
      <c r="C24950" t="s">
        <v>4020</v>
      </c>
      <c r="D24950" s="7">
        <f t="shared" si="414"/>
        <v>42643</v>
      </c>
      <c r="E24950" s="8">
        <f t="shared" si="413"/>
        <v>2016</v>
      </c>
      <c r="F24950" t="s">
        <v>4021</v>
      </c>
      <c r="G24950" s="9">
        <v>3035.35</v>
      </c>
      <c r="H24950" s="8">
        <v>23484</v>
      </c>
    </row>
    <row r="24951" spans="2:8" ht="15" customHeight="1" x14ac:dyDescent="0.4">
      <c r="B24951" t="s">
        <v>7</v>
      </c>
      <c r="C24951" t="s">
        <v>4020</v>
      </c>
      <c r="D24951" s="7">
        <f t="shared" si="414"/>
        <v>42643</v>
      </c>
      <c r="E24951" s="8">
        <f t="shared" si="413"/>
        <v>2016</v>
      </c>
      <c r="F24951" t="s">
        <v>4021</v>
      </c>
      <c r="G24951" s="9">
        <v>2685.66</v>
      </c>
      <c r="H24951" s="8">
        <v>23484</v>
      </c>
    </row>
    <row r="24952" spans="2:8" ht="15" customHeight="1" x14ac:dyDescent="0.4">
      <c r="B24952" t="s">
        <v>7</v>
      </c>
      <c r="C24952" t="s">
        <v>4020</v>
      </c>
      <c r="D24952" s="7">
        <f t="shared" si="414"/>
        <v>42643</v>
      </c>
      <c r="E24952" s="8">
        <f t="shared" si="413"/>
        <v>2016</v>
      </c>
      <c r="F24952" t="s">
        <v>4021</v>
      </c>
      <c r="G24952" s="9">
        <v>5318.35</v>
      </c>
      <c r="H24952" s="8">
        <v>23484</v>
      </c>
    </row>
    <row r="24953" spans="2:8" ht="15" customHeight="1" x14ac:dyDescent="0.4">
      <c r="B24953" t="s">
        <v>7</v>
      </c>
      <c r="C24953" t="s">
        <v>4020</v>
      </c>
      <c r="D24953" s="7">
        <f>DATE(2016,11,1)</f>
        <v>42675</v>
      </c>
      <c r="E24953" s="8">
        <f t="shared" si="413"/>
        <v>2016</v>
      </c>
      <c r="F24953" t="s">
        <v>4021</v>
      </c>
      <c r="G24953" s="9">
        <v>5555.14</v>
      </c>
      <c r="H24953" s="8">
        <v>23575</v>
      </c>
    </row>
    <row r="24954" spans="2:8" ht="15" customHeight="1" x14ac:dyDescent="0.4">
      <c r="B24954" t="s">
        <v>7</v>
      </c>
      <c r="C24954" t="s">
        <v>4020</v>
      </c>
      <c r="D24954" s="7">
        <f>DATE(2016,11,1)</f>
        <v>42675</v>
      </c>
      <c r="E24954" s="8">
        <f t="shared" si="413"/>
        <v>2016</v>
      </c>
      <c r="F24954" t="s">
        <v>4021</v>
      </c>
      <c r="G24954" s="9">
        <v>2834.63</v>
      </c>
      <c r="H24954" s="8">
        <v>23576</v>
      </c>
    </row>
    <row r="24955" spans="2:8" ht="15" customHeight="1" x14ac:dyDescent="0.4">
      <c r="B24955" t="s">
        <v>7</v>
      </c>
      <c r="C24955" t="s">
        <v>4020</v>
      </c>
      <c r="D24955" s="7">
        <f>DATE(2016,11,30)</f>
        <v>42704</v>
      </c>
      <c r="E24955" s="8">
        <f t="shared" si="413"/>
        <v>2016</v>
      </c>
      <c r="F24955" t="s">
        <v>4021</v>
      </c>
      <c r="G24955" s="9">
        <v>13472.13</v>
      </c>
      <c r="H24955" s="8">
        <v>23484</v>
      </c>
    </row>
    <row r="24956" spans="2:8" ht="15" customHeight="1" x14ac:dyDescent="0.4">
      <c r="B24956" t="s">
        <v>7</v>
      </c>
      <c r="C24956" t="s">
        <v>4020</v>
      </c>
      <c r="D24956" s="7">
        <f>DATE(2018,4,17)</f>
        <v>43207</v>
      </c>
      <c r="E24956" s="8">
        <f t="shared" si="413"/>
        <v>2018</v>
      </c>
      <c r="F24956" t="s">
        <v>4021</v>
      </c>
      <c r="G24956" s="9">
        <v>2820.84</v>
      </c>
      <c r="H24956" s="8">
        <v>26863</v>
      </c>
    </row>
    <row r="24957" spans="2:8" ht="15" customHeight="1" x14ac:dyDescent="0.4">
      <c r="B24957" t="s">
        <v>7</v>
      </c>
      <c r="C24957" t="s">
        <v>4020</v>
      </c>
      <c r="D24957" s="7">
        <f>DATE(2018,5,16)</f>
        <v>43236</v>
      </c>
      <c r="E24957" s="8">
        <f t="shared" si="413"/>
        <v>2018</v>
      </c>
      <c r="F24957" t="s">
        <v>4021</v>
      </c>
      <c r="G24957" s="9">
        <v>694.19</v>
      </c>
      <c r="H24957" s="8">
        <v>27025</v>
      </c>
    </row>
    <row r="24958" spans="2:8" ht="15" customHeight="1" x14ac:dyDescent="0.4">
      <c r="B24958" t="s">
        <v>7</v>
      </c>
      <c r="C24958" t="s">
        <v>4020</v>
      </c>
      <c r="D24958" s="7">
        <f>DATE(2018,6,21)</f>
        <v>43272</v>
      </c>
      <c r="E24958" s="8">
        <f t="shared" si="413"/>
        <v>2018</v>
      </c>
      <c r="F24958" t="s">
        <v>4021</v>
      </c>
      <c r="G24958" s="9">
        <v>2013.34</v>
      </c>
      <c r="H24958" s="8">
        <v>27230</v>
      </c>
    </row>
    <row r="24959" spans="2:8" ht="15" customHeight="1" x14ac:dyDescent="0.4">
      <c r="B24959" t="s">
        <v>7</v>
      </c>
      <c r="C24959" t="s">
        <v>4020</v>
      </c>
      <c r="D24959" s="7">
        <f>DATE(2018,7,11)</f>
        <v>43292</v>
      </c>
      <c r="E24959" s="8">
        <f t="shared" si="413"/>
        <v>2018</v>
      </c>
      <c r="F24959" t="s">
        <v>4021</v>
      </c>
      <c r="G24959" s="9">
        <v>694.86</v>
      </c>
      <c r="H24959" s="8">
        <v>27348</v>
      </c>
    </row>
    <row r="24960" spans="2:8" ht="15" customHeight="1" x14ac:dyDescent="0.4">
      <c r="B24960" t="s">
        <v>7</v>
      </c>
      <c r="C24960" t="s">
        <v>4020</v>
      </c>
      <c r="D24960" s="7">
        <f>DATE(2018,11,6)</f>
        <v>43410</v>
      </c>
      <c r="E24960" s="8">
        <f t="shared" si="413"/>
        <v>2018</v>
      </c>
      <c r="F24960" t="s">
        <v>4021</v>
      </c>
      <c r="G24960" s="9">
        <v>31.75</v>
      </c>
      <c r="H24960" s="8">
        <v>27899</v>
      </c>
    </row>
    <row r="24961" spans="2:8" ht="15" customHeight="1" x14ac:dyDescent="0.4">
      <c r="B24961" t="s">
        <v>7</v>
      </c>
      <c r="C24961" t="s">
        <v>4020</v>
      </c>
      <c r="D24961" s="7">
        <f>DATE(2012,9,19)</f>
        <v>41171</v>
      </c>
      <c r="E24961" s="8">
        <f t="shared" si="413"/>
        <v>2012</v>
      </c>
      <c r="F24961" t="s">
        <v>4021</v>
      </c>
      <c r="G24961" s="9">
        <v>42570.66</v>
      </c>
      <c r="H24961" s="8">
        <v>11837</v>
      </c>
    </row>
    <row r="24962" spans="2:8" ht="15" customHeight="1" x14ac:dyDescent="0.4">
      <c r="B24962" t="s">
        <v>7</v>
      </c>
      <c r="C24962" t="s">
        <v>4020</v>
      </c>
      <c r="D24962" s="7">
        <f>DATE(2012,11,13)</f>
        <v>41226</v>
      </c>
      <c r="E24962" s="8">
        <f t="shared" si="413"/>
        <v>2012</v>
      </c>
      <c r="F24962" t="s">
        <v>4021</v>
      </c>
      <c r="G24962" s="9">
        <v>43558.42</v>
      </c>
      <c r="H24962" s="8">
        <v>11961</v>
      </c>
    </row>
    <row r="24963" spans="2:8" ht="15" customHeight="1" x14ac:dyDescent="0.4">
      <c r="B24963" t="s">
        <v>7</v>
      </c>
      <c r="C24963" t="s">
        <v>4020</v>
      </c>
      <c r="D24963" s="7">
        <f>DATE(2013,3,7)</f>
        <v>41340</v>
      </c>
      <c r="E24963" s="8">
        <f t="shared" ref="E24963:E25026" si="415">YEAR(D24963)</f>
        <v>2013</v>
      </c>
      <c r="F24963" t="s">
        <v>4021</v>
      </c>
      <c r="G24963" s="9">
        <v>34055.35</v>
      </c>
      <c r="H24963" s="8">
        <v>12185</v>
      </c>
    </row>
    <row r="24964" spans="2:8" ht="15" customHeight="1" x14ac:dyDescent="0.4">
      <c r="B24964" t="s">
        <v>7</v>
      </c>
      <c r="C24964" t="s">
        <v>4020</v>
      </c>
      <c r="D24964" s="7">
        <f>DATE(2013,8,5)</f>
        <v>41491</v>
      </c>
      <c r="E24964" s="8">
        <f t="shared" si="415"/>
        <v>2013</v>
      </c>
      <c r="F24964" t="s">
        <v>4021</v>
      </c>
      <c r="G24964" s="9">
        <v>12969.83</v>
      </c>
      <c r="H24964" s="8">
        <v>12587</v>
      </c>
    </row>
    <row r="24965" spans="2:8" ht="15" customHeight="1" x14ac:dyDescent="0.4">
      <c r="B24965" t="s">
        <v>7</v>
      </c>
      <c r="C24965" t="s">
        <v>4020</v>
      </c>
      <c r="D24965" s="7">
        <f>DATE(2014,1,27)</f>
        <v>41666</v>
      </c>
      <c r="E24965" s="8">
        <f t="shared" si="415"/>
        <v>2014</v>
      </c>
      <c r="F24965" t="s">
        <v>4021</v>
      </c>
      <c r="G24965" s="9">
        <v>31500</v>
      </c>
      <c r="H24965" s="8">
        <v>12866</v>
      </c>
    </row>
    <row r="24966" spans="2:8" ht="15" customHeight="1" x14ac:dyDescent="0.4">
      <c r="B24966" t="s">
        <v>7</v>
      </c>
      <c r="C24966" t="s">
        <v>4020</v>
      </c>
      <c r="D24966" s="7">
        <f>DATE(2014,5,5)</f>
        <v>41764</v>
      </c>
      <c r="E24966" s="8">
        <f t="shared" si="415"/>
        <v>2014</v>
      </c>
      <c r="F24966" t="s">
        <v>4021</v>
      </c>
      <c r="G24966" s="9">
        <v>30943.93</v>
      </c>
      <c r="H24966" s="8">
        <v>12966</v>
      </c>
    </row>
    <row r="24967" spans="2:8" ht="15" customHeight="1" x14ac:dyDescent="0.4">
      <c r="B24967" s="3" t="s">
        <v>7</v>
      </c>
      <c r="C24967" s="3" t="s">
        <v>4020</v>
      </c>
      <c r="D24967" s="4">
        <f>DATE(2004,9,27)</f>
        <v>38257</v>
      </c>
      <c r="E24967" s="5">
        <f t="shared" si="415"/>
        <v>2004</v>
      </c>
      <c r="F24967" s="3" t="s">
        <v>4021</v>
      </c>
      <c r="G24967" s="6">
        <v>728</v>
      </c>
      <c r="H24967" s="5">
        <v>3471</v>
      </c>
    </row>
    <row r="24968" spans="2:8" ht="15" customHeight="1" x14ac:dyDescent="0.4">
      <c r="B24968" s="3" t="s">
        <v>7</v>
      </c>
      <c r="C24968" s="3" t="s">
        <v>4020</v>
      </c>
      <c r="D24968" s="4">
        <f>DATE(2006,2,6)</f>
        <v>38754</v>
      </c>
      <c r="E24968" s="5">
        <f t="shared" si="415"/>
        <v>2006</v>
      </c>
      <c r="F24968" s="3" t="s">
        <v>4021</v>
      </c>
      <c r="G24968" s="6">
        <v>1907.76</v>
      </c>
      <c r="H24968" s="5">
        <v>5965</v>
      </c>
    </row>
    <row r="24969" spans="2:8" ht="15" customHeight="1" x14ac:dyDescent="0.4">
      <c r="B24969" s="3" t="s">
        <v>7</v>
      </c>
      <c r="C24969" s="3" t="s">
        <v>4020</v>
      </c>
      <c r="D24969" s="4">
        <f>DATE(2007,4,11)</f>
        <v>39183</v>
      </c>
      <c r="E24969" s="5">
        <f t="shared" si="415"/>
        <v>2007</v>
      </c>
      <c r="F24969" s="3" t="s">
        <v>4021</v>
      </c>
      <c r="G24969" s="6">
        <v>1498</v>
      </c>
      <c r="H24969" s="5">
        <v>8356</v>
      </c>
    </row>
    <row r="24970" spans="2:8" ht="15" customHeight="1" x14ac:dyDescent="0.4">
      <c r="B24970" s="3" t="s">
        <v>7</v>
      </c>
      <c r="C24970" s="3" t="s">
        <v>4020</v>
      </c>
      <c r="D24970" s="4">
        <f>DATE(2007,4,18)</f>
        <v>39190</v>
      </c>
      <c r="E24970" s="5">
        <f t="shared" si="415"/>
        <v>2007</v>
      </c>
      <c r="F24970" s="3" t="s">
        <v>4021</v>
      </c>
      <c r="G24970" s="6">
        <v>269</v>
      </c>
      <c r="H24970" s="5">
        <v>8379</v>
      </c>
    </row>
    <row r="24971" spans="2:8" ht="15" customHeight="1" x14ac:dyDescent="0.4">
      <c r="B24971" s="3" t="s">
        <v>7</v>
      </c>
      <c r="C24971" s="3" t="s">
        <v>4020</v>
      </c>
      <c r="D24971" s="4">
        <f>DATE(2008,9,25)</f>
        <v>39716</v>
      </c>
      <c r="E24971" s="5">
        <f t="shared" si="415"/>
        <v>2008</v>
      </c>
      <c r="F24971" s="3" t="s">
        <v>4021</v>
      </c>
      <c r="G24971" s="6">
        <v>586</v>
      </c>
      <c r="H24971" s="5">
        <v>11316</v>
      </c>
    </row>
    <row r="24972" spans="2:8" ht="15" customHeight="1" x14ac:dyDescent="0.4">
      <c r="B24972" s="3" t="s">
        <v>7</v>
      </c>
      <c r="C24972" s="3" t="s">
        <v>4020</v>
      </c>
      <c r="D24972" s="4">
        <f>DATE(2008,10,27)</f>
        <v>39748</v>
      </c>
      <c r="E24972" s="5">
        <f t="shared" si="415"/>
        <v>2008</v>
      </c>
      <c r="F24972" s="3" t="s">
        <v>4021</v>
      </c>
      <c r="G24972" s="6">
        <v>2593.16</v>
      </c>
      <c r="H24972" s="5">
        <v>11505</v>
      </c>
    </row>
    <row r="24973" spans="2:8" ht="15" customHeight="1" x14ac:dyDescent="0.4">
      <c r="B24973" s="3" t="s">
        <v>7</v>
      </c>
      <c r="C24973" s="3" t="s">
        <v>4020</v>
      </c>
      <c r="D24973" s="4">
        <f>DATE(2008,10,24)</f>
        <v>39745</v>
      </c>
      <c r="E24973" s="5">
        <f t="shared" si="415"/>
        <v>2008</v>
      </c>
      <c r="F24973" s="3" t="s">
        <v>4021</v>
      </c>
      <c r="G24973" s="6">
        <v>5197.95</v>
      </c>
      <c r="H24973" s="5">
        <v>11492</v>
      </c>
    </row>
    <row r="24974" spans="2:8" ht="15" customHeight="1" x14ac:dyDescent="0.4">
      <c r="B24974" s="3" t="s">
        <v>7</v>
      </c>
      <c r="C24974" s="3" t="s">
        <v>4020</v>
      </c>
      <c r="D24974" s="4">
        <f>DATE(2008,10,30)</f>
        <v>39751</v>
      </c>
      <c r="E24974" s="5">
        <f t="shared" si="415"/>
        <v>2008</v>
      </c>
      <c r="F24974" s="3" t="s">
        <v>4021</v>
      </c>
      <c r="G24974" s="6">
        <v>10400.82</v>
      </c>
      <c r="H24974" s="5">
        <v>11505</v>
      </c>
    </row>
    <row r="24975" spans="2:8" ht="15" customHeight="1" x14ac:dyDescent="0.4">
      <c r="B24975" s="3" t="s">
        <v>7</v>
      </c>
      <c r="C24975" s="3" t="s">
        <v>4020</v>
      </c>
      <c r="D24975" s="4">
        <f>DATE(2008,10,29)</f>
        <v>39750</v>
      </c>
      <c r="E24975" s="5">
        <f t="shared" si="415"/>
        <v>2008</v>
      </c>
      <c r="F24975" s="3" t="s">
        <v>4021</v>
      </c>
      <c r="G24975" s="6">
        <v>7800.69</v>
      </c>
      <c r="H24975" s="5">
        <v>11505</v>
      </c>
    </row>
    <row r="24976" spans="2:8" ht="15" customHeight="1" x14ac:dyDescent="0.4">
      <c r="B24976" s="3" t="s">
        <v>7</v>
      </c>
      <c r="C24976" s="3" t="s">
        <v>4020</v>
      </c>
      <c r="D24976" s="4">
        <f>DATE(2009,10,5)</f>
        <v>40091</v>
      </c>
      <c r="E24976" s="5">
        <f t="shared" si="415"/>
        <v>2009</v>
      </c>
      <c r="F24976" s="3" t="s">
        <v>4021</v>
      </c>
      <c r="G24976" s="6">
        <v>939.97</v>
      </c>
      <c r="H24976" s="5">
        <v>13083</v>
      </c>
    </row>
    <row r="24977" spans="2:8" ht="15" customHeight="1" x14ac:dyDescent="0.4">
      <c r="B24977" s="3" t="s">
        <v>7</v>
      </c>
      <c r="C24977" s="3" t="s">
        <v>4020</v>
      </c>
      <c r="D24977" s="4">
        <f>DATE(2009,10,5)</f>
        <v>40091</v>
      </c>
      <c r="E24977" s="5">
        <f t="shared" si="415"/>
        <v>2009</v>
      </c>
      <c r="F24977" s="3" t="s">
        <v>4021</v>
      </c>
      <c r="G24977" s="6">
        <v>1162</v>
      </c>
      <c r="H24977" s="5">
        <v>13085</v>
      </c>
    </row>
    <row r="24978" spans="2:8" ht="15" customHeight="1" x14ac:dyDescent="0.4">
      <c r="B24978" s="3" t="s">
        <v>7</v>
      </c>
      <c r="C24978" s="3" t="s">
        <v>4020</v>
      </c>
      <c r="D24978" s="4">
        <f>DATE(2009,10,5)</f>
        <v>40091</v>
      </c>
      <c r="E24978" s="5">
        <f t="shared" si="415"/>
        <v>2009</v>
      </c>
      <c r="F24978" s="3" t="s">
        <v>4021</v>
      </c>
      <c r="G24978" s="6">
        <v>7580.38</v>
      </c>
      <c r="H24978" s="5">
        <v>13044</v>
      </c>
    </row>
    <row r="24979" spans="2:8" ht="15" customHeight="1" x14ac:dyDescent="0.4">
      <c r="B24979" s="3" t="s">
        <v>7</v>
      </c>
      <c r="C24979" s="3" t="s">
        <v>4020</v>
      </c>
      <c r="D24979" s="4">
        <f>DATE(2009,10,5)</f>
        <v>40091</v>
      </c>
      <c r="E24979" s="5">
        <f t="shared" si="415"/>
        <v>2009</v>
      </c>
      <c r="F24979" s="3" t="s">
        <v>4021</v>
      </c>
      <c r="G24979" s="6">
        <v>2574.94</v>
      </c>
      <c r="H24979" s="5">
        <v>13045</v>
      </c>
    </row>
    <row r="24980" spans="2:8" ht="15" customHeight="1" x14ac:dyDescent="0.4">
      <c r="B24980" s="3" t="s">
        <v>7</v>
      </c>
      <c r="C24980" s="3" t="s">
        <v>4020</v>
      </c>
      <c r="D24980" s="4">
        <f>DATE(2010,9,16)</f>
        <v>40437</v>
      </c>
      <c r="E24980" s="5">
        <f t="shared" si="415"/>
        <v>2010</v>
      </c>
      <c r="F24980" s="3" t="s">
        <v>4021</v>
      </c>
      <c r="G24980" s="6">
        <v>1163</v>
      </c>
      <c r="H24980" s="5">
        <v>14519</v>
      </c>
    </row>
    <row r="24981" spans="2:8" ht="15" customHeight="1" x14ac:dyDescent="0.4">
      <c r="B24981" s="3" t="s">
        <v>7</v>
      </c>
      <c r="C24981" s="3" t="s">
        <v>4020</v>
      </c>
      <c r="D24981" s="4">
        <f>DATE(2011,9,14)</f>
        <v>40800</v>
      </c>
      <c r="E24981" s="5">
        <f t="shared" si="415"/>
        <v>2011</v>
      </c>
      <c r="F24981" s="3" t="s">
        <v>4021</v>
      </c>
      <c r="G24981" s="6">
        <v>1164</v>
      </c>
      <c r="H24981" s="5">
        <v>15974</v>
      </c>
    </row>
    <row r="24982" spans="2:8" ht="15" customHeight="1" x14ac:dyDescent="0.4">
      <c r="B24982" s="3" t="s">
        <v>7</v>
      </c>
      <c r="C24982" s="3" t="s">
        <v>4020</v>
      </c>
      <c r="D24982" s="4">
        <f>DATE(2012,1,11)</f>
        <v>40919</v>
      </c>
      <c r="E24982" s="5">
        <f t="shared" si="415"/>
        <v>2012</v>
      </c>
      <c r="F24982" s="3" t="s">
        <v>4021</v>
      </c>
      <c r="G24982" s="6">
        <v>3338.98</v>
      </c>
      <c r="H24982" s="5">
        <v>16365</v>
      </c>
    </row>
    <row r="24983" spans="2:8" ht="15" customHeight="1" x14ac:dyDescent="0.4">
      <c r="B24983" s="3" t="s">
        <v>7</v>
      </c>
      <c r="C24983" s="3" t="s">
        <v>4020</v>
      </c>
      <c r="D24983" s="4">
        <f>DATE(2012,7,23)</f>
        <v>41113</v>
      </c>
      <c r="E24983" s="5">
        <f t="shared" si="415"/>
        <v>2012</v>
      </c>
      <c r="F24983" s="3" t="s">
        <v>4021</v>
      </c>
      <c r="G24983" s="6">
        <v>3882.42</v>
      </c>
      <c r="H24983" s="5">
        <v>17379</v>
      </c>
    </row>
    <row r="24984" spans="2:8" ht="15" customHeight="1" x14ac:dyDescent="0.4">
      <c r="B24984" s="3" t="s">
        <v>7</v>
      </c>
      <c r="C24984" s="3" t="s">
        <v>4020</v>
      </c>
      <c r="D24984" s="4">
        <f>DATE(2012,11,20)</f>
        <v>41233</v>
      </c>
      <c r="E24984" s="5">
        <f t="shared" si="415"/>
        <v>2012</v>
      </c>
      <c r="F24984" s="3" t="s">
        <v>4021</v>
      </c>
      <c r="G24984" s="6">
        <v>5485</v>
      </c>
      <c r="H24984" s="5">
        <v>17828</v>
      </c>
    </row>
    <row r="24985" spans="2:8" ht="15" customHeight="1" x14ac:dyDescent="0.4">
      <c r="B24985" s="3" t="s">
        <v>7</v>
      </c>
      <c r="C24985" s="3" t="s">
        <v>4020</v>
      </c>
      <c r="D24985" s="4">
        <f>DATE(2012,12,3)</f>
        <v>41246</v>
      </c>
      <c r="E24985" s="5">
        <f t="shared" si="415"/>
        <v>2012</v>
      </c>
      <c r="F24985" s="3" t="s">
        <v>4021</v>
      </c>
      <c r="G24985" s="6">
        <v>4789.49</v>
      </c>
      <c r="H24985" s="5">
        <v>17863</v>
      </c>
    </row>
    <row r="24986" spans="2:8" ht="15" customHeight="1" x14ac:dyDescent="0.4">
      <c r="B24986" s="3" t="s">
        <v>7</v>
      </c>
      <c r="C24986" s="3" t="s">
        <v>4020</v>
      </c>
      <c r="D24986" s="4">
        <f>DATE(2013,3,13)</f>
        <v>41346</v>
      </c>
      <c r="E24986" s="5">
        <f t="shared" si="415"/>
        <v>2013</v>
      </c>
      <c r="F24986" s="3" t="s">
        <v>4021</v>
      </c>
      <c r="G24986" s="6">
        <v>4793.95</v>
      </c>
      <c r="H24986" s="5">
        <v>18287</v>
      </c>
    </row>
    <row r="24987" spans="2:8" ht="15" customHeight="1" x14ac:dyDescent="0.4">
      <c r="B24987" s="3" t="s">
        <v>7</v>
      </c>
      <c r="C24987" s="3" t="s">
        <v>4020</v>
      </c>
      <c r="D24987" s="4">
        <f>DATE(2013,3,13)</f>
        <v>41346</v>
      </c>
      <c r="E24987" s="5">
        <f t="shared" si="415"/>
        <v>2013</v>
      </c>
      <c r="F24987" s="3" t="s">
        <v>4021</v>
      </c>
      <c r="G24987" s="6">
        <v>1630.5</v>
      </c>
      <c r="H24987" s="5">
        <v>18286</v>
      </c>
    </row>
    <row r="24988" spans="2:8" ht="15" customHeight="1" x14ac:dyDescent="0.4">
      <c r="B24988" s="3" t="s">
        <v>7</v>
      </c>
      <c r="C24988" s="3" t="s">
        <v>4020</v>
      </c>
      <c r="D24988" s="4">
        <f>DATE(2013,3,20)</f>
        <v>41353</v>
      </c>
      <c r="E24988" s="5">
        <f t="shared" si="415"/>
        <v>2013</v>
      </c>
      <c r="F24988" s="3" t="s">
        <v>4021</v>
      </c>
      <c r="G24988" s="6">
        <v>74</v>
      </c>
      <c r="H24988" s="5">
        <v>18341</v>
      </c>
    </row>
    <row r="24989" spans="2:8" ht="15" customHeight="1" x14ac:dyDescent="0.4">
      <c r="B24989" s="3" t="s">
        <v>7</v>
      </c>
      <c r="C24989" s="3" t="s">
        <v>4020</v>
      </c>
      <c r="D24989" s="4">
        <f>DATE(2014,8,6)</f>
        <v>41857</v>
      </c>
      <c r="E24989" s="5">
        <f t="shared" si="415"/>
        <v>2014</v>
      </c>
      <c r="F24989" s="3" t="s">
        <v>4021</v>
      </c>
      <c r="G24989" s="6">
        <v>4799.41</v>
      </c>
      <c r="H24989" s="5">
        <v>20261</v>
      </c>
    </row>
    <row r="24990" spans="2:8" ht="15" customHeight="1" x14ac:dyDescent="0.4">
      <c r="B24990" s="3" t="s">
        <v>7</v>
      </c>
      <c r="C24990" s="3" t="s">
        <v>4022</v>
      </c>
      <c r="D24990" s="4">
        <f>DATE(2006,8,14)</f>
        <v>38943</v>
      </c>
      <c r="E24990" s="5">
        <f t="shared" si="415"/>
        <v>2006</v>
      </c>
      <c r="F24990" s="3" t="s">
        <v>4023</v>
      </c>
      <c r="G24990" s="6">
        <v>1939</v>
      </c>
      <c r="H24990" s="5">
        <v>7101</v>
      </c>
    </row>
    <row r="24991" spans="2:8" ht="15" customHeight="1" x14ac:dyDescent="0.4">
      <c r="B24991" s="3" t="s">
        <v>7</v>
      </c>
      <c r="C24991" s="3" t="s">
        <v>4022</v>
      </c>
      <c r="D24991" s="4">
        <f>DATE(2006,10,13)</f>
        <v>39003</v>
      </c>
      <c r="E24991" s="5">
        <f t="shared" si="415"/>
        <v>2006</v>
      </c>
      <c r="F24991" s="3" t="s">
        <v>4023</v>
      </c>
      <c r="G24991" s="6">
        <v>3967.11</v>
      </c>
      <c r="H24991" s="5">
        <v>7394</v>
      </c>
    </row>
    <row r="24992" spans="2:8" ht="15" customHeight="1" x14ac:dyDescent="0.4">
      <c r="B24992" s="3" t="s">
        <v>7</v>
      </c>
      <c r="C24992" s="3" t="s">
        <v>4024</v>
      </c>
      <c r="D24992" s="4">
        <f>DATE(2006,8,8)</f>
        <v>38937</v>
      </c>
      <c r="E24992" s="5">
        <f t="shared" si="415"/>
        <v>2006</v>
      </c>
      <c r="F24992" s="3" t="s">
        <v>4025</v>
      </c>
      <c r="G24992" s="6">
        <v>1724</v>
      </c>
      <c r="H24992" s="5">
        <v>7054</v>
      </c>
    </row>
    <row r="24993" spans="2:8" ht="15" customHeight="1" x14ac:dyDescent="0.4">
      <c r="B24993" s="3" t="s">
        <v>7</v>
      </c>
      <c r="C24993" s="3" t="s">
        <v>4024</v>
      </c>
      <c r="D24993" s="4">
        <f>DATE(2008,4,22)</f>
        <v>39560</v>
      </c>
      <c r="E24993" s="5">
        <f t="shared" si="415"/>
        <v>2008</v>
      </c>
      <c r="F24993" s="3" t="s">
        <v>4025</v>
      </c>
      <c r="G24993" s="6">
        <v>862</v>
      </c>
      <c r="H24993" s="5">
        <v>10520</v>
      </c>
    </row>
    <row r="24994" spans="2:8" ht="15" customHeight="1" x14ac:dyDescent="0.4">
      <c r="B24994" s="3" t="s">
        <v>7</v>
      </c>
      <c r="C24994" s="3" t="s">
        <v>4024</v>
      </c>
      <c r="D24994" s="4">
        <f>DATE(2008,12,16)</f>
        <v>39798</v>
      </c>
      <c r="E24994" s="5">
        <f t="shared" si="415"/>
        <v>2008</v>
      </c>
      <c r="F24994" s="3" t="s">
        <v>4025</v>
      </c>
      <c r="G24994" s="6">
        <v>356.67</v>
      </c>
      <c r="H24994" s="5">
        <v>11696</v>
      </c>
    </row>
    <row r="24995" spans="2:8" ht="15" customHeight="1" x14ac:dyDescent="0.4">
      <c r="B24995" s="3" t="s">
        <v>7</v>
      </c>
      <c r="C24995" s="3" t="s">
        <v>4024</v>
      </c>
      <c r="D24995" s="4">
        <f>DATE(2008,12,19)</f>
        <v>39801</v>
      </c>
      <c r="E24995" s="5">
        <f t="shared" si="415"/>
        <v>2008</v>
      </c>
      <c r="F24995" s="3" t="s">
        <v>4025</v>
      </c>
      <c r="G24995" s="6">
        <v>1069.97</v>
      </c>
      <c r="H24995" s="5">
        <v>11720</v>
      </c>
    </row>
    <row r="24996" spans="2:8" ht="15" customHeight="1" x14ac:dyDescent="0.4">
      <c r="B24996" s="3" t="s">
        <v>7</v>
      </c>
      <c r="C24996" s="3" t="s">
        <v>4024</v>
      </c>
      <c r="D24996" s="4">
        <f>DATE(2008,12,29)</f>
        <v>39811</v>
      </c>
      <c r="E24996" s="5">
        <f t="shared" si="415"/>
        <v>2008</v>
      </c>
      <c r="F24996" s="3" t="s">
        <v>4025</v>
      </c>
      <c r="G24996" s="6">
        <v>1426.61</v>
      </c>
      <c r="H24996" s="5">
        <v>11730</v>
      </c>
    </row>
    <row r="24997" spans="2:8" ht="15" customHeight="1" x14ac:dyDescent="0.4">
      <c r="B24997" s="3" t="s">
        <v>7</v>
      </c>
      <c r="C24997" s="3" t="s">
        <v>4024</v>
      </c>
      <c r="D24997" s="4">
        <f>DATE(2009,1,8)</f>
        <v>39821</v>
      </c>
      <c r="E24997" s="5">
        <f t="shared" si="415"/>
        <v>2009</v>
      </c>
      <c r="F24997" s="3" t="s">
        <v>4025</v>
      </c>
      <c r="G24997" s="6">
        <v>7003.75</v>
      </c>
      <c r="H24997" s="5">
        <v>11770</v>
      </c>
    </row>
    <row r="24998" spans="2:8" ht="15" customHeight="1" x14ac:dyDescent="0.4">
      <c r="B24998" s="3" t="s">
        <v>7</v>
      </c>
      <c r="C24998" s="3" t="s">
        <v>4024</v>
      </c>
      <c r="D24998" s="4">
        <f>DATE(2009,1,9)</f>
        <v>39822</v>
      </c>
      <c r="E24998" s="5">
        <f t="shared" si="415"/>
        <v>2009</v>
      </c>
      <c r="F24998" s="3" t="s">
        <v>4025</v>
      </c>
      <c r="G24998" s="6">
        <v>8404.5</v>
      </c>
      <c r="H24998" s="5">
        <v>11770</v>
      </c>
    </row>
    <row r="24999" spans="2:8" ht="15" customHeight="1" x14ac:dyDescent="0.4">
      <c r="B24999" s="3" t="s">
        <v>7</v>
      </c>
      <c r="C24999" s="3" t="s">
        <v>4024</v>
      </c>
      <c r="D24999" s="4">
        <f>DATE(2009,1,12)</f>
        <v>39825</v>
      </c>
      <c r="E24999" s="5">
        <f t="shared" si="415"/>
        <v>2009</v>
      </c>
      <c r="F24999" s="3" t="s">
        <v>4025</v>
      </c>
      <c r="G24999" s="6">
        <v>2101.13</v>
      </c>
      <c r="H24999" s="5">
        <v>11770</v>
      </c>
    </row>
    <row r="25000" spans="2:8" ht="15" customHeight="1" x14ac:dyDescent="0.4">
      <c r="B25000" s="3" t="s">
        <v>7</v>
      </c>
      <c r="C25000" s="3" t="s">
        <v>4024</v>
      </c>
      <c r="D25000" s="4">
        <f>DATE(2009,1,9)</f>
        <v>39822</v>
      </c>
      <c r="E25000" s="5">
        <f t="shared" si="415"/>
        <v>2009</v>
      </c>
      <c r="F25000" s="3" t="s">
        <v>4025</v>
      </c>
      <c r="G25000" s="6">
        <v>1127.07</v>
      </c>
      <c r="H25000" s="5">
        <v>11781</v>
      </c>
    </row>
    <row r="25001" spans="2:8" ht="15" customHeight="1" x14ac:dyDescent="0.4">
      <c r="B25001" s="3" t="s">
        <v>7</v>
      </c>
      <c r="C25001" s="3" t="s">
        <v>4024</v>
      </c>
      <c r="D25001" s="4">
        <f>DATE(2009,1,12)</f>
        <v>39825</v>
      </c>
      <c r="E25001" s="5">
        <f t="shared" si="415"/>
        <v>2009</v>
      </c>
      <c r="F25001" s="3" t="s">
        <v>4025</v>
      </c>
      <c r="G25001" s="6">
        <v>13242.48</v>
      </c>
      <c r="H25001" s="5">
        <v>11774</v>
      </c>
    </row>
    <row r="25002" spans="2:8" ht="15" customHeight="1" x14ac:dyDescent="0.4">
      <c r="B25002" s="3" t="s">
        <v>7</v>
      </c>
      <c r="C25002" s="3" t="s">
        <v>4024</v>
      </c>
      <c r="D25002" s="4">
        <f>DATE(2009,1,29)</f>
        <v>39842</v>
      </c>
      <c r="E25002" s="5">
        <f t="shared" si="415"/>
        <v>2009</v>
      </c>
      <c r="F25002" s="3" t="s">
        <v>4025</v>
      </c>
      <c r="G25002" s="6">
        <v>2817.68</v>
      </c>
      <c r="H25002" s="5">
        <v>11892</v>
      </c>
    </row>
    <row r="25003" spans="2:8" ht="15" customHeight="1" x14ac:dyDescent="0.4">
      <c r="B25003" s="3" t="s">
        <v>7</v>
      </c>
      <c r="C25003" s="3" t="s">
        <v>4024</v>
      </c>
      <c r="D25003" s="4">
        <f>DATE(2003,5,9)</f>
        <v>37750</v>
      </c>
      <c r="E25003" s="5">
        <f t="shared" si="415"/>
        <v>2003</v>
      </c>
      <c r="F25003" s="3" t="s">
        <v>4026</v>
      </c>
      <c r="G25003" s="6">
        <v>819.99</v>
      </c>
      <c r="H25003" s="5">
        <v>914</v>
      </c>
    </row>
    <row r="25004" spans="2:8" ht="15" customHeight="1" x14ac:dyDescent="0.4">
      <c r="B25004" s="3" t="s">
        <v>7</v>
      </c>
      <c r="C25004" s="3" t="s">
        <v>4024</v>
      </c>
      <c r="D25004" s="4">
        <f>DATE(2003,6,9)</f>
        <v>37781</v>
      </c>
      <c r="E25004" s="5">
        <f t="shared" si="415"/>
        <v>2003</v>
      </c>
      <c r="F25004" s="3" t="s">
        <v>4026</v>
      </c>
      <c r="G25004" s="6">
        <v>1616.25</v>
      </c>
      <c r="H25004" s="5">
        <v>1062</v>
      </c>
    </row>
    <row r="25005" spans="2:8" ht="15" customHeight="1" x14ac:dyDescent="0.4">
      <c r="B25005" s="3" t="s">
        <v>7</v>
      </c>
      <c r="C25005" s="3" t="s">
        <v>4024</v>
      </c>
      <c r="D25005" s="4">
        <f>DATE(2004,4,27)</f>
        <v>38104</v>
      </c>
      <c r="E25005" s="5">
        <f t="shared" si="415"/>
        <v>2004</v>
      </c>
      <c r="F25005" s="3" t="s">
        <v>4026</v>
      </c>
      <c r="G25005" s="6">
        <v>1731.25</v>
      </c>
      <c r="H25005" s="5">
        <v>2764</v>
      </c>
    </row>
    <row r="25006" spans="2:8" ht="15" customHeight="1" x14ac:dyDescent="0.4">
      <c r="B25006" s="3" t="s">
        <v>7</v>
      </c>
      <c r="C25006" s="3" t="s">
        <v>4024</v>
      </c>
      <c r="D25006" s="4">
        <f>DATE(2004,9,16)</f>
        <v>38246</v>
      </c>
      <c r="E25006" s="5">
        <f t="shared" si="415"/>
        <v>2004</v>
      </c>
      <c r="F25006" s="3" t="s">
        <v>4026</v>
      </c>
      <c r="G25006" s="6">
        <v>1636.25</v>
      </c>
      <c r="H25006" s="5">
        <v>3394</v>
      </c>
    </row>
    <row r="25007" spans="2:8" ht="15" customHeight="1" x14ac:dyDescent="0.4">
      <c r="B25007" s="3" t="s">
        <v>7</v>
      </c>
      <c r="C25007" s="3" t="s">
        <v>4024</v>
      </c>
      <c r="D25007" s="4">
        <f>DATE(2005,4,20)</f>
        <v>38462</v>
      </c>
      <c r="E25007" s="5">
        <f t="shared" si="415"/>
        <v>2005</v>
      </c>
      <c r="F25007" s="3" t="s">
        <v>4026</v>
      </c>
      <c r="G25007" s="6">
        <v>1745</v>
      </c>
      <c r="H25007" s="5">
        <v>4597</v>
      </c>
    </row>
    <row r="25008" spans="2:8" ht="15" customHeight="1" x14ac:dyDescent="0.4">
      <c r="B25008" s="3" t="s">
        <v>7</v>
      </c>
      <c r="C25008" s="3" t="s">
        <v>4024</v>
      </c>
      <c r="D25008" s="4">
        <f>DATE(2005,6,22)</f>
        <v>38525</v>
      </c>
      <c r="E25008" s="5">
        <f t="shared" si="415"/>
        <v>2005</v>
      </c>
      <c r="F25008" s="3" t="s">
        <v>4026</v>
      </c>
      <c r="G25008" s="6">
        <v>1745</v>
      </c>
      <c r="H25008" s="5">
        <v>4910</v>
      </c>
    </row>
    <row r="25009" spans="2:8" ht="15" customHeight="1" x14ac:dyDescent="0.4">
      <c r="B25009" s="3" t="s">
        <v>7</v>
      </c>
      <c r="C25009" s="3" t="s">
        <v>4024</v>
      </c>
      <c r="D25009" s="4">
        <f>DATE(2005,10,19)</f>
        <v>38644</v>
      </c>
      <c r="E25009" s="5">
        <f t="shared" si="415"/>
        <v>2005</v>
      </c>
      <c r="F25009" s="3" t="s">
        <v>4026</v>
      </c>
      <c r="G25009" s="6">
        <v>1745</v>
      </c>
      <c r="H25009" s="5">
        <v>5455</v>
      </c>
    </row>
    <row r="25010" spans="2:8" ht="15" customHeight="1" x14ac:dyDescent="0.4">
      <c r="B25010" t="s">
        <v>7</v>
      </c>
      <c r="C25010" t="s">
        <v>4027</v>
      </c>
      <c r="D25010" s="7">
        <f>DATE(2007,5,1)</f>
        <v>39203</v>
      </c>
      <c r="E25010" s="8">
        <f t="shared" si="415"/>
        <v>2007</v>
      </c>
      <c r="F25010" t="s">
        <v>4028</v>
      </c>
      <c r="G25010" s="9">
        <v>3000</v>
      </c>
      <c r="H25010" s="8">
        <v>5811</v>
      </c>
    </row>
    <row r="25011" spans="2:8" ht="15" customHeight="1" x14ac:dyDescent="0.4">
      <c r="B25011" t="s">
        <v>7</v>
      </c>
      <c r="C25011" t="s">
        <v>518</v>
      </c>
      <c r="D25011" s="7">
        <f>DATE(2017,8,9)</f>
        <v>42956</v>
      </c>
      <c r="E25011" s="8">
        <f t="shared" si="415"/>
        <v>2017</v>
      </c>
      <c r="F25011" t="s">
        <v>4029</v>
      </c>
      <c r="G25011" s="9">
        <v>11381.08</v>
      </c>
      <c r="H25011" s="8">
        <v>25301</v>
      </c>
    </row>
    <row r="25012" spans="2:8" ht="15" customHeight="1" x14ac:dyDescent="0.4">
      <c r="B25012" t="s">
        <v>7</v>
      </c>
      <c r="C25012" t="s">
        <v>518</v>
      </c>
      <c r="D25012" s="7">
        <f>DATE(2016,1,15)</f>
        <v>42384</v>
      </c>
      <c r="E25012" s="8">
        <f t="shared" si="415"/>
        <v>2016</v>
      </c>
      <c r="F25012" t="s">
        <v>4030</v>
      </c>
      <c r="G25012" s="9">
        <v>15606.75</v>
      </c>
      <c r="H25012" s="8">
        <v>21791</v>
      </c>
    </row>
    <row r="25013" spans="2:8" ht="15" customHeight="1" x14ac:dyDescent="0.4">
      <c r="B25013" t="s">
        <v>7</v>
      </c>
      <c r="C25013" t="s">
        <v>518</v>
      </c>
      <c r="D25013" s="7">
        <f>DATE(2016,11,17)</f>
        <v>42691</v>
      </c>
      <c r="E25013" s="8">
        <f t="shared" si="415"/>
        <v>2016</v>
      </c>
      <c r="F25013" t="s">
        <v>4030</v>
      </c>
      <c r="G25013" s="9">
        <v>10169.65</v>
      </c>
      <c r="H25013" s="8">
        <v>23755</v>
      </c>
    </row>
    <row r="25014" spans="2:8" ht="15" customHeight="1" x14ac:dyDescent="0.4">
      <c r="B25014" t="s">
        <v>7</v>
      </c>
      <c r="C25014" t="s">
        <v>4031</v>
      </c>
      <c r="D25014" s="7">
        <f>DATE(2016,6,29)</f>
        <v>42550</v>
      </c>
      <c r="E25014" s="8">
        <f t="shared" si="415"/>
        <v>2016</v>
      </c>
      <c r="F25014" t="s">
        <v>4032</v>
      </c>
      <c r="G25014" s="9">
        <v>71587.19</v>
      </c>
      <c r="H25014" s="8">
        <v>22885</v>
      </c>
    </row>
    <row r="25015" spans="2:8" ht="15" customHeight="1" x14ac:dyDescent="0.4">
      <c r="B25015" t="s">
        <v>7</v>
      </c>
      <c r="C25015" t="s">
        <v>4031</v>
      </c>
      <c r="D25015" s="7">
        <f>DATE(2004,9,11)</f>
        <v>38241</v>
      </c>
      <c r="E25015" s="8">
        <f t="shared" si="415"/>
        <v>2004</v>
      </c>
      <c r="F25015" t="s">
        <v>4032</v>
      </c>
      <c r="G25015" s="9">
        <v>8477.2000000000007</v>
      </c>
      <c r="H25015" s="8">
        <v>2173</v>
      </c>
    </row>
    <row r="25016" spans="2:8" ht="15" customHeight="1" x14ac:dyDescent="0.4">
      <c r="B25016" t="s">
        <v>7</v>
      </c>
      <c r="C25016" t="s">
        <v>4031</v>
      </c>
      <c r="D25016" s="7">
        <f>DATE(2005,1,24)</f>
        <v>38376</v>
      </c>
      <c r="E25016" s="8">
        <f t="shared" si="415"/>
        <v>2005</v>
      </c>
      <c r="F25016" t="s">
        <v>4032</v>
      </c>
      <c r="G25016" s="9">
        <v>42200</v>
      </c>
      <c r="H25016" s="8">
        <v>2537</v>
      </c>
    </row>
    <row r="25017" spans="2:8" ht="15" customHeight="1" x14ac:dyDescent="0.4">
      <c r="B25017" t="s">
        <v>7</v>
      </c>
      <c r="C25017" t="s">
        <v>4031</v>
      </c>
      <c r="D25017" s="7">
        <f>DATE(2005,1,20)</f>
        <v>38372</v>
      </c>
      <c r="E25017" s="8">
        <f t="shared" si="415"/>
        <v>2005</v>
      </c>
      <c r="F25017" t="s">
        <v>4032</v>
      </c>
      <c r="G25017" s="9">
        <v>3235</v>
      </c>
      <c r="H25017" s="8">
        <v>2645</v>
      </c>
    </row>
    <row r="25018" spans="2:8" ht="15" customHeight="1" x14ac:dyDescent="0.4">
      <c r="B25018" t="s">
        <v>7</v>
      </c>
      <c r="C25018" t="s">
        <v>4031</v>
      </c>
      <c r="D25018" s="7">
        <f>DATE(2005,1,20)</f>
        <v>38372</v>
      </c>
      <c r="E25018" s="8">
        <f t="shared" si="415"/>
        <v>2005</v>
      </c>
      <c r="F25018" t="s">
        <v>4032</v>
      </c>
      <c r="G25018" s="9">
        <v>3235</v>
      </c>
      <c r="H25018" s="8">
        <v>2646</v>
      </c>
    </row>
    <row r="25019" spans="2:8" ht="15" customHeight="1" x14ac:dyDescent="0.4">
      <c r="B25019" t="s">
        <v>7</v>
      </c>
      <c r="C25019" t="s">
        <v>4031</v>
      </c>
      <c r="D25019" s="7">
        <f>DATE(2005,2,4)</f>
        <v>38387</v>
      </c>
      <c r="E25019" s="8">
        <f t="shared" si="415"/>
        <v>2005</v>
      </c>
      <c r="F25019" t="s">
        <v>4032</v>
      </c>
      <c r="G25019" s="9">
        <v>16682.89</v>
      </c>
      <c r="H25019" s="8">
        <v>2630</v>
      </c>
    </row>
    <row r="25020" spans="2:8" ht="15" customHeight="1" x14ac:dyDescent="0.4">
      <c r="B25020" t="s">
        <v>7</v>
      </c>
      <c r="C25020" t="s">
        <v>4031</v>
      </c>
      <c r="D25020" s="7">
        <f>DATE(2005,6,17)</f>
        <v>38520</v>
      </c>
      <c r="E25020" s="8">
        <f t="shared" si="415"/>
        <v>2005</v>
      </c>
      <c r="F25020" t="s">
        <v>4032</v>
      </c>
      <c r="G25020" s="9">
        <v>27275.599999999999</v>
      </c>
      <c r="H25020" s="8">
        <v>3257</v>
      </c>
    </row>
    <row r="25021" spans="2:8" ht="15" customHeight="1" x14ac:dyDescent="0.4">
      <c r="B25021" t="s">
        <v>7</v>
      </c>
      <c r="C25021" t="s">
        <v>4031</v>
      </c>
      <c r="D25021" s="7">
        <f>DATE(2007,7,26)</f>
        <v>39289</v>
      </c>
      <c r="E25021" s="8">
        <f t="shared" si="415"/>
        <v>2007</v>
      </c>
      <c r="F25021" t="s">
        <v>4032</v>
      </c>
      <c r="G25021" s="9">
        <v>968.27</v>
      </c>
      <c r="H25021" s="8">
        <v>6199</v>
      </c>
    </row>
    <row r="25022" spans="2:8" ht="15" customHeight="1" x14ac:dyDescent="0.4">
      <c r="B25022" t="s">
        <v>7</v>
      </c>
      <c r="C25022" t="s">
        <v>4031</v>
      </c>
      <c r="D25022" s="7">
        <f>DATE(2007,9,28)</f>
        <v>39353</v>
      </c>
      <c r="E25022" s="8">
        <f t="shared" si="415"/>
        <v>2007</v>
      </c>
      <c r="F25022" t="s">
        <v>4032</v>
      </c>
      <c r="G25022" s="9">
        <v>7556.08</v>
      </c>
      <c r="H25022" s="8">
        <v>6419</v>
      </c>
    </row>
    <row r="25023" spans="2:8" ht="15" customHeight="1" x14ac:dyDescent="0.4">
      <c r="B25023" t="s">
        <v>7</v>
      </c>
      <c r="C25023" t="s">
        <v>4031</v>
      </c>
      <c r="D25023" s="7">
        <f>DATE(2008,11,19)</f>
        <v>39771</v>
      </c>
      <c r="E25023" s="8">
        <f t="shared" si="415"/>
        <v>2008</v>
      </c>
      <c r="F25023" t="s">
        <v>4032</v>
      </c>
      <c r="G25023" s="9">
        <v>17966.77</v>
      </c>
      <c r="H25023" s="8">
        <v>7949</v>
      </c>
    </row>
    <row r="25024" spans="2:8" ht="15" customHeight="1" x14ac:dyDescent="0.4">
      <c r="B25024" t="s">
        <v>7</v>
      </c>
      <c r="C25024" t="s">
        <v>4031</v>
      </c>
      <c r="D25024" s="7">
        <f>DATE(2009,4,21)</f>
        <v>39924</v>
      </c>
      <c r="E25024" s="8">
        <f t="shared" si="415"/>
        <v>2009</v>
      </c>
      <c r="F25024" t="s">
        <v>4032</v>
      </c>
      <c r="G25024" s="9">
        <v>3228.2</v>
      </c>
      <c r="H25024" s="8">
        <v>8573</v>
      </c>
    </row>
    <row r="25025" spans="2:8" ht="15" customHeight="1" x14ac:dyDescent="0.4">
      <c r="B25025" t="s">
        <v>7</v>
      </c>
      <c r="C25025" t="s">
        <v>4033</v>
      </c>
      <c r="D25025" s="7">
        <f>DATE(2015,3,27)</f>
        <v>42090</v>
      </c>
      <c r="E25025" s="8">
        <f t="shared" si="415"/>
        <v>2015</v>
      </c>
      <c r="F25025" t="s">
        <v>4034</v>
      </c>
      <c r="G25025" s="9">
        <v>255912.52</v>
      </c>
      <c r="H25025" s="8">
        <v>313</v>
      </c>
    </row>
    <row r="25026" spans="2:8" ht="15" customHeight="1" x14ac:dyDescent="0.4">
      <c r="B25026" t="s">
        <v>7</v>
      </c>
      <c r="C25026" t="s">
        <v>4033</v>
      </c>
      <c r="D25026" s="7">
        <f>DATE(2015,11,12)</f>
        <v>42320</v>
      </c>
      <c r="E25026" s="8">
        <f t="shared" si="415"/>
        <v>2015</v>
      </c>
      <c r="F25026" t="s">
        <v>4034</v>
      </c>
      <c r="G25026" s="9">
        <v>365022.8</v>
      </c>
      <c r="H25026" s="8">
        <v>20968</v>
      </c>
    </row>
    <row r="25027" spans="2:8" ht="15" customHeight="1" x14ac:dyDescent="0.4">
      <c r="B25027" t="s">
        <v>7</v>
      </c>
      <c r="C25027" t="s">
        <v>4033</v>
      </c>
      <c r="D25027" s="7">
        <f>DATE(2015,10,29)</f>
        <v>42306</v>
      </c>
      <c r="E25027" s="8">
        <f t="shared" ref="E25027:E25090" si="416">YEAR(D25027)</f>
        <v>2015</v>
      </c>
      <c r="F25027" t="s">
        <v>4034</v>
      </c>
      <c r="G25027" s="9">
        <v>24261.55</v>
      </c>
      <c r="H25027" s="8">
        <v>21159</v>
      </c>
    </row>
    <row r="25028" spans="2:8" ht="15" customHeight="1" x14ac:dyDescent="0.4">
      <c r="B25028" t="s">
        <v>7</v>
      </c>
      <c r="C25028" t="s">
        <v>4033</v>
      </c>
      <c r="D25028" s="7">
        <f>DATE(2016,10,17)</f>
        <v>42660</v>
      </c>
      <c r="E25028" s="8">
        <f t="shared" si="416"/>
        <v>2016</v>
      </c>
      <c r="F25028" t="s">
        <v>4034</v>
      </c>
      <c r="G25028" s="9">
        <v>16514.560000000001</v>
      </c>
      <c r="H25028" s="8">
        <v>22893</v>
      </c>
    </row>
    <row r="25029" spans="2:8" ht="15" customHeight="1" x14ac:dyDescent="0.4">
      <c r="B25029" t="s">
        <v>7</v>
      </c>
      <c r="C25029" t="s">
        <v>4033</v>
      </c>
      <c r="D25029" s="7">
        <f>DATE(2018,3,30)</f>
        <v>43189</v>
      </c>
      <c r="E25029" s="8">
        <f t="shared" si="416"/>
        <v>2018</v>
      </c>
      <c r="F25029" t="s">
        <v>4034</v>
      </c>
      <c r="G25029" s="9">
        <v>317492.43</v>
      </c>
      <c r="H25029" s="8">
        <v>26153</v>
      </c>
    </row>
    <row r="25030" spans="2:8" ht="15" customHeight="1" x14ac:dyDescent="0.4">
      <c r="B25030" t="s">
        <v>7</v>
      </c>
      <c r="C25030" t="s">
        <v>4033</v>
      </c>
      <c r="D25030" s="7">
        <f>DATE(2015,5,6)</f>
        <v>42130</v>
      </c>
      <c r="E25030" s="8">
        <f t="shared" si="416"/>
        <v>2015</v>
      </c>
      <c r="F25030" t="s">
        <v>4034</v>
      </c>
      <c r="G25030" s="9">
        <v>134743.06</v>
      </c>
      <c r="H25030" s="8">
        <v>20331</v>
      </c>
    </row>
    <row r="25031" spans="2:8" ht="15" customHeight="1" x14ac:dyDescent="0.4">
      <c r="B25031" t="s">
        <v>7</v>
      </c>
      <c r="C25031" t="s">
        <v>4033</v>
      </c>
      <c r="D25031" s="7">
        <f>DATE(2015,5,15)</f>
        <v>42139</v>
      </c>
      <c r="E25031" s="8">
        <f t="shared" si="416"/>
        <v>2015</v>
      </c>
      <c r="F25031" t="s">
        <v>4034</v>
      </c>
      <c r="G25031" s="9">
        <v>384139.68</v>
      </c>
      <c r="H25031" s="8">
        <v>297</v>
      </c>
    </row>
    <row r="25032" spans="2:8" ht="15" customHeight="1" x14ac:dyDescent="0.4">
      <c r="B25032" t="s">
        <v>7</v>
      </c>
      <c r="C25032" t="s">
        <v>4033</v>
      </c>
      <c r="D25032" s="7">
        <f>DATE(2015,5,28)</f>
        <v>42152</v>
      </c>
      <c r="E25032" s="8">
        <f t="shared" si="416"/>
        <v>2015</v>
      </c>
      <c r="F25032" t="s">
        <v>4034</v>
      </c>
      <c r="G25032" s="9">
        <v>9626.1200000000008</v>
      </c>
      <c r="H25032" s="8">
        <v>20645</v>
      </c>
    </row>
    <row r="25033" spans="2:8" ht="15" customHeight="1" x14ac:dyDescent="0.4">
      <c r="B25033" t="s">
        <v>7</v>
      </c>
      <c r="C25033" t="s">
        <v>4033</v>
      </c>
      <c r="D25033" s="7">
        <f>DATE(2015,11,18)</f>
        <v>42326</v>
      </c>
      <c r="E25033" s="8">
        <f t="shared" si="416"/>
        <v>2015</v>
      </c>
      <c r="F25033" t="s">
        <v>4034</v>
      </c>
      <c r="G25033" s="9">
        <v>273395.93</v>
      </c>
      <c r="H25033" s="8">
        <v>20752</v>
      </c>
    </row>
    <row r="25034" spans="2:8" ht="15" customHeight="1" x14ac:dyDescent="0.4">
      <c r="B25034" t="s">
        <v>7</v>
      </c>
      <c r="C25034" t="s">
        <v>4033</v>
      </c>
      <c r="D25034" s="7">
        <f>DATE(2015,11,18)</f>
        <v>42326</v>
      </c>
      <c r="E25034" s="8">
        <f t="shared" si="416"/>
        <v>2015</v>
      </c>
      <c r="F25034" t="s">
        <v>4034</v>
      </c>
      <c r="G25034" s="9">
        <v>173688.93</v>
      </c>
      <c r="H25034" s="8">
        <v>20753</v>
      </c>
    </row>
    <row r="25035" spans="2:8" ht="15" customHeight="1" x14ac:dyDescent="0.4">
      <c r="B25035" t="s">
        <v>7</v>
      </c>
      <c r="C25035" t="s">
        <v>4033</v>
      </c>
      <c r="D25035" s="7">
        <f>DATE(2016,4,25)</f>
        <v>42485</v>
      </c>
      <c r="E25035" s="8">
        <f t="shared" si="416"/>
        <v>2016</v>
      </c>
      <c r="F25035" t="s">
        <v>4034</v>
      </c>
      <c r="G25035" s="9">
        <v>68824.149999999994</v>
      </c>
      <c r="H25035" s="8">
        <v>22228</v>
      </c>
    </row>
    <row r="25036" spans="2:8" ht="15" customHeight="1" x14ac:dyDescent="0.4">
      <c r="B25036" t="s">
        <v>7</v>
      </c>
      <c r="C25036" t="s">
        <v>4033</v>
      </c>
      <c r="D25036" s="7">
        <f>DATE(2017,4,18)</f>
        <v>42843</v>
      </c>
      <c r="E25036" s="8">
        <f t="shared" si="416"/>
        <v>2017</v>
      </c>
      <c r="F25036" t="s">
        <v>4034</v>
      </c>
      <c r="G25036" s="9">
        <v>73144.600000000006</v>
      </c>
      <c r="H25036" s="8">
        <v>24035</v>
      </c>
    </row>
    <row r="25037" spans="2:8" ht="15" customHeight="1" x14ac:dyDescent="0.4">
      <c r="B25037" t="s">
        <v>7</v>
      </c>
      <c r="C25037" t="s">
        <v>4033</v>
      </c>
      <c r="D25037" s="7">
        <f>DATE(2018,4,30)</f>
        <v>43220</v>
      </c>
      <c r="E25037" s="8">
        <f t="shared" si="416"/>
        <v>2018</v>
      </c>
      <c r="F25037" t="s">
        <v>4034</v>
      </c>
      <c r="G25037" s="9">
        <v>290159.98</v>
      </c>
      <c r="H25037" s="8">
        <v>26152</v>
      </c>
    </row>
    <row r="25038" spans="2:8" ht="15" customHeight="1" x14ac:dyDescent="0.4">
      <c r="B25038" t="s">
        <v>7</v>
      </c>
      <c r="C25038" t="s">
        <v>4033</v>
      </c>
      <c r="D25038" s="7">
        <f>DATE(2018,4,30)</f>
        <v>43220</v>
      </c>
      <c r="E25038" s="8">
        <f t="shared" si="416"/>
        <v>2018</v>
      </c>
      <c r="F25038" t="s">
        <v>4034</v>
      </c>
      <c r="G25038" s="9">
        <v>75779.06</v>
      </c>
      <c r="H25038" s="8">
        <v>26156</v>
      </c>
    </row>
    <row r="25039" spans="2:8" ht="15" customHeight="1" x14ac:dyDescent="0.4">
      <c r="B25039" t="s">
        <v>7</v>
      </c>
      <c r="C25039" t="s">
        <v>4033</v>
      </c>
      <c r="D25039" s="7">
        <f>DATE(2018,11,21)</f>
        <v>43425</v>
      </c>
      <c r="E25039" s="8">
        <f t="shared" si="416"/>
        <v>2018</v>
      </c>
      <c r="F25039" t="s">
        <v>4034</v>
      </c>
      <c r="G25039" s="9">
        <v>49795.41</v>
      </c>
      <c r="H25039" s="8">
        <v>27296</v>
      </c>
    </row>
    <row r="25040" spans="2:8" ht="15" customHeight="1" x14ac:dyDescent="0.4">
      <c r="B25040" t="s">
        <v>7</v>
      </c>
      <c r="C25040" t="s">
        <v>4033</v>
      </c>
      <c r="D25040" s="7">
        <f>DATE(2015,10,16)</f>
        <v>42293</v>
      </c>
      <c r="E25040" s="8">
        <f t="shared" si="416"/>
        <v>2015</v>
      </c>
      <c r="F25040" t="s">
        <v>4034</v>
      </c>
      <c r="G25040" s="9">
        <v>15710.66</v>
      </c>
      <c r="H25040" s="8">
        <v>21303</v>
      </c>
    </row>
    <row r="25041" spans="2:8" ht="15" customHeight="1" x14ac:dyDescent="0.4">
      <c r="B25041" t="s">
        <v>7</v>
      </c>
      <c r="C25041" t="s">
        <v>4033</v>
      </c>
      <c r="D25041" s="7">
        <f>DATE(2013,4,9)</f>
        <v>41373</v>
      </c>
      <c r="E25041" s="8">
        <f t="shared" si="416"/>
        <v>2013</v>
      </c>
      <c r="F25041" t="s">
        <v>4034</v>
      </c>
      <c r="G25041" s="9">
        <v>636395.21</v>
      </c>
      <c r="H25041" s="8">
        <v>12237</v>
      </c>
    </row>
    <row r="25042" spans="2:8" ht="15" customHeight="1" x14ac:dyDescent="0.4">
      <c r="B25042" t="s">
        <v>7</v>
      </c>
      <c r="C25042" t="s">
        <v>4033</v>
      </c>
      <c r="D25042" s="7">
        <f>DATE(2014,1,9)</f>
        <v>41648</v>
      </c>
      <c r="E25042" s="8">
        <f t="shared" si="416"/>
        <v>2014</v>
      </c>
      <c r="F25042" t="s">
        <v>4034</v>
      </c>
      <c r="G25042" s="9">
        <v>51806.62</v>
      </c>
      <c r="H25042" s="8">
        <v>12721</v>
      </c>
    </row>
    <row r="25043" spans="2:8" ht="15" customHeight="1" x14ac:dyDescent="0.4">
      <c r="B25043" t="s">
        <v>7</v>
      </c>
      <c r="C25043" t="s">
        <v>4033</v>
      </c>
      <c r="D25043" s="7">
        <f>DATE(2003,9,30)</f>
        <v>37894</v>
      </c>
      <c r="E25043" s="8">
        <f t="shared" si="416"/>
        <v>2003</v>
      </c>
      <c r="F25043" t="s">
        <v>4034</v>
      </c>
      <c r="G25043" s="9">
        <v>8058</v>
      </c>
      <c r="H25043" s="8">
        <v>910</v>
      </c>
    </row>
    <row r="25044" spans="2:8" ht="15" customHeight="1" x14ac:dyDescent="0.4">
      <c r="B25044" t="s">
        <v>7</v>
      </c>
      <c r="C25044" t="s">
        <v>4033</v>
      </c>
      <c r="D25044" s="7">
        <f>DATE(2006,10,15)</f>
        <v>39005</v>
      </c>
      <c r="E25044" s="8">
        <f t="shared" si="416"/>
        <v>2006</v>
      </c>
      <c r="F25044" t="s">
        <v>4034</v>
      </c>
      <c r="G25044" s="9">
        <v>987000</v>
      </c>
      <c r="H25044" s="8">
        <v>4846</v>
      </c>
    </row>
    <row r="25045" spans="2:8" ht="15" customHeight="1" x14ac:dyDescent="0.4">
      <c r="B25045" t="s">
        <v>7</v>
      </c>
      <c r="C25045" t="s">
        <v>4033</v>
      </c>
      <c r="D25045" s="7">
        <f>DATE(2006,10,15)</f>
        <v>39005</v>
      </c>
      <c r="E25045" s="8">
        <f t="shared" si="416"/>
        <v>2006</v>
      </c>
      <c r="F25045" t="s">
        <v>4034</v>
      </c>
      <c r="G25045" s="9">
        <v>97507.67</v>
      </c>
      <c r="H25045" s="8">
        <v>5110</v>
      </c>
    </row>
    <row r="25046" spans="2:8" ht="15" customHeight="1" x14ac:dyDescent="0.4">
      <c r="B25046" t="s">
        <v>7</v>
      </c>
      <c r="C25046" t="s">
        <v>4033</v>
      </c>
      <c r="D25046" s="7">
        <f>DATE(2007,2,27)</f>
        <v>39140</v>
      </c>
      <c r="E25046" s="8">
        <f t="shared" si="416"/>
        <v>2007</v>
      </c>
      <c r="F25046" t="s">
        <v>4034</v>
      </c>
      <c r="G25046" s="9">
        <v>987000</v>
      </c>
      <c r="H25046" s="8">
        <v>5311</v>
      </c>
    </row>
    <row r="25047" spans="2:8" ht="15" customHeight="1" x14ac:dyDescent="0.4">
      <c r="B25047" t="s">
        <v>7</v>
      </c>
      <c r="C25047" t="s">
        <v>4033</v>
      </c>
      <c r="D25047" s="7">
        <f>DATE(2010,4,7)</f>
        <v>40275</v>
      </c>
      <c r="E25047" s="8">
        <f t="shared" si="416"/>
        <v>2010</v>
      </c>
      <c r="F25047" t="s">
        <v>4034</v>
      </c>
      <c r="G25047" s="9">
        <v>277472.27</v>
      </c>
      <c r="H25047" s="8">
        <v>9566</v>
      </c>
    </row>
    <row r="25048" spans="2:8" ht="15" customHeight="1" x14ac:dyDescent="0.4">
      <c r="B25048" t="s">
        <v>7</v>
      </c>
      <c r="C25048" t="s">
        <v>4033</v>
      </c>
      <c r="D25048" s="7">
        <f>DATE(2011,4,13)</f>
        <v>40646</v>
      </c>
      <c r="E25048" s="8">
        <f t="shared" si="416"/>
        <v>2011</v>
      </c>
      <c r="F25048" t="s">
        <v>4034</v>
      </c>
      <c r="G25048" s="9">
        <v>333026.18</v>
      </c>
      <c r="H25048" s="8">
        <v>10446</v>
      </c>
    </row>
    <row r="25049" spans="2:8" ht="15" customHeight="1" x14ac:dyDescent="0.4">
      <c r="B25049" t="s">
        <v>7</v>
      </c>
      <c r="C25049" t="s">
        <v>4033</v>
      </c>
      <c r="D25049" s="7">
        <f>DATE(2011,4,29)</f>
        <v>40662</v>
      </c>
      <c r="E25049" s="8">
        <f t="shared" si="416"/>
        <v>2011</v>
      </c>
      <c r="F25049" t="s">
        <v>4034</v>
      </c>
      <c r="G25049" s="9">
        <v>57963.5</v>
      </c>
      <c r="H25049" s="8">
        <v>10661</v>
      </c>
    </row>
    <row r="25050" spans="2:8" ht="15" customHeight="1" x14ac:dyDescent="0.4">
      <c r="B25050" t="s">
        <v>7</v>
      </c>
      <c r="C25050" t="s">
        <v>4033</v>
      </c>
      <c r="D25050" s="7">
        <f>DATE(2011,12,6)</f>
        <v>40883</v>
      </c>
      <c r="E25050" s="8">
        <f t="shared" si="416"/>
        <v>2011</v>
      </c>
      <c r="F25050" t="s">
        <v>4034</v>
      </c>
      <c r="G25050" s="9">
        <v>13495.66</v>
      </c>
      <c r="H25050" s="8">
        <v>11123</v>
      </c>
    </row>
    <row r="25051" spans="2:8" ht="15" customHeight="1" x14ac:dyDescent="0.4">
      <c r="B25051" t="s">
        <v>7</v>
      </c>
      <c r="C25051" t="s">
        <v>4033</v>
      </c>
      <c r="D25051" s="7">
        <f>DATE(2012,2,29)</f>
        <v>40968</v>
      </c>
      <c r="E25051" s="8">
        <f t="shared" si="416"/>
        <v>2012</v>
      </c>
      <c r="F25051" t="s">
        <v>4034</v>
      </c>
      <c r="G25051" s="9">
        <v>19838.88</v>
      </c>
      <c r="H25051" s="8">
        <v>11329</v>
      </c>
    </row>
    <row r="25052" spans="2:8" ht="15" customHeight="1" x14ac:dyDescent="0.4">
      <c r="B25052" t="s">
        <v>7</v>
      </c>
      <c r="C25052" t="s">
        <v>4033</v>
      </c>
      <c r="D25052" s="7">
        <f>DATE(2012,5,24)</f>
        <v>41053</v>
      </c>
      <c r="E25052" s="8">
        <f t="shared" si="416"/>
        <v>2012</v>
      </c>
      <c r="F25052" t="s">
        <v>4034</v>
      </c>
      <c r="G25052" s="9">
        <v>102715.62</v>
      </c>
      <c r="H25052" s="8">
        <v>11623</v>
      </c>
    </row>
    <row r="25053" spans="2:8" ht="15" customHeight="1" x14ac:dyDescent="0.4">
      <c r="B25053" t="s">
        <v>7</v>
      </c>
      <c r="C25053" t="s">
        <v>4033</v>
      </c>
      <c r="D25053" s="7">
        <f>DATE(2012,11,2)</f>
        <v>41215</v>
      </c>
      <c r="E25053" s="8">
        <f t="shared" si="416"/>
        <v>2012</v>
      </c>
      <c r="F25053" t="s">
        <v>4034</v>
      </c>
      <c r="G25053" s="9">
        <v>22313.83</v>
      </c>
      <c r="H25053" s="8">
        <v>11950</v>
      </c>
    </row>
    <row r="25054" spans="2:8" ht="15" customHeight="1" x14ac:dyDescent="0.4">
      <c r="B25054" t="s">
        <v>7</v>
      </c>
      <c r="C25054" t="s">
        <v>4033</v>
      </c>
      <c r="D25054" s="7">
        <f>DATE(2013,4,9)</f>
        <v>41373</v>
      </c>
      <c r="E25054" s="8">
        <f t="shared" si="416"/>
        <v>2013</v>
      </c>
      <c r="F25054" t="s">
        <v>4034</v>
      </c>
      <c r="G25054" s="9">
        <v>155127.49</v>
      </c>
      <c r="H25054" s="8">
        <v>12238</v>
      </c>
    </row>
    <row r="25055" spans="2:8" ht="15" customHeight="1" x14ac:dyDescent="0.4">
      <c r="B25055" t="s">
        <v>16</v>
      </c>
      <c r="C25055" t="s">
        <v>4033</v>
      </c>
      <c r="D25055" s="7">
        <f>DATE(2013,4,17)</f>
        <v>41381</v>
      </c>
      <c r="E25055" s="8">
        <f t="shared" si="416"/>
        <v>2013</v>
      </c>
      <c r="F25055" t="s">
        <v>4034</v>
      </c>
      <c r="G25055" s="9">
        <v>11830.45</v>
      </c>
      <c r="H25055" s="8">
        <v>12408</v>
      </c>
    </row>
    <row r="25056" spans="2:8" ht="15" customHeight="1" x14ac:dyDescent="0.4">
      <c r="B25056" t="s">
        <v>7</v>
      </c>
      <c r="C25056" t="s">
        <v>4035</v>
      </c>
      <c r="D25056" s="7">
        <f>DATE(2015,8,19)</f>
        <v>42235</v>
      </c>
      <c r="E25056" s="8">
        <f t="shared" si="416"/>
        <v>2015</v>
      </c>
      <c r="F25056" t="s">
        <v>4036</v>
      </c>
      <c r="G25056" s="9">
        <v>5836.8</v>
      </c>
      <c r="H25056" s="8">
        <v>21044</v>
      </c>
    </row>
    <row r="25057" spans="2:8" ht="15" customHeight="1" x14ac:dyDescent="0.4">
      <c r="B25057" t="s">
        <v>7</v>
      </c>
      <c r="C25057" t="s">
        <v>4035</v>
      </c>
      <c r="D25057" s="7">
        <f>DATE(2017,11,20)</f>
        <v>43059</v>
      </c>
      <c r="E25057" s="8">
        <f t="shared" si="416"/>
        <v>2017</v>
      </c>
      <c r="F25057" t="s">
        <v>4036</v>
      </c>
      <c r="G25057" s="9">
        <v>5655.52</v>
      </c>
      <c r="H25057" s="8">
        <v>25920</v>
      </c>
    </row>
    <row r="25058" spans="2:8" ht="15" customHeight="1" x14ac:dyDescent="0.4">
      <c r="B25058" t="s">
        <v>7</v>
      </c>
      <c r="C25058" t="s">
        <v>4035</v>
      </c>
      <c r="D25058" s="7">
        <f>DATE(2008,12,3)</f>
        <v>39785</v>
      </c>
      <c r="E25058" s="8">
        <f t="shared" si="416"/>
        <v>2008</v>
      </c>
      <c r="F25058" t="s">
        <v>4036</v>
      </c>
      <c r="G25058" s="9">
        <v>3792.02</v>
      </c>
      <c r="H25058" s="8">
        <v>8076</v>
      </c>
    </row>
    <row r="25059" spans="2:8" ht="15" customHeight="1" x14ac:dyDescent="0.4">
      <c r="B25059" t="s">
        <v>7</v>
      </c>
      <c r="C25059" t="s">
        <v>4035</v>
      </c>
      <c r="D25059" s="7">
        <f>DATE(2010,9,9)</f>
        <v>40430</v>
      </c>
      <c r="E25059" s="8">
        <f t="shared" si="416"/>
        <v>2010</v>
      </c>
      <c r="F25059" t="s">
        <v>4036</v>
      </c>
      <c r="G25059" s="9">
        <v>12493.63</v>
      </c>
      <c r="H25059" s="8">
        <v>10099</v>
      </c>
    </row>
    <row r="25060" spans="2:8" ht="15" customHeight="1" x14ac:dyDescent="0.4">
      <c r="B25060" t="s">
        <v>7</v>
      </c>
      <c r="C25060" t="s">
        <v>4035</v>
      </c>
      <c r="D25060" s="7">
        <f>DATE(2011,6,23)</f>
        <v>40717</v>
      </c>
      <c r="E25060" s="8">
        <f t="shared" si="416"/>
        <v>2011</v>
      </c>
      <c r="F25060" t="s">
        <v>4036</v>
      </c>
      <c r="G25060" s="9">
        <v>8239.75</v>
      </c>
      <c r="H25060" s="8">
        <v>10821</v>
      </c>
    </row>
    <row r="25061" spans="2:8" ht="15" customHeight="1" x14ac:dyDescent="0.4">
      <c r="B25061" t="s">
        <v>7</v>
      </c>
      <c r="C25061" t="s">
        <v>4035</v>
      </c>
      <c r="D25061" s="7">
        <f>DATE(2012,6,20)</f>
        <v>41080</v>
      </c>
      <c r="E25061" s="8">
        <f t="shared" si="416"/>
        <v>2012</v>
      </c>
      <c r="F25061" t="s">
        <v>4036</v>
      </c>
      <c r="G25061" s="9">
        <v>6974.53</v>
      </c>
      <c r="H25061" s="8">
        <v>11702</v>
      </c>
    </row>
    <row r="25062" spans="2:8" ht="15" customHeight="1" x14ac:dyDescent="0.4">
      <c r="B25062" t="s">
        <v>7</v>
      </c>
      <c r="C25062" t="s">
        <v>4035</v>
      </c>
      <c r="D25062" s="7">
        <f>DATE(2012,11,12)</f>
        <v>41225</v>
      </c>
      <c r="E25062" s="8">
        <f t="shared" si="416"/>
        <v>2012</v>
      </c>
      <c r="F25062" t="s">
        <v>4036</v>
      </c>
      <c r="G25062" s="9">
        <v>9303.73</v>
      </c>
      <c r="H25062" s="8">
        <v>11964</v>
      </c>
    </row>
    <row r="25063" spans="2:8" ht="15" customHeight="1" x14ac:dyDescent="0.4">
      <c r="B25063" t="s">
        <v>7</v>
      </c>
      <c r="C25063" t="s">
        <v>4037</v>
      </c>
      <c r="D25063" s="7">
        <f>DATE(2014,7,31)</f>
        <v>41851</v>
      </c>
      <c r="E25063" s="8">
        <f t="shared" si="416"/>
        <v>2014</v>
      </c>
      <c r="F25063" t="s">
        <v>4038</v>
      </c>
      <c r="G25063" s="9">
        <v>44915.58</v>
      </c>
      <c r="H25063" s="8">
        <v>13240</v>
      </c>
    </row>
    <row r="25064" spans="2:8" ht="15" customHeight="1" x14ac:dyDescent="0.4">
      <c r="B25064" t="s">
        <v>7</v>
      </c>
      <c r="C25064" t="s">
        <v>4031</v>
      </c>
      <c r="D25064" s="7">
        <f>DATE(2016,9,6)</f>
        <v>42619</v>
      </c>
      <c r="E25064" s="8">
        <f t="shared" si="416"/>
        <v>2016</v>
      </c>
      <c r="F25064" t="s">
        <v>4039</v>
      </c>
      <c r="G25064" s="9">
        <v>1193.1600000000001</v>
      </c>
      <c r="H25064" s="8">
        <v>23302</v>
      </c>
    </row>
    <row r="25065" spans="2:8" ht="15" customHeight="1" x14ac:dyDescent="0.4">
      <c r="B25065" t="s">
        <v>7</v>
      </c>
      <c r="C25065" t="s">
        <v>4040</v>
      </c>
      <c r="D25065" s="7">
        <f>DATE(2017,5,16)</f>
        <v>42871</v>
      </c>
      <c r="E25065" s="8">
        <f t="shared" si="416"/>
        <v>2017</v>
      </c>
      <c r="F25065" t="s">
        <v>4041</v>
      </c>
      <c r="G25065" s="9">
        <v>98.6</v>
      </c>
      <c r="H25065" s="8">
        <v>24922</v>
      </c>
    </row>
    <row r="25066" spans="2:8" ht="15" customHeight="1" x14ac:dyDescent="0.4">
      <c r="B25066" t="s">
        <v>7</v>
      </c>
      <c r="C25066" t="s">
        <v>4040</v>
      </c>
      <c r="D25066" s="7">
        <f>DATE(2015,2,6)</f>
        <v>42041</v>
      </c>
      <c r="E25066" s="8">
        <f t="shared" si="416"/>
        <v>2015</v>
      </c>
      <c r="F25066" t="s">
        <v>4041</v>
      </c>
      <c r="G25066" s="9">
        <v>3672.67</v>
      </c>
      <c r="H25066" s="8">
        <v>333</v>
      </c>
    </row>
    <row r="25067" spans="2:8" ht="15" customHeight="1" x14ac:dyDescent="0.4">
      <c r="B25067" t="s">
        <v>7</v>
      </c>
      <c r="C25067" t="s">
        <v>4040</v>
      </c>
      <c r="D25067" s="7">
        <f>DATE(2004,11,18)</f>
        <v>38309</v>
      </c>
      <c r="E25067" s="8">
        <f t="shared" si="416"/>
        <v>2004</v>
      </c>
      <c r="F25067" t="s">
        <v>4042</v>
      </c>
      <c r="G25067" s="9">
        <v>5515.66</v>
      </c>
      <c r="H25067" s="8">
        <v>2056</v>
      </c>
    </row>
    <row r="25068" spans="2:8" ht="15" customHeight="1" x14ac:dyDescent="0.4">
      <c r="B25068" t="s">
        <v>7</v>
      </c>
      <c r="C25068" t="s">
        <v>4040</v>
      </c>
      <c r="D25068" s="7">
        <f>DATE(2005,3,18)</f>
        <v>38429</v>
      </c>
      <c r="E25068" s="8">
        <f t="shared" si="416"/>
        <v>2005</v>
      </c>
      <c r="F25068" t="s">
        <v>4042</v>
      </c>
      <c r="G25068" s="9">
        <v>5800</v>
      </c>
      <c r="H25068" s="8">
        <v>2704</v>
      </c>
    </row>
    <row r="25069" spans="2:8" ht="15" customHeight="1" x14ac:dyDescent="0.4">
      <c r="B25069" t="s">
        <v>7</v>
      </c>
      <c r="C25069" t="s">
        <v>4043</v>
      </c>
      <c r="D25069" s="7">
        <f>DATE(2010,11,30)</f>
        <v>40512</v>
      </c>
      <c r="E25069" s="8">
        <f t="shared" si="416"/>
        <v>2010</v>
      </c>
      <c r="F25069" t="s">
        <v>4044</v>
      </c>
      <c r="G25069" s="9">
        <v>708.76</v>
      </c>
      <c r="H25069" s="8">
        <v>10197</v>
      </c>
    </row>
    <row r="25070" spans="2:8" ht="15" customHeight="1" x14ac:dyDescent="0.4">
      <c r="B25070" s="3" t="s">
        <v>7</v>
      </c>
      <c r="C25070" s="3" t="s">
        <v>4043</v>
      </c>
      <c r="D25070" s="4">
        <f>DATE(2010,10,12)</f>
        <v>40463</v>
      </c>
      <c r="E25070" s="5">
        <f t="shared" si="416"/>
        <v>2010</v>
      </c>
      <c r="F25070" s="3" t="s">
        <v>4044</v>
      </c>
      <c r="G25070" s="6">
        <v>574.1</v>
      </c>
      <c r="H25070" s="5">
        <v>14610</v>
      </c>
    </row>
    <row r="25071" spans="2:8" ht="15" customHeight="1" x14ac:dyDescent="0.4">
      <c r="B25071" s="3" t="s">
        <v>16</v>
      </c>
      <c r="C25071" s="3" t="s">
        <v>4043</v>
      </c>
      <c r="D25071" s="4">
        <f>DATE(2011,1,18)</f>
        <v>40561</v>
      </c>
      <c r="E25071" s="5">
        <f t="shared" si="416"/>
        <v>2011</v>
      </c>
      <c r="F25071" s="3" t="s">
        <v>4044</v>
      </c>
      <c r="G25071" s="6">
        <v>539.30999999999995</v>
      </c>
      <c r="H25071" s="5">
        <v>14943</v>
      </c>
    </row>
    <row r="25072" spans="2:8" ht="15" customHeight="1" x14ac:dyDescent="0.4">
      <c r="B25072" t="s">
        <v>7</v>
      </c>
      <c r="C25072" t="s">
        <v>2342</v>
      </c>
      <c r="D25072" s="7">
        <f>DATE(2003,4,25)</f>
        <v>37736</v>
      </c>
      <c r="E25072" s="8">
        <f t="shared" si="416"/>
        <v>2003</v>
      </c>
      <c r="F25072" t="s">
        <v>4045</v>
      </c>
      <c r="G25072" s="9">
        <v>17900</v>
      </c>
      <c r="H25072" s="8">
        <v>247</v>
      </c>
    </row>
    <row r="25073" spans="2:8" ht="15" customHeight="1" x14ac:dyDescent="0.4">
      <c r="B25073" t="s">
        <v>7</v>
      </c>
      <c r="C25073" t="s">
        <v>2342</v>
      </c>
      <c r="D25073" s="7">
        <f>DATE(2005,4,17)</f>
        <v>38459</v>
      </c>
      <c r="E25073" s="8">
        <f t="shared" si="416"/>
        <v>2005</v>
      </c>
      <c r="F25073" t="s">
        <v>4045</v>
      </c>
      <c r="G25073" s="9">
        <v>10650</v>
      </c>
      <c r="H25073" s="8">
        <v>3002</v>
      </c>
    </row>
    <row r="25074" spans="2:8" ht="15" customHeight="1" x14ac:dyDescent="0.4">
      <c r="B25074" t="s">
        <v>7</v>
      </c>
      <c r="C25074" t="s">
        <v>2342</v>
      </c>
      <c r="D25074" s="7">
        <f>DATE(2005,7,20)</f>
        <v>38553</v>
      </c>
      <c r="E25074" s="8">
        <f t="shared" si="416"/>
        <v>2005</v>
      </c>
      <c r="F25074" t="s">
        <v>4045</v>
      </c>
      <c r="G25074" s="9">
        <v>395.56</v>
      </c>
      <c r="H25074" s="8">
        <v>3399</v>
      </c>
    </row>
    <row r="25075" spans="2:8" ht="15" customHeight="1" x14ac:dyDescent="0.4">
      <c r="B25075" t="s">
        <v>7</v>
      </c>
      <c r="C25075" t="s">
        <v>2342</v>
      </c>
      <c r="D25075" s="7">
        <f>DATE(2005,11,17)</f>
        <v>38673</v>
      </c>
      <c r="E25075" s="8">
        <f t="shared" si="416"/>
        <v>2005</v>
      </c>
      <c r="F25075" t="s">
        <v>4045</v>
      </c>
      <c r="G25075" s="9">
        <v>10380</v>
      </c>
      <c r="H25075" s="8">
        <v>3749</v>
      </c>
    </row>
    <row r="25076" spans="2:8" ht="15" customHeight="1" x14ac:dyDescent="0.4">
      <c r="B25076" t="s">
        <v>7</v>
      </c>
      <c r="C25076" t="s">
        <v>2342</v>
      </c>
      <c r="D25076" s="7">
        <f>DATE(2006,3,31)</f>
        <v>38807</v>
      </c>
      <c r="E25076" s="8">
        <f t="shared" si="416"/>
        <v>2006</v>
      </c>
      <c r="F25076" t="s">
        <v>4045</v>
      </c>
      <c r="G25076" s="9">
        <v>520</v>
      </c>
      <c r="H25076" s="8">
        <v>4406</v>
      </c>
    </row>
    <row r="25077" spans="2:8" ht="15" customHeight="1" x14ac:dyDescent="0.4">
      <c r="B25077" t="s">
        <v>7</v>
      </c>
      <c r="C25077" t="s">
        <v>2342</v>
      </c>
      <c r="D25077" s="7">
        <f>DATE(2007,3,31)</f>
        <v>39172</v>
      </c>
      <c r="E25077" s="8">
        <f t="shared" si="416"/>
        <v>2007</v>
      </c>
      <c r="F25077" t="s">
        <v>4045</v>
      </c>
      <c r="G25077" s="9">
        <v>520</v>
      </c>
      <c r="H25077" s="8">
        <v>5819</v>
      </c>
    </row>
    <row r="25078" spans="2:8" ht="15" customHeight="1" x14ac:dyDescent="0.4">
      <c r="B25078" t="s">
        <v>7</v>
      </c>
      <c r="C25078" t="s">
        <v>2342</v>
      </c>
      <c r="D25078" s="7">
        <f>DATE(2008,3,31)</f>
        <v>39538</v>
      </c>
      <c r="E25078" s="8">
        <f t="shared" si="416"/>
        <v>2008</v>
      </c>
      <c r="F25078" t="s">
        <v>4045</v>
      </c>
      <c r="G25078" s="9">
        <v>525</v>
      </c>
      <c r="H25078" s="8">
        <v>7282</v>
      </c>
    </row>
    <row r="25079" spans="2:8" ht="15" customHeight="1" x14ac:dyDescent="0.4">
      <c r="B25079" t="s">
        <v>7</v>
      </c>
      <c r="C25079" t="s">
        <v>2342</v>
      </c>
      <c r="D25079" s="7">
        <f>DATE(2008,12,2)</f>
        <v>39784</v>
      </c>
      <c r="E25079" s="8">
        <f t="shared" si="416"/>
        <v>2008</v>
      </c>
      <c r="F25079" t="s">
        <v>4045</v>
      </c>
      <c r="G25079" s="9">
        <v>7059.1</v>
      </c>
      <c r="H25079" s="8">
        <v>8063</v>
      </c>
    </row>
    <row r="25080" spans="2:8" ht="15" customHeight="1" x14ac:dyDescent="0.4">
      <c r="B25080" s="3" t="s">
        <v>7</v>
      </c>
      <c r="C25080" s="3" t="s">
        <v>2342</v>
      </c>
      <c r="D25080" s="4">
        <f>DATE(2008,8,25)</f>
        <v>39685</v>
      </c>
      <c r="E25080" s="5">
        <f t="shared" si="416"/>
        <v>2008</v>
      </c>
      <c r="F25080" s="3" t="s">
        <v>4045</v>
      </c>
      <c r="G25080" s="6">
        <v>1534</v>
      </c>
      <c r="H25080" s="5">
        <v>11152</v>
      </c>
    </row>
    <row r="25081" spans="2:8" ht="15" customHeight="1" x14ac:dyDescent="0.4">
      <c r="B25081" s="3" t="s">
        <v>7</v>
      </c>
      <c r="C25081" s="3" t="s">
        <v>4046</v>
      </c>
      <c r="D25081" s="4">
        <f>DATE(2007,3,19)</f>
        <v>39160</v>
      </c>
      <c r="E25081" s="5">
        <f t="shared" si="416"/>
        <v>2007</v>
      </c>
      <c r="F25081" s="3" t="s">
        <v>4047</v>
      </c>
      <c r="G25081" s="6">
        <v>16170</v>
      </c>
      <c r="H25081" s="5">
        <v>8050</v>
      </c>
    </row>
    <row r="25082" spans="2:8" ht="15" customHeight="1" x14ac:dyDescent="0.4">
      <c r="B25082" t="s">
        <v>7</v>
      </c>
      <c r="C25082" t="s">
        <v>4048</v>
      </c>
      <c r="D25082" s="7">
        <f>DATE(2016,3,21)</f>
        <v>42450</v>
      </c>
      <c r="E25082" s="8">
        <f t="shared" si="416"/>
        <v>2016</v>
      </c>
      <c r="F25082" t="s">
        <v>4049</v>
      </c>
      <c r="G25082" s="9">
        <v>21046.720000000001</v>
      </c>
      <c r="H25082" s="8">
        <v>22000</v>
      </c>
    </row>
    <row r="25083" spans="2:8" ht="15" customHeight="1" x14ac:dyDescent="0.4">
      <c r="B25083" t="s">
        <v>7</v>
      </c>
      <c r="C25083" t="s">
        <v>4048</v>
      </c>
      <c r="D25083" s="7">
        <f>DATE(2018,3,12)</f>
        <v>43171</v>
      </c>
      <c r="E25083" s="8">
        <f t="shared" si="416"/>
        <v>2018</v>
      </c>
      <c r="F25083" t="s">
        <v>4049</v>
      </c>
      <c r="G25083" s="9">
        <v>19426.45</v>
      </c>
      <c r="H25083" s="8">
        <v>26181</v>
      </c>
    </row>
    <row r="25084" spans="2:8" ht="15" customHeight="1" x14ac:dyDescent="0.4">
      <c r="B25084" t="s">
        <v>7</v>
      </c>
      <c r="C25084" t="s">
        <v>4048</v>
      </c>
      <c r="D25084" s="7">
        <f>DATE(2016,3,21)</f>
        <v>42450</v>
      </c>
      <c r="E25084" s="8">
        <f t="shared" si="416"/>
        <v>2016</v>
      </c>
      <c r="F25084" t="s">
        <v>4049</v>
      </c>
      <c r="G25084" s="9">
        <v>8103</v>
      </c>
      <c r="H25084" s="8">
        <v>22001</v>
      </c>
    </row>
    <row r="25085" spans="2:8" ht="15" customHeight="1" x14ac:dyDescent="0.4">
      <c r="B25085" t="s">
        <v>7</v>
      </c>
      <c r="C25085" t="s">
        <v>4048</v>
      </c>
      <c r="D25085" s="7">
        <f>DATE(2018,3,12)</f>
        <v>43171</v>
      </c>
      <c r="E25085" s="8">
        <f t="shared" si="416"/>
        <v>2018</v>
      </c>
      <c r="F25085" t="s">
        <v>4049</v>
      </c>
      <c r="G25085" s="9">
        <v>6800</v>
      </c>
      <c r="H25085" s="8">
        <v>26185</v>
      </c>
    </row>
    <row r="25086" spans="2:8" ht="15" customHeight="1" x14ac:dyDescent="0.4">
      <c r="B25086" t="s">
        <v>16</v>
      </c>
      <c r="C25086" t="s">
        <v>4048</v>
      </c>
      <c r="D25086" s="7">
        <f>DATE(2018,3,19)</f>
        <v>43178</v>
      </c>
      <c r="E25086" s="8">
        <f t="shared" si="416"/>
        <v>2018</v>
      </c>
      <c r="F25086" t="s">
        <v>4049</v>
      </c>
      <c r="G25086" s="9">
        <v>15.06</v>
      </c>
      <c r="H25086" s="8">
        <v>26698</v>
      </c>
    </row>
    <row r="25087" spans="2:8" ht="15" customHeight="1" x14ac:dyDescent="0.4">
      <c r="B25087" t="s">
        <v>7</v>
      </c>
      <c r="C25087" t="s">
        <v>4048</v>
      </c>
      <c r="D25087" s="7">
        <f>DATE(2012,11,7)</f>
        <v>41220</v>
      </c>
      <c r="E25087" s="8">
        <f t="shared" si="416"/>
        <v>2012</v>
      </c>
      <c r="F25087" t="s">
        <v>4049</v>
      </c>
      <c r="G25087" s="9">
        <v>3847.06</v>
      </c>
      <c r="H25087" s="8">
        <v>11834</v>
      </c>
    </row>
    <row r="25088" spans="2:8" ht="15" customHeight="1" x14ac:dyDescent="0.4">
      <c r="B25088" t="s">
        <v>7</v>
      </c>
      <c r="C25088" t="s">
        <v>4048</v>
      </c>
      <c r="D25088" s="7">
        <f>DATE(2014,4,28)</f>
        <v>41757</v>
      </c>
      <c r="E25088" s="8">
        <f t="shared" si="416"/>
        <v>2014</v>
      </c>
      <c r="F25088" t="s">
        <v>4049</v>
      </c>
      <c r="G25088" s="9">
        <v>6648</v>
      </c>
      <c r="H25088" s="8">
        <v>12869</v>
      </c>
    </row>
    <row r="25089" spans="2:8" ht="15" customHeight="1" x14ac:dyDescent="0.4">
      <c r="B25089" t="s">
        <v>7</v>
      </c>
      <c r="C25089" t="s">
        <v>4048</v>
      </c>
      <c r="D25089" s="7">
        <f>DATE(2007,10,11)</f>
        <v>39366</v>
      </c>
      <c r="E25089" s="8">
        <f t="shared" si="416"/>
        <v>2007</v>
      </c>
      <c r="F25089" t="s">
        <v>4049</v>
      </c>
      <c r="G25089" s="9">
        <v>14254</v>
      </c>
      <c r="H25089" s="8">
        <v>6388</v>
      </c>
    </row>
    <row r="25090" spans="2:8" ht="15" customHeight="1" x14ac:dyDescent="0.4">
      <c r="B25090" t="s">
        <v>7</v>
      </c>
      <c r="C25090" t="s">
        <v>4048</v>
      </c>
      <c r="D25090" s="7">
        <f>DATE(2007,10,10)</f>
        <v>39365</v>
      </c>
      <c r="E25090" s="8">
        <f t="shared" si="416"/>
        <v>2007</v>
      </c>
      <c r="F25090" t="s">
        <v>4049</v>
      </c>
      <c r="G25090" s="9">
        <v>4694</v>
      </c>
      <c r="H25090" s="8">
        <v>6392</v>
      </c>
    </row>
    <row r="25091" spans="2:8" ht="15" customHeight="1" x14ac:dyDescent="0.4">
      <c r="B25091" t="s">
        <v>7</v>
      </c>
      <c r="C25091" t="s">
        <v>4048</v>
      </c>
      <c r="D25091" s="7">
        <f>DATE(2009,10,28)</f>
        <v>40114</v>
      </c>
      <c r="E25091" s="8">
        <f t="shared" ref="E25091:E25154" si="417">YEAR(D25091)</f>
        <v>2009</v>
      </c>
      <c r="F25091" t="s">
        <v>4049</v>
      </c>
      <c r="G25091" s="9">
        <v>5918</v>
      </c>
      <c r="H25091" s="8">
        <v>8426</v>
      </c>
    </row>
    <row r="25092" spans="2:8" ht="15" customHeight="1" x14ac:dyDescent="0.4">
      <c r="B25092" t="s">
        <v>7</v>
      </c>
      <c r="C25092" t="s">
        <v>4048</v>
      </c>
      <c r="D25092" s="7">
        <f>DATE(2009,10,29)</f>
        <v>40115</v>
      </c>
      <c r="E25092" s="8">
        <f t="shared" si="417"/>
        <v>2009</v>
      </c>
      <c r="F25092" t="s">
        <v>4049</v>
      </c>
      <c r="G25092" s="9">
        <v>20902.61</v>
      </c>
      <c r="H25092" s="8">
        <v>9096</v>
      </c>
    </row>
    <row r="25093" spans="2:8" ht="15" customHeight="1" x14ac:dyDescent="0.4">
      <c r="B25093" t="s">
        <v>7</v>
      </c>
      <c r="C25093" t="s">
        <v>4048</v>
      </c>
      <c r="D25093" s="7">
        <f>DATE(2012,11,7)</f>
        <v>41220</v>
      </c>
      <c r="E25093" s="8">
        <f t="shared" si="417"/>
        <v>2012</v>
      </c>
      <c r="F25093" t="s">
        <v>4049</v>
      </c>
      <c r="G25093" s="9">
        <v>19215.11</v>
      </c>
      <c r="H25093" s="8">
        <v>11835</v>
      </c>
    </row>
    <row r="25094" spans="2:8" ht="15" customHeight="1" x14ac:dyDescent="0.4">
      <c r="B25094" t="s">
        <v>7</v>
      </c>
      <c r="C25094" t="s">
        <v>4048</v>
      </c>
      <c r="D25094" s="7">
        <f>DATE(2014,4,28)</f>
        <v>41757</v>
      </c>
      <c r="E25094" s="8">
        <f t="shared" si="417"/>
        <v>2014</v>
      </c>
      <c r="F25094" t="s">
        <v>4049</v>
      </c>
      <c r="G25094" s="9">
        <v>19413.689999999999</v>
      </c>
      <c r="H25094" s="8">
        <v>12870</v>
      </c>
    </row>
    <row r="25095" spans="2:8" ht="15" customHeight="1" x14ac:dyDescent="0.4">
      <c r="B25095" t="s">
        <v>7</v>
      </c>
      <c r="C25095" t="s">
        <v>4050</v>
      </c>
      <c r="D25095" s="7">
        <f>DATE(2003,8,2)</f>
        <v>37835</v>
      </c>
      <c r="E25095" s="8">
        <f t="shared" si="417"/>
        <v>2003</v>
      </c>
      <c r="F25095" t="s">
        <v>4051</v>
      </c>
      <c r="G25095" s="9">
        <v>6620.22</v>
      </c>
      <c r="H25095" s="8">
        <v>773</v>
      </c>
    </row>
    <row r="25096" spans="2:8" ht="15" customHeight="1" x14ac:dyDescent="0.4">
      <c r="B25096" t="s">
        <v>7</v>
      </c>
      <c r="C25096" t="s">
        <v>4050</v>
      </c>
      <c r="D25096" s="7">
        <f>DATE(2003,10,28)</f>
        <v>37922</v>
      </c>
      <c r="E25096" s="8">
        <f t="shared" si="417"/>
        <v>2003</v>
      </c>
      <c r="F25096" t="s">
        <v>4052</v>
      </c>
      <c r="G25096" s="9">
        <v>11353.4</v>
      </c>
      <c r="H25096" s="8">
        <v>806</v>
      </c>
    </row>
    <row r="25097" spans="2:8" ht="15" customHeight="1" x14ac:dyDescent="0.4">
      <c r="B25097" t="s">
        <v>7</v>
      </c>
      <c r="C25097" t="s">
        <v>4050</v>
      </c>
      <c r="D25097" s="7">
        <f>DATE(2005,10,13)</f>
        <v>38638</v>
      </c>
      <c r="E25097" s="8">
        <f t="shared" si="417"/>
        <v>2005</v>
      </c>
      <c r="F25097" t="s">
        <v>4052</v>
      </c>
      <c r="G25097" s="9">
        <v>6921.08</v>
      </c>
      <c r="H25097" s="8">
        <v>3610</v>
      </c>
    </row>
    <row r="25098" spans="2:8" ht="15" customHeight="1" x14ac:dyDescent="0.4">
      <c r="B25098" t="s">
        <v>7</v>
      </c>
      <c r="C25098" t="s">
        <v>4050</v>
      </c>
      <c r="D25098" s="7">
        <f>DATE(2005,10,25)</f>
        <v>38650</v>
      </c>
      <c r="E25098" s="8">
        <f t="shared" si="417"/>
        <v>2005</v>
      </c>
      <c r="F25098" t="s">
        <v>4052</v>
      </c>
      <c r="G25098" s="9">
        <v>6921.08</v>
      </c>
      <c r="H25098" s="8">
        <v>3665</v>
      </c>
    </row>
    <row r="25099" spans="2:8" ht="15" customHeight="1" x14ac:dyDescent="0.4">
      <c r="B25099" t="s">
        <v>7</v>
      </c>
      <c r="C25099" t="s">
        <v>4050</v>
      </c>
      <c r="D25099" s="7">
        <f>DATE(2006,3,25)</f>
        <v>38801</v>
      </c>
      <c r="E25099" s="8">
        <f t="shared" si="417"/>
        <v>2006</v>
      </c>
      <c r="F25099" t="s">
        <v>4052</v>
      </c>
      <c r="G25099" s="9">
        <v>6737.4</v>
      </c>
      <c r="H25099" s="8">
        <v>3941</v>
      </c>
    </row>
    <row r="25100" spans="2:8" ht="15" customHeight="1" x14ac:dyDescent="0.4">
      <c r="B25100" t="s">
        <v>7</v>
      </c>
      <c r="C25100" t="s">
        <v>4050</v>
      </c>
      <c r="D25100" s="7">
        <f>DATE(2006,7,11)</f>
        <v>38909</v>
      </c>
      <c r="E25100" s="8">
        <f t="shared" si="417"/>
        <v>2006</v>
      </c>
      <c r="F25100" t="s">
        <v>4052</v>
      </c>
      <c r="G25100" s="9">
        <v>6737.4</v>
      </c>
      <c r="H25100" s="8">
        <v>4668</v>
      </c>
    </row>
    <row r="25101" spans="2:8" ht="15" customHeight="1" x14ac:dyDescent="0.4">
      <c r="B25101" t="s">
        <v>7</v>
      </c>
      <c r="C25101" t="s">
        <v>4050</v>
      </c>
      <c r="D25101" s="7">
        <f>DATE(2006,7,11)</f>
        <v>38909</v>
      </c>
      <c r="E25101" s="8">
        <f t="shared" si="417"/>
        <v>2006</v>
      </c>
      <c r="F25101" t="s">
        <v>4052</v>
      </c>
      <c r="G25101" s="9">
        <v>7083</v>
      </c>
      <c r="H25101" s="8">
        <v>4664</v>
      </c>
    </row>
    <row r="25102" spans="2:8" ht="15" customHeight="1" x14ac:dyDescent="0.4">
      <c r="B25102" t="s">
        <v>7</v>
      </c>
      <c r="C25102" t="s">
        <v>4050</v>
      </c>
      <c r="D25102" s="7">
        <f>DATE(2006,7,10)</f>
        <v>38908</v>
      </c>
      <c r="E25102" s="8">
        <f t="shared" si="417"/>
        <v>2006</v>
      </c>
      <c r="F25102" t="s">
        <v>4052</v>
      </c>
      <c r="G25102" s="9">
        <v>1982.28</v>
      </c>
      <c r="H25102" s="8">
        <v>4465</v>
      </c>
    </row>
    <row r="25103" spans="2:8" ht="15" customHeight="1" x14ac:dyDescent="0.4">
      <c r="B25103" t="s">
        <v>7</v>
      </c>
      <c r="C25103" t="s">
        <v>4050</v>
      </c>
      <c r="D25103" s="7">
        <f>DATE(2007,6,30)</f>
        <v>39263</v>
      </c>
      <c r="E25103" s="8">
        <f t="shared" si="417"/>
        <v>2007</v>
      </c>
      <c r="F25103" t="s">
        <v>4052</v>
      </c>
      <c r="G25103" s="9">
        <v>7931.56</v>
      </c>
      <c r="H25103" s="8">
        <v>6129</v>
      </c>
    </row>
    <row r="25104" spans="2:8" ht="15" customHeight="1" x14ac:dyDescent="0.4">
      <c r="B25104" t="s">
        <v>7</v>
      </c>
      <c r="C25104" t="s">
        <v>4050</v>
      </c>
      <c r="D25104" s="7">
        <f>DATE(2007,7,18)</f>
        <v>39281</v>
      </c>
      <c r="E25104" s="8">
        <f t="shared" si="417"/>
        <v>2007</v>
      </c>
      <c r="F25104" t="s">
        <v>4052</v>
      </c>
      <c r="G25104" s="9">
        <v>6864.9</v>
      </c>
      <c r="H25104" s="8">
        <v>6163</v>
      </c>
    </row>
    <row r="25105" spans="2:8" ht="15" customHeight="1" x14ac:dyDescent="0.4">
      <c r="B25105" t="s">
        <v>7</v>
      </c>
      <c r="C25105" t="s">
        <v>4050</v>
      </c>
      <c r="D25105" s="7">
        <f>DATE(2007,7,24)</f>
        <v>39287</v>
      </c>
      <c r="E25105" s="8">
        <f t="shared" si="417"/>
        <v>2007</v>
      </c>
      <c r="F25105" t="s">
        <v>4052</v>
      </c>
      <c r="G25105" s="9">
        <v>6864.9</v>
      </c>
      <c r="H25105" s="8">
        <v>6194</v>
      </c>
    </row>
    <row r="25106" spans="2:8" ht="15" customHeight="1" x14ac:dyDescent="0.4">
      <c r="B25106" t="s">
        <v>7</v>
      </c>
      <c r="C25106" t="s">
        <v>4050</v>
      </c>
      <c r="D25106" s="7">
        <f>DATE(2008,2,28)</f>
        <v>39506</v>
      </c>
      <c r="E25106" s="8">
        <f t="shared" si="417"/>
        <v>2008</v>
      </c>
      <c r="F25106" t="s">
        <v>4052</v>
      </c>
      <c r="G25106" s="9">
        <v>7145</v>
      </c>
      <c r="H25106" s="8">
        <v>7054</v>
      </c>
    </row>
    <row r="25107" spans="2:8" ht="15" customHeight="1" x14ac:dyDescent="0.4">
      <c r="B25107" t="s">
        <v>7</v>
      </c>
      <c r="C25107" t="s">
        <v>4050</v>
      </c>
      <c r="D25107" s="7">
        <f>DATE(2008,6,22)</f>
        <v>39621</v>
      </c>
      <c r="E25107" s="8">
        <f t="shared" si="417"/>
        <v>2008</v>
      </c>
      <c r="F25107" t="s">
        <v>4052</v>
      </c>
      <c r="G25107" s="9">
        <v>7145.96</v>
      </c>
      <c r="H25107" s="8">
        <v>7537</v>
      </c>
    </row>
    <row r="25108" spans="2:8" ht="15" customHeight="1" x14ac:dyDescent="0.4">
      <c r="B25108" t="s">
        <v>7</v>
      </c>
      <c r="C25108" t="s">
        <v>4050</v>
      </c>
      <c r="D25108" s="7">
        <f>DATE(2008,9,5)</f>
        <v>39696</v>
      </c>
      <c r="E25108" s="8">
        <f t="shared" si="417"/>
        <v>2008</v>
      </c>
      <c r="F25108" t="s">
        <v>4052</v>
      </c>
      <c r="G25108" s="9">
        <v>1833.5</v>
      </c>
      <c r="H25108" s="8">
        <v>7780</v>
      </c>
    </row>
    <row r="25109" spans="2:8" ht="15" customHeight="1" x14ac:dyDescent="0.4">
      <c r="B25109" t="s">
        <v>7</v>
      </c>
      <c r="C25109" t="s">
        <v>4050</v>
      </c>
      <c r="D25109" s="7">
        <f>DATE(2010,1,13)</f>
        <v>40191</v>
      </c>
      <c r="E25109" s="8">
        <f t="shared" si="417"/>
        <v>2010</v>
      </c>
      <c r="F25109" t="s">
        <v>4052</v>
      </c>
      <c r="G25109" s="9">
        <v>2049.34</v>
      </c>
      <c r="H25109" s="8">
        <v>9355</v>
      </c>
    </row>
    <row r="25110" spans="2:8" ht="15" customHeight="1" x14ac:dyDescent="0.4">
      <c r="B25110" t="s">
        <v>7</v>
      </c>
      <c r="C25110" t="s">
        <v>4050</v>
      </c>
      <c r="D25110" s="7">
        <f>DATE(2010,5,11)</f>
        <v>40309</v>
      </c>
      <c r="E25110" s="8">
        <f t="shared" si="417"/>
        <v>2010</v>
      </c>
      <c r="F25110" t="s">
        <v>4052</v>
      </c>
      <c r="G25110" s="9">
        <v>7120</v>
      </c>
      <c r="H25110" s="8">
        <v>9756</v>
      </c>
    </row>
    <row r="25111" spans="2:8" ht="15" customHeight="1" x14ac:dyDescent="0.4">
      <c r="B25111" t="s">
        <v>7</v>
      </c>
      <c r="C25111" t="s">
        <v>4050</v>
      </c>
      <c r="D25111" s="7">
        <f>DATE(2010,5,26)</f>
        <v>40324</v>
      </c>
      <c r="E25111" s="8">
        <f t="shared" si="417"/>
        <v>2010</v>
      </c>
      <c r="F25111" t="s">
        <v>4052</v>
      </c>
      <c r="G25111" s="9">
        <v>7410.25</v>
      </c>
      <c r="H25111" s="8">
        <v>9734</v>
      </c>
    </row>
    <row r="25112" spans="2:8" ht="15" customHeight="1" x14ac:dyDescent="0.4">
      <c r="B25112" t="s">
        <v>7</v>
      </c>
      <c r="C25112" t="s">
        <v>4050</v>
      </c>
      <c r="D25112" s="7">
        <f>DATE(2010,6,4)</f>
        <v>40333</v>
      </c>
      <c r="E25112" s="8">
        <f t="shared" si="417"/>
        <v>2010</v>
      </c>
      <c r="F25112" t="s">
        <v>4052</v>
      </c>
      <c r="G25112" s="9">
        <v>7120.28</v>
      </c>
      <c r="H25112" s="8">
        <v>9773</v>
      </c>
    </row>
    <row r="25113" spans="2:8" ht="15" customHeight="1" x14ac:dyDescent="0.4">
      <c r="B25113" t="s">
        <v>7</v>
      </c>
      <c r="C25113" t="s">
        <v>4050</v>
      </c>
      <c r="D25113" s="7">
        <f>DATE(2011,6,23)</f>
        <v>40717</v>
      </c>
      <c r="E25113" s="8">
        <f t="shared" si="417"/>
        <v>2011</v>
      </c>
      <c r="F25113" t="s">
        <v>4052</v>
      </c>
      <c r="G25113" s="9">
        <v>1853.33</v>
      </c>
      <c r="H25113" s="8">
        <v>10829</v>
      </c>
    </row>
    <row r="25114" spans="2:8" ht="15" customHeight="1" x14ac:dyDescent="0.4">
      <c r="B25114" t="s">
        <v>7</v>
      </c>
      <c r="C25114" t="s">
        <v>4050</v>
      </c>
      <c r="D25114" s="7">
        <f>DATE(2011,7,21)</f>
        <v>40745</v>
      </c>
      <c r="E25114" s="8">
        <f t="shared" si="417"/>
        <v>2011</v>
      </c>
      <c r="F25114" t="s">
        <v>4052</v>
      </c>
      <c r="G25114" s="9">
        <v>1693.45</v>
      </c>
      <c r="H25114" s="8">
        <v>10906</v>
      </c>
    </row>
    <row r="25115" spans="2:8" ht="15" customHeight="1" x14ac:dyDescent="0.4">
      <c r="B25115" t="s">
        <v>7</v>
      </c>
      <c r="C25115" t="s">
        <v>4050</v>
      </c>
      <c r="D25115" s="7">
        <f>DATE(2012,4,25)</f>
        <v>41024</v>
      </c>
      <c r="E25115" s="8">
        <f t="shared" si="417"/>
        <v>2012</v>
      </c>
      <c r="F25115" t="s">
        <v>4052</v>
      </c>
      <c r="G25115" s="9">
        <v>2555.63</v>
      </c>
      <c r="H25115" s="8">
        <v>11489</v>
      </c>
    </row>
    <row r="25116" spans="2:8" ht="15" customHeight="1" x14ac:dyDescent="0.4">
      <c r="B25116" t="s">
        <v>16</v>
      </c>
      <c r="C25116" t="s">
        <v>4050</v>
      </c>
      <c r="D25116" s="7">
        <f>DATE(2011,7,21)</f>
        <v>40745</v>
      </c>
      <c r="E25116" s="8">
        <f t="shared" si="417"/>
        <v>2011</v>
      </c>
      <c r="F25116" t="s">
        <v>4052</v>
      </c>
      <c r="G25116" s="9">
        <v>1853.33</v>
      </c>
      <c r="H25116" s="8">
        <v>10905</v>
      </c>
    </row>
    <row r="25117" spans="2:8" ht="15" customHeight="1" x14ac:dyDescent="0.4">
      <c r="B25117" t="s">
        <v>16</v>
      </c>
      <c r="C25117" t="s">
        <v>4050</v>
      </c>
      <c r="D25117" s="7">
        <f>DATE(2013,1,24)</f>
        <v>41298</v>
      </c>
      <c r="E25117" s="8">
        <f t="shared" si="417"/>
        <v>2013</v>
      </c>
      <c r="F25117" t="s">
        <v>4052</v>
      </c>
      <c r="G25117" s="9">
        <v>2555.63</v>
      </c>
      <c r="H25117" s="8">
        <v>12140</v>
      </c>
    </row>
    <row r="25118" spans="2:8" ht="15" customHeight="1" x14ac:dyDescent="0.4">
      <c r="B25118" s="3" t="s">
        <v>7</v>
      </c>
      <c r="C25118" s="3" t="s">
        <v>4053</v>
      </c>
      <c r="D25118" s="4">
        <f>DATE(2005,10,14)</f>
        <v>38639</v>
      </c>
      <c r="E25118" s="5">
        <f t="shared" si="417"/>
        <v>2005</v>
      </c>
      <c r="F25118" s="3" t="s">
        <v>4054</v>
      </c>
      <c r="G25118" s="6">
        <v>16850</v>
      </c>
      <c r="H25118" s="5">
        <v>1291</v>
      </c>
    </row>
    <row r="25119" spans="2:8" ht="15" customHeight="1" x14ac:dyDescent="0.4">
      <c r="B25119" s="3" t="s">
        <v>7</v>
      </c>
      <c r="C25119" s="3" t="s">
        <v>4055</v>
      </c>
      <c r="D25119" s="4">
        <f>DATE(2003,3,6)</f>
        <v>37686</v>
      </c>
      <c r="E25119" s="5">
        <f t="shared" si="417"/>
        <v>2003</v>
      </c>
      <c r="F25119" s="3" t="s">
        <v>4056</v>
      </c>
      <c r="G25119" s="6">
        <v>308.64999999999998</v>
      </c>
      <c r="H25119" s="5">
        <v>58</v>
      </c>
    </row>
    <row r="25120" spans="2:8" ht="15" customHeight="1" x14ac:dyDescent="0.4">
      <c r="B25120" s="3" t="s">
        <v>7</v>
      </c>
      <c r="C25120" s="3" t="s">
        <v>4055</v>
      </c>
      <c r="D25120" s="4">
        <f>DATE(2003,9,1)</f>
        <v>37865</v>
      </c>
      <c r="E25120" s="5">
        <f t="shared" si="417"/>
        <v>2003</v>
      </c>
      <c r="F25120" s="3" t="s">
        <v>4056</v>
      </c>
      <c r="G25120" s="6">
        <v>1859</v>
      </c>
      <c r="H25120" s="5">
        <v>337</v>
      </c>
    </row>
    <row r="25121" spans="2:8" ht="15" customHeight="1" x14ac:dyDescent="0.4">
      <c r="B25121" s="3" t="s">
        <v>7</v>
      </c>
      <c r="C25121" s="3" t="s">
        <v>2227</v>
      </c>
      <c r="D25121" s="4">
        <f>DATE(2009,4,23)</f>
        <v>39926</v>
      </c>
      <c r="E25121" s="5">
        <f t="shared" si="417"/>
        <v>2009</v>
      </c>
      <c r="F25121" s="3" t="s">
        <v>4057</v>
      </c>
      <c r="G25121" s="6">
        <v>703</v>
      </c>
      <c r="H25121" s="5">
        <v>12431</v>
      </c>
    </row>
    <row r="25122" spans="2:8" ht="15" customHeight="1" x14ac:dyDescent="0.4">
      <c r="B25122" s="3" t="s">
        <v>7</v>
      </c>
      <c r="C25122" s="3" t="s">
        <v>2227</v>
      </c>
      <c r="D25122" s="4">
        <f>DATE(2009,5,14)</f>
        <v>39947</v>
      </c>
      <c r="E25122" s="5">
        <f t="shared" si="417"/>
        <v>2009</v>
      </c>
      <c r="F25122" s="3" t="s">
        <v>4057</v>
      </c>
      <c r="G25122" s="6">
        <v>3535</v>
      </c>
      <c r="H25122" s="5">
        <v>12537</v>
      </c>
    </row>
    <row r="25123" spans="2:8" ht="15" customHeight="1" x14ac:dyDescent="0.4">
      <c r="B25123" t="s">
        <v>7</v>
      </c>
      <c r="C25123" t="s">
        <v>4058</v>
      </c>
      <c r="D25123" s="7">
        <f>DATE(2016,9,27)</f>
        <v>42640</v>
      </c>
      <c r="E25123" s="8">
        <f t="shared" si="417"/>
        <v>2016</v>
      </c>
      <c r="F25123" t="s">
        <v>4059</v>
      </c>
      <c r="G25123" s="9">
        <v>32900</v>
      </c>
      <c r="H25123" s="8">
        <v>23209</v>
      </c>
    </row>
    <row r="25124" spans="2:8" ht="15" customHeight="1" x14ac:dyDescent="0.4">
      <c r="B25124" t="s">
        <v>7</v>
      </c>
      <c r="C25124" t="s">
        <v>4058</v>
      </c>
      <c r="D25124" s="7">
        <f>DATE(2011,11,22)</f>
        <v>40869</v>
      </c>
      <c r="E25124" s="8">
        <f t="shared" si="417"/>
        <v>2011</v>
      </c>
      <c r="F25124" t="s">
        <v>4059</v>
      </c>
      <c r="G25124" s="9">
        <v>32672.32</v>
      </c>
      <c r="H25124" s="8">
        <v>11113</v>
      </c>
    </row>
    <row r="25125" spans="2:8" ht="15" customHeight="1" x14ac:dyDescent="0.4">
      <c r="B25125" t="s">
        <v>7</v>
      </c>
      <c r="C25125" t="s">
        <v>4060</v>
      </c>
      <c r="D25125" s="7">
        <f>DATE(2015,2,19)</f>
        <v>42054</v>
      </c>
      <c r="E25125" s="8">
        <f t="shared" si="417"/>
        <v>2015</v>
      </c>
      <c r="F25125" t="s">
        <v>4061</v>
      </c>
      <c r="G25125" s="9">
        <v>2997.54</v>
      </c>
      <c r="H25125" s="8">
        <v>236</v>
      </c>
    </row>
    <row r="25126" spans="2:8" ht="15" customHeight="1" x14ac:dyDescent="0.4">
      <c r="B25126" t="s">
        <v>7</v>
      </c>
      <c r="C25126" t="s">
        <v>4060</v>
      </c>
      <c r="D25126" s="7">
        <f>DATE(2015,11,10)</f>
        <v>42318</v>
      </c>
      <c r="E25126" s="8">
        <f t="shared" si="417"/>
        <v>2015</v>
      </c>
      <c r="F25126" t="s">
        <v>4061</v>
      </c>
      <c r="G25126" s="9">
        <v>1776.32</v>
      </c>
      <c r="H25126" s="8">
        <v>21530</v>
      </c>
    </row>
    <row r="25127" spans="2:8" ht="15" customHeight="1" x14ac:dyDescent="0.4">
      <c r="B25127" t="s">
        <v>7</v>
      </c>
      <c r="C25127" t="s">
        <v>4060</v>
      </c>
      <c r="D25127" s="7">
        <f>DATE(2012,3,13)</f>
        <v>40981</v>
      </c>
      <c r="E25127" s="8">
        <f t="shared" si="417"/>
        <v>2012</v>
      </c>
      <c r="F25127" t="s">
        <v>4061</v>
      </c>
      <c r="G25127" s="9">
        <v>2066.63</v>
      </c>
      <c r="H25127" s="8">
        <v>11397</v>
      </c>
    </row>
    <row r="25128" spans="2:8" ht="15" customHeight="1" x14ac:dyDescent="0.4">
      <c r="B25128" t="s">
        <v>7</v>
      </c>
      <c r="C25128" t="s">
        <v>4060</v>
      </c>
      <c r="D25128" s="7">
        <f>DATE(2014,5,7)</f>
        <v>41766</v>
      </c>
      <c r="E25128" s="8">
        <f t="shared" si="417"/>
        <v>2014</v>
      </c>
      <c r="F25128" t="s">
        <v>4061</v>
      </c>
      <c r="G25128" s="9">
        <v>2125.87</v>
      </c>
      <c r="H25128" s="8">
        <v>13100</v>
      </c>
    </row>
    <row r="25129" spans="2:8" ht="15" customHeight="1" x14ac:dyDescent="0.4">
      <c r="B25129" t="s">
        <v>7</v>
      </c>
      <c r="C25129" t="s">
        <v>4062</v>
      </c>
      <c r="D25129" s="7">
        <f>DATE(2004,2,11)</f>
        <v>38028</v>
      </c>
      <c r="E25129" s="8">
        <f t="shared" si="417"/>
        <v>2004</v>
      </c>
      <c r="F25129" t="s">
        <v>4063</v>
      </c>
      <c r="G25129" s="9">
        <v>3463.21</v>
      </c>
      <c r="H25129" s="8">
        <v>1310</v>
      </c>
    </row>
    <row r="25130" spans="2:8" ht="15" customHeight="1" x14ac:dyDescent="0.4">
      <c r="B25130" t="s">
        <v>7</v>
      </c>
      <c r="C25130" t="s">
        <v>4062</v>
      </c>
      <c r="D25130" s="7">
        <f>DATE(2006,8,15)</f>
        <v>38944</v>
      </c>
      <c r="E25130" s="8">
        <f t="shared" si="417"/>
        <v>2006</v>
      </c>
      <c r="F25130" t="s">
        <v>4063</v>
      </c>
      <c r="G25130" s="9">
        <v>2911.69</v>
      </c>
      <c r="H25130" s="8">
        <v>4899</v>
      </c>
    </row>
    <row r="25131" spans="2:8" ht="15" customHeight="1" x14ac:dyDescent="0.4">
      <c r="B25131" t="s">
        <v>7</v>
      </c>
      <c r="C25131" t="s">
        <v>4064</v>
      </c>
      <c r="D25131" s="7">
        <f>DATE(2016,3,16)</f>
        <v>42445</v>
      </c>
      <c r="E25131" s="8">
        <f t="shared" si="417"/>
        <v>2016</v>
      </c>
      <c r="F25131" t="s">
        <v>4065</v>
      </c>
      <c r="G25131" s="9">
        <v>3517.66</v>
      </c>
      <c r="H25131" s="8">
        <v>22349</v>
      </c>
    </row>
    <row r="25132" spans="2:8" ht="15" customHeight="1" x14ac:dyDescent="0.4">
      <c r="B25132" t="s">
        <v>7</v>
      </c>
      <c r="C25132" t="s">
        <v>4064</v>
      </c>
      <c r="D25132" s="7">
        <f>DATE(2017,5,10)</f>
        <v>42865</v>
      </c>
      <c r="E25132" s="8">
        <f t="shared" si="417"/>
        <v>2017</v>
      </c>
      <c r="F25132" t="s">
        <v>4065</v>
      </c>
      <c r="G25132" s="9">
        <v>3419</v>
      </c>
      <c r="H25132" s="8">
        <v>24837</v>
      </c>
    </row>
    <row r="25133" spans="2:8" ht="15" customHeight="1" x14ac:dyDescent="0.4">
      <c r="B25133" t="s">
        <v>7</v>
      </c>
      <c r="C25133" t="s">
        <v>4064</v>
      </c>
      <c r="D25133" s="7">
        <f>DATE(2017,10,24)</f>
        <v>43032</v>
      </c>
      <c r="E25133" s="8">
        <f t="shared" si="417"/>
        <v>2017</v>
      </c>
      <c r="F25133" t="s">
        <v>4065</v>
      </c>
      <c r="G25133" s="9">
        <v>1281</v>
      </c>
      <c r="H25133" s="8">
        <v>25710</v>
      </c>
    </row>
    <row r="25134" spans="2:8" ht="15" customHeight="1" x14ac:dyDescent="0.4">
      <c r="B25134" t="s">
        <v>7</v>
      </c>
      <c r="C25134" t="s">
        <v>4064</v>
      </c>
      <c r="D25134" s="7">
        <f>DATE(2003,4,30)</f>
        <v>37741</v>
      </c>
      <c r="E25134" s="8">
        <f t="shared" si="417"/>
        <v>2003</v>
      </c>
      <c r="F25134" t="s">
        <v>4065</v>
      </c>
      <c r="G25134" s="9">
        <v>134609</v>
      </c>
      <c r="H25134" s="8">
        <v>144</v>
      </c>
    </row>
    <row r="25135" spans="2:8" ht="15" customHeight="1" x14ac:dyDescent="0.4">
      <c r="B25135" t="s">
        <v>7</v>
      </c>
      <c r="C25135" t="s">
        <v>4064</v>
      </c>
      <c r="D25135" s="7">
        <f>DATE(2003,4,30)</f>
        <v>37741</v>
      </c>
      <c r="E25135" s="8">
        <f t="shared" si="417"/>
        <v>2003</v>
      </c>
      <c r="F25135" t="s">
        <v>4065</v>
      </c>
      <c r="G25135" s="9">
        <v>36275.58</v>
      </c>
      <c r="H25135" s="8">
        <v>75</v>
      </c>
    </row>
    <row r="25136" spans="2:8" ht="15" customHeight="1" x14ac:dyDescent="0.4">
      <c r="B25136" t="s">
        <v>7</v>
      </c>
      <c r="C25136" t="s">
        <v>4064</v>
      </c>
      <c r="D25136" s="7">
        <f>DATE(2004,10,10)</f>
        <v>38270</v>
      </c>
      <c r="E25136" s="8">
        <f t="shared" si="417"/>
        <v>2004</v>
      </c>
      <c r="F25136" t="s">
        <v>4065</v>
      </c>
      <c r="G25136" s="9">
        <v>30169.8</v>
      </c>
      <c r="H25136" s="8">
        <v>2141</v>
      </c>
    </row>
    <row r="25137" spans="2:8" ht="15" customHeight="1" x14ac:dyDescent="0.4">
      <c r="B25137" t="s">
        <v>7</v>
      </c>
      <c r="C25137" t="s">
        <v>4064</v>
      </c>
      <c r="D25137" s="7">
        <f>DATE(2006,4,15)</f>
        <v>38822</v>
      </c>
      <c r="E25137" s="8">
        <f t="shared" si="417"/>
        <v>2006</v>
      </c>
      <c r="F25137" t="s">
        <v>4065</v>
      </c>
      <c r="G25137" s="9">
        <v>31206.18</v>
      </c>
      <c r="H25137" s="8">
        <v>3929</v>
      </c>
    </row>
    <row r="25138" spans="2:8" ht="15" customHeight="1" x14ac:dyDescent="0.4">
      <c r="B25138" t="s">
        <v>7</v>
      </c>
      <c r="C25138" t="s">
        <v>4064</v>
      </c>
      <c r="D25138" s="7">
        <f>DATE(2007,3,24)</f>
        <v>39165</v>
      </c>
      <c r="E25138" s="8">
        <f t="shared" si="417"/>
        <v>2007</v>
      </c>
      <c r="F25138" t="s">
        <v>4065</v>
      </c>
      <c r="G25138" s="9">
        <v>35635.81</v>
      </c>
      <c r="H25138" s="8">
        <v>5441</v>
      </c>
    </row>
    <row r="25139" spans="2:8" ht="15" customHeight="1" x14ac:dyDescent="0.4">
      <c r="B25139" t="s">
        <v>7</v>
      </c>
      <c r="C25139" t="s">
        <v>4064</v>
      </c>
      <c r="D25139" s="7">
        <f>DATE(2008,5,23)</f>
        <v>39591</v>
      </c>
      <c r="E25139" s="8">
        <f t="shared" si="417"/>
        <v>2008</v>
      </c>
      <c r="F25139" t="s">
        <v>4065</v>
      </c>
      <c r="G25139" s="9">
        <v>21428</v>
      </c>
      <c r="H25139" s="8">
        <v>7279</v>
      </c>
    </row>
    <row r="25140" spans="2:8" ht="15" customHeight="1" x14ac:dyDescent="0.4">
      <c r="B25140" t="s">
        <v>7</v>
      </c>
      <c r="C25140" t="s">
        <v>4064</v>
      </c>
      <c r="D25140" s="7">
        <f>DATE(2009,4,1)</f>
        <v>39904</v>
      </c>
      <c r="E25140" s="8">
        <f t="shared" si="417"/>
        <v>2009</v>
      </c>
      <c r="F25140" t="s">
        <v>4065</v>
      </c>
      <c r="G25140" s="9">
        <v>39885.68</v>
      </c>
      <c r="H25140" s="8">
        <v>8195</v>
      </c>
    </row>
    <row r="25141" spans="2:8" ht="15" customHeight="1" x14ac:dyDescent="0.4">
      <c r="B25141" t="s">
        <v>7</v>
      </c>
      <c r="C25141" t="s">
        <v>4064</v>
      </c>
      <c r="D25141" s="7">
        <f>DATE(2010,2,10)</f>
        <v>40219</v>
      </c>
      <c r="E25141" s="8">
        <f t="shared" si="417"/>
        <v>2010</v>
      </c>
      <c r="F25141" t="s">
        <v>4065</v>
      </c>
      <c r="G25141" s="9">
        <v>9657.2099999999991</v>
      </c>
      <c r="H25141" s="8">
        <v>9472</v>
      </c>
    </row>
    <row r="25142" spans="2:8" ht="15" customHeight="1" x14ac:dyDescent="0.4">
      <c r="B25142" t="s">
        <v>7</v>
      </c>
      <c r="C25142" t="s">
        <v>4064</v>
      </c>
      <c r="D25142" s="7">
        <f>DATE(2010,3,23)</f>
        <v>40260</v>
      </c>
      <c r="E25142" s="8">
        <f t="shared" si="417"/>
        <v>2010</v>
      </c>
      <c r="F25142" t="s">
        <v>4065</v>
      </c>
      <c r="G25142" s="9">
        <v>37429.599999999999</v>
      </c>
      <c r="H25142" s="8">
        <v>8911</v>
      </c>
    </row>
    <row r="25143" spans="2:8" ht="15" customHeight="1" x14ac:dyDescent="0.4">
      <c r="B25143" t="s">
        <v>7</v>
      </c>
      <c r="C25143" t="s">
        <v>4064</v>
      </c>
      <c r="D25143" s="7">
        <f>DATE(2010,11,2)</f>
        <v>40484</v>
      </c>
      <c r="E25143" s="8">
        <f t="shared" si="417"/>
        <v>2010</v>
      </c>
      <c r="F25143" t="s">
        <v>4065</v>
      </c>
      <c r="G25143" s="9">
        <v>25505.81</v>
      </c>
      <c r="H25143" s="8">
        <v>9972</v>
      </c>
    </row>
    <row r="25144" spans="2:8" ht="15" customHeight="1" x14ac:dyDescent="0.4">
      <c r="B25144" t="s">
        <v>7</v>
      </c>
      <c r="C25144" t="s">
        <v>4064</v>
      </c>
      <c r="D25144" s="7">
        <f>DATE(2011,10,11)</f>
        <v>40827</v>
      </c>
      <c r="E25144" s="8">
        <f t="shared" si="417"/>
        <v>2011</v>
      </c>
      <c r="F25144" t="s">
        <v>4065</v>
      </c>
      <c r="G25144" s="9">
        <v>51500.91</v>
      </c>
      <c r="H25144" s="8">
        <v>10934</v>
      </c>
    </row>
    <row r="25145" spans="2:8" ht="15" customHeight="1" x14ac:dyDescent="0.4">
      <c r="B25145" t="s">
        <v>7</v>
      </c>
      <c r="C25145" t="s">
        <v>4064</v>
      </c>
      <c r="D25145" s="7">
        <f>DATE(2013,10,21)</f>
        <v>41568</v>
      </c>
      <c r="E25145" s="8">
        <f t="shared" si="417"/>
        <v>2013</v>
      </c>
      <c r="F25145" t="s">
        <v>4065</v>
      </c>
      <c r="G25145" s="9">
        <v>25822.67</v>
      </c>
      <c r="H25145" s="8">
        <v>12566</v>
      </c>
    </row>
    <row r="25146" spans="2:8" ht="15" customHeight="1" x14ac:dyDescent="0.4">
      <c r="B25146" s="3" t="s">
        <v>7</v>
      </c>
      <c r="C25146" s="3" t="s">
        <v>4064</v>
      </c>
      <c r="D25146" s="4">
        <f>DATE(2003,3,28)</f>
        <v>37708</v>
      </c>
      <c r="E25146" s="5">
        <f t="shared" si="417"/>
        <v>2003</v>
      </c>
      <c r="F25146" s="3" t="s">
        <v>4065</v>
      </c>
      <c r="G25146" s="6">
        <v>6149</v>
      </c>
      <c r="H25146" s="5">
        <v>656</v>
      </c>
    </row>
    <row r="25147" spans="2:8" ht="15" customHeight="1" x14ac:dyDescent="0.4">
      <c r="B25147" s="3" t="s">
        <v>7</v>
      </c>
      <c r="C25147" s="3" t="s">
        <v>4064</v>
      </c>
      <c r="D25147" s="4">
        <f>DATE(2003,4,3)</f>
        <v>37714</v>
      </c>
      <c r="E25147" s="5">
        <f t="shared" si="417"/>
        <v>2003</v>
      </c>
      <c r="F25147" s="3" t="s">
        <v>4065</v>
      </c>
      <c r="G25147" s="6">
        <v>1511</v>
      </c>
      <c r="H25147" s="5">
        <v>682</v>
      </c>
    </row>
    <row r="25148" spans="2:8" ht="15" customHeight="1" x14ac:dyDescent="0.4">
      <c r="B25148" s="3" t="s">
        <v>7</v>
      </c>
      <c r="C25148" s="3" t="s">
        <v>4064</v>
      </c>
      <c r="D25148" s="4">
        <f>DATE(2003,4,11)</f>
        <v>37722</v>
      </c>
      <c r="E25148" s="5">
        <f t="shared" si="417"/>
        <v>2003</v>
      </c>
      <c r="F25148" s="3" t="s">
        <v>4065</v>
      </c>
      <c r="G25148" s="6">
        <v>1210</v>
      </c>
      <c r="H25148" s="5">
        <v>714</v>
      </c>
    </row>
    <row r="25149" spans="2:8" ht="15" customHeight="1" x14ac:dyDescent="0.4">
      <c r="B25149" s="3" t="s">
        <v>7</v>
      </c>
      <c r="C25149" s="3" t="s">
        <v>4064</v>
      </c>
      <c r="D25149" s="4">
        <f>DATE(2004,8,9)</f>
        <v>38208</v>
      </c>
      <c r="E25149" s="5">
        <f t="shared" si="417"/>
        <v>2004</v>
      </c>
      <c r="F25149" s="3" t="s">
        <v>4065</v>
      </c>
      <c r="G25149" s="6">
        <v>1211</v>
      </c>
      <c r="H25149" s="5">
        <v>3236</v>
      </c>
    </row>
    <row r="25150" spans="2:8" ht="15" customHeight="1" x14ac:dyDescent="0.4">
      <c r="B25150" s="3" t="s">
        <v>7</v>
      </c>
      <c r="C25150" s="3" t="s">
        <v>4064</v>
      </c>
      <c r="D25150" s="4">
        <f>DATE(2004,11,16)</f>
        <v>38307</v>
      </c>
      <c r="E25150" s="5">
        <f t="shared" si="417"/>
        <v>2004</v>
      </c>
      <c r="F25150" s="3" t="s">
        <v>4065</v>
      </c>
      <c r="G25150" s="6">
        <v>1211</v>
      </c>
      <c r="H25150" s="5">
        <v>3716</v>
      </c>
    </row>
    <row r="25151" spans="2:8" ht="15" customHeight="1" x14ac:dyDescent="0.4">
      <c r="B25151" s="3" t="s">
        <v>7</v>
      </c>
      <c r="C25151" s="3" t="s">
        <v>4064</v>
      </c>
      <c r="D25151" s="4">
        <f>DATE(2005,1,6)</f>
        <v>38358</v>
      </c>
      <c r="E25151" s="5">
        <f t="shared" si="417"/>
        <v>2005</v>
      </c>
      <c r="F25151" s="3" t="s">
        <v>4065</v>
      </c>
      <c r="G25151" s="6">
        <v>1209.68</v>
      </c>
      <c r="H25151" s="5">
        <v>3885</v>
      </c>
    </row>
    <row r="25152" spans="2:8" ht="15" customHeight="1" x14ac:dyDescent="0.4">
      <c r="B25152" s="3" t="s">
        <v>7</v>
      </c>
      <c r="C25152" s="3" t="s">
        <v>4064</v>
      </c>
      <c r="D25152" s="4">
        <f>DATE(2009,4,2)</f>
        <v>39905</v>
      </c>
      <c r="E25152" s="5">
        <f t="shared" si="417"/>
        <v>2009</v>
      </c>
      <c r="F25152" s="3" t="s">
        <v>4065</v>
      </c>
      <c r="G25152" s="6">
        <v>1260</v>
      </c>
      <c r="H25152" s="5">
        <v>12283</v>
      </c>
    </row>
    <row r="25153" spans="2:8" ht="15" customHeight="1" x14ac:dyDescent="0.4">
      <c r="B25153" s="3" t="s">
        <v>7</v>
      </c>
      <c r="C25153" s="3" t="s">
        <v>4064</v>
      </c>
      <c r="D25153" s="4">
        <f>DATE(2009,11,24)</f>
        <v>40141</v>
      </c>
      <c r="E25153" s="5">
        <f t="shared" si="417"/>
        <v>2009</v>
      </c>
      <c r="F25153" s="3" t="s">
        <v>4065</v>
      </c>
      <c r="G25153" s="6">
        <v>3339.57</v>
      </c>
      <c r="H25153" s="5">
        <v>13275</v>
      </c>
    </row>
    <row r="25154" spans="2:8" ht="15" customHeight="1" x14ac:dyDescent="0.4">
      <c r="B25154" s="3" t="s">
        <v>7</v>
      </c>
      <c r="C25154" s="3" t="s">
        <v>4064</v>
      </c>
      <c r="D25154" s="4">
        <f>DATE(2011,1,14)</f>
        <v>40557</v>
      </c>
      <c r="E25154" s="5">
        <f t="shared" si="417"/>
        <v>2011</v>
      </c>
      <c r="F25154" s="3" t="s">
        <v>4065</v>
      </c>
      <c r="G25154" s="6">
        <v>2852.6</v>
      </c>
      <c r="H25154" s="5">
        <v>14869</v>
      </c>
    </row>
    <row r="25155" spans="2:8" ht="15" customHeight="1" x14ac:dyDescent="0.4">
      <c r="B25155" s="3" t="s">
        <v>7</v>
      </c>
      <c r="C25155" s="3" t="s">
        <v>4064</v>
      </c>
      <c r="D25155" s="4">
        <f>DATE(2012,5,1)</f>
        <v>41030</v>
      </c>
      <c r="E25155" s="5">
        <f t="shared" ref="E25155:E25218" si="418">YEAR(D25155)</f>
        <v>2012</v>
      </c>
      <c r="F25155" s="3" t="s">
        <v>4065</v>
      </c>
      <c r="G25155" s="6">
        <v>1690</v>
      </c>
      <c r="H25155" s="5">
        <v>17067</v>
      </c>
    </row>
    <row r="25156" spans="2:8" ht="15" customHeight="1" x14ac:dyDescent="0.4">
      <c r="B25156" s="3" t="s">
        <v>7</v>
      </c>
      <c r="C25156" s="3" t="s">
        <v>4064</v>
      </c>
      <c r="D25156" s="4">
        <f>DATE(2012,5,11)</f>
        <v>41040</v>
      </c>
      <c r="E25156" s="5">
        <f t="shared" si="418"/>
        <v>2012</v>
      </c>
      <c r="F25156" s="3" t="s">
        <v>4065</v>
      </c>
      <c r="G25156" s="6">
        <v>3510</v>
      </c>
      <c r="H25156" s="5">
        <v>17067</v>
      </c>
    </row>
    <row r="25157" spans="2:8" ht="15" customHeight="1" x14ac:dyDescent="0.4">
      <c r="B25157" s="3" t="s">
        <v>7</v>
      </c>
      <c r="C25157" s="3" t="s">
        <v>4064</v>
      </c>
      <c r="D25157" s="4">
        <f>DATE(2014,9,18)</f>
        <v>41900</v>
      </c>
      <c r="E25157" s="5">
        <f t="shared" si="418"/>
        <v>2014</v>
      </c>
      <c r="F25157" s="3" t="s">
        <v>4065</v>
      </c>
      <c r="G25157" s="6">
        <v>294</v>
      </c>
      <c r="H25157" s="5">
        <v>20414</v>
      </c>
    </row>
    <row r="25158" spans="2:8" ht="15" customHeight="1" x14ac:dyDescent="0.4">
      <c r="B25158" t="s">
        <v>7</v>
      </c>
      <c r="C25158" t="s">
        <v>4066</v>
      </c>
      <c r="D25158" s="7">
        <f>DATE(2018,8,29)</f>
        <v>43341</v>
      </c>
      <c r="E25158" s="8">
        <f t="shared" si="418"/>
        <v>2018</v>
      </c>
      <c r="F25158" t="s">
        <v>4067</v>
      </c>
      <c r="G25158" s="9">
        <v>58015.55</v>
      </c>
      <c r="H25158" s="8">
        <v>27506</v>
      </c>
    </row>
    <row r="25159" spans="2:8" ht="15" customHeight="1" x14ac:dyDescent="0.4">
      <c r="B25159" t="s">
        <v>7</v>
      </c>
      <c r="C25159" t="s">
        <v>4066</v>
      </c>
      <c r="D25159" s="7">
        <f>DATE(2018,12,31)</f>
        <v>43465</v>
      </c>
      <c r="E25159" s="8">
        <f t="shared" si="418"/>
        <v>2018</v>
      </c>
      <c r="F25159" t="s">
        <v>4067</v>
      </c>
      <c r="G25159" s="9">
        <v>85584.12</v>
      </c>
      <c r="H25159" s="8">
        <v>27883</v>
      </c>
    </row>
    <row r="25160" spans="2:8" ht="15" customHeight="1" x14ac:dyDescent="0.4">
      <c r="B25160" t="s">
        <v>7</v>
      </c>
      <c r="C25160" t="s">
        <v>4066</v>
      </c>
      <c r="D25160" s="7">
        <f>DATE(2019,4,30)</f>
        <v>43585</v>
      </c>
      <c r="E25160" s="8">
        <f t="shared" si="418"/>
        <v>2019</v>
      </c>
      <c r="F25160" t="s">
        <v>4067</v>
      </c>
      <c r="G25160" s="9">
        <v>147808.03</v>
      </c>
      <c r="H25160" s="8">
        <v>28647</v>
      </c>
    </row>
    <row r="25161" spans="2:8" ht="15" customHeight="1" x14ac:dyDescent="0.4">
      <c r="B25161" t="s">
        <v>7</v>
      </c>
      <c r="C25161" t="s">
        <v>4066</v>
      </c>
      <c r="D25161" s="7">
        <f>DATE(2016,4,26)</f>
        <v>42486</v>
      </c>
      <c r="E25161" s="8">
        <f t="shared" si="418"/>
        <v>2016</v>
      </c>
      <c r="F25161" t="s">
        <v>4067</v>
      </c>
      <c r="G25161" s="9">
        <v>963</v>
      </c>
      <c r="H25161" s="8">
        <v>22699</v>
      </c>
    </row>
    <row r="25162" spans="2:8" ht="15" customHeight="1" x14ac:dyDescent="0.4">
      <c r="B25162" t="s">
        <v>7</v>
      </c>
      <c r="C25162" t="s">
        <v>4066</v>
      </c>
      <c r="D25162" s="7">
        <f>DATE(2017,6,23)</f>
        <v>42909</v>
      </c>
      <c r="E25162" s="8">
        <f t="shared" si="418"/>
        <v>2017</v>
      </c>
      <c r="F25162" t="s">
        <v>4067</v>
      </c>
      <c r="G25162" s="9">
        <v>487</v>
      </c>
      <c r="H25162" s="8">
        <v>25156</v>
      </c>
    </row>
    <row r="25163" spans="2:8" ht="15" customHeight="1" x14ac:dyDescent="0.4">
      <c r="B25163" t="s">
        <v>7</v>
      </c>
      <c r="C25163" t="s">
        <v>4066</v>
      </c>
      <c r="D25163" s="7">
        <f>DATE(2017,10,2)</f>
        <v>43010</v>
      </c>
      <c r="E25163" s="8">
        <f t="shared" si="418"/>
        <v>2017</v>
      </c>
      <c r="F25163" t="s">
        <v>4067</v>
      </c>
      <c r="G25163" s="9">
        <v>965.81</v>
      </c>
      <c r="H25163" s="8">
        <v>25650</v>
      </c>
    </row>
    <row r="25164" spans="2:8" ht="15" customHeight="1" x14ac:dyDescent="0.4">
      <c r="B25164" t="s">
        <v>7</v>
      </c>
      <c r="C25164" t="s">
        <v>4066</v>
      </c>
      <c r="D25164" s="7">
        <f>DATE(2017,10,6)</f>
        <v>43014</v>
      </c>
      <c r="E25164" s="8">
        <f t="shared" si="418"/>
        <v>2017</v>
      </c>
      <c r="F25164" t="s">
        <v>4067</v>
      </c>
      <c r="G25164" s="9">
        <v>3892.3</v>
      </c>
      <c r="H25164" s="8">
        <v>25681</v>
      </c>
    </row>
    <row r="25165" spans="2:8" ht="15" customHeight="1" x14ac:dyDescent="0.4">
      <c r="B25165" t="s">
        <v>7</v>
      </c>
      <c r="C25165" t="s">
        <v>4066</v>
      </c>
      <c r="D25165" s="7">
        <f>DATE(2018,4,24)</f>
        <v>43214</v>
      </c>
      <c r="E25165" s="8">
        <f t="shared" si="418"/>
        <v>2018</v>
      </c>
      <c r="F25165" t="s">
        <v>4067</v>
      </c>
      <c r="G25165" s="9">
        <v>965.88</v>
      </c>
      <c r="H25165" s="8">
        <v>26743</v>
      </c>
    </row>
    <row r="25166" spans="2:8" ht="15" customHeight="1" x14ac:dyDescent="0.4">
      <c r="B25166" t="s">
        <v>7</v>
      </c>
      <c r="C25166" t="s">
        <v>4066</v>
      </c>
      <c r="D25166" s="7">
        <f>DATE(2015,7,14)</f>
        <v>42199</v>
      </c>
      <c r="E25166" s="8">
        <f t="shared" si="418"/>
        <v>2015</v>
      </c>
      <c r="F25166" t="s">
        <v>4067</v>
      </c>
      <c r="G25166" s="9">
        <v>7346.89</v>
      </c>
      <c r="H25166" s="8">
        <v>20828</v>
      </c>
    </row>
    <row r="25167" spans="2:8" ht="15" customHeight="1" x14ac:dyDescent="0.4">
      <c r="B25167" t="s">
        <v>7</v>
      </c>
      <c r="C25167" t="s">
        <v>4066</v>
      </c>
      <c r="D25167" s="7">
        <f>DATE(2018,8,7)</f>
        <v>43319</v>
      </c>
      <c r="E25167" s="8">
        <f t="shared" si="418"/>
        <v>2018</v>
      </c>
      <c r="F25167" t="s">
        <v>4067</v>
      </c>
      <c r="G25167" s="9">
        <v>18112.5</v>
      </c>
      <c r="H25167" s="8">
        <v>27412</v>
      </c>
    </row>
    <row r="25168" spans="2:8" ht="15" customHeight="1" x14ac:dyDescent="0.4">
      <c r="B25168" s="3" t="s">
        <v>7</v>
      </c>
      <c r="C25168" s="3" t="s">
        <v>4066</v>
      </c>
      <c r="D25168" s="4">
        <f>DATE(2013,4,29)</f>
        <v>41393</v>
      </c>
      <c r="E25168" s="5">
        <f t="shared" si="418"/>
        <v>2013</v>
      </c>
      <c r="F25168" s="3" t="s">
        <v>4067</v>
      </c>
      <c r="G25168" s="6">
        <v>207.09</v>
      </c>
      <c r="H25168" s="5">
        <v>18514</v>
      </c>
    </row>
    <row r="25169" spans="2:8" ht="15" customHeight="1" x14ac:dyDescent="0.4">
      <c r="B25169" s="3" t="s">
        <v>7</v>
      </c>
      <c r="C25169" s="3" t="s">
        <v>4066</v>
      </c>
      <c r="D25169" s="4">
        <f>DATE(2013,5,9)</f>
        <v>41403</v>
      </c>
      <c r="E25169" s="5">
        <f t="shared" si="418"/>
        <v>2013</v>
      </c>
      <c r="F25169" s="3" t="s">
        <v>4067</v>
      </c>
      <c r="G25169" s="6">
        <v>225.5</v>
      </c>
      <c r="H25169" s="5">
        <v>18559</v>
      </c>
    </row>
    <row r="25170" spans="2:8" ht="15" customHeight="1" x14ac:dyDescent="0.4">
      <c r="B25170" s="3" t="s">
        <v>16</v>
      </c>
      <c r="C25170" s="3" t="s">
        <v>4066</v>
      </c>
      <c r="D25170" s="4">
        <f>DATE(2013,5,13)</f>
        <v>41407</v>
      </c>
      <c r="E25170" s="5">
        <f t="shared" si="418"/>
        <v>2013</v>
      </c>
      <c r="F25170" s="3" t="s">
        <v>4067</v>
      </c>
      <c r="G25170" s="6">
        <v>126.28</v>
      </c>
      <c r="H25170" s="5">
        <v>18558</v>
      </c>
    </row>
    <row r="25171" spans="2:8" ht="15" customHeight="1" x14ac:dyDescent="0.4">
      <c r="B25171" t="s">
        <v>7</v>
      </c>
      <c r="C25171" t="s">
        <v>4068</v>
      </c>
      <c r="D25171" s="7">
        <f>DATE(2005,6,22)</f>
        <v>38525</v>
      </c>
      <c r="E25171" s="8">
        <f t="shared" si="418"/>
        <v>2005</v>
      </c>
      <c r="F25171" t="s">
        <v>4069</v>
      </c>
      <c r="G25171" s="9">
        <v>3210.36</v>
      </c>
      <c r="H25171" s="8">
        <v>3298</v>
      </c>
    </row>
    <row r="25172" spans="2:8" ht="15" customHeight="1" x14ac:dyDescent="0.4">
      <c r="B25172" t="s">
        <v>7</v>
      </c>
      <c r="C25172" t="s">
        <v>4068</v>
      </c>
      <c r="D25172" s="7">
        <f>DATE(2005,7,13)</f>
        <v>38546</v>
      </c>
      <c r="E25172" s="8">
        <f t="shared" si="418"/>
        <v>2005</v>
      </c>
      <c r="F25172" t="s">
        <v>4069</v>
      </c>
      <c r="G25172" s="9">
        <v>1484.33</v>
      </c>
      <c r="H25172" s="8">
        <v>3376</v>
      </c>
    </row>
    <row r="25173" spans="2:8" ht="15" customHeight="1" x14ac:dyDescent="0.4">
      <c r="B25173" t="s">
        <v>7</v>
      </c>
      <c r="C25173" t="s">
        <v>4070</v>
      </c>
      <c r="D25173" s="7">
        <f>DATE(2010,2,23)</f>
        <v>40232</v>
      </c>
      <c r="E25173" s="8">
        <f t="shared" si="418"/>
        <v>2010</v>
      </c>
      <c r="F25173" t="s">
        <v>4071</v>
      </c>
      <c r="G25173" s="9">
        <v>8075.27</v>
      </c>
      <c r="H25173" s="8">
        <v>9485</v>
      </c>
    </row>
    <row r="25174" spans="2:8" ht="15" customHeight="1" x14ac:dyDescent="0.4">
      <c r="B25174" t="s">
        <v>7</v>
      </c>
      <c r="C25174" t="s">
        <v>4070</v>
      </c>
      <c r="D25174" s="7">
        <f>DATE(2015,3,19)</f>
        <v>42082</v>
      </c>
      <c r="E25174" s="8">
        <f t="shared" si="418"/>
        <v>2015</v>
      </c>
      <c r="F25174" t="s">
        <v>4072</v>
      </c>
      <c r="G25174" s="9">
        <v>4275</v>
      </c>
      <c r="H25174" s="8">
        <v>20052</v>
      </c>
    </row>
    <row r="25175" spans="2:8" ht="15" customHeight="1" x14ac:dyDescent="0.4">
      <c r="B25175" t="s">
        <v>7</v>
      </c>
      <c r="C25175" t="s">
        <v>4070</v>
      </c>
      <c r="D25175" s="7">
        <f>DATE(2015,5,18)</f>
        <v>42142</v>
      </c>
      <c r="E25175" s="8">
        <f t="shared" si="418"/>
        <v>2015</v>
      </c>
      <c r="F25175" t="s">
        <v>4072</v>
      </c>
      <c r="G25175" s="9">
        <v>4275</v>
      </c>
      <c r="H25175" s="8">
        <v>20054</v>
      </c>
    </row>
    <row r="25176" spans="2:8" ht="15" customHeight="1" x14ac:dyDescent="0.4">
      <c r="B25176" t="s">
        <v>7</v>
      </c>
      <c r="C25176" t="s">
        <v>4070</v>
      </c>
      <c r="D25176" s="7">
        <f>DATE(2015,10,26)</f>
        <v>42303</v>
      </c>
      <c r="E25176" s="8">
        <f t="shared" si="418"/>
        <v>2015</v>
      </c>
      <c r="F25176" t="s">
        <v>4072</v>
      </c>
      <c r="G25176" s="9">
        <v>4095</v>
      </c>
      <c r="H25176" s="8">
        <v>20055</v>
      </c>
    </row>
    <row r="25177" spans="2:8" ht="15" customHeight="1" x14ac:dyDescent="0.4">
      <c r="B25177" t="s">
        <v>7</v>
      </c>
      <c r="C25177" t="s">
        <v>4070</v>
      </c>
      <c r="D25177" s="7">
        <f>DATE(2015,11,27)</f>
        <v>42335</v>
      </c>
      <c r="E25177" s="8">
        <f t="shared" si="418"/>
        <v>2015</v>
      </c>
      <c r="F25177" t="s">
        <v>4072</v>
      </c>
      <c r="G25177" s="9">
        <v>4275</v>
      </c>
      <c r="H25177" s="8">
        <v>20057</v>
      </c>
    </row>
    <row r="25178" spans="2:8" ht="15" customHeight="1" x14ac:dyDescent="0.4">
      <c r="B25178" t="s">
        <v>7</v>
      </c>
      <c r="C25178" t="s">
        <v>4070</v>
      </c>
      <c r="D25178" s="7">
        <f>DATE(2015,12,29)</f>
        <v>42367</v>
      </c>
      <c r="E25178" s="8">
        <f t="shared" si="418"/>
        <v>2015</v>
      </c>
      <c r="F25178" t="s">
        <v>4072</v>
      </c>
      <c r="G25178" s="9">
        <v>16455.5</v>
      </c>
      <c r="H25178" s="8">
        <v>21878</v>
      </c>
    </row>
    <row r="25179" spans="2:8" ht="15" customHeight="1" x14ac:dyDescent="0.4">
      <c r="B25179" t="s">
        <v>7</v>
      </c>
      <c r="C25179" t="s">
        <v>4070</v>
      </c>
      <c r="D25179" s="7">
        <f>DATE(2016,4,7)</f>
        <v>42467</v>
      </c>
      <c r="E25179" s="8">
        <f t="shared" si="418"/>
        <v>2016</v>
      </c>
      <c r="F25179" t="s">
        <v>4072</v>
      </c>
      <c r="G25179" s="9">
        <v>16900</v>
      </c>
      <c r="H25179" s="8">
        <v>22582</v>
      </c>
    </row>
    <row r="25180" spans="2:8" ht="15" customHeight="1" x14ac:dyDescent="0.4">
      <c r="B25180" t="s">
        <v>7</v>
      </c>
      <c r="C25180" t="s">
        <v>4070</v>
      </c>
      <c r="D25180" s="7">
        <f>DATE(2016,5,13)</f>
        <v>42503</v>
      </c>
      <c r="E25180" s="8">
        <f t="shared" si="418"/>
        <v>2016</v>
      </c>
      <c r="F25180" t="s">
        <v>4072</v>
      </c>
      <c r="G25180" s="9">
        <v>16500</v>
      </c>
      <c r="H25180" s="8">
        <v>22092</v>
      </c>
    </row>
    <row r="25181" spans="2:8" ht="15" customHeight="1" x14ac:dyDescent="0.4">
      <c r="B25181" t="s">
        <v>7</v>
      </c>
      <c r="C25181" t="s">
        <v>4070</v>
      </c>
      <c r="D25181" s="7">
        <f>DATE(2016,10,7)</f>
        <v>42650</v>
      </c>
      <c r="E25181" s="8">
        <f t="shared" si="418"/>
        <v>2016</v>
      </c>
      <c r="F25181" t="s">
        <v>4072</v>
      </c>
      <c r="G25181" s="9">
        <v>18318</v>
      </c>
      <c r="H25181" s="8">
        <v>22035</v>
      </c>
    </row>
    <row r="25182" spans="2:8" ht="15" customHeight="1" x14ac:dyDescent="0.4">
      <c r="B25182" t="s">
        <v>7</v>
      </c>
      <c r="C25182" t="s">
        <v>4070</v>
      </c>
      <c r="D25182" s="7">
        <f>DATE(2016,11,17)</f>
        <v>42691</v>
      </c>
      <c r="E25182" s="8">
        <f t="shared" si="418"/>
        <v>2016</v>
      </c>
      <c r="F25182" t="s">
        <v>4072</v>
      </c>
      <c r="G25182" s="9">
        <v>53013.35</v>
      </c>
      <c r="H25182" s="8">
        <v>22037</v>
      </c>
    </row>
    <row r="25183" spans="2:8" ht="15" customHeight="1" x14ac:dyDescent="0.4">
      <c r="B25183" t="s">
        <v>7</v>
      </c>
      <c r="C25183" t="s">
        <v>4070</v>
      </c>
      <c r="D25183" s="7">
        <f>DATE(2017,5,25)</f>
        <v>42880</v>
      </c>
      <c r="E25183" s="8">
        <f t="shared" si="418"/>
        <v>2017</v>
      </c>
      <c r="F25183" t="s">
        <v>4072</v>
      </c>
      <c r="G25183" s="9">
        <v>19424</v>
      </c>
      <c r="H25183" s="8">
        <v>24231</v>
      </c>
    </row>
    <row r="25184" spans="2:8" ht="15" customHeight="1" x14ac:dyDescent="0.4">
      <c r="B25184" t="s">
        <v>7</v>
      </c>
      <c r="C25184" t="s">
        <v>4070</v>
      </c>
      <c r="D25184" s="7">
        <f>DATE(2017,10,17)</f>
        <v>43025</v>
      </c>
      <c r="E25184" s="8">
        <f t="shared" si="418"/>
        <v>2017</v>
      </c>
      <c r="F25184" t="s">
        <v>4072</v>
      </c>
      <c r="G25184" s="9">
        <v>53614</v>
      </c>
      <c r="H25184" s="8">
        <v>25228</v>
      </c>
    </row>
    <row r="25185" spans="2:8" ht="15" customHeight="1" x14ac:dyDescent="0.4">
      <c r="B25185" t="s">
        <v>7</v>
      </c>
      <c r="C25185" t="s">
        <v>4070</v>
      </c>
      <c r="D25185" s="7">
        <f>DATE(2018,4,5)</f>
        <v>43195</v>
      </c>
      <c r="E25185" s="8">
        <f t="shared" si="418"/>
        <v>2018</v>
      </c>
      <c r="F25185" t="s">
        <v>4072</v>
      </c>
      <c r="G25185" s="9">
        <v>2739.68</v>
      </c>
      <c r="H25185" s="8">
        <v>26164</v>
      </c>
    </row>
    <row r="25186" spans="2:8" ht="15" customHeight="1" x14ac:dyDescent="0.4">
      <c r="B25186" t="s">
        <v>7</v>
      </c>
      <c r="C25186" t="s">
        <v>4070</v>
      </c>
      <c r="D25186" s="7">
        <f>DATE(2018,5,14)</f>
        <v>43234</v>
      </c>
      <c r="E25186" s="8">
        <f t="shared" si="418"/>
        <v>2018</v>
      </c>
      <c r="F25186" t="s">
        <v>4072</v>
      </c>
      <c r="G25186" s="9">
        <v>2705</v>
      </c>
      <c r="H25186" s="8">
        <v>26194</v>
      </c>
    </row>
    <row r="25187" spans="2:8" ht="15" customHeight="1" x14ac:dyDescent="0.4">
      <c r="B25187" t="s">
        <v>7</v>
      </c>
      <c r="C25187" t="s">
        <v>4070</v>
      </c>
      <c r="D25187" s="7">
        <f>DATE(2018,5,11)</f>
        <v>43231</v>
      </c>
      <c r="E25187" s="8">
        <f t="shared" si="418"/>
        <v>2018</v>
      </c>
      <c r="F25187" t="s">
        <v>4072</v>
      </c>
      <c r="G25187" s="9">
        <v>19500</v>
      </c>
      <c r="H25187" s="8">
        <v>26555</v>
      </c>
    </row>
    <row r="25188" spans="2:8" ht="15" customHeight="1" x14ac:dyDescent="0.4">
      <c r="B25188" t="s">
        <v>7</v>
      </c>
      <c r="C25188" t="s">
        <v>4070</v>
      </c>
      <c r="D25188" s="7">
        <f>DATE(2018,8,8)</f>
        <v>43320</v>
      </c>
      <c r="E25188" s="8">
        <f t="shared" si="418"/>
        <v>2018</v>
      </c>
      <c r="F25188" t="s">
        <v>4072</v>
      </c>
      <c r="G25188" s="9">
        <v>9323</v>
      </c>
      <c r="H25188" s="8">
        <v>26729</v>
      </c>
    </row>
    <row r="25189" spans="2:8" ht="15" customHeight="1" x14ac:dyDescent="0.4">
      <c r="B25189" t="s">
        <v>7</v>
      </c>
      <c r="C25189" t="s">
        <v>4070</v>
      </c>
      <c r="D25189" s="7">
        <f>DATE(2018,9,17)</f>
        <v>43360</v>
      </c>
      <c r="E25189" s="8">
        <f t="shared" si="418"/>
        <v>2018</v>
      </c>
      <c r="F25189" t="s">
        <v>4072</v>
      </c>
      <c r="G25189" s="9">
        <v>19500</v>
      </c>
      <c r="H25189" s="8">
        <v>26556</v>
      </c>
    </row>
    <row r="25190" spans="2:8" ht="15" customHeight="1" x14ac:dyDescent="0.4">
      <c r="B25190" t="s">
        <v>7</v>
      </c>
      <c r="C25190" t="s">
        <v>4070</v>
      </c>
      <c r="D25190" s="7">
        <f>DATE(2018,11,19)</f>
        <v>43423</v>
      </c>
      <c r="E25190" s="8">
        <f t="shared" si="418"/>
        <v>2018</v>
      </c>
      <c r="F25190" t="s">
        <v>4072</v>
      </c>
      <c r="G25190" s="9">
        <v>4500</v>
      </c>
      <c r="H25190" s="8">
        <v>27992</v>
      </c>
    </row>
    <row r="25191" spans="2:8" ht="15" customHeight="1" x14ac:dyDescent="0.4">
      <c r="B25191" t="s">
        <v>7</v>
      </c>
      <c r="C25191" t="s">
        <v>4070</v>
      </c>
      <c r="D25191" s="7">
        <f>DATE(2018,11,19)</f>
        <v>43423</v>
      </c>
      <c r="E25191" s="8">
        <f t="shared" si="418"/>
        <v>2018</v>
      </c>
      <c r="F25191" t="s">
        <v>4072</v>
      </c>
      <c r="G25191" s="9">
        <v>20921</v>
      </c>
      <c r="H25191" s="8">
        <v>26508</v>
      </c>
    </row>
    <row r="25192" spans="2:8" ht="15" customHeight="1" x14ac:dyDescent="0.4">
      <c r="B25192" t="s">
        <v>7</v>
      </c>
      <c r="C25192" t="s">
        <v>4070</v>
      </c>
      <c r="D25192" s="7">
        <f>DATE(2018,11,19)</f>
        <v>43423</v>
      </c>
      <c r="E25192" s="8">
        <f t="shared" si="418"/>
        <v>2018</v>
      </c>
      <c r="F25192" t="s">
        <v>4072</v>
      </c>
      <c r="G25192" s="9">
        <v>6800</v>
      </c>
      <c r="H25192" s="8">
        <v>27938</v>
      </c>
    </row>
    <row r="25193" spans="2:8" ht="15" customHeight="1" x14ac:dyDescent="0.4">
      <c r="B25193" t="s">
        <v>7</v>
      </c>
      <c r="C25193" t="s">
        <v>4070</v>
      </c>
      <c r="D25193" s="7">
        <f>DATE(2019,4,2)</f>
        <v>43557</v>
      </c>
      <c r="E25193" s="8">
        <f t="shared" si="418"/>
        <v>2019</v>
      </c>
      <c r="F25193" t="s">
        <v>4072</v>
      </c>
      <c r="G25193" s="9">
        <v>19836.87</v>
      </c>
      <c r="H25193" s="8">
        <v>27846</v>
      </c>
    </row>
    <row r="25194" spans="2:8" ht="15" customHeight="1" x14ac:dyDescent="0.4">
      <c r="B25194" t="s">
        <v>7</v>
      </c>
      <c r="C25194" t="s">
        <v>4070</v>
      </c>
      <c r="D25194" s="7">
        <f>DATE(2019,5,3)</f>
        <v>43588</v>
      </c>
      <c r="E25194" s="8">
        <f t="shared" si="418"/>
        <v>2019</v>
      </c>
      <c r="F25194" t="s">
        <v>4072</v>
      </c>
      <c r="G25194" s="9">
        <v>2088.69</v>
      </c>
      <c r="H25194" s="8">
        <v>27847</v>
      </c>
    </row>
    <row r="25195" spans="2:8" ht="15" customHeight="1" x14ac:dyDescent="0.4">
      <c r="B25195" t="s">
        <v>7</v>
      </c>
      <c r="C25195" t="s">
        <v>4070</v>
      </c>
      <c r="D25195" s="7">
        <f>DATE(2017,10,24)</f>
        <v>43032</v>
      </c>
      <c r="E25195" s="8">
        <f t="shared" si="418"/>
        <v>2017</v>
      </c>
      <c r="F25195" t="s">
        <v>4072</v>
      </c>
      <c r="G25195" s="9">
        <v>42700</v>
      </c>
      <c r="H25195" s="8">
        <v>24502</v>
      </c>
    </row>
    <row r="25196" spans="2:8" ht="15" customHeight="1" x14ac:dyDescent="0.4">
      <c r="B25196" t="s">
        <v>7</v>
      </c>
      <c r="C25196" t="s">
        <v>4070</v>
      </c>
      <c r="D25196" s="7">
        <f>DATE(2018,4,5)</f>
        <v>43195</v>
      </c>
      <c r="E25196" s="8">
        <f t="shared" si="418"/>
        <v>2018</v>
      </c>
      <c r="F25196" t="s">
        <v>4072</v>
      </c>
      <c r="G25196" s="9">
        <v>12900</v>
      </c>
      <c r="H25196" s="8">
        <v>26140</v>
      </c>
    </row>
    <row r="25197" spans="2:8" ht="15" customHeight="1" x14ac:dyDescent="0.4">
      <c r="B25197" t="s">
        <v>7</v>
      </c>
      <c r="C25197" t="s">
        <v>4070</v>
      </c>
      <c r="D25197" s="7">
        <f>DATE(2018,5,11)</f>
        <v>43231</v>
      </c>
      <c r="E25197" s="8">
        <f t="shared" si="418"/>
        <v>2018</v>
      </c>
      <c r="F25197" t="s">
        <v>4072</v>
      </c>
      <c r="G25197" s="9">
        <v>12900</v>
      </c>
      <c r="H25197" s="8">
        <v>26143</v>
      </c>
    </row>
    <row r="25198" spans="2:8" ht="15" customHeight="1" x14ac:dyDescent="0.4">
      <c r="B25198" t="s">
        <v>7</v>
      </c>
      <c r="C25198" t="s">
        <v>4070</v>
      </c>
      <c r="D25198" s="7">
        <f>DATE(2018,11,19)</f>
        <v>43423</v>
      </c>
      <c r="E25198" s="8">
        <f t="shared" si="418"/>
        <v>2018</v>
      </c>
      <c r="F25198" t="s">
        <v>4072</v>
      </c>
      <c r="G25198" s="9">
        <v>4495.46</v>
      </c>
      <c r="H25198" s="8">
        <v>27993</v>
      </c>
    </row>
    <row r="25199" spans="2:8" ht="15" customHeight="1" x14ac:dyDescent="0.4">
      <c r="B25199" t="s">
        <v>7</v>
      </c>
      <c r="C25199" t="s">
        <v>4070</v>
      </c>
      <c r="D25199" s="7">
        <f>DATE(2018,11,19)</f>
        <v>43423</v>
      </c>
      <c r="E25199" s="8">
        <f t="shared" si="418"/>
        <v>2018</v>
      </c>
      <c r="F25199" t="s">
        <v>4072</v>
      </c>
      <c r="G25199" s="9">
        <v>4800</v>
      </c>
      <c r="H25199" s="8">
        <v>27939</v>
      </c>
    </row>
    <row r="25200" spans="2:8" ht="15" customHeight="1" x14ac:dyDescent="0.4">
      <c r="B25200" t="s">
        <v>7</v>
      </c>
      <c r="C25200" t="s">
        <v>4070</v>
      </c>
      <c r="D25200" s="7">
        <f>DATE(2018,11,19)</f>
        <v>43423</v>
      </c>
      <c r="E25200" s="8">
        <f t="shared" si="418"/>
        <v>2018</v>
      </c>
      <c r="F25200" t="s">
        <v>4072</v>
      </c>
      <c r="G25200" s="9">
        <v>23500</v>
      </c>
      <c r="H25200" s="8">
        <v>27703</v>
      </c>
    </row>
    <row r="25201" spans="2:8" ht="15" customHeight="1" x14ac:dyDescent="0.4">
      <c r="B25201" t="s">
        <v>7</v>
      </c>
      <c r="C25201" t="s">
        <v>4070</v>
      </c>
      <c r="D25201" s="7">
        <f>DATE(2019,3,28)</f>
        <v>43552</v>
      </c>
      <c r="E25201" s="8">
        <f t="shared" si="418"/>
        <v>2019</v>
      </c>
      <c r="F25201" t="s">
        <v>4072</v>
      </c>
      <c r="G25201" s="9">
        <v>12900</v>
      </c>
      <c r="H25201" s="8">
        <v>27845</v>
      </c>
    </row>
    <row r="25202" spans="2:8" ht="15" customHeight="1" x14ac:dyDescent="0.4">
      <c r="B25202" t="s">
        <v>7</v>
      </c>
      <c r="C25202" t="s">
        <v>4070</v>
      </c>
      <c r="D25202" s="7">
        <f>DATE(2019,5,3)</f>
        <v>43588</v>
      </c>
      <c r="E25202" s="8">
        <f t="shared" si="418"/>
        <v>2019</v>
      </c>
      <c r="F25202" t="s">
        <v>4072</v>
      </c>
      <c r="G25202" s="9">
        <v>12900</v>
      </c>
      <c r="H25202" s="8">
        <v>27848</v>
      </c>
    </row>
    <row r="25203" spans="2:8" ht="15" customHeight="1" x14ac:dyDescent="0.4">
      <c r="B25203" t="s">
        <v>7</v>
      </c>
      <c r="C25203" t="s">
        <v>4070</v>
      </c>
      <c r="D25203" s="7">
        <f>DATE(2016,10,12)</f>
        <v>42655</v>
      </c>
      <c r="E25203" s="8">
        <f t="shared" si="418"/>
        <v>2016</v>
      </c>
      <c r="F25203" t="s">
        <v>4072</v>
      </c>
      <c r="G25203" s="9">
        <v>450.87</v>
      </c>
      <c r="H25203" s="8">
        <v>23599</v>
      </c>
    </row>
    <row r="25204" spans="2:8" ht="15" customHeight="1" x14ac:dyDescent="0.4">
      <c r="B25204" t="s">
        <v>7</v>
      </c>
      <c r="C25204" t="s">
        <v>4070</v>
      </c>
      <c r="D25204" s="7">
        <f>DATE(2016,12,28)</f>
        <v>42732</v>
      </c>
      <c r="E25204" s="8">
        <f t="shared" si="418"/>
        <v>2016</v>
      </c>
      <c r="F25204" t="s">
        <v>4072</v>
      </c>
      <c r="G25204" s="9">
        <v>875.16</v>
      </c>
      <c r="H25204" s="8">
        <v>23931</v>
      </c>
    </row>
    <row r="25205" spans="2:8" ht="15" customHeight="1" x14ac:dyDescent="0.4">
      <c r="B25205" t="s">
        <v>7</v>
      </c>
      <c r="C25205" t="s">
        <v>4070</v>
      </c>
      <c r="D25205" s="7">
        <f>DATE(2017,2,21)</f>
        <v>42787</v>
      </c>
      <c r="E25205" s="8">
        <f t="shared" si="418"/>
        <v>2017</v>
      </c>
      <c r="F25205" t="s">
        <v>4072</v>
      </c>
      <c r="G25205" s="9">
        <v>1988</v>
      </c>
      <c r="H25205" s="8">
        <v>23600</v>
      </c>
    </row>
    <row r="25206" spans="2:8" ht="15" customHeight="1" x14ac:dyDescent="0.4">
      <c r="B25206" t="s">
        <v>7</v>
      </c>
      <c r="C25206" t="s">
        <v>4070</v>
      </c>
      <c r="D25206" s="7">
        <f>DATE(2017,6,12)</f>
        <v>42898</v>
      </c>
      <c r="E25206" s="8">
        <f t="shared" si="418"/>
        <v>2017</v>
      </c>
      <c r="F25206" t="s">
        <v>4072</v>
      </c>
      <c r="G25206" s="9">
        <v>268</v>
      </c>
      <c r="H25206" s="8">
        <v>25002</v>
      </c>
    </row>
    <row r="25207" spans="2:8" ht="15" customHeight="1" x14ac:dyDescent="0.4">
      <c r="B25207" t="s">
        <v>7</v>
      </c>
      <c r="C25207" t="s">
        <v>4070</v>
      </c>
      <c r="D25207" s="7">
        <f>DATE(2017,10,27)</f>
        <v>43035</v>
      </c>
      <c r="E25207" s="8">
        <f t="shared" si="418"/>
        <v>2017</v>
      </c>
      <c r="F25207" t="s">
        <v>4072</v>
      </c>
      <c r="G25207" s="9">
        <v>1066</v>
      </c>
      <c r="H25207" s="8">
        <v>25793</v>
      </c>
    </row>
    <row r="25208" spans="2:8" ht="15" customHeight="1" x14ac:dyDescent="0.4">
      <c r="B25208" t="s">
        <v>7</v>
      </c>
      <c r="C25208" t="s">
        <v>4070</v>
      </c>
      <c r="D25208" s="7">
        <f>DATE(2018,6,6)</f>
        <v>43257</v>
      </c>
      <c r="E25208" s="8">
        <f t="shared" si="418"/>
        <v>2018</v>
      </c>
      <c r="F25208" t="s">
        <v>4072</v>
      </c>
      <c r="G25208" s="9">
        <v>323.7</v>
      </c>
      <c r="H25208" s="8">
        <v>27112</v>
      </c>
    </row>
    <row r="25209" spans="2:8" ht="15" customHeight="1" x14ac:dyDescent="0.4">
      <c r="B25209" t="s">
        <v>7</v>
      </c>
      <c r="C25209" t="s">
        <v>4070</v>
      </c>
      <c r="D25209" s="7">
        <f>DATE(2018,8,29)</f>
        <v>43341</v>
      </c>
      <c r="E25209" s="8">
        <f t="shared" si="418"/>
        <v>2018</v>
      </c>
      <c r="F25209" t="s">
        <v>4072</v>
      </c>
      <c r="G25209" s="9">
        <v>994.49</v>
      </c>
      <c r="H25209" s="8">
        <v>27494</v>
      </c>
    </row>
    <row r="25210" spans="2:8" ht="15" customHeight="1" x14ac:dyDescent="0.4">
      <c r="B25210" t="s">
        <v>7</v>
      </c>
      <c r="C25210" t="s">
        <v>4070</v>
      </c>
      <c r="D25210" s="7">
        <f>DATE(2019,4,17)</f>
        <v>43572</v>
      </c>
      <c r="E25210" s="8">
        <f t="shared" si="418"/>
        <v>2019</v>
      </c>
      <c r="F25210" t="s">
        <v>4072</v>
      </c>
      <c r="G25210" s="9">
        <v>261.5</v>
      </c>
      <c r="H25210" s="8">
        <v>28779</v>
      </c>
    </row>
    <row r="25211" spans="2:8" ht="15" customHeight="1" x14ac:dyDescent="0.4">
      <c r="B25211" t="s">
        <v>7</v>
      </c>
      <c r="C25211" t="s">
        <v>4070</v>
      </c>
      <c r="D25211" s="7">
        <f>DATE(2017,5,18)</f>
        <v>42873</v>
      </c>
      <c r="E25211" s="8">
        <f t="shared" si="418"/>
        <v>2017</v>
      </c>
      <c r="F25211" t="s">
        <v>4072</v>
      </c>
      <c r="G25211" s="9">
        <v>3845.64</v>
      </c>
      <c r="H25211" s="8">
        <v>24913</v>
      </c>
    </row>
    <row r="25212" spans="2:8" ht="15" customHeight="1" x14ac:dyDescent="0.4">
      <c r="B25212" t="s">
        <v>7</v>
      </c>
      <c r="C25212" t="s">
        <v>4070</v>
      </c>
      <c r="D25212" s="7">
        <f>DATE(2018,3,21)</f>
        <v>43180</v>
      </c>
      <c r="E25212" s="8">
        <f t="shared" si="418"/>
        <v>2018</v>
      </c>
      <c r="F25212" t="s">
        <v>4072</v>
      </c>
      <c r="G25212" s="9">
        <v>5356.8</v>
      </c>
      <c r="H25212" s="8">
        <v>26703</v>
      </c>
    </row>
    <row r="25213" spans="2:8" ht="15" customHeight="1" x14ac:dyDescent="0.4">
      <c r="B25213" t="s">
        <v>7</v>
      </c>
      <c r="C25213" t="s">
        <v>4070</v>
      </c>
      <c r="D25213" s="7">
        <f>DATE(2019,3,22)</f>
        <v>43546</v>
      </c>
      <c r="E25213" s="8">
        <f t="shared" si="418"/>
        <v>2019</v>
      </c>
      <c r="F25213" t="s">
        <v>4072</v>
      </c>
      <c r="G25213" s="9">
        <v>7010.2</v>
      </c>
      <c r="H25213" s="8">
        <v>28632</v>
      </c>
    </row>
    <row r="25214" spans="2:8" ht="15" customHeight="1" x14ac:dyDescent="0.4">
      <c r="B25214" t="s">
        <v>7</v>
      </c>
      <c r="C25214" t="s">
        <v>4070</v>
      </c>
      <c r="D25214" s="7">
        <f>DATE(2018,7,26)</f>
        <v>43307</v>
      </c>
      <c r="E25214" s="8">
        <f t="shared" si="418"/>
        <v>2018</v>
      </c>
      <c r="F25214" t="s">
        <v>4072</v>
      </c>
      <c r="G25214" s="9">
        <v>49400</v>
      </c>
      <c r="H25214" s="8">
        <v>26848</v>
      </c>
    </row>
    <row r="25215" spans="2:8" ht="15" customHeight="1" x14ac:dyDescent="0.4">
      <c r="B25215" t="s">
        <v>7</v>
      </c>
      <c r="C25215" t="s">
        <v>4070</v>
      </c>
      <c r="D25215" s="7">
        <f>DATE(2018,8,17)</f>
        <v>43329</v>
      </c>
      <c r="E25215" s="8">
        <f t="shared" si="418"/>
        <v>2018</v>
      </c>
      <c r="F25215" t="s">
        <v>4072</v>
      </c>
      <c r="G25215" s="9">
        <v>31000</v>
      </c>
      <c r="H25215" s="8">
        <v>26730</v>
      </c>
    </row>
    <row r="25216" spans="2:8" ht="15" customHeight="1" x14ac:dyDescent="0.4">
      <c r="B25216" s="3" t="s">
        <v>7</v>
      </c>
      <c r="C25216" s="3" t="s">
        <v>4073</v>
      </c>
      <c r="D25216" s="4">
        <f>DATE(2010,2,25)</f>
        <v>40234</v>
      </c>
      <c r="E25216" s="5">
        <f t="shared" si="418"/>
        <v>2010</v>
      </c>
      <c r="F25216" s="3" t="s">
        <v>4074</v>
      </c>
      <c r="G25216" s="6">
        <v>16342.65</v>
      </c>
      <c r="H25216" s="5">
        <v>13222</v>
      </c>
    </row>
    <row r="25217" spans="2:8" ht="15" customHeight="1" x14ac:dyDescent="0.4">
      <c r="B25217" s="3" t="s">
        <v>7</v>
      </c>
      <c r="C25217" s="3" t="s">
        <v>4073</v>
      </c>
      <c r="D25217" s="4">
        <f>DATE(2011,4,7)</f>
        <v>40640</v>
      </c>
      <c r="E25217" s="5">
        <f t="shared" si="418"/>
        <v>2011</v>
      </c>
      <c r="F25217" s="3" t="s">
        <v>4075</v>
      </c>
      <c r="G25217" s="6">
        <v>643</v>
      </c>
      <c r="H25217" s="5">
        <v>15275</v>
      </c>
    </row>
    <row r="25218" spans="2:8" ht="15" customHeight="1" x14ac:dyDescent="0.4">
      <c r="B25218" t="s">
        <v>7</v>
      </c>
      <c r="C25218" t="s">
        <v>4076</v>
      </c>
      <c r="D25218" s="7">
        <f>DATE(2018,9,25)</f>
        <v>43368</v>
      </c>
      <c r="E25218" s="8">
        <f t="shared" si="418"/>
        <v>2018</v>
      </c>
      <c r="F25218" t="s">
        <v>4077</v>
      </c>
      <c r="G25218" s="9">
        <v>107.22</v>
      </c>
      <c r="H25218" s="8">
        <v>27668</v>
      </c>
    </row>
    <row r="25219" spans="2:8" ht="15" customHeight="1" x14ac:dyDescent="0.4">
      <c r="B25219" t="s">
        <v>7</v>
      </c>
      <c r="C25219" t="s">
        <v>4076</v>
      </c>
      <c r="D25219" s="7">
        <f>DATE(2018,10,12)</f>
        <v>43385</v>
      </c>
      <c r="E25219" s="8">
        <f t="shared" ref="E25219:E25282" si="419">YEAR(D25219)</f>
        <v>2018</v>
      </c>
      <c r="F25219" t="s">
        <v>4077</v>
      </c>
      <c r="G25219" s="9">
        <v>3200</v>
      </c>
      <c r="H25219" s="8">
        <v>27761</v>
      </c>
    </row>
    <row r="25220" spans="2:8" ht="15" customHeight="1" x14ac:dyDescent="0.4">
      <c r="B25220" t="s">
        <v>7</v>
      </c>
      <c r="C25220" t="s">
        <v>4076</v>
      </c>
      <c r="D25220" s="7">
        <f>DATE(2018,11,9)</f>
        <v>43413</v>
      </c>
      <c r="E25220" s="8">
        <f t="shared" si="419"/>
        <v>2018</v>
      </c>
      <c r="F25220" t="s">
        <v>4077</v>
      </c>
      <c r="G25220" s="9">
        <v>5300</v>
      </c>
      <c r="H25220" s="8">
        <v>27917</v>
      </c>
    </row>
    <row r="25221" spans="2:8" ht="15" customHeight="1" x14ac:dyDescent="0.4">
      <c r="B25221" t="s">
        <v>7</v>
      </c>
      <c r="C25221" t="s">
        <v>4076</v>
      </c>
      <c r="D25221" s="7">
        <f>DATE(2019,3,20)</f>
        <v>43544</v>
      </c>
      <c r="E25221" s="8">
        <f t="shared" si="419"/>
        <v>2019</v>
      </c>
      <c r="F25221" t="s">
        <v>4077</v>
      </c>
      <c r="G25221" s="9">
        <v>1767</v>
      </c>
      <c r="H25221" s="8">
        <v>28600</v>
      </c>
    </row>
    <row r="25222" spans="2:8" ht="15" customHeight="1" x14ac:dyDescent="0.4">
      <c r="B25222" s="3" t="s">
        <v>7</v>
      </c>
      <c r="C25222" s="3" t="s">
        <v>1294</v>
      </c>
      <c r="D25222" s="4">
        <f>DATE(2012,3,19)</f>
        <v>40987</v>
      </c>
      <c r="E25222" s="5">
        <f t="shared" si="419"/>
        <v>2012</v>
      </c>
      <c r="F25222" s="3" t="s">
        <v>4078</v>
      </c>
      <c r="G25222" s="6">
        <v>28213.78</v>
      </c>
      <c r="H25222" s="5">
        <v>4839</v>
      </c>
    </row>
    <row r="25223" spans="2:8" ht="15" customHeight="1" x14ac:dyDescent="0.4">
      <c r="B25223" s="3" t="s">
        <v>7</v>
      </c>
      <c r="C25223" s="3" t="s">
        <v>1294</v>
      </c>
      <c r="D25223" s="4">
        <f>DATE(2012,12,19)</f>
        <v>41262</v>
      </c>
      <c r="E25223" s="5">
        <f t="shared" si="419"/>
        <v>2012</v>
      </c>
      <c r="F25223" s="3" t="s">
        <v>4079</v>
      </c>
      <c r="G25223" s="6">
        <v>4044.83</v>
      </c>
      <c r="H25223" s="5">
        <v>5277</v>
      </c>
    </row>
    <row r="25224" spans="2:8" ht="15" customHeight="1" x14ac:dyDescent="0.4">
      <c r="B25224" s="3" t="s">
        <v>7</v>
      </c>
      <c r="C25224" s="3" t="s">
        <v>1294</v>
      </c>
      <c r="D25224" s="4">
        <f>DATE(2007,11,4)</f>
        <v>39390</v>
      </c>
      <c r="E25224" s="5">
        <f t="shared" si="419"/>
        <v>2007</v>
      </c>
      <c r="F25224" s="3" t="s">
        <v>4079</v>
      </c>
      <c r="G25224" s="6">
        <v>55212.4</v>
      </c>
      <c r="H25224" s="5">
        <v>2462</v>
      </c>
    </row>
    <row r="25225" spans="2:8" ht="15" customHeight="1" x14ac:dyDescent="0.4">
      <c r="B25225" s="3" t="s">
        <v>7</v>
      </c>
      <c r="C25225" s="3" t="s">
        <v>1294</v>
      </c>
      <c r="D25225" s="4">
        <f>DATE(2008,7,1)</f>
        <v>39630</v>
      </c>
      <c r="E25225" s="5">
        <f t="shared" si="419"/>
        <v>2008</v>
      </c>
      <c r="F25225" s="3" t="s">
        <v>4079</v>
      </c>
      <c r="G25225" s="6">
        <v>166698.70000000001</v>
      </c>
      <c r="H25225" s="5">
        <v>2694</v>
      </c>
    </row>
    <row r="25226" spans="2:8" ht="15" customHeight="1" x14ac:dyDescent="0.4">
      <c r="B25226" s="3" t="s">
        <v>7</v>
      </c>
      <c r="C25226" s="3" t="s">
        <v>1294</v>
      </c>
      <c r="D25226" s="4">
        <f>DATE(2008,9,1)</f>
        <v>39692</v>
      </c>
      <c r="E25226" s="5">
        <f t="shared" si="419"/>
        <v>2008</v>
      </c>
      <c r="F25226" s="3" t="s">
        <v>4079</v>
      </c>
      <c r="G25226" s="6">
        <v>58047.4</v>
      </c>
      <c r="H25226" s="5">
        <v>2984</v>
      </c>
    </row>
    <row r="25227" spans="2:8" ht="15" customHeight="1" x14ac:dyDescent="0.4">
      <c r="B25227" s="3" t="s">
        <v>7</v>
      </c>
      <c r="C25227" s="3" t="s">
        <v>1294</v>
      </c>
      <c r="D25227" s="4">
        <f>DATE(2008,12,10)</f>
        <v>39792</v>
      </c>
      <c r="E25227" s="5">
        <f t="shared" si="419"/>
        <v>2008</v>
      </c>
      <c r="F25227" s="3" t="s">
        <v>4079</v>
      </c>
      <c r="G25227" s="6">
        <v>243526.7</v>
      </c>
      <c r="H25227" s="5">
        <v>3163</v>
      </c>
    </row>
    <row r="25228" spans="2:8" ht="15" customHeight="1" x14ac:dyDescent="0.4">
      <c r="B25228" s="3" t="s">
        <v>7</v>
      </c>
      <c r="C25228" s="3" t="s">
        <v>1294</v>
      </c>
      <c r="D25228" s="4">
        <f>DATE(2009,7,6)</f>
        <v>40000</v>
      </c>
      <c r="E25228" s="5">
        <f t="shared" si="419"/>
        <v>2009</v>
      </c>
      <c r="F25228" s="3" t="s">
        <v>4079</v>
      </c>
      <c r="G25228" s="6">
        <v>6568.3</v>
      </c>
      <c r="H25228" s="5">
        <v>3494</v>
      </c>
    </row>
    <row r="25229" spans="2:8" ht="15" customHeight="1" x14ac:dyDescent="0.4">
      <c r="B25229" s="3" t="s">
        <v>7</v>
      </c>
      <c r="C25229" s="3" t="s">
        <v>1294</v>
      </c>
      <c r="D25229" s="4">
        <f>DATE(2009,7,1)</f>
        <v>39995</v>
      </c>
      <c r="E25229" s="5">
        <f t="shared" si="419"/>
        <v>2009</v>
      </c>
      <c r="F25229" s="3" t="s">
        <v>4079</v>
      </c>
      <c r="G25229" s="6">
        <v>89178.98</v>
      </c>
      <c r="H25229" s="5">
        <v>3311</v>
      </c>
    </row>
    <row r="25230" spans="2:8" ht="15" customHeight="1" x14ac:dyDescent="0.4">
      <c r="B25230" s="3" t="s">
        <v>7</v>
      </c>
      <c r="C25230" s="3" t="s">
        <v>1294</v>
      </c>
      <c r="D25230" s="4">
        <f>DATE(2009,7,16)</f>
        <v>40010</v>
      </c>
      <c r="E25230" s="5">
        <f t="shared" si="419"/>
        <v>2009</v>
      </c>
      <c r="F25230" s="3" t="s">
        <v>4079</v>
      </c>
      <c r="G25230" s="6">
        <v>13336.6</v>
      </c>
      <c r="H25230" s="5">
        <v>3506</v>
      </c>
    </row>
    <row r="25231" spans="2:8" ht="15" customHeight="1" x14ac:dyDescent="0.4">
      <c r="B25231" s="3" t="s">
        <v>7</v>
      </c>
      <c r="C25231" s="3" t="s">
        <v>1294</v>
      </c>
      <c r="D25231" s="4">
        <f>DATE(2009,8,28)</f>
        <v>40053</v>
      </c>
      <c r="E25231" s="5">
        <f t="shared" si="419"/>
        <v>2009</v>
      </c>
      <c r="F25231" s="3" t="s">
        <v>4079</v>
      </c>
      <c r="G25231" s="6">
        <v>8533</v>
      </c>
      <c r="H25231" s="5">
        <v>3563</v>
      </c>
    </row>
    <row r="25232" spans="2:8" ht="15" customHeight="1" x14ac:dyDescent="0.4">
      <c r="B25232" s="3" t="s">
        <v>7</v>
      </c>
      <c r="C25232" s="3" t="s">
        <v>1294</v>
      </c>
      <c r="D25232" s="4">
        <f>DATE(2009,12,15)</f>
        <v>40162</v>
      </c>
      <c r="E25232" s="5">
        <f t="shared" si="419"/>
        <v>2009</v>
      </c>
      <c r="F25232" s="3" t="s">
        <v>4079</v>
      </c>
      <c r="G25232" s="6">
        <v>3284.2</v>
      </c>
      <c r="H25232" s="5">
        <v>3637</v>
      </c>
    </row>
    <row r="25233" spans="2:8" ht="15" customHeight="1" x14ac:dyDescent="0.4">
      <c r="B25233" s="3" t="s">
        <v>7</v>
      </c>
      <c r="C25233" s="3" t="s">
        <v>1294</v>
      </c>
      <c r="D25233" s="4">
        <f>DATE(2009,12,17)</f>
        <v>40164</v>
      </c>
      <c r="E25233" s="5">
        <f t="shared" si="419"/>
        <v>2009</v>
      </c>
      <c r="F25233" s="3" t="s">
        <v>4079</v>
      </c>
      <c r="G25233" s="6">
        <v>16718.3</v>
      </c>
      <c r="H25233" s="5">
        <v>3701</v>
      </c>
    </row>
    <row r="25234" spans="2:8" ht="15" customHeight="1" x14ac:dyDescent="0.4">
      <c r="B25234" s="3" t="s">
        <v>7</v>
      </c>
      <c r="C25234" s="3" t="s">
        <v>1294</v>
      </c>
      <c r="D25234" s="4">
        <f>DATE(2010,2,4)</f>
        <v>40213</v>
      </c>
      <c r="E25234" s="5">
        <f t="shared" si="419"/>
        <v>2010</v>
      </c>
      <c r="F25234" s="3" t="s">
        <v>4079</v>
      </c>
      <c r="G25234" s="6">
        <v>6252.6</v>
      </c>
      <c r="H25234" s="5">
        <v>3753</v>
      </c>
    </row>
    <row r="25235" spans="2:8" ht="15" customHeight="1" x14ac:dyDescent="0.4">
      <c r="B25235" s="3" t="s">
        <v>7</v>
      </c>
      <c r="C25235" s="3" t="s">
        <v>1294</v>
      </c>
      <c r="D25235" s="4">
        <f>DATE(2010,5,27)</f>
        <v>40325</v>
      </c>
      <c r="E25235" s="5">
        <f t="shared" si="419"/>
        <v>2010</v>
      </c>
      <c r="F25235" s="3" t="s">
        <v>4079</v>
      </c>
      <c r="G25235" s="6">
        <v>20227.11</v>
      </c>
      <c r="H25235" s="5">
        <v>3729</v>
      </c>
    </row>
    <row r="25236" spans="2:8" ht="15" customHeight="1" x14ac:dyDescent="0.4">
      <c r="B25236" s="3" t="s">
        <v>7</v>
      </c>
      <c r="C25236" s="3" t="s">
        <v>1294</v>
      </c>
      <c r="D25236" s="4">
        <f>DATE(2010,6,10)</f>
        <v>40339</v>
      </c>
      <c r="E25236" s="5">
        <f t="shared" si="419"/>
        <v>2010</v>
      </c>
      <c r="F25236" s="3" t="s">
        <v>4079</v>
      </c>
      <c r="G25236" s="6">
        <v>38722.699999999997</v>
      </c>
      <c r="H25236" s="5">
        <v>3966</v>
      </c>
    </row>
    <row r="25237" spans="2:8" ht="15" customHeight="1" x14ac:dyDescent="0.4">
      <c r="B25237" s="3" t="s">
        <v>7</v>
      </c>
      <c r="C25237" s="3" t="s">
        <v>1294</v>
      </c>
      <c r="D25237" s="4">
        <f>DATE(2011,8,25)</f>
        <v>40780</v>
      </c>
      <c r="E25237" s="5">
        <f t="shared" si="419"/>
        <v>2011</v>
      </c>
      <c r="F25237" s="3" t="s">
        <v>4079</v>
      </c>
      <c r="G25237" s="6">
        <v>31380.799999999999</v>
      </c>
      <c r="H25237" s="5">
        <v>4353</v>
      </c>
    </row>
    <row r="25238" spans="2:8" ht="15" customHeight="1" x14ac:dyDescent="0.4">
      <c r="B25238" s="3" t="s">
        <v>7</v>
      </c>
      <c r="C25238" s="3" t="s">
        <v>1294</v>
      </c>
      <c r="D25238" s="4">
        <f>DATE(2011,8,25)</f>
        <v>40780</v>
      </c>
      <c r="E25238" s="5">
        <f t="shared" si="419"/>
        <v>2011</v>
      </c>
      <c r="F25238" s="3" t="s">
        <v>4079</v>
      </c>
      <c r="G25238" s="6">
        <v>21861.3</v>
      </c>
      <c r="H25238" s="5">
        <v>4355</v>
      </c>
    </row>
    <row r="25239" spans="2:8" ht="15" customHeight="1" x14ac:dyDescent="0.4">
      <c r="B25239" s="3" t="s">
        <v>7</v>
      </c>
      <c r="C25239" s="3" t="s">
        <v>1294</v>
      </c>
      <c r="D25239" s="4">
        <f t="shared" ref="D25239:D25254" si="420">DATE(2012,3,1)</f>
        <v>40969</v>
      </c>
      <c r="E25239" s="5">
        <f t="shared" si="419"/>
        <v>2012</v>
      </c>
      <c r="F25239" s="3" t="s">
        <v>4079</v>
      </c>
      <c r="G25239" s="6">
        <v>4267.1499999999996</v>
      </c>
      <c r="H25239" s="5">
        <v>4860</v>
      </c>
    </row>
    <row r="25240" spans="2:8" ht="15" customHeight="1" x14ac:dyDescent="0.4">
      <c r="B25240" s="3" t="s">
        <v>7</v>
      </c>
      <c r="C25240" s="3" t="s">
        <v>1294</v>
      </c>
      <c r="D25240" s="4">
        <f t="shared" si="420"/>
        <v>40969</v>
      </c>
      <c r="E25240" s="5">
        <f t="shared" si="419"/>
        <v>2012</v>
      </c>
      <c r="F25240" s="3" t="s">
        <v>4079</v>
      </c>
      <c r="G25240" s="6">
        <v>4894.55</v>
      </c>
      <c r="H25240" s="5">
        <v>4849</v>
      </c>
    </row>
    <row r="25241" spans="2:8" ht="15" customHeight="1" x14ac:dyDescent="0.4">
      <c r="B25241" s="3" t="s">
        <v>7</v>
      </c>
      <c r="C25241" s="3" t="s">
        <v>1294</v>
      </c>
      <c r="D25241" s="4">
        <f t="shared" si="420"/>
        <v>40969</v>
      </c>
      <c r="E25241" s="5">
        <f t="shared" si="419"/>
        <v>2012</v>
      </c>
      <c r="F25241" s="3" t="s">
        <v>4079</v>
      </c>
      <c r="G25241" s="6">
        <v>2303.75</v>
      </c>
      <c r="H25241" s="5">
        <v>4861</v>
      </c>
    </row>
    <row r="25242" spans="2:8" ht="15" customHeight="1" x14ac:dyDescent="0.4">
      <c r="B25242" s="3" t="s">
        <v>7</v>
      </c>
      <c r="C25242" s="3" t="s">
        <v>1294</v>
      </c>
      <c r="D25242" s="4">
        <f t="shared" si="420"/>
        <v>40969</v>
      </c>
      <c r="E25242" s="5">
        <f t="shared" si="419"/>
        <v>2012</v>
      </c>
      <c r="F25242" s="3" t="s">
        <v>4079</v>
      </c>
      <c r="G25242" s="6">
        <v>3490.55</v>
      </c>
      <c r="H25242" s="5">
        <v>4862</v>
      </c>
    </row>
    <row r="25243" spans="2:8" ht="15" customHeight="1" x14ac:dyDescent="0.4">
      <c r="B25243" s="3" t="s">
        <v>7</v>
      </c>
      <c r="C25243" s="3" t="s">
        <v>1294</v>
      </c>
      <c r="D25243" s="4">
        <f t="shared" si="420"/>
        <v>40969</v>
      </c>
      <c r="E25243" s="5">
        <f t="shared" si="419"/>
        <v>2012</v>
      </c>
      <c r="F25243" s="3" t="s">
        <v>4079</v>
      </c>
      <c r="G25243" s="6">
        <v>6756.76</v>
      </c>
      <c r="H25243" s="5">
        <v>4834</v>
      </c>
    </row>
    <row r="25244" spans="2:8" ht="15" customHeight="1" x14ac:dyDescent="0.4">
      <c r="B25244" s="3" t="s">
        <v>7</v>
      </c>
      <c r="C25244" s="3" t="s">
        <v>1294</v>
      </c>
      <c r="D25244" s="4">
        <f t="shared" si="420"/>
        <v>40969</v>
      </c>
      <c r="E25244" s="5">
        <f t="shared" si="419"/>
        <v>2012</v>
      </c>
      <c r="F25244" s="3" t="s">
        <v>4079</v>
      </c>
      <c r="G25244" s="6">
        <v>9815.74</v>
      </c>
      <c r="H25244" s="5">
        <v>4836</v>
      </c>
    </row>
    <row r="25245" spans="2:8" ht="15" customHeight="1" x14ac:dyDescent="0.4">
      <c r="B25245" s="3" t="s">
        <v>7</v>
      </c>
      <c r="C25245" s="3" t="s">
        <v>1294</v>
      </c>
      <c r="D25245" s="4">
        <f t="shared" si="420"/>
        <v>40969</v>
      </c>
      <c r="E25245" s="5">
        <f t="shared" si="419"/>
        <v>2012</v>
      </c>
      <c r="F25245" s="3" t="s">
        <v>4079</v>
      </c>
      <c r="G25245" s="6">
        <v>8251.7999999999993</v>
      </c>
      <c r="H25245" s="5">
        <v>4835</v>
      </c>
    </row>
    <row r="25246" spans="2:8" ht="15" customHeight="1" x14ac:dyDescent="0.4">
      <c r="B25246" s="3" t="s">
        <v>7</v>
      </c>
      <c r="C25246" s="3" t="s">
        <v>1294</v>
      </c>
      <c r="D25246" s="4">
        <f t="shared" si="420"/>
        <v>40969</v>
      </c>
      <c r="E25246" s="5">
        <f t="shared" si="419"/>
        <v>2012</v>
      </c>
      <c r="F25246" s="3" t="s">
        <v>4079</v>
      </c>
      <c r="G25246" s="6">
        <v>3519.55</v>
      </c>
      <c r="H25246" s="5">
        <v>4858</v>
      </c>
    </row>
    <row r="25247" spans="2:8" ht="15" customHeight="1" x14ac:dyDescent="0.4">
      <c r="B25247" s="3" t="s">
        <v>7</v>
      </c>
      <c r="C25247" s="3" t="s">
        <v>1294</v>
      </c>
      <c r="D25247" s="4">
        <f t="shared" si="420"/>
        <v>40969</v>
      </c>
      <c r="E25247" s="5">
        <f t="shared" si="419"/>
        <v>2012</v>
      </c>
      <c r="F25247" s="3" t="s">
        <v>4079</v>
      </c>
      <c r="G25247" s="6">
        <v>16296.26</v>
      </c>
      <c r="H25247" s="5">
        <v>4832</v>
      </c>
    </row>
    <row r="25248" spans="2:8" ht="15" customHeight="1" x14ac:dyDescent="0.4">
      <c r="B25248" s="3" t="s">
        <v>7</v>
      </c>
      <c r="C25248" s="3" t="s">
        <v>1294</v>
      </c>
      <c r="D25248" s="4">
        <f t="shared" si="420"/>
        <v>40969</v>
      </c>
      <c r="E25248" s="5">
        <f t="shared" si="419"/>
        <v>2012</v>
      </c>
      <c r="F25248" s="3" t="s">
        <v>4079</v>
      </c>
      <c r="G25248" s="6">
        <v>3026.5</v>
      </c>
      <c r="H25248" s="5">
        <v>4859</v>
      </c>
    </row>
    <row r="25249" spans="2:8" ht="15" customHeight="1" x14ac:dyDescent="0.4">
      <c r="B25249" s="3" t="s">
        <v>7</v>
      </c>
      <c r="C25249" s="3" t="s">
        <v>1294</v>
      </c>
      <c r="D25249" s="4">
        <f t="shared" si="420"/>
        <v>40969</v>
      </c>
      <c r="E25249" s="5">
        <f t="shared" si="419"/>
        <v>2012</v>
      </c>
      <c r="F25249" s="3" t="s">
        <v>4079</v>
      </c>
      <c r="G25249" s="6">
        <v>11126.11</v>
      </c>
      <c r="H25249" s="5">
        <v>4847</v>
      </c>
    </row>
    <row r="25250" spans="2:8" ht="15" customHeight="1" x14ac:dyDescent="0.4">
      <c r="B25250" s="3" t="s">
        <v>7</v>
      </c>
      <c r="C25250" s="3" t="s">
        <v>1294</v>
      </c>
      <c r="D25250" s="4">
        <f t="shared" si="420"/>
        <v>40969</v>
      </c>
      <c r="E25250" s="5">
        <f t="shared" si="419"/>
        <v>2012</v>
      </c>
      <c r="F25250" s="3" t="s">
        <v>4079</v>
      </c>
      <c r="G25250" s="6">
        <v>9152.76</v>
      </c>
      <c r="H25250" s="5">
        <v>4852</v>
      </c>
    </row>
    <row r="25251" spans="2:8" ht="15" customHeight="1" x14ac:dyDescent="0.4">
      <c r="B25251" s="3" t="s">
        <v>7</v>
      </c>
      <c r="C25251" s="3" t="s">
        <v>1294</v>
      </c>
      <c r="D25251" s="4">
        <f t="shared" si="420"/>
        <v>40969</v>
      </c>
      <c r="E25251" s="5">
        <f t="shared" si="419"/>
        <v>2012</v>
      </c>
      <c r="F25251" s="3" t="s">
        <v>4079</v>
      </c>
      <c r="G25251" s="6">
        <v>13237.33</v>
      </c>
      <c r="H25251" s="5">
        <v>4837</v>
      </c>
    </row>
    <row r="25252" spans="2:8" ht="15" customHeight="1" x14ac:dyDescent="0.4">
      <c r="B25252" s="3" t="s">
        <v>7</v>
      </c>
      <c r="C25252" s="3" t="s">
        <v>1294</v>
      </c>
      <c r="D25252" s="4">
        <f t="shared" si="420"/>
        <v>40969</v>
      </c>
      <c r="E25252" s="5">
        <f t="shared" si="419"/>
        <v>2012</v>
      </c>
      <c r="F25252" s="3" t="s">
        <v>4079</v>
      </c>
      <c r="G25252" s="6">
        <v>10327.280000000001</v>
      </c>
      <c r="H25252" s="5">
        <v>4838</v>
      </c>
    </row>
    <row r="25253" spans="2:8" ht="15" customHeight="1" x14ac:dyDescent="0.4">
      <c r="B25253" s="3" t="s">
        <v>7</v>
      </c>
      <c r="C25253" s="3" t="s">
        <v>1294</v>
      </c>
      <c r="D25253" s="4">
        <f t="shared" si="420"/>
        <v>40969</v>
      </c>
      <c r="E25253" s="5">
        <f t="shared" si="419"/>
        <v>2012</v>
      </c>
      <c r="F25253" s="3" t="s">
        <v>4079</v>
      </c>
      <c r="G25253" s="6">
        <v>18341.830000000002</v>
      </c>
      <c r="H25253" s="5">
        <v>4813</v>
      </c>
    </row>
    <row r="25254" spans="2:8" ht="15" customHeight="1" x14ac:dyDescent="0.4">
      <c r="B25254" s="3" t="s">
        <v>7</v>
      </c>
      <c r="C25254" s="3" t="s">
        <v>1294</v>
      </c>
      <c r="D25254" s="4">
        <f t="shared" si="420"/>
        <v>40969</v>
      </c>
      <c r="E25254" s="5">
        <f t="shared" si="419"/>
        <v>2012</v>
      </c>
      <c r="F25254" s="3" t="s">
        <v>4079</v>
      </c>
      <c r="G25254" s="6">
        <v>12553.26</v>
      </c>
      <c r="H25254" s="5">
        <v>4833</v>
      </c>
    </row>
    <row r="25255" spans="2:8" ht="15" customHeight="1" x14ac:dyDescent="0.4">
      <c r="B25255" s="3" t="s">
        <v>7</v>
      </c>
      <c r="C25255" s="3" t="s">
        <v>1294</v>
      </c>
      <c r="D25255" s="4">
        <f t="shared" ref="D25255:D25272" si="421">DATE(2012,3,19)</f>
        <v>40987</v>
      </c>
      <c r="E25255" s="5">
        <f t="shared" si="419"/>
        <v>2012</v>
      </c>
      <c r="F25255" s="3" t="s">
        <v>4079</v>
      </c>
      <c r="G25255" s="6">
        <v>1335.95</v>
      </c>
      <c r="H25255" s="5">
        <v>4917</v>
      </c>
    </row>
    <row r="25256" spans="2:8" ht="15" customHeight="1" x14ac:dyDescent="0.4">
      <c r="B25256" s="3" t="s">
        <v>7</v>
      </c>
      <c r="C25256" s="3" t="s">
        <v>1294</v>
      </c>
      <c r="D25256" s="4">
        <f t="shared" si="421"/>
        <v>40987</v>
      </c>
      <c r="E25256" s="5">
        <f t="shared" si="419"/>
        <v>2012</v>
      </c>
      <c r="F25256" s="3" t="s">
        <v>4079</v>
      </c>
      <c r="G25256" s="6">
        <v>2299.4499999999998</v>
      </c>
      <c r="H25256" s="5">
        <v>4916</v>
      </c>
    </row>
    <row r="25257" spans="2:8" ht="15" customHeight="1" x14ac:dyDescent="0.4">
      <c r="B25257" s="3" t="s">
        <v>7</v>
      </c>
      <c r="C25257" s="3" t="s">
        <v>1294</v>
      </c>
      <c r="D25257" s="4">
        <f t="shared" si="421"/>
        <v>40987</v>
      </c>
      <c r="E25257" s="5">
        <f t="shared" si="419"/>
        <v>2012</v>
      </c>
      <c r="F25257" s="3" t="s">
        <v>4079</v>
      </c>
      <c r="G25257" s="6">
        <v>4073.75</v>
      </c>
      <c r="H25257" s="5">
        <v>4842</v>
      </c>
    </row>
    <row r="25258" spans="2:8" ht="15" customHeight="1" x14ac:dyDescent="0.4">
      <c r="B25258" s="3" t="s">
        <v>7</v>
      </c>
      <c r="C25258" s="3" t="s">
        <v>1294</v>
      </c>
      <c r="D25258" s="4">
        <f t="shared" si="421"/>
        <v>40987</v>
      </c>
      <c r="E25258" s="5">
        <f t="shared" si="419"/>
        <v>2012</v>
      </c>
      <c r="F25258" s="3" t="s">
        <v>4079</v>
      </c>
      <c r="G25258" s="6">
        <v>6116.25</v>
      </c>
      <c r="H25258" s="5">
        <v>4897</v>
      </c>
    </row>
    <row r="25259" spans="2:8" ht="15" customHeight="1" x14ac:dyDescent="0.4">
      <c r="B25259" s="3" t="s">
        <v>7</v>
      </c>
      <c r="C25259" s="3" t="s">
        <v>1294</v>
      </c>
      <c r="D25259" s="4">
        <f t="shared" si="421"/>
        <v>40987</v>
      </c>
      <c r="E25259" s="5">
        <f t="shared" si="419"/>
        <v>2012</v>
      </c>
      <c r="F25259" s="3" t="s">
        <v>4079</v>
      </c>
      <c r="G25259" s="6">
        <v>7365.25</v>
      </c>
      <c r="H25259" s="5">
        <v>4888</v>
      </c>
    </row>
    <row r="25260" spans="2:8" ht="15" customHeight="1" x14ac:dyDescent="0.4">
      <c r="B25260" s="3" t="s">
        <v>7</v>
      </c>
      <c r="C25260" s="3" t="s">
        <v>1294</v>
      </c>
      <c r="D25260" s="4">
        <f t="shared" si="421"/>
        <v>40987</v>
      </c>
      <c r="E25260" s="5">
        <f t="shared" si="419"/>
        <v>2012</v>
      </c>
      <c r="F25260" s="3" t="s">
        <v>4079</v>
      </c>
      <c r="G25260" s="6">
        <v>2378.3000000000002</v>
      </c>
      <c r="H25260" s="5">
        <v>4927</v>
      </c>
    </row>
    <row r="25261" spans="2:8" ht="15" customHeight="1" x14ac:dyDescent="0.4">
      <c r="B25261" s="3" t="s">
        <v>7</v>
      </c>
      <c r="C25261" s="3" t="s">
        <v>1294</v>
      </c>
      <c r="D25261" s="4">
        <f t="shared" si="421"/>
        <v>40987</v>
      </c>
      <c r="E25261" s="5">
        <f t="shared" si="419"/>
        <v>2012</v>
      </c>
      <c r="F25261" s="3" t="s">
        <v>4079</v>
      </c>
      <c r="G25261" s="6">
        <v>9577.06</v>
      </c>
      <c r="H25261" s="5">
        <v>4875</v>
      </c>
    </row>
    <row r="25262" spans="2:8" ht="15" customHeight="1" x14ac:dyDescent="0.4">
      <c r="B25262" s="3" t="s">
        <v>7</v>
      </c>
      <c r="C25262" s="3" t="s">
        <v>1294</v>
      </c>
      <c r="D25262" s="4">
        <f t="shared" si="421"/>
        <v>40987</v>
      </c>
      <c r="E25262" s="5">
        <f t="shared" si="419"/>
        <v>2012</v>
      </c>
      <c r="F25262" s="3" t="s">
        <v>4079</v>
      </c>
      <c r="G25262" s="6">
        <v>9152.25</v>
      </c>
      <c r="H25262" s="5">
        <v>4877</v>
      </c>
    </row>
    <row r="25263" spans="2:8" ht="15" customHeight="1" x14ac:dyDescent="0.4">
      <c r="B25263" s="3" t="s">
        <v>7</v>
      </c>
      <c r="C25263" s="3" t="s">
        <v>1294</v>
      </c>
      <c r="D25263" s="4">
        <f t="shared" si="421"/>
        <v>40987</v>
      </c>
      <c r="E25263" s="5">
        <f t="shared" si="419"/>
        <v>2012</v>
      </c>
      <c r="F25263" s="3" t="s">
        <v>4079</v>
      </c>
      <c r="G25263" s="6">
        <v>8643.06</v>
      </c>
      <c r="H25263" s="5">
        <v>4876</v>
      </c>
    </row>
    <row r="25264" spans="2:8" ht="15" customHeight="1" x14ac:dyDescent="0.4">
      <c r="B25264" s="3" t="s">
        <v>7</v>
      </c>
      <c r="C25264" s="3" t="s">
        <v>1294</v>
      </c>
      <c r="D25264" s="4">
        <f t="shared" si="421"/>
        <v>40987</v>
      </c>
      <c r="E25264" s="5">
        <f t="shared" si="419"/>
        <v>2012</v>
      </c>
      <c r="F25264" s="3" t="s">
        <v>4079</v>
      </c>
      <c r="G25264" s="6">
        <v>8597.56</v>
      </c>
      <c r="H25264" s="5">
        <v>4912</v>
      </c>
    </row>
    <row r="25265" spans="2:8" ht="15" customHeight="1" x14ac:dyDescent="0.4">
      <c r="B25265" s="3" t="s">
        <v>7</v>
      </c>
      <c r="C25265" s="3" t="s">
        <v>1294</v>
      </c>
      <c r="D25265" s="4">
        <f t="shared" si="421"/>
        <v>40987</v>
      </c>
      <c r="E25265" s="5">
        <f t="shared" si="419"/>
        <v>2012</v>
      </c>
      <c r="F25265" s="3" t="s">
        <v>4079</v>
      </c>
      <c r="G25265" s="6">
        <v>4180.25</v>
      </c>
      <c r="H25265" s="5">
        <v>4911</v>
      </c>
    </row>
    <row r="25266" spans="2:8" ht="15" customHeight="1" x14ac:dyDescent="0.4">
      <c r="B25266" s="3" t="s">
        <v>7</v>
      </c>
      <c r="C25266" s="3" t="s">
        <v>1294</v>
      </c>
      <c r="D25266" s="4">
        <f t="shared" si="421"/>
        <v>40987</v>
      </c>
      <c r="E25266" s="5">
        <f t="shared" si="419"/>
        <v>2012</v>
      </c>
      <c r="F25266" s="3" t="s">
        <v>4079</v>
      </c>
      <c r="G25266" s="6">
        <v>12236.56</v>
      </c>
      <c r="H25266" s="5">
        <v>4879</v>
      </c>
    </row>
    <row r="25267" spans="2:8" ht="15" customHeight="1" x14ac:dyDescent="0.4">
      <c r="B25267" s="3" t="s">
        <v>7</v>
      </c>
      <c r="C25267" s="3" t="s">
        <v>1294</v>
      </c>
      <c r="D25267" s="4">
        <f t="shared" si="421"/>
        <v>40987</v>
      </c>
      <c r="E25267" s="5">
        <f t="shared" si="419"/>
        <v>2012</v>
      </c>
      <c r="F25267" s="3" t="s">
        <v>4079</v>
      </c>
      <c r="G25267" s="6">
        <v>2671.95</v>
      </c>
      <c r="H25267" s="5">
        <v>4881</v>
      </c>
    </row>
    <row r="25268" spans="2:8" ht="15" customHeight="1" x14ac:dyDescent="0.4">
      <c r="B25268" s="3" t="s">
        <v>7</v>
      </c>
      <c r="C25268" s="3" t="s">
        <v>1294</v>
      </c>
      <c r="D25268" s="4">
        <f t="shared" si="421"/>
        <v>40987</v>
      </c>
      <c r="E25268" s="5">
        <f t="shared" si="419"/>
        <v>2012</v>
      </c>
      <c r="F25268" s="3" t="s">
        <v>4079</v>
      </c>
      <c r="G25268" s="6">
        <v>1867.95</v>
      </c>
      <c r="H25268" s="5">
        <v>4883</v>
      </c>
    </row>
    <row r="25269" spans="2:8" ht="15" customHeight="1" x14ac:dyDescent="0.4">
      <c r="B25269" s="3" t="s">
        <v>7</v>
      </c>
      <c r="C25269" s="3" t="s">
        <v>1294</v>
      </c>
      <c r="D25269" s="4">
        <f t="shared" si="421"/>
        <v>40987</v>
      </c>
      <c r="E25269" s="5">
        <f t="shared" si="419"/>
        <v>2012</v>
      </c>
      <c r="F25269" s="3" t="s">
        <v>4079</v>
      </c>
      <c r="G25269" s="6">
        <v>7728.25</v>
      </c>
      <c r="H25269" s="5">
        <v>4880</v>
      </c>
    </row>
    <row r="25270" spans="2:8" ht="15" customHeight="1" x14ac:dyDescent="0.4">
      <c r="B25270" s="3" t="s">
        <v>7</v>
      </c>
      <c r="C25270" s="3" t="s">
        <v>1294</v>
      </c>
      <c r="D25270" s="4">
        <f t="shared" si="421"/>
        <v>40987</v>
      </c>
      <c r="E25270" s="5">
        <f t="shared" si="419"/>
        <v>2012</v>
      </c>
      <c r="F25270" s="3" t="s">
        <v>4079</v>
      </c>
      <c r="G25270" s="6">
        <v>3678.55</v>
      </c>
      <c r="H25270" s="5">
        <v>4855</v>
      </c>
    </row>
    <row r="25271" spans="2:8" ht="15" customHeight="1" x14ac:dyDescent="0.4">
      <c r="B25271" s="3" t="s">
        <v>7</v>
      </c>
      <c r="C25271" s="3" t="s">
        <v>1294</v>
      </c>
      <c r="D25271" s="4">
        <f t="shared" si="421"/>
        <v>40987</v>
      </c>
      <c r="E25271" s="5">
        <f t="shared" si="419"/>
        <v>2012</v>
      </c>
      <c r="F25271" s="3" t="s">
        <v>4079</v>
      </c>
      <c r="G25271" s="6">
        <v>5898.55</v>
      </c>
      <c r="H25271" s="5">
        <v>4848</v>
      </c>
    </row>
    <row r="25272" spans="2:8" ht="15" customHeight="1" x14ac:dyDescent="0.4">
      <c r="B25272" s="3" t="s">
        <v>7</v>
      </c>
      <c r="C25272" s="3" t="s">
        <v>1294</v>
      </c>
      <c r="D25272" s="4">
        <f t="shared" si="421"/>
        <v>40987</v>
      </c>
      <c r="E25272" s="5">
        <f t="shared" si="419"/>
        <v>2012</v>
      </c>
      <c r="F25272" s="3" t="s">
        <v>4079</v>
      </c>
      <c r="G25272" s="6">
        <v>13536.16</v>
      </c>
      <c r="H25272" s="5">
        <v>4857</v>
      </c>
    </row>
    <row r="25273" spans="2:8" ht="15" customHeight="1" x14ac:dyDescent="0.4">
      <c r="B25273" s="3" t="s">
        <v>7</v>
      </c>
      <c r="C25273" s="3" t="s">
        <v>1294</v>
      </c>
      <c r="D25273" s="4">
        <f t="shared" ref="D25273:D25281" si="422">DATE(2012,3,28)</f>
        <v>40996</v>
      </c>
      <c r="E25273" s="5">
        <f t="shared" si="419"/>
        <v>2012</v>
      </c>
      <c r="F25273" s="3" t="s">
        <v>4079</v>
      </c>
      <c r="G25273" s="6">
        <v>1091</v>
      </c>
      <c r="H25273" s="5">
        <v>4963</v>
      </c>
    </row>
    <row r="25274" spans="2:8" ht="15" customHeight="1" x14ac:dyDescent="0.4">
      <c r="B25274" s="3" t="s">
        <v>7</v>
      </c>
      <c r="C25274" s="3" t="s">
        <v>1294</v>
      </c>
      <c r="D25274" s="4">
        <f t="shared" si="422"/>
        <v>40996</v>
      </c>
      <c r="E25274" s="5">
        <f t="shared" si="419"/>
        <v>2012</v>
      </c>
      <c r="F25274" s="3" t="s">
        <v>4079</v>
      </c>
      <c r="G25274" s="6">
        <v>5081.8</v>
      </c>
      <c r="H25274" s="5">
        <v>4952</v>
      </c>
    </row>
    <row r="25275" spans="2:8" ht="15" customHeight="1" x14ac:dyDescent="0.4">
      <c r="B25275" s="3" t="s">
        <v>7</v>
      </c>
      <c r="C25275" s="3" t="s">
        <v>1294</v>
      </c>
      <c r="D25275" s="4">
        <f t="shared" si="422"/>
        <v>40996</v>
      </c>
      <c r="E25275" s="5">
        <f t="shared" si="419"/>
        <v>2012</v>
      </c>
      <c r="F25275" s="3" t="s">
        <v>4079</v>
      </c>
      <c r="G25275" s="6">
        <v>9763.41</v>
      </c>
      <c r="H25275" s="5">
        <v>4902</v>
      </c>
    </row>
    <row r="25276" spans="2:8" ht="15" customHeight="1" x14ac:dyDescent="0.4">
      <c r="B25276" s="3" t="s">
        <v>7</v>
      </c>
      <c r="C25276" s="3" t="s">
        <v>1294</v>
      </c>
      <c r="D25276" s="4">
        <f t="shared" si="422"/>
        <v>40996</v>
      </c>
      <c r="E25276" s="5">
        <f t="shared" si="419"/>
        <v>2012</v>
      </c>
      <c r="F25276" s="3" t="s">
        <v>4079</v>
      </c>
      <c r="G25276" s="6">
        <v>4348.8</v>
      </c>
      <c r="H25276" s="5">
        <v>4907</v>
      </c>
    </row>
    <row r="25277" spans="2:8" ht="15" customHeight="1" x14ac:dyDescent="0.4">
      <c r="B25277" s="3" t="s">
        <v>7</v>
      </c>
      <c r="C25277" s="3" t="s">
        <v>1294</v>
      </c>
      <c r="D25277" s="4">
        <f t="shared" si="422"/>
        <v>40996</v>
      </c>
      <c r="E25277" s="5">
        <f t="shared" si="419"/>
        <v>2012</v>
      </c>
      <c r="F25277" s="3" t="s">
        <v>4079</v>
      </c>
      <c r="G25277" s="6">
        <v>6171.05</v>
      </c>
      <c r="H25277" s="5">
        <v>4886</v>
      </c>
    </row>
    <row r="25278" spans="2:8" ht="15" customHeight="1" x14ac:dyDescent="0.4">
      <c r="B25278" s="3" t="s">
        <v>7</v>
      </c>
      <c r="C25278" s="3" t="s">
        <v>1294</v>
      </c>
      <c r="D25278" s="4">
        <f t="shared" si="422"/>
        <v>40996</v>
      </c>
      <c r="E25278" s="5">
        <f t="shared" si="419"/>
        <v>2012</v>
      </c>
      <c r="F25278" s="3" t="s">
        <v>4079</v>
      </c>
      <c r="G25278" s="6">
        <v>25698.12</v>
      </c>
      <c r="H25278" s="5">
        <v>4890</v>
      </c>
    </row>
    <row r="25279" spans="2:8" ht="15" customHeight="1" x14ac:dyDescent="0.4">
      <c r="B25279" s="3" t="s">
        <v>7</v>
      </c>
      <c r="C25279" s="3" t="s">
        <v>1294</v>
      </c>
      <c r="D25279" s="4">
        <f t="shared" si="422"/>
        <v>40996</v>
      </c>
      <c r="E25279" s="5">
        <f t="shared" si="419"/>
        <v>2012</v>
      </c>
      <c r="F25279" s="3" t="s">
        <v>4079</v>
      </c>
      <c r="G25279" s="6">
        <v>1215</v>
      </c>
      <c r="H25279" s="5">
        <v>4910</v>
      </c>
    </row>
    <row r="25280" spans="2:8" ht="15" customHeight="1" x14ac:dyDescent="0.4">
      <c r="B25280" s="3" t="s">
        <v>7</v>
      </c>
      <c r="C25280" s="3" t="s">
        <v>1294</v>
      </c>
      <c r="D25280" s="4">
        <f t="shared" si="422"/>
        <v>40996</v>
      </c>
      <c r="E25280" s="5">
        <f t="shared" si="419"/>
        <v>2012</v>
      </c>
      <c r="F25280" s="3" t="s">
        <v>4079</v>
      </c>
      <c r="G25280" s="6">
        <v>1417</v>
      </c>
      <c r="H25280" s="5">
        <v>4909</v>
      </c>
    </row>
    <row r="25281" spans="2:8" ht="15" customHeight="1" x14ac:dyDescent="0.4">
      <c r="B25281" s="3" t="s">
        <v>7</v>
      </c>
      <c r="C25281" s="3" t="s">
        <v>1294</v>
      </c>
      <c r="D25281" s="4">
        <f t="shared" si="422"/>
        <v>40996</v>
      </c>
      <c r="E25281" s="5">
        <f t="shared" si="419"/>
        <v>2012</v>
      </c>
      <c r="F25281" s="3" t="s">
        <v>4079</v>
      </c>
      <c r="G25281" s="6">
        <v>4036.25</v>
      </c>
      <c r="H25281" s="5">
        <v>4918</v>
      </c>
    </row>
    <row r="25282" spans="2:8" ht="15" customHeight="1" x14ac:dyDescent="0.4">
      <c r="B25282" s="3" t="s">
        <v>7</v>
      </c>
      <c r="C25282" s="3" t="s">
        <v>1294</v>
      </c>
      <c r="D25282" s="4">
        <f t="shared" ref="D25282:D25294" si="423">DATE(2012,4,11)</f>
        <v>41010</v>
      </c>
      <c r="E25282" s="5">
        <f t="shared" si="419"/>
        <v>2012</v>
      </c>
      <c r="F25282" s="3" t="s">
        <v>4079</v>
      </c>
      <c r="G25282" s="6">
        <v>4293.8</v>
      </c>
      <c r="H25282" s="5">
        <v>4994</v>
      </c>
    </row>
    <row r="25283" spans="2:8" ht="15" customHeight="1" x14ac:dyDescent="0.4">
      <c r="B25283" s="3" t="s">
        <v>7</v>
      </c>
      <c r="C25283" s="3" t="s">
        <v>1294</v>
      </c>
      <c r="D25283" s="4">
        <f t="shared" si="423"/>
        <v>41010</v>
      </c>
      <c r="E25283" s="5">
        <f t="shared" ref="E25283:E25346" si="424">YEAR(D25283)</f>
        <v>2012</v>
      </c>
      <c r="F25283" s="3" t="s">
        <v>4079</v>
      </c>
      <c r="G25283" s="6">
        <v>4736.8</v>
      </c>
      <c r="H25283" s="5">
        <v>4940</v>
      </c>
    </row>
    <row r="25284" spans="2:8" ht="15" customHeight="1" x14ac:dyDescent="0.4">
      <c r="B25284" s="3" t="s">
        <v>7</v>
      </c>
      <c r="C25284" s="3" t="s">
        <v>1294</v>
      </c>
      <c r="D25284" s="4">
        <f t="shared" si="423"/>
        <v>41010</v>
      </c>
      <c r="E25284" s="5">
        <f t="shared" si="424"/>
        <v>2012</v>
      </c>
      <c r="F25284" s="3" t="s">
        <v>4079</v>
      </c>
      <c r="G25284" s="6">
        <v>8485.61</v>
      </c>
      <c r="H25284" s="5">
        <v>4942</v>
      </c>
    </row>
    <row r="25285" spans="2:8" ht="15" customHeight="1" x14ac:dyDescent="0.4">
      <c r="B25285" s="3" t="s">
        <v>7</v>
      </c>
      <c r="C25285" s="3" t="s">
        <v>1294</v>
      </c>
      <c r="D25285" s="4">
        <f t="shared" si="423"/>
        <v>41010</v>
      </c>
      <c r="E25285" s="5">
        <f t="shared" si="424"/>
        <v>2012</v>
      </c>
      <c r="F25285" s="3" t="s">
        <v>4079</v>
      </c>
      <c r="G25285" s="6">
        <v>7322.8</v>
      </c>
      <c r="H25285" s="5">
        <v>4995</v>
      </c>
    </row>
    <row r="25286" spans="2:8" ht="15" customHeight="1" x14ac:dyDescent="0.4">
      <c r="B25286" s="3" t="s">
        <v>7</v>
      </c>
      <c r="C25286" s="3" t="s">
        <v>1294</v>
      </c>
      <c r="D25286" s="4">
        <f t="shared" si="423"/>
        <v>41010</v>
      </c>
      <c r="E25286" s="5">
        <f t="shared" si="424"/>
        <v>2012</v>
      </c>
      <c r="F25286" s="3" t="s">
        <v>4079</v>
      </c>
      <c r="G25286" s="6">
        <v>8945.11</v>
      </c>
      <c r="H25286" s="5">
        <v>4926</v>
      </c>
    </row>
    <row r="25287" spans="2:8" ht="15" customHeight="1" x14ac:dyDescent="0.4">
      <c r="B25287" s="3" t="s">
        <v>7</v>
      </c>
      <c r="C25287" s="3" t="s">
        <v>1294</v>
      </c>
      <c r="D25287" s="4">
        <f t="shared" si="423"/>
        <v>41010</v>
      </c>
      <c r="E25287" s="5">
        <f t="shared" si="424"/>
        <v>2012</v>
      </c>
      <c r="F25287" s="3" t="s">
        <v>4079</v>
      </c>
      <c r="G25287" s="6">
        <v>3619.8</v>
      </c>
      <c r="H25287" s="5">
        <v>4928</v>
      </c>
    </row>
    <row r="25288" spans="2:8" ht="15" customHeight="1" x14ac:dyDescent="0.4">
      <c r="B25288" s="3" t="s">
        <v>7</v>
      </c>
      <c r="C25288" s="3" t="s">
        <v>1294</v>
      </c>
      <c r="D25288" s="4">
        <f t="shared" si="423"/>
        <v>41010</v>
      </c>
      <c r="E25288" s="5">
        <f t="shared" si="424"/>
        <v>2012</v>
      </c>
      <c r="F25288" s="3" t="s">
        <v>4079</v>
      </c>
      <c r="G25288" s="6">
        <v>5311.3</v>
      </c>
      <c r="H25288" s="5">
        <v>4948</v>
      </c>
    </row>
    <row r="25289" spans="2:8" ht="15" customHeight="1" x14ac:dyDescent="0.4">
      <c r="B25289" s="3" t="s">
        <v>7</v>
      </c>
      <c r="C25289" s="3" t="s">
        <v>1294</v>
      </c>
      <c r="D25289" s="4">
        <f t="shared" si="423"/>
        <v>41010</v>
      </c>
      <c r="E25289" s="5">
        <f t="shared" si="424"/>
        <v>2012</v>
      </c>
      <c r="F25289" s="3" t="s">
        <v>4079</v>
      </c>
      <c r="G25289" s="6">
        <v>36294.43</v>
      </c>
      <c r="H25289" s="5">
        <v>4889</v>
      </c>
    </row>
    <row r="25290" spans="2:8" ht="15" customHeight="1" x14ac:dyDescent="0.4">
      <c r="B25290" s="3" t="s">
        <v>7</v>
      </c>
      <c r="C25290" s="3" t="s">
        <v>1294</v>
      </c>
      <c r="D25290" s="4">
        <f t="shared" si="423"/>
        <v>41010</v>
      </c>
      <c r="E25290" s="5">
        <f t="shared" si="424"/>
        <v>2012</v>
      </c>
      <c r="F25290" s="3" t="s">
        <v>4079</v>
      </c>
      <c r="G25290" s="6">
        <v>58875.76</v>
      </c>
      <c r="H25290" s="5">
        <v>4856</v>
      </c>
    </row>
    <row r="25291" spans="2:8" ht="15" customHeight="1" x14ac:dyDescent="0.4">
      <c r="B25291" s="3" t="s">
        <v>7</v>
      </c>
      <c r="C25291" s="3" t="s">
        <v>1294</v>
      </c>
      <c r="D25291" s="4">
        <f t="shared" si="423"/>
        <v>41010</v>
      </c>
      <c r="E25291" s="5">
        <f t="shared" si="424"/>
        <v>2012</v>
      </c>
      <c r="F25291" s="3" t="s">
        <v>4079</v>
      </c>
      <c r="G25291" s="6">
        <v>16128.22</v>
      </c>
      <c r="H25291" s="5">
        <v>4959</v>
      </c>
    </row>
    <row r="25292" spans="2:8" ht="15" customHeight="1" x14ac:dyDescent="0.4">
      <c r="B25292" s="3" t="s">
        <v>7</v>
      </c>
      <c r="C25292" s="3" t="s">
        <v>1294</v>
      </c>
      <c r="D25292" s="4">
        <f t="shared" si="423"/>
        <v>41010</v>
      </c>
      <c r="E25292" s="5">
        <f t="shared" si="424"/>
        <v>2012</v>
      </c>
      <c r="F25292" s="3" t="s">
        <v>4079</v>
      </c>
      <c r="G25292" s="6">
        <v>46776.24</v>
      </c>
      <c r="H25292" s="5">
        <v>4954</v>
      </c>
    </row>
    <row r="25293" spans="2:8" ht="15" customHeight="1" x14ac:dyDescent="0.4">
      <c r="B25293" s="3" t="s">
        <v>7</v>
      </c>
      <c r="C25293" s="3" t="s">
        <v>1294</v>
      </c>
      <c r="D25293" s="4">
        <f t="shared" si="423"/>
        <v>41010</v>
      </c>
      <c r="E25293" s="5">
        <f t="shared" si="424"/>
        <v>2012</v>
      </c>
      <c r="F25293" s="3" t="s">
        <v>4079</v>
      </c>
      <c r="G25293" s="6">
        <v>11727.22</v>
      </c>
      <c r="H25293" s="5">
        <v>4887</v>
      </c>
    </row>
    <row r="25294" spans="2:8" ht="15" customHeight="1" x14ac:dyDescent="0.4">
      <c r="B25294" s="3" t="s">
        <v>7</v>
      </c>
      <c r="C25294" s="3" t="s">
        <v>1294</v>
      </c>
      <c r="D25294" s="4">
        <f t="shared" si="423"/>
        <v>41010</v>
      </c>
      <c r="E25294" s="5">
        <f t="shared" si="424"/>
        <v>2012</v>
      </c>
      <c r="F25294" s="3" t="s">
        <v>4079</v>
      </c>
      <c r="G25294" s="6">
        <v>17781.72</v>
      </c>
      <c r="H25294" s="5">
        <v>4908</v>
      </c>
    </row>
    <row r="25295" spans="2:8" ht="15" customHeight="1" x14ac:dyDescent="0.4">
      <c r="B25295" s="3" t="s">
        <v>7</v>
      </c>
      <c r="C25295" s="3" t="s">
        <v>1294</v>
      </c>
      <c r="D25295" s="4">
        <f t="shared" ref="D25295:D25309" si="425">DATE(2012,5,2)</f>
        <v>41031</v>
      </c>
      <c r="E25295" s="5">
        <f t="shared" si="424"/>
        <v>2012</v>
      </c>
      <c r="F25295" s="3" t="s">
        <v>4079</v>
      </c>
      <c r="G25295" s="6">
        <v>7741.8</v>
      </c>
      <c r="H25295" s="5">
        <v>4943</v>
      </c>
    </row>
    <row r="25296" spans="2:8" ht="15" customHeight="1" x14ac:dyDescent="0.4">
      <c r="B25296" s="3" t="s">
        <v>7</v>
      </c>
      <c r="C25296" s="3" t="s">
        <v>1294</v>
      </c>
      <c r="D25296" s="4">
        <f t="shared" si="425"/>
        <v>41031</v>
      </c>
      <c r="E25296" s="5">
        <f t="shared" si="424"/>
        <v>2012</v>
      </c>
      <c r="F25296" s="3" t="s">
        <v>4079</v>
      </c>
      <c r="G25296" s="6">
        <v>66595.86</v>
      </c>
      <c r="H25296" s="5">
        <v>4960</v>
      </c>
    </row>
    <row r="25297" spans="2:8" ht="15" customHeight="1" x14ac:dyDescent="0.4">
      <c r="B25297" s="3" t="s">
        <v>7</v>
      </c>
      <c r="C25297" s="3" t="s">
        <v>1294</v>
      </c>
      <c r="D25297" s="4">
        <f t="shared" si="425"/>
        <v>41031</v>
      </c>
      <c r="E25297" s="5">
        <f t="shared" si="424"/>
        <v>2012</v>
      </c>
      <c r="F25297" s="3" t="s">
        <v>4079</v>
      </c>
      <c r="G25297" s="6">
        <v>4478.8</v>
      </c>
      <c r="H25297" s="5">
        <v>4949</v>
      </c>
    </row>
    <row r="25298" spans="2:8" ht="15" customHeight="1" x14ac:dyDescent="0.4">
      <c r="B25298" s="3" t="s">
        <v>7</v>
      </c>
      <c r="C25298" s="3" t="s">
        <v>1294</v>
      </c>
      <c r="D25298" s="4">
        <f t="shared" si="425"/>
        <v>41031</v>
      </c>
      <c r="E25298" s="5">
        <f t="shared" si="424"/>
        <v>2012</v>
      </c>
      <c r="F25298" s="3" t="s">
        <v>4079</v>
      </c>
      <c r="G25298" s="6">
        <v>3505.3</v>
      </c>
      <c r="H25298" s="5">
        <v>4965</v>
      </c>
    </row>
    <row r="25299" spans="2:8" ht="15" customHeight="1" x14ac:dyDescent="0.4">
      <c r="B25299" s="3" t="s">
        <v>7</v>
      </c>
      <c r="C25299" s="3" t="s">
        <v>1294</v>
      </c>
      <c r="D25299" s="4">
        <f t="shared" si="425"/>
        <v>41031</v>
      </c>
      <c r="E25299" s="5">
        <f t="shared" si="424"/>
        <v>2012</v>
      </c>
      <c r="F25299" s="3" t="s">
        <v>4079</v>
      </c>
      <c r="G25299" s="6">
        <v>10131.61</v>
      </c>
      <c r="H25299" s="5">
        <v>5007</v>
      </c>
    </row>
    <row r="25300" spans="2:8" ht="15" customHeight="1" x14ac:dyDescent="0.4">
      <c r="B25300" s="3" t="s">
        <v>7</v>
      </c>
      <c r="C25300" s="3" t="s">
        <v>1294</v>
      </c>
      <c r="D25300" s="4">
        <f t="shared" si="425"/>
        <v>41031</v>
      </c>
      <c r="E25300" s="5">
        <f t="shared" si="424"/>
        <v>2012</v>
      </c>
      <c r="F25300" s="3" t="s">
        <v>4079</v>
      </c>
      <c r="G25300" s="6">
        <v>13489.01</v>
      </c>
      <c r="H25300" s="5">
        <v>5014</v>
      </c>
    </row>
    <row r="25301" spans="2:8" ht="15" customHeight="1" x14ac:dyDescent="0.4">
      <c r="B25301" s="3" t="s">
        <v>7</v>
      </c>
      <c r="C25301" s="3" t="s">
        <v>1294</v>
      </c>
      <c r="D25301" s="4">
        <f t="shared" si="425"/>
        <v>41031</v>
      </c>
      <c r="E25301" s="5">
        <f t="shared" si="424"/>
        <v>2012</v>
      </c>
      <c r="F25301" s="3" t="s">
        <v>4079</v>
      </c>
      <c r="G25301" s="6">
        <v>1503</v>
      </c>
      <c r="H25301" s="5">
        <v>5000</v>
      </c>
    </row>
    <row r="25302" spans="2:8" ht="15" customHeight="1" x14ac:dyDescent="0.4">
      <c r="B25302" s="3" t="s">
        <v>7</v>
      </c>
      <c r="C25302" s="3" t="s">
        <v>1294</v>
      </c>
      <c r="D25302" s="4">
        <f t="shared" si="425"/>
        <v>41031</v>
      </c>
      <c r="E25302" s="5">
        <f t="shared" si="424"/>
        <v>2012</v>
      </c>
      <c r="F25302" s="3" t="s">
        <v>4079</v>
      </c>
      <c r="G25302" s="6">
        <v>3665.8</v>
      </c>
      <c r="H25302" s="5">
        <v>4999</v>
      </c>
    </row>
    <row r="25303" spans="2:8" ht="15" customHeight="1" x14ac:dyDescent="0.4">
      <c r="B25303" s="3" t="s">
        <v>7</v>
      </c>
      <c r="C25303" s="3" t="s">
        <v>1294</v>
      </c>
      <c r="D25303" s="4">
        <f t="shared" si="425"/>
        <v>41031</v>
      </c>
      <c r="E25303" s="5">
        <f t="shared" si="424"/>
        <v>2012</v>
      </c>
      <c r="F25303" s="3" t="s">
        <v>4079</v>
      </c>
      <c r="G25303" s="6">
        <v>7215.31</v>
      </c>
      <c r="H25303" s="5">
        <v>5026</v>
      </c>
    </row>
    <row r="25304" spans="2:8" ht="15" customHeight="1" x14ac:dyDescent="0.4">
      <c r="B25304" s="3" t="s">
        <v>7</v>
      </c>
      <c r="C25304" s="3" t="s">
        <v>1294</v>
      </c>
      <c r="D25304" s="4">
        <f t="shared" si="425"/>
        <v>41031</v>
      </c>
      <c r="E25304" s="5">
        <f t="shared" si="424"/>
        <v>2012</v>
      </c>
      <c r="F25304" s="3" t="s">
        <v>4079</v>
      </c>
      <c r="G25304" s="6">
        <v>3858.8</v>
      </c>
      <c r="H25304" s="5">
        <v>5017</v>
      </c>
    </row>
    <row r="25305" spans="2:8" ht="15" customHeight="1" x14ac:dyDescent="0.4">
      <c r="B25305" s="3" t="s">
        <v>7</v>
      </c>
      <c r="C25305" s="3" t="s">
        <v>1294</v>
      </c>
      <c r="D25305" s="4">
        <f t="shared" si="425"/>
        <v>41031</v>
      </c>
      <c r="E25305" s="5">
        <f t="shared" si="424"/>
        <v>2012</v>
      </c>
      <c r="F25305" s="3" t="s">
        <v>4079</v>
      </c>
      <c r="G25305" s="6">
        <v>5020.8</v>
      </c>
      <c r="H25305" s="5">
        <v>5019</v>
      </c>
    </row>
    <row r="25306" spans="2:8" ht="15" customHeight="1" x14ac:dyDescent="0.4">
      <c r="B25306" s="3" t="s">
        <v>7</v>
      </c>
      <c r="C25306" s="3" t="s">
        <v>1294</v>
      </c>
      <c r="D25306" s="4">
        <f t="shared" si="425"/>
        <v>41031</v>
      </c>
      <c r="E25306" s="5">
        <f t="shared" si="424"/>
        <v>2012</v>
      </c>
      <c r="F25306" s="3" t="s">
        <v>4079</v>
      </c>
      <c r="G25306" s="6">
        <v>5142.8</v>
      </c>
      <c r="H25306" s="5">
        <v>4951</v>
      </c>
    </row>
    <row r="25307" spans="2:8" ht="15" customHeight="1" x14ac:dyDescent="0.4">
      <c r="B25307" s="3" t="s">
        <v>7</v>
      </c>
      <c r="C25307" s="3" t="s">
        <v>1294</v>
      </c>
      <c r="D25307" s="4">
        <f t="shared" si="425"/>
        <v>41031</v>
      </c>
      <c r="E25307" s="5">
        <f t="shared" si="424"/>
        <v>2012</v>
      </c>
      <c r="F25307" s="3" t="s">
        <v>4079</v>
      </c>
      <c r="G25307" s="6">
        <v>3798.8</v>
      </c>
      <c r="H25307" s="5">
        <v>5018</v>
      </c>
    </row>
    <row r="25308" spans="2:8" ht="15" customHeight="1" x14ac:dyDescent="0.4">
      <c r="B25308" s="3" t="s">
        <v>7</v>
      </c>
      <c r="C25308" s="3" t="s">
        <v>1294</v>
      </c>
      <c r="D25308" s="4">
        <f t="shared" si="425"/>
        <v>41031</v>
      </c>
      <c r="E25308" s="5">
        <f t="shared" si="424"/>
        <v>2012</v>
      </c>
      <c r="F25308" s="3" t="s">
        <v>4079</v>
      </c>
      <c r="G25308" s="6">
        <v>6078.3</v>
      </c>
      <c r="H25308" s="5">
        <v>4953</v>
      </c>
    </row>
    <row r="25309" spans="2:8" ht="15" customHeight="1" x14ac:dyDescent="0.4">
      <c r="B25309" s="3" t="s">
        <v>7</v>
      </c>
      <c r="C25309" s="3" t="s">
        <v>1294</v>
      </c>
      <c r="D25309" s="4">
        <f t="shared" si="425"/>
        <v>41031</v>
      </c>
      <c r="E25309" s="5">
        <f t="shared" si="424"/>
        <v>2012</v>
      </c>
      <c r="F25309" s="3" t="s">
        <v>4079</v>
      </c>
      <c r="G25309" s="6">
        <v>6310.11</v>
      </c>
      <c r="H25309" s="5">
        <v>4991</v>
      </c>
    </row>
    <row r="25310" spans="2:8" ht="15" customHeight="1" x14ac:dyDescent="0.4">
      <c r="B25310" s="3" t="s">
        <v>7</v>
      </c>
      <c r="C25310" s="3" t="s">
        <v>1294</v>
      </c>
      <c r="D25310" s="4">
        <f>DATE(2012,5,16)</f>
        <v>41045</v>
      </c>
      <c r="E25310" s="5">
        <f t="shared" si="424"/>
        <v>2012</v>
      </c>
      <c r="F25310" s="3" t="s">
        <v>4079</v>
      </c>
      <c r="G25310" s="6">
        <v>5609.06</v>
      </c>
      <c r="H25310" s="5">
        <v>5027</v>
      </c>
    </row>
    <row r="25311" spans="2:8" ht="15" customHeight="1" x14ac:dyDescent="0.4">
      <c r="B25311" s="3" t="s">
        <v>7</v>
      </c>
      <c r="C25311" s="3" t="s">
        <v>1294</v>
      </c>
      <c r="D25311" s="4">
        <f>DATE(2012,5,15)</f>
        <v>41044</v>
      </c>
      <c r="E25311" s="5">
        <f t="shared" si="424"/>
        <v>2012</v>
      </c>
      <c r="F25311" s="3" t="s">
        <v>4079</v>
      </c>
      <c r="G25311" s="6">
        <v>20252.02</v>
      </c>
      <c r="H25311" s="5">
        <v>4923</v>
      </c>
    </row>
    <row r="25312" spans="2:8" ht="15" customHeight="1" x14ac:dyDescent="0.4">
      <c r="B25312" s="3" t="s">
        <v>7</v>
      </c>
      <c r="C25312" s="3" t="s">
        <v>1294</v>
      </c>
      <c r="D25312" s="4">
        <f>DATE(2012,5,16)</f>
        <v>41045</v>
      </c>
      <c r="E25312" s="5">
        <f t="shared" si="424"/>
        <v>2012</v>
      </c>
      <c r="F25312" s="3" t="s">
        <v>4079</v>
      </c>
      <c r="G25312" s="6">
        <v>12375.37</v>
      </c>
      <c r="H25312" s="5">
        <v>4961</v>
      </c>
    </row>
    <row r="25313" spans="2:8" ht="15" customHeight="1" x14ac:dyDescent="0.4">
      <c r="B25313" s="3" t="s">
        <v>7</v>
      </c>
      <c r="C25313" s="3" t="s">
        <v>1294</v>
      </c>
      <c r="D25313" s="4">
        <f>DATE(2012,5,15)</f>
        <v>41044</v>
      </c>
      <c r="E25313" s="5">
        <f t="shared" si="424"/>
        <v>2012</v>
      </c>
      <c r="F25313" s="3" t="s">
        <v>4079</v>
      </c>
      <c r="G25313" s="6">
        <v>15853.22</v>
      </c>
      <c r="H25313" s="5">
        <v>5046</v>
      </c>
    </row>
    <row r="25314" spans="2:8" ht="15" customHeight="1" x14ac:dyDescent="0.4">
      <c r="B25314" s="3" t="s">
        <v>7</v>
      </c>
      <c r="C25314" s="3" t="s">
        <v>1294</v>
      </c>
      <c r="D25314" s="4">
        <f>DATE(2012,5,15)</f>
        <v>41044</v>
      </c>
      <c r="E25314" s="5">
        <f t="shared" si="424"/>
        <v>2012</v>
      </c>
      <c r="F25314" s="3" t="s">
        <v>4079</v>
      </c>
      <c r="G25314" s="6">
        <v>2333</v>
      </c>
      <c r="H25314" s="5">
        <v>5041</v>
      </c>
    </row>
    <row r="25315" spans="2:8" ht="15" customHeight="1" x14ac:dyDescent="0.4">
      <c r="B25315" s="3" t="s">
        <v>7</v>
      </c>
      <c r="C25315" s="3" t="s">
        <v>1294</v>
      </c>
      <c r="D25315" s="4">
        <f>DATE(2012,5,15)</f>
        <v>41044</v>
      </c>
      <c r="E25315" s="5">
        <f t="shared" si="424"/>
        <v>2012</v>
      </c>
      <c r="F25315" s="3" t="s">
        <v>4079</v>
      </c>
      <c r="G25315" s="6">
        <v>3232.8</v>
      </c>
      <c r="H25315" s="5">
        <v>5040</v>
      </c>
    </row>
    <row r="25316" spans="2:8" ht="15" customHeight="1" x14ac:dyDescent="0.4">
      <c r="B25316" s="3" t="s">
        <v>7</v>
      </c>
      <c r="C25316" s="3" t="s">
        <v>1294</v>
      </c>
      <c r="D25316" s="4">
        <f>DATE(2012,5,15)</f>
        <v>41044</v>
      </c>
      <c r="E25316" s="5">
        <f t="shared" si="424"/>
        <v>2012</v>
      </c>
      <c r="F25316" s="3" t="s">
        <v>4079</v>
      </c>
      <c r="G25316" s="6">
        <v>1093</v>
      </c>
      <c r="H25316" s="5">
        <v>5062</v>
      </c>
    </row>
    <row r="25317" spans="2:8" ht="15" customHeight="1" x14ac:dyDescent="0.4">
      <c r="B25317" s="3" t="s">
        <v>7</v>
      </c>
      <c r="C25317" s="3" t="s">
        <v>1294</v>
      </c>
      <c r="D25317" s="4">
        <f>DATE(2012,5,15)</f>
        <v>41044</v>
      </c>
      <c r="E25317" s="5">
        <f t="shared" si="424"/>
        <v>2012</v>
      </c>
      <c r="F25317" s="3" t="s">
        <v>4079</v>
      </c>
      <c r="G25317" s="6">
        <v>1965.8</v>
      </c>
      <c r="H25317" s="5">
        <v>5061</v>
      </c>
    </row>
    <row r="25318" spans="2:8" ht="15" customHeight="1" x14ac:dyDescent="0.4">
      <c r="B25318" s="3" t="s">
        <v>7</v>
      </c>
      <c r="C25318" s="3" t="s">
        <v>1294</v>
      </c>
      <c r="D25318" s="4">
        <f>DATE(2012,5,16)</f>
        <v>41045</v>
      </c>
      <c r="E25318" s="5">
        <f t="shared" si="424"/>
        <v>2012</v>
      </c>
      <c r="F25318" s="3" t="s">
        <v>4079</v>
      </c>
      <c r="G25318" s="6">
        <v>6318.06</v>
      </c>
      <c r="H25318" s="5">
        <v>4932</v>
      </c>
    </row>
    <row r="25319" spans="2:8" ht="15" customHeight="1" x14ac:dyDescent="0.4">
      <c r="B25319" s="3" t="s">
        <v>7</v>
      </c>
      <c r="C25319" s="3" t="s">
        <v>1294</v>
      </c>
      <c r="D25319" s="4">
        <f>DATE(2012,5,16)</f>
        <v>41045</v>
      </c>
      <c r="E25319" s="5">
        <f t="shared" si="424"/>
        <v>2012</v>
      </c>
      <c r="F25319" s="3" t="s">
        <v>4079</v>
      </c>
      <c r="G25319" s="6">
        <v>8075.56</v>
      </c>
      <c r="H25319" s="5">
        <v>4947</v>
      </c>
    </row>
    <row r="25320" spans="2:8" ht="15" customHeight="1" x14ac:dyDescent="0.4">
      <c r="B25320" s="3" t="s">
        <v>7</v>
      </c>
      <c r="C25320" s="3" t="s">
        <v>1294</v>
      </c>
      <c r="D25320" s="4">
        <f>DATE(2012,5,16)</f>
        <v>41045</v>
      </c>
      <c r="E25320" s="5">
        <f t="shared" si="424"/>
        <v>2012</v>
      </c>
      <c r="F25320" s="3" t="s">
        <v>4079</v>
      </c>
      <c r="G25320" s="6">
        <v>9731.06</v>
      </c>
      <c r="H25320" s="5">
        <v>5008</v>
      </c>
    </row>
    <row r="25321" spans="2:8" ht="15" customHeight="1" x14ac:dyDescent="0.4">
      <c r="B25321" s="3" t="s">
        <v>7</v>
      </c>
      <c r="C25321" s="3" t="s">
        <v>1294</v>
      </c>
      <c r="D25321" s="4">
        <f>DATE(2012,5,15)</f>
        <v>41044</v>
      </c>
      <c r="E25321" s="5">
        <f t="shared" si="424"/>
        <v>2012</v>
      </c>
      <c r="F25321" s="3" t="s">
        <v>4079</v>
      </c>
      <c r="G25321" s="6">
        <v>5108.8</v>
      </c>
      <c r="H25321" s="5">
        <v>5034</v>
      </c>
    </row>
    <row r="25322" spans="2:8" ht="15" customHeight="1" x14ac:dyDescent="0.4">
      <c r="B25322" s="3" t="s">
        <v>7</v>
      </c>
      <c r="C25322" s="3" t="s">
        <v>1294</v>
      </c>
      <c r="D25322" s="4">
        <f>DATE(2012,5,16)</f>
        <v>41045</v>
      </c>
      <c r="E25322" s="5">
        <f t="shared" si="424"/>
        <v>2012</v>
      </c>
      <c r="F25322" s="3" t="s">
        <v>4079</v>
      </c>
      <c r="G25322" s="6">
        <v>2252.8000000000002</v>
      </c>
      <c r="H25322" s="5">
        <v>4977</v>
      </c>
    </row>
    <row r="25323" spans="2:8" ht="15" customHeight="1" x14ac:dyDescent="0.4">
      <c r="B25323" s="3" t="s">
        <v>7</v>
      </c>
      <c r="C25323" s="3" t="s">
        <v>1294</v>
      </c>
      <c r="D25323" s="4">
        <f>DATE(2012,5,16)</f>
        <v>41045</v>
      </c>
      <c r="E25323" s="5">
        <f t="shared" si="424"/>
        <v>2012</v>
      </c>
      <c r="F25323" s="3" t="s">
        <v>4079</v>
      </c>
      <c r="G25323" s="6">
        <v>1375</v>
      </c>
      <c r="H25323" s="5">
        <v>4978</v>
      </c>
    </row>
    <row r="25324" spans="2:8" ht="15" customHeight="1" x14ac:dyDescent="0.4">
      <c r="B25324" s="3" t="s">
        <v>7</v>
      </c>
      <c r="C25324" s="3" t="s">
        <v>1294</v>
      </c>
      <c r="D25324" s="4">
        <f t="shared" ref="D25324:D25333" si="426">DATE(2012,6,4)</f>
        <v>41064</v>
      </c>
      <c r="E25324" s="5">
        <f t="shared" si="424"/>
        <v>2012</v>
      </c>
      <c r="F25324" s="3" t="s">
        <v>4079</v>
      </c>
      <c r="G25324" s="6">
        <v>11977.32</v>
      </c>
      <c r="H25324" s="5">
        <v>5047</v>
      </c>
    </row>
    <row r="25325" spans="2:8" ht="15" customHeight="1" x14ac:dyDescent="0.4">
      <c r="B25325" s="3" t="s">
        <v>7</v>
      </c>
      <c r="C25325" s="3" t="s">
        <v>1294</v>
      </c>
      <c r="D25325" s="4">
        <f t="shared" si="426"/>
        <v>41064</v>
      </c>
      <c r="E25325" s="5">
        <f t="shared" si="424"/>
        <v>2012</v>
      </c>
      <c r="F25325" s="3" t="s">
        <v>4079</v>
      </c>
      <c r="G25325" s="6">
        <v>14123.41</v>
      </c>
      <c r="H25325" s="5">
        <v>5049</v>
      </c>
    </row>
    <row r="25326" spans="2:8" ht="15" customHeight="1" x14ac:dyDescent="0.4">
      <c r="B25326" s="3" t="s">
        <v>7</v>
      </c>
      <c r="C25326" s="3" t="s">
        <v>1294</v>
      </c>
      <c r="D25326" s="4">
        <f t="shared" si="426"/>
        <v>41064</v>
      </c>
      <c r="E25326" s="5">
        <f t="shared" si="424"/>
        <v>2012</v>
      </c>
      <c r="F25326" s="3" t="s">
        <v>4079</v>
      </c>
      <c r="G25326" s="6">
        <v>18742.22</v>
      </c>
      <c r="H25326" s="5">
        <v>5050</v>
      </c>
    </row>
    <row r="25327" spans="2:8" ht="15" customHeight="1" x14ac:dyDescent="0.4">
      <c r="B25327" s="3" t="s">
        <v>7</v>
      </c>
      <c r="C25327" s="3" t="s">
        <v>1294</v>
      </c>
      <c r="D25327" s="4">
        <f t="shared" si="426"/>
        <v>41064</v>
      </c>
      <c r="E25327" s="5">
        <f t="shared" si="424"/>
        <v>2012</v>
      </c>
      <c r="F25327" s="3" t="s">
        <v>4079</v>
      </c>
      <c r="G25327" s="6">
        <v>10669.41</v>
      </c>
      <c r="H25327" s="5">
        <v>5051</v>
      </c>
    </row>
    <row r="25328" spans="2:8" ht="15" customHeight="1" x14ac:dyDescent="0.4">
      <c r="B25328" s="3" t="s">
        <v>7</v>
      </c>
      <c r="C25328" s="3" t="s">
        <v>1294</v>
      </c>
      <c r="D25328" s="4">
        <f t="shared" si="426"/>
        <v>41064</v>
      </c>
      <c r="E25328" s="5">
        <f t="shared" si="424"/>
        <v>2012</v>
      </c>
      <c r="F25328" s="3" t="s">
        <v>4079</v>
      </c>
      <c r="G25328" s="6">
        <v>9875.2199999999993</v>
      </c>
      <c r="H25328" s="5">
        <v>5052</v>
      </c>
    </row>
    <row r="25329" spans="2:8" ht="15" customHeight="1" x14ac:dyDescent="0.4">
      <c r="B25329" s="3" t="s">
        <v>7</v>
      </c>
      <c r="C25329" s="3" t="s">
        <v>1294</v>
      </c>
      <c r="D25329" s="4">
        <f t="shared" si="426"/>
        <v>41064</v>
      </c>
      <c r="E25329" s="5">
        <f t="shared" si="424"/>
        <v>2012</v>
      </c>
      <c r="F25329" s="3" t="s">
        <v>4079</v>
      </c>
      <c r="G25329" s="6">
        <v>12903.11</v>
      </c>
      <c r="H25329" s="5">
        <v>5053</v>
      </c>
    </row>
    <row r="25330" spans="2:8" ht="15" customHeight="1" x14ac:dyDescent="0.4">
      <c r="B25330" s="3" t="s">
        <v>7</v>
      </c>
      <c r="C25330" s="3" t="s">
        <v>1294</v>
      </c>
      <c r="D25330" s="4">
        <f t="shared" si="426"/>
        <v>41064</v>
      </c>
      <c r="E25330" s="5">
        <f t="shared" si="424"/>
        <v>2012</v>
      </c>
      <c r="F25330" s="3" t="s">
        <v>4079</v>
      </c>
      <c r="G25330" s="6">
        <v>20573.91</v>
      </c>
      <c r="H25330" s="5">
        <v>5048</v>
      </c>
    </row>
    <row r="25331" spans="2:8" ht="15" customHeight="1" x14ac:dyDescent="0.4">
      <c r="B25331" s="3" t="s">
        <v>7</v>
      </c>
      <c r="C25331" s="3" t="s">
        <v>1294</v>
      </c>
      <c r="D25331" s="4">
        <f t="shared" si="426"/>
        <v>41064</v>
      </c>
      <c r="E25331" s="5">
        <f t="shared" si="424"/>
        <v>2012</v>
      </c>
      <c r="F25331" s="3" t="s">
        <v>4079</v>
      </c>
      <c r="G25331" s="6">
        <v>3557.8</v>
      </c>
      <c r="H25331" s="5">
        <v>5089</v>
      </c>
    </row>
    <row r="25332" spans="2:8" ht="15" customHeight="1" x14ac:dyDescent="0.4">
      <c r="B25332" s="3" t="s">
        <v>7</v>
      </c>
      <c r="C25332" s="3" t="s">
        <v>1294</v>
      </c>
      <c r="D25332" s="4">
        <f t="shared" si="426"/>
        <v>41064</v>
      </c>
      <c r="E25332" s="5">
        <f t="shared" si="424"/>
        <v>2012</v>
      </c>
      <c r="F25332" s="3" t="s">
        <v>4079</v>
      </c>
      <c r="G25332" s="6">
        <v>12181.41</v>
      </c>
      <c r="H25332" s="5">
        <v>5100</v>
      </c>
    </row>
    <row r="25333" spans="2:8" ht="15" customHeight="1" x14ac:dyDescent="0.4">
      <c r="B25333" s="3" t="s">
        <v>7</v>
      </c>
      <c r="C25333" s="3" t="s">
        <v>1294</v>
      </c>
      <c r="D25333" s="4">
        <f t="shared" si="426"/>
        <v>41064</v>
      </c>
      <c r="E25333" s="5">
        <f t="shared" si="424"/>
        <v>2012</v>
      </c>
      <c r="F25333" s="3" t="s">
        <v>4079</v>
      </c>
      <c r="G25333" s="6">
        <v>3618.8</v>
      </c>
      <c r="H25333" s="5">
        <v>5099</v>
      </c>
    </row>
    <row r="25334" spans="2:8" ht="15" customHeight="1" x14ac:dyDescent="0.4">
      <c r="B25334" s="3" t="s">
        <v>7</v>
      </c>
      <c r="C25334" s="3" t="s">
        <v>1294</v>
      </c>
      <c r="D25334" s="4">
        <f t="shared" ref="D25334:D25345" si="427">DATE(2012,6,29)</f>
        <v>41089</v>
      </c>
      <c r="E25334" s="5">
        <f t="shared" si="424"/>
        <v>2012</v>
      </c>
      <c r="F25334" s="3" t="s">
        <v>4079</v>
      </c>
      <c r="G25334" s="6">
        <v>4290.21</v>
      </c>
      <c r="H25334" s="5">
        <v>5069</v>
      </c>
    </row>
    <row r="25335" spans="2:8" ht="15" customHeight="1" x14ac:dyDescent="0.4">
      <c r="B25335" s="3" t="s">
        <v>7</v>
      </c>
      <c r="C25335" s="3" t="s">
        <v>1294</v>
      </c>
      <c r="D25335" s="4">
        <f t="shared" si="427"/>
        <v>41089</v>
      </c>
      <c r="E25335" s="5">
        <f t="shared" si="424"/>
        <v>2012</v>
      </c>
      <c r="F25335" s="3" t="s">
        <v>4079</v>
      </c>
      <c r="G25335" s="6">
        <v>3271</v>
      </c>
      <c r="H25335" s="5">
        <v>5073</v>
      </c>
    </row>
    <row r="25336" spans="2:8" ht="15" customHeight="1" x14ac:dyDescent="0.4">
      <c r="B25336" s="3" t="s">
        <v>7</v>
      </c>
      <c r="C25336" s="3" t="s">
        <v>1294</v>
      </c>
      <c r="D25336" s="4">
        <f t="shared" si="427"/>
        <v>41089</v>
      </c>
      <c r="E25336" s="5">
        <f t="shared" si="424"/>
        <v>2012</v>
      </c>
      <c r="F25336" s="3" t="s">
        <v>4079</v>
      </c>
      <c r="G25336" s="6">
        <v>5784.01</v>
      </c>
      <c r="H25336" s="5">
        <v>5072</v>
      </c>
    </row>
    <row r="25337" spans="2:8" ht="15" customHeight="1" x14ac:dyDescent="0.4">
      <c r="B25337" s="3" t="s">
        <v>7</v>
      </c>
      <c r="C25337" s="3" t="s">
        <v>1294</v>
      </c>
      <c r="D25337" s="4">
        <f t="shared" si="427"/>
        <v>41089</v>
      </c>
      <c r="E25337" s="5">
        <f t="shared" si="424"/>
        <v>2012</v>
      </c>
      <c r="F25337" s="3" t="s">
        <v>4079</v>
      </c>
      <c r="G25337" s="6">
        <v>4608.5</v>
      </c>
      <c r="H25337" s="5">
        <v>5070</v>
      </c>
    </row>
    <row r="25338" spans="2:8" ht="15" customHeight="1" x14ac:dyDescent="0.4">
      <c r="B25338" s="3" t="s">
        <v>7</v>
      </c>
      <c r="C25338" s="3" t="s">
        <v>1294</v>
      </c>
      <c r="D25338" s="4">
        <f t="shared" si="427"/>
        <v>41089</v>
      </c>
      <c r="E25338" s="5">
        <f t="shared" si="424"/>
        <v>2012</v>
      </c>
      <c r="F25338" s="3" t="s">
        <v>4079</v>
      </c>
      <c r="G25338" s="6">
        <v>6851.01</v>
      </c>
      <c r="H25338" s="5">
        <v>5135</v>
      </c>
    </row>
    <row r="25339" spans="2:8" ht="15" customHeight="1" x14ac:dyDescent="0.4">
      <c r="B25339" s="3" t="s">
        <v>7</v>
      </c>
      <c r="C25339" s="3" t="s">
        <v>1294</v>
      </c>
      <c r="D25339" s="4">
        <f t="shared" si="427"/>
        <v>41089</v>
      </c>
      <c r="E25339" s="5">
        <f t="shared" si="424"/>
        <v>2012</v>
      </c>
      <c r="F25339" s="3" t="s">
        <v>4079</v>
      </c>
      <c r="G25339" s="6">
        <v>4435.01</v>
      </c>
      <c r="H25339" s="5">
        <v>5136</v>
      </c>
    </row>
    <row r="25340" spans="2:8" ht="15" customHeight="1" x14ac:dyDescent="0.4">
      <c r="B25340" s="3" t="s">
        <v>7</v>
      </c>
      <c r="C25340" s="3" t="s">
        <v>1294</v>
      </c>
      <c r="D25340" s="4">
        <f t="shared" si="427"/>
        <v>41089</v>
      </c>
      <c r="E25340" s="5">
        <f t="shared" si="424"/>
        <v>2012</v>
      </c>
      <c r="F25340" s="3" t="s">
        <v>4079</v>
      </c>
      <c r="G25340" s="6">
        <v>9428.31</v>
      </c>
      <c r="H25340" s="5">
        <v>5068</v>
      </c>
    </row>
    <row r="25341" spans="2:8" ht="15" customHeight="1" x14ac:dyDescent="0.4">
      <c r="B25341" s="3" t="s">
        <v>7</v>
      </c>
      <c r="C25341" s="3" t="s">
        <v>1294</v>
      </c>
      <c r="D25341" s="4">
        <f t="shared" si="427"/>
        <v>41089</v>
      </c>
      <c r="E25341" s="5">
        <f t="shared" si="424"/>
        <v>2012</v>
      </c>
      <c r="F25341" s="3" t="s">
        <v>4079</v>
      </c>
      <c r="G25341" s="6">
        <v>8994.91</v>
      </c>
      <c r="H25341" s="5">
        <v>5066</v>
      </c>
    </row>
    <row r="25342" spans="2:8" ht="15" customHeight="1" x14ac:dyDescent="0.4">
      <c r="B25342" s="3" t="s">
        <v>7</v>
      </c>
      <c r="C25342" s="3" t="s">
        <v>1294</v>
      </c>
      <c r="D25342" s="4">
        <f t="shared" si="427"/>
        <v>41089</v>
      </c>
      <c r="E25342" s="5">
        <f t="shared" si="424"/>
        <v>2012</v>
      </c>
      <c r="F25342" s="3" t="s">
        <v>4079</v>
      </c>
      <c r="G25342" s="6">
        <v>6339.91</v>
      </c>
      <c r="H25342" s="5">
        <v>5065</v>
      </c>
    </row>
    <row r="25343" spans="2:8" ht="15" customHeight="1" x14ac:dyDescent="0.4">
      <c r="B25343" s="3" t="s">
        <v>7</v>
      </c>
      <c r="C25343" s="3" t="s">
        <v>1294</v>
      </c>
      <c r="D25343" s="4">
        <f t="shared" si="427"/>
        <v>41089</v>
      </c>
      <c r="E25343" s="5">
        <f t="shared" si="424"/>
        <v>2012</v>
      </c>
      <c r="F25343" s="3" t="s">
        <v>4079</v>
      </c>
      <c r="G25343" s="6">
        <v>6087.41</v>
      </c>
      <c r="H25343" s="5">
        <v>5064</v>
      </c>
    </row>
    <row r="25344" spans="2:8" ht="15" customHeight="1" x14ac:dyDescent="0.4">
      <c r="B25344" s="3" t="s">
        <v>7</v>
      </c>
      <c r="C25344" s="3" t="s">
        <v>1294</v>
      </c>
      <c r="D25344" s="4">
        <f t="shared" si="427"/>
        <v>41089</v>
      </c>
      <c r="E25344" s="5">
        <f t="shared" si="424"/>
        <v>2012</v>
      </c>
      <c r="F25344" s="3" t="s">
        <v>4079</v>
      </c>
      <c r="G25344" s="6">
        <v>3564.8</v>
      </c>
      <c r="H25344" s="5">
        <v>5063</v>
      </c>
    </row>
    <row r="25345" spans="2:8" ht="15" customHeight="1" x14ac:dyDescent="0.4">
      <c r="B25345" s="3" t="s">
        <v>7</v>
      </c>
      <c r="C25345" s="3" t="s">
        <v>1294</v>
      </c>
      <c r="D25345" s="4">
        <f t="shared" si="427"/>
        <v>41089</v>
      </c>
      <c r="E25345" s="5">
        <f t="shared" si="424"/>
        <v>2012</v>
      </c>
      <c r="F25345" s="3" t="s">
        <v>4079</v>
      </c>
      <c r="G25345" s="6">
        <v>6066.91</v>
      </c>
      <c r="H25345" s="5">
        <v>5126</v>
      </c>
    </row>
    <row r="25346" spans="2:8" ht="15" customHeight="1" x14ac:dyDescent="0.4">
      <c r="B25346" s="3" t="s">
        <v>7</v>
      </c>
      <c r="C25346" s="3" t="s">
        <v>1294</v>
      </c>
      <c r="D25346" s="4">
        <f>DATE(2012,7,9)</f>
        <v>41099</v>
      </c>
      <c r="E25346" s="5">
        <f t="shared" si="424"/>
        <v>2012</v>
      </c>
      <c r="F25346" s="3" t="s">
        <v>4079</v>
      </c>
      <c r="G25346" s="6">
        <v>84390.58</v>
      </c>
      <c r="H25346" s="5">
        <v>5112</v>
      </c>
    </row>
    <row r="25347" spans="2:8" ht="15" customHeight="1" x14ac:dyDescent="0.4">
      <c r="B25347" s="3" t="s">
        <v>7</v>
      </c>
      <c r="C25347" s="3" t="s">
        <v>1294</v>
      </c>
      <c r="D25347" s="4">
        <f>DATE(2012,7,6)</f>
        <v>41096</v>
      </c>
      <c r="E25347" s="5">
        <f t="shared" ref="E25347:E25410" si="428">YEAR(D25347)</f>
        <v>2012</v>
      </c>
      <c r="F25347" s="3" t="s">
        <v>4079</v>
      </c>
      <c r="G25347" s="6">
        <v>26100.42</v>
      </c>
      <c r="H25347" s="5">
        <v>5074</v>
      </c>
    </row>
    <row r="25348" spans="2:8" ht="15" customHeight="1" x14ac:dyDescent="0.4">
      <c r="B25348" s="3" t="s">
        <v>7</v>
      </c>
      <c r="C25348" s="3" t="s">
        <v>1294</v>
      </c>
      <c r="D25348" s="4">
        <f>DATE(2012,7,6)</f>
        <v>41096</v>
      </c>
      <c r="E25348" s="5">
        <f t="shared" si="428"/>
        <v>2012</v>
      </c>
      <c r="F25348" s="3" t="s">
        <v>4079</v>
      </c>
      <c r="G25348" s="6">
        <v>6469.91</v>
      </c>
      <c r="H25348" s="5">
        <v>5071</v>
      </c>
    </row>
    <row r="25349" spans="2:8" ht="15" customHeight="1" x14ac:dyDescent="0.4">
      <c r="B25349" s="3" t="s">
        <v>7</v>
      </c>
      <c r="C25349" s="3" t="s">
        <v>1294</v>
      </c>
      <c r="D25349" s="4">
        <f>DATE(2012,7,9)</f>
        <v>41099</v>
      </c>
      <c r="E25349" s="5">
        <f t="shared" si="428"/>
        <v>2012</v>
      </c>
      <c r="F25349" s="3" t="s">
        <v>4079</v>
      </c>
      <c r="G25349" s="6">
        <v>4544.8</v>
      </c>
      <c r="H25349" s="5">
        <v>5145</v>
      </c>
    </row>
    <row r="25350" spans="2:8" ht="15" customHeight="1" x14ac:dyDescent="0.4">
      <c r="B25350" s="3" t="s">
        <v>7</v>
      </c>
      <c r="C25350" s="3" t="s">
        <v>1294</v>
      </c>
      <c r="D25350" s="4">
        <f>DATE(2012,7,9)</f>
        <v>41099</v>
      </c>
      <c r="E25350" s="5">
        <f t="shared" si="428"/>
        <v>2012</v>
      </c>
      <c r="F25350" s="3" t="s">
        <v>4079</v>
      </c>
      <c r="G25350" s="6">
        <v>45825.01</v>
      </c>
      <c r="H25350" s="5">
        <v>5134</v>
      </c>
    </row>
    <row r="25351" spans="2:8" ht="15" customHeight="1" x14ac:dyDescent="0.4">
      <c r="B25351" s="3" t="s">
        <v>7</v>
      </c>
      <c r="C25351" s="3" t="s">
        <v>1294</v>
      </c>
      <c r="D25351" s="4">
        <f>DATE(2012,7,12)</f>
        <v>41102</v>
      </c>
      <c r="E25351" s="5">
        <f t="shared" si="428"/>
        <v>2012</v>
      </c>
      <c r="F25351" s="3" t="s">
        <v>4079</v>
      </c>
      <c r="G25351" s="6">
        <v>33243.64</v>
      </c>
      <c r="H25351" s="5">
        <v>4958</v>
      </c>
    </row>
    <row r="25352" spans="2:8" ht="15" customHeight="1" x14ac:dyDescent="0.4">
      <c r="B25352" s="3" t="s">
        <v>7</v>
      </c>
      <c r="C25352" s="3" t="s">
        <v>1294</v>
      </c>
      <c r="D25352" s="4">
        <f>DATE(2012,7,12)</f>
        <v>41102</v>
      </c>
      <c r="E25352" s="5">
        <f t="shared" si="428"/>
        <v>2012</v>
      </c>
      <c r="F25352" s="3" t="s">
        <v>4079</v>
      </c>
      <c r="G25352" s="6">
        <v>11378.42</v>
      </c>
      <c r="H25352" s="5">
        <v>5067</v>
      </c>
    </row>
    <row r="25353" spans="2:8" ht="15" customHeight="1" x14ac:dyDescent="0.4">
      <c r="B25353" s="3" t="s">
        <v>7</v>
      </c>
      <c r="C25353" s="3" t="s">
        <v>1294</v>
      </c>
      <c r="D25353" s="4">
        <f>DATE(2012,7,12)</f>
        <v>41102</v>
      </c>
      <c r="E25353" s="5">
        <f t="shared" si="428"/>
        <v>2012</v>
      </c>
      <c r="F25353" s="3" t="s">
        <v>4079</v>
      </c>
      <c r="G25353" s="6">
        <v>10995.41</v>
      </c>
      <c r="H25353" s="5">
        <v>5090</v>
      </c>
    </row>
    <row r="25354" spans="2:8" ht="15" customHeight="1" x14ac:dyDescent="0.4">
      <c r="B25354" s="3" t="s">
        <v>7</v>
      </c>
      <c r="C25354" s="3" t="s">
        <v>1294</v>
      </c>
      <c r="D25354" s="4">
        <f>DATE(2012,8,10)</f>
        <v>41131</v>
      </c>
      <c r="E25354" s="5">
        <f t="shared" si="428"/>
        <v>2012</v>
      </c>
      <c r="F25354" s="3" t="s">
        <v>4079</v>
      </c>
      <c r="G25354" s="6">
        <v>5014.3</v>
      </c>
      <c r="H25354" s="5">
        <v>5028</v>
      </c>
    </row>
    <row r="25355" spans="2:8" ht="15" customHeight="1" x14ac:dyDescent="0.4">
      <c r="B25355" s="3" t="s">
        <v>7</v>
      </c>
      <c r="C25355" s="3" t="s">
        <v>1294</v>
      </c>
      <c r="D25355" s="4">
        <f>DATE(2012,8,10)</f>
        <v>41131</v>
      </c>
      <c r="E25355" s="5">
        <f t="shared" si="428"/>
        <v>2012</v>
      </c>
      <c r="F25355" s="3" t="s">
        <v>4079</v>
      </c>
      <c r="G25355" s="6">
        <v>9854.91</v>
      </c>
      <c r="H25355" s="5">
        <v>5001</v>
      </c>
    </row>
    <row r="25356" spans="2:8" ht="15" customHeight="1" x14ac:dyDescent="0.4">
      <c r="B25356" s="3" t="s">
        <v>7</v>
      </c>
      <c r="C25356" s="3" t="s">
        <v>1294</v>
      </c>
      <c r="D25356" s="4">
        <f>DATE(2012,8,10)</f>
        <v>41131</v>
      </c>
      <c r="E25356" s="5">
        <f t="shared" si="428"/>
        <v>2012</v>
      </c>
      <c r="F25356" s="3" t="s">
        <v>4079</v>
      </c>
      <c r="G25356" s="6">
        <v>3003.8</v>
      </c>
      <c r="H25356" s="5">
        <v>5045</v>
      </c>
    </row>
    <row r="25357" spans="2:8" ht="15" customHeight="1" x14ac:dyDescent="0.4">
      <c r="B25357" s="3" t="s">
        <v>7</v>
      </c>
      <c r="C25357" s="3" t="s">
        <v>1294</v>
      </c>
      <c r="D25357" s="4">
        <f>DATE(2012,9,7)</f>
        <v>41159</v>
      </c>
      <c r="E25357" s="5">
        <f t="shared" si="428"/>
        <v>2012</v>
      </c>
      <c r="F25357" s="3" t="s">
        <v>4079</v>
      </c>
      <c r="G25357" s="6">
        <v>4720.01</v>
      </c>
      <c r="H25357" s="5">
        <v>5138</v>
      </c>
    </row>
    <row r="25358" spans="2:8" ht="15" customHeight="1" x14ac:dyDescent="0.4">
      <c r="B25358" s="3" t="s">
        <v>7</v>
      </c>
      <c r="C25358" s="3" t="s">
        <v>1294</v>
      </c>
      <c r="D25358" s="4">
        <f>DATE(2012,8,10)</f>
        <v>41131</v>
      </c>
      <c r="E25358" s="5">
        <f t="shared" si="428"/>
        <v>2012</v>
      </c>
      <c r="F25358" s="3" t="s">
        <v>4079</v>
      </c>
      <c r="G25358" s="6">
        <v>26243.23</v>
      </c>
      <c r="H25358" s="5">
        <v>5075</v>
      </c>
    </row>
    <row r="25359" spans="2:8" ht="15" customHeight="1" x14ac:dyDescent="0.4">
      <c r="B25359" s="3" t="s">
        <v>7</v>
      </c>
      <c r="C25359" s="3" t="s">
        <v>1294</v>
      </c>
      <c r="D25359" s="4">
        <f>DATE(2012,9,10)</f>
        <v>41162</v>
      </c>
      <c r="E25359" s="5">
        <f t="shared" si="428"/>
        <v>2012</v>
      </c>
      <c r="F25359" s="3" t="s">
        <v>4079</v>
      </c>
      <c r="G25359" s="6">
        <v>36719.410000000003</v>
      </c>
      <c r="H25359" s="5">
        <v>5185</v>
      </c>
    </row>
    <row r="25360" spans="2:8" ht="15" customHeight="1" x14ac:dyDescent="0.4">
      <c r="B25360" s="3" t="s">
        <v>7</v>
      </c>
      <c r="C25360" s="3" t="s">
        <v>1294</v>
      </c>
      <c r="D25360" s="4">
        <f>DATE(2012,9,17)</f>
        <v>41169</v>
      </c>
      <c r="E25360" s="5">
        <f t="shared" si="428"/>
        <v>2012</v>
      </c>
      <c r="F25360" s="3" t="s">
        <v>4079</v>
      </c>
      <c r="G25360" s="6">
        <v>41378.22</v>
      </c>
      <c r="H25360" s="5">
        <v>5192</v>
      </c>
    </row>
    <row r="25361" spans="2:8" ht="15" customHeight="1" x14ac:dyDescent="0.4">
      <c r="B25361" s="3" t="s">
        <v>7</v>
      </c>
      <c r="C25361" s="3" t="s">
        <v>1294</v>
      </c>
      <c r="D25361" s="4">
        <f>DATE(2012,12,10)</f>
        <v>41253</v>
      </c>
      <c r="E25361" s="5">
        <f t="shared" si="428"/>
        <v>2012</v>
      </c>
      <c r="F25361" s="3" t="s">
        <v>4079</v>
      </c>
      <c r="G25361" s="6">
        <v>11503.82</v>
      </c>
      <c r="H25361" s="5">
        <v>5242</v>
      </c>
    </row>
    <row r="25362" spans="2:8" ht="15" customHeight="1" x14ac:dyDescent="0.4">
      <c r="B25362" s="3" t="s">
        <v>7</v>
      </c>
      <c r="C25362" s="3" t="s">
        <v>1294</v>
      </c>
      <c r="D25362" s="4">
        <f>DATE(2012,12,11)</f>
        <v>41254</v>
      </c>
      <c r="E25362" s="5">
        <f t="shared" si="428"/>
        <v>2012</v>
      </c>
      <c r="F25362" s="3" t="s">
        <v>4079</v>
      </c>
      <c r="G25362" s="6">
        <v>20682.18</v>
      </c>
      <c r="H25362" s="5">
        <v>5243</v>
      </c>
    </row>
    <row r="25363" spans="2:8" ht="15" customHeight="1" x14ac:dyDescent="0.4">
      <c r="B25363" s="3" t="s">
        <v>7</v>
      </c>
      <c r="C25363" s="3" t="s">
        <v>1294</v>
      </c>
      <c r="D25363" s="4">
        <f>DATE(2013,1,28)</f>
        <v>41302</v>
      </c>
      <c r="E25363" s="5">
        <f t="shared" si="428"/>
        <v>2013</v>
      </c>
      <c r="F25363" s="3" t="s">
        <v>4079</v>
      </c>
      <c r="G25363" s="6">
        <v>21149.75</v>
      </c>
      <c r="H25363" s="5">
        <v>5380</v>
      </c>
    </row>
    <row r="25364" spans="2:8" ht="15" customHeight="1" x14ac:dyDescent="0.4">
      <c r="B25364" s="3" t="s">
        <v>7</v>
      </c>
      <c r="C25364" s="3" t="s">
        <v>1294</v>
      </c>
      <c r="D25364" s="4">
        <f>DATE(2013,5,13)</f>
        <v>41407</v>
      </c>
      <c r="E25364" s="5">
        <f t="shared" si="428"/>
        <v>2013</v>
      </c>
      <c r="F25364" s="3" t="s">
        <v>4079</v>
      </c>
      <c r="G25364" s="6">
        <v>148342.22</v>
      </c>
      <c r="H25364" s="5">
        <v>5341</v>
      </c>
    </row>
    <row r="25365" spans="2:8" ht="15" customHeight="1" x14ac:dyDescent="0.4">
      <c r="B25365" s="3" t="s">
        <v>7</v>
      </c>
      <c r="C25365" s="3" t="s">
        <v>1294</v>
      </c>
      <c r="D25365" s="4">
        <f>DATE(2013,5,13)</f>
        <v>41407</v>
      </c>
      <c r="E25365" s="5">
        <f t="shared" si="428"/>
        <v>2013</v>
      </c>
      <c r="F25365" s="3" t="s">
        <v>4079</v>
      </c>
      <c r="G25365" s="6">
        <v>29284.5</v>
      </c>
      <c r="H25365" s="5">
        <v>5388</v>
      </c>
    </row>
    <row r="25366" spans="2:8" ht="15" customHeight="1" x14ac:dyDescent="0.4">
      <c r="B25366" s="3" t="s">
        <v>7</v>
      </c>
      <c r="C25366" s="3" t="s">
        <v>1294</v>
      </c>
      <c r="D25366" s="4">
        <f>DATE(2012,3,28)</f>
        <v>40996</v>
      </c>
      <c r="E25366" s="5">
        <f t="shared" si="428"/>
        <v>2012</v>
      </c>
      <c r="F25366" s="3" t="s">
        <v>4079</v>
      </c>
      <c r="G25366" s="6">
        <v>6540</v>
      </c>
      <c r="H25366" s="5">
        <v>4814</v>
      </c>
    </row>
    <row r="25367" spans="2:8" ht="15" customHeight="1" x14ac:dyDescent="0.4">
      <c r="B25367" s="3" t="s">
        <v>7</v>
      </c>
      <c r="C25367" s="3" t="s">
        <v>1294</v>
      </c>
      <c r="D25367" s="4">
        <f>DATE(2012,12,19)</f>
        <v>41262</v>
      </c>
      <c r="E25367" s="5">
        <f t="shared" si="428"/>
        <v>2012</v>
      </c>
      <c r="F25367" s="3" t="s">
        <v>4079</v>
      </c>
      <c r="G25367" s="6">
        <v>61285.41</v>
      </c>
      <c r="H25367" s="5">
        <v>5220</v>
      </c>
    </row>
    <row r="25368" spans="2:8" ht="15" customHeight="1" x14ac:dyDescent="0.4">
      <c r="B25368" t="s">
        <v>7</v>
      </c>
      <c r="C25368" t="s">
        <v>1294</v>
      </c>
      <c r="D25368" s="7">
        <f>DATE(2017,6,21)</f>
        <v>42907</v>
      </c>
      <c r="E25368" s="8">
        <f t="shared" si="428"/>
        <v>2017</v>
      </c>
      <c r="F25368" t="s">
        <v>4080</v>
      </c>
      <c r="G25368" s="9">
        <v>22730.52</v>
      </c>
      <c r="H25368" s="8">
        <v>25052</v>
      </c>
    </row>
    <row r="25369" spans="2:8" ht="15" customHeight="1" x14ac:dyDescent="0.4">
      <c r="B25369" t="s">
        <v>7</v>
      </c>
      <c r="C25369" t="s">
        <v>1294</v>
      </c>
      <c r="D25369" s="7">
        <f>DATE(2017,10,10)</f>
        <v>43018</v>
      </c>
      <c r="E25369" s="8">
        <f t="shared" si="428"/>
        <v>2017</v>
      </c>
      <c r="F25369" t="s">
        <v>4080</v>
      </c>
      <c r="G25369" s="9">
        <v>42121.34</v>
      </c>
      <c r="H25369" s="8">
        <v>25153</v>
      </c>
    </row>
    <row r="25370" spans="2:8" ht="15" customHeight="1" x14ac:dyDescent="0.4">
      <c r="B25370" t="s">
        <v>7</v>
      </c>
      <c r="C25370" t="s">
        <v>1294</v>
      </c>
      <c r="D25370" s="7">
        <f>DATE(2017,11,7)</f>
        <v>43046</v>
      </c>
      <c r="E25370" s="8">
        <f t="shared" si="428"/>
        <v>2017</v>
      </c>
      <c r="F25370" t="s">
        <v>4080</v>
      </c>
      <c r="G25370" s="9">
        <v>412693.47</v>
      </c>
      <c r="H25370" s="8">
        <v>25008</v>
      </c>
    </row>
    <row r="25371" spans="2:8" ht="15" customHeight="1" x14ac:dyDescent="0.4">
      <c r="B25371" t="s">
        <v>7</v>
      </c>
      <c r="C25371" t="s">
        <v>4081</v>
      </c>
      <c r="D25371" s="7">
        <f>DATE(2005,8,12)</f>
        <v>38576</v>
      </c>
      <c r="E25371" s="8">
        <f t="shared" si="428"/>
        <v>2005</v>
      </c>
      <c r="F25371" t="s">
        <v>4082</v>
      </c>
      <c r="G25371" s="9">
        <v>4410.16</v>
      </c>
      <c r="H25371" s="8">
        <v>3443</v>
      </c>
    </row>
    <row r="25372" spans="2:8" ht="15" customHeight="1" x14ac:dyDescent="0.4">
      <c r="B25372" s="3" t="s">
        <v>7</v>
      </c>
      <c r="C25372" s="3" t="s">
        <v>4081</v>
      </c>
      <c r="D25372" s="4">
        <f>DATE(2011,11,7)</f>
        <v>40854</v>
      </c>
      <c r="E25372" s="5">
        <f t="shared" si="428"/>
        <v>2011</v>
      </c>
      <c r="F25372" s="3" t="s">
        <v>4082</v>
      </c>
      <c r="G25372" s="6">
        <v>4985</v>
      </c>
      <c r="H25372" s="5">
        <v>4505</v>
      </c>
    </row>
    <row r="25373" spans="2:8" ht="15" customHeight="1" x14ac:dyDescent="0.4">
      <c r="B25373" s="3" t="s">
        <v>7</v>
      </c>
      <c r="C25373" s="3" t="s">
        <v>4081</v>
      </c>
      <c r="D25373" s="4">
        <f>DATE(2011,11,7)</f>
        <v>40854</v>
      </c>
      <c r="E25373" s="5">
        <f t="shared" si="428"/>
        <v>2011</v>
      </c>
      <c r="F25373" s="3" t="s">
        <v>4082</v>
      </c>
      <c r="G25373" s="6">
        <v>1190</v>
      </c>
      <c r="H25373" s="5">
        <v>4505</v>
      </c>
    </row>
    <row r="25374" spans="2:8" ht="15" customHeight="1" x14ac:dyDescent="0.4">
      <c r="B25374" s="3" t="s">
        <v>7</v>
      </c>
      <c r="C25374" s="3" t="s">
        <v>4081</v>
      </c>
      <c r="D25374" s="4">
        <f>DATE(2011,11,7)</f>
        <v>40854</v>
      </c>
      <c r="E25374" s="5">
        <f t="shared" si="428"/>
        <v>2011</v>
      </c>
      <c r="F25374" s="3" t="s">
        <v>4082</v>
      </c>
      <c r="G25374" s="6">
        <v>6060.32</v>
      </c>
      <c r="H25374" s="5">
        <v>4505</v>
      </c>
    </row>
    <row r="25375" spans="2:8" ht="15" customHeight="1" x14ac:dyDescent="0.4">
      <c r="B25375" s="3" t="s">
        <v>7</v>
      </c>
      <c r="C25375" s="3" t="s">
        <v>4081</v>
      </c>
      <c r="D25375" s="4">
        <f>DATE(2011,11,7)</f>
        <v>40854</v>
      </c>
      <c r="E25375" s="5">
        <f t="shared" si="428"/>
        <v>2011</v>
      </c>
      <c r="F25375" s="3" t="s">
        <v>4082</v>
      </c>
      <c r="G25375" s="6">
        <v>1676.45</v>
      </c>
      <c r="H25375" s="5">
        <v>4505</v>
      </c>
    </row>
    <row r="25376" spans="2:8" ht="15" customHeight="1" x14ac:dyDescent="0.4">
      <c r="B25376" t="s">
        <v>7</v>
      </c>
      <c r="C25376" t="s">
        <v>4081</v>
      </c>
      <c r="D25376" s="7">
        <f>DATE(2016,6,29)</f>
        <v>42550</v>
      </c>
      <c r="E25376" s="8">
        <f t="shared" si="428"/>
        <v>2016</v>
      </c>
      <c r="F25376" t="s">
        <v>4083</v>
      </c>
      <c r="G25376" s="9">
        <v>4361</v>
      </c>
      <c r="H25376" s="8">
        <v>23063</v>
      </c>
    </row>
    <row r="25377" spans="2:8" ht="15" customHeight="1" x14ac:dyDescent="0.4">
      <c r="B25377" t="s">
        <v>7</v>
      </c>
      <c r="C25377" t="s">
        <v>4081</v>
      </c>
      <c r="D25377" s="7">
        <f>DATE(2016,6,29)</f>
        <v>42550</v>
      </c>
      <c r="E25377" s="8">
        <f t="shared" si="428"/>
        <v>2016</v>
      </c>
      <c r="F25377" t="s">
        <v>4083</v>
      </c>
      <c r="G25377" s="9">
        <v>10885.08</v>
      </c>
      <c r="H25377" s="8">
        <v>22971</v>
      </c>
    </row>
    <row r="25378" spans="2:8" ht="15" customHeight="1" x14ac:dyDescent="0.4">
      <c r="B25378" s="3" t="s">
        <v>7</v>
      </c>
      <c r="C25378" s="3" t="s">
        <v>4081</v>
      </c>
      <c r="D25378" s="4">
        <f>DATE(2012,9,7)</f>
        <v>41159</v>
      </c>
      <c r="E25378" s="5">
        <f t="shared" si="428"/>
        <v>2012</v>
      </c>
      <c r="F25378" s="3" t="s">
        <v>4083</v>
      </c>
      <c r="G25378" s="6">
        <v>3995</v>
      </c>
      <c r="H25378" s="5">
        <v>5139</v>
      </c>
    </row>
    <row r="25379" spans="2:8" ht="15" customHeight="1" x14ac:dyDescent="0.4">
      <c r="B25379" s="3" t="s">
        <v>7</v>
      </c>
      <c r="C25379" s="3" t="s">
        <v>4081</v>
      </c>
      <c r="D25379" s="4">
        <f>DATE(2012,9,7)</f>
        <v>41159</v>
      </c>
      <c r="E25379" s="5">
        <f t="shared" si="428"/>
        <v>2012</v>
      </c>
      <c r="F25379" s="3" t="s">
        <v>4083</v>
      </c>
      <c r="G25379" s="6">
        <v>27630.35</v>
      </c>
      <c r="H25379" s="5">
        <v>5139</v>
      </c>
    </row>
    <row r="25380" spans="2:8" ht="15" customHeight="1" x14ac:dyDescent="0.4">
      <c r="B25380" s="3" t="s">
        <v>7</v>
      </c>
      <c r="C25380" s="3" t="s">
        <v>4081</v>
      </c>
      <c r="D25380" s="4">
        <f>DATE(2012,9,6)</f>
        <v>41158</v>
      </c>
      <c r="E25380" s="5">
        <f t="shared" si="428"/>
        <v>2012</v>
      </c>
      <c r="F25380" s="3" t="s">
        <v>4083</v>
      </c>
      <c r="G25380" s="6">
        <v>20118.77</v>
      </c>
      <c r="H25380" s="5">
        <v>5165</v>
      </c>
    </row>
    <row r="25381" spans="2:8" ht="15" customHeight="1" x14ac:dyDescent="0.4">
      <c r="B25381" s="3" t="s">
        <v>7</v>
      </c>
      <c r="C25381" s="3" t="s">
        <v>4081</v>
      </c>
      <c r="D25381" s="4">
        <f>DATE(2012,9,7)</f>
        <v>41159</v>
      </c>
      <c r="E25381" s="5">
        <f t="shared" si="428"/>
        <v>2012</v>
      </c>
      <c r="F25381" s="3" t="s">
        <v>4083</v>
      </c>
      <c r="G25381" s="6">
        <v>26279.69</v>
      </c>
      <c r="H25381" s="5">
        <v>5169</v>
      </c>
    </row>
    <row r="25382" spans="2:8" ht="15" customHeight="1" x14ac:dyDescent="0.4">
      <c r="B25382" s="3" t="s">
        <v>7</v>
      </c>
      <c r="C25382" s="3" t="s">
        <v>4081</v>
      </c>
      <c r="D25382" s="4">
        <f>DATE(2013,10,15)</f>
        <v>41562</v>
      </c>
      <c r="E25382" s="5">
        <f t="shared" si="428"/>
        <v>2013</v>
      </c>
      <c r="F25382" s="3" t="s">
        <v>4083</v>
      </c>
      <c r="G25382" s="6">
        <v>16137.75</v>
      </c>
      <c r="H25382" s="5">
        <v>5640</v>
      </c>
    </row>
    <row r="25383" spans="2:8" ht="15" customHeight="1" x14ac:dyDescent="0.4">
      <c r="B25383" s="3" t="s">
        <v>7</v>
      </c>
      <c r="C25383" s="3" t="s">
        <v>4081</v>
      </c>
      <c r="D25383" s="4">
        <f>DATE(2013,10,15)</f>
        <v>41562</v>
      </c>
      <c r="E25383" s="5">
        <f t="shared" si="428"/>
        <v>2013</v>
      </c>
      <c r="F25383" s="3" t="s">
        <v>4083</v>
      </c>
      <c r="G25383" s="6">
        <v>8631</v>
      </c>
      <c r="H25383" s="5">
        <v>5642</v>
      </c>
    </row>
    <row r="25384" spans="2:8" ht="15" customHeight="1" x14ac:dyDescent="0.4">
      <c r="B25384" s="3" t="s">
        <v>7</v>
      </c>
      <c r="C25384" s="3" t="s">
        <v>4081</v>
      </c>
      <c r="D25384" s="4">
        <f>DATE(2013,10,15)</f>
        <v>41562</v>
      </c>
      <c r="E25384" s="5">
        <f t="shared" si="428"/>
        <v>2013</v>
      </c>
      <c r="F25384" s="3" t="s">
        <v>4083</v>
      </c>
      <c r="G25384" s="6">
        <v>1207.3699999999999</v>
      </c>
      <c r="H25384" s="5">
        <v>5640</v>
      </c>
    </row>
    <row r="25385" spans="2:8" ht="15" customHeight="1" x14ac:dyDescent="0.4">
      <c r="B25385" s="3" t="s">
        <v>7</v>
      </c>
      <c r="C25385" s="3" t="s">
        <v>4081</v>
      </c>
      <c r="D25385" s="4">
        <f>DATE(2013,10,15)</f>
        <v>41562</v>
      </c>
      <c r="E25385" s="5">
        <f t="shared" si="428"/>
        <v>2013</v>
      </c>
      <c r="F25385" s="3" t="s">
        <v>4083</v>
      </c>
      <c r="G25385" s="6">
        <v>1207.3699999999999</v>
      </c>
      <c r="H25385" s="5">
        <v>5642</v>
      </c>
    </row>
    <row r="25386" spans="2:8" ht="15" customHeight="1" x14ac:dyDescent="0.4">
      <c r="B25386" s="3" t="s">
        <v>7</v>
      </c>
      <c r="C25386" s="3" t="s">
        <v>4081</v>
      </c>
      <c r="D25386" s="4">
        <f t="shared" ref="D25386:D25411" si="429">DATE(2013,10,22)</f>
        <v>41569</v>
      </c>
      <c r="E25386" s="5">
        <f t="shared" si="428"/>
        <v>2013</v>
      </c>
      <c r="F25386" s="3" t="s">
        <v>4083</v>
      </c>
      <c r="G25386" s="6">
        <v>4336</v>
      </c>
      <c r="H25386" s="5">
        <v>5627</v>
      </c>
    </row>
    <row r="25387" spans="2:8" ht="15" customHeight="1" x14ac:dyDescent="0.4">
      <c r="B25387" s="3" t="s">
        <v>7</v>
      </c>
      <c r="C25387" s="3" t="s">
        <v>4081</v>
      </c>
      <c r="D25387" s="4">
        <f t="shared" si="429"/>
        <v>41569</v>
      </c>
      <c r="E25387" s="5">
        <f t="shared" si="428"/>
        <v>2013</v>
      </c>
      <c r="F25387" s="3" t="s">
        <v>4083</v>
      </c>
      <c r="G25387" s="6">
        <v>1207.3800000000001</v>
      </c>
      <c r="H25387" s="5">
        <v>5627</v>
      </c>
    </row>
    <row r="25388" spans="2:8" ht="15" customHeight="1" x14ac:dyDescent="0.4">
      <c r="B25388" s="3" t="s">
        <v>7</v>
      </c>
      <c r="C25388" s="3" t="s">
        <v>4081</v>
      </c>
      <c r="D25388" s="4">
        <f t="shared" si="429"/>
        <v>41569</v>
      </c>
      <c r="E25388" s="5">
        <f t="shared" si="428"/>
        <v>2013</v>
      </c>
      <c r="F25388" s="3" t="s">
        <v>4083</v>
      </c>
      <c r="G25388" s="6">
        <v>12356.5</v>
      </c>
      <c r="H25388" s="5">
        <v>5628</v>
      </c>
    </row>
    <row r="25389" spans="2:8" ht="15" customHeight="1" x14ac:dyDescent="0.4">
      <c r="B25389" s="3" t="s">
        <v>7</v>
      </c>
      <c r="C25389" s="3" t="s">
        <v>4081</v>
      </c>
      <c r="D25389" s="4">
        <f t="shared" si="429"/>
        <v>41569</v>
      </c>
      <c r="E25389" s="5">
        <f t="shared" si="428"/>
        <v>2013</v>
      </c>
      <c r="F25389" s="3" t="s">
        <v>4083</v>
      </c>
      <c r="G25389" s="6">
        <v>1207.3800000000001</v>
      </c>
      <c r="H25389" s="5">
        <v>5628</v>
      </c>
    </row>
    <row r="25390" spans="2:8" ht="15" customHeight="1" x14ac:dyDescent="0.4">
      <c r="B25390" s="3" t="s">
        <v>7</v>
      </c>
      <c r="C25390" s="3" t="s">
        <v>4081</v>
      </c>
      <c r="D25390" s="4">
        <f t="shared" si="429"/>
        <v>41569</v>
      </c>
      <c r="E25390" s="5">
        <f t="shared" si="428"/>
        <v>2013</v>
      </c>
      <c r="F25390" s="3" t="s">
        <v>4083</v>
      </c>
      <c r="G25390" s="6">
        <v>6789.25</v>
      </c>
      <c r="H25390" s="5">
        <v>5636</v>
      </c>
    </row>
    <row r="25391" spans="2:8" ht="15" customHeight="1" x14ac:dyDescent="0.4">
      <c r="B25391" s="3" t="s">
        <v>7</v>
      </c>
      <c r="C25391" s="3" t="s">
        <v>4081</v>
      </c>
      <c r="D25391" s="4">
        <f t="shared" si="429"/>
        <v>41569</v>
      </c>
      <c r="E25391" s="5">
        <f t="shared" si="428"/>
        <v>2013</v>
      </c>
      <c r="F25391" s="3" t="s">
        <v>4083</v>
      </c>
      <c r="G25391" s="6">
        <v>1207.3699999999999</v>
      </c>
      <c r="H25391" s="5">
        <v>5636</v>
      </c>
    </row>
    <row r="25392" spans="2:8" ht="15" customHeight="1" x14ac:dyDescent="0.4">
      <c r="B25392" s="3" t="s">
        <v>7</v>
      </c>
      <c r="C25392" s="3" t="s">
        <v>4081</v>
      </c>
      <c r="D25392" s="4">
        <f t="shared" si="429"/>
        <v>41569</v>
      </c>
      <c r="E25392" s="5">
        <f t="shared" si="428"/>
        <v>2013</v>
      </c>
      <c r="F25392" s="3" t="s">
        <v>4083</v>
      </c>
      <c r="G25392" s="6">
        <v>3764.75</v>
      </c>
      <c r="H25392" s="5">
        <v>5638</v>
      </c>
    </row>
    <row r="25393" spans="2:8" ht="15" customHeight="1" x14ac:dyDescent="0.4">
      <c r="B25393" s="3" t="s">
        <v>7</v>
      </c>
      <c r="C25393" s="3" t="s">
        <v>4081</v>
      </c>
      <c r="D25393" s="4">
        <f t="shared" si="429"/>
        <v>41569</v>
      </c>
      <c r="E25393" s="5">
        <f t="shared" si="428"/>
        <v>2013</v>
      </c>
      <c r="F25393" s="3" t="s">
        <v>4083</v>
      </c>
      <c r="G25393" s="6">
        <v>1207.3699999999999</v>
      </c>
      <c r="H25393" s="5">
        <v>5638</v>
      </c>
    </row>
    <row r="25394" spans="2:8" ht="15" customHeight="1" x14ac:dyDescent="0.4">
      <c r="B25394" s="3" t="s">
        <v>7</v>
      </c>
      <c r="C25394" s="3" t="s">
        <v>4081</v>
      </c>
      <c r="D25394" s="4">
        <f t="shared" si="429"/>
        <v>41569</v>
      </c>
      <c r="E25394" s="5">
        <f t="shared" si="428"/>
        <v>2013</v>
      </c>
      <c r="F25394" s="3" t="s">
        <v>4083</v>
      </c>
      <c r="G25394" s="6">
        <v>1684.75</v>
      </c>
      <c r="H25394" s="5">
        <v>5655</v>
      </c>
    </row>
    <row r="25395" spans="2:8" ht="15" customHeight="1" x14ac:dyDescent="0.4">
      <c r="B25395" s="3" t="s">
        <v>7</v>
      </c>
      <c r="C25395" s="3" t="s">
        <v>4081</v>
      </c>
      <c r="D25395" s="4">
        <f t="shared" si="429"/>
        <v>41569</v>
      </c>
      <c r="E25395" s="5">
        <f t="shared" si="428"/>
        <v>2013</v>
      </c>
      <c r="F25395" s="3" t="s">
        <v>4083</v>
      </c>
      <c r="G25395" s="6">
        <v>1207.3699999999999</v>
      </c>
      <c r="H25395" s="5">
        <v>5655</v>
      </c>
    </row>
    <row r="25396" spans="2:8" ht="15" customHeight="1" x14ac:dyDescent="0.4">
      <c r="B25396" s="3" t="s">
        <v>7</v>
      </c>
      <c r="C25396" s="3" t="s">
        <v>4081</v>
      </c>
      <c r="D25396" s="4">
        <f t="shared" si="429"/>
        <v>41569</v>
      </c>
      <c r="E25396" s="5">
        <f t="shared" si="428"/>
        <v>2013</v>
      </c>
      <c r="F25396" s="3" t="s">
        <v>4083</v>
      </c>
      <c r="G25396" s="6">
        <v>1025.25</v>
      </c>
      <c r="H25396" s="5">
        <v>5656</v>
      </c>
    </row>
    <row r="25397" spans="2:8" ht="15" customHeight="1" x14ac:dyDescent="0.4">
      <c r="B25397" s="3" t="s">
        <v>7</v>
      </c>
      <c r="C25397" s="3" t="s">
        <v>4081</v>
      </c>
      <c r="D25397" s="4">
        <f t="shared" si="429"/>
        <v>41569</v>
      </c>
      <c r="E25397" s="5">
        <f t="shared" si="428"/>
        <v>2013</v>
      </c>
      <c r="F25397" s="3" t="s">
        <v>4083</v>
      </c>
      <c r="G25397" s="6">
        <v>1207.3699999999999</v>
      </c>
      <c r="H25397" s="5">
        <v>5656</v>
      </c>
    </row>
    <row r="25398" spans="2:8" ht="15" customHeight="1" x14ac:dyDescent="0.4">
      <c r="B25398" s="3" t="s">
        <v>7</v>
      </c>
      <c r="C25398" s="3" t="s">
        <v>4081</v>
      </c>
      <c r="D25398" s="4">
        <f t="shared" si="429"/>
        <v>41569</v>
      </c>
      <c r="E25398" s="5">
        <f t="shared" si="428"/>
        <v>2013</v>
      </c>
      <c r="F25398" s="3" t="s">
        <v>4083</v>
      </c>
      <c r="G25398" s="6">
        <v>1969.75</v>
      </c>
      <c r="H25398" s="5">
        <v>5657</v>
      </c>
    </row>
    <row r="25399" spans="2:8" ht="15" customHeight="1" x14ac:dyDescent="0.4">
      <c r="B25399" s="3" t="s">
        <v>7</v>
      </c>
      <c r="C25399" s="3" t="s">
        <v>4081</v>
      </c>
      <c r="D25399" s="4">
        <f t="shared" si="429"/>
        <v>41569</v>
      </c>
      <c r="E25399" s="5">
        <f t="shared" si="428"/>
        <v>2013</v>
      </c>
      <c r="F25399" s="3" t="s">
        <v>4083</v>
      </c>
      <c r="G25399" s="6">
        <v>1207.3699999999999</v>
      </c>
      <c r="H25399" s="5">
        <v>5657</v>
      </c>
    </row>
    <row r="25400" spans="2:8" ht="15" customHeight="1" x14ac:dyDescent="0.4">
      <c r="B25400" s="3" t="s">
        <v>7</v>
      </c>
      <c r="C25400" s="3" t="s">
        <v>4081</v>
      </c>
      <c r="D25400" s="4">
        <f t="shared" si="429"/>
        <v>41569</v>
      </c>
      <c r="E25400" s="5">
        <f t="shared" si="428"/>
        <v>2013</v>
      </c>
      <c r="F25400" s="3" t="s">
        <v>4083</v>
      </c>
      <c r="G25400" s="6">
        <v>1920.51</v>
      </c>
      <c r="H25400" s="5">
        <v>5658</v>
      </c>
    </row>
    <row r="25401" spans="2:8" ht="15" customHeight="1" x14ac:dyDescent="0.4">
      <c r="B25401" s="3" t="s">
        <v>7</v>
      </c>
      <c r="C25401" s="3" t="s">
        <v>4081</v>
      </c>
      <c r="D25401" s="4">
        <f t="shared" si="429"/>
        <v>41569</v>
      </c>
      <c r="E25401" s="5">
        <f t="shared" si="428"/>
        <v>2013</v>
      </c>
      <c r="F25401" s="3" t="s">
        <v>4083</v>
      </c>
      <c r="G25401" s="6">
        <v>1207.3699999999999</v>
      </c>
      <c r="H25401" s="5">
        <v>5658</v>
      </c>
    </row>
    <row r="25402" spans="2:8" ht="15" customHeight="1" x14ac:dyDescent="0.4">
      <c r="B25402" s="3" t="s">
        <v>7</v>
      </c>
      <c r="C25402" s="3" t="s">
        <v>4081</v>
      </c>
      <c r="D25402" s="4">
        <f t="shared" si="429"/>
        <v>41569</v>
      </c>
      <c r="E25402" s="5">
        <f t="shared" si="428"/>
        <v>2013</v>
      </c>
      <c r="F25402" s="3" t="s">
        <v>4083</v>
      </c>
      <c r="G25402" s="6">
        <v>1081.5</v>
      </c>
      <c r="H25402" s="5">
        <v>5659</v>
      </c>
    </row>
    <row r="25403" spans="2:8" ht="15" customHeight="1" x14ac:dyDescent="0.4">
      <c r="B25403" s="3" t="s">
        <v>7</v>
      </c>
      <c r="C25403" s="3" t="s">
        <v>4081</v>
      </c>
      <c r="D25403" s="4">
        <f t="shared" si="429"/>
        <v>41569</v>
      </c>
      <c r="E25403" s="5">
        <f t="shared" si="428"/>
        <v>2013</v>
      </c>
      <c r="F25403" s="3" t="s">
        <v>4083</v>
      </c>
      <c r="G25403" s="6">
        <v>1207.3699999999999</v>
      </c>
      <c r="H25403" s="5">
        <v>5659</v>
      </c>
    </row>
    <row r="25404" spans="2:8" ht="15" customHeight="1" x14ac:dyDescent="0.4">
      <c r="B25404" s="3" t="s">
        <v>7</v>
      </c>
      <c r="C25404" s="3" t="s">
        <v>4081</v>
      </c>
      <c r="D25404" s="4">
        <f t="shared" si="429"/>
        <v>41569</v>
      </c>
      <c r="E25404" s="5">
        <f t="shared" si="428"/>
        <v>2013</v>
      </c>
      <c r="F25404" s="3" t="s">
        <v>4083</v>
      </c>
      <c r="G25404" s="6">
        <v>1186.5</v>
      </c>
      <c r="H25404" s="5">
        <v>5660</v>
      </c>
    </row>
    <row r="25405" spans="2:8" ht="15" customHeight="1" x14ac:dyDescent="0.4">
      <c r="B25405" s="3" t="s">
        <v>7</v>
      </c>
      <c r="C25405" s="3" t="s">
        <v>4081</v>
      </c>
      <c r="D25405" s="4">
        <f t="shared" si="429"/>
        <v>41569</v>
      </c>
      <c r="E25405" s="5">
        <f t="shared" si="428"/>
        <v>2013</v>
      </c>
      <c r="F25405" s="3" t="s">
        <v>4083</v>
      </c>
      <c r="G25405" s="6">
        <v>1207.3699999999999</v>
      </c>
      <c r="H25405" s="5">
        <v>5660</v>
      </c>
    </row>
    <row r="25406" spans="2:8" ht="15" customHeight="1" x14ac:dyDescent="0.4">
      <c r="B25406" s="3" t="s">
        <v>7</v>
      </c>
      <c r="C25406" s="3" t="s">
        <v>4081</v>
      </c>
      <c r="D25406" s="4">
        <f t="shared" si="429"/>
        <v>41569</v>
      </c>
      <c r="E25406" s="5">
        <f t="shared" si="428"/>
        <v>2013</v>
      </c>
      <c r="F25406" s="3" t="s">
        <v>4083</v>
      </c>
      <c r="G25406" s="6">
        <v>3736</v>
      </c>
      <c r="H25406" s="5">
        <v>5661</v>
      </c>
    </row>
    <row r="25407" spans="2:8" ht="15" customHeight="1" x14ac:dyDescent="0.4">
      <c r="B25407" s="3" t="s">
        <v>7</v>
      </c>
      <c r="C25407" s="3" t="s">
        <v>4081</v>
      </c>
      <c r="D25407" s="4">
        <f t="shared" si="429"/>
        <v>41569</v>
      </c>
      <c r="E25407" s="5">
        <f t="shared" si="428"/>
        <v>2013</v>
      </c>
      <c r="F25407" s="3" t="s">
        <v>4083</v>
      </c>
      <c r="G25407" s="6">
        <v>1207.3699999999999</v>
      </c>
      <c r="H25407" s="5">
        <v>5661</v>
      </c>
    </row>
    <row r="25408" spans="2:8" ht="15" customHeight="1" x14ac:dyDescent="0.4">
      <c r="B25408" s="3" t="s">
        <v>7</v>
      </c>
      <c r="C25408" s="3" t="s">
        <v>4081</v>
      </c>
      <c r="D25408" s="4">
        <f t="shared" si="429"/>
        <v>41569</v>
      </c>
      <c r="E25408" s="5">
        <f t="shared" si="428"/>
        <v>2013</v>
      </c>
      <c r="F25408" s="3" t="s">
        <v>4083</v>
      </c>
      <c r="G25408" s="6">
        <v>3758.75</v>
      </c>
      <c r="H25408" s="5">
        <v>5684</v>
      </c>
    </row>
    <row r="25409" spans="2:8" ht="15" customHeight="1" x14ac:dyDescent="0.4">
      <c r="B25409" s="3" t="s">
        <v>7</v>
      </c>
      <c r="C25409" s="3" t="s">
        <v>4081</v>
      </c>
      <c r="D25409" s="4">
        <f t="shared" si="429"/>
        <v>41569</v>
      </c>
      <c r="E25409" s="5">
        <f t="shared" si="428"/>
        <v>2013</v>
      </c>
      <c r="F25409" s="3" t="s">
        <v>4083</v>
      </c>
      <c r="G25409" s="6">
        <v>1207.3699999999999</v>
      </c>
      <c r="H25409" s="5">
        <v>5684</v>
      </c>
    </row>
    <row r="25410" spans="2:8" ht="15" customHeight="1" x14ac:dyDescent="0.4">
      <c r="B25410" s="3" t="s">
        <v>7</v>
      </c>
      <c r="C25410" s="3" t="s">
        <v>4081</v>
      </c>
      <c r="D25410" s="4">
        <f t="shared" si="429"/>
        <v>41569</v>
      </c>
      <c r="E25410" s="5">
        <f t="shared" si="428"/>
        <v>2013</v>
      </c>
      <c r="F25410" s="3" t="s">
        <v>4083</v>
      </c>
      <c r="G25410" s="6">
        <v>3666.5</v>
      </c>
      <c r="H25410" s="5">
        <v>5745</v>
      </c>
    </row>
    <row r="25411" spans="2:8" ht="15" customHeight="1" x14ac:dyDescent="0.4">
      <c r="B25411" s="3" t="s">
        <v>7</v>
      </c>
      <c r="C25411" s="3" t="s">
        <v>4081</v>
      </c>
      <c r="D25411" s="4">
        <f t="shared" si="429"/>
        <v>41569</v>
      </c>
      <c r="E25411" s="5">
        <f t="shared" ref="E25411:E25474" si="430">YEAR(D25411)</f>
        <v>2013</v>
      </c>
      <c r="F25411" s="3" t="s">
        <v>4083</v>
      </c>
      <c r="G25411" s="6">
        <v>1207.3699999999999</v>
      </c>
      <c r="H25411" s="5">
        <v>5745</v>
      </c>
    </row>
    <row r="25412" spans="2:8" ht="15" customHeight="1" x14ac:dyDescent="0.4">
      <c r="B25412" s="3" t="s">
        <v>7</v>
      </c>
      <c r="C25412" s="3" t="s">
        <v>4081</v>
      </c>
      <c r="D25412" s="4">
        <f t="shared" ref="D25412:D25435" si="431">DATE(2013,11,7)</f>
        <v>41585</v>
      </c>
      <c r="E25412" s="5">
        <f t="shared" si="430"/>
        <v>2013</v>
      </c>
      <c r="F25412" s="3" t="s">
        <v>4083</v>
      </c>
      <c r="G25412" s="6">
        <v>6627.25</v>
      </c>
      <c r="H25412" s="5">
        <v>5630</v>
      </c>
    </row>
    <row r="25413" spans="2:8" ht="15" customHeight="1" x14ac:dyDescent="0.4">
      <c r="B25413" s="3" t="s">
        <v>7</v>
      </c>
      <c r="C25413" s="3" t="s">
        <v>4081</v>
      </c>
      <c r="D25413" s="4">
        <f t="shared" si="431"/>
        <v>41585</v>
      </c>
      <c r="E25413" s="5">
        <f t="shared" si="430"/>
        <v>2013</v>
      </c>
      <c r="F25413" s="3" t="s">
        <v>4083</v>
      </c>
      <c r="G25413" s="6">
        <v>1207.3800000000001</v>
      </c>
      <c r="H25413" s="5">
        <v>5630</v>
      </c>
    </row>
    <row r="25414" spans="2:8" ht="15" customHeight="1" x14ac:dyDescent="0.4">
      <c r="B25414" s="3" t="s">
        <v>7</v>
      </c>
      <c r="C25414" s="3" t="s">
        <v>4081</v>
      </c>
      <c r="D25414" s="4">
        <f t="shared" si="431"/>
        <v>41585</v>
      </c>
      <c r="E25414" s="5">
        <f t="shared" si="430"/>
        <v>2013</v>
      </c>
      <c r="F25414" s="3" t="s">
        <v>4083</v>
      </c>
      <c r="G25414" s="6">
        <v>5817.25</v>
      </c>
      <c r="H25414" s="5">
        <v>5632</v>
      </c>
    </row>
    <row r="25415" spans="2:8" ht="15" customHeight="1" x14ac:dyDescent="0.4">
      <c r="B25415" s="3" t="s">
        <v>7</v>
      </c>
      <c r="C25415" s="3" t="s">
        <v>4081</v>
      </c>
      <c r="D25415" s="4">
        <f t="shared" si="431"/>
        <v>41585</v>
      </c>
      <c r="E25415" s="5">
        <f t="shared" si="430"/>
        <v>2013</v>
      </c>
      <c r="F25415" s="3" t="s">
        <v>4083</v>
      </c>
      <c r="G25415" s="6">
        <v>1207.3800000000001</v>
      </c>
      <c r="H25415" s="5">
        <v>5632</v>
      </c>
    </row>
    <row r="25416" spans="2:8" ht="15" customHeight="1" x14ac:dyDescent="0.4">
      <c r="B25416" s="3" t="s">
        <v>7</v>
      </c>
      <c r="C25416" s="3" t="s">
        <v>4081</v>
      </c>
      <c r="D25416" s="4">
        <f t="shared" si="431"/>
        <v>41585</v>
      </c>
      <c r="E25416" s="5">
        <f t="shared" si="430"/>
        <v>2013</v>
      </c>
      <c r="F25416" s="3" t="s">
        <v>4083</v>
      </c>
      <c r="G25416" s="6">
        <v>618</v>
      </c>
      <c r="H25416" s="5">
        <v>5633</v>
      </c>
    </row>
    <row r="25417" spans="2:8" ht="15" customHeight="1" x14ac:dyDescent="0.4">
      <c r="B25417" s="3" t="s">
        <v>7</v>
      </c>
      <c r="C25417" s="3" t="s">
        <v>4081</v>
      </c>
      <c r="D25417" s="4">
        <f t="shared" si="431"/>
        <v>41585</v>
      </c>
      <c r="E25417" s="5">
        <f t="shared" si="430"/>
        <v>2013</v>
      </c>
      <c r="F25417" s="3" t="s">
        <v>4083</v>
      </c>
      <c r="G25417" s="6">
        <v>1207.3800000000001</v>
      </c>
      <c r="H25417" s="5">
        <v>5633</v>
      </c>
    </row>
    <row r="25418" spans="2:8" ht="15" customHeight="1" x14ac:dyDescent="0.4">
      <c r="B25418" s="3" t="s">
        <v>7</v>
      </c>
      <c r="C25418" s="3" t="s">
        <v>4081</v>
      </c>
      <c r="D25418" s="4">
        <f t="shared" si="431"/>
        <v>41585</v>
      </c>
      <c r="E25418" s="5">
        <f t="shared" si="430"/>
        <v>2013</v>
      </c>
      <c r="F25418" s="3" t="s">
        <v>4083</v>
      </c>
      <c r="G25418" s="6">
        <v>1236</v>
      </c>
      <c r="H25418" s="5">
        <v>5670</v>
      </c>
    </row>
    <row r="25419" spans="2:8" ht="15" customHeight="1" x14ac:dyDescent="0.4">
      <c r="B25419" s="3" t="s">
        <v>7</v>
      </c>
      <c r="C25419" s="3" t="s">
        <v>4081</v>
      </c>
      <c r="D25419" s="4">
        <f t="shared" si="431"/>
        <v>41585</v>
      </c>
      <c r="E25419" s="5">
        <f t="shared" si="430"/>
        <v>2013</v>
      </c>
      <c r="F25419" s="3" t="s">
        <v>4083</v>
      </c>
      <c r="G25419" s="6">
        <v>1207.3699999999999</v>
      </c>
      <c r="H25419" s="5">
        <v>5670</v>
      </c>
    </row>
    <row r="25420" spans="2:8" ht="15" customHeight="1" x14ac:dyDescent="0.4">
      <c r="B25420" s="3" t="s">
        <v>7</v>
      </c>
      <c r="C25420" s="3" t="s">
        <v>4081</v>
      </c>
      <c r="D25420" s="4">
        <f t="shared" si="431"/>
        <v>41585</v>
      </c>
      <c r="E25420" s="5">
        <f t="shared" si="430"/>
        <v>2013</v>
      </c>
      <c r="F25420" s="3" t="s">
        <v>4083</v>
      </c>
      <c r="G25420" s="6">
        <v>2253</v>
      </c>
      <c r="H25420" s="5">
        <v>5672</v>
      </c>
    </row>
    <row r="25421" spans="2:8" ht="15" customHeight="1" x14ac:dyDescent="0.4">
      <c r="B25421" s="3" t="s">
        <v>7</v>
      </c>
      <c r="C25421" s="3" t="s">
        <v>4081</v>
      </c>
      <c r="D25421" s="4">
        <f t="shared" si="431"/>
        <v>41585</v>
      </c>
      <c r="E25421" s="5">
        <f t="shared" si="430"/>
        <v>2013</v>
      </c>
      <c r="F25421" s="3" t="s">
        <v>4083</v>
      </c>
      <c r="G25421" s="6">
        <v>1207.3699999999999</v>
      </c>
      <c r="H25421" s="5">
        <v>5672</v>
      </c>
    </row>
    <row r="25422" spans="2:8" ht="15" customHeight="1" x14ac:dyDescent="0.4">
      <c r="B25422" s="3" t="s">
        <v>7</v>
      </c>
      <c r="C25422" s="3" t="s">
        <v>4081</v>
      </c>
      <c r="D25422" s="4">
        <f t="shared" si="431"/>
        <v>41585</v>
      </c>
      <c r="E25422" s="5">
        <f t="shared" si="430"/>
        <v>2013</v>
      </c>
      <c r="F25422" s="3" t="s">
        <v>4083</v>
      </c>
      <c r="G25422" s="6">
        <v>2025.5</v>
      </c>
      <c r="H25422" s="5">
        <v>5673</v>
      </c>
    </row>
    <row r="25423" spans="2:8" ht="15" customHeight="1" x14ac:dyDescent="0.4">
      <c r="B25423" s="3" t="s">
        <v>7</v>
      </c>
      <c r="C25423" s="3" t="s">
        <v>4081</v>
      </c>
      <c r="D25423" s="4">
        <f t="shared" si="431"/>
        <v>41585</v>
      </c>
      <c r="E25423" s="5">
        <f t="shared" si="430"/>
        <v>2013</v>
      </c>
      <c r="F25423" s="3" t="s">
        <v>4083</v>
      </c>
      <c r="G25423" s="6">
        <v>1207.3699999999999</v>
      </c>
      <c r="H25423" s="5">
        <v>5673</v>
      </c>
    </row>
    <row r="25424" spans="2:8" ht="15" customHeight="1" x14ac:dyDescent="0.4">
      <c r="B25424" s="3" t="s">
        <v>7</v>
      </c>
      <c r="C25424" s="3" t="s">
        <v>4081</v>
      </c>
      <c r="D25424" s="4">
        <f t="shared" si="431"/>
        <v>41585</v>
      </c>
      <c r="E25424" s="5">
        <f t="shared" si="430"/>
        <v>2013</v>
      </c>
      <c r="F25424" s="3" t="s">
        <v>4083</v>
      </c>
      <c r="G25424" s="6">
        <v>386.25</v>
      </c>
      <c r="H25424" s="5">
        <v>5674</v>
      </c>
    </row>
    <row r="25425" spans="2:8" ht="15" customHeight="1" x14ac:dyDescent="0.4">
      <c r="B25425" s="3" t="s">
        <v>7</v>
      </c>
      <c r="C25425" s="3" t="s">
        <v>4081</v>
      </c>
      <c r="D25425" s="4">
        <f t="shared" si="431"/>
        <v>41585</v>
      </c>
      <c r="E25425" s="5">
        <f t="shared" si="430"/>
        <v>2013</v>
      </c>
      <c r="F25425" s="3" t="s">
        <v>4083</v>
      </c>
      <c r="G25425" s="6">
        <v>1207.3699999999999</v>
      </c>
      <c r="H25425" s="5">
        <v>5674</v>
      </c>
    </row>
    <row r="25426" spans="2:8" ht="15" customHeight="1" x14ac:dyDescent="0.4">
      <c r="B25426" s="3" t="s">
        <v>7</v>
      </c>
      <c r="C25426" s="3" t="s">
        <v>4081</v>
      </c>
      <c r="D25426" s="4">
        <f t="shared" si="431"/>
        <v>41585</v>
      </c>
      <c r="E25426" s="5">
        <f t="shared" si="430"/>
        <v>2013</v>
      </c>
      <c r="F25426" s="3" t="s">
        <v>4083</v>
      </c>
      <c r="G25426" s="6">
        <v>2693</v>
      </c>
      <c r="H25426" s="5">
        <v>5675</v>
      </c>
    </row>
    <row r="25427" spans="2:8" ht="15" customHeight="1" x14ac:dyDescent="0.4">
      <c r="B25427" s="3" t="s">
        <v>7</v>
      </c>
      <c r="C25427" s="3" t="s">
        <v>4081</v>
      </c>
      <c r="D25427" s="4">
        <f t="shared" si="431"/>
        <v>41585</v>
      </c>
      <c r="E25427" s="5">
        <f t="shared" si="430"/>
        <v>2013</v>
      </c>
      <c r="F25427" s="3" t="s">
        <v>4083</v>
      </c>
      <c r="G25427" s="6">
        <v>1207.3699999999999</v>
      </c>
      <c r="H25427" s="5">
        <v>5675</v>
      </c>
    </row>
    <row r="25428" spans="2:8" ht="15" customHeight="1" x14ac:dyDescent="0.4">
      <c r="B25428" s="3" t="s">
        <v>7</v>
      </c>
      <c r="C25428" s="3" t="s">
        <v>4081</v>
      </c>
      <c r="D25428" s="4">
        <f t="shared" si="431"/>
        <v>41585</v>
      </c>
      <c r="E25428" s="5">
        <f t="shared" si="430"/>
        <v>2013</v>
      </c>
      <c r="F25428" s="3" t="s">
        <v>4083</v>
      </c>
      <c r="G25428" s="6">
        <v>2847.5</v>
      </c>
      <c r="H25428" s="5">
        <v>5683</v>
      </c>
    </row>
    <row r="25429" spans="2:8" ht="15" customHeight="1" x14ac:dyDescent="0.4">
      <c r="B25429" s="3" t="s">
        <v>7</v>
      </c>
      <c r="C25429" s="3" t="s">
        <v>4081</v>
      </c>
      <c r="D25429" s="4">
        <f t="shared" si="431"/>
        <v>41585</v>
      </c>
      <c r="E25429" s="5">
        <f t="shared" si="430"/>
        <v>2013</v>
      </c>
      <c r="F25429" s="3" t="s">
        <v>4083</v>
      </c>
      <c r="G25429" s="6">
        <v>1275</v>
      </c>
      <c r="H25429" s="5">
        <v>5683</v>
      </c>
    </row>
    <row r="25430" spans="2:8" ht="15" customHeight="1" x14ac:dyDescent="0.4">
      <c r="B25430" s="3" t="s">
        <v>7</v>
      </c>
      <c r="C25430" s="3" t="s">
        <v>4081</v>
      </c>
      <c r="D25430" s="4">
        <f t="shared" si="431"/>
        <v>41585</v>
      </c>
      <c r="E25430" s="5">
        <f t="shared" si="430"/>
        <v>2013</v>
      </c>
      <c r="F25430" s="3" t="s">
        <v>4083</v>
      </c>
      <c r="G25430" s="6">
        <v>8362</v>
      </c>
      <c r="H25430" s="5">
        <v>5723</v>
      </c>
    </row>
    <row r="25431" spans="2:8" ht="15" customHeight="1" x14ac:dyDescent="0.4">
      <c r="B25431" s="3" t="s">
        <v>7</v>
      </c>
      <c r="C25431" s="3" t="s">
        <v>4081</v>
      </c>
      <c r="D25431" s="4">
        <f t="shared" si="431"/>
        <v>41585</v>
      </c>
      <c r="E25431" s="5">
        <f t="shared" si="430"/>
        <v>2013</v>
      </c>
      <c r="F25431" s="3" t="s">
        <v>4083</v>
      </c>
      <c r="G25431" s="6">
        <v>1207.3699999999999</v>
      </c>
      <c r="H25431" s="5">
        <v>5723</v>
      </c>
    </row>
    <row r="25432" spans="2:8" ht="15" customHeight="1" x14ac:dyDescent="0.4">
      <c r="B25432" s="3" t="s">
        <v>7</v>
      </c>
      <c r="C25432" s="3" t="s">
        <v>4081</v>
      </c>
      <c r="D25432" s="4">
        <f t="shared" si="431"/>
        <v>41585</v>
      </c>
      <c r="E25432" s="5">
        <f t="shared" si="430"/>
        <v>2013</v>
      </c>
      <c r="F25432" s="3" t="s">
        <v>4083</v>
      </c>
      <c r="G25432" s="6">
        <v>11673</v>
      </c>
      <c r="H25432" s="5">
        <v>5732</v>
      </c>
    </row>
    <row r="25433" spans="2:8" ht="15" customHeight="1" x14ac:dyDescent="0.4">
      <c r="B25433" s="3" t="s">
        <v>7</v>
      </c>
      <c r="C25433" s="3" t="s">
        <v>4081</v>
      </c>
      <c r="D25433" s="4">
        <f t="shared" si="431"/>
        <v>41585</v>
      </c>
      <c r="E25433" s="5">
        <f t="shared" si="430"/>
        <v>2013</v>
      </c>
      <c r="F25433" s="3" t="s">
        <v>4083</v>
      </c>
      <c r="G25433" s="6">
        <v>1207.3699999999999</v>
      </c>
      <c r="H25433" s="5">
        <v>5732</v>
      </c>
    </row>
    <row r="25434" spans="2:8" ht="15" customHeight="1" x14ac:dyDescent="0.4">
      <c r="B25434" s="3" t="s">
        <v>7</v>
      </c>
      <c r="C25434" s="3" t="s">
        <v>4081</v>
      </c>
      <c r="D25434" s="4">
        <f t="shared" si="431"/>
        <v>41585</v>
      </c>
      <c r="E25434" s="5">
        <f t="shared" si="430"/>
        <v>2013</v>
      </c>
      <c r="F25434" s="3" t="s">
        <v>4083</v>
      </c>
      <c r="G25434" s="6">
        <v>1997.75</v>
      </c>
      <c r="H25434" s="5">
        <v>5737</v>
      </c>
    </row>
    <row r="25435" spans="2:8" ht="15" customHeight="1" x14ac:dyDescent="0.4">
      <c r="B25435" s="3" t="s">
        <v>7</v>
      </c>
      <c r="C25435" s="3" t="s">
        <v>4081</v>
      </c>
      <c r="D25435" s="4">
        <f t="shared" si="431"/>
        <v>41585</v>
      </c>
      <c r="E25435" s="5">
        <f t="shared" si="430"/>
        <v>2013</v>
      </c>
      <c r="F25435" s="3" t="s">
        <v>4083</v>
      </c>
      <c r="G25435" s="6">
        <v>1207.3699999999999</v>
      </c>
      <c r="H25435" s="5">
        <v>5737</v>
      </c>
    </row>
    <row r="25436" spans="2:8" ht="15" customHeight="1" x14ac:dyDescent="0.4">
      <c r="B25436" s="3" t="s">
        <v>7</v>
      </c>
      <c r="C25436" s="3" t="s">
        <v>4081</v>
      </c>
      <c r="D25436" s="4">
        <f>DATE(2013,11,11)</f>
        <v>41589</v>
      </c>
      <c r="E25436" s="5">
        <f t="shared" si="430"/>
        <v>2013</v>
      </c>
      <c r="F25436" s="3" t="s">
        <v>4083</v>
      </c>
      <c r="G25436" s="6">
        <v>6381.5</v>
      </c>
      <c r="H25436" s="5">
        <v>5914</v>
      </c>
    </row>
    <row r="25437" spans="2:8" ht="15" customHeight="1" x14ac:dyDescent="0.4">
      <c r="B25437" s="3" t="s">
        <v>7</v>
      </c>
      <c r="C25437" s="3" t="s">
        <v>4081</v>
      </c>
      <c r="D25437" s="4">
        <f>DATE(2013,11,11)</f>
        <v>41589</v>
      </c>
      <c r="E25437" s="5">
        <f t="shared" si="430"/>
        <v>2013</v>
      </c>
      <c r="F25437" s="3" t="s">
        <v>4083</v>
      </c>
      <c r="G25437" s="6">
        <v>17519</v>
      </c>
      <c r="H25437" s="5">
        <v>5914</v>
      </c>
    </row>
    <row r="25438" spans="2:8" ht="15" customHeight="1" x14ac:dyDescent="0.4">
      <c r="B25438" s="3" t="s">
        <v>7</v>
      </c>
      <c r="C25438" s="3" t="s">
        <v>4081</v>
      </c>
      <c r="D25438" s="4">
        <f>DATE(2014,7,24)</f>
        <v>41844</v>
      </c>
      <c r="E25438" s="5">
        <f t="shared" si="430"/>
        <v>2014</v>
      </c>
      <c r="F25438" s="3" t="s">
        <v>4083</v>
      </c>
      <c r="G25438" s="6">
        <v>42361.2</v>
      </c>
      <c r="H25438" s="5">
        <v>6278</v>
      </c>
    </row>
    <row r="25439" spans="2:8" ht="15" customHeight="1" x14ac:dyDescent="0.4">
      <c r="B25439" s="3" t="s">
        <v>7</v>
      </c>
      <c r="C25439" s="3" t="s">
        <v>4081</v>
      </c>
      <c r="D25439" s="4">
        <f>DATE(2014,9,4)</f>
        <v>41886</v>
      </c>
      <c r="E25439" s="5">
        <f t="shared" si="430"/>
        <v>2014</v>
      </c>
      <c r="F25439" s="3" t="s">
        <v>4083</v>
      </c>
      <c r="G25439" s="6">
        <v>15207.28</v>
      </c>
      <c r="H25439" s="5">
        <v>6301</v>
      </c>
    </row>
    <row r="25440" spans="2:8" ht="15" customHeight="1" x14ac:dyDescent="0.4">
      <c r="B25440" s="3" t="s">
        <v>16</v>
      </c>
      <c r="C25440" s="3" t="s">
        <v>4081</v>
      </c>
      <c r="D25440" s="4">
        <f>DATE(2013,10,22)</f>
        <v>41569</v>
      </c>
      <c r="E25440" s="5">
        <f t="shared" si="430"/>
        <v>2013</v>
      </c>
      <c r="F25440" s="3" t="s">
        <v>4083</v>
      </c>
      <c r="G25440" s="6">
        <v>40</v>
      </c>
      <c r="H25440" s="5">
        <v>5919</v>
      </c>
    </row>
    <row r="25441" spans="2:8" ht="15" customHeight="1" x14ac:dyDescent="0.4">
      <c r="B25441" s="3" t="s">
        <v>16</v>
      </c>
      <c r="C25441" s="3" t="s">
        <v>4081</v>
      </c>
      <c r="D25441" s="4">
        <f>DATE(2013,11,7)</f>
        <v>41585</v>
      </c>
      <c r="E25441" s="5">
        <f t="shared" si="430"/>
        <v>2013</v>
      </c>
      <c r="F25441" s="3" t="s">
        <v>4083</v>
      </c>
      <c r="G25441" s="6">
        <v>67.63</v>
      </c>
      <c r="H25441" s="5">
        <v>5933</v>
      </c>
    </row>
    <row r="25442" spans="2:8" ht="15" customHeight="1" x14ac:dyDescent="0.4">
      <c r="B25442" s="3" t="s">
        <v>16</v>
      </c>
      <c r="C25442" s="3" t="s">
        <v>4081</v>
      </c>
      <c r="D25442" s="4">
        <f>DATE(2014,8,4)</f>
        <v>41855</v>
      </c>
      <c r="E25442" s="5">
        <f t="shared" si="430"/>
        <v>2014</v>
      </c>
      <c r="F25442" s="3" t="s">
        <v>4083</v>
      </c>
      <c r="G25442" s="6">
        <v>17519</v>
      </c>
      <c r="H25442" s="5">
        <v>6314</v>
      </c>
    </row>
    <row r="25443" spans="2:8" ht="15" customHeight="1" x14ac:dyDescent="0.4">
      <c r="B25443" s="3" t="s">
        <v>16</v>
      </c>
      <c r="C25443" s="3" t="s">
        <v>4081</v>
      </c>
      <c r="D25443" s="4">
        <f>DATE(2014,8,4)</f>
        <v>41855</v>
      </c>
      <c r="E25443" s="5">
        <f t="shared" si="430"/>
        <v>2014</v>
      </c>
      <c r="F25443" s="3" t="s">
        <v>4083</v>
      </c>
      <c r="G25443" s="6">
        <v>1207.3699999999999</v>
      </c>
      <c r="H25443" s="5">
        <v>6315</v>
      </c>
    </row>
    <row r="25444" spans="2:8" ht="15" customHeight="1" x14ac:dyDescent="0.4">
      <c r="B25444" t="s">
        <v>7</v>
      </c>
      <c r="C25444" t="s">
        <v>4084</v>
      </c>
      <c r="D25444" s="7">
        <f>DATE(2017,8,8)</f>
        <v>42955</v>
      </c>
      <c r="E25444" s="8">
        <f t="shared" si="430"/>
        <v>2017</v>
      </c>
      <c r="F25444" t="s">
        <v>4085</v>
      </c>
      <c r="G25444" s="9">
        <v>10100</v>
      </c>
      <c r="H25444" s="8">
        <v>25349</v>
      </c>
    </row>
    <row r="25445" spans="2:8" ht="15" customHeight="1" x14ac:dyDescent="0.4">
      <c r="B25445" t="s">
        <v>7</v>
      </c>
      <c r="C25445" t="s">
        <v>4084</v>
      </c>
      <c r="D25445" s="7">
        <f>DATE(2017,8,8)</f>
        <v>42955</v>
      </c>
      <c r="E25445" s="8">
        <f t="shared" si="430"/>
        <v>2017</v>
      </c>
      <c r="F25445" t="s">
        <v>4085</v>
      </c>
      <c r="G25445" s="9">
        <v>7600</v>
      </c>
      <c r="H25445" s="8">
        <v>25376</v>
      </c>
    </row>
    <row r="25446" spans="2:8" ht="15" customHeight="1" x14ac:dyDescent="0.4">
      <c r="B25446" t="s">
        <v>7</v>
      </c>
      <c r="C25446" t="s">
        <v>4084</v>
      </c>
      <c r="D25446" s="7">
        <f>DATE(2017,3,21)</f>
        <v>42815</v>
      </c>
      <c r="E25446" s="8">
        <f t="shared" si="430"/>
        <v>2017</v>
      </c>
      <c r="F25446" t="s">
        <v>4085</v>
      </c>
      <c r="G25446" s="9">
        <v>5740</v>
      </c>
      <c r="H25446" s="8">
        <v>24486</v>
      </c>
    </row>
    <row r="25447" spans="2:8" ht="15" customHeight="1" x14ac:dyDescent="0.4">
      <c r="B25447" t="s">
        <v>7</v>
      </c>
      <c r="C25447" t="s">
        <v>4084</v>
      </c>
      <c r="D25447" s="7">
        <f>DATE(2017,3,30)</f>
        <v>42824</v>
      </c>
      <c r="E25447" s="8">
        <f t="shared" si="430"/>
        <v>2017</v>
      </c>
      <c r="F25447" t="s">
        <v>4085</v>
      </c>
      <c r="G25447" s="9">
        <v>1711</v>
      </c>
      <c r="H25447" s="8">
        <v>24486</v>
      </c>
    </row>
    <row r="25448" spans="2:8" ht="15" customHeight="1" x14ac:dyDescent="0.4">
      <c r="B25448" t="s">
        <v>7</v>
      </c>
      <c r="C25448" t="s">
        <v>4084</v>
      </c>
      <c r="D25448" s="7">
        <f>DATE(2017,9,22)</f>
        <v>43000</v>
      </c>
      <c r="E25448" s="8">
        <f t="shared" si="430"/>
        <v>2017</v>
      </c>
      <c r="F25448" t="s">
        <v>4085</v>
      </c>
      <c r="G25448" s="9">
        <v>861</v>
      </c>
      <c r="H25448" s="8">
        <v>25617</v>
      </c>
    </row>
    <row r="25449" spans="2:8" ht="15" customHeight="1" x14ac:dyDescent="0.4">
      <c r="B25449" t="s">
        <v>7</v>
      </c>
      <c r="C25449" t="s">
        <v>4084</v>
      </c>
      <c r="D25449" s="7">
        <f>DATE(2018,8,8)</f>
        <v>43320</v>
      </c>
      <c r="E25449" s="8">
        <f t="shared" si="430"/>
        <v>2018</v>
      </c>
      <c r="F25449" t="s">
        <v>4085</v>
      </c>
      <c r="G25449" s="9">
        <v>98.2</v>
      </c>
      <c r="H25449" s="8">
        <v>27436</v>
      </c>
    </row>
    <row r="25450" spans="2:8" ht="15" customHeight="1" x14ac:dyDescent="0.4">
      <c r="B25450" t="s">
        <v>7</v>
      </c>
      <c r="C25450" t="s">
        <v>4084</v>
      </c>
      <c r="D25450" s="7">
        <f>DATE(2008,10,15)</f>
        <v>39736</v>
      </c>
      <c r="E25450" s="8">
        <f t="shared" si="430"/>
        <v>2008</v>
      </c>
      <c r="F25450" t="s">
        <v>4085</v>
      </c>
      <c r="G25450" s="9">
        <v>1962</v>
      </c>
      <c r="H25450" s="8">
        <v>7888</v>
      </c>
    </row>
    <row r="25451" spans="2:8" ht="15" customHeight="1" x14ac:dyDescent="0.4">
      <c r="B25451" t="s">
        <v>7</v>
      </c>
      <c r="C25451" t="s">
        <v>4084</v>
      </c>
      <c r="D25451" s="7">
        <f>DATE(2009,1,30)</f>
        <v>39843</v>
      </c>
      <c r="E25451" s="8">
        <f t="shared" si="430"/>
        <v>2009</v>
      </c>
      <c r="F25451" t="s">
        <v>4085</v>
      </c>
      <c r="G25451" s="9">
        <v>500</v>
      </c>
      <c r="H25451" s="8">
        <v>8254</v>
      </c>
    </row>
    <row r="25452" spans="2:8" ht="15" customHeight="1" x14ac:dyDescent="0.4">
      <c r="B25452" t="s">
        <v>7</v>
      </c>
      <c r="C25452" t="s">
        <v>4084</v>
      </c>
      <c r="D25452" s="7">
        <f>DATE(2007,9,5)</f>
        <v>39330</v>
      </c>
      <c r="E25452" s="8">
        <f t="shared" si="430"/>
        <v>2007</v>
      </c>
      <c r="F25452" t="s">
        <v>4085</v>
      </c>
      <c r="G25452" s="9">
        <v>6674.69</v>
      </c>
      <c r="H25452" s="8">
        <v>6327</v>
      </c>
    </row>
    <row r="25453" spans="2:8" ht="15" customHeight="1" x14ac:dyDescent="0.4">
      <c r="B25453" t="s">
        <v>7</v>
      </c>
      <c r="C25453" t="s">
        <v>4084</v>
      </c>
      <c r="D25453" s="7">
        <f>DATE(2007,9,1)</f>
        <v>39326</v>
      </c>
      <c r="E25453" s="8">
        <f t="shared" si="430"/>
        <v>2007</v>
      </c>
      <c r="F25453" t="s">
        <v>4085</v>
      </c>
      <c r="G25453" s="9">
        <v>5328.65</v>
      </c>
      <c r="H25453" s="8">
        <v>6181</v>
      </c>
    </row>
    <row r="25454" spans="2:8" ht="15" customHeight="1" x14ac:dyDescent="0.4">
      <c r="B25454" t="s">
        <v>7</v>
      </c>
      <c r="C25454" t="s">
        <v>4084</v>
      </c>
      <c r="D25454" s="7">
        <f>DATE(2007,9,21)</f>
        <v>39346</v>
      </c>
      <c r="E25454" s="8">
        <f t="shared" si="430"/>
        <v>2007</v>
      </c>
      <c r="F25454" t="s">
        <v>4085</v>
      </c>
      <c r="G25454" s="9">
        <v>19965</v>
      </c>
      <c r="H25454" s="8">
        <v>6382</v>
      </c>
    </row>
    <row r="25455" spans="2:8" ht="15" customHeight="1" x14ac:dyDescent="0.4">
      <c r="B25455" t="s">
        <v>7</v>
      </c>
      <c r="C25455" t="s">
        <v>4084</v>
      </c>
      <c r="D25455" s="7">
        <f>DATE(2007,10,29)</f>
        <v>39384</v>
      </c>
      <c r="E25455" s="8">
        <f t="shared" si="430"/>
        <v>2007</v>
      </c>
      <c r="F25455" t="s">
        <v>4085</v>
      </c>
      <c r="G25455" s="9">
        <v>5250</v>
      </c>
      <c r="H25455" s="8">
        <v>6380</v>
      </c>
    </row>
    <row r="25456" spans="2:8" ht="15" customHeight="1" x14ac:dyDescent="0.4">
      <c r="B25456" t="s">
        <v>7</v>
      </c>
      <c r="C25456" t="s">
        <v>4084</v>
      </c>
      <c r="D25456" s="7">
        <f>DATE(2008,10,1)</f>
        <v>39722</v>
      </c>
      <c r="E25456" s="8">
        <f t="shared" si="430"/>
        <v>2008</v>
      </c>
      <c r="F25456" t="s">
        <v>4085</v>
      </c>
      <c r="G25456" s="9">
        <v>12287.09</v>
      </c>
      <c r="H25456" s="8">
        <v>7806</v>
      </c>
    </row>
    <row r="25457" spans="2:8" ht="15" customHeight="1" x14ac:dyDescent="0.4">
      <c r="B25457" t="s">
        <v>7</v>
      </c>
      <c r="C25457" t="s">
        <v>4084</v>
      </c>
      <c r="D25457" s="7">
        <f>DATE(2009,2,17)</f>
        <v>39861</v>
      </c>
      <c r="E25457" s="8">
        <f t="shared" si="430"/>
        <v>2009</v>
      </c>
      <c r="F25457" t="s">
        <v>4085</v>
      </c>
      <c r="G25457" s="9">
        <v>20326</v>
      </c>
      <c r="H25457" s="8">
        <v>8191</v>
      </c>
    </row>
    <row r="25458" spans="2:8" ht="15" customHeight="1" x14ac:dyDescent="0.4">
      <c r="B25458" t="s">
        <v>7</v>
      </c>
      <c r="C25458" t="s">
        <v>4084</v>
      </c>
      <c r="D25458" s="7">
        <f t="shared" ref="D25458:D25463" si="432">DATE(2009,3,16)</f>
        <v>39888</v>
      </c>
      <c r="E25458" s="8">
        <f t="shared" si="430"/>
        <v>2009</v>
      </c>
      <c r="F25458" t="s">
        <v>4085</v>
      </c>
      <c r="G25458" s="9">
        <v>1303</v>
      </c>
      <c r="H25458" s="8">
        <v>8124</v>
      </c>
    </row>
    <row r="25459" spans="2:8" ht="15" customHeight="1" x14ac:dyDescent="0.4">
      <c r="B25459" t="s">
        <v>7</v>
      </c>
      <c r="C25459" t="s">
        <v>4084</v>
      </c>
      <c r="D25459" s="7">
        <f t="shared" si="432"/>
        <v>39888</v>
      </c>
      <c r="E25459" s="8">
        <f t="shared" si="430"/>
        <v>2009</v>
      </c>
      <c r="F25459" t="s">
        <v>4085</v>
      </c>
      <c r="G25459" s="9">
        <v>1005</v>
      </c>
      <c r="H25459" s="8">
        <v>8138</v>
      </c>
    </row>
    <row r="25460" spans="2:8" ht="15" customHeight="1" x14ac:dyDescent="0.4">
      <c r="B25460" t="s">
        <v>7</v>
      </c>
      <c r="C25460" t="s">
        <v>4084</v>
      </c>
      <c r="D25460" s="7">
        <f t="shared" si="432"/>
        <v>39888</v>
      </c>
      <c r="E25460" s="8">
        <f t="shared" si="430"/>
        <v>2009</v>
      </c>
      <c r="F25460" t="s">
        <v>4085</v>
      </c>
      <c r="G25460" s="9">
        <v>2254</v>
      </c>
      <c r="H25460" s="8">
        <v>8139</v>
      </c>
    </row>
    <row r="25461" spans="2:8" ht="15" customHeight="1" x14ac:dyDescent="0.4">
      <c r="B25461" t="s">
        <v>7</v>
      </c>
      <c r="C25461" t="s">
        <v>4084</v>
      </c>
      <c r="D25461" s="7">
        <f t="shared" si="432"/>
        <v>39888</v>
      </c>
      <c r="E25461" s="8">
        <f t="shared" si="430"/>
        <v>2009</v>
      </c>
      <c r="F25461" t="s">
        <v>4085</v>
      </c>
      <c r="G25461" s="9">
        <v>1657</v>
      </c>
      <c r="H25461" s="8">
        <v>8140</v>
      </c>
    </row>
    <row r="25462" spans="2:8" ht="15" customHeight="1" x14ac:dyDescent="0.4">
      <c r="B25462" t="s">
        <v>7</v>
      </c>
      <c r="C25462" t="s">
        <v>4084</v>
      </c>
      <c r="D25462" s="7">
        <f t="shared" si="432"/>
        <v>39888</v>
      </c>
      <c r="E25462" s="8">
        <f t="shared" si="430"/>
        <v>2009</v>
      </c>
      <c r="F25462" t="s">
        <v>4085</v>
      </c>
      <c r="G25462" s="9">
        <v>2335</v>
      </c>
      <c r="H25462" s="8">
        <v>8141</v>
      </c>
    </row>
    <row r="25463" spans="2:8" ht="15" customHeight="1" x14ac:dyDescent="0.4">
      <c r="B25463" t="s">
        <v>7</v>
      </c>
      <c r="C25463" t="s">
        <v>4084</v>
      </c>
      <c r="D25463" s="7">
        <f t="shared" si="432"/>
        <v>39888</v>
      </c>
      <c r="E25463" s="8">
        <f t="shared" si="430"/>
        <v>2009</v>
      </c>
      <c r="F25463" t="s">
        <v>4085</v>
      </c>
      <c r="G25463" s="9">
        <v>1005</v>
      </c>
      <c r="H25463" s="8">
        <v>8142</v>
      </c>
    </row>
    <row r="25464" spans="2:8" ht="15" customHeight="1" x14ac:dyDescent="0.4">
      <c r="B25464" t="s">
        <v>7</v>
      </c>
      <c r="C25464" t="s">
        <v>4084</v>
      </c>
      <c r="D25464" s="7">
        <f>DATE(2009,12,3)</f>
        <v>40150</v>
      </c>
      <c r="E25464" s="8">
        <f t="shared" si="430"/>
        <v>2009</v>
      </c>
      <c r="F25464" t="s">
        <v>4085</v>
      </c>
      <c r="G25464" s="9">
        <v>10575</v>
      </c>
      <c r="H25464" s="8">
        <v>9232</v>
      </c>
    </row>
    <row r="25465" spans="2:8" ht="15" customHeight="1" x14ac:dyDescent="0.4">
      <c r="B25465" t="s">
        <v>7</v>
      </c>
      <c r="C25465" t="s">
        <v>4084</v>
      </c>
      <c r="D25465" s="7">
        <f>DATE(2009,12,3)</f>
        <v>40150</v>
      </c>
      <c r="E25465" s="8">
        <f t="shared" si="430"/>
        <v>2009</v>
      </c>
      <c r="F25465" t="s">
        <v>4085</v>
      </c>
      <c r="G25465" s="9">
        <v>1912.81</v>
      </c>
      <c r="H25465" s="8">
        <v>9225</v>
      </c>
    </row>
    <row r="25466" spans="2:8" ht="15" customHeight="1" x14ac:dyDescent="0.4">
      <c r="B25466" s="3" t="s">
        <v>7</v>
      </c>
      <c r="C25466" s="3" t="s">
        <v>4084</v>
      </c>
      <c r="D25466" s="4">
        <f>DATE(2008,1,2)</f>
        <v>39449</v>
      </c>
      <c r="E25466" s="5">
        <f t="shared" si="430"/>
        <v>2008</v>
      </c>
      <c r="F25466" s="3" t="s">
        <v>4085</v>
      </c>
      <c r="G25466" s="6">
        <v>4230</v>
      </c>
      <c r="H25466" s="5">
        <v>9650</v>
      </c>
    </row>
    <row r="25467" spans="2:8" ht="15" customHeight="1" x14ac:dyDescent="0.4">
      <c r="B25467" s="3" t="s">
        <v>7</v>
      </c>
      <c r="C25467" s="3" t="s">
        <v>4084</v>
      </c>
      <c r="D25467" s="4">
        <f>DATE(2008,2,11)</f>
        <v>39489</v>
      </c>
      <c r="E25467" s="5">
        <f t="shared" si="430"/>
        <v>2008</v>
      </c>
      <c r="F25467" s="3" t="s">
        <v>4085</v>
      </c>
      <c r="G25467" s="6">
        <v>4230</v>
      </c>
      <c r="H25467" s="5">
        <v>9920</v>
      </c>
    </row>
    <row r="25468" spans="2:8" ht="15" customHeight="1" x14ac:dyDescent="0.4">
      <c r="B25468" s="3" t="s">
        <v>7</v>
      </c>
      <c r="C25468" s="3" t="s">
        <v>4084</v>
      </c>
      <c r="D25468" s="4">
        <f>DATE(2008,10,6)</f>
        <v>39727</v>
      </c>
      <c r="E25468" s="5">
        <f t="shared" si="430"/>
        <v>2008</v>
      </c>
      <c r="F25468" s="3" t="s">
        <v>4085</v>
      </c>
      <c r="G25468" s="6">
        <v>5165.5</v>
      </c>
      <c r="H25468" s="5">
        <v>11367</v>
      </c>
    </row>
    <row r="25469" spans="2:8" ht="15" customHeight="1" x14ac:dyDescent="0.4">
      <c r="B25469" s="3" t="s">
        <v>7</v>
      </c>
      <c r="C25469" s="3" t="s">
        <v>4084</v>
      </c>
      <c r="D25469" s="4">
        <f>DATE(2009,4,23)</f>
        <v>39926</v>
      </c>
      <c r="E25469" s="5">
        <f t="shared" si="430"/>
        <v>2009</v>
      </c>
      <c r="F25469" s="3" t="s">
        <v>4085</v>
      </c>
      <c r="G25469" s="6">
        <v>812</v>
      </c>
      <c r="H25469" s="5">
        <v>12394</v>
      </c>
    </row>
    <row r="25470" spans="2:8" ht="15" customHeight="1" x14ac:dyDescent="0.4">
      <c r="B25470" s="3" t="s">
        <v>7</v>
      </c>
      <c r="C25470" s="3" t="s">
        <v>4084</v>
      </c>
      <c r="D25470" s="4">
        <f>DATE(2009,12,2)</f>
        <v>40149</v>
      </c>
      <c r="E25470" s="5">
        <f t="shared" si="430"/>
        <v>2009</v>
      </c>
      <c r="F25470" s="3" t="s">
        <v>4085</v>
      </c>
      <c r="G25470" s="6">
        <v>98.64</v>
      </c>
      <c r="H25470" s="5">
        <v>13313</v>
      </c>
    </row>
    <row r="25471" spans="2:8" ht="15" customHeight="1" x14ac:dyDescent="0.4">
      <c r="B25471" s="3" t="s">
        <v>7</v>
      </c>
      <c r="C25471" s="3" t="s">
        <v>4084</v>
      </c>
      <c r="D25471" s="4">
        <f>DATE(2010,2,25)</f>
        <v>40234</v>
      </c>
      <c r="E25471" s="5">
        <f t="shared" si="430"/>
        <v>2010</v>
      </c>
      <c r="F25471" s="3" t="s">
        <v>4085</v>
      </c>
      <c r="G25471" s="6">
        <v>812</v>
      </c>
      <c r="H25471" s="5">
        <v>13661</v>
      </c>
    </row>
    <row r="25472" spans="2:8" ht="15" customHeight="1" x14ac:dyDescent="0.4">
      <c r="B25472" t="s">
        <v>7</v>
      </c>
      <c r="C25472" t="s">
        <v>4084</v>
      </c>
      <c r="D25472" s="7">
        <f>DATE(2005,5,25)</f>
        <v>38497</v>
      </c>
      <c r="E25472" s="8">
        <f t="shared" si="430"/>
        <v>2005</v>
      </c>
      <c r="F25472" t="s">
        <v>4086</v>
      </c>
      <c r="G25472" s="9">
        <v>2500</v>
      </c>
      <c r="H25472" s="8">
        <v>3067</v>
      </c>
    </row>
    <row r="25473" spans="2:8" ht="15" customHeight="1" x14ac:dyDescent="0.4">
      <c r="B25473" t="s">
        <v>7</v>
      </c>
      <c r="C25473" t="s">
        <v>4084</v>
      </c>
      <c r="D25473" s="7">
        <f>DATE(2005,5,24)</f>
        <v>38496</v>
      </c>
      <c r="E25473" s="8">
        <f t="shared" si="430"/>
        <v>2005</v>
      </c>
      <c r="F25473" t="s">
        <v>4086</v>
      </c>
      <c r="G25473" s="9">
        <v>4900</v>
      </c>
      <c r="H25473" s="8">
        <v>3070</v>
      </c>
    </row>
    <row r="25474" spans="2:8" ht="15" customHeight="1" x14ac:dyDescent="0.4">
      <c r="B25474" t="s">
        <v>7</v>
      </c>
      <c r="C25474" t="s">
        <v>4084</v>
      </c>
      <c r="D25474" s="7">
        <f>DATE(2006,3,31)</f>
        <v>38807</v>
      </c>
      <c r="E25474" s="8">
        <f t="shared" si="430"/>
        <v>2006</v>
      </c>
      <c r="F25474" t="s">
        <v>4086</v>
      </c>
      <c r="G25474" s="9">
        <v>6715</v>
      </c>
      <c r="H25474" s="8">
        <v>4261</v>
      </c>
    </row>
    <row r="25475" spans="2:8" ht="15" customHeight="1" x14ac:dyDescent="0.4">
      <c r="B25475" t="s">
        <v>7</v>
      </c>
      <c r="C25475" t="s">
        <v>4084</v>
      </c>
      <c r="D25475" s="7">
        <f>DATE(2006,3,31)</f>
        <v>38807</v>
      </c>
      <c r="E25475" s="8">
        <f t="shared" ref="E25475:E25538" si="433">YEAR(D25475)</f>
        <v>2006</v>
      </c>
      <c r="F25475" t="s">
        <v>4086</v>
      </c>
      <c r="G25475" s="9">
        <v>12800</v>
      </c>
      <c r="H25475" s="8">
        <v>4339</v>
      </c>
    </row>
    <row r="25476" spans="2:8" ht="15" customHeight="1" x14ac:dyDescent="0.4">
      <c r="B25476" t="s">
        <v>7</v>
      </c>
      <c r="C25476" t="s">
        <v>4084</v>
      </c>
      <c r="D25476" s="7">
        <f>DATE(2006,7,13)</f>
        <v>38911</v>
      </c>
      <c r="E25476" s="8">
        <f t="shared" si="433"/>
        <v>2006</v>
      </c>
      <c r="F25476" t="s">
        <v>4086</v>
      </c>
      <c r="G25476" s="9">
        <v>5034.0600000000004</v>
      </c>
      <c r="H25476" s="8">
        <v>4779</v>
      </c>
    </row>
    <row r="25477" spans="2:8" ht="15" customHeight="1" x14ac:dyDescent="0.4">
      <c r="B25477" t="s">
        <v>7</v>
      </c>
      <c r="C25477" t="s">
        <v>4084</v>
      </c>
      <c r="D25477" s="7">
        <f>DATE(2006,7,13)</f>
        <v>38911</v>
      </c>
      <c r="E25477" s="8">
        <f t="shared" si="433"/>
        <v>2006</v>
      </c>
      <c r="F25477" t="s">
        <v>4086</v>
      </c>
      <c r="G25477" s="9">
        <v>5580.51</v>
      </c>
      <c r="H25477" s="8">
        <v>4778</v>
      </c>
    </row>
    <row r="25478" spans="2:8" ht="15" customHeight="1" x14ac:dyDescent="0.4">
      <c r="B25478" t="s">
        <v>7</v>
      </c>
      <c r="C25478" t="s">
        <v>4084</v>
      </c>
      <c r="D25478" s="7">
        <f>DATE(2006,7,24)</f>
        <v>38922</v>
      </c>
      <c r="E25478" s="8">
        <f t="shared" si="433"/>
        <v>2006</v>
      </c>
      <c r="F25478" t="s">
        <v>4086</v>
      </c>
      <c r="G25478" s="9">
        <v>4694.33</v>
      </c>
      <c r="H25478" s="8">
        <v>4822</v>
      </c>
    </row>
    <row r="25479" spans="2:8" ht="15" customHeight="1" x14ac:dyDescent="0.4">
      <c r="B25479" t="s">
        <v>7</v>
      </c>
      <c r="C25479" t="s">
        <v>4084</v>
      </c>
      <c r="D25479" s="7">
        <f>DATE(2006,7,27)</f>
        <v>38925</v>
      </c>
      <c r="E25479" s="8">
        <f t="shared" si="433"/>
        <v>2006</v>
      </c>
      <c r="F25479" t="s">
        <v>4086</v>
      </c>
      <c r="G25479" s="9">
        <v>8861.31</v>
      </c>
      <c r="H25479" s="8">
        <v>4821</v>
      </c>
    </row>
    <row r="25480" spans="2:8" ht="15" customHeight="1" x14ac:dyDescent="0.4">
      <c r="B25480" t="s">
        <v>7</v>
      </c>
      <c r="C25480" t="s">
        <v>4084</v>
      </c>
      <c r="D25480" s="7">
        <f>DATE(2006,8,11)</f>
        <v>38940</v>
      </c>
      <c r="E25480" s="8">
        <f t="shared" si="433"/>
        <v>2006</v>
      </c>
      <c r="F25480" t="s">
        <v>4086</v>
      </c>
      <c r="G25480" s="9">
        <v>18021.46</v>
      </c>
      <c r="H25480" s="8">
        <v>4856</v>
      </c>
    </row>
    <row r="25481" spans="2:8" ht="15" customHeight="1" x14ac:dyDescent="0.4">
      <c r="B25481" t="s">
        <v>7</v>
      </c>
      <c r="C25481" t="s">
        <v>4084</v>
      </c>
      <c r="D25481" s="7">
        <f>DATE(2006,12,1)</f>
        <v>39052</v>
      </c>
      <c r="E25481" s="8">
        <f t="shared" si="433"/>
        <v>2006</v>
      </c>
      <c r="F25481" t="s">
        <v>4086</v>
      </c>
      <c r="G25481" s="9">
        <v>18508.04</v>
      </c>
      <c r="H25481" s="8">
        <v>5124</v>
      </c>
    </row>
    <row r="25482" spans="2:8" ht="15" customHeight="1" x14ac:dyDescent="0.4">
      <c r="B25482" t="s">
        <v>7</v>
      </c>
      <c r="C25482" t="s">
        <v>4084</v>
      </c>
      <c r="D25482" s="7">
        <f>DATE(2007,2,16)</f>
        <v>39129</v>
      </c>
      <c r="E25482" s="8">
        <f t="shared" si="433"/>
        <v>2007</v>
      </c>
      <c r="F25482" t="s">
        <v>4086</v>
      </c>
      <c r="G25482" s="9">
        <v>6900</v>
      </c>
      <c r="H25482" s="8">
        <v>5571</v>
      </c>
    </row>
    <row r="25483" spans="2:8" ht="15" customHeight="1" x14ac:dyDescent="0.4">
      <c r="B25483" t="s">
        <v>7</v>
      </c>
      <c r="C25483" t="s">
        <v>4084</v>
      </c>
      <c r="D25483" s="7">
        <f>DATE(2007,3,8)</f>
        <v>39149</v>
      </c>
      <c r="E25483" s="8">
        <f t="shared" si="433"/>
        <v>2007</v>
      </c>
      <c r="F25483" t="s">
        <v>4086</v>
      </c>
      <c r="G25483" s="9">
        <v>13755.91</v>
      </c>
      <c r="H25483" s="8">
        <v>5664</v>
      </c>
    </row>
    <row r="25484" spans="2:8" ht="15" customHeight="1" x14ac:dyDescent="0.4">
      <c r="B25484" t="s">
        <v>7</v>
      </c>
      <c r="C25484" t="s">
        <v>4084</v>
      </c>
      <c r="D25484" s="7">
        <f>DATE(2007,6,1)</f>
        <v>39234</v>
      </c>
      <c r="E25484" s="8">
        <f t="shared" si="433"/>
        <v>2007</v>
      </c>
      <c r="F25484" t="s">
        <v>4086</v>
      </c>
      <c r="G25484" s="9">
        <v>3400</v>
      </c>
      <c r="H25484" s="8">
        <v>5828</v>
      </c>
    </row>
    <row r="25485" spans="2:8" ht="15" customHeight="1" x14ac:dyDescent="0.4">
      <c r="B25485" t="s">
        <v>7</v>
      </c>
      <c r="C25485" t="s">
        <v>4084</v>
      </c>
      <c r="D25485" s="7">
        <f>DATE(2007,6,1)</f>
        <v>39234</v>
      </c>
      <c r="E25485" s="8">
        <f t="shared" si="433"/>
        <v>2007</v>
      </c>
      <c r="F25485" t="s">
        <v>4086</v>
      </c>
      <c r="G25485" s="9">
        <v>16400</v>
      </c>
      <c r="H25485" s="8">
        <v>5565</v>
      </c>
    </row>
    <row r="25486" spans="2:8" ht="15" customHeight="1" x14ac:dyDescent="0.4">
      <c r="B25486" t="s">
        <v>7</v>
      </c>
      <c r="C25486" t="s">
        <v>4084</v>
      </c>
      <c r="D25486" s="7">
        <f>DATE(2007,7,1)</f>
        <v>39264</v>
      </c>
      <c r="E25486" s="8">
        <f t="shared" si="433"/>
        <v>2007</v>
      </c>
      <c r="F25486" t="s">
        <v>4086</v>
      </c>
      <c r="G25486" s="9">
        <v>10796.61</v>
      </c>
      <c r="H25486" s="8">
        <v>5999</v>
      </c>
    </row>
    <row r="25487" spans="2:8" ht="15" customHeight="1" x14ac:dyDescent="0.4">
      <c r="B25487" s="3" t="s">
        <v>7</v>
      </c>
      <c r="C25487" s="3" t="s">
        <v>4084</v>
      </c>
      <c r="D25487" s="4">
        <f>DATE(2006,2,16)</f>
        <v>38764</v>
      </c>
      <c r="E25487" s="5">
        <f t="shared" si="433"/>
        <v>2006</v>
      </c>
      <c r="F25487" s="3" t="s">
        <v>4086</v>
      </c>
      <c r="G25487" s="6">
        <v>406</v>
      </c>
      <c r="H25487" s="5">
        <v>6079</v>
      </c>
    </row>
    <row r="25488" spans="2:8" ht="15" customHeight="1" x14ac:dyDescent="0.4">
      <c r="B25488" s="3" t="s">
        <v>7</v>
      </c>
      <c r="C25488" s="3" t="s">
        <v>4084</v>
      </c>
      <c r="D25488" s="4">
        <f>DATE(2006,4,4)</f>
        <v>38811</v>
      </c>
      <c r="E25488" s="5">
        <f t="shared" si="433"/>
        <v>2006</v>
      </c>
      <c r="F25488" s="3" t="s">
        <v>4086</v>
      </c>
      <c r="G25488" s="6">
        <v>2504</v>
      </c>
      <c r="H25488" s="5">
        <v>6440</v>
      </c>
    </row>
    <row r="25489" spans="2:8" ht="15" customHeight="1" x14ac:dyDescent="0.4">
      <c r="B25489" s="3" t="s">
        <v>7</v>
      </c>
      <c r="C25489" s="3" t="s">
        <v>4084</v>
      </c>
      <c r="D25489" s="4">
        <f>DATE(2006,5,11)</f>
        <v>38848</v>
      </c>
      <c r="E25489" s="5">
        <f t="shared" si="433"/>
        <v>2006</v>
      </c>
      <c r="F25489" s="3" t="s">
        <v>4086</v>
      </c>
      <c r="G25489" s="6">
        <v>2115</v>
      </c>
      <c r="H25489" s="5">
        <v>6706</v>
      </c>
    </row>
    <row r="25490" spans="2:8" ht="15" customHeight="1" x14ac:dyDescent="0.4">
      <c r="B25490" s="3" t="s">
        <v>7</v>
      </c>
      <c r="C25490" s="3" t="s">
        <v>4084</v>
      </c>
      <c r="D25490" s="4">
        <f>DATE(2007,4,24)</f>
        <v>39196</v>
      </c>
      <c r="E25490" s="5">
        <f t="shared" si="433"/>
        <v>2007</v>
      </c>
      <c r="F25490" s="3" t="s">
        <v>4086</v>
      </c>
      <c r="G25490" s="6">
        <v>846</v>
      </c>
      <c r="H25490" s="5">
        <v>8453</v>
      </c>
    </row>
    <row r="25491" spans="2:8" ht="15" customHeight="1" x14ac:dyDescent="0.4">
      <c r="B25491" s="3" t="s">
        <v>7</v>
      </c>
      <c r="C25491" s="3" t="s">
        <v>4084</v>
      </c>
      <c r="D25491" s="4">
        <f>DATE(2005,5,18)</f>
        <v>38490</v>
      </c>
      <c r="E25491" s="5">
        <f t="shared" si="433"/>
        <v>2005</v>
      </c>
      <c r="F25491" s="3" t="s">
        <v>4087</v>
      </c>
      <c r="G25491" s="6">
        <v>2070</v>
      </c>
      <c r="H25491" s="5">
        <v>4756</v>
      </c>
    </row>
    <row r="25492" spans="2:8" ht="15" customHeight="1" x14ac:dyDescent="0.4">
      <c r="B25492" s="3" t="s">
        <v>7</v>
      </c>
      <c r="C25492" s="3" t="s">
        <v>4088</v>
      </c>
      <c r="D25492" s="4">
        <f>DATE(2003,8,22)</f>
        <v>37855</v>
      </c>
      <c r="E25492" s="5">
        <f t="shared" si="433"/>
        <v>2003</v>
      </c>
      <c r="F25492" s="3" t="s">
        <v>4089</v>
      </c>
      <c r="G25492" s="6">
        <v>7913.83</v>
      </c>
      <c r="H25492" s="5">
        <v>289</v>
      </c>
    </row>
    <row r="25493" spans="2:8" ht="15" customHeight="1" x14ac:dyDescent="0.4">
      <c r="B25493" s="3" t="s">
        <v>16</v>
      </c>
      <c r="C25493" s="3" t="s">
        <v>4088</v>
      </c>
      <c r="D25493" s="4">
        <f>DATE(2003,8,22)</f>
        <v>37855</v>
      </c>
      <c r="E25493" s="5">
        <f t="shared" si="433"/>
        <v>2003</v>
      </c>
      <c r="F25493" s="3" t="s">
        <v>4089</v>
      </c>
      <c r="G25493" s="6">
        <v>603.13</v>
      </c>
      <c r="H25493" s="5">
        <v>360</v>
      </c>
    </row>
    <row r="25494" spans="2:8" ht="15" customHeight="1" x14ac:dyDescent="0.4">
      <c r="B25494" s="3" t="s">
        <v>7</v>
      </c>
      <c r="C25494" s="3" t="s">
        <v>4090</v>
      </c>
      <c r="D25494" s="4">
        <f>DATE(2004,7,29)</f>
        <v>38197</v>
      </c>
      <c r="E25494" s="5">
        <f t="shared" si="433"/>
        <v>2004</v>
      </c>
      <c r="F25494" s="3" t="s">
        <v>4091</v>
      </c>
      <c r="G25494" s="6">
        <v>9152.2999999999993</v>
      </c>
      <c r="H25494" s="5">
        <v>727</v>
      </c>
    </row>
    <row r="25495" spans="2:8" ht="15" customHeight="1" x14ac:dyDescent="0.4">
      <c r="B25495" t="s">
        <v>7</v>
      </c>
      <c r="C25495" t="s">
        <v>4092</v>
      </c>
      <c r="D25495" s="7">
        <f>DATE(2016,5,6)</f>
        <v>42496</v>
      </c>
      <c r="E25495" s="8">
        <f t="shared" si="433"/>
        <v>2016</v>
      </c>
      <c r="F25495" t="s">
        <v>4093</v>
      </c>
      <c r="G25495" s="9">
        <v>1381.93</v>
      </c>
      <c r="H25495" s="8">
        <v>22785</v>
      </c>
    </row>
    <row r="25496" spans="2:8" ht="15" customHeight="1" x14ac:dyDescent="0.4">
      <c r="B25496" t="s">
        <v>7</v>
      </c>
      <c r="C25496" t="s">
        <v>4092</v>
      </c>
      <c r="D25496" s="7">
        <f>DATE(2016,6,6)</f>
        <v>42527</v>
      </c>
      <c r="E25496" s="8">
        <f t="shared" si="433"/>
        <v>2016</v>
      </c>
      <c r="F25496" t="s">
        <v>4093</v>
      </c>
      <c r="G25496" s="9">
        <v>9028.7800000000007</v>
      </c>
      <c r="H25496" s="8">
        <v>22941</v>
      </c>
    </row>
    <row r="25497" spans="2:8" ht="15" customHeight="1" x14ac:dyDescent="0.4">
      <c r="B25497" t="s">
        <v>7</v>
      </c>
      <c r="C25497" t="s">
        <v>4092</v>
      </c>
      <c r="D25497" s="7">
        <f>DATE(2004,12,31)</f>
        <v>38352</v>
      </c>
      <c r="E25497" s="8">
        <f t="shared" si="433"/>
        <v>2004</v>
      </c>
      <c r="F25497" t="s">
        <v>4093</v>
      </c>
      <c r="G25497" s="9">
        <v>3711.31</v>
      </c>
      <c r="H25497" s="8">
        <v>2520</v>
      </c>
    </row>
    <row r="25498" spans="2:8" ht="15" customHeight="1" x14ac:dyDescent="0.4">
      <c r="B25498" t="s">
        <v>7</v>
      </c>
      <c r="C25498" t="s">
        <v>4092</v>
      </c>
      <c r="D25498" s="7">
        <f>DATE(2005,2,16)</f>
        <v>38399</v>
      </c>
      <c r="E25498" s="8">
        <f t="shared" si="433"/>
        <v>2005</v>
      </c>
      <c r="F25498" t="s">
        <v>4093</v>
      </c>
      <c r="G25498" s="9">
        <v>55000</v>
      </c>
      <c r="H25498" s="8">
        <v>2563</v>
      </c>
    </row>
    <row r="25499" spans="2:8" ht="15" customHeight="1" x14ac:dyDescent="0.4">
      <c r="B25499" t="s">
        <v>7</v>
      </c>
      <c r="C25499" t="s">
        <v>4092</v>
      </c>
      <c r="D25499" s="7">
        <f>DATE(2005,2,18)</f>
        <v>38401</v>
      </c>
      <c r="E25499" s="8">
        <f t="shared" si="433"/>
        <v>2005</v>
      </c>
      <c r="F25499" t="s">
        <v>4093</v>
      </c>
      <c r="G25499" s="9">
        <v>5927.98</v>
      </c>
      <c r="H25499" s="8">
        <v>2764</v>
      </c>
    </row>
    <row r="25500" spans="2:8" ht="15" customHeight="1" x14ac:dyDescent="0.4">
      <c r="B25500" t="s">
        <v>7</v>
      </c>
      <c r="C25500" t="s">
        <v>4092</v>
      </c>
      <c r="D25500" s="7">
        <f>DATE(2005,3,9)</f>
        <v>38420</v>
      </c>
      <c r="E25500" s="8">
        <f t="shared" si="433"/>
        <v>2005</v>
      </c>
      <c r="F25500" t="s">
        <v>4093</v>
      </c>
      <c r="G25500" s="9">
        <v>3817.96</v>
      </c>
      <c r="H25500" s="8">
        <v>2890</v>
      </c>
    </row>
    <row r="25501" spans="2:8" ht="15" customHeight="1" x14ac:dyDescent="0.4">
      <c r="B25501" t="s">
        <v>7</v>
      </c>
      <c r="C25501" t="s">
        <v>4092</v>
      </c>
      <c r="D25501" s="7">
        <f>DATE(2005,2,22)</f>
        <v>38405</v>
      </c>
      <c r="E25501" s="8">
        <f t="shared" si="433"/>
        <v>2005</v>
      </c>
      <c r="F25501" t="s">
        <v>4093</v>
      </c>
      <c r="G25501" s="9">
        <v>8833.69</v>
      </c>
      <c r="H25501" s="8">
        <v>2799</v>
      </c>
    </row>
    <row r="25502" spans="2:8" ht="15" customHeight="1" x14ac:dyDescent="0.4">
      <c r="B25502" t="s">
        <v>7</v>
      </c>
      <c r="C25502" t="s">
        <v>4092</v>
      </c>
      <c r="D25502" s="7">
        <f>DATE(2005,3,8)</f>
        <v>38419</v>
      </c>
      <c r="E25502" s="8">
        <f t="shared" si="433"/>
        <v>2005</v>
      </c>
      <c r="F25502" t="s">
        <v>4093</v>
      </c>
      <c r="G25502" s="9">
        <v>51051.88</v>
      </c>
      <c r="H25502" s="8">
        <v>2806</v>
      </c>
    </row>
    <row r="25503" spans="2:8" ht="15" customHeight="1" x14ac:dyDescent="0.4">
      <c r="B25503" t="s">
        <v>7</v>
      </c>
      <c r="C25503" t="s">
        <v>4092</v>
      </c>
      <c r="D25503" s="7">
        <f>DATE(2005,7,24)</f>
        <v>38557</v>
      </c>
      <c r="E25503" s="8">
        <f t="shared" si="433"/>
        <v>2005</v>
      </c>
      <c r="F25503" t="s">
        <v>4093</v>
      </c>
      <c r="G25503" s="9">
        <v>3923.8</v>
      </c>
      <c r="H25503" s="8">
        <v>3405</v>
      </c>
    </row>
    <row r="25504" spans="2:8" ht="15" customHeight="1" x14ac:dyDescent="0.4">
      <c r="B25504" t="s">
        <v>7</v>
      </c>
      <c r="C25504" t="s">
        <v>4092</v>
      </c>
      <c r="D25504" s="7">
        <f>DATE(2005,12,18)</f>
        <v>38704</v>
      </c>
      <c r="E25504" s="8">
        <f t="shared" si="433"/>
        <v>2005</v>
      </c>
      <c r="F25504" t="s">
        <v>4093</v>
      </c>
      <c r="G25504" s="9">
        <v>42750</v>
      </c>
      <c r="H25504" s="8">
        <v>3795</v>
      </c>
    </row>
    <row r="25505" spans="2:8" ht="15" customHeight="1" x14ac:dyDescent="0.4">
      <c r="B25505" t="s">
        <v>7</v>
      </c>
      <c r="C25505" t="s">
        <v>4092</v>
      </c>
      <c r="D25505" s="7">
        <f>DATE(2006,1,5)</f>
        <v>38722</v>
      </c>
      <c r="E25505" s="8">
        <f t="shared" si="433"/>
        <v>2006</v>
      </c>
      <c r="F25505" t="s">
        <v>4093</v>
      </c>
      <c r="G25505" s="9">
        <v>42750</v>
      </c>
      <c r="H25505" s="8">
        <v>3896</v>
      </c>
    </row>
    <row r="25506" spans="2:8" ht="15" customHeight="1" x14ac:dyDescent="0.4">
      <c r="B25506" t="s">
        <v>7</v>
      </c>
      <c r="C25506" t="s">
        <v>4092</v>
      </c>
      <c r="D25506" s="7">
        <f>DATE(2006,4,16)</f>
        <v>38823</v>
      </c>
      <c r="E25506" s="8">
        <f t="shared" si="433"/>
        <v>2006</v>
      </c>
      <c r="F25506" t="s">
        <v>4093</v>
      </c>
      <c r="G25506" s="9">
        <v>17500</v>
      </c>
      <c r="H25506" s="8">
        <v>4441</v>
      </c>
    </row>
    <row r="25507" spans="2:8" ht="15" customHeight="1" x14ac:dyDescent="0.4">
      <c r="B25507" t="s">
        <v>7</v>
      </c>
      <c r="C25507" t="s">
        <v>4092</v>
      </c>
      <c r="D25507" s="7">
        <f>DATE(2006,4,16)</f>
        <v>38823</v>
      </c>
      <c r="E25507" s="8">
        <f t="shared" si="433"/>
        <v>2006</v>
      </c>
      <c r="F25507" t="s">
        <v>4093</v>
      </c>
      <c r="G25507" s="9">
        <v>4000</v>
      </c>
      <c r="H25507" s="8">
        <v>4561</v>
      </c>
    </row>
    <row r="25508" spans="2:8" ht="15" customHeight="1" x14ac:dyDescent="0.4">
      <c r="B25508" t="s">
        <v>7</v>
      </c>
      <c r="C25508" t="s">
        <v>4092</v>
      </c>
      <c r="D25508" s="7">
        <f>DATE(2007,3,5)</f>
        <v>39146</v>
      </c>
      <c r="E25508" s="8">
        <f t="shared" si="433"/>
        <v>2007</v>
      </c>
      <c r="F25508" t="s">
        <v>4093</v>
      </c>
      <c r="G25508" s="9">
        <v>49500</v>
      </c>
      <c r="H25508" s="8">
        <v>5623</v>
      </c>
    </row>
    <row r="25509" spans="2:8" ht="15" customHeight="1" x14ac:dyDescent="0.4">
      <c r="B25509" t="s">
        <v>7</v>
      </c>
      <c r="C25509" t="s">
        <v>4092</v>
      </c>
      <c r="D25509" s="7">
        <f>DATE(2007,3,8)</f>
        <v>39149</v>
      </c>
      <c r="E25509" s="8">
        <f t="shared" si="433"/>
        <v>2007</v>
      </c>
      <c r="F25509" t="s">
        <v>4093</v>
      </c>
      <c r="G25509" s="9">
        <v>7848.36</v>
      </c>
      <c r="H25509" s="8">
        <v>5642</v>
      </c>
    </row>
    <row r="25510" spans="2:8" ht="15" customHeight="1" x14ac:dyDescent="0.4">
      <c r="B25510" t="s">
        <v>7</v>
      </c>
      <c r="C25510" t="s">
        <v>4092</v>
      </c>
      <c r="D25510" s="7">
        <f>DATE(2007,8,27)</f>
        <v>39321</v>
      </c>
      <c r="E25510" s="8">
        <f t="shared" si="433"/>
        <v>2007</v>
      </c>
      <c r="F25510" t="s">
        <v>4093</v>
      </c>
      <c r="G25510" s="9">
        <v>26540</v>
      </c>
      <c r="H25510" s="8">
        <v>6111</v>
      </c>
    </row>
    <row r="25511" spans="2:8" ht="15" customHeight="1" x14ac:dyDescent="0.4">
      <c r="B25511" t="s">
        <v>7</v>
      </c>
      <c r="C25511" t="s">
        <v>4092</v>
      </c>
      <c r="D25511" s="7">
        <f>DATE(2007,9,1)</f>
        <v>39326</v>
      </c>
      <c r="E25511" s="8">
        <f t="shared" si="433"/>
        <v>2007</v>
      </c>
      <c r="F25511" t="s">
        <v>4093</v>
      </c>
      <c r="G25511" s="9">
        <v>26540</v>
      </c>
      <c r="H25511" s="8">
        <v>6399</v>
      </c>
    </row>
    <row r="25512" spans="2:8" ht="15" customHeight="1" x14ac:dyDescent="0.4">
      <c r="B25512" t="s">
        <v>7</v>
      </c>
      <c r="C25512" t="s">
        <v>4092</v>
      </c>
      <c r="D25512" s="7">
        <f>DATE(2007,9,17)</f>
        <v>39342</v>
      </c>
      <c r="E25512" s="8">
        <f t="shared" si="433"/>
        <v>2007</v>
      </c>
      <c r="F25512" t="s">
        <v>4093</v>
      </c>
      <c r="G25512" s="9">
        <v>26540</v>
      </c>
      <c r="H25512" s="8">
        <v>6372</v>
      </c>
    </row>
    <row r="25513" spans="2:8" ht="15" customHeight="1" x14ac:dyDescent="0.4">
      <c r="B25513" t="s">
        <v>7</v>
      </c>
      <c r="C25513" t="s">
        <v>4092</v>
      </c>
      <c r="D25513" s="7">
        <f>DATE(2007,12,1)</f>
        <v>39417</v>
      </c>
      <c r="E25513" s="8">
        <f t="shared" si="433"/>
        <v>2007</v>
      </c>
      <c r="F25513" t="s">
        <v>4093</v>
      </c>
      <c r="G25513" s="9">
        <v>5542.21</v>
      </c>
      <c r="H25513" s="8">
        <v>6554</v>
      </c>
    </row>
    <row r="25514" spans="2:8" ht="15" customHeight="1" x14ac:dyDescent="0.4">
      <c r="B25514" t="s">
        <v>7</v>
      </c>
      <c r="C25514" t="s">
        <v>4092</v>
      </c>
      <c r="D25514" s="7">
        <f>DATE(2008,3,7)</f>
        <v>39514</v>
      </c>
      <c r="E25514" s="8">
        <f t="shared" si="433"/>
        <v>2008</v>
      </c>
      <c r="F25514" t="s">
        <v>4093</v>
      </c>
      <c r="G25514" s="9">
        <v>54020</v>
      </c>
      <c r="H25514" s="8">
        <v>7019</v>
      </c>
    </row>
    <row r="25515" spans="2:8" ht="15" customHeight="1" x14ac:dyDescent="0.4">
      <c r="B25515" t="s">
        <v>7</v>
      </c>
      <c r="C25515" t="s">
        <v>4092</v>
      </c>
      <c r="D25515" s="7">
        <f>DATE(2008,4,6)</f>
        <v>39544</v>
      </c>
      <c r="E25515" s="8">
        <f t="shared" si="433"/>
        <v>2008</v>
      </c>
      <c r="F25515" t="s">
        <v>4093</v>
      </c>
      <c r="G25515" s="9">
        <v>32500</v>
      </c>
      <c r="H25515" s="8">
        <v>6717</v>
      </c>
    </row>
    <row r="25516" spans="2:8" ht="15" customHeight="1" x14ac:dyDescent="0.4">
      <c r="B25516" t="s">
        <v>7</v>
      </c>
      <c r="C25516" t="s">
        <v>4092</v>
      </c>
      <c r="D25516" s="7">
        <f>DATE(2009,4,23)</f>
        <v>39926</v>
      </c>
      <c r="E25516" s="8">
        <f t="shared" si="433"/>
        <v>2009</v>
      </c>
      <c r="F25516" t="s">
        <v>4093</v>
      </c>
      <c r="G25516" s="9">
        <v>8905.3700000000008</v>
      </c>
      <c r="H25516" s="8">
        <v>8621</v>
      </c>
    </row>
    <row r="25517" spans="2:8" ht="15" customHeight="1" x14ac:dyDescent="0.4">
      <c r="B25517" t="s">
        <v>16</v>
      </c>
      <c r="C25517" t="s">
        <v>4092</v>
      </c>
      <c r="D25517" s="7">
        <f>DATE(2007,8,27)</f>
        <v>39321</v>
      </c>
      <c r="E25517" s="8">
        <f t="shared" si="433"/>
        <v>2007</v>
      </c>
      <c r="F25517" t="s">
        <v>4093</v>
      </c>
      <c r="G25517" s="9">
        <v>26540</v>
      </c>
      <c r="H25517" s="8">
        <v>6398</v>
      </c>
    </row>
    <row r="25518" spans="2:8" ht="15" customHeight="1" x14ac:dyDescent="0.4">
      <c r="B25518" s="3" t="s">
        <v>7</v>
      </c>
      <c r="C25518" s="3" t="s">
        <v>4092</v>
      </c>
      <c r="D25518" s="4">
        <f>DATE(2005,12,14)</f>
        <v>38700</v>
      </c>
      <c r="E25518" s="5">
        <f t="shared" si="433"/>
        <v>2005</v>
      </c>
      <c r="F25518" s="3" t="s">
        <v>4093</v>
      </c>
      <c r="G25518" s="6">
        <v>15577</v>
      </c>
      <c r="H25518" s="5">
        <v>5634</v>
      </c>
    </row>
    <row r="25519" spans="2:8" ht="15" customHeight="1" x14ac:dyDescent="0.4">
      <c r="B25519" s="3" t="s">
        <v>7</v>
      </c>
      <c r="C25519" s="3" t="s">
        <v>4092</v>
      </c>
      <c r="D25519" s="4">
        <f>DATE(2007,2,28)</f>
        <v>39141</v>
      </c>
      <c r="E25519" s="5">
        <f t="shared" si="433"/>
        <v>2007</v>
      </c>
      <c r="F25519" s="3" t="s">
        <v>4093</v>
      </c>
      <c r="G25519" s="6">
        <v>11824.62</v>
      </c>
      <c r="H25519" s="5">
        <v>8012</v>
      </c>
    </row>
    <row r="25520" spans="2:8" ht="15" customHeight="1" x14ac:dyDescent="0.4">
      <c r="B25520" s="3" t="s">
        <v>7</v>
      </c>
      <c r="C25520" s="3" t="s">
        <v>4092</v>
      </c>
      <c r="D25520" s="4">
        <f>DATE(2007,6,27)</f>
        <v>39260</v>
      </c>
      <c r="E25520" s="5">
        <f t="shared" si="433"/>
        <v>2007</v>
      </c>
      <c r="F25520" s="3" t="s">
        <v>4093</v>
      </c>
      <c r="G25520" s="6">
        <v>6334.62</v>
      </c>
      <c r="H25520" s="5">
        <v>8807</v>
      </c>
    </row>
    <row r="25521" spans="2:8" ht="15" customHeight="1" x14ac:dyDescent="0.4">
      <c r="B25521" s="3" t="s">
        <v>7</v>
      </c>
      <c r="C25521" s="3" t="s">
        <v>4092</v>
      </c>
      <c r="D25521" s="4">
        <f>DATE(2007,9,1)</f>
        <v>39326</v>
      </c>
      <c r="E25521" s="5">
        <f t="shared" si="433"/>
        <v>2007</v>
      </c>
      <c r="F25521" s="3" t="s">
        <v>4093</v>
      </c>
      <c r="G25521" s="6">
        <v>3100</v>
      </c>
      <c r="H25521" s="5">
        <v>9066</v>
      </c>
    </row>
    <row r="25522" spans="2:8" ht="15" customHeight="1" x14ac:dyDescent="0.4">
      <c r="B25522" s="3" t="s">
        <v>7</v>
      </c>
      <c r="C25522" s="3" t="s">
        <v>4092</v>
      </c>
      <c r="D25522" s="4">
        <f>DATE(2007,9,17)</f>
        <v>39342</v>
      </c>
      <c r="E25522" s="5">
        <f t="shared" si="433"/>
        <v>2007</v>
      </c>
      <c r="F25522" s="3" t="s">
        <v>4093</v>
      </c>
      <c r="G25522" s="6">
        <v>3100</v>
      </c>
      <c r="H25522" s="5">
        <v>9170</v>
      </c>
    </row>
    <row r="25523" spans="2:8" ht="15" customHeight="1" x14ac:dyDescent="0.4">
      <c r="B25523" s="3" t="s">
        <v>7</v>
      </c>
      <c r="C25523" s="3" t="s">
        <v>4092</v>
      </c>
      <c r="D25523" s="4">
        <f>DATE(2008,2,28)</f>
        <v>39506</v>
      </c>
      <c r="E25523" s="5">
        <f t="shared" si="433"/>
        <v>2008</v>
      </c>
      <c r="F25523" s="3" t="s">
        <v>4093</v>
      </c>
      <c r="G25523" s="6">
        <v>18387.88</v>
      </c>
      <c r="H25523" s="5">
        <v>9936</v>
      </c>
    </row>
    <row r="25524" spans="2:8" ht="15" customHeight="1" x14ac:dyDescent="0.4">
      <c r="B25524" s="3" t="s">
        <v>7</v>
      </c>
      <c r="C25524" s="3" t="s">
        <v>4092</v>
      </c>
      <c r="D25524" s="4">
        <f>DATE(2008,2,28)</f>
        <v>39506</v>
      </c>
      <c r="E25524" s="5">
        <f t="shared" si="433"/>
        <v>2008</v>
      </c>
      <c r="F25524" s="3" t="s">
        <v>4093</v>
      </c>
      <c r="G25524" s="6">
        <v>17187.88</v>
      </c>
      <c r="H25524" s="5">
        <v>10126</v>
      </c>
    </row>
    <row r="25525" spans="2:8" ht="15" customHeight="1" x14ac:dyDescent="0.4">
      <c r="B25525" s="3" t="s">
        <v>7</v>
      </c>
      <c r="C25525" s="3" t="s">
        <v>4092</v>
      </c>
      <c r="D25525" s="4">
        <f>DATE(2012,3,9)</f>
        <v>40977</v>
      </c>
      <c r="E25525" s="5">
        <f t="shared" si="433"/>
        <v>2012</v>
      </c>
      <c r="F25525" s="3" t="s">
        <v>4093</v>
      </c>
      <c r="G25525" s="6">
        <v>1441.99</v>
      </c>
      <c r="H25525" s="5">
        <v>16725</v>
      </c>
    </row>
    <row r="25526" spans="2:8" ht="15" customHeight="1" x14ac:dyDescent="0.4">
      <c r="B25526" s="3" t="s">
        <v>7</v>
      </c>
      <c r="C25526" s="3" t="s">
        <v>4092</v>
      </c>
      <c r="D25526" s="4">
        <f>DATE(2013,5,1)</f>
        <v>41395</v>
      </c>
      <c r="E25526" s="5">
        <f t="shared" si="433"/>
        <v>2013</v>
      </c>
      <c r="F25526" s="3" t="s">
        <v>4093</v>
      </c>
      <c r="G25526" s="6">
        <v>342.5</v>
      </c>
      <c r="H25526" s="5">
        <v>18471</v>
      </c>
    </row>
    <row r="25527" spans="2:8" ht="15" customHeight="1" x14ac:dyDescent="0.4">
      <c r="B25527" s="3" t="s">
        <v>16</v>
      </c>
      <c r="C25527" s="3" t="s">
        <v>4092</v>
      </c>
      <c r="D25527" s="4">
        <f>DATE(2008,2,28)</f>
        <v>39506</v>
      </c>
      <c r="E25527" s="5">
        <f t="shared" si="433"/>
        <v>2008</v>
      </c>
      <c r="F25527" s="3" t="s">
        <v>4093</v>
      </c>
      <c r="G25527" s="6">
        <v>18387.88</v>
      </c>
      <c r="H25527" s="5">
        <v>10123</v>
      </c>
    </row>
    <row r="25528" spans="2:8" ht="15" customHeight="1" x14ac:dyDescent="0.4">
      <c r="B25528" s="3" t="s">
        <v>7</v>
      </c>
      <c r="C25528" s="3" t="s">
        <v>4094</v>
      </c>
      <c r="D25528" s="4">
        <f>DATE(2005,6,10)</f>
        <v>38513</v>
      </c>
      <c r="E25528" s="5">
        <f t="shared" si="433"/>
        <v>2005</v>
      </c>
      <c r="F25528" s="3" t="s">
        <v>4095</v>
      </c>
      <c r="G25528" s="6">
        <v>3750</v>
      </c>
      <c r="H25528" s="5">
        <v>4792</v>
      </c>
    </row>
    <row r="25529" spans="2:8" ht="15" customHeight="1" x14ac:dyDescent="0.4">
      <c r="B25529" s="3" t="s">
        <v>7</v>
      </c>
      <c r="C25529" s="3" t="s">
        <v>4094</v>
      </c>
      <c r="D25529" s="4">
        <f>DATE(2005,8,19)</f>
        <v>38583</v>
      </c>
      <c r="E25529" s="5">
        <f t="shared" si="433"/>
        <v>2005</v>
      </c>
      <c r="F25529" s="3" t="s">
        <v>4095</v>
      </c>
      <c r="G25529" s="6">
        <v>60</v>
      </c>
      <c r="H25529" s="5">
        <v>5140</v>
      </c>
    </row>
    <row r="25530" spans="2:8" ht="15" customHeight="1" x14ac:dyDescent="0.4">
      <c r="B25530" s="3" t="s">
        <v>7</v>
      </c>
      <c r="C25530" s="3" t="s">
        <v>4094</v>
      </c>
      <c r="D25530" s="4">
        <f>DATE(2005,9,13)</f>
        <v>38608</v>
      </c>
      <c r="E25530" s="5">
        <f t="shared" si="433"/>
        <v>2005</v>
      </c>
      <c r="F25530" s="3" t="s">
        <v>4095</v>
      </c>
      <c r="G25530" s="6">
        <v>471.5</v>
      </c>
      <c r="H25530" s="5">
        <v>5183</v>
      </c>
    </row>
    <row r="25531" spans="2:8" ht="15" customHeight="1" x14ac:dyDescent="0.4">
      <c r="B25531" s="3" t="s">
        <v>7</v>
      </c>
      <c r="C25531" s="3" t="s">
        <v>4094</v>
      </c>
      <c r="D25531" s="4">
        <f>DATE(2005,9,21)</f>
        <v>38616</v>
      </c>
      <c r="E25531" s="5">
        <f t="shared" si="433"/>
        <v>2005</v>
      </c>
      <c r="F25531" s="3" t="s">
        <v>4095</v>
      </c>
      <c r="G25531" s="6">
        <v>34687.5</v>
      </c>
      <c r="H25531" s="5">
        <v>5134</v>
      </c>
    </row>
    <row r="25532" spans="2:8" ht="15" customHeight="1" x14ac:dyDescent="0.4">
      <c r="B25532" s="3" t="s">
        <v>7</v>
      </c>
      <c r="C25532" s="3" t="s">
        <v>4094</v>
      </c>
      <c r="D25532" s="4">
        <f>DATE(2005,10,20)</f>
        <v>38645</v>
      </c>
      <c r="E25532" s="5">
        <f t="shared" si="433"/>
        <v>2005</v>
      </c>
      <c r="F25532" s="3" t="s">
        <v>4095</v>
      </c>
      <c r="G25532" s="6">
        <v>500</v>
      </c>
      <c r="H25532" s="5">
        <v>5201</v>
      </c>
    </row>
    <row r="25533" spans="2:8" ht="15" customHeight="1" x14ac:dyDescent="0.4">
      <c r="B25533" s="3" t="s">
        <v>7</v>
      </c>
      <c r="C25533" s="3" t="s">
        <v>4094</v>
      </c>
      <c r="D25533" s="4">
        <f>DATE(2005,11,23)</f>
        <v>38679</v>
      </c>
      <c r="E25533" s="5">
        <f t="shared" si="433"/>
        <v>2005</v>
      </c>
      <c r="F25533" s="3" t="s">
        <v>4095</v>
      </c>
      <c r="G25533" s="6">
        <v>17600</v>
      </c>
      <c r="H25533" s="5">
        <v>5612</v>
      </c>
    </row>
    <row r="25534" spans="2:8" ht="15" customHeight="1" x14ac:dyDescent="0.4">
      <c r="B25534" s="3" t="s">
        <v>7</v>
      </c>
      <c r="C25534" s="3" t="s">
        <v>4094</v>
      </c>
      <c r="D25534" s="4">
        <f>DATE(2005,12,1)</f>
        <v>38687</v>
      </c>
      <c r="E25534" s="5">
        <f t="shared" si="433"/>
        <v>2005</v>
      </c>
      <c r="F25534" s="3" t="s">
        <v>4095</v>
      </c>
      <c r="G25534" s="6">
        <v>15400</v>
      </c>
      <c r="H25534" s="5">
        <v>5612</v>
      </c>
    </row>
    <row r="25535" spans="2:8" ht="15" customHeight="1" x14ac:dyDescent="0.4">
      <c r="B25535" s="3" t="s">
        <v>7</v>
      </c>
      <c r="C25535" s="3" t="s">
        <v>4094</v>
      </c>
      <c r="D25535" s="4">
        <f>DATE(2005,12,6)</f>
        <v>38692</v>
      </c>
      <c r="E25535" s="5">
        <f t="shared" si="433"/>
        <v>2005</v>
      </c>
      <c r="F25535" s="3" t="s">
        <v>4095</v>
      </c>
      <c r="G25535" s="6">
        <v>500</v>
      </c>
      <c r="H25535" s="5">
        <v>5698</v>
      </c>
    </row>
    <row r="25536" spans="2:8" ht="15" customHeight="1" x14ac:dyDescent="0.4">
      <c r="B25536" s="3" t="s">
        <v>7</v>
      </c>
      <c r="C25536" s="3" t="s">
        <v>4094</v>
      </c>
      <c r="D25536" s="4">
        <f>DATE(2005,12,28)</f>
        <v>38714</v>
      </c>
      <c r="E25536" s="5">
        <f t="shared" si="433"/>
        <v>2005</v>
      </c>
      <c r="F25536" s="3" t="s">
        <v>4095</v>
      </c>
      <c r="G25536" s="6">
        <v>4687.5</v>
      </c>
      <c r="H25536" s="5">
        <v>5732</v>
      </c>
    </row>
    <row r="25537" spans="2:8" ht="15" customHeight="1" x14ac:dyDescent="0.4">
      <c r="B25537" s="3" t="s">
        <v>7</v>
      </c>
      <c r="C25537" s="3" t="s">
        <v>4094</v>
      </c>
      <c r="D25537" s="4">
        <f>DATE(2006,1,20)</f>
        <v>38737</v>
      </c>
      <c r="E25537" s="5">
        <f t="shared" si="433"/>
        <v>2006</v>
      </c>
      <c r="F25537" s="3" t="s">
        <v>4095</v>
      </c>
      <c r="G25537" s="6">
        <v>250</v>
      </c>
      <c r="H25537" s="5">
        <v>5893</v>
      </c>
    </row>
    <row r="25538" spans="2:8" ht="15" customHeight="1" x14ac:dyDescent="0.4">
      <c r="B25538" s="3" t="s">
        <v>7</v>
      </c>
      <c r="C25538" s="3" t="s">
        <v>4094</v>
      </c>
      <c r="D25538" s="4">
        <f>DATE(2006,1,27)</f>
        <v>38744</v>
      </c>
      <c r="E25538" s="5">
        <f t="shared" si="433"/>
        <v>2006</v>
      </c>
      <c r="F25538" s="3" t="s">
        <v>4095</v>
      </c>
      <c r="G25538" s="6">
        <v>300</v>
      </c>
      <c r="H25538" s="5">
        <v>5925</v>
      </c>
    </row>
    <row r="25539" spans="2:8" ht="15" customHeight="1" x14ac:dyDescent="0.4">
      <c r="B25539" s="3" t="s">
        <v>7</v>
      </c>
      <c r="C25539" s="3" t="s">
        <v>4094</v>
      </c>
      <c r="D25539" s="4">
        <f>DATE(2006,2,3)</f>
        <v>38751</v>
      </c>
      <c r="E25539" s="5">
        <f t="shared" ref="E25539:E25602" si="434">YEAR(D25539)</f>
        <v>2006</v>
      </c>
      <c r="F25539" s="3" t="s">
        <v>4095</v>
      </c>
      <c r="G25539" s="6">
        <v>39600</v>
      </c>
      <c r="H25539" s="5">
        <v>5967</v>
      </c>
    </row>
    <row r="25540" spans="2:8" ht="15" customHeight="1" x14ac:dyDescent="0.4">
      <c r="B25540" s="3" t="s">
        <v>7</v>
      </c>
      <c r="C25540" s="3" t="s">
        <v>4094</v>
      </c>
      <c r="D25540" s="4">
        <f>DATE(2006,2,6)</f>
        <v>38754</v>
      </c>
      <c r="E25540" s="5">
        <f t="shared" si="434"/>
        <v>2006</v>
      </c>
      <c r="F25540" s="3" t="s">
        <v>4095</v>
      </c>
      <c r="G25540" s="6">
        <v>11000</v>
      </c>
      <c r="H25540" s="5">
        <v>5967</v>
      </c>
    </row>
    <row r="25541" spans="2:8" ht="15" customHeight="1" x14ac:dyDescent="0.4">
      <c r="B25541" s="3" t="s">
        <v>7</v>
      </c>
      <c r="C25541" s="3" t="s">
        <v>4094</v>
      </c>
      <c r="D25541" s="4">
        <f>DATE(2006,3,8)</f>
        <v>38784</v>
      </c>
      <c r="E25541" s="5">
        <f t="shared" si="434"/>
        <v>2006</v>
      </c>
      <c r="F25541" s="3" t="s">
        <v>4095</v>
      </c>
      <c r="G25541" s="6">
        <v>75</v>
      </c>
      <c r="H25541" s="5">
        <v>6210</v>
      </c>
    </row>
    <row r="25542" spans="2:8" ht="15" customHeight="1" x14ac:dyDescent="0.4">
      <c r="B25542" s="3" t="s">
        <v>7</v>
      </c>
      <c r="C25542" s="3" t="s">
        <v>4094</v>
      </c>
      <c r="D25542" s="4">
        <f>DATE(2006,11,15)</f>
        <v>39036</v>
      </c>
      <c r="E25542" s="5">
        <f t="shared" si="434"/>
        <v>2006</v>
      </c>
      <c r="F25542" s="3" t="s">
        <v>4095</v>
      </c>
      <c r="G25542" s="6">
        <v>575</v>
      </c>
      <c r="H25542" s="5">
        <v>7529</v>
      </c>
    </row>
    <row r="25543" spans="2:8" ht="15" customHeight="1" x14ac:dyDescent="0.4">
      <c r="B25543" s="3" t="s">
        <v>7</v>
      </c>
      <c r="C25543" s="3" t="s">
        <v>4094</v>
      </c>
      <c r="D25543" s="4">
        <f>DATE(2006,11,21)</f>
        <v>39042</v>
      </c>
      <c r="E25543" s="5">
        <f t="shared" si="434"/>
        <v>2006</v>
      </c>
      <c r="F25543" s="3" t="s">
        <v>4095</v>
      </c>
      <c r="G25543" s="6">
        <v>1900</v>
      </c>
      <c r="H25543" s="5">
        <v>7552</v>
      </c>
    </row>
    <row r="25544" spans="2:8" ht="15" customHeight="1" x14ac:dyDescent="0.4">
      <c r="B25544" t="s">
        <v>7</v>
      </c>
      <c r="C25544" t="s">
        <v>4094</v>
      </c>
      <c r="D25544" s="7">
        <f>DATE(2016,2,1)</f>
        <v>42401</v>
      </c>
      <c r="E25544" s="8">
        <f t="shared" si="434"/>
        <v>2016</v>
      </c>
      <c r="F25544" t="s">
        <v>4096</v>
      </c>
      <c r="G25544" s="9">
        <v>3800</v>
      </c>
      <c r="H25544" s="8">
        <v>22073</v>
      </c>
    </row>
    <row r="25545" spans="2:8" ht="15" customHeight="1" x14ac:dyDescent="0.4">
      <c r="B25545" t="s">
        <v>7</v>
      </c>
      <c r="C25545" t="s">
        <v>4094</v>
      </c>
      <c r="D25545" s="7">
        <f>DATE(2016,9,7)</f>
        <v>42620</v>
      </c>
      <c r="E25545" s="8">
        <f t="shared" si="434"/>
        <v>2016</v>
      </c>
      <c r="F25545" t="s">
        <v>4096</v>
      </c>
      <c r="G25545" s="9">
        <v>3800</v>
      </c>
      <c r="H25545" s="8">
        <v>23396</v>
      </c>
    </row>
    <row r="25546" spans="2:8" ht="15" customHeight="1" x14ac:dyDescent="0.4">
      <c r="B25546" t="s">
        <v>7</v>
      </c>
      <c r="C25546" t="s">
        <v>4094</v>
      </c>
      <c r="D25546" s="7">
        <f>DATE(2017,2,7)</f>
        <v>42773</v>
      </c>
      <c r="E25546" s="8">
        <f t="shared" si="434"/>
        <v>2017</v>
      </c>
      <c r="F25546" t="s">
        <v>4096</v>
      </c>
      <c r="G25546" s="9">
        <v>1900</v>
      </c>
      <c r="H25546" s="8">
        <v>24205</v>
      </c>
    </row>
    <row r="25547" spans="2:8" ht="15" customHeight="1" x14ac:dyDescent="0.4">
      <c r="B25547" t="s">
        <v>7</v>
      </c>
      <c r="C25547" t="s">
        <v>4094</v>
      </c>
      <c r="D25547" s="7">
        <f>DATE(2017,4,3)</f>
        <v>42828</v>
      </c>
      <c r="E25547" s="8">
        <f t="shared" si="434"/>
        <v>2017</v>
      </c>
      <c r="F25547" t="s">
        <v>4096</v>
      </c>
      <c r="G25547" s="9">
        <v>685.5</v>
      </c>
      <c r="H25547" s="8">
        <v>24661</v>
      </c>
    </row>
    <row r="25548" spans="2:8" ht="15" customHeight="1" x14ac:dyDescent="0.4">
      <c r="B25548" t="s">
        <v>7</v>
      </c>
      <c r="C25548" t="s">
        <v>4094</v>
      </c>
      <c r="D25548" s="7">
        <f>DATE(2019,5,17)</f>
        <v>43602</v>
      </c>
      <c r="E25548" s="8">
        <f t="shared" si="434"/>
        <v>2019</v>
      </c>
      <c r="F25548" t="s">
        <v>4096</v>
      </c>
      <c r="G25548" s="9">
        <v>27</v>
      </c>
      <c r="H25548" s="8">
        <v>29029</v>
      </c>
    </row>
    <row r="25549" spans="2:8" ht="15" customHeight="1" x14ac:dyDescent="0.4">
      <c r="B25549" s="3" t="s">
        <v>7</v>
      </c>
      <c r="C25549" s="3" t="s">
        <v>4094</v>
      </c>
      <c r="D25549" s="4">
        <f>DATE(2008,10,23)</f>
        <v>39744</v>
      </c>
      <c r="E25549" s="5">
        <f t="shared" si="434"/>
        <v>2008</v>
      </c>
      <c r="F25549" s="3" t="s">
        <v>4096</v>
      </c>
      <c r="G25549" s="6">
        <v>7500</v>
      </c>
      <c r="H25549" s="5">
        <v>11474</v>
      </c>
    </row>
    <row r="25550" spans="2:8" ht="15" customHeight="1" x14ac:dyDescent="0.4">
      <c r="B25550" s="3" t="s">
        <v>7</v>
      </c>
      <c r="C25550" s="3" t="s">
        <v>4094</v>
      </c>
      <c r="D25550" s="4">
        <f>DATE(2009,3,5)</f>
        <v>39877</v>
      </c>
      <c r="E25550" s="5">
        <f t="shared" si="434"/>
        <v>2009</v>
      </c>
      <c r="F25550" s="3" t="s">
        <v>4096</v>
      </c>
      <c r="G25550" s="6">
        <v>750</v>
      </c>
      <c r="H25550" s="5">
        <v>12073</v>
      </c>
    </row>
    <row r="25551" spans="2:8" ht="15" customHeight="1" x14ac:dyDescent="0.4">
      <c r="B25551" s="3" t="s">
        <v>7</v>
      </c>
      <c r="C25551" s="3" t="s">
        <v>4094</v>
      </c>
      <c r="D25551" s="4">
        <f>DATE(2009,4,9)</f>
        <v>39912</v>
      </c>
      <c r="E25551" s="5">
        <f t="shared" si="434"/>
        <v>2009</v>
      </c>
      <c r="F25551" s="3" t="s">
        <v>4096</v>
      </c>
      <c r="G25551" s="6">
        <v>750</v>
      </c>
      <c r="H25551" s="5">
        <v>12306</v>
      </c>
    </row>
    <row r="25552" spans="2:8" ht="15" customHeight="1" x14ac:dyDescent="0.4">
      <c r="B25552" s="3" t="s">
        <v>7</v>
      </c>
      <c r="C25552" s="3" t="s">
        <v>4094</v>
      </c>
      <c r="D25552" s="4">
        <f>DATE(2009,7,29)</f>
        <v>40023</v>
      </c>
      <c r="E25552" s="5">
        <f t="shared" si="434"/>
        <v>2009</v>
      </c>
      <c r="F25552" s="3" t="s">
        <v>4096</v>
      </c>
      <c r="G25552" s="6">
        <v>6025</v>
      </c>
      <c r="H25552" s="5">
        <v>12711</v>
      </c>
    </row>
    <row r="25553" spans="2:8" ht="15" customHeight="1" x14ac:dyDescent="0.4">
      <c r="B25553" s="3" t="s">
        <v>7</v>
      </c>
      <c r="C25553" s="3" t="s">
        <v>4094</v>
      </c>
      <c r="D25553" s="4">
        <f>DATE(2009,10,15)</f>
        <v>40101</v>
      </c>
      <c r="E25553" s="5">
        <f t="shared" si="434"/>
        <v>2009</v>
      </c>
      <c r="F25553" s="3" t="s">
        <v>4096</v>
      </c>
      <c r="G25553" s="6">
        <v>22750</v>
      </c>
      <c r="H25553" s="5">
        <v>12878</v>
      </c>
    </row>
    <row r="25554" spans="2:8" ht="15" customHeight="1" x14ac:dyDescent="0.4">
      <c r="B25554" s="3" t="s">
        <v>7</v>
      </c>
      <c r="C25554" s="3" t="s">
        <v>4094</v>
      </c>
      <c r="D25554" s="4">
        <f>DATE(2009,11,20)</f>
        <v>40137</v>
      </c>
      <c r="E25554" s="5">
        <f t="shared" si="434"/>
        <v>2009</v>
      </c>
      <c r="F25554" s="3" t="s">
        <v>4096</v>
      </c>
      <c r="G25554" s="6">
        <v>3050</v>
      </c>
      <c r="H25554" s="5">
        <v>13280</v>
      </c>
    </row>
    <row r="25555" spans="2:8" ht="15" customHeight="1" x14ac:dyDescent="0.4">
      <c r="B25555" s="3" t="s">
        <v>7</v>
      </c>
      <c r="C25555" s="3" t="s">
        <v>4094</v>
      </c>
      <c r="D25555" s="4">
        <f>DATE(2009,12,10)</f>
        <v>40157</v>
      </c>
      <c r="E25555" s="5">
        <f t="shared" si="434"/>
        <v>2009</v>
      </c>
      <c r="F25555" s="3" t="s">
        <v>4096</v>
      </c>
      <c r="G25555" s="6">
        <v>625</v>
      </c>
      <c r="H25555" s="5">
        <v>13238</v>
      </c>
    </row>
    <row r="25556" spans="2:8" ht="15" customHeight="1" x14ac:dyDescent="0.4">
      <c r="B25556" s="3" t="s">
        <v>7</v>
      </c>
      <c r="C25556" s="3" t="s">
        <v>4094</v>
      </c>
      <c r="D25556" s="4">
        <f>DATE(2010,2,25)</f>
        <v>40234</v>
      </c>
      <c r="E25556" s="5">
        <f t="shared" si="434"/>
        <v>2010</v>
      </c>
      <c r="F25556" s="3" t="s">
        <v>4096</v>
      </c>
      <c r="G25556" s="6">
        <v>300</v>
      </c>
      <c r="H25556" s="5">
        <v>13541</v>
      </c>
    </row>
    <row r="25557" spans="2:8" ht="15" customHeight="1" x14ac:dyDescent="0.4">
      <c r="B25557" s="3" t="s">
        <v>7</v>
      </c>
      <c r="C25557" s="3" t="s">
        <v>4094</v>
      </c>
      <c r="D25557" s="4">
        <f>DATE(2010,4,23)</f>
        <v>40291</v>
      </c>
      <c r="E25557" s="5">
        <f t="shared" si="434"/>
        <v>2010</v>
      </c>
      <c r="F25557" s="3" t="s">
        <v>4096</v>
      </c>
      <c r="G25557" s="6">
        <v>36</v>
      </c>
      <c r="H25557" s="5">
        <v>13956</v>
      </c>
    </row>
    <row r="25558" spans="2:8" ht="15" customHeight="1" x14ac:dyDescent="0.4">
      <c r="B25558" s="3" t="s">
        <v>7</v>
      </c>
      <c r="C25558" s="3" t="s">
        <v>4094</v>
      </c>
      <c r="D25558" s="4">
        <f>DATE(2010,5,13)</f>
        <v>40311</v>
      </c>
      <c r="E25558" s="5">
        <f t="shared" si="434"/>
        <v>2010</v>
      </c>
      <c r="F25558" s="3" t="s">
        <v>4096</v>
      </c>
      <c r="G25558" s="6">
        <v>4550</v>
      </c>
      <c r="H25558" s="5">
        <v>14014</v>
      </c>
    </row>
    <row r="25559" spans="2:8" ht="15" customHeight="1" x14ac:dyDescent="0.4">
      <c r="B25559" s="3" t="s">
        <v>7</v>
      </c>
      <c r="C25559" s="3" t="s">
        <v>4094</v>
      </c>
      <c r="D25559" s="4">
        <f>DATE(2010,5,19)</f>
        <v>40317</v>
      </c>
      <c r="E25559" s="5">
        <f t="shared" si="434"/>
        <v>2010</v>
      </c>
      <c r="F25559" s="3" t="s">
        <v>4096</v>
      </c>
      <c r="G25559" s="6">
        <v>7280</v>
      </c>
      <c r="H25559" s="5">
        <v>14067</v>
      </c>
    </row>
    <row r="25560" spans="2:8" ht="15" customHeight="1" x14ac:dyDescent="0.4">
      <c r="B25560" s="3" t="s">
        <v>7</v>
      </c>
      <c r="C25560" s="3" t="s">
        <v>4094</v>
      </c>
      <c r="D25560" s="4">
        <f>DATE(2010,5,19)</f>
        <v>40317</v>
      </c>
      <c r="E25560" s="5">
        <f t="shared" si="434"/>
        <v>2010</v>
      </c>
      <c r="F25560" s="3" t="s">
        <v>4096</v>
      </c>
      <c r="G25560" s="6">
        <v>25138.75</v>
      </c>
      <c r="H25560" s="5">
        <v>14068</v>
      </c>
    </row>
    <row r="25561" spans="2:8" ht="15" customHeight="1" x14ac:dyDescent="0.4">
      <c r="B25561" s="3" t="s">
        <v>7</v>
      </c>
      <c r="C25561" s="3" t="s">
        <v>4094</v>
      </c>
      <c r="D25561" s="4">
        <f>DATE(2010,6,14)</f>
        <v>40343</v>
      </c>
      <c r="E25561" s="5">
        <f t="shared" si="434"/>
        <v>2010</v>
      </c>
      <c r="F25561" s="3" t="s">
        <v>4096</v>
      </c>
      <c r="G25561" s="6">
        <v>6825</v>
      </c>
      <c r="H25561" s="5">
        <v>14160</v>
      </c>
    </row>
    <row r="25562" spans="2:8" ht="15" customHeight="1" x14ac:dyDescent="0.4">
      <c r="B25562" s="3" t="s">
        <v>7</v>
      </c>
      <c r="C25562" s="3" t="s">
        <v>4094</v>
      </c>
      <c r="D25562" s="4">
        <f>DATE(2010,11,15)</f>
        <v>40497</v>
      </c>
      <c r="E25562" s="5">
        <f t="shared" si="434"/>
        <v>2010</v>
      </c>
      <c r="F25562" s="3" t="s">
        <v>4096</v>
      </c>
      <c r="G25562" s="6">
        <v>44000</v>
      </c>
      <c r="H25562" s="5">
        <v>14378</v>
      </c>
    </row>
    <row r="25563" spans="2:8" ht="15" customHeight="1" x14ac:dyDescent="0.4">
      <c r="B25563" s="3" t="s">
        <v>7</v>
      </c>
      <c r="C25563" s="3" t="s">
        <v>4094</v>
      </c>
      <c r="D25563" s="4">
        <f>DATE(2010,11,30)</f>
        <v>40512</v>
      </c>
      <c r="E25563" s="5">
        <f t="shared" si="434"/>
        <v>2010</v>
      </c>
      <c r="F25563" s="3" t="s">
        <v>4096</v>
      </c>
      <c r="G25563" s="6">
        <v>22750</v>
      </c>
      <c r="H25563" s="5">
        <v>14463</v>
      </c>
    </row>
    <row r="25564" spans="2:8" ht="15" customHeight="1" x14ac:dyDescent="0.4">
      <c r="B25564" s="3" t="s">
        <v>7</v>
      </c>
      <c r="C25564" s="3" t="s">
        <v>4094</v>
      </c>
      <c r="D25564" s="4">
        <f>DATE(2010,12,3)</f>
        <v>40515</v>
      </c>
      <c r="E25564" s="5">
        <f t="shared" si="434"/>
        <v>2010</v>
      </c>
      <c r="F25564" s="3" t="s">
        <v>4096</v>
      </c>
      <c r="G25564" s="6">
        <v>25025</v>
      </c>
      <c r="H25564" s="5">
        <v>14563</v>
      </c>
    </row>
    <row r="25565" spans="2:8" ht="15" customHeight="1" x14ac:dyDescent="0.4">
      <c r="B25565" s="3" t="s">
        <v>7</v>
      </c>
      <c r="C25565" s="3" t="s">
        <v>4094</v>
      </c>
      <c r="D25565" s="4">
        <f>DATE(2011,1,3)</f>
        <v>40546</v>
      </c>
      <c r="E25565" s="5">
        <f t="shared" si="434"/>
        <v>2011</v>
      </c>
      <c r="F25565" s="3" t="s">
        <v>4096</v>
      </c>
      <c r="G25565" s="6">
        <v>34125</v>
      </c>
      <c r="H25565" s="5">
        <v>14563</v>
      </c>
    </row>
    <row r="25566" spans="2:8" ht="15" customHeight="1" x14ac:dyDescent="0.4">
      <c r="B25566" s="3" t="s">
        <v>7</v>
      </c>
      <c r="C25566" s="3" t="s">
        <v>4094</v>
      </c>
      <c r="D25566" s="4">
        <f>DATE(2011,1,13)</f>
        <v>40556</v>
      </c>
      <c r="E25566" s="5">
        <f t="shared" si="434"/>
        <v>2011</v>
      </c>
      <c r="F25566" s="3" t="s">
        <v>4096</v>
      </c>
      <c r="G25566" s="6">
        <v>31850</v>
      </c>
      <c r="H25566" s="5">
        <v>14563</v>
      </c>
    </row>
    <row r="25567" spans="2:8" ht="15" customHeight="1" x14ac:dyDescent="0.4">
      <c r="B25567" s="3" t="s">
        <v>7</v>
      </c>
      <c r="C25567" s="3" t="s">
        <v>4094</v>
      </c>
      <c r="D25567" s="4">
        <f>DATE(2011,1,13)</f>
        <v>40556</v>
      </c>
      <c r="E25567" s="5">
        <f t="shared" si="434"/>
        <v>2011</v>
      </c>
      <c r="F25567" s="3" t="s">
        <v>4096</v>
      </c>
      <c r="G25567" s="6">
        <v>22750</v>
      </c>
      <c r="H25567" s="5">
        <v>14639</v>
      </c>
    </row>
    <row r="25568" spans="2:8" ht="15" customHeight="1" x14ac:dyDescent="0.4">
      <c r="B25568" s="3" t="s">
        <v>7</v>
      </c>
      <c r="C25568" s="3" t="s">
        <v>4094</v>
      </c>
      <c r="D25568" s="4">
        <f>DATE(2011,1,18)</f>
        <v>40561</v>
      </c>
      <c r="E25568" s="5">
        <f t="shared" si="434"/>
        <v>2011</v>
      </c>
      <c r="F25568" s="3" t="s">
        <v>4096</v>
      </c>
      <c r="G25568" s="6">
        <v>796.25</v>
      </c>
      <c r="H25568" s="5">
        <v>14798</v>
      </c>
    </row>
    <row r="25569" spans="2:8" ht="15" customHeight="1" x14ac:dyDescent="0.4">
      <c r="B25569" s="3" t="s">
        <v>7</v>
      </c>
      <c r="C25569" s="3" t="s">
        <v>4094</v>
      </c>
      <c r="D25569" s="4">
        <f>DATE(2011,1,19)</f>
        <v>40562</v>
      </c>
      <c r="E25569" s="5">
        <f t="shared" si="434"/>
        <v>2011</v>
      </c>
      <c r="F25569" s="3" t="s">
        <v>4096</v>
      </c>
      <c r="G25569" s="6">
        <v>47775</v>
      </c>
      <c r="H25569" s="5">
        <v>14794</v>
      </c>
    </row>
    <row r="25570" spans="2:8" ht="15" customHeight="1" x14ac:dyDescent="0.4">
      <c r="B25570" s="3" t="s">
        <v>7</v>
      </c>
      <c r="C25570" s="3" t="s">
        <v>4094</v>
      </c>
      <c r="D25570" s="4">
        <f>DATE(2011,1,24)</f>
        <v>40567</v>
      </c>
      <c r="E25570" s="5">
        <f t="shared" si="434"/>
        <v>2011</v>
      </c>
      <c r="F25570" s="3" t="s">
        <v>4096</v>
      </c>
      <c r="G25570" s="6">
        <v>1000</v>
      </c>
      <c r="H25570" s="5">
        <v>14846</v>
      </c>
    </row>
    <row r="25571" spans="2:8" ht="15" customHeight="1" x14ac:dyDescent="0.4">
      <c r="B25571" s="3" t="s">
        <v>7</v>
      </c>
      <c r="C25571" s="3" t="s">
        <v>4094</v>
      </c>
      <c r="D25571" s="4">
        <f>DATE(2011,3,10)</f>
        <v>40612</v>
      </c>
      <c r="E25571" s="5">
        <f t="shared" si="434"/>
        <v>2011</v>
      </c>
      <c r="F25571" s="3" t="s">
        <v>4096</v>
      </c>
      <c r="G25571" s="6">
        <v>940.95</v>
      </c>
      <c r="H25571" s="5">
        <v>15221</v>
      </c>
    </row>
    <row r="25572" spans="2:8" ht="15" customHeight="1" x14ac:dyDescent="0.4">
      <c r="B25572" s="3" t="s">
        <v>7</v>
      </c>
      <c r="C25572" s="3" t="s">
        <v>4094</v>
      </c>
      <c r="D25572" s="4">
        <f>DATE(2011,8,11)</f>
        <v>40766</v>
      </c>
      <c r="E25572" s="5">
        <f t="shared" si="434"/>
        <v>2011</v>
      </c>
      <c r="F25572" s="3" t="s">
        <v>4096</v>
      </c>
      <c r="G25572" s="6">
        <v>33</v>
      </c>
      <c r="H25572" s="5">
        <v>15871</v>
      </c>
    </row>
    <row r="25573" spans="2:8" ht="15" customHeight="1" x14ac:dyDescent="0.4">
      <c r="B25573" s="3" t="s">
        <v>7</v>
      </c>
      <c r="C25573" s="3" t="s">
        <v>4094</v>
      </c>
      <c r="D25573" s="4">
        <f>DATE(2011,11,21)</f>
        <v>40868</v>
      </c>
      <c r="E25573" s="5">
        <f t="shared" si="434"/>
        <v>2011</v>
      </c>
      <c r="F25573" s="3" t="s">
        <v>4096</v>
      </c>
      <c r="G25573" s="6">
        <v>23700</v>
      </c>
      <c r="H25573" s="5">
        <v>16060</v>
      </c>
    </row>
    <row r="25574" spans="2:8" ht="15" customHeight="1" x14ac:dyDescent="0.4">
      <c r="B25574" s="3" t="s">
        <v>7</v>
      </c>
      <c r="C25574" s="3" t="s">
        <v>4094</v>
      </c>
      <c r="D25574" s="4">
        <f>DATE(2011,11,23)</f>
        <v>40870</v>
      </c>
      <c r="E25574" s="5">
        <f t="shared" si="434"/>
        <v>2011</v>
      </c>
      <c r="F25574" s="3" t="s">
        <v>4096</v>
      </c>
      <c r="G25574" s="6">
        <v>31600</v>
      </c>
      <c r="H25574" s="5">
        <v>16060</v>
      </c>
    </row>
    <row r="25575" spans="2:8" ht="15" customHeight="1" x14ac:dyDescent="0.4">
      <c r="B25575" s="3" t="s">
        <v>7</v>
      </c>
      <c r="C25575" s="3" t="s">
        <v>4094</v>
      </c>
      <c r="D25575" s="4">
        <f>DATE(2012,1,11)</f>
        <v>40919</v>
      </c>
      <c r="E25575" s="5">
        <f t="shared" si="434"/>
        <v>2012</v>
      </c>
      <c r="F25575" s="3" t="s">
        <v>4096</v>
      </c>
      <c r="G25575" s="6">
        <v>60257.25</v>
      </c>
      <c r="H25575" s="5">
        <v>16060</v>
      </c>
    </row>
    <row r="25576" spans="2:8" ht="15" customHeight="1" x14ac:dyDescent="0.4">
      <c r="B25576" s="3" t="s">
        <v>7</v>
      </c>
      <c r="C25576" s="3" t="s">
        <v>4094</v>
      </c>
      <c r="D25576" s="4">
        <f>DATE(2012,5,22)</f>
        <v>41051</v>
      </c>
      <c r="E25576" s="5">
        <f t="shared" si="434"/>
        <v>2012</v>
      </c>
      <c r="F25576" s="3" t="s">
        <v>4096</v>
      </c>
      <c r="G25576" s="6">
        <v>2225</v>
      </c>
      <c r="H25576" s="5">
        <v>17166</v>
      </c>
    </row>
    <row r="25577" spans="2:8" ht="15" customHeight="1" x14ac:dyDescent="0.4">
      <c r="B25577" s="3" t="s">
        <v>7</v>
      </c>
      <c r="C25577" s="3" t="s">
        <v>4094</v>
      </c>
      <c r="D25577" s="4">
        <f>DATE(2013,3,19)</f>
        <v>41352</v>
      </c>
      <c r="E25577" s="5">
        <f t="shared" si="434"/>
        <v>2013</v>
      </c>
      <c r="F25577" s="3" t="s">
        <v>4096</v>
      </c>
      <c r="G25577" s="6">
        <v>4125</v>
      </c>
      <c r="H25577" s="5">
        <v>18324</v>
      </c>
    </row>
    <row r="25578" spans="2:8" ht="15" customHeight="1" x14ac:dyDescent="0.4">
      <c r="B25578" s="3" t="s">
        <v>16</v>
      </c>
      <c r="C25578" s="3" t="s">
        <v>4094</v>
      </c>
      <c r="D25578" s="4">
        <f>DATE(2009,4,14)</f>
        <v>39917</v>
      </c>
      <c r="E25578" s="5">
        <f t="shared" si="434"/>
        <v>2009</v>
      </c>
      <c r="F25578" s="3" t="s">
        <v>4096</v>
      </c>
      <c r="G25578" s="6">
        <v>750</v>
      </c>
      <c r="H25578" s="5">
        <v>12305</v>
      </c>
    </row>
    <row r="25579" spans="2:8" ht="15" customHeight="1" x14ac:dyDescent="0.4">
      <c r="B25579" t="s">
        <v>7</v>
      </c>
      <c r="C25579" t="s">
        <v>4094</v>
      </c>
      <c r="D25579" s="7">
        <f>DATE(2005,1,11)</f>
        <v>38363</v>
      </c>
      <c r="E25579" s="8">
        <f t="shared" si="434"/>
        <v>2005</v>
      </c>
      <c r="F25579" t="s">
        <v>4097</v>
      </c>
      <c r="G25579" s="9">
        <v>6100</v>
      </c>
      <c r="H25579" s="8">
        <v>2555</v>
      </c>
    </row>
    <row r="25580" spans="2:8" ht="15" customHeight="1" x14ac:dyDescent="0.4">
      <c r="B25580" s="3" t="s">
        <v>7</v>
      </c>
      <c r="C25580" s="3" t="s">
        <v>4094</v>
      </c>
      <c r="D25580" s="4">
        <f>DATE(2003,2,25)</f>
        <v>37677</v>
      </c>
      <c r="E25580" s="5">
        <f t="shared" si="434"/>
        <v>2003</v>
      </c>
      <c r="F25580" s="3" t="s">
        <v>4097</v>
      </c>
      <c r="G25580" s="6">
        <v>262.5</v>
      </c>
      <c r="H25580" s="5">
        <v>329</v>
      </c>
    </row>
    <row r="25581" spans="2:8" ht="15" customHeight="1" x14ac:dyDescent="0.4">
      <c r="B25581" s="3" t="s">
        <v>7</v>
      </c>
      <c r="C25581" s="3" t="s">
        <v>4094</v>
      </c>
      <c r="D25581" s="4">
        <f>DATE(2003,11,4)</f>
        <v>37929</v>
      </c>
      <c r="E25581" s="5">
        <f t="shared" si="434"/>
        <v>2003</v>
      </c>
      <c r="F25581" s="3" t="s">
        <v>4097</v>
      </c>
      <c r="G25581" s="6">
        <v>1725.75</v>
      </c>
      <c r="H25581" s="5">
        <v>1729</v>
      </c>
    </row>
    <row r="25582" spans="2:8" ht="15" customHeight="1" x14ac:dyDescent="0.4">
      <c r="B25582" s="3" t="s">
        <v>7</v>
      </c>
      <c r="C25582" s="3" t="s">
        <v>4094</v>
      </c>
      <c r="D25582" s="4">
        <f>DATE(2004,8,19)</f>
        <v>38218</v>
      </c>
      <c r="E25582" s="5">
        <f t="shared" si="434"/>
        <v>2004</v>
      </c>
      <c r="F25582" s="3" t="s">
        <v>4097</v>
      </c>
      <c r="G25582" s="6">
        <v>1137.5</v>
      </c>
      <c r="H25582" s="5">
        <v>3194</v>
      </c>
    </row>
    <row r="25583" spans="2:8" ht="15" customHeight="1" x14ac:dyDescent="0.4">
      <c r="B25583" s="3" t="s">
        <v>7</v>
      </c>
      <c r="C25583" s="3" t="s">
        <v>4094</v>
      </c>
      <c r="D25583" s="4">
        <f>DATE(2005,1,13)</f>
        <v>38365</v>
      </c>
      <c r="E25583" s="5">
        <f t="shared" si="434"/>
        <v>2005</v>
      </c>
      <c r="F25583" s="3" t="s">
        <v>4097</v>
      </c>
      <c r="G25583" s="6">
        <v>12375</v>
      </c>
      <c r="H25583" s="5">
        <v>3932</v>
      </c>
    </row>
    <row r="25584" spans="2:8" ht="15" customHeight="1" x14ac:dyDescent="0.4">
      <c r="B25584" s="3" t="s">
        <v>7</v>
      </c>
      <c r="C25584" s="3" t="s">
        <v>4094</v>
      </c>
      <c r="D25584" s="4">
        <f>DATE(2005,1,14)</f>
        <v>38366</v>
      </c>
      <c r="E25584" s="5">
        <f t="shared" si="434"/>
        <v>2005</v>
      </c>
      <c r="F25584" s="3" t="s">
        <v>4097</v>
      </c>
      <c r="G25584" s="6">
        <v>412.5</v>
      </c>
      <c r="H25584" s="5">
        <v>3904</v>
      </c>
    </row>
    <row r="25585" spans="2:8" ht="15" customHeight="1" x14ac:dyDescent="0.4">
      <c r="B25585" s="3" t="s">
        <v>7</v>
      </c>
      <c r="C25585" s="3" t="s">
        <v>4098</v>
      </c>
      <c r="D25585" s="4">
        <f>DATE(2011,5,24)</f>
        <v>40687</v>
      </c>
      <c r="E25585" s="5">
        <f t="shared" si="434"/>
        <v>2011</v>
      </c>
      <c r="F25585" s="3" t="s">
        <v>4099</v>
      </c>
      <c r="G25585" s="6">
        <v>1164.4100000000001</v>
      </c>
      <c r="H25585" s="5">
        <v>15594</v>
      </c>
    </row>
    <row r="25586" spans="2:8" ht="15" customHeight="1" x14ac:dyDescent="0.4">
      <c r="B25586" t="s">
        <v>7</v>
      </c>
      <c r="C25586" t="s">
        <v>4100</v>
      </c>
      <c r="D25586" s="7">
        <f>DATE(2005,4,29)</f>
        <v>38471</v>
      </c>
      <c r="E25586" s="8">
        <f t="shared" si="434"/>
        <v>2005</v>
      </c>
      <c r="F25586" t="s">
        <v>4101</v>
      </c>
      <c r="G25586" s="9">
        <v>6480.94</v>
      </c>
      <c r="H25586" s="8">
        <v>3131</v>
      </c>
    </row>
    <row r="25587" spans="2:8" ht="15" customHeight="1" x14ac:dyDescent="0.4">
      <c r="B25587" s="3" t="s">
        <v>7</v>
      </c>
      <c r="C25587" s="3" t="s">
        <v>4100</v>
      </c>
      <c r="D25587" s="4">
        <f>DATE(2007,11,30)</f>
        <v>39416</v>
      </c>
      <c r="E25587" s="5">
        <f t="shared" si="434"/>
        <v>2007</v>
      </c>
      <c r="F25587" s="3" t="s">
        <v>4101</v>
      </c>
      <c r="G25587" s="6">
        <v>217.2</v>
      </c>
      <c r="H25587" s="5">
        <v>9410</v>
      </c>
    </row>
    <row r="25588" spans="2:8" ht="15" customHeight="1" x14ac:dyDescent="0.4">
      <c r="B25588" t="s">
        <v>7</v>
      </c>
      <c r="C25588" t="s">
        <v>4100</v>
      </c>
      <c r="D25588" s="7">
        <f>DATE(2018,9,24)</f>
        <v>43367</v>
      </c>
      <c r="E25588" s="8">
        <f t="shared" si="434"/>
        <v>2018</v>
      </c>
      <c r="F25588" t="s">
        <v>4102</v>
      </c>
      <c r="G25588" s="9">
        <v>2500</v>
      </c>
      <c r="H25588" s="8">
        <v>27576</v>
      </c>
    </row>
    <row r="25589" spans="2:8" ht="15" customHeight="1" x14ac:dyDescent="0.4">
      <c r="B25589" t="s">
        <v>7</v>
      </c>
      <c r="C25589" t="s">
        <v>4100</v>
      </c>
      <c r="D25589" s="7">
        <f>DATE(2018,10,2)</f>
        <v>43375</v>
      </c>
      <c r="E25589" s="8">
        <f t="shared" si="434"/>
        <v>2018</v>
      </c>
      <c r="F25589" t="s">
        <v>4102</v>
      </c>
      <c r="G25589" s="9">
        <v>32900</v>
      </c>
      <c r="H25589" s="8">
        <v>27685</v>
      </c>
    </row>
    <row r="25590" spans="2:8" ht="15" customHeight="1" x14ac:dyDescent="0.4">
      <c r="B25590" t="s">
        <v>7</v>
      </c>
      <c r="C25590" t="s">
        <v>4100</v>
      </c>
      <c r="D25590" s="7">
        <f>DATE(2019,3,19)</f>
        <v>43543</v>
      </c>
      <c r="E25590" s="8">
        <f t="shared" si="434"/>
        <v>2019</v>
      </c>
      <c r="F25590" t="s">
        <v>4102</v>
      </c>
      <c r="G25590" s="9">
        <v>35315.58</v>
      </c>
      <c r="H25590" s="8">
        <v>27946</v>
      </c>
    </row>
    <row r="25591" spans="2:8" ht="15" customHeight="1" x14ac:dyDescent="0.4">
      <c r="B25591" t="s">
        <v>7</v>
      </c>
      <c r="C25591" t="s">
        <v>4100</v>
      </c>
      <c r="D25591" s="7">
        <f>DATE(2016,5,24)</f>
        <v>42514</v>
      </c>
      <c r="E25591" s="8">
        <f t="shared" si="434"/>
        <v>2016</v>
      </c>
      <c r="F25591" t="s">
        <v>4102</v>
      </c>
      <c r="G25591" s="9">
        <v>37900</v>
      </c>
      <c r="H25591" s="8">
        <v>22765</v>
      </c>
    </row>
    <row r="25592" spans="2:8" ht="15" customHeight="1" x14ac:dyDescent="0.4">
      <c r="B25592" t="s">
        <v>7</v>
      </c>
      <c r="C25592" t="s">
        <v>4100</v>
      </c>
      <c r="D25592" s="7">
        <f>DATE(2016,10,24)</f>
        <v>42667</v>
      </c>
      <c r="E25592" s="8">
        <f t="shared" si="434"/>
        <v>2016</v>
      </c>
      <c r="F25592" t="s">
        <v>4102</v>
      </c>
      <c r="G25592" s="9">
        <v>39260</v>
      </c>
      <c r="H25592" s="8">
        <v>23498</v>
      </c>
    </row>
    <row r="25593" spans="2:8" ht="15" customHeight="1" x14ac:dyDescent="0.4">
      <c r="B25593" t="s">
        <v>7</v>
      </c>
      <c r="C25593" t="s">
        <v>4100</v>
      </c>
      <c r="D25593" s="7">
        <f>DATE(2015,3,19)</f>
        <v>42082</v>
      </c>
      <c r="E25593" s="8">
        <f t="shared" si="434"/>
        <v>2015</v>
      </c>
      <c r="F25593" t="s">
        <v>4102</v>
      </c>
      <c r="G25593" s="9">
        <v>77.63</v>
      </c>
      <c r="H25593" s="8">
        <v>5023</v>
      </c>
    </row>
    <row r="25594" spans="2:8" ht="15" customHeight="1" x14ac:dyDescent="0.4">
      <c r="B25594" t="s">
        <v>7</v>
      </c>
      <c r="C25594" t="s">
        <v>4100</v>
      </c>
      <c r="D25594" s="7">
        <f>DATE(2016,7,5)</f>
        <v>42556</v>
      </c>
      <c r="E25594" s="8">
        <f t="shared" si="434"/>
        <v>2016</v>
      </c>
      <c r="F25594" t="s">
        <v>4102</v>
      </c>
      <c r="G25594" s="9">
        <v>2910.43</v>
      </c>
      <c r="H25594" s="8">
        <v>23045</v>
      </c>
    </row>
    <row r="25595" spans="2:8" ht="15" customHeight="1" x14ac:dyDescent="0.4">
      <c r="B25595" t="s">
        <v>7</v>
      </c>
      <c r="C25595" t="s">
        <v>4100</v>
      </c>
      <c r="D25595" s="7">
        <f>DATE(2018,5,1)</f>
        <v>43221</v>
      </c>
      <c r="E25595" s="8">
        <f t="shared" si="434"/>
        <v>2018</v>
      </c>
      <c r="F25595" t="s">
        <v>4102</v>
      </c>
      <c r="G25595" s="9">
        <v>125.01</v>
      </c>
      <c r="H25595" s="8">
        <v>26977</v>
      </c>
    </row>
    <row r="25596" spans="2:8" ht="15" customHeight="1" x14ac:dyDescent="0.4">
      <c r="B25596" t="s">
        <v>7</v>
      </c>
      <c r="C25596" t="s">
        <v>4100</v>
      </c>
      <c r="D25596" s="7">
        <f>DATE(2018,5,3)</f>
        <v>43223</v>
      </c>
      <c r="E25596" s="8">
        <f t="shared" si="434"/>
        <v>2018</v>
      </c>
      <c r="F25596" t="s">
        <v>4102</v>
      </c>
      <c r="G25596" s="9">
        <v>209.29</v>
      </c>
      <c r="H25596" s="8">
        <v>26987</v>
      </c>
    </row>
    <row r="25597" spans="2:8" ht="15" customHeight="1" x14ac:dyDescent="0.4">
      <c r="B25597" t="s">
        <v>7</v>
      </c>
      <c r="C25597" t="s">
        <v>4100</v>
      </c>
      <c r="D25597" s="7">
        <f>DATE(2018,6,18)</f>
        <v>43269</v>
      </c>
      <c r="E25597" s="8">
        <f t="shared" si="434"/>
        <v>2018</v>
      </c>
      <c r="F25597" t="s">
        <v>4102</v>
      </c>
      <c r="G25597" s="9">
        <v>137.91999999999999</v>
      </c>
      <c r="H25597" s="8">
        <v>27229</v>
      </c>
    </row>
    <row r="25598" spans="2:8" ht="15" customHeight="1" x14ac:dyDescent="0.4">
      <c r="B25598" t="s">
        <v>7</v>
      </c>
      <c r="C25598" t="s">
        <v>4100</v>
      </c>
      <c r="D25598" s="7">
        <f>DATE(2017,7,3)</f>
        <v>42919</v>
      </c>
      <c r="E25598" s="8">
        <f t="shared" si="434"/>
        <v>2017</v>
      </c>
      <c r="F25598" t="s">
        <v>4102</v>
      </c>
      <c r="G25598" s="9">
        <v>13247.94</v>
      </c>
      <c r="H25598" s="8">
        <v>24891</v>
      </c>
    </row>
    <row r="25599" spans="2:8" ht="15" customHeight="1" x14ac:dyDescent="0.4">
      <c r="B25599" t="s">
        <v>7</v>
      </c>
      <c r="C25599" t="s">
        <v>4100</v>
      </c>
      <c r="D25599" s="7">
        <f>DATE(2017,7,17)</f>
        <v>42933</v>
      </c>
      <c r="E25599" s="8">
        <f t="shared" si="434"/>
        <v>2017</v>
      </c>
      <c r="F25599" t="s">
        <v>4102</v>
      </c>
      <c r="G25599" s="9">
        <v>11249.66</v>
      </c>
      <c r="H25599" s="8">
        <v>25264</v>
      </c>
    </row>
    <row r="25600" spans="2:8" ht="15" customHeight="1" x14ac:dyDescent="0.4">
      <c r="B25600" t="s">
        <v>16</v>
      </c>
      <c r="C25600" t="s">
        <v>4100</v>
      </c>
      <c r="D25600" s="7">
        <f>DATE(2019,1,7)</f>
        <v>43472</v>
      </c>
      <c r="E25600" s="8">
        <f t="shared" si="434"/>
        <v>2019</v>
      </c>
      <c r="F25600" t="s">
        <v>4102</v>
      </c>
      <c r="G25600" s="9">
        <v>2500</v>
      </c>
      <c r="H25600" s="8">
        <v>28192</v>
      </c>
    </row>
    <row r="25601" spans="2:8" ht="15" customHeight="1" x14ac:dyDescent="0.4">
      <c r="B25601" t="s">
        <v>16</v>
      </c>
      <c r="C25601" t="s">
        <v>4100</v>
      </c>
      <c r="D25601" s="7">
        <f>DATE(2019,3,29)</f>
        <v>43553</v>
      </c>
      <c r="E25601" s="8">
        <f t="shared" si="434"/>
        <v>2019</v>
      </c>
      <c r="F25601" t="s">
        <v>4102</v>
      </c>
      <c r="G25601" s="9">
        <v>1677</v>
      </c>
      <c r="H25601" s="8">
        <v>28751</v>
      </c>
    </row>
    <row r="25602" spans="2:8" ht="15" customHeight="1" x14ac:dyDescent="0.4">
      <c r="B25602" t="s">
        <v>16</v>
      </c>
      <c r="C25602" t="s">
        <v>4100</v>
      </c>
      <c r="D25602" s="7">
        <f>DATE(2017,7,17)</f>
        <v>42933</v>
      </c>
      <c r="E25602" s="8">
        <f t="shared" si="434"/>
        <v>2017</v>
      </c>
      <c r="F25602" t="s">
        <v>4102</v>
      </c>
      <c r="G25602" s="9">
        <v>13247.94</v>
      </c>
      <c r="H25602" s="8">
        <v>25260</v>
      </c>
    </row>
    <row r="25603" spans="2:8" ht="15" customHeight="1" x14ac:dyDescent="0.4">
      <c r="B25603" t="s">
        <v>7</v>
      </c>
      <c r="C25603" t="s">
        <v>4100</v>
      </c>
      <c r="D25603" s="7">
        <f>DATE(2006,3,12)</f>
        <v>38788</v>
      </c>
      <c r="E25603" s="8">
        <f t="shared" ref="E25603:E25666" si="435">YEAR(D25603)</f>
        <v>2006</v>
      </c>
      <c r="F25603" t="s">
        <v>4102</v>
      </c>
      <c r="G25603" s="9">
        <v>26152</v>
      </c>
      <c r="H25603" s="8">
        <v>4137</v>
      </c>
    </row>
    <row r="25604" spans="2:8" ht="15" customHeight="1" x14ac:dyDescent="0.4">
      <c r="B25604" t="s">
        <v>7</v>
      </c>
      <c r="C25604" t="s">
        <v>4100</v>
      </c>
      <c r="D25604" s="7">
        <f>DATE(2006,3,15)</f>
        <v>38791</v>
      </c>
      <c r="E25604" s="8">
        <f t="shared" si="435"/>
        <v>2006</v>
      </c>
      <c r="F25604" t="s">
        <v>4102</v>
      </c>
      <c r="G25604" s="9">
        <v>13124.25</v>
      </c>
      <c r="H25604" s="8">
        <v>3950</v>
      </c>
    </row>
    <row r="25605" spans="2:8" ht="15" customHeight="1" x14ac:dyDescent="0.4">
      <c r="B25605" t="s">
        <v>7</v>
      </c>
      <c r="C25605" t="s">
        <v>4100</v>
      </c>
      <c r="D25605" s="7">
        <f>DATE(2006,3,31)</f>
        <v>38807</v>
      </c>
      <c r="E25605" s="8">
        <f t="shared" si="435"/>
        <v>2006</v>
      </c>
      <c r="F25605" t="s">
        <v>4102</v>
      </c>
      <c r="G25605" s="9">
        <v>25652</v>
      </c>
      <c r="H25605" s="8">
        <v>4203</v>
      </c>
    </row>
    <row r="25606" spans="2:8" ht="15" customHeight="1" x14ac:dyDescent="0.4">
      <c r="B25606" t="s">
        <v>7</v>
      </c>
      <c r="C25606" t="s">
        <v>4100</v>
      </c>
      <c r="D25606" s="7">
        <f>DATE(2006,4,2)</f>
        <v>38809</v>
      </c>
      <c r="E25606" s="8">
        <f t="shared" si="435"/>
        <v>2006</v>
      </c>
      <c r="F25606" t="s">
        <v>4102</v>
      </c>
      <c r="G25606" s="9">
        <v>15725</v>
      </c>
      <c r="H25606" s="8">
        <v>4204</v>
      </c>
    </row>
    <row r="25607" spans="2:8" ht="15" customHeight="1" x14ac:dyDescent="0.4">
      <c r="B25607" t="s">
        <v>7</v>
      </c>
      <c r="C25607" t="s">
        <v>4100</v>
      </c>
      <c r="D25607" s="7">
        <f>DATE(2008,10,12)</f>
        <v>39733</v>
      </c>
      <c r="E25607" s="8">
        <f t="shared" si="435"/>
        <v>2008</v>
      </c>
      <c r="F25607" t="s">
        <v>4102</v>
      </c>
      <c r="G25607" s="9">
        <v>19725</v>
      </c>
      <c r="H25607" s="8">
        <v>7828</v>
      </c>
    </row>
    <row r="25608" spans="2:8" ht="15" customHeight="1" x14ac:dyDescent="0.4">
      <c r="B25608" t="s">
        <v>7</v>
      </c>
      <c r="C25608" t="s">
        <v>4100</v>
      </c>
      <c r="D25608" s="7">
        <f>DATE(2011,12,13)</f>
        <v>40890</v>
      </c>
      <c r="E25608" s="8">
        <f t="shared" si="435"/>
        <v>2011</v>
      </c>
      <c r="F25608" t="s">
        <v>4102</v>
      </c>
      <c r="G25608" s="9">
        <v>7644.5</v>
      </c>
      <c r="H25608" s="8">
        <v>11177</v>
      </c>
    </row>
    <row r="25609" spans="2:8" ht="15" customHeight="1" x14ac:dyDescent="0.4">
      <c r="B25609" s="3" t="s">
        <v>7</v>
      </c>
      <c r="C25609" s="3" t="s">
        <v>4100</v>
      </c>
      <c r="D25609" s="4">
        <f>DATE(2012,5,8)</f>
        <v>41037</v>
      </c>
      <c r="E25609" s="5">
        <f t="shared" si="435"/>
        <v>2012</v>
      </c>
      <c r="F25609" s="3" t="s">
        <v>4102</v>
      </c>
      <c r="G25609" s="6">
        <v>887</v>
      </c>
      <c r="H25609" s="5">
        <v>17051</v>
      </c>
    </row>
    <row r="25610" spans="2:8" ht="15" customHeight="1" x14ac:dyDescent="0.4">
      <c r="B25610" s="3" t="s">
        <v>7</v>
      </c>
      <c r="C25610" s="3" t="s">
        <v>4100</v>
      </c>
      <c r="D25610" s="4">
        <f>DATE(2012,10,19)</f>
        <v>41201</v>
      </c>
      <c r="E25610" s="5">
        <f t="shared" si="435"/>
        <v>2012</v>
      </c>
      <c r="F25610" s="3" t="s">
        <v>4102</v>
      </c>
      <c r="G25610" s="6">
        <v>989.29</v>
      </c>
      <c r="H25610" s="5">
        <v>17738</v>
      </c>
    </row>
    <row r="25611" spans="2:8" ht="15" customHeight="1" x14ac:dyDescent="0.4">
      <c r="B25611" s="3" t="s">
        <v>7</v>
      </c>
      <c r="C25611" s="3" t="s">
        <v>4100</v>
      </c>
      <c r="D25611" s="4">
        <f>DATE(2013,2,26)</f>
        <v>41331</v>
      </c>
      <c r="E25611" s="5">
        <f t="shared" si="435"/>
        <v>2013</v>
      </c>
      <c r="F25611" s="3" t="s">
        <v>4102</v>
      </c>
      <c r="G25611" s="6">
        <v>227.5</v>
      </c>
      <c r="H25611" s="5">
        <v>18101</v>
      </c>
    </row>
    <row r="25612" spans="2:8" ht="15" customHeight="1" x14ac:dyDescent="0.4">
      <c r="B25612" s="3" t="s">
        <v>7</v>
      </c>
      <c r="C25612" s="3" t="s">
        <v>4100</v>
      </c>
      <c r="D25612" s="4">
        <f>DATE(2013,6,4)</f>
        <v>41429</v>
      </c>
      <c r="E25612" s="5">
        <f t="shared" si="435"/>
        <v>2013</v>
      </c>
      <c r="F25612" s="3" t="s">
        <v>4102</v>
      </c>
      <c r="G25612" s="6">
        <v>888</v>
      </c>
      <c r="H25612" s="5">
        <v>18515</v>
      </c>
    </row>
    <row r="25613" spans="2:8" ht="15" customHeight="1" x14ac:dyDescent="0.4">
      <c r="B25613" t="s">
        <v>7</v>
      </c>
      <c r="C25613" t="s">
        <v>4103</v>
      </c>
      <c r="D25613" s="7">
        <f>DATE(2016,3,4)</f>
        <v>42433</v>
      </c>
      <c r="E25613" s="8">
        <f t="shared" si="435"/>
        <v>2016</v>
      </c>
      <c r="F25613" t="s">
        <v>4104</v>
      </c>
      <c r="G25613" s="9">
        <v>17577.5</v>
      </c>
      <c r="H25613" s="8">
        <v>22072</v>
      </c>
    </row>
    <row r="25614" spans="2:8" ht="15" customHeight="1" x14ac:dyDescent="0.4">
      <c r="B25614" t="s">
        <v>7</v>
      </c>
      <c r="C25614" t="s">
        <v>4103</v>
      </c>
      <c r="D25614" s="7">
        <f>DATE(2009,8,11)</f>
        <v>40036</v>
      </c>
      <c r="E25614" s="8">
        <f t="shared" si="435"/>
        <v>2009</v>
      </c>
      <c r="F25614" t="s">
        <v>4104</v>
      </c>
      <c r="G25614" s="9">
        <v>9872.6200000000008</v>
      </c>
      <c r="H25614" s="8">
        <v>8938</v>
      </c>
    </row>
    <row r="25615" spans="2:8" ht="15" customHeight="1" x14ac:dyDescent="0.4">
      <c r="B25615" t="s">
        <v>7</v>
      </c>
      <c r="C25615" t="s">
        <v>4103</v>
      </c>
      <c r="D25615" s="7">
        <f>DATE(2010,10,5)</f>
        <v>40456</v>
      </c>
      <c r="E25615" s="8">
        <f t="shared" si="435"/>
        <v>2010</v>
      </c>
      <c r="F25615" t="s">
        <v>4104</v>
      </c>
      <c r="G25615" s="9">
        <v>9614.74</v>
      </c>
      <c r="H25615" s="8">
        <v>10156</v>
      </c>
    </row>
    <row r="25616" spans="2:8" ht="15" customHeight="1" x14ac:dyDescent="0.4">
      <c r="B25616" s="3" t="s">
        <v>7</v>
      </c>
      <c r="C25616" s="3" t="s">
        <v>4103</v>
      </c>
      <c r="D25616" s="4">
        <f>DATE(2010,6,14)</f>
        <v>40343</v>
      </c>
      <c r="E25616" s="5">
        <f t="shared" si="435"/>
        <v>2010</v>
      </c>
      <c r="F25616" s="3" t="s">
        <v>4104</v>
      </c>
      <c r="G25616" s="6">
        <v>530</v>
      </c>
      <c r="H25616" s="5">
        <v>14167</v>
      </c>
    </row>
    <row r="25617" spans="2:8" ht="15" customHeight="1" x14ac:dyDescent="0.4">
      <c r="B25617" s="3" t="s">
        <v>7</v>
      </c>
      <c r="C25617" s="3" t="s">
        <v>4103</v>
      </c>
      <c r="D25617" s="4">
        <f>DATE(2010,7,1)</f>
        <v>40360</v>
      </c>
      <c r="E25617" s="5">
        <f t="shared" si="435"/>
        <v>2010</v>
      </c>
      <c r="F25617" s="3" t="s">
        <v>4104</v>
      </c>
      <c r="G25617" s="6">
        <v>16910</v>
      </c>
      <c r="H25617" s="5">
        <v>14230</v>
      </c>
    </row>
    <row r="25618" spans="2:8" ht="15" customHeight="1" x14ac:dyDescent="0.4">
      <c r="B25618" s="3" t="s">
        <v>7</v>
      </c>
      <c r="C25618" s="3" t="s">
        <v>4103</v>
      </c>
      <c r="D25618" s="4">
        <f>DATE(2010,10,26)</f>
        <v>40477</v>
      </c>
      <c r="E25618" s="5">
        <f t="shared" si="435"/>
        <v>2010</v>
      </c>
      <c r="F25618" s="3" t="s">
        <v>4104</v>
      </c>
      <c r="G25618" s="6">
        <v>17770.169999999998</v>
      </c>
      <c r="H25618" s="5">
        <v>14662</v>
      </c>
    </row>
    <row r="25619" spans="2:8" ht="15" customHeight="1" x14ac:dyDescent="0.4">
      <c r="B25619" s="3" t="s">
        <v>7</v>
      </c>
      <c r="C25619" s="3" t="s">
        <v>4103</v>
      </c>
      <c r="D25619" s="4">
        <f>DATE(2014,1,2)</f>
        <v>41641</v>
      </c>
      <c r="E25619" s="5">
        <f t="shared" si="435"/>
        <v>2014</v>
      </c>
      <c r="F25619" s="3" t="s">
        <v>4104</v>
      </c>
      <c r="G25619" s="6">
        <v>17415</v>
      </c>
      <c r="H25619" s="5">
        <v>19352</v>
      </c>
    </row>
    <row r="25620" spans="2:8" ht="15" customHeight="1" x14ac:dyDescent="0.4">
      <c r="B25620" s="3" t="s">
        <v>7</v>
      </c>
      <c r="C25620" s="3" t="s">
        <v>4103</v>
      </c>
      <c r="D25620" s="4">
        <f>DATE(2003,3,3)</f>
        <v>37683</v>
      </c>
      <c r="E25620" s="5">
        <f t="shared" si="435"/>
        <v>2003</v>
      </c>
      <c r="F25620" s="3" t="s">
        <v>4105</v>
      </c>
      <c r="G25620" s="6">
        <v>186</v>
      </c>
      <c r="H25620" s="5">
        <v>447</v>
      </c>
    </row>
    <row r="25621" spans="2:8" ht="15" customHeight="1" x14ac:dyDescent="0.4">
      <c r="B25621" s="3" t="s">
        <v>7</v>
      </c>
      <c r="C25621" s="3" t="s">
        <v>4103</v>
      </c>
      <c r="D25621" s="4">
        <f>DATE(2004,6,30)</f>
        <v>38168</v>
      </c>
      <c r="E25621" s="5">
        <f t="shared" si="435"/>
        <v>2004</v>
      </c>
      <c r="F25621" s="3" t="s">
        <v>4105</v>
      </c>
      <c r="G25621" s="6">
        <v>12695.98</v>
      </c>
      <c r="H25621" s="5">
        <v>3020</v>
      </c>
    </row>
    <row r="25622" spans="2:8" ht="15" customHeight="1" x14ac:dyDescent="0.4">
      <c r="B25622" s="3" t="s">
        <v>7</v>
      </c>
      <c r="C25622" s="3" t="s">
        <v>4103</v>
      </c>
      <c r="D25622" s="4">
        <f>DATE(2005,5,11)</f>
        <v>38483</v>
      </c>
      <c r="E25622" s="5">
        <f t="shared" si="435"/>
        <v>2005</v>
      </c>
      <c r="F25622" s="3" t="s">
        <v>4105</v>
      </c>
      <c r="G25622" s="6">
        <v>14356.02</v>
      </c>
      <c r="H25622" s="5">
        <v>4592</v>
      </c>
    </row>
    <row r="25623" spans="2:8" ht="15" customHeight="1" x14ac:dyDescent="0.4">
      <c r="B25623" s="3" t="s">
        <v>7</v>
      </c>
      <c r="C25623" s="3" t="s">
        <v>4103</v>
      </c>
      <c r="D25623" s="4">
        <f>DATE(2005,7,14)</f>
        <v>38547</v>
      </c>
      <c r="E25623" s="5">
        <f t="shared" si="435"/>
        <v>2005</v>
      </c>
      <c r="F25623" s="3" t="s">
        <v>4105</v>
      </c>
      <c r="G25623" s="6">
        <v>198</v>
      </c>
      <c r="H25623" s="5">
        <v>4983</v>
      </c>
    </row>
    <row r="25624" spans="2:8" ht="15" customHeight="1" x14ac:dyDescent="0.4">
      <c r="B25624" s="3" t="s">
        <v>7</v>
      </c>
      <c r="C25624" s="3" t="s">
        <v>4103</v>
      </c>
      <c r="D25624" s="4">
        <f>DATE(2005,12,8)</f>
        <v>38694</v>
      </c>
      <c r="E25624" s="5">
        <f t="shared" si="435"/>
        <v>2005</v>
      </c>
      <c r="F25624" s="3" t="s">
        <v>4105</v>
      </c>
      <c r="G25624" s="6">
        <v>15718.17</v>
      </c>
      <c r="H25624" s="5">
        <v>5692</v>
      </c>
    </row>
    <row r="25625" spans="2:8" ht="15" customHeight="1" x14ac:dyDescent="0.4">
      <c r="B25625" s="3" t="s">
        <v>7</v>
      </c>
      <c r="C25625" s="3" t="s">
        <v>4103</v>
      </c>
      <c r="D25625" s="4">
        <f>DATE(2006,9,20)</f>
        <v>38980</v>
      </c>
      <c r="E25625" s="5">
        <f t="shared" si="435"/>
        <v>2006</v>
      </c>
      <c r="F25625" s="3" t="s">
        <v>4106</v>
      </c>
      <c r="G25625" s="6">
        <v>1102.45</v>
      </c>
      <c r="H25625" s="5">
        <v>7073</v>
      </c>
    </row>
    <row r="25626" spans="2:8" ht="15" customHeight="1" x14ac:dyDescent="0.4">
      <c r="B25626" s="3" t="s">
        <v>7</v>
      </c>
      <c r="C25626" s="3" t="s">
        <v>4103</v>
      </c>
      <c r="D25626" s="4">
        <f>DATE(2006,10,4)</f>
        <v>38994</v>
      </c>
      <c r="E25626" s="5">
        <f t="shared" si="435"/>
        <v>2006</v>
      </c>
      <c r="F25626" s="3" t="s">
        <v>4106</v>
      </c>
      <c r="G25626" s="6">
        <v>933.59</v>
      </c>
      <c r="H25626" s="5">
        <v>7334</v>
      </c>
    </row>
    <row r="25627" spans="2:8" ht="15" customHeight="1" x14ac:dyDescent="0.4">
      <c r="B25627" t="s">
        <v>7</v>
      </c>
      <c r="C25627" t="s">
        <v>4107</v>
      </c>
      <c r="D25627" s="7">
        <f>DATE(2003,4,12)</f>
        <v>37723</v>
      </c>
      <c r="E25627" s="8">
        <f t="shared" si="435"/>
        <v>2003</v>
      </c>
      <c r="F25627" t="s">
        <v>4108</v>
      </c>
      <c r="G25627" s="9">
        <v>10037.1</v>
      </c>
      <c r="H25627" s="8">
        <v>405</v>
      </c>
    </row>
    <row r="25628" spans="2:8" ht="15" customHeight="1" x14ac:dyDescent="0.4">
      <c r="B25628" t="s">
        <v>7</v>
      </c>
      <c r="C25628" t="s">
        <v>4107</v>
      </c>
      <c r="D25628" s="7">
        <f>DATE(2003,5,9)</f>
        <v>37750</v>
      </c>
      <c r="E25628" s="8">
        <f t="shared" si="435"/>
        <v>2003</v>
      </c>
      <c r="F25628" t="s">
        <v>4108</v>
      </c>
      <c r="G25628" s="9">
        <v>9757.56</v>
      </c>
      <c r="H25628" s="8">
        <v>524</v>
      </c>
    </row>
    <row r="25629" spans="2:8" ht="15" customHeight="1" x14ac:dyDescent="0.4">
      <c r="B25629" t="s">
        <v>7</v>
      </c>
      <c r="C25629" t="s">
        <v>4107</v>
      </c>
      <c r="D25629" s="7">
        <f>DATE(2004,4,1)</f>
        <v>38078</v>
      </c>
      <c r="E25629" s="8">
        <f t="shared" si="435"/>
        <v>2004</v>
      </c>
      <c r="F25629" t="s">
        <v>4108</v>
      </c>
      <c r="G25629" s="9">
        <v>7967.45</v>
      </c>
      <c r="H25629" s="8">
        <v>1365</v>
      </c>
    </row>
    <row r="25630" spans="2:8" ht="15" customHeight="1" x14ac:dyDescent="0.4">
      <c r="B25630" t="s">
        <v>7</v>
      </c>
      <c r="C25630" t="s">
        <v>4107</v>
      </c>
      <c r="D25630" s="7">
        <f>DATE(2004,4,4)</f>
        <v>38081</v>
      </c>
      <c r="E25630" s="8">
        <f t="shared" si="435"/>
        <v>2004</v>
      </c>
      <c r="F25630" t="s">
        <v>4108</v>
      </c>
      <c r="G25630" s="9">
        <v>7627.13</v>
      </c>
      <c r="H25630" s="8">
        <v>1455</v>
      </c>
    </row>
    <row r="25631" spans="2:8" ht="15" customHeight="1" x14ac:dyDescent="0.4">
      <c r="B25631" s="3" t="s">
        <v>7</v>
      </c>
      <c r="C25631" s="3" t="s">
        <v>4107</v>
      </c>
      <c r="D25631" s="4">
        <f>DATE(2006,4,18)</f>
        <v>38825</v>
      </c>
      <c r="E25631" s="5">
        <f t="shared" si="435"/>
        <v>2006</v>
      </c>
      <c r="F25631" s="3" t="s">
        <v>4108</v>
      </c>
      <c r="G25631" s="6">
        <v>3750</v>
      </c>
      <c r="H25631" s="5">
        <v>6324</v>
      </c>
    </row>
    <row r="25632" spans="2:8" ht="15" customHeight="1" x14ac:dyDescent="0.4">
      <c r="B25632" t="s">
        <v>7</v>
      </c>
      <c r="C25632" t="s">
        <v>4107</v>
      </c>
      <c r="D25632" s="7">
        <f>DATE(2004,5,21)</f>
        <v>38128</v>
      </c>
      <c r="E25632" s="8">
        <f t="shared" si="435"/>
        <v>2004</v>
      </c>
      <c r="F25632" t="s">
        <v>4108</v>
      </c>
      <c r="G25632" s="9">
        <v>20197.63</v>
      </c>
      <c r="H25632" s="8">
        <v>35</v>
      </c>
    </row>
    <row r="25633" spans="2:8" ht="15" customHeight="1" x14ac:dyDescent="0.4">
      <c r="B25633" t="s">
        <v>7</v>
      </c>
      <c r="C25633" t="s">
        <v>4107</v>
      </c>
      <c r="D25633" s="7">
        <f>DATE(2005,4,30)</f>
        <v>38472</v>
      </c>
      <c r="E25633" s="8">
        <f t="shared" si="435"/>
        <v>2005</v>
      </c>
      <c r="F25633" t="s">
        <v>4108</v>
      </c>
      <c r="G25633" s="9">
        <v>24060.95</v>
      </c>
      <c r="H25633" s="8">
        <v>67</v>
      </c>
    </row>
    <row r="25634" spans="2:8" ht="15" customHeight="1" x14ac:dyDescent="0.4">
      <c r="B25634" t="s">
        <v>7</v>
      </c>
      <c r="C25634" t="s">
        <v>4107</v>
      </c>
      <c r="D25634" s="7">
        <f>DATE(2005,5,20)</f>
        <v>38492</v>
      </c>
      <c r="E25634" s="8">
        <f t="shared" si="435"/>
        <v>2005</v>
      </c>
      <c r="F25634" t="s">
        <v>4108</v>
      </c>
      <c r="G25634" s="9">
        <v>26222.58</v>
      </c>
      <c r="H25634" s="8">
        <v>69</v>
      </c>
    </row>
    <row r="25635" spans="2:8" ht="15" customHeight="1" x14ac:dyDescent="0.4">
      <c r="B25635" t="s">
        <v>7</v>
      </c>
      <c r="C25635" t="s">
        <v>4107</v>
      </c>
      <c r="D25635" s="7">
        <f>DATE(2006,4,22)</f>
        <v>38829</v>
      </c>
      <c r="E25635" s="8">
        <f t="shared" si="435"/>
        <v>2006</v>
      </c>
      <c r="F25635" t="s">
        <v>4108</v>
      </c>
      <c r="G25635" s="9">
        <v>21452.29</v>
      </c>
      <c r="H25635" s="8">
        <v>107</v>
      </c>
    </row>
    <row r="25636" spans="2:8" ht="15" customHeight="1" x14ac:dyDescent="0.4">
      <c r="B25636" t="s">
        <v>7</v>
      </c>
      <c r="C25636" t="s">
        <v>4107</v>
      </c>
      <c r="D25636" s="7">
        <f>DATE(2007,4,1)</f>
        <v>39173</v>
      </c>
      <c r="E25636" s="8">
        <f t="shared" si="435"/>
        <v>2007</v>
      </c>
      <c r="F25636" t="s">
        <v>4108</v>
      </c>
      <c r="G25636" s="9">
        <v>27833.87</v>
      </c>
      <c r="H25636" s="8">
        <v>119</v>
      </c>
    </row>
    <row r="25637" spans="2:8" ht="15" customHeight="1" x14ac:dyDescent="0.4">
      <c r="B25637" t="s">
        <v>7</v>
      </c>
      <c r="C25637" t="s">
        <v>4107</v>
      </c>
      <c r="D25637" s="7">
        <f>DATE(2009,10,23)</f>
        <v>40109</v>
      </c>
      <c r="E25637" s="8">
        <f t="shared" si="435"/>
        <v>2009</v>
      </c>
      <c r="F25637" t="s">
        <v>4108</v>
      </c>
      <c r="G25637" s="9">
        <v>25024.26</v>
      </c>
      <c r="H25637" s="8">
        <v>229</v>
      </c>
    </row>
    <row r="25638" spans="2:8" ht="15" customHeight="1" x14ac:dyDescent="0.4">
      <c r="B25638" t="s">
        <v>7</v>
      </c>
      <c r="C25638" t="s">
        <v>4109</v>
      </c>
      <c r="D25638" s="7">
        <f>DATE(2015,3,10)</f>
        <v>42073</v>
      </c>
      <c r="E25638" s="8">
        <f t="shared" si="435"/>
        <v>2015</v>
      </c>
      <c r="F25638" t="s">
        <v>4110</v>
      </c>
      <c r="G25638" s="9">
        <v>6011.5</v>
      </c>
      <c r="H25638" s="8">
        <v>143</v>
      </c>
    </row>
    <row r="25639" spans="2:8" ht="15" customHeight="1" x14ac:dyDescent="0.4">
      <c r="B25639" t="s">
        <v>7</v>
      </c>
      <c r="C25639" t="s">
        <v>4111</v>
      </c>
      <c r="D25639" s="7">
        <f>DATE(2003,7,24)</f>
        <v>37826</v>
      </c>
      <c r="E25639" s="8">
        <f t="shared" si="435"/>
        <v>2003</v>
      </c>
      <c r="F25639" t="s">
        <v>4112</v>
      </c>
      <c r="G25639" s="9">
        <v>5565.6</v>
      </c>
      <c r="H25639" s="8">
        <v>724</v>
      </c>
    </row>
    <row r="25640" spans="2:8" ht="15" customHeight="1" x14ac:dyDescent="0.4">
      <c r="B25640" t="s">
        <v>7</v>
      </c>
      <c r="C25640" t="s">
        <v>4111</v>
      </c>
      <c r="D25640" s="7">
        <f>DATE(2003,8,23)</f>
        <v>37856</v>
      </c>
      <c r="E25640" s="8">
        <f t="shared" si="435"/>
        <v>2003</v>
      </c>
      <c r="F25640" t="s">
        <v>4112</v>
      </c>
      <c r="G25640" s="9">
        <v>6542.11</v>
      </c>
      <c r="H25640" s="8">
        <v>822</v>
      </c>
    </row>
    <row r="25641" spans="2:8" ht="15" customHeight="1" x14ac:dyDescent="0.4">
      <c r="B25641" t="s">
        <v>7</v>
      </c>
      <c r="C25641" t="s">
        <v>4113</v>
      </c>
      <c r="D25641" s="7">
        <f>DATE(2018,10,1)</f>
        <v>43374</v>
      </c>
      <c r="E25641" s="8">
        <f t="shared" si="435"/>
        <v>2018</v>
      </c>
      <c r="F25641" t="s">
        <v>4114</v>
      </c>
      <c r="G25641" s="9">
        <v>15090.32</v>
      </c>
      <c r="H25641" s="8">
        <v>27500</v>
      </c>
    </row>
    <row r="25642" spans="2:8" ht="15" customHeight="1" x14ac:dyDescent="0.4">
      <c r="B25642" t="s">
        <v>7</v>
      </c>
      <c r="C25642" t="s">
        <v>4113</v>
      </c>
      <c r="D25642" s="7">
        <f>DATE(2018,10,16)</f>
        <v>43389</v>
      </c>
      <c r="E25642" s="8">
        <f t="shared" si="435"/>
        <v>2018</v>
      </c>
      <c r="F25642" t="s">
        <v>4115</v>
      </c>
      <c r="G25642" s="9">
        <v>1244.96</v>
      </c>
      <c r="H25642" s="8">
        <v>27829</v>
      </c>
    </row>
    <row r="25643" spans="2:8" ht="15" customHeight="1" x14ac:dyDescent="0.4">
      <c r="B25643" t="s">
        <v>7</v>
      </c>
      <c r="C25643" t="s">
        <v>4116</v>
      </c>
      <c r="D25643" s="7">
        <f>DATE(2004,1,27)</f>
        <v>38013</v>
      </c>
      <c r="E25643" s="8">
        <f t="shared" si="435"/>
        <v>2004</v>
      </c>
      <c r="F25643" t="s">
        <v>4117</v>
      </c>
      <c r="G25643" s="9">
        <v>3644.38</v>
      </c>
      <c r="H25643" s="8">
        <v>1228</v>
      </c>
    </row>
    <row r="25644" spans="2:8" ht="15" customHeight="1" x14ac:dyDescent="0.4">
      <c r="B25644" t="s">
        <v>7</v>
      </c>
      <c r="C25644" t="s">
        <v>4118</v>
      </c>
      <c r="D25644" s="7">
        <f>DATE(2009,4,15)</f>
        <v>39918</v>
      </c>
      <c r="E25644" s="8">
        <f t="shared" si="435"/>
        <v>2009</v>
      </c>
      <c r="F25644" t="s">
        <v>4119</v>
      </c>
      <c r="G25644" s="9">
        <v>30006</v>
      </c>
      <c r="H25644" s="8">
        <v>8604</v>
      </c>
    </row>
    <row r="25645" spans="2:8" ht="15" customHeight="1" x14ac:dyDescent="0.4">
      <c r="B25645" t="s">
        <v>7</v>
      </c>
      <c r="C25645" t="s">
        <v>4118</v>
      </c>
      <c r="D25645" s="7">
        <f>DATE(2004,1,28)</f>
        <v>38014</v>
      </c>
      <c r="E25645" s="8">
        <f t="shared" si="435"/>
        <v>2004</v>
      </c>
      <c r="F25645" t="s">
        <v>4120</v>
      </c>
      <c r="G25645" s="9">
        <v>10800</v>
      </c>
      <c r="H25645" s="8">
        <v>926</v>
      </c>
    </row>
    <row r="25646" spans="2:8" ht="15" customHeight="1" x14ac:dyDescent="0.4">
      <c r="B25646" t="s">
        <v>7</v>
      </c>
      <c r="C25646" t="s">
        <v>4118</v>
      </c>
      <c r="D25646" s="7">
        <f>DATE(2005,3,9)</f>
        <v>38420</v>
      </c>
      <c r="E25646" s="8">
        <f t="shared" si="435"/>
        <v>2005</v>
      </c>
      <c r="F25646" t="s">
        <v>4120</v>
      </c>
      <c r="G25646" s="9">
        <v>15470</v>
      </c>
      <c r="H25646" s="8">
        <v>2782</v>
      </c>
    </row>
    <row r="25647" spans="2:8" ht="15" customHeight="1" x14ac:dyDescent="0.4">
      <c r="B25647" t="s">
        <v>7</v>
      </c>
      <c r="C25647" t="s">
        <v>4118</v>
      </c>
      <c r="D25647" s="7">
        <f>DATE(2003,11,23)</f>
        <v>37948</v>
      </c>
      <c r="E25647" s="8">
        <f t="shared" si="435"/>
        <v>2003</v>
      </c>
      <c r="F25647" t="s">
        <v>4121</v>
      </c>
      <c r="G25647" s="9">
        <v>19078</v>
      </c>
      <c r="H25647" s="8">
        <v>1024</v>
      </c>
    </row>
    <row r="25648" spans="2:8" ht="15" customHeight="1" x14ac:dyDescent="0.4">
      <c r="B25648" t="s">
        <v>7</v>
      </c>
      <c r="C25648" t="s">
        <v>4122</v>
      </c>
      <c r="D25648" s="7">
        <f>DATE(2014,9,3)</f>
        <v>41885</v>
      </c>
      <c r="E25648" s="8">
        <f t="shared" si="435"/>
        <v>2014</v>
      </c>
      <c r="F25648" t="s">
        <v>4123</v>
      </c>
      <c r="G25648" s="9">
        <v>118350</v>
      </c>
      <c r="H25648" s="8">
        <v>13223</v>
      </c>
    </row>
    <row r="25649" spans="2:8" ht="15" customHeight="1" x14ac:dyDescent="0.4">
      <c r="B25649" t="s">
        <v>7</v>
      </c>
      <c r="C25649" t="s">
        <v>4124</v>
      </c>
      <c r="D25649" s="7">
        <f>DATE(2003,3,27)</f>
        <v>37707</v>
      </c>
      <c r="E25649" s="8">
        <f t="shared" si="435"/>
        <v>2003</v>
      </c>
      <c r="F25649" t="s">
        <v>4125</v>
      </c>
      <c r="G25649" s="9">
        <v>750</v>
      </c>
      <c r="H25649" s="8">
        <v>288</v>
      </c>
    </row>
    <row r="25650" spans="2:8" ht="15" customHeight="1" x14ac:dyDescent="0.4">
      <c r="B25650" t="s">
        <v>7</v>
      </c>
      <c r="C25650" t="s">
        <v>4124</v>
      </c>
      <c r="D25650" s="7">
        <f>DATE(2004,4,29)</f>
        <v>38106</v>
      </c>
      <c r="E25650" s="8">
        <f t="shared" si="435"/>
        <v>2004</v>
      </c>
      <c r="F25650" t="s">
        <v>4125</v>
      </c>
      <c r="G25650" s="9">
        <v>10016.700000000001</v>
      </c>
      <c r="H25650" s="8">
        <v>1164</v>
      </c>
    </row>
    <row r="25651" spans="2:8" ht="15" customHeight="1" x14ac:dyDescent="0.4">
      <c r="B25651" t="s">
        <v>7</v>
      </c>
      <c r="C25651" t="s">
        <v>4124</v>
      </c>
      <c r="D25651" s="7">
        <f>DATE(2004,5,5)</f>
        <v>38112</v>
      </c>
      <c r="E25651" s="8">
        <f t="shared" si="435"/>
        <v>2004</v>
      </c>
      <c r="F25651" t="s">
        <v>4125</v>
      </c>
      <c r="G25651" s="9">
        <v>6735.25</v>
      </c>
      <c r="H25651" s="8">
        <v>1171</v>
      </c>
    </row>
    <row r="25652" spans="2:8" ht="15" customHeight="1" x14ac:dyDescent="0.4">
      <c r="B25652" t="s">
        <v>7</v>
      </c>
      <c r="C25652" t="s">
        <v>4124</v>
      </c>
      <c r="D25652" s="7">
        <f>DATE(2005,4,7)</f>
        <v>38449</v>
      </c>
      <c r="E25652" s="8">
        <f t="shared" si="435"/>
        <v>2005</v>
      </c>
      <c r="F25652" t="s">
        <v>4125</v>
      </c>
      <c r="G25652" s="9">
        <v>17446.25</v>
      </c>
      <c r="H25652" s="8">
        <v>2791</v>
      </c>
    </row>
    <row r="25653" spans="2:8" ht="15" customHeight="1" x14ac:dyDescent="0.4">
      <c r="B25653" t="s">
        <v>7</v>
      </c>
      <c r="C25653" t="s">
        <v>4124</v>
      </c>
      <c r="D25653" s="7">
        <f>DATE(2006,5,19)</f>
        <v>38856</v>
      </c>
      <c r="E25653" s="8">
        <f t="shared" si="435"/>
        <v>2006</v>
      </c>
      <c r="F25653" t="s">
        <v>4125</v>
      </c>
      <c r="G25653" s="9">
        <v>20543</v>
      </c>
      <c r="H25653" s="8">
        <v>4345</v>
      </c>
    </row>
    <row r="25654" spans="2:8" ht="15" customHeight="1" x14ac:dyDescent="0.4">
      <c r="B25654" t="s">
        <v>7</v>
      </c>
      <c r="C25654" t="s">
        <v>4124</v>
      </c>
      <c r="D25654" s="7">
        <f>DATE(2006,6,27)</f>
        <v>38895</v>
      </c>
      <c r="E25654" s="8">
        <f t="shared" si="435"/>
        <v>2006</v>
      </c>
      <c r="F25654" t="s">
        <v>4125</v>
      </c>
      <c r="G25654" s="9">
        <v>3763.28</v>
      </c>
      <c r="H25654" s="8">
        <v>4735</v>
      </c>
    </row>
    <row r="25655" spans="2:8" ht="15" customHeight="1" x14ac:dyDescent="0.4">
      <c r="B25655" t="s">
        <v>7</v>
      </c>
      <c r="C25655" t="s">
        <v>4124</v>
      </c>
      <c r="D25655" s="7">
        <f>DATE(2007,3,30)</f>
        <v>39171</v>
      </c>
      <c r="E25655" s="8">
        <f t="shared" si="435"/>
        <v>2007</v>
      </c>
      <c r="F25655" t="s">
        <v>4125</v>
      </c>
      <c r="G25655" s="9">
        <v>18561.560000000001</v>
      </c>
      <c r="H25655" s="8">
        <v>5342</v>
      </c>
    </row>
    <row r="25656" spans="2:8" ht="15" customHeight="1" x14ac:dyDescent="0.4">
      <c r="B25656" s="3" t="s">
        <v>7</v>
      </c>
      <c r="C25656" s="3" t="s">
        <v>4124</v>
      </c>
      <c r="D25656" s="4">
        <f>DATE(2003,3,27)</f>
        <v>37707</v>
      </c>
      <c r="E25656" s="5">
        <f t="shared" si="435"/>
        <v>2003</v>
      </c>
      <c r="F25656" s="3" t="s">
        <v>4125</v>
      </c>
      <c r="G25656" s="6">
        <v>4714.07</v>
      </c>
      <c r="H25656" s="5">
        <v>416</v>
      </c>
    </row>
    <row r="25657" spans="2:8" ht="15" customHeight="1" x14ac:dyDescent="0.4">
      <c r="B25657" t="s">
        <v>7</v>
      </c>
      <c r="C25657" t="s">
        <v>4124</v>
      </c>
      <c r="D25657" s="7">
        <f>DATE(2018,3,14)</f>
        <v>43173</v>
      </c>
      <c r="E25657" s="8">
        <f t="shared" si="435"/>
        <v>2018</v>
      </c>
      <c r="F25657" t="s">
        <v>4126</v>
      </c>
      <c r="G25657" s="9">
        <v>6171.21</v>
      </c>
      <c r="H25657" s="8">
        <v>26563</v>
      </c>
    </row>
    <row r="25658" spans="2:8" ht="15" customHeight="1" x14ac:dyDescent="0.4">
      <c r="B25658" t="s">
        <v>7</v>
      </c>
      <c r="C25658" t="s">
        <v>4124</v>
      </c>
      <c r="D25658" s="7">
        <f>DATE(2008,5,10)</f>
        <v>39578</v>
      </c>
      <c r="E25658" s="8">
        <f t="shared" si="435"/>
        <v>2008</v>
      </c>
      <c r="F25658" t="s">
        <v>4126</v>
      </c>
      <c r="G25658" s="9">
        <v>18616.240000000002</v>
      </c>
      <c r="H25658" s="8">
        <v>7172</v>
      </c>
    </row>
    <row r="25659" spans="2:8" ht="15" customHeight="1" x14ac:dyDescent="0.4">
      <c r="B25659" t="s">
        <v>7</v>
      </c>
      <c r="C25659" t="s">
        <v>4124</v>
      </c>
      <c r="D25659" s="7">
        <f>DATE(2009,5,22)</f>
        <v>39955</v>
      </c>
      <c r="E25659" s="8">
        <f t="shared" si="435"/>
        <v>2009</v>
      </c>
      <c r="F25659" t="s">
        <v>4126</v>
      </c>
      <c r="G25659" s="9">
        <v>17418.5</v>
      </c>
      <c r="H25659" s="8">
        <v>8175</v>
      </c>
    </row>
    <row r="25660" spans="2:8" ht="15" customHeight="1" x14ac:dyDescent="0.4">
      <c r="B25660" t="s">
        <v>7</v>
      </c>
      <c r="C25660" t="s">
        <v>4124</v>
      </c>
      <c r="D25660" s="7">
        <f>DATE(2010,4,21)</f>
        <v>40289</v>
      </c>
      <c r="E25660" s="8">
        <f t="shared" si="435"/>
        <v>2010</v>
      </c>
      <c r="F25660" t="s">
        <v>4126</v>
      </c>
      <c r="G25660" s="9">
        <v>18607</v>
      </c>
      <c r="H25660" s="8">
        <v>9395</v>
      </c>
    </row>
    <row r="25661" spans="2:8" ht="15" customHeight="1" x14ac:dyDescent="0.4">
      <c r="B25661" t="s">
        <v>7</v>
      </c>
      <c r="C25661" t="s">
        <v>4124</v>
      </c>
      <c r="D25661" s="7">
        <f>DATE(2011,6,27)</f>
        <v>40721</v>
      </c>
      <c r="E25661" s="8">
        <f t="shared" si="435"/>
        <v>2011</v>
      </c>
      <c r="F25661" t="s">
        <v>4126</v>
      </c>
      <c r="G25661" s="9">
        <v>15198.78</v>
      </c>
      <c r="H25661" s="8">
        <v>10577</v>
      </c>
    </row>
    <row r="25662" spans="2:8" ht="15" customHeight="1" x14ac:dyDescent="0.4">
      <c r="B25662" t="s">
        <v>7</v>
      </c>
      <c r="C25662" t="s">
        <v>4127</v>
      </c>
      <c r="D25662" s="7">
        <f>DATE(2008,7,8)</f>
        <v>39637</v>
      </c>
      <c r="E25662" s="8">
        <f t="shared" si="435"/>
        <v>2008</v>
      </c>
      <c r="F25662" t="s">
        <v>4128</v>
      </c>
      <c r="G25662" s="9">
        <v>5838.65</v>
      </c>
      <c r="H25662" s="8">
        <v>7592</v>
      </c>
    </row>
    <row r="25663" spans="2:8" ht="15" customHeight="1" x14ac:dyDescent="0.4">
      <c r="B25663" t="s">
        <v>7</v>
      </c>
      <c r="C25663" t="s">
        <v>4127</v>
      </c>
      <c r="D25663" s="7">
        <f>DATE(2008,7,21)</f>
        <v>39650</v>
      </c>
      <c r="E25663" s="8">
        <f t="shared" si="435"/>
        <v>2008</v>
      </c>
      <c r="F25663" t="s">
        <v>4128</v>
      </c>
      <c r="G25663" s="9">
        <v>4431.3599999999997</v>
      </c>
      <c r="H25663" s="8">
        <v>7631</v>
      </c>
    </row>
    <row r="25664" spans="2:8" ht="15" customHeight="1" x14ac:dyDescent="0.4">
      <c r="B25664" t="s">
        <v>7</v>
      </c>
      <c r="C25664" t="s">
        <v>4129</v>
      </c>
      <c r="D25664" s="7">
        <f>DATE(2011,2,3)</f>
        <v>40577</v>
      </c>
      <c r="E25664" s="8">
        <f t="shared" si="435"/>
        <v>2011</v>
      </c>
      <c r="F25664" t="s">
        <v>4130</v>
      </c>
      <c r="G25664" s="9">
        <v>4866.3999999999996</v>
      </c>
      <c r="H25664" s="8">
        <v>10416</v>
      </c>
    </row>
    <row r="25665" spans="2:8" ht="15" customHeight="1" x14ac:dyDescent="0.4">
      <c r="B25665" t="s">
        <v>7</v>
      </c>
      <c r="C25665" t="s">
        <v>4131</v>
      </c>
      <c r="D25665" s="7">
        <f>DATE(2014,9,24)</f>
        <v>41906</v>
      </c>
      <c r="E25665" s="8">
        <f t="shared" si="435"/>
        <v>2014</v>
      </c>
      <c r="F25665" t="s">
        <v>4132</v>
      </c>
      <c r="G25665" s="9">
        <v>11000</v>
      </c>
      <c r="H25665" s="8">
        <v>13508</v>
      </c>
    </row>
    <row r="25666" spans="2:8" ht="15" customHeight="1" x14ac:dyDescent="0.4">
      <c r="B25666" t="s">
        <v>7</v>
      </c>
      <c r="C25666" t="s">
        <v>4133</v>
      </c>
      <c r="D25666" s="7">
        <f>DATE(2016,4,19)</f>
        <v>42479</v>
      </c>
      <c r="E25666" s="8">
        <f t="shared" si="435"/>
        <v>2016</v>
      </c>
      <c r="F25666" t="s">
        <v>4134</v>
      </c>
      <c r="G25666" s="9">
        <v>36418.71</v>
      </c>
      <c r="H25666" s="8">
        <v>22543</v>
      </c>
    </row>
    <row r="25667" spans="2:8" ht="15" customHeight="1" x14ac:dyDescent="0.4">
      <c r="B25667" t="s">
        <v>7</v>
      </c>
      <c r="C25667" t="s">
        <v>4133</v>
      </c>
      <c r="D25667" s="7">
        <f>DATE(2016,4,19)</f>
        <v>42479</v>
      </c>
      <c r="E25667" s="8">
        <f t="shared" ref="E25667:E25730" si="436">YEAR(D25667)</f>
        <v>2016</v>
      </c>
      <c r="F25667" t="s">
        <v>4134</v>
      </c>
      <c r="G25667" s="9">
        <v>3193.58</v>
      </c>
      <c r="H25667" s="8">
        <v>22677</v>
      </c>
    </row>
    <row r="25668" spans="2:8" ht="15" customHeight="1" x14ac:dyDescent="0.4">
      <c r="B25668" t="s">
        <v>7</v>
      </c>
      <c r="C25668" t="s">
        <v>4133</v>
      </c>
      <c r="D25668" s="7">
        <f>DATE(2016,5,3)</f>
        <v>42493</v>
      </c>
      <c r="E25668" s="8">
        <f t="shared" si="436"/>
        <v>2016</v>
      </c>
      <c r="F25668" t="s">
        <v>4134</v>
      </c>
      <c r="G25668" s="9">
        <v>110.25</v>
      </c>
      <c r="H25668" s="8">
        <v>22729</v>
      </c>
    </row>
    <row r="25669" spans="2:8" ht="15" customHeight="1" x14ac:dyDescent="0.4">
      <c r="B25669" t="s">
        <v>7</v>
      </c>
      <c r="C25669" t="s">
        <v>4133</v>
      </c>
      <c r="D25669" s="7">
        <f>DATE(2016,6,15)</f>
        <v>42536</v>
      </c>
      <c r="E25669" s="8">
        <f t="shared" si="436"/>
        <v>2016</v>
      </c>
      <c r="F25669" t="s">
        <v>4134</v>
      </c>
      <c r="G25669" s="9">
        <v>110.25</v>
      </c>
      <c r="H25669" s="8">
        <v>23007</v>
      </c>
    </row>
    <row r="25670" spans="2:8" ht="15" customHeight="1" x14ac:dyDescent="0.4">
      <c r="B25670" t="s">
        <v>7</v>
      </c>
      <c r="C25670" t="s">
        <v>4133</v>
      </c>
      <c r="D25670" s="7">
        <f>DATE(2016,6,15)</f>
        <v>42536</v>
      </c>
      <c r="E25670" s="8">
        <f t="shared" si="436"/>
        <v>2016</v>
      </c>
      <c r="F25670" t="s">
        <v>4134</v>
      </c>
      <c r="G25670" s="9">
        <v>1764</v>
      </c>
      <c r="H25670" s="8">
        <v>23021</v>
      </c>
    </row>
    <row r="25671" spans="2:8" ht="15" customHeight="1" x14ac:dyDescent="0.4">
      <c r="B25671" t="s">
        <v>7</v>
      </c>
      <c r="C25671" t="s">
        <v>4133</v>
      </c>
      <c r="D25671" s="7">
        <f>DATE(2016,6,22)</f>
        <v>42543</v>
      </c>
      <c r="E25671" s="8">
        <f t="shared" si="436"/>
        <v>2016</v>
      </c>
      <c r="F25671" t="s">
        <v>4134</v>
      </c>
      <c r="G25671" s="9">
        <v>1016</v>
      </c>
      <c r="H25671" s="8">
        <v>23024</v>
      </c>
    </row>
    <row r="25672" spans="2:8" ht="15" customHeight="1" x14ac:dyDescent="0.4">
      <c r="B25672" t="s">
        <v>7</v>
      </c>
      <c r="C25672" t="s">
        <v>4133</v>
      </c>
      <c r="D25672" s="7">
        <f>DATE(2016,11,2)</f>
        <v>42676</v>
      </c>
      <c r="E25672" s="8">
        <f t="shared" si="436"/>
        <v>2016</v>
      </c>
      <c r="F25672" t="s">
        <v>4134</v>
      </c>
      <c r="G25672" s="9">
        <v>441</v>
      </c>
      <c r="H25672" s="8">
        <v>23743</v>
      </c>
    </row>
    <row r="25673" spans="2:8" ht="15" customHeight="1" x14ac:dyDescent="0.4">
      <c r="B25673" t="s">
        <v>7</v>
      </c>
      <c r="C25673" t="s">
        <v>4133</v>
      </c>
      <c r="D25673" s="7">
        <f>DATE(2016,11,18)</f>
        <v>42692</v>
      </c>
      <c r="E25673" s="8">
        <f t="shared" si="436"/>
        <v>2016</v>
      </c>
      <c r="F25673" t="s">
        <v>4134</v>
      </c>
      <c r="G25673" s="9">
        <v>1102.5</v>
      </c>
      <c r="H25673" s="8">
        <v>23794</v>
      </c>
    </row>
    <row r="25674" spans="2:8" ht="15" customHeight="1" x14ac:dyDescent="0.4">
      <c r="B25674" t="s">
        <v>7</v>
      </c>
      <c r="C25674" t="s">
        <v>4133</v>
      </c>
      <c r="D25674" s="7">
        <f>DATE(2017,4,3)</f>
        <v>42828</v>
      </c>
      <c r="E25674" s="8">
        <f t="shared" si="436"/>
        <v>2017</v>
      </c>
      <c r="F25674" t="s">
        <v>4134</v>
      </c>
      <c r="G25674" s="9">
        <v>551.25</v>
      </c>
      <c r="H25674" s="8">
        <v>24506</v>
      </c>
    </row>
    <row r="25675" spans="2:8" ht="15" customHeight="1" x14ac:dyDescent="0.4">
      <c r="B25675" t="s">
        <v>7</v>
      </c>
      <c r="C25675" t="s">
        <v>4133</v>
      </c>
      <c r="D25675" s="7">
        <f>DATE(2017,4,27)</f>
        <v>42852</v>
      </c>
      <c r="E25675" s="8">
        <f t="shared" si="436"/>
        <v>2017</v>
      </c>
      <c r="F25675" t="s">
        <v>4134</v>
      </c>
      <c r="G25675" s="9">
        <v>630</v>
      </c>
      <c r="H25675" s="8">
        <v>24841</v>
      </c>
    </row>
    <row r="25676" spans="2:8" ht="15" customHeight="1" x14ac:dyDescent="0.4">
      <c r="B25676" t="s">
        <v>7</v>
      </c>
      <c r="C25676" t="s">
        <v>4133</v>
      </c>
      <c r="D25676" s="7">
        <f>DATE(2018,4,25)</f>
        <v>43215</v>
      </c>
      <c r="E25676" s="8">
        <f t="shared" si="436"/>
        <v>2018</v>
      </c>
      <c r="F25676" t="s">
        <v>4134</v>
      </c>
      <c r="G25676" s="9">
        <v>406</v>
      </c>
      <c r="H25676" s="8">
        <v>26949</v>
      </c>
    </row>
    <row r="25677" spans="2:8" ht="15" customHeight="1" x14ac:dyDescent="0.4">
      <c r="B25677" t="s">
        <v>7</v>
      </c>
      <c r="C25677" t="s">
        <v>4133</v>
      </c>
      <c r="D25677" s="7">
        <f>DATE(2012,7,6)</f>
        <v>41096</v>
      </c>
      <c r="E25677" s="8">
        <f t="shared" si="436"/>
        <v>2012</v>
      </c>
      <c r="F25677" t="s">
        <v>4134</v>
      </c>
      <c r="G25677" s="9">
        <v>36648.199999999997</v>
      </c>
      <c r="H25677" s="8">
        <v>11705</v>
      </c>
    </row>
    <row r="25678" spans="2:8" ht="15" customHeight="1" x14ac:dyDescent="0.4">
      <c r="B25678" t="s">
        <v>7</v>
      </c>
      <c r="C25678" t="s">
        <v>4133</v>
      </c>
      <c r="D25678" s="7">
        <f>DATE(2013,1,4)</f>
        <v>41278</v>
      </c>
      <c r="E25678" s="8">
        <f t="shared" si="436"/>
        <v>2013</v>
      </c>
      <c r="F25678" t="s">
        <v>4134</v>
      </c>
      <c r="G25678" s="9">
        <v>5495.64</v>
      </c>
      <c r="H25678" s="8">
        <v>12021</v>
      </c>
    </row>
    <row r="25679" spans="2:8" ht="15" customHeight="1" x14ac:dyDescent="0.4">
      <c r="B25679" t="s">
        <v>7</v>
      </c>
      <c r="C25679" t="s">
        <v>4133</v>
      </c>
      <c r="D25679" s="7">
        <f>DATE(2014,5,8)</f>
        <v>41767</v>
      </c>
      <c r="E25679" s="8">
        <f t="shared" si="436"/>
        <v>2014</v>
      </c>
      <c r="F25679" t="s">
        <v>4134</v>
      </c>
      <c r="G25679" s="9">
        <v>13093.32</v>
      </c>
      <c r="H25679" s="8">
        <v>12952</v>
      </c>
    </row>
    <row r="25680" spans="2:8" ht="15" customHeight="1" x14ac:dyDescent="0.4">
      <c r="B25680" s="3" t="s">
        <v>7</v>
      </c>
      <c r="C25680" s="3" t="s">
        <v>4133</v>
      </c>
      <c r="D25680" s="4">
        <f>DATE(2006,6,8)</f>
        <v>38876</v>
      </c>
      <c r="E25680" s="5">
        <f t="shared" si="436"/>
        <v>2006</v>
      </c>
      <c r="F25680" s="3" t="s">
        <v>4134</v>
      </c>
      <c r="G25680" s="6">
        <v>220.5</v>
      </c>
      <c r="H25680" s="5">
        <v>6837</v>
      </c>
    </row>
    <row r="25681" spans="2:8" ht="15" customHeight="1" x14ac:dyDescent="0.4">
      <c r="B25681" s="3" t="s">
        <v>7</v>
      </c>
      <c r="C25681" s="3" t="s">
        <v>4133</v>
      </c>
      <c r="D25681" s="4">
        <f>DATE(2007,6,1)</f>
        <v>39234</v>
      </c>
      <c r="E25681" s="5">
        <f t="shared" si="436"/>
        <v>2007</v>
      </c>
      <c r="F25681" s="3" t="s">
        <v>4134</v>
      </c>
      <c r="G25681" s="6">
        <v>1102.5</v>
      </c>
      <c r="H25681" s="5">
        <v>8693</v>
      </c>
    </row>
    <row r="25682" spans="2:8" ht="15" customHeight="1" x14ac:dyDescent="0.4">
      <c r="B25682" s="3" t="s">
        <v>7</v>
      </c>
      <c r="C25682" s="3" t="s">
        <v>4133</v>
      </c>
      <c r="D25682" s="4">
        <f>DATE(2007,9,25)</f>
        <v>39350</v>
      </c>
      <c r="E25682" s="5">
        <f t="shared" si="436"/>
        <v>2007</v>
      </c>
      <c r="F25682" s="3" t="s">
        <v>4134</v>
      </c>
      <c r="G25682" s="6">
        <v>661.5</v>
      </c>
      <c r="H25682" s="5">
        <v>9216</v>
      </c>
    </row>
    <row r="25683" spans="2:8" ht="15" customHeight="1" x14ac:dyDescent="0.4">
      <c r="B25683" s="3" t="s">
        <v>7</v>
      </c>
      <c r="C25683" s="3" t="s">
        <v>4133</v>
      </c>
      <c r="D25683" s="4">
        <f>DATE(2012,3,30)</f>
        <v>40998</v>
      </c>
      <c r="E25683" s="5">
        <f t="shared" si="436"/>
        <v>2012</v>
      </c>
      <c r="F25683" s="3" t="s">
        <v>4134</v>
      </c>
      <c r="G25683" s="6">
        <v>4999.3999999999996</v>
      </c>
      <c r="H25683" s="5">
        <v>16877</v>
      </c>
    </row>
    <row r="25684" spans="2:8" ht="15" customHeight="1" x14ac:dyDescent="0.4">
      <c r="B25684" s="3" t="s">
        <v>7</v>
      </c>
      <c r="C25684" s="3" t="s">
        <v>4133</v>
      </c>
      <c r="D25684" s="4">
        <f>DATE(2012,5,25)</f>
        <v>41054</v>
      </c>
      <c r="E25684" s="5">
        <f t="shared" si="436"/>
        <v>2012</v>
      </c>
      <c r="F25684" s="3" t="s">
        <v>4134</v>
      </c>
      <c r="G25684" s="6">
        <v>2990.53</v>
      </c>
      <c r="H25684" s="5">
        <v>17195</v>
      </c>
    </row>
    <row r="25685" spans="2:8" ht="15" customHeight="1" x14ac:dyDescent="0.4">
      <c r="B25685" s="3" t="s">
        <v>7</v>
      </c>
      <c r="C25685" s="3" t="s">
        <v>4133</v>
      </c>
      <c r="D25685" s="4">
        <f>DATE(2012,6,6)</f>
        <v>41066</v>
      </c>
      <c r="E25685" s="5">
        <f t="shared" si="436"/>
        <v>2012</v>
      </c>
      <c r="F25685" s="3" t="s">
        <v>4134</v>
      </c>
      <c r="G25685" s="6">
        <v>5015.7</v>
      </c>
      <c r="H25685" s="5">
        <v>17223</v>
      </c>
    </row>
    <row r="25686" spans="2:8" ht="15" customHeight="1" x14ac:dyDescent="0.4">
      <c r="B25686" s="3" t="s">
        <v>7</v>
      </c>
      <c r="C25686" s="3" t="s">
        <v>4135</v>
      </c>
      <c r="D25686" s="4">
        <f>DATE(2009,4,2)</f>
        <v>39905</v>
      </c>
      <c r="E25686" s="5">
        <f t="shared" si="436"/>
        <v>2009</v>
      </c>
      <c r="F25686" s="3" t="s">
        <v>4136</v>
      </c>
      <c r="G25686" s="6">
        <v>121.68</v>
      </c>
      <c r="H25686" s="5">
        <v>12304</v>
      </c>
    </row>
    <row r="25687" spans="2:8" ht="15" customHeight="1" x14ac:dyDescent="0.4">
      <c r="B25687" s="3" t="s">
        <v>7</v>
      </c>
      <c r="C25687" s="3" t="s">
        <v>4135</v>
      </c>
      <c r="D25687" s="4">
        <f>DATE(2009,6,11)</f>
        <v>39975</v>
      </c>
      <c r="E25687" s="5">
        <f t="shared" si="436"/>
        <v>2009</v>
      </c>
      <c r="F25687" s="3" t="s">
        <v>4136</v>
      </c>
      <c r="G25687" s="6">
        <v>243.36</v>
      </c>
      <c r="H25687" s="5">
        <v>12653</v>
      </c>
    </row>
    <row r="25688" spans="2:8" ht="15" customHeight="1" x14ac:dyDescent="0.4">
      <c r="B25688" s="3" t="s">
        <v>7</v>
      </c>
      <c r="C25688" s="3" t="s">
        <v>4137</v>
      </c>
      <c r="D25688" s="4">
        <f>DATE(2003,6,27)</f>
        <v>37799</v>
      </c>
      <c r="E25688" s="5">
        <f t="shared" si="436"/>
        <v>2003</v>
      </c>
      <c r="F25688" s="3" t="s">
        <v>4138</v>
      </c>
      <c r="G25688" s="6">
        <v>14920.09</v>
      </c>
      <c r="H25688" s="5">
        <v>1141</v>
      </c>
    </row>
    <row r="25689" spans="2:8" ht="15" customHeight="1" x14ac:dyDescent="0.4">
      <c r="B25689" t="s">
        <v>7</v>
      </c>
      <c r="C25689" t="s">
        <v>4139</v>
      </c>
      <c r="D25689" s="7">
        <f>DATE(2017,3,29)</f>
        <v>42823</v>
      </c>
      <c r="E25689" s="8">
        <f t="shared" si="436"/>
        <v>2017</v>
      </c>
      <c r="F25689" t="s">
        <v>4140</v>
      </c>
      <c r="G25689" s="9">
        <v>15981.59</v>
      </c>
      <c r="H25689" s="8">
        <v>24567</v>
      </c>
    </row>
    <row r="25690" spans="2:8" ht="15" customHeight="1" x14ac:dyDescent="0.4">
      <c r="B25690" t="s">
        <v>7</v>
      </c>
      <c r="C25690" t="s">
        <v>4141</v>
      </c>
      <c r="D25690" s="7">
        <f>DATE(2005,6,8)</f>
        <v>38511</v>
      </c>
      <c r="E25690" s="8">
        <f t="shared" si="436"/>
        <v>2005</v>
      </c>
      <c r="F25690" t="s">
        <v>4142</v>
      </c>
      <c r="G25690" s="9">
        <v>17693.259999999998</v>
      </c>
      <c r="H25690" s="8">
        <v>2707</v>
      </c>
    </row>
    <row r="25691" spans="2:8" ht="15" customHeight="1" x14ac:dyDescent="0.4">
      <c r="B25691" s="3" t="s">
        <v>7</v>
      </c>
      <c r="C25691" s="3" t="s">
        <v>4143</v>
      </c>
      <c r="D25691" s="4">
        <f>DATE(2004,2,19)</f>
        <v>38036</v>
      </c>
      <c r="E25691" s="5">
        <f t="shared" si="436"/>
        <v>2004</v>
      </c>
      <c r="F25691" s="3" t="s">
        <v>4144</v>
      </c>
      <c r="G25691" s="6">
        <v>121</v>
      </c>
      <c r="H25691" s="5">
        <v>2223</v>
      </c>
    </row>
    <row r="25692" spans="2:8" ht="15" customHeight="1" x14ac:dyDescent="0.4">
      <c r="B25692" s="3" t="s">
        <v>7</v>
      </c>
      <c r="C25692" s="3" t="s">
        <v>4143</v>
      </c>
      <c r="D25692" s="4">
        <f>DATE(2012,5,1)</f>
        <v>41030</v>
      </c>
      <c r="E25692" s="5">
        <f t="shared" si="436"/>
        <v>2012</v>
      </c>
      <c r="F25692" s="3" t="s">
        <v>4144</v>
      </c>
      <c r="G25692" s="6">
        <v>161.69999999999999</v>
      </c>
      <c r="H25692" s="5">
        <v>17056</v>
      </c>
    </row>
    <row r="25693" spans="2:8" ht="15" customHeight="1" x14ac:dyDescent="0.4">
      <c r="B25693" s="3" t="s">
        <v>7</v>
      </c>
      <c r="C25693" s="3" t="s">
        <v>4143</v>
      </c>
      <c r="D25693" s="4">
        <f>DATE(2013,8,13)</f>
        <v>41499</v>
      </c>
      <c r="E25693" s="5">
        <f t="shared" si="436"/>
        <v>2013</v>
      </c>
      <c r="F25693" s="3" t="s">
        <v>4144</v>
      </c>
      <c r="G25693" s="6">
        <v>354.08</v>
      </c>
      <c r="H25693" s="5">
        <v>18862</v>
      </c>
    </row>
    <row r="25694" spans="2:8" ht="15" customHeight="1" x14ac:dyDescent="0.4">
      <c r="B25694" t="s">
        <v>7</v>
      </c>
      <c r="C25694" t="s">
        <v>4145</v>
      </c>
      <c r="D25694" s="7">
        <f>DATE(2003,5,11)</f>
        <v>37752</v>
      </c>
      <c r="E25694" s="8">
        <f t="shared" si="436"/>
        <v>2003</v>
      </c>
      <c r="F25694" t="s">
        <v>4146</v>
      </c>
      <c r="G25694" s="9">
        <v>8500</v>
      </c>
      <c r="H25694" s="8">
        <v>586</v>
      </c>
    </row>
    <row r="25695" spans="2:8" ht="15" customHeight="1" x14ac:dyDescent="0.4">
      <c r="B25695" t="s">
        <v>7</v>
      </c>
      <c r="C25695" t="s">
        <v>4145</v>
      </c>
      <c r="D25695" s="7">
        <f>DATE(2003,6,11)</f>
        <v>37783</v>
      </c>
      <c r="E25695" s="8">
        <f t="shared" si="436"/>
        <v>2003</v>
      </c>
      <c r="F25695" t="s">
        <v>4146</v>
      </c>
      <c r="G25695" s="9">
        <v>7300</v>
      </c>
      <c r="H25695" s="8">
        <v>594</v>
      </c>
    </row>
    <row r="25696" spans="2:8" ht="15" customHeight="1" x14ac:dyDescent="0.4">
      <c r="B25696" t="s">
        <v>7</v>
      </c>
      <c r="C25696" t="s">
        <v>4145</v>
      </c>
      <c r="D25696" s="7">
        <f>DATE(2003,7,31)</f>
        <v>37833</v>
      </c>
      <c r="E25696" s="8">
        <f t="shared" si="436"/>
        <v>2003</v>
      </c>
      <c r="F25696" t="s">
        <v>4146</v>
      </c>
      <c r="G25696" s="9">
        <v>2831.1</v>
      </c>
      <c r="H25696" s="8">
        <v>781</v>
      </c>
    </row>
    <row r="25697" spans="2:8" ht="15" customHeight="1" x14ac:dyDescent="0.4">
      <c r="B25697" t="s">
        <v>7</v>
      </c>
      <c r="C25697" t="s">
        <v>4145</v>
      </c>
      <c r="D25697" s="7">
        <f>DATE(2004,4,5)</f>
        <v>38082</v>
      </c>
      <c r="E25697" s="8">
        <f t="shared" si="436"/>
        <v>2004</v>
      </c>
      <c r="F25697" t="s">
        <v>4146</v>
      </c>
      <c r="G25697" s="9">
        <v>29912.11</v>
      </c>
      <c r="H25697" s="8">
        <v>1558</v>
      </c>
    </row>
    <row r="25698" spans="2:8" ht="15" customHeight="1" x14ac:dyDescent="0.4">
      <c r="B25698" t="s">
        <v>7</v>
      </c>
      <c r="C25698" t="s">
        <v>4145</v>
      </c>
      <c r="D25698" s="7">
        <f>DATE(2006,1,27)</f>
        <v>38744</v>
      </c>
      <c r="E25698" s="8">
        <f t="shared" si="436"/>
        <v>2006</v>
      </c>
      <c r="F25698" t="s">
        <v>4146</v>
      </c>
      <c r="G25698" s="9">
        <v>16450</v>
      </c>
      <c r="H25698" s="8">
        <v>3985</v>
      </c>
    </row>
    <row r="25699" spans="2:8" ht="15" customHeight="1" x14ac:dyDescent="0.4">
      <c r="B25699" t="s">
        <v>7</v>
      </c>
      <c r="C25699" t="s">
        <v>4145</v>
      </c>
      <c r="D25699" s="7">
        <f>DATE(2006,4,28)</f>
        <v>38835</v>
      </c>
      <c r="E25699" s="8">
        <f t="shared" si="436"/>
        <v>2006</v>
      </c>
      <c r="F25699" t="s">
        <v>4146</v>
      </c>
      <c r="G25699" s="9">
        <v>15762</v>
      </c>
      <c r="H25699" s="8">
        <v>4490</v>
      </c>
    </row>
    <row r="25700" spans="2:8" ht="15" customHeight="1" x14ac:dyDescent="0.4">
      <c r="B25700" t="s">
        <v>7</v>
      </c>
      <c r="C25700" t="s">
        <v>4145</v>
      </c>
      <c r="D25700" s="7">
        <f>DATE(2006,8,16)</f>
        <v>38945</v>
      </c>
      <c r="E25700" s="8">
        <f t="shared" si="436"/>
        <v>2006</v>
      </c>
      <c r="F25700" t="s">
        <v>4146</v>
      </c>
      <c r="G25700" s="9">
        <v>3733.7</v>
      </c>
      <c r="H25700" s="8">
        <v>4874</v>
      </c>
    </row>
    <row r="25701" spans="2:8" ht="15" customHeight="1" x14ac:dyDescent="0.4">
      <c r="B25701" t="s">
        <v>7</v>
      </c>
      <c r="C25701" t="s">
        <v>4145</v>
      </c>
      <c r="D25701" s="7">
        <f>DATE(2006,11,16)</f>
        <v>39037</v>
      </c>
      <c r="E25701" s="8">
        <f t="shared" si="436"/>
        <v>2006</v>
      </c>
      <c r="F25701" t="s">
        <v>4146</v>
      </c>
      <c r="G25701" s="9">
        <v>10200</v>
      </c>
      <c r="H25701" s="8">
        <v>5078</v>
      </c>
    </row>
    <row r="25702" spans="2:8" ht="15" customHeight="1" x14ac:dyDescent="0.4">
      <c r="B25702" t="s">
        <v>7</v>
      </c>
      <c r="C25702" t="s">
        <v>4145</v>
      </c>
      <c r="D25702" s="7">
        <f>DATE(2006,12,19)</f>
        <v>39070</v>
      </c>
      <c r="E25702" s="8">
        <f t="shared" si="436"/>
        <v>2006</v>
      </c>
      <c r="F25702" t="s">
        <v>4146</v>
      </c>
      <c r="G25702" s="9">
        <v>8300</v>
      </c>
      <c r="H25702" s="8">
        <v>5257</v>
      </c>
    </row>
    <row r="25703" spans="2:8" ht="15" customHeight="1" x14ac:dyDescent="0.4">
      <c r="B25703" t="s">
        <v>7</v>
      </c>
      <c r="C25703" t="s">
        <v>4145</v>
      </c>
      <c r="D25703" s="7">
        <f>DATE(2007,2,14)</f>
        <v>39127</v>
      </c>
      <c r="E25703" s="8">
        <f t="shared" si="436"/>
        <v>2007</v>
      </c>
      <c r="F25703" t="s">
        <v>4146</v>
      </c>
      <c r="G25703" s="9">
        <v>3995.34</v>
      </c>
      <c r="H25703" s="8">
        <v>5519</v>
      </c>
    </row>
    <row r="25704" spans="2:8" ht="15" customHeight="1" x14ac:dyDescent="0.4">
      <c r="B25704" t="s">
        <v>7</v>
      </c>
      <c r="C25704" t="s">
        <v>4145</v>
      </c>
      <c r="D25704" s="7">
        <f>DATE(2007,3,8)</f>
        <v>39149</v>
      </c>
      <c r="E25704" s="8">
        <f t="shared" si="436"/>
        <v>2007</v>
      </c>
      <c r="F25704" t="s">
        <v>4146</v>
      </c>
      <c r="G25704" s="9">
        <v>10500</v>
      </c>
      <c r="H25704" s="8">
        <v>5387</v>
      </c>
    </row>
    <row r="25705" spans="2:8" ht="15" customHeight="1" x14ac:dyDescent="0.4">
      <c r="B25705" t="s">
        <v>7</v>
      </c>
      <c r="C25705" t="s">
        <v>4145</v>
      </c>
      <c r="D25705" s="7">
        <f>DATE(2007,5,16)</f>
        <v>39218</v>
      </c>
      <c r="E25705" s="8">
        <f t="shared" si="436"/>
        <v>2007</v>
      </c>
      <c r="F25705" t="s">
        <v>4146</v>
      </c>
      <c r="G25705" s="9">
        <v>8800</v>
      </c>
      <c r="H25705" s="8">
        <v>5767</v>
      </c>
    </row>
    <row r="25706" spans="2:8" ht="15" customHeight="1" x14ac:dyDescent="0.4">
      <c r="B25706" t="s">
        <v>7</v>
      </c>
      <c r="C25706" t="s">
        <v>4145</v>
      </c>
      <c r="D25706" s="7">
        <f>DATE(2007,6,21)</f>
        <v>39254</v>
      </c>
      <c r="E25706" s="8">
        <f t="shared" si="436"/>
        <v>2007</v>
      </c>
      <c r="F25706" t="s">
        <v>4146</v>
      </c>
      <c r="G25706" s="9">
        <v>6553</v>
      </c>
      <c r="H25706" s="8">
        <v>6095</v>
      </c>
    </row>
    <row r="25707" spans="2:8" ht="15" customHeight="1" x14ac:dyDescent="0.4">
      <c r="B25707" t="s">
        <v>7</v>
      </c>
      <c r="C25707" t="s">
        <v>4145</v>
      </c>
      <c r="D25707" s="7">
        <f>DATE(2007,6,23)</f>
        <v>39256</v>
      </c>
      <c r="E25707" s="8">
        <f t="shared" si="436"/>
        <v>2007</v>
      </c>
      <c r="F25707" t="s">
        <v>4146</v>
      </c>
      <c r="G25707" s="9">
        <v>5262.9</v>
      </c>
      <c r="H25707" s="8">
        <v>6104</v>
      </c>
    </row>
    <row r="25708" spans="2:8" ht="15" customHeight="1" x14ac:dyDescent="0.4">
      <c r="B25708" t="s">
        <v>7</v>
      </c>
      <c r="C25708" t="s">
        <v>4145</v>
      </c>
      <c r="D25708" s="7">
        <f>DATE(2007,8,2)</f>
        <v>39296</v>
      </c>
      <c r="E25708" s="8">
        <f t="shared" si="436"/>
        <v>2007</v>
      </c>
      <c r="F25708" t="s">
        <v>4146</v>
      </c>
      <c r="G25708" s="9">
        <v>3678.44</v>
      </c>
      <c r="H25708" s="8">
        <v>6231</v>
      </c>
    </row>
    <row r="25709" spans="2:8" ht="15" customHeight="1" x14ac:dyDescent="0.4">
      <c r="B25709" t="s">
        <v>7</v>
      </c>
      <c r="C25709" t="s">
        <v>4145</v>
      </c>
      <c r="D25709" s="7">
        <f>DATE(2008,4,10)</f>
        <v>39548</v>
      </c>
      <c r="E25709" s="8">
        <f t="shared" si="436"/>
        <v>2008</v>
      </c>
      <c r="F25709" t="s">
        <v>4146</v>
      </c>
      <c r="G25709" s="9">
        <v>4352.25</v>
      </c>
      <c r="H25709" s="8">
        <v>7286</v>
      </c>
    </row>
    <row r="25710" spans="2:8" ht="15" customHeight="1" x14ac:dyDescent="0.4">
      <c r="B25710" t="s">
        <v>7</v>
      </c>
      <c r="C25710" t="s">
        <v>4145</v>
      </c>
      <c r="D25710" s="7">
        <f>DATE(2008,4,30)</f>
        <v>39568</v>
      </c>
      <c r="E25710" s="8">
        <f t="shared" si="436"/>
        <v>2008</v>
      </c>
      <c r="F25710" t="s">
        <v>4146</v>
      </c>
      <c r="G25710" s="9">
        <v>8000</v>
      </c>
      <c r="H25710" s="8">
        <v>7394</v>
      </c>
    </row>
    <row r="25711" spans="2:8" ht="15" customHeight="1" x14ac:dyDescent="0.4">
      <c r="B25711" t="s">
        <v>7</v>
      </c>
      <c r="C25711" t="s">
        <v>4145</v>
      </c>
      <c r="D25711" s="7">
        <f>DATE(2008,7,2)</f>
        <v>39631</v>
      </c>
      <c r="E25711" s="8">
        <f t="shared" si="436"/>
        <v>2008</v>
      </c>
      <c r="F25711" t="s">
        <v>4146</v>
      </c>
      <c r="G25711" s="9">
        <v>3723.99</v>
      </c>
      <c r="H25711" s="8">
        <v>7586</v>
      </c>
    </row>
    <row r="25712" spans="2:8" ht="15" customHeight="1" x14ac:dyDescent="0.4">
      <c r="B25712" t="s">
        <v>7</v>
      </c>
      <c r="C25712" t="s">
        <v>4145</v>
      </c>
      <c r="D25712" s="7">
        <f>DATE(2008,10,9)</f>
        <v>39730</v>
      </c>
      <c r="E25712" s="8">
        <f t="shared" si="436"/>
        <v>2008</v>
      </c>
      <c r="F25712" t="s">
        <v>4146</v>
      </c>
      <c r="G25712" s="9">
        <v>4275.46</v>
      </c>
      <c r="H25712" s="8">
        <v>7925</v>
      </c>
    </row>
    <row r="25713" spans="2:8" ht="15" customHeight="1" x14ac:dyDescent="0.4">
      <c r="B25713" t="s">
        <v>7</v>
      </c>
      <c r="C25713" t="s">
        <v>4145</v>
      </c>
      <c r="D25713" s="7">
        <f>DATE(2010,2,11)</f>
        <v>40220</v>
      </c>
      <c r="E25713" s="8">
        <f t="shared" si="436"/>
        <v>2010</v>
      </c>
      <c r="F25713" t="s">
        <v>4146</v>
      </c>
      <c r="G25713" s="9">
        <v>4230.45</v>
      </c>
      <c r="H25713" s="8">
        <v>9373</v>
      </c>
    </row>
    <row r="25714" spans="2:8" ht="15" customHeight="1" x14ac:dyDescent="0.4">
      <c r="B25714" t="s">
        <v>7</v>
      </c>
      <c r="C25714" t="s">
        <v>4145</v>
      </c>
      <c r="D25714" s="7">
        <f>DATE(2010,3,18)</f>
        <v>40255</v>
      </c>
      <c r="E25714" s="8">
        <f t="shared" si="436"/>
        <v>2010</v>
      </c>
      <c r="F25714" t="s">
        <v>4146</v>
      </c>
      <c r="G25714" s="9">
        <v>2526.94</v>
      </c>
      <c r="H25714" s="8">
        <v>9583</v>
      </c>
    </row>
    <row r="25715" spans="2:8" ht="15" customHeight="1" x14ac:dyDescent="0.4">
      <c r="B25715" t="s">
        <v>7</v>
      </c>
      <c r="C25715" t="s">
        <v>4145</v>
      </c>
      <c r="D25715" s="7">
        <f>DATE(2010,7,19)</f>
        <v>40378</v>
      </c>
      <c r="E25715" s="8">
        <f t="shared" si="436"/>
        <v>2010</v>
      </c>
      <c r="F25715" t="s">
        <v>4146</v>
      </c>
      <c r="G25715" s="9">
        <v>12294.76</v>
      </c>
      <c r="H25715" s="8">
        <v>9960</v>
      </c>
    </row>
    <row r="25716" spans="2:8" ht="15" customHeight="1" x14ac:dyDescent="0.4">
      <c r="B25716" t="s">
        <v>7</v>
      </c>
      <c r="C25716" t="s">
        <v>4145</v>
      </c>
      <c r="D25716" s="7">
        <f>DATE(2010,7,19)</f>
        <v>40378</v>
      </c>
      <c r="E25716" s="8">
        <f t="shared" si="436"/>
        <v>2010</v>
      </c>
      <c r="F25716" t="s">
        <v>4146</v>
      </c>
      <c r="G25716" s="9">
        <v>13707.11</v>
      </c>
      <c r="H25716" s="8">
        <v>9986</v>
      </c>
    </row>
    <row r="25717" spans="2:8" ht="15" customHeight="1" x14ac:dyDescent="0.4">
      <c r="B25717" t="s">
        <v>7</v>
      </c>
      <c r="C25717" t="s">
        <v>4145</v>
      </c>
      <c r="D25717" s="7">
        <f>DATE(2011,4,6)</f>
        <v>40639</v>
      </c>
      <c r="E25717" s="8">
        <f t="shared" si="436"/>
        <v>2011</v>
      </c>
      <c r="F25717" t="s">
        <v>4146</v>
      </c>
      <c r="G25717" s="9">
        <v>2011.95</v>
      </c>
      <c r="H25717" s="8">
        <v>10626</v>
      </c>
    </row>
    <row r="25718" spans="2:8" ht="15" customHeight="1" x14ac:dyDescent="0.4">
      <c r="B25718" t="s">
        <v>7</v>
      </c>
      <c r="C25718" t="s">
        <v>4145</v>
      </c>
      <c r="D25718" s="7">
        <f>DATE(2011,5,4)</f>
        <v>40667</v>
      </c>
      <c r="E25718" s="8">
        <f t="shared" si="436"/>
        <v>2011</v>
      </c>
      <c r="F25718" t="s">
        <v>4146</v>
      </c>
      <c r="G25718" s="9">
        <v>2091.14</v>
      </c>
      <c r="H25718" s="8">
        <v>10700</v>
      </c>
    </row>
    <row r="25719" spans="2:8" ht="15" customHeight="1" x14ac:dyDescent="0.4">
      <c r="B25719" t="s">
        <v>7</v>
      </c>
      <c r="C25719" t="s">
        <v>4145</v>
      </c>
      <c r="D25719" s="7">
        <f>DATE(2011,7,14)</f>
        <v>40738</v>
      </c>
      <c r="E25719" s="8">
        <f t="shared" si="436"/>
        <v>2011</v>
      </c>
      <c r="F25719" t="s">
        <v>4146</v>
      </c>
      <c r="G25719" s="9">
        <v>1898.68</v>
      </c>
      <c r="H25719" s="8">
        <v>10819</v>
      </c>
    </row>
    <row r="25720" spans="2:8" ht="15" customHeight="1" x14ac:dyDescent="0.4">
      <c r="B25720" s="3" t="s">
        <v>7</v>
      </c>
      <c r="C25720" s="3" t="s">
        <v>4145</v>
      </c>
      <c r="D25720" s="4">
        <f>DATE(2007,3,15)</f>
        <v>39156</v>
      </c>
      <c r="E25720" s="5">
        <f t="shared" si="436"/>
        <v>2007</v>
      </c>
      <c r="F25720" s="3" t="s">
        <v>4146</v>
      </c>
      <c r="G25720" s="6">
        <v>242.5</v>
      </c>
      <c r="H25720" s="5">
        <v>8154</v>
      </c>
    </row>
    <row r="25721" spans="2:8" ht="15" customHeight="1" x14ac:dyDescent="0.4">
      <c r="B25721" s="3" t="s">
        <v>7</v>
      </c>
      <c r="C25721" s="3" t="s">
        <v>4145</v>
      </c>
      <c r="D25721" s="4">
        <f>DATE(2007,6,20)</f>
        <v>39253</v>
      </c>
      <c r="E25721" s="5">
        <f t="shared" si="436"/>
        <v>2007</v>
      </c>
      <c r="F25721" s="3" t="s">
        <v>4146</v>
      </c>
      <c r="G25721" s="6">
        <v>714.5</v>
      </c>
      <c r="H25721" s="5">
        <v>8794</v>
      </c>
    </row>
    <row r="25722" spans="2:8" ht="15" customHeight="1" x14ac:dyDescent="0.4">
      <c r="B25722" s="3" t="s">
        <v>7</v>
      </c>
      <c r="C25722" s="3" t="s">
        <v>4145</v>
      </c>
      <c r="D25722" s="4">
        <f>DATE(2008,4,30)</f>
        <v>39568</v>
      </c>
      <c r="E25722" s="5">
        <f t="shared" si="436"/>
        <v>2008</v>
      </c>
      <c r="F25722" s="3" t="s">
        <v>4146</v>
      </c>
      <c r="G25722" s="6">
        <v>3800</v>
      </c>
      <c r="H25722" s="5">
        <v>10582</v>
      </c>
    </row>
    <row r="25723" spans="2:8" ht="15" customHeight="1" x14ac:dyDescent="0.4">
      <c r="B25723" s="3" t="s">
        <v>7</v>
      </c>
      <c r="C25723" s="3" t="s">
        <v>4145</v>
      </c>
      <c r="D25723" s="4">
        <f>DATE(2009,4,9)</f>
        <v>39912</v>
      </c>
      <c r="E25723" s="5">
        <f t="shared" si="436"/>
        <v>2009</v>
      </c>
      <c r="F25723" s="3" t="s">
        <v>4146</v>
      </c>
      <c r="G25723" s="6">
        <v>4476.09</v>
      </c>
      <c r="H25723" s="5">
        <v>12338</v>
      </c>
    </row>
    <row r="25724" spans="2:8" ht="15" customHeight="1" x14ac:dyDescent="0.4">
      <c r="B25724" s="3" t="s">
        <v>7</v>
      </c>
      <c r="C25724" s="3" t="s">
        <v>4145</v>
      </c>
      <c r="D25724" s="4">
        <f>DATE(2009,4,23)</f>
        <v>39926</v>
      </c>
      <c r="E25724" s="5">
        <f t="shared" si="436"/>
        <v>2009</v>
      </c>
      <c r="F25724" s="3" t="s">
        <v>4146</v>
      </c>
      <c r="G25724" s="6">
        <v>1533</v>
      </c>
      <c r="H25724" s="5">
        <v>12437</v>
      </c>
    </row>
    <row r="25725" spans="2:8" ht="15" customHeight="1" x14ac:dyDescent="0.4">
      <c r="B25725" s="3" t="s">
        <v>7</v>
      </c>
      <c r="C25725" s="3" t="s">
        <v>4145</v>
      </c>
      <c r="D25725" s="4">
        <f>DATE(2009,6,4)</f>
        <v>39968</v>
      </c>
      <c r="E25725" s="5">
        <f t="shared" si="436"/>
        <v>2009</v>
      </c>
      <c r="F25725" s="3" t="s">
        <v>4146</v>
      </c>
      <c r="G25725" s="6">
        <v>76</v>
      </c>
      <c r="H25725" s="5">
        <v>12638</v>
      </c>
    </row>
    <row r="25726" spans="2:8" ht="15" customHeight="1" x14ac:dyDescent="0.4">
      <c r="B25726" s="3" t="s">
        <v>7</v>
      </c>
      <c r="C25726" s="3" t="s">
        <v>4145</v>
      </c>
      <c r="D25726" s="4">
        <f>DATE(2011,2,25)</f>
        <v>40599</v>
      </c>
      <c r="E25726" s="5">
        <f t="shared" si="436"/>
        <v>2011</v>
      </c>
      <c r="F25726" s="3" t="s">
        <v>4146</v>
      </c>
      <c r="G25726" s="6">
        <v>40.5</v>
      </c>
      <c r="H25726" s="5">
        <v>15150</v>
      </c>
    </row>
    <row r="25727" spans="2:8" ht="15" customHeight="1" x14ac:dyDescent="0.4">
      <c r="B25727" s="3" t="s">
        <v>7</v>
      </c>
      <c r="C25727" s="3" t="s">
        <v>4145</v>
      </c>
      <c r="D25727" s="4">
        <f>DATE(2011,3,17)</f>
        <v>40619</v>
      </c>
      <c r="E25727" s="5">
        <f t="shared" si="436"/>
        <v>2011</v>
      </c>
      <c r="F25727" s="3" t="s">
        <v>4146</v>
      </c>
      <c r="G25727" s="6">
        <v>2242</v>
      </c>
      <c r="H25727" s="5">
        <v>15271</v>
      </c>
    </row>
    <row r="25728" spans="2:8" ht="15" customHeight="1" x14ac:dyDescent="0.4">
      <c r="B25728" s="3" t="s">
        <v>7</v>
      </c>
      <c r="C25728" s="3" t="s">
        <v>4145</v>
      </c>
      <c r="D25728" s="4">
        <f>DATE(2011,3,23)</f>
        <v>40625</v>
      </c>
      <c r="E25728" s="5">
        <f t="shared" si="436"/>
        <v>2011</v>
      </c>
      <c r="F25728" s="3" t="s">
        <v>4146</v>
      </c>
      <c r="G25728" s="6">
        <v>125</v>
      </c>
      <c r="H25728" s="5">
        <v>15288</v>
      </c>
    </row>
    <row r="25729" spans="2:8" ht="15" customHeight="1" x14ac:dyDescent="0.4">
      <c r="B25729" s="3" t="s">
        <v>7</v>
      </c>
      <c r="C25729" s="3" t="s">
        <v>4145</v>
      </c>
      <c r="D25729" s="4">
        <f>DATE(2011,5,3)</f>
        <v>40666</v>
      </c>
      <c r="E25729" s="5">
        <f t="shared" si="436"/>
        <v>2011</v>
      </c>
      <c r="F25729" s="3" t="s">
        <v>4146</v>
      </c>
      <c r="G25729" s="6">
        <v>104.5</v>
      </c>
      <c r="H25729" s="5">
        <v>15529</v>
      </c>
    </row>
    <row r="25730" spans="2:8" ht="15" customHeight="1" x14ac:dyDescent="0.4">
      <c r="B25730" t="s">
        <v>7</v>
      </c>
      <c r="C25730" t="s">
        <v>4147</v>
      </c>
      <c r="D25730" s="7">
        <f>DATE(2018,7,19)</f>
        <v>43300</v>
      </c>
      <c r="E25730" s="8">
        <f t="shared" si="436"/>
        <v>2018</v>
      </c>
      <c r="F25730" t="s">
        <v>4148</v>
      </c>
      <c r="G25730" s="9">
        <v>40286.620000000003</v>
      </c>
      <c r="H25730" s="8">
        <v>26509</v>
      </c>
    </row>
    <row r="25731" spans="2:8" ht="15" customHeight="1" x14ac:dyDescent="0.4">
      <c r="B25731" t="s">
        <v>7</v>
      </c>
      <c r="C25731" t="s">
        <v>4149</v>
      </c>
      <c r="D25731" s="7">
        <f>DATE(2017,10,13)</f>
        <v>43021</v>
      </c>
      <c r="E25731" s="8">
        <f t="shared" ref="E25731:E25794" si="437">YEAR(D25731)</f>
        <v>2017</v>
      </c>
      <c r="F25731" t="s">
        <v>4150</v>
      </c>
      <c r="G25731" s="9">
        <v>21499.5</v>
      </c>
      <c r="H25731" s="8">
        <v>25496</v>
      </c>
    </row>
    <row r="25732" spans="2:8" ht="15" customHeight="1" x14ac:dyDescent="0.4">
      <c r="B25732" t="s">
        <v>7</v>
      </c>
      <c r="C25732" t="s">
        <v>4149</v>
      </c>
      <c r="D25732" s="7">
        <f>DATE(2018,10,26)</f>
        <v>43399</v>
      </c>
      <c r="E25732" s="8">
        <f t="shared" si="437"/>
        <v>2018</v>
      </c>
      <c r="F25732" t="s">
        <v>4150</v>
      </c>
      <c r="G25732" s="9">
        <v>32194.33</v>
      </c>
      <c r="H25732" s="8">
        <v>26545</v>
      </c>
    </row>
    <row r="25733" spans="2:8" ht="15" customHeight="1" x14ac:dyDescent="0.4">
      <c r="B25733" t="s">
        <v>7</v>
      </c>
      <c r="C25733" t="s">
        <v>4149</v>
      </c>
      <c r="D25733" s="7">
        <f>DATE(2017,10,13)</f>
        <v>43021</v>
      </c>
      <c r="E25733" s="8">
        <f t="shared" si="437"/>
        <v>2017</v>
      </c>
      <c r="F25733" t="s">
        <v>4150</v>
      </c>
      <c r="G25733" s="9">
        <v>3635.35</v>
      </c>
      <c r="H25733" s="8">
        <v>25357</v>
      </c>
    </row>
    <row r="25734" spans="2:8" ht="15" customHeight="1" x14ac:dyDescent="0.4">
      <c r="B25734" t="s">
        <v>7</v>
      </c>
      <c r="C25734" t="s">
        <v>4149</v>
      </c>
      <c r="D25734" s="7">
        <f>DATE(2015,10,15)</f>
        <v>42292</v>
      </c>
      <c r="E25734" s="8">
        <f t="shared" si="437"/>
        <v>2015</v>
      </c>
      <c r="F25734" t="s">
        <v>4151</v>
      </c>
      <c r="G25734" s="9">
        <v>44468.51</v>
      </c>
      <c r="H25734" s="8">
        <v>21161</v>
      </c>
    </row>
    <row r="25735" spans="2:8" ht="15" customHeight="1" x14ac:dyDescent="0.4">
      <c r="B25735" t="s">
        <v>7</v>
      </c>
      <c r="C25735" t="s">
        <v>4149</v>
      </c>
      <c r="D25735" s="7">
        <f>DATE(2017,2,15)</f>
        <v>42781</v>
      </c>
      <c r="E25735" s="8">
        <f t="shared" si="437"/>
        <v>2017</v>
      </c>
      <c r="F25735" t="s">
        <v>4151</v>
      </c>
      <c r="G25735" s="9">
        <v>12716.7</v>
      </c>
      <c r="H25735" s="8">
        <v>23751</v>
      </c>
    </row>
    <row r="25736" spans="2:8" ht="15" customHeight="1" x14ac:dyDescent="0.4">
      <c r="B25736" t="s">
        <v>7</v>
      </c>
      <c r="C25736" t="s">
        <v>4149</v>
      </c>
      <c r="D25736" s="7">
        <f>DATE(2017,2,15)</f>
        <v>42781</v>
      </c>
      <c r="E25736" s="8">
        <f t="shared" si="437"/>
        <v>2017</v>
      </c>
      <c r="F25736" t="s">
        <v>4151</v>
      </c>
      <c r="G25736" s="9">
        <v>10672</v>
      </c>
      <c r="H25736" s="8">
        <v>24264</v>
      </c>
    </row>
    <row r="25737" spans="2:8" ht="15" customHeight="1" x14ac:dyDescent="0.4">
      <c r="B25737" t="s">
        <v>7</v>
      </c>
      <c r="C25737" t="s">
        <v>4149</v>
      </c>
      <c r="D25737" s="7">
        <f>DATE(2015,11,3)</f>
        <v>42311</v>
      </c>
      <c r="E25737" s="8">
        <f t="shared" si="437"/>
        <v>2015</v>
      </c>
      <c r="F25737" t="s">
        <v>4151</v>
      </c>
      <c r="G25737" s="9">
        <v>292.67</v>
      </c>
      <c r="H25737" s="8">
        <v>21470</v>
      </c>
    </row>
    <row r="25738" spans="2:8" ht="15" customHeight="1" x14ac:dyDescent="0.4">
      <c r="B25738" t="s">
        <v>7</v>
      </c>
      <c r="C25738" t="s">
        <v>4149</v>
      </c>
      <c r="D25738" s="7">
        <f>DATE(2015,11,3)</f>
        <v>42311</v>
      </c>
      <c r="E25738" s="8">
        <f t="shared" si="437"/>
        <v>2015</v>
      </c>
      <c r="F25738" t="s">
        <v>4151</v>
      </c>
      <c r="G25738" s="9">
        <v>7766.11</v>
      </c>
      <c r="H25738" s="8">
        <v>21462</v>
      </c>
    </row>
    <row r="25739" spans="2:8" ht="15" customHeight="1" x14ac:dyDescent="0.4">
      <c r="B25739" t="s">
        <v>7</v>
      </c>
      <c r="C25739" t="s">
        <v>4149</v>
      </c>
      <c r="D25739" s="7">
        <f>DATE(2016,10,27)</f>
        <v>42670</v>
      </c>
      <c r="E25739" s="8">
        <f t="shared" si="437"/>
        <v>2016</v>
      </c>
      <c r="F25739" t="s">
        <v>4151</v>
      </c>
      <c r="G25739" s="9">
        <v>7906.58</v>
      </c>
      <c r="H25739" s="8">
        <v>23708</v>
      </c>
    </row>
    <row r="25740" spans="2:8" ht="15" customHeight="1" x14ac:dyDescent="0.4">
      <c r="B25740" t="s">
        <v>7</v>
      </c>
      <c r="C25740" t="s">
        <v>4149</v>
      </c>
      <c r="D25740" s="7">
        <f>DATE(2017,2,8)</f>
        <v>42774</v>
      </c>
      <c r="E25740" s="8">
        <f t="shared" si="437"/>
        <v>2017</v>
      </c>
      <c r="F25740" t="s">
        <v>4151</v>
      </c>
      <c r="G25740" s="9">
        <v>12602.63</v>
      </c>
      <c r="H25740" s="8">
        <v>24164</v>
      </c>
    </row>
    <row r="25741" spans="2:8" ht="15" customHeight="1" x14ac:dyDescent="0.4">
      <c r="B25741" t="s">
        <v>7</v>
      </c>
      <c r="C25741" t="s">
        <v>4149</v>
      </c>
      <c r="D25741" s="7">
        <f>DATE(2016,2,24)</f>
        <v>42424</v>
      </c>
      <c r="E25741" s="8">
        <f t="shared" si="437"/>
        <v>2016</v>
      </c>
      <c r="F25741" t="s">
        <v>4151</v>
      </c>
      <c r="G25741" s="9">
        <v>7468.07</v>
      </c>
      <c r="H25741" s="8">
        <v>22229</v>
      </c>
    </row>
    <row r="25742" spans="2:8" ht="15" customHeight="1" x14ac:dyDescent="0.4">
      <c r="B25742" t="s">
        <v>7</v>
      </c>
      <c r="C25742" t="s">
        <v>4149</v>
      </c>
      <c r="D25742" s="7">
        <f>DATE(2016,7,27)</f>
        <v>42578</v>
      </c>
      <c r="E25742" s="8">
        <f t="shared" si="437"/>
        <v>2016</v>
      </c>
      <c r="F25742" t="s">
        <v>4151</v>
      </c>
      <c r="G25742" s="9">
        <v>10315.459999999999</v>
      </c>
      <c r="H25742" s="8">
        <v>23031</v>
      </c>
    </row>
    <row r="25743" spans="2:8" ht="15" customHeight="1" x14ac:dyDescent="0.4">
      <c r="B25743" t="s">
        <v>16</v>
      </c>
      <c r="C25743" t="s">
        <v>4149</v>
      </c>
      <c r="D25743" s="7">
        <f>DATE(2016,10,12)</f>
        <v>42655</v>
      </c>
      <c r="E25743" s="8">
        <f t="shared" si="437"/>
        <v>2016</v>
      </c>
      <c r="F25743" t="s">
        <v>4151</v>
      </c>
      <c r="G25743" s="9">
        <v>2847</v>
      </c>
      <c r="H25743" s="8">
        <v>23655</v>
      </c>
    </row>
    <row r="25744" spans="2:8" ht="15" customHeight="1" x14ac:dyDescent="0.4">
      <c r="B25744" t="s">
        <v>7</v>
      </c>
      <c r="C25744" t="s">
        <v>4147</v>
      </c>
      <c r="D25744" s="7">
        <f>DATE(2016,9,28)</f>
        <v>42641</v>
      </c>
      <c r="E25744" s="8">
        <f t="shared" si="437"/>
        <v>2016</v>
      </c>
      <c r="F25744" t="s">
        <v>4152</v>
      </c>
      <c r="G25744" s="9">
        <v>29951.599999999999</v>
      </c>
      <c r="H25744" s="8">
        <v>22395</v>
      </c>
    </row>
    <row r="25745" spans="2:8" ht="15" customHeight="1" x14ac:dyDescent="0.4">
      <c r="B25745" t="s">
        <v>7</v>
      </c>
      <c r="C25745" t="s">
        <v>4147</v>
      </c>
      <c r="D25745" s="7">
        <f>DATE(2016,10,3)</f>
        <v>42646</v>
      </c>
      <c r="E25745" s="8">
        <f t="shared" si="437"/>
        <v>2016</v>
      </c>
      <c r="F25745" t="s">
        <v>4152</v>
      </c>
      <c r="G25745" s="9">
        <v>29396.41</v>
      </c>
      <c r="H25745" s="8">
        <v>22389</v>
      </c>
    </row>
    <row r="25746" spans="2:8" ht="15" customHeight="1" x14ac:dyDescent="0.4">
      <c r="B25746" t="s">
        <v>7</v>
      </c>
      <c r="C25746" t="s">
        <v>2260</v>
      </c>
      <c r="D25746" s="7">
        <f>DATE(2008,2,7)</f>
        <v>39485</v>
      </c>
      <c r="E25746" s="8">
        <f t="shared" si="437"/>
        <v>2008</v>
      </c>
      <c r="F25746" t="s">
        <v>4153</v>
      </c>
      <c r="G25746" s="9">
        <v>10054.01</v>
      </c>
      <c r="H25746" s="8">
        <v>6905</v>
      </c>
    </row>
    <row r="25747" spans="2:8" ht="15" customHeight="1" x14ac:dyDescent="0.4">
      <c r="B25747" t="s">
        <v>7</v>
      </c>
      <c r="C25747" t="s">
        <v>2260</v>
      </c>
      <c r="D25747" s="7">
        <f>DATE(2010,11,3)</f>
        <v>40485</v>
      </c>
      <c r="E25747" s="8">
        <f t="shared" si="437"/>
        <v>2010</v>
      </c>
      <c r="F25747" t="s">
        <v>4153</v>
      </c>
      <c r="G25747" s="9">
        <v>9998.43</v>
      </c>
      <c r="H25747" s="8">
        <v>10230</v>
      </c>
    </row>
    <row r="25748" spans="2:8" ht="15" customHeight="1" x14ac:dyDescent="0.4">
      <c r="B25748" t="s">
        <v>7</v>
      </c>
      <c r="C25748" t="s">
        <v>2260</v>
      </c>
      <c r="D25748" s="7">
        <f>DATE(2011,11,3)</f>
        <v>40850</v>
      </c>
      <c r="E25748" s="8">
        <f t="shared" si="437"/>
        <v>2011</v>
      </c>
      <c r="F25748" t="s">
        <v>4153</v>
      </c>
      <c r="G25748" s="9">
        <v>8055.68</v>
      </c>
      <c r="H25748" s="8">
        <v>11091</v>
      </c>
    </row>
    <row r="25749" spans="2:8" ht="15" customHeight="1" x14ac:dyDescent="0.4">
      <c r="B25749" t="s">
        <v>7</v>
      </c>
      <c r="C25749" t="s">
        <v>2260</v>
      </c>
      <c r="D25749" s="7">
        <f>DATE(2012,12,11)</f>
        <v>41254</v>
      </c>
      <c r="E25749" s="8">
        <f t="shared" si="437"/>
        <v>2012</v>
      </c>
      <c r="F25749" t="s">
        <v>4153</v>
      </c>
      <c r="G25749" s="9">
        <v>10348.780000000001</v>
      </c>
      <c r="H25749" s="8">
        <v>12025</v>
      </c>
    </row>
    <row r="25750" spans="2:8" ht="15" customHeight="1" x14ac:dyDescent="0.4">
      <c r="B25750" t="s">
        <v>7</v>
      </c>
      <c r="C25750" t="s">
        <v>2260</v>
      </c>
      <c r="D25750" s="7">
        <f>DATE(2013,4,25)</f>
        <v>41389</v>
      </c>
      <c r="E25750" s="8">
        <f t="shared" si="437"/>
        <v>2013</v>
      </c>
      <c r="F25750" t="s">
        <v>4153</v>
      </c>
      <c r="G25750" s="9">
        <v>19260.689999999999</v>
      </c>
      <c r="H25750" s="8">
        <v>12340</v>
      </c>
    </row>
    <row r="25751" spans="2:8" ht="15" customHeight="1" x14ac:dyDescent="0.4">
      <c r="B25751" t="s">
        <v>7</v>
      </c>
      <c r="C25751" t="s">
        <v>2260</v>
      </c>
      <c r="D25751" s="7">
        <f>DATE(2014,3,11)</f>
        <v>41709</v>
      </c>
      <c r="E25751" s="8">
        <f t="shared" si="437"/>
        <v>2014</v>
      </c>
      <c r="F25751" t="s">
        <v>4153</v>
      </c>
      <c r="G25751" s="9">
        <v>7964.27</v>
      </c>
      <c r="H25751" s="8">
        <v>12901</v>
      </c>
    </row>
    <row r="25752" spans="2:8" ht="15" customHeight="1" x14ac:dyDescent="0.4">
      <c r="B25752" s="3" t="s">
        <v>7</v>
      </c>
      <c r="C25752" s="3" t="s">
        <v>4154</v>
      </c>
      <c r="D25752" s="4">
        <f>DATE(2007,9,13)</f>
        <v>39338</v>
      </c>
      <c r="E25752" s="5">
        <f t="shared" si="437"/>
        <v>2007</v>
      </c>
      <c r="F25752" s="3" t="s">
        <v>4155</v>
      </c>
      <c r="G25752" s="6">
        <v>9500</v>
      </c>
      <c r="H25752" s="5">
        <v>9158</v>
      </c>
    </row>
    <row r="25753" spans="2:8" ht="15" customHeight="1" x14ac:dyDescent="0.4">
      <c r="B25753" s="3" t="s">
        <v>7</v>
      </c>
      <c r="C25753" s="3" t="s">
        <v>4154</v>
      </c>
      <c r="D25753" s="4">
        <f>DATE(2007,9,14)</f>
        <v>39339</v>
      </c>
      <c r="E25753" s="5">
        <f t="shared" si="437"/>
        <v>2007</v>
      </c>
      <c r="F25753" s="3" t="s">
        <v>4155</v>
      </c>
      <c r="G25753" s="6">
        <v>93.8</v>
      </c>
      <c r="H25753" s="5">
        <v>9168</v>
      </c>
    </row>
    <row r="25754" spans="2:8" ht="15" customHeight="1" x14ac:dyDescent="0.4">
      <c r="B25754" s="3" t="s">
        <v>7</v>
      </c>
      <c r="C25754" s="3" t="s">
        <v>4156</v>
      </c>
      <c r="D25754" s="4">
        <f>DATE(2008,11,11)</f>
        <v>39763</v>
      </c>
      <c r="E25754" s="5">
        <f t="shared" si="437"/>
        <v>2008</v>
      </c>
      <c r="F25754" s="3" t="s">
        <v>4157</v>
      </c>
      <c r="G25754" s="6">
        <v>142.30000000000001</v>
      </c>
      <c r="H25754" s="5">
        <v>11570</v>
      </c>
    </row>
    <row r="25755" spans="2:8" ht="15" customHeight="1" x14ac:dyDescent="0.4">
      <c r="B25755" s="3" t="s">
        <v>7</v>
      </c>
      <c r="C25755" s="3" t="s">
        <v>4156</v>
      </c>
      <c r="D25755" s="4">
        <f>DATE(2009,2,16)</f>
        <v>39860</v>
      </c>
      <c r="E25755" s="5">
        <f t="shared" si="437"/>
        <v>2009</v>
      </c>
      <c r="F25755" s="3" t="s">
        <v>4157</v>
      </c>
      <c r="G25755" s="6">
        <v>142.30000000000001</v>
      </c>
      <c r="H25755" s="5">
        <v>11978</v>
      </c>
    </row>
    <row r="25756" spans="2:8" ht="15" customHeight="1" x14ac:dyDescent="0.4">
      <c r="B25756" s="3" t="s">
        <v>7</v>
      </c>
      <c r="C25756" s="3" t="s">
        <v>4156</v>
      </c>
      <c r="D25756" s="4">
        <f>DATE(2010,1,25)</f>
        <v>40203</v>
      </c>
      <c r="E25756" s="5">
        <f t="shared" si="437"/>
        <v>2010</v>
      </c>
      <c r="F25756" s="3" t="s">
        <v>4157</v>
      </c>
      <c r="G25756" s="6">
        <v>196.4</v>
      </c>
      <c r="H25756" s="5">
        <v>13487</v>
      </c>
    </row>
    <row r="25757" spans="2:8" ht="15" customHeight="1" x14ac:dyDescent="0.4">
      <c r="B25757" s="3" t="s">
        <v>7</v>
      </c>
      <c r="C25757" s="3" t="s">
        <v>4156</v>
      </c>
      <c r="D25757" s="4">
        <f>DATE(2008,11,5)</f>
        <v>39757</v>
      </c>
      <c r="E25757" s="5">
        <f t="shared" si="437"/>
        <v>2008</v>
      </c>
      <c r="F25757" s="3" t="s">
        <v>4158</v>
      </c>
      <c r="G25757" s="6">
        <v>201.41</v>
      </c>
      <c r="H25757" s="5">
        <v>11553</v>
      </c>
    </row>
    <row r="25758" spans="2:8" ht="15" customHeight="1" x14ac:dyDescent="0.4">
      <c r="B25758" t="s">
        <v>7</v>
      </c>
      <c r="C25758" t="s">
        <v>4159</v>
      </c>
      <c r="D25758" s="7">
        <f>DATE(2016,2,10)</f>
        <v>42410</v>
      </c>
      <c r="E25758" s="8">
        <f t="shared" si="437"/>
        <v>2016</v>
      </c>
      <c r="F25758" t="s">
        <v>4160</v>
      </c>
      <c r="G25758" s="9">
        <v>2956.26</v>
      </c>
      <c r="H25758" s="8">
        <v>22068</v>
      </c>
    </row>
    <row r="25759" spans="2:8" ht="15" customHeight="1" x14ac:dyDescent="0.4">
      <c r="B25759" t="s">
        <v>7</v>
      </c>
      <c r="C25759" t="s">
        <v>4159</v>
      </c>
      <c r="D25759" s="7">
        <f>DATE(2017,1,25)</f>
        <v>42760</v>
      </c>
      <c r="E25759" s="8">
        <f t="shared" si="437"/>
        <v>2017</v>
      </c>
      <c r="F25759" t="s">
        <v>4161</v>
      </c>
      <c r="G25759" s="9">
        <v>7490.88</v>
      </c>
      <c r="H25759" s="8">
        <v>24121</v>
      </c>
    </row>
    <row r="25760" spans="2:8" ht="15" customHeight="1" x14ac:dyDescent="0.4">
      <c r="B25760" t="s">
        <v>7</v>
      </c>
      <c r="C25760" t="s">
        <v>4162</v>
      </c>
      <c r="D25760" s="7">
        <f>DATE(2004,4,14)</f>
        <v>38091</v>
      </c>
      <c r="E25760" s="8">
        <f t="shared" si="437"/>
        <v>2004</v>
      </c>
      <c r="F25760" t="s">
        <v>4163</v>
      </c>
      <c r="G25760" s="9">
        <v>2874.41</v>
      </c>
      <c r="H25760" s="8">
        <v>1485</v>
      </c>
    </row>
    <row r="25761" spans="2:8" ht="15" customHeight="1" x14ac:dyDescent="0.4">
      <c r="B25761" s="3" t="s">
        <v>7</v>
      </c>
      <c r="C25761" s="3" t="s">
        <v>4164</v>
      </c>
      <c r="D25761" s="4">
        <f>DATE(2012,2,24)</f>
        <v>40963</v>
      </c>
      <c r="E25761" s="5">
        <f t="shared" si="437"/>
        <v>2012</v>
      </c>
      <c r="F25761" s="3" t="s">
        <v>4165</v>
      </c>
      <c r="G25761" s="6">
        <v>148.19999999999999</v>
      </c>
      <c r="H25761" s="5">
        <v>16594</v>
      </c>
    </row>
    <row r="25762" spans="2:8" ht="15" customHeight="1" x14ac:dyDescent="0.4">
      <c r="B25762" t="s">
        <v>7</v>
      </c>
      <c r="C25762" t="s">
        <v>4166</v>
      </c>
      <c r="D25762" s="7">
        <f>DATE(2016,2,1)</f>
        <v>42401</v>
      </c>
      <c r="E25762" s="8">
        <f t="shared" si="437"/>
        <v>2016</v>
      </c>
      <c r="F25762" t="s">
        <v>4167</v>
      </c>
      <c r="G25762" s="9">
        <v>27661</v>
      </c>
      <c r="H25762" s="8">
        <v>21669</v>
      </c>
    </row>
    <row r="25763" spans="2:8" ht="15" customHeight="1" x14ac:dyDescent="0.4">
      <c r="B25763" t="s">
        <v>7</v>
      </c>
      <c r="C25763" t="s">
        <v>4168</v>
      </c>
      <c r="D25763" s="7">
        <f>DATE(2015,1,23)</f>
        <v>42027</v>
      </c>
      <c r="E25763" s="8">
        <f t="shared" si="437"/>
        <v>2015</v>
      </c>
      <c r="F25763" t="s">
        <v>4169</v>
      </c>
      <c r="G25763" s="9">
        <v>778.2</v>
      </c>
      <c r="H25763" s="8">
        <v>49</v>
      </c>
    </row>
    <row r="25764" spans="2:8" ht="15" customHeight="1" x14ac:dyDescent="0.4">
      <c r="B25764" t="s">
        <v>7</v>
      </c>
      <c r="C25764" t="s">
        <v>4168</v>
      </c>
      <c r="D25764" s="7">
        <f>DATE(2015,2,2)</f>
        <v>42037</v>
      </c>
      <c r="E25764" s="8">
        <f t="shared" si="437"/>
        <v>2015</v>
      </c>
      <c r="F25764" t="s">
        <v>4169</v>
      </c>
      <c r="G25764" s="9">
        <v>7091.9</v>
      </c>
      <c r="H25764" s="8">
        <v>60</v>
      </c>
    </row>
    <row r="25765" spans="2:8" ht="15" customHeight="1" x14ac:dyDescent="0.4">
      <c r="B25765" t="s">
        <v>7</v>
      </c>
      <c r="C25765" t="s">
        <v>4168</v>
      </c>
      <c r="D25765" s="7">
        <f>DATE(2015,2,11)</f>
        <v>42046</v>
      </c>
      <c r="E25765" s="8">
        <f t="shared" si="437"/>
        <v>2015</v>
      </c>
      <c r="F25765" t="s">
        <v>4169</v>
      </c>
      <c r="G25765" s="9">
        <v>8851.2000000000007</v>
      </c>
      <c r="H25765" s="8">
        <v>57</v>
      </c>
    </row>
    <row r="25766" spans="2:8" ht="15" customHeight="1" x14ac:dyDescent="0.4">
      <c r="B25766" t="s">
        <v>7</v>
      </c>
      <c r="C25766" t="s">
        <v>4168</v>
      </c>
      <c r="D25766" s="7">
        <f>DATE(2015,7,10)</f>
        <v>42195</v>
      </c>
      <c r="E25766" s="8">
        <f t="shared" si="437"/>
        <v>2015</v>
      </c>
      <c r="F25766" t="s">
        <v>4169</v>
      </c>
      <c r="G25766" s="9">
        <v>2325</v>
      </c>
      <c r="H25766" s="8">
        <v>20878</v>
      </c>
    </row>
    <row r="25767" spans="2:8" ht="15" customHeight="1" x14ac:dyDescent="0.4">
      <c r="B25767" t="s">
        <v>7</v>
      </c>
      <c r="C25767" t="s">
        <v>4168</v>
      </c>
      <c r="D25767" s="7">
        <f>DATE(2015,7,28)</f>
        <v>42213</v>
      </c>
      <c r="E25767" s="8">
        <f t="shared" si="437"/>
        <v>2015</v>
      </c>
      <c r="F25767" t="s">
        <v>4169</v>
      </c>
      <c r="G25767" s="9">
        <v>3138.37</v>
      </c>
      <c r="H25767" s="8">
        <v>20850</v>
      </c>
    </row>
    <row r="25768" spans="2:8" ht="15" customHeight="1" x14ac:dyDescent="0.4">
      <c r="B25768" t="s">
        <v>7</v>
      </c>
      <c r="C25768" t="s">
        <v>4168</v>
      </c>
      <c r="D25768" s="7">
        <f>DATE(2015,8,20)</f>
        <v>42236</v>
      </c>
      <c r="E25768" s="8">
        <f t="shared" si="437"/>
        <v>2015</v>
      </c>
      <c r="F25768" t="s">
        <v>4169</v>
      </c>
      <c r="G25768" s="9">
        <v>8451.2000000000007</v>
      </c>
      <c r="H25768" s="8">
        <v>21028</v>
      </c>
    </row>
    <row r="25769" spans="2:8" ht="15" customHeight="1" x14ac:dyDescent="0.4">
      <c r="B25769" t="s">
        <v>7</v>
      </c>
      <c r="C25769" t="s">
        <v>4168</v>
      </c>
      <c r="D25769" s="7">
        <f>DATE(2015,9,18)</f>
        <v>42265</v>
      </c>
      <c r="E25769" s="8">
        <f t="shared" si="437"/>
        <v>2015</v>
      </c>
      <c r="F25769" t="s">
        <v>4169</v>
      </c>
      <c r="G25769" s="9">
        <v>179.4</v>
      </c>
      <c r="H25769" s="8">
        <v>21253</v>
      </c>
    </row>
    <row r="25770" spans="2:8" ht="15" customHeight="1" x14ac:dyDescent="0.4">
      <c r="B25770" t="s">
        <v>7</v>
      </c>
      <c r="C25770" t="s">
        <v>4168</v>
      </c>
      <c r="D25770" s="7">
        <f>DATE(2015,9,24)</f>
        <v>42271</v>
      </c>
      <c r="E25770" s="8">
        <f t="shared" si="437"/>
        <v>2015</v>
      </c>
      <c r="F25770" t="s">
        <v>4169</v>
      </c>
      <c r="G25770" s="9">
        <v>284.05</v>
      </c>
      <c r="H25770" s="8">
        <v>21278</v>
      </c>
    </row>
    <row r="25771" spans="2:8" ht="15" customHeight="1" x14ac:dyDescent="0.4">
      <c r="B25771" t="s">
        <v>7</v>
      </c>
      <c r="C25771" t="s">
        <v>4168</v>
      </c>
      <c r="D25771" s="7">
        <f>DATE(2015,11,9)</f>
        <v>42317</v>
      </c>
      <c r="E25771" s="8">
        <f t="shared" si="437"/>
        <v>2015</v>
      </c>
      <c r="F25771" t="s">
        <v>4169</v>
      </c>
      <c r="G25771" s="9">
        <v>179.4</v>
      </c>
      <c r="H25771" s="8">
        <v>21542</v>
      </c>
    </row>
    <row r="25772" spans="2:8" ht="15" customHeight="1" x14ac:dyDescent="0.4">
      <c r="B25772" t="s">
        <v>7</v>
      </c>
      <c r="C25772" t="s">
        <v>4168</v>
      </c>
      <c r="D25772" s="7">
        <f>DATE(2016,3,16)</f>
        <v>42445</v>
      </c>
      <c r="E25772" s="8">
        <f t="shared" si="437"/>
        <v>2016</v>
      </c>
      <c r="F25772" t="s">
        <v>4169</v>
      </c>
      <c r="G25772" s="9">
        <v>254.15</v>
      </c>
      <c r="H25772" s="8">
        <v>22417</v>
      </c>
    </row>
    <row r="25773" spans="2:8" ht="15" customHeight="1" x14ac:dyDescent="0.4">
      <c r="B25773" s="3" t="s">
        <v>7</v>
      </c>
      <c r="C25773" s="3" t="s">
        <v>4168</v>
      </c>
      <c r="D25773" s="4">
        <f>DATE(2005,9,20)</f>
        <v>38615</v>
      </c>
      <c r="E25773" s="5">
        <f t="shared" si="437"/>
        <v>2005</v>
      </c>
      <c r="F25773" s="3" t="s">
        <v>4169</v>
      </c>
      <c r="G25773" s="6">
        <v>17437.240000000002</v>
      </c>
      <c r="H25773" s="5">
        <v>1289</v>
      </c>
    </row>
    <row r="25774" spans="2:8" ht="15" customHeight="1" x14ac:dyDescent="0.4">
      <c r="B25774" s="3" t="s">
        <v>7</v>
      </c>
      <c r="C25774" s="3" t="s">
        <v>4168</v>
      </c>
      <c r="D25774" s="4">
        <f>DATE(2005,10,3)</f>
        <v>38628</v>
      </c>
      <c r="E25774" s="5">
        <f t="shared" si="437"/>
        <v>2005</v>
      </c>
      <c r="F25774" s="3" t="s">
        <v>4169</v>
      </c>
      <c r="G25774" s="6">
        <v>23500</v>
      </c>
      <c r="H25774" s="5">
        <v>1282</v>
      </c>
    </row>
    <row r="25775" spans="2:8" ht="15" customHeight="1" x14ac:dyDescent="0.4">
      <c r="B25775" s="3" t="s">
        <v>7</v>
      </c>
      <c r="C25775" s="3" t="s">
        <v>4168</v>
      </c>
      <c r="D25775" s="4">
        <f>DATE(2005,9,29)</f>
        <v>38624</v>
      </c>
      <c r="E25775" s="5">
        <f t="shared" si="437"/>
        <v>2005</v>
      </c>
      <c r="F25775" s="3" t="s">
        <v>4169</v>
      </c>
      <c r="G25775" s="6">
        <v>4926.76</v>
      </c>
      <c r="H25775" s="5">
        <v>1283</v>
      </c>
    </row>
    <row r="25776" spans="2:8" ht="15" customHeight="1" x14ac:dyDescent="0.4">
      <c r="B25776" s="3" t="s">
        <v>7</v>
      </c>
      <c r="C25776" s="3" t="s">
        <v>4168</v>
      </c>
      <c r="D25776" s="4">
        <f>DATE(2005,10,25)</f>
        <v>38650</v>
      </c>
      <c r="E25776" s="5">
        <f t="shared" si="437"/>
        <v>2005</v>
      </c>
      <c r="F25776" s="3" t="s">
        <v>4169</v>
      </c>
      <c r="G25776" s="6">
        <v>10580</v>
      </c>
      <c r="H25776" s="5">
        <v>1278</v>
      </c>
    </row>
    <row r="25777" spans="2:8" ht="15" customHeight="1" x14ac:dyDescent="0.4">
      <c r="B25777" s="3" t="s">
        <v>7</v>
      </c>
      <c r="C25777" s="3" t="s">
        <v>4168</v>
      </c>
      <c r="D25777" s="4">
        <f>DATE(2005,11,17)</f>
        <v>38673</v>
      </c>
      <c r="E25777" s="5">
        <f t="shared" si="437"/>
        <v>2005</v>
      </c>
      <c r="F25777" s="3" t="s">
        <v>4169</v>
      </c>
      <c r="G25777" s="6">
        <v>1553.7</v>
      </c>
      <c r="H25777" s="5">
        <v>1302</v>
      </c>
    </row>
    <row r="25778" spans="2:8" ht="15" customHeight="1" x14ac:dyDescent="0.4">
      <c r="B25778" s="3" t="s">
        <v>7</v>
      </c>
      <c r="C25778" s="3" t="s">
        <v>4168</v>
      </c>
      <c r="D25778" s="4">
        <f>DATE(2005,11,30)</f>
        <v>38686</v>
      </c>
      <c r="E25778" s="5">
        <f t="shared" si="437"/>
        <v>2005</v>
      </c>
      <c r="F25778" s="3" t="s">
        <v>4169</v>
      </c>
      <c r="G25778" s="6">
        <v>17102</v>
      </c>
      <c r="H25778" s="5">
        <v>1374</v>
      </c>
    </row>
    <row r="25779" spans="2:8" ht="15" customHeight="1" x14ac:dyDescent="0.4">
      <c r="B25779" s="3" t="s">
        <v>7</v>
      </c>
      <c r="C25779" s="3" t="s">
        <v>4168</v>
      </c>
      <c r="D25779" s="4">
        <f>DATE(2005,12,28)</f>
        <v>38714</v>
      </c>
      <c r="E25779" s="5">
        <f t="shared" si="437"/>
        <v>2005</v>
      </c>
      <c r="F25779" s="3" t="s">
        <v>4169</v>
      </c>
      <c r="G25779" s="6">
        <v>984.94</v>
      </c>
      <c r="H25779" s="5">
        <v>1324</v>
      </c>
    </row>
    <row r="25780" spans="2:8" ht="15" customHeight="1" x14ac:dyDescent="0.4">
      <c r="B25780" s="3" t="s">
        <v>7</v>
      </c>
      <c r="C25780" s="3" t="s">
        <v>4168</v>
      </c>
      <c r="D25780" s="4">
        <f>DATE(2005,12,28)</f>
        <v>38714</v>
      </c>
      <c r="E25780" s="5">
        <f t="shared" si="437"/>
        <v>2005</v>
      </c>
      <c r="F25780" s="3" t="s">
        <v>4169</v>
      </c>
      <c r="G25780" s="6">
        <v>6753.19</v>
      </c>
      <c r="H25780" s="5">
        <v>1358</v>
      </c>
    </row>
    <row r="25781" spans="2:8" ht="15" customHeight="1" x14ac:dyDescent="0.4">
      <c r="B25781" s="3" t="s">
        <v>7</v>
      </c>
      <c r="C25781" s="3" t="s">
        <v>4168</v>
      </c>
      <c r="D25781" s="4">
        <f>DATE(2005,12,30)</f>
        <v>38716</v>
      </c>
      <c r="E25781" s="5">
        <f t="shared" si="437"/>
        <v>2005</v>
      </c>
      <c r="F25781" s="3" t="s">
        <v>4169</v>
      </c>
      <c r="G25781" s="6">
        <v>11443.65</v>
      </c>
      <c r="H25781" s="5">
        <v>1352</v>
      </c>
    </row>
    <row r="25782" spans="2:8" ht="15" customHeight="1" x14ac:dyDescent="0.4">
      <c r="B25782" s="3" t="s">
        <v>7</v>
      </c>
      <c r="C25782" s="3" t="s">
        <v>4168</v>
      </c>
      <c r="D25782" s="4">
        <f>DATE(2005,12,30)</f>
        <v>38716</v>
      </c>
      <c r="E25782" s="5">
        <f t="shared" si="437"/>
        <v>2005</v>
      </c>
      <c r="F25782" s="3" t="s">
        <v>4169</v>
      </c>
      <c r="G25782" s="6">
        <v>11232</v>
      </c>
      <c r="H25782" s="5">
        <v>1378</v>
      </c>
    </row>
    <row r="25783" spans="2:8" ht="15" customHeight="1" x14ac:dyDescent="0.4">
      <c r="B25783" s="3" t="s">
        <v>7</v>
      </c>
      <c r="C25783" s="3" t="s">
        <v>4168</v>
      </c>
      <c r="D25783" s="4">
        <f>DATE(2006,1,16)</f>
        <v>38733</v>
      </c>
      <c r="E25783" s="5">
        <f t="shared" si="437"/>
        <v>2006</v>
      </c>
      <c r="F25783" s="3" t="s">
        <v>4169</v>
      </c>
      <c r="G25783" s="6">
        <v>148.5</v>
      </c>
      <c r="H25783" s="5">
        <v>1405</v>
      </c>
    </row>
    <row r="25784" spans="2:8" ht="15" customHeight="1" x14ac:dyDescent="0.4">
      <c r="B25784" s="3" t="s">
        <v>7</v>
      </c>
      <c r="C25784" s="3" t="s">
        <v>4168</v>
      </c>
      <c r="D25784" s="4">
        <f>DATE(2006,1,31)</f>
        <v>38748</v>
      </c>
      <c r="E25784" s="5">
        <f t="shared" si="437"/>
        <v>2006</v>
      </c>
      <c r="F25784" s="3" t="s">
        <v>4169</v>
      </c>
      <c r="G25784" s="6">
        <v>5771</v>
      </c>
      <c r="H25784" s="5">
        <v>1442</v>
      </c>
    </row>
    <row r="25785" spans="2:8" ht="15" customHeight="1" x14ac:dyDescent="0.4">
      <c r="B25785" s="3" t="s">
        <v>7</v>
      </c>
      <c r="C25785" s="3" t="s">
        <v>4168</v>
      </c>
      <c r="D25785" s="4">
        <f>DATE(2006,3,3)</f>
        <v>38779</v>
      </c>
      <c r="E25785" s="5">
        <f t="shared" si="437"/>
        <v>2006</v>
      </c>
      <c r="F25785" s="3" t="s">
        <v>4169</v>
      </c>
      <c r="G25785" s="6">
        <v>535</v>
      </c>
      <c r="H25785" s="5">
        <v>1471</v>
      </c>
    </row>
    <row r="25786" spans="2:8" ht="15" customHeight="1" x14ac:dyDescent="0.4">
      <c r="B25786" s="3" t="s">
        <v>7</v>
      </c>
      <c r="C25786" s="3" t="s">
        <v>4168</v>
      </c>
      <c r="D25786" s="4">
        <f>DATE(2006,3,21)</f>
        <v>38797</v>
      </c>
      <c r="E25786" s="5">
        <f t="shared" si="437"/>
        <v>2006</v>
      </c>
      <c r="F25786" s="3" t="s">
        <v>4169</v>
      </c>
      <c r="G25786" s="6">
        <v>122.83</v>
      </c>
      <c r="H25786" s="5">
        <v>1504</v>
      </c>
    </row>
    <row r="25787" spans="2:8" ht="15" customHeight="1" x14ac:dyDescent="0.4">
      <c r="B25787" s="3" t="s">
        <v>7</v>
      </c>
      <c r="C25787" s="3" t="s">
        <v>4168</v>
      </c>
      <c r="D25787" s="4">
        <f>DATE(2006,3,28)</f>
        <v>38804</v>
      </c>
      <c r="E25787" s="5">
        <f t="shared" si="437"/>
        <v>2006</v>
      </c>
      <c r="F25787" s="3" t="s">
        <v>4169</v>
      </c>
      <c r="G25787" s="6">
        <v>26737.5</v>
      </c>
      <c r="H25787" s="5">
        <v>1470</v>
      </c>
    </row>
    <row r="25788" spans="2:8" ht="15" customHeight="1" x14ac:dyDescent="0.4">
      <c r="B25788" s="3" t="s">
        <v>7</v>
      </c>
      <c r="C25788" s="3" t="s">
        <v>4168</v>
      </c>
      <c r="D25788" s="4">
        <f>DATE(2006,5,9)</f>
        <v>38846</v>
      </c>
      <c r="E25788" s="5">
        <f t="shared" si="437"/>
        <v>2006</v>
      </c>
      <c r="F25788" s="3" t="s">
        <v>4169</v>
      </c>
      <c r="G25788" s="6">
        <v>5735.95</v>
      </c>
      <c r="H25788" s="5">
        <v>1564</v>
      </c>
    </row>
    <row r="25789" spans="2:8" ht="15" customHeight="1" x14ac:dyDescent="0.4">
      <c r="B25789" s="3" t="s">
        <v>7</v>
      </c>
      <c r="C25789" s="3" t="s">
        <v>4168</v>
      </c>
      <c r="D25789" s="4">
        <f>DATE(2006,5,3)</f>
        <v>38840</v>
      </c>
      <c r="E25789" s="5">
        <f t="shared" si="437"/>
        <v>2006</v>
      </c>
      <c r="F25789" s="3" t="s">
        <v>4169</v>
      </c>
      <c r="G25789" s="6">
        <v>1706</v>
      </c>
      <c r="H25789" s="5">
        <v>1536</v>
      </c>
    </row>
    <row r="25790" spans="2:8" ht="15" customHeight="1" x14ac:dyDescent="0.4">
      <c r="B25790" s="3" t="s">
        <v>7</v>
      </c>
      <c r="C25790" s="3" t="s">
        <v>4168</v>
      </c>
      <c r="D25790" s="4">
        <f>DATE(2006,7,12)</f>
        <v>38910</v>
      </c>
      <c r="E25790" s="5">
        <f t="shared" si="437"/>
        <v>2006</v>
      </c>
      <c r="F25790" s="3" t="s">
        <v>4169</v>
      </c>
      <c r="G25790" s="6">
        <v>6097</v>
      </c>
      <c r="H25790" s="5">
        <v>1598</v>
      </c>
    </row>
    <row r="25791" spans="2:8" ht="15" customHeight="1" x14ac:dyDescent="0.4">
      <c r="B25791" s="3" t="s">
        <v>7</v>
      </c>
      <c r="C25791" s="3" t="s">
        <v>4168</v>
      </c>
      <c r="D25791" s="4">
        <f>DATE(2006,8,2)</f>
        <v>38931</v>
      </c>
      <c r="E25791" s="5">
        <f t="shared" si="437"/>
        <v>2006</v>
      </c>
      <c r="F25791" s="3" t="s">
        <v>4169</v>
      </c>
      <c r="G25791" s="6">
        <v>1922.5</v>
      </c>
      <c r="H25791" s="5">
        <v>1690</v>
      </c>
    </row>
    <row r="25792" spans="2:8" ht="15" customHeight="1" x14ac:dyDescent="0.4">
      <c r="B25792" s="3" t="s">
        <v>7</v>
      </c>
      <c r="C25792" s="3" t="s">
        <v>4168</v>
      </c>
      <c r="D25792" s="4">
        <f>DATE(2006,8,24)</f>
        <v>38953</v>
      </c>
      <c r="E25792" s="5">
        <f t="shared" si="437"/>
        <v>2006</v>
      </c>
      <c r="F25792" s="3" t="s">
        <v>4169</v>
      </c>
      <c r="G25792" s="6">
        <v>990</v>
      </c>
      <c r="H25792" s="5">
        <v>1742</v>
      </c>
    </row>
    <row r="25793" spans="2:8" ht="15" customHeight="1" x14ac:dyDescent="0.4">
      <c r="B25793" s="3" t="s">
        <v>7</v>
      </c>
      <c r="C25793" s="3" t="s">
        <v>4168</v>
      </c>
      <c r="D25793" s="4">
        <f>DATE(2007,2,7)</f>
        <v>39120</v>
      </c>
      <c r="E25793" s="5">
        <f t="shared" si="437"/>
        <v>2007</v>
      </c>
      <c r="F25793" s="3" t="s">
        <v>4169</v>
      </c>
      <c r="G25793" s="6">
        <v>495</v>
      </c>
      <c r="H25793" s="5">
        <v>2042</v>
      </c>
    </row>
    <row r="25794" spans="2:8" ht="15" customHeight="1" x14ac:dyDescent="0.4">
      <c r="B25794" s="3" t="s">
        <v>7</v>
      </c>
      <c r="C25794" s="3" t="s">
        <v>4168</v>
      </c>
      <c r="D25794" s="4">
        <f>DATE(2007,2,7)</f>
        <v>39120</v>
      </c>
      <c r="E25794" s="5">
        <f t="shared" si="437"/>
        <v>2007</v>
      </c>
      <c r="F25794" s="3" t="s">
        <v>4169</v>
      </c>
      <c r="G25794" s="6">
        <v>247.5</v>
      </c>
      <c r="H25794" s="5">
        <v>2041</v>
      </c>
    </row>
    <row r="25795" spans="2:8" ht="15" customHeight="1" x14ac:dyDescent="0.4">
      <c r="B25795" s="3" t="s">
        <v>7</v>
      </c>
      <c r="C25795" s="3" t="s">
        <v>4168</v>
      </c>
      <c r="D25795" s="4">
        <f>DATE(2007,7,19)</f>
        <v>39282</v>
      </c>
      <c r="E25795" s="5">
        <f t="shared" ref="E25795:E25858" si="438">YEAR(D25795)</f>
        <v>2007</v>
      </c>
      <c r="F25795" s="3" t="s">
        <v>4169</v>
      </c>
      <c r="G25795" s="6">
        <v>92200</v>
      </c>
      <c r="H25795" s="5">
        <v>2230</v>
      </c>
    </row>
    <row r="25796" spans="2:8" ht="15" customHeight="1" x14ac:dyDescent="0.4">
      <c r="B25796" s="3" t="s">
        <v>7</v>
      </c>
      <c r="C25796" s="3" t="s">
        <v>4168</v>
      </c>
      <c r="D25796" s="4">
        <f>DATE(2008,1,8)</f>
        <v>39455</v>
      </c>
      <c r="E25796" s="5">
        <f t="shared" si="438"/>
        <v>2008</v>
      </c>
      <c r="F25796" s="3" t="s">
        <v>4169</v>
      </c>
      <c r="G25796" s="6">
        <v>6490</v>
      </c>
      <c r="H25796" s="5">
        <v>2560</v>
      </c>
    </row>
    <row r="25797" spans="2:8" ht="15" customHeight="1" x14ac:dyDescent="0.4">
      <c r="B25797" s="3" t="s">
        <v>7</v>
      </c>
      <c r="C25797" s="3" t="s">
        <v>4168</v>
      </c>
      <c r="D25797" s="4">
        <f>DATE(2008,1,10)</f>
        <v>39457</v>
      </c>
      <c r="E25797" s="5">
        <f t="shared" si="438"/>
        <v>2008</v>
      </c>
      <c r="F25797" s="3" t="s">
        <v>4169</v>
      </c>
      <c r="G25797" s="6">
        <v>562.70000000000005</v>
      </c>
      <c r="H25797" s="5">
        <v>2564</v>
      </c>
    </row>
    <row r="25798" spans="2:8" ht="15" customHeight="1" x14ac:dyDescent="0.4">
      <c r="B25798" s="3" t="s">
        <v>7</v>
      </c>
      <c r="C25798" s="3" t="s">
        <v>4168</v>
      </c>
      <c r="D25798" s="4">
        <f>DATE(2008,2,7)</f>
        <v>39485</v>
      </c>
      <c r="E25798" s="5">
        <f t="shared" si="438"/>
        <v>2008</v>
      </c>
      <c r="F25798" s="3" t="s">
        <v>4169</v>
      </c>
      <c r="G25798" s="6">
        <v>3097.6</v>
      </c>
      <c r="H25798" s="5">
        <v>2449</v>
      </c>
    </row>
    <row r="25799" spans="2:8" ht="15" customHeight="1" x14ac:dyDescent="0.4">
      <c r="B25799" s="3" t="s">
        <v>7</v>
      </c>
      <c r="C25799" s="3" t="s">
        <v>4168</v>
      </c>
      <c r="D25799" s="4">
        <f>DATE(2008,3,5)</f>
        <v>39512</v>
      </c>
      <c r="E25799" s="5">
        <f t="shared" si="438"/>
        <v>2008</v>
      </c>
      <c r="F25799" s="3" t="s">
        <v>4169</v>
      </c>
      <c r="G25799" s="6">
        <v>3146.15</v>
      </c>
      <c r="H25799" s="5">
        <v>2639</v>
      </c>
    </row>
    <row r="25800" spans="2:8" ht="15" customHeight="1" x14ac:dyDescent="0.4">
      <c r="B25800" s="3" t="s">
        <v>7</v>
      </c>
      <c r="C25800" s="3" t="s">
        <v>4168</v>
      </c>
      <c r="D25800" s="4">
        <f>DATE(2008,3,19)</f>
        <v>39526</v>
      </c>
      <c r="E25800" s="5">
        <f t="shared" si="438"/>
        <v>2008</v>
      </c>
      <c r="F25800" s="3" t="s">
        <v>4169</v>
      </c>
      <c r="G25800" s="6">
        <v>8745</v>
      </c>
      <c r="H25800" s="5">
        <v>2687</v>
      </c>
    </row>
    <row r="25801" spans="2:8" ht="15" customHeight="1" x14ac:dyDescent="0.4">
      <c r="B25801" s="3" t="s">
        <v>7</v>
      </c>
      <c r="C25801" s="3" t="s">
        <v>4168</v>
      </c>
      <c r="D25801" s="4">
        <f>DATE(2008,4,3)</f>
        <v>39541</v>
      </c>
      <c r="E25801" s="5">
        <f t="shared" si="438"/>
        <v>2008</v>
      </c>
      <c r="F25801" s="3" t="s">
        <v>4169</v>
      </c>
      <c r="G25801" s="6">
        <v>3812.5</v>
      </c>
      <c r="H25801" s="5">
        <v>2743</v>
      </c>
    </row>
    <row r="25802" spans="2:8" ht="15" customHeight="1" x14ac:dyDescent="0.4">
      <c r="B25802" s="3" t="s">
        <v>7</v>
      </c>
      <c r="C25802" s="3" t="s">
        <v>4168</v>
      </c>
      <c r="D25802" s="4">
        <f>DATE(2008,4,8)</f>
        <v>39546</v>
      </c>
      <c r="E25802" s="5">
        <f t="shared" si="438"/>
        <v>2008</v>
      </c>
      <c r="F25802" s="3" t="s">
        <v>4169</v>
      </c>
      <c r="G25802" s="6">
        <v>562.57000000000005</v>
      </c>
      <c r="H25802" s="5">
        <v>2754</v>
      </c>
    </row>
    <row r="25803" spans="2:8" ht="15" customHeight="1" x14ac:dyDescent="0.4">
      <c r="B25803" s="3" t="s">
        <v>7</v>
      </c>
      <c r="C25803" s="3" t="s">
        <v>4168</v>
      </c>
      <c r="D25803" s="4">
        <f>DATE(2008,4,9)</f>
        <v>39547</v>
      </c>
      <c r="E25803" s="5">
        <f t="shared" si="438"/>
        <v>2008</v>
      </c>
      <c r="F25803" s="3" t="s">
        <v>4169</v>
      </c>
      <c r="G25803" s="6">
        <v>467.5</v>
      </c>
      <c r="H25803" s="5">
        <v>2745</v>
      </c>
    </row>
    <row r="25804" spans="2:8" ht="15" customHeight="1" x14ac:dyDescent="0.4">
      <c r="B25804" s="3" t="s">
        <v>7</v>
      </c>
      <c r="C25804" s="3" t="s">
        <v>4168</v>
      </c>
      <c r="D25804" s="4">
        <f>DATE(2008,4,9)</f>
        <v>39547</v>
      </c>
      <c r="E25804" s="5">
        <f t="shared" si="438"/>
        <v>2008</v>
      </c>
      <c r="F25804" s="3" t="s">
        <v>4169</v>
      </c>
      <c r="G25804" s="6">
        <v>214.6</v>
      </c>
      <c r="H25804" s="5">
        <v>2759</v>
      </c>
    </row>
    <row r="25805" spans="2:8" ht="15" customHeight="1" x14ac:dyDescent="0.4">
      <c r="B25805" s="3" t="s">
        <v>7</v>
      </c>
      <c r="C25805" s="3" t="s">
        <v>4168</v>
      </c>
      <c r="D25805" s="4">
        <f>DATE(2008,5,7)</f>
        <v>39575</v>
      </c>
      <c r="E25805" s="5">
        <f t="shared" si="438"/>
        <v>2008</v>
      </c>
      <c r="F25805" s="3" t="s">
        <v>4169</v>
      </c>
      <c r="G25805" s="6">
        <v>3664.5</v>
      </c>
      <c r="H25805" s="5">
        <v>2800</v>
      </c>
    </row>
    <row r="25806" spans="2:8" ht="15" customHeight="1" x14ac:dyDescent="0.4">
      <c r="B25806" s="3" t="s">
        <v>7</v>
      </c>
      <c r="C25806" s="3" t="s">
        <v>4168</v>
      </c>
      <c r="D25806" s="4">
        <f>DATE(2008,5,15)</f>
        <v>39583</v>
      </c>
      <c r="E25806" s="5">
        <f t="shared" si="438"/>
        <v>2008</v>
      </c>
      <c r="F25806" s="3" t="s">
        <v>4169</v>
      </c>
      <c r="G25806" s="6">
        <v>865.2</v>
      </c>
      <c r="H25806" s="5">
        <v>2822</v>
      </c>
    </row>
    <row r="25807" spans="2:8" ht="15" customHeight="1" x14ac:dyDescent="0.4">
      <c r="B25807" s="3" t="s">
        <v>7</v>
      </c>
      <c r="C25807" s="3" t="s">
        <v>4168</v>
      </c>
      <c r="D25807" s="4">
        <f>DATE(2008,5,13)</f>
        <v>39581</v>
      </c>
      <c r="E25807" s="5">
        <f t="shared" si="438"/>
        <v>2008</v>
      </c>
      <c r="F25807" s="3" t="s">
        <v>4169</v>
      </c>
      <c r="G25807" s="6">
        <v>4428.1000000000004</v>
      </c>
      <c r="H25807" s="5">
        <v>2812</v>
      </c>
    </row>
    <row r="25808" spans="2:8" ht="15" customHeight="1" x14ac:dyDescent="0.4">
      <c r="B25808" s="3" t="s">
        <v>7</v>
      </c>
      <c r="C25808" s="3" t="s">
        <v>4168</v>
      </c>
      <c r="D25808" s="4">
        <f>DATE(2008,5,23)</f>
        <v>39591</v>
      </c>
      <c r="E25808" s="5">
        <f t="shared" si="438"/>
        <v>2008</v>
      </c>
      <c r="F25808" s="3" t="s">
        <v>4169</v>
      </c>
      <c r="G25808" s="6">
        <v>4486.53</v>
      </c>
      <c r="H25808" s="5">
        <v>2744</v>
      </c>
    </row>
    <row r="25809" spans="2:8" ht="15" customHeight="1" x14ac:dyDescent="0.4">
      <c r="B25809" s="3" t="s">
        <v>7</v>
      </c>
      <c r="C25809" s="3" t="s">
        <v>4168</v>
      </c>
      <c r="D25809" s="4">
        <f>DATE(2008,6,4)</f>
        <v>39603</v>
      </c>
      <c r="E25809" s="5">
        <f t="shared" si="438"/>
        <v>2008</v>
      </c>
      <c r="F25809" s="3" t="s">
        <v>4169</v>
      </c>
      <c r="G25809" s="6">
        <v>1756.25</v>
      </c>
      <c r="H25809" s="5">
        <v>2815</v>
      </c>
    </row>
    <row r="25810" spans="2:8" ht="15" customHeight="1" x14ac:dyDescent="0.4">
      <c r="B25810" s="3" t="s">
        <v>7</v>
      </c>
      <c r="C25810" s="3" t="s">
        <v>4168</v>
      </c>
      <c r="D25810" s="4">
        <f>DATE(2008,8,20)</f>
        <v>39680</v>
      </c>
      <c r="E25810" s="5">
        <f t="shared" si="438"/>
        <v>2008</v>
      </c>
      <c r="F25810" s="3" t="s">
        <v>4169</v>
      </c>
      <c r="G25810" s="6">
        <v>172.26</v>
      </c>
      <c r="H25810" s="5">
        <v>2980</v>
      </c>
    </row>
    <row r="25811" spans="2:8" ht="15" customHeight="1" x14ac:dyDescent="0.4">
      <c r="B25811" s="3" t="s">
        <v>7</v>
      </c>
      <c r="C25811" s="3" t="s">
        <v>4168</v>
      </c>
      <c r="D25811" s="4">
        <f>DATE(2008,9,29)</f>
        <v>39720</v>
      </c>
      <c r="E25811" s="5">
        <f t="shared" si="438"/>
        <v>2008</v>
      </c>
      <c r="F25811" s="3" t="s">
        <v>4169</v>
      </c>
      <c r="G25811" s="6">
        <v>4687.76</v>
      </c>
      <c r="H25811" s="5">
        <v>3011</v>
      </c>
    </row>
    <row r="25812" spans="2:8" ht="15" customHeight="1" x14ac:dyDescent="0.4">
      <c r="B25812" s="3" t="s">
        <v>7</v>
      </c>
      <c r="C25812" s="3" t="s">
        <v>4168</v>
      </c>
      <c r="D25812" s="4">
        <f>DATE(2008,9,29)</f>
        <v>39720</v>
      </c>
      <c r="E25812" s="5">
        <f t="shared" si="438"/>
        <v>2008</v>
      </c>
      <c r="F25812" s="3" t="s">
        <v>4169</v>
      </c>
      <c r="G25812" s="6">
        <v>4879.25</v>
      </c>
      <c r="H25812" s="5">
        <v>3012</v>
      </c>
    </row>
    <row r="25813" spans="2:8" ht="15" customHeight="1" x14ac:dyDescent="0.4">
      <c r="B25813" s="3" t="s">
        <v>7</v>
      </c>
      <c r="C25813" s="3" t="s">
        <v>4168</v>
      </c>
      <c r="D25813" s="4">
        <f>DATE(2008,9,29)</f>
        <v>39720</v>
      </c>
      <c r="E25813" s="5">
        <f t="shared" si="438"/>
        <v>2008</v>
      </c>
      <c r="F25813" s="3" t="s">
        <v>4169</v>
      </c>
      <c r="G25813" s="6">
        <v>4428.1000000000004</v>
      </c>
      <c r="H25813" s="5">
        <v>3013</v>
      </c>
    </row>
    <row r="25814" spans="2:8" ht="15" customHeight="1" x14ac:dyDescent="0.4">
      <c r="B25814" s="3" t="s">
        <v>7</v>
      </c>
      <c r="C25814" s="3" t="s">
        <v>4168</v>
      </c>
      <c r="D25814" s="4">
        <f>DATE(2008,10,9)</f>
        <v>39730</v>
      </c>
      <c r="E25814" s="5">
        <f t="shared" si="438"/>
        <v>2008</v>
      </c>
      <c r="F25814" s="3" t="s">
        <v>4169</v>
      </c>
      <c r="G25814" s="6">
        <v>927</v>
      </c>
      <c r="H25814" s="5">
        <v>3107</v>
      </c>
    </row>
    <row r="25815" spans="2:8" ht="15" customHeight="1" x14ac:dyDescent="0.4">
      <c r="B25815" s="3" t="s">
        <v>7</v>
      </c>
      <c r="C25815" s="3" t="s">
        <v>4168</v>
      </c>
      <c r="D25815" s="4">
        <f>DATE(2008,10,17)</f>
        <v>39738</v>
      </c>
      <c r="E25815" s="5">
        <f t="shared" si="438"/>
        <v>2008</v>
      </c>
      <c r="F25815" s="3" t="s">
        <v>4169</v>
      </c>
      <c r="G25815" s="6">
        <v>12752</v>
      </c>
      <c r="H25815" s="5">
        <v>2842</v>
      </c>
    </row>
    <row r="25816" spans="2:8" ht="15" customHeight="1" x14ac:dyDescent="0.4">
      <c r="B25816" s="3" t="s">
        <v>7</v>
      </c>
      <c r="C25816" s="3" t="s">
        <v>4168</v>
      </c>
      <c r="D25816" s="4">
        <f>DATE(2008,10,24)</f>
        <v>39745</v>
      </c>
      <c r="E25816" s="5">
        <f t="shared" si="438"/>
        <v>2008</v>
      </c>
      <c r="F25816" s="3" t="s">
        <v>4169</v>
      </c>
      <c r="G25816" s="6">
        <v>4428.1000000000004</v>
      </c>
      <c r="H25816" s="5">
        <v>3114</v>
      </c>
    </row>
    <row r="25817" spans="2:8" ht="15" customHeight="1" x14ac:dyDescent="0.4">
      <c r="B25817" s="3" t="s">
        <v>7</v>
      </c>
      <c r="C25817" s="3" t="s">
        <v>4168</v>
      </c>
      <c r="D25817" s="4">
        <f>DATE(2008,10,24)</f>
        <v>39745</v>
      </c>
      <c r="E25817" s="5">
        <f t="shared" si="438"/>
        <v>2008</v>
      </c>
      <c r="F25817" s="3" t="s">
        <v>4169</v>
      </c>
      <c r="G25817" s="6">
        <v>3097.2</v>
      </c>
      <c r="H25817" s="5">
        <v>3119</v>
      </c>
    </row>
    <row r="25818" spans="2:8" ht="15" customHeight="1" x14ac:dyDescent="0.4">
      <c r="B25818" s="3" t="s">
        <v>7</v>
      </c>
      <c r="C25818" s="3" t="s">
        <v>4168</v>
      </c>
      <c r="D25818" s="4">
        <f>DATE(2008,10,28)</f>
        <v>39749</v>
      </c>
      <c r="E25818" s="5">
        <f t="shared" si="438"/>
        <v>2008</v>
      </c>
      <c r="F25818" s="3" t="s">
        <v>4169</v>
      </c>
      <c r="G25818" s="6">
        <v>3770</v>
      </c>
      <c r="H25818" s="5">
        <v>3118</v>
      </c>
    </row>
    <row r="25819" spans="2:8" ht="15" customHeight="1" x14ac:dyDescent="0.4">
      <c r="B25819" s="3" t="s">
        <v>7</v>
      </c>
      <c r="C25819" s="3" t="s">
        <v>4168</v>
      </c>
      <c r="D25819" s="4">
        <f>DATE(2008,11,4)</f>
        <v>39756</v>
      </c>
      <c r="E25819" s="5">
        <f t="shared" si="438"/>
        <v>2008</v>
      </c>
      <c r="F25819" s="3" t="s">
        <v>4169</v>
      </c>
      <c r="G25819" s="6">
        <v>4428.1000000000004</v>
      </c>
      <c r="H25819" s="5">
        <v>3132</v>
      </c>
    </row>
    <row r="25820" spans="2:8" ht="15" customHeight="1" x14ac:dyDescent="0.4">
      <c r="B25820" s="3" t="s">
        <v>7</v>
      </c>
      <c r="C25820" s="3" t="s">
        <v>4168</v>
      </c>
      <c r="D25820" s="4">
        <f>DATE(2008,11,4)</f>
        <v>39756</v>
      </c>
      <c r="E25820" s="5">
        <f t="shared" si="438"/>
        <v>2008</v>
      </c>
      <c r="F25820" s="3" t="s">
        <v>4169</v>
      </c>
      <c r="G25820" s="6">
        <v>23140.6</v>
      </c>
      <c r="H25820" s="5">
        <v>3120</v>
      </c>
    </row>
    <row r="25821" spans="2:8" ht="15" customHeight="1" x14ac:dyDescent="0.4">
      <c r="B25821" s="3" t="s">
        <v>7</v>
      </c>
      <c r="C25821" s="3" t="s">
        <v>4168</v>
      </c>
      <c r="D25821" s="4">
        <f>DATE(2008,11,18)</f>
        <v>39770</v>
      </c>
      <c r="E25821" s="5">
        <f t="shared" si="438"/>
        <v>2008</v>
      </c>
      <c r="F25821" s="3" t="s">
        <v>4169</v>
      </c>
      <c r="G25821" s="6">
        <v>2508</v>
      </c>
      <c r="H25821" s="5">
        <v>3129</v>
      </c>
    </row>
    <row r="25822" spans="2:8" ht="15" customHeight="1" x14ac:dyDescent="0.4">
      <c r="B25822" s="3" t="s">
        <v>7</v>
      </c>
      <c r="C25822" s="3" t="s">
        <v>4168</v>
      </c>
      <c r="D25822" s="4">
        <f>DATE(2008,11,18)</f>
        <v>39770</v>
      </c>
      <c r="E25822" s="5">
        <f t="shared" si="438"/>
        <v>2008</v>
      </c>
      <c r="F25822" s="3" t="s">
        <v>4169</v>
      </c>
      <c r="G25822" s="6">
        <v>5280.48</v>
      </c>
      <c r="H25822" s="5">
        <v>3125</v>
      </c>
    </row>
    <row r="25823" spans="2:8" ht="15" customHeight="1" x14ac:dyDescent="0.4">
      <c r="B25823" s="3" t="s">
        <v>7</v>
      </c>
      <c r="C25823" s="3" t="s">
        <v>4168</v>
      </c>
      <c r="D25823" s="4">
        <f>DATE(2008,12,2)</f>
        <v>39784</v>
      </c>
      <c r="E25823" s="5">
        <f t="shared" si="438"/>
        <v>2008</v>
      </c>
      <c r="F25823" s="3" t="s">
        <v>4169</v>
      </c>
      <c r="G25823" s="6">
        <v>4887.8</v>
      </c>
      <c r="H25823" s="5">
        <v>3133</v>
      </c>
    </row>
    <row r="25824" spans="2:8" ht="15" customHeight="1" x14ac:dyDescent="0.4">
      <c r="B25824" s="3" t="s">
        <v>7</v>
      </c>
      <c r="C25824" s="3" t="s">
        <v>4168</v>
      </c>
      <c r="D25824" s="4">
        <f>DATE(2009,2,3)</f>
        <v>39847</v>
      </c>
      <c r="E25824" s="5">
        <f t="shared" si="438"/>
        <v>2009</v>
      </c>
      <c r="F25824" s="3" t="s">
        <v>4169</v>
      </c>
      <c r="G25824" s="6">
        <v>35448.769999999997</v>
      </c>
      <c r="H25824" s="5">
        <v>3204</v>
      </c>
    </row>
    <row r="25825" spans="2:8" ht="15" customHeight="1" x14ac:dyDescent="0.4">
      <c r="B25825" s="3" t="s">
        <v>7</v>
      </c>
      <c r="C25825" s="3" t="s">
        <v>4168</v>
      </c>
      <c r="D25825" s="4">
        <f>DATE(2009,5,5)</f>
        <v>39938</v>
      </c>
      <c r="E25825" s="5">
        <f t="shared" si="438"/>
        <v>2009</v>
      </c>
      <c r="F25825" s="3" t="s">
        <v>4169</v>
      </c>
      <c r="G25825" s="6">
        <v>57.42</v>
      </c>
      <c r="H25825" s="5">
        <v>3416</v>
      </c>
    </row>
    <row r="25826" spans="2:8" ht="15" customHeight="1" x14ac:dyDescent="0.4">
      <c r="B25826" s="3" t="s">
        <v>7</v>
      </c>
      <c r="C25826" s="3" t="s">
        <v>4168</v>
      </c>
      <c r="D25826" s="4">
        <f>DATE(2009,5,29)</f>
        <v>39962</v>
      </c>
      <c r="E25826" s="5">
        <f t="shared" si="438"/>
        <v>2009</v>
      </c>
      <c r="F25826" s="3" t="s">
        <v>4169</v>
      </c>
      <c r="G25826" s="6">
        <v>267</v>
      </c>
      <c r="H25826" s="5">
        <v>3446</v>
      </c>
    </row>
    <row r="25827" spans="2:8" ht="15" customHeight="1" x14ac:dyDescent="0.4">
      <c r="B25827" s="3" t="s">
        <v>7</v>
      </c>
      <c r="C25827" s="3" t="s">
        <v>4168</v>
      </c>
      <c r="D25827" s="4">
        <f>DATE(2009,7,20)</f>
        <v>40014</v>
      </c>
      <c r="E25827" s="5">
        <f t="shared" si="438"/>
        <v>2009</v>
      </c>
      <c r="F25827" s="3" t="s">
        <v>4169</v>
      </c>
      <c r="G25827" s="6">
        <v>849.95</v>
      </c>
      <c r="H25827" s="5">
        <v>3523</v>
      </c>
    </row>
    <row r="25828" spans="2:8" ht="15" customHeight="1" x14ac:dyDescent="0.4">
      <c r="B25828" s="3" t="s">
        <v>7</v>
      </c>
      <c r="C25828" s="3" t="s">
        <v>4168</v>
      </c>
      <c r="D25828" s="4">
        <f>DATE(2009,9,10)</f>
        <v>40066</v>
      </c>
      <c r="E25828" s="5">
        <f t="shared" si="438"/>
        <v>2009</v>
      </c>
      <c r="F25828" s="3" t="s">
        <v>4169</v>
      </c>
      <c r="G25828" s="6">
        <v>858.4</v>
      </c>
      <c r="H25828" s="5">
        <v>3580</v>
      </c>
    </row>
    <row r="25829" spans="2:8" ht="15" customHeight="1" x14ac:dyDescent="0.4">
      <c r="B25829" s="3" t="s">
        <v>7</v>
      </c>
      <c r="C25829" s="3" t="s">
        <v>4168</v>
      </c>
      <c r="D25829" s="4">
        <f>DATE(2009,11,13)</f>
        <v>40130</v>
      </c>
      <c r="E25829" s="5">
        <f t="shared" si="438"/>
        <v>2009</v>
      </c>
      <c r="F25829" s="3" t="s">
        <v>4169</v>
      </c>
      <c r="G25829" s="6">
        <v>179</v>
      </c>
      <c r="H25829" s="5">
        <v>3656</v>
      </c>
    </row>
    <row r="25830" spans="2:8" ht="15" customHeight="1" x14ac:dyDescent="0.4">
      <c r="B25830" s="3" t="s">
        <v>7</v>
      </c>
      <c r="C25830" s="3" t="s">
        <v>4168</v>
      </c>
      <c r="D25830" s="4">
        <f>DATE(2009,11,13)</f>
        <v>40130</v>
      </c>
      <c r="E25830" s="5">
        <f t="shared" si="438"/>
        <v>2009</v>
      </c>
      <c r="F25830" s="3" t="s">
        <v>4169</v>
      </c>
      <c r="G25830" s="6">
        <v>2508</v>
      </c>
      <c r="H25830" s="5">
        <v>3658</v>
      </c>
    </row>
    <row r="25831" spans="2:8" ht="15" customHeight="1" x14ac:dyDescent="0.4">
      <c r="B25831" s="3" t="s">
        <v>7</v>
      </c>
      <c r="C25831" s="3" t="s">
        <v>4168</v>
      </c>
      <c r="D25831" s="4">
        <f>DATE(2009,11,13)</f>
        <v>40130</v>
      </c>
      <c r="E25831" s="5">
        <f t="shared" si="438"/>
        <v>2009</v>
      </c>
      <c r="F25831" s="3" t="s">
        <v>4169</v>
      </c>
      <c r="G25831" s="6">
        <v>1287.5999999999999</v>
      </c>
      <c r="H25831" s="5">
        <v>3657</v>
      </c>
    </row>
    <row r="25832" spans="2:8" ht="15" customHeight="1" x14ac:dyDescent="0.4">
      <c r="B25832" s="3" t="s">
        <v>7</v>
      </c>
      <c r="C25832" s="3" t="s">
        <v>4168</v>
      </c>
      <c r="D25832" s="4">
        <f>DATE(2010,3,3)</f>
        <v>40240</v>
      </c>
      <c r="E25832" s="5">
        <f t="shared" si="438"/>
        <v>2010</v>
      </c>
      <c r="F25832" s="3" t="s">
        <v>4169</v>
      </c>
      <c r="G25832" s="6">
        <v>134</v>
      </c>
      <c r="H25832" s="5">
        <v>3820</v>
      </c>
    </row>
    <row r="25833" spans="2:8" ht="15" customHeight="1" x14ac:dyDescent="0.4">
      <c r="B25833" s="3" t="s">
        <v>7</v>
      </c>
      <c r="C25833" s="3" t="s">
        <v>4168</v>
      </c>
      <c r="D25833" s="4">
        <f>DATE(2010,3,3)</f>
        <v>40240</v>
      </c>
      <c r="E25833" s="5">
        <f t="shared" si="438"/>
        <v>2010</v>
      </c>
      <c r="F25833" s="3" t="s">
        <v>4169</v>
      </c>
      <c r="G25833" s="6">
        <v>2508</v>
      </c>
      <c r="H25833" s="5">
        <v>3821</v>
      </c>
    </row>
    <row r="25834" spans="2:8" ht="15" customHeight="1" x14ac:dyDescent="0.4">
      <c r="B25834" s="3" t="s">
        <v>7</v>
      </c>
      <c r="C25834" s="3" t="s">
        <v>4168</v>
      </c>
      <c r="D25834" s="4">
        <f>DATE(2010,3,19)</f>
        <v>40256</v>
      </c>
      <c r="E25834" s="5">
        <f t="shared" si="438"/>
        <v>2010</v>
      </c>
      <c r="F25834" s="3" t="s">
        <v>4169</v>
      </c>
      <c r="G25834" s="6">
        <v>811.25</v>
      </c>
      <c r="H25834" s="5">
        <v>3812</v>
      </c>
    </row>
    <row r="25835" spans="2:8" ht="15" customHeight="1" x14ac:dyDescent="0.4">
      <c r="B25835" s="3" t="s">
        <v>7</v>
      </c>
      <c r="C25835" s="3" t="s">
        <v>4168</v>
      </c>
      <c r="D25835" s="4">
        <f>DATE(2010,4,16)</f>
        <v>40284</v>
      </c>
      <c r="E25835" s="5">
        <f t="shared" si="438"/>
        <v>2010</v>
      </c>
      <c r="F25835" s="3" t="s">
        <v>4169</v>
      </c>
      <c r="G25835" s="6">
        <v>895</v>
      </c>
      <c r="H25835" s="5">
        <v>3903</v>
      </c>
    </row>
    <row r="25836" spans="2:8" ht="15" customHeight="1" x14ac:dyDescent="0.4">
      <c r="B25836" s="3" t="s">
        <v>7</v>
      </c>
      <c r="C25836" s="3" t="s">
        <v>4168</v>
      </c>
      <c r="D25836" s="4">
        <f>DATE(2010,4,16)</f>
        <v>40284</v>
      </c>
      <c r="E25836" s="5">
        <f t="shared" si="438"/>
        <v>2010</v>
      </c>
      <c r="F25836" s="3" t="s">
        <v>4169</v>
      </c>
      <c r="G25836" s="6">
        <v>280.5</v>
      </c>
      <c r="H25836" s="5">
        <v>3902</v>
      </c>
    </row>
    <row r="25837" spans="2:8" ht="15" customHeight="1" x14ac:dyDescent="0.4">
      <c r="B25837" s="3" t="s">
        <v>7</v>
      </c>
      <c r="C25837" s="3" t="s">
        <v>4168</v>
      </c>
      <c r="D25837" s="4">
        <f>DATE(2010,4,16)</f>
        <v>40284</v>
      </c>
      <c r="E25837" s="5">
        <f t="shared" si="438"/>
        <v>2010</v>
      </c>
      <c r="F25837" s="3" t="s">
        <v>4169</v>
      </c>
      <c r="G25837" s="6">
        <v>267</v>
      </c>
      <c r="H25837" s="5">
        <v>3906</v>
      </c>
    </row>
    <row r="25838" spans="2:8" ht="15" customHeight="1" x14ac:dyDescent="0.4">
      <c r="B25838" s="3" t="s">
        <v>7</v>
      </c>
      <c r="C25838" s="3" t="s">
        <v>4168</v>
      </c>
      <c r="D25838" s="4">
        <f>DATE(2010,4,16)</f>
        <v>40284</v>
      </c>
      <c r="E25838" s="5">
        <f t="shared" si="438"/>
        <v>2010</v>
      </c>
      <c r="F25838" s="3" t="s">
        <v>4169</v>
      </c>
      <c r="G25838" s="6">
        <v>3762</v>
      </c>
      <c r="H25838" s="5">
        <v>3901</v>
      </c>
    </row>
    <row r="25839" spans="2:8" ht="15" customHeight="1" x14ac:dyDescent="0.4">
      <c r="B25839" s="3" t="s">
        <v>7</v>
      </c>
      <c r="C25839" s="3" t="s">
        <v>4168</v>
      </c>
      <c r="D25839" s="4">
        <f>DATE(2010,4,21)</f>
        <v>40289</v>
      </c>
      <c r="E25839" s="5">
        <f t="shared" si="438"/>
        <v>2010</v>
      </c>
      <c r="F25839" s="3" t="s">
        <v>4169</v>
      </c>
      <c r="G25839" s="6">
        <v>134</v>
      </c>
      <c r="H25839" s="5">
        <v>3904</v>
      </c>
    </row>
    <row r="25840" spans="2:8" ht="15" customHeight="1" x14ac:dyDescent="0.4">
      <c r="B25840" s="3" t="s">
        <v>7</v>
      </c>
      <c r="C25840" s="3" t="s">
        <v>4168</v>
      </c>
      <c r="D25840" s="4">
        <f>DATE(2010,5,3)</f>
        <v>40301</v>
      </c>
      <c r="E25840" s="5">
        <f t="shared" si="438"/>
        <v>2010</v>
      </c>
      <c r="F25840" s="3" t="s">
        <v>4169</v>
      </c>
      <c r="G25840" s="6">
        <v>1622.5</v>
      </c>
      <c r="H25840" s="5">
        <v>3905</v>
      </c>
    </row>
    <row r="25841" spans="2:8" ht="15" customHeight="1" x14ac:dyDescent="0.4">
      <c r="B25841" s="3" t="s">
        <v>7</v>
      </c>
      <c r="C25841" s="3" t="s">
        <v>4168</v>
      </c>
      <c r="D25841" s="4">
        <f>DATE(2010,5,27)</f>
        <v>40325</v>
      </c>
      <c r="E25841" s="5">
        <f t="shared" si="438"/>
        <v>2010</v>
      </c>
      <c r="F25841" s="3" t="s">
        <v>4169</v>
      </c>
      <c r="G25841" s="6">
        <v>4704</v>
      </c>
      <c r="H25841" s="5">
        <v>3934</v>
      </c>
    </row>
    <row r="25842" spans="2:8" ht="15" customHeight="1" x14ac:dyDescent="0.4">
      <c r="B25842" s="3" t="s">
        <v>7</v>
      </c>
      <c r="C25842" s="3" t="s">
        <v>4168</v>
      </c>
      <c r="D25842" s="4">
        <f>DATE(2010,6,8)</f>
        <v>40337</v>
      </c>
      <c r="E25842" s="5">
        <f t="shared" si="438"/>
        <v>2010</v>
      </c>
      <c r="F25842" s="3" t="s">
        <v>4169</v>
      </c>
      <c r="G25842" s="6">
        <v>160.80000000000001</v>
      </c>
      <c r="H25842" s="5">
        <v>3960</v>
      </c>
    </row>
    <row r="25843" spans="2:8" ht="15" customHeight="1" x14ac:dyDescent="0.4">
      <c r="B25843" s="3" t="s">
        <v>7</v>
      </c>
      <c r="C25843" s="3" t="s">
        <v>4168</v>
      </c>
      <c r="D25843" s="4">
        <f>DATE(2010,7,29)</f>
        <v>40388</v>
      </c>
      <c r="E25843" s="5">
        <f t="shared" si="438"/>
        <v>2010</v>
      </c>
      <c r="F25843" s="3" t="s">
        <v>4169</v>
      </c>
      <c r="G25843" s="6">
        <v>20541.240000000002</v>
      </c>
      <c r="H25843" s="5">
        <v>4021</v>
      </c>
    </row>
    <row r="25844" spans="2:8" ht="15" customHeight="1" x14ac:dyDescent="0.4">
      <c r="B25844" s="3" t="s">
        <v>7</v>
      </c>
      <c r="C25844" s="3" t="s">
        <v>4168</v>
      </c>
      <c r="D25844" s="4">
        <f>DATE(2010,8,12)</f>
        <v>40402</v>
      </c>
      <c r="E25844" s="5">
        <f t="shared" si="438"/>
        <v>2010</v>
      </c>
      <c r="F25844" s="3" t="s">
        <v>4169</v>
      </c>
      <c r="G25844" s="6">
        <v>537</v>
      </c>
      <c r="H25844" s="5">
        <v>4056</v>
      </c>
    </row>
    <row r="25845" spans="2:8" ht="15" customHeight="1" x14ac:dyDescent="0.4">
      <c r="B25845" s="3" t="s">
        <v>7</v>
      </c>
      <c r="C25845" s="3" t="s">
        <v>4168</v>
      </c>
      <c r="D25845" s="4">
        <f>DATE(2010,8,26)</f>
        <v>40416</v>
      </c>
      <c r="E25845" s="5">
        <f t="shared" si="438"/>
        <v>2010</v>
      </c>
      <c r="F25845" s="3" t="s">
        <v>4169</v>
      </c>
      <c r="G25845" s="6">
        <v>811.25</v>
      </c>
      <c r="H25845" s="5">
        <v>4057</v>
      </c>
    </row>
    <row r="25846" spans="2:8" ht="15" customHeight="1" x14ac:dyDescent="0.4">
      <c r="B25846" s="3" t="s">
        <v>7</v>
      </c>
      <c r="C25846" s="3" t="s">
        <v>4168</v>
      </c>
      <c r="D25846" s="4">
        <f>DATE(2010,8,26)</f>
        <v>40416</v>
      </c>
      <c r="E25846" s="5">
        <f t="shared" si="438"/>
        <v>2010</v>
      </c>
      <c r="F25846" s="3" t="s">
        <v>4169</v>
      </c>
      <c r="G25846" s="6">
        <v>160.80000000000001</v>
      </c>
      <c r="H25846" s="5">
        <v>4099</v>
      </c>
    </row>
    <row r="25847" spans="2:8" ht="15" customHeight="1" x14ac:dyDescent="0.4">
      <c r="B25847" s="3" t="s">
        <v>7</v>
      </c>
      <c r="C25847" s="3" t="s">
        <v>4168</v>
      </c>
      <c r="D25847" s="4">
        <f>DATE(2010,8,26)</f>
        <v>40416</v>
      </c>
      <c r="E25847" s="5">
        <f t="shared" si="438"/>
        <v>2010</v>
      </c>
      <c r="F25847" s="3" t="s">
        <v>4169</v>
      </c>
      <c r="G25847" s="6">
        <v>267</v>
      </c>
      <c r="H25847" s="5">
        <v>4098</v>
      </c>
    </row>
    <row r="25848" spans="2:8" ht="15" customHeight="1" x14ac:dyDescent="0.4">
      <c r="B25848" s="3" t="s">
        <v>7</v>
      </c>
      <c r="C25848" s="3" t="s">
        <v>4168</v>
      </c>
      <c r="D25848" s="4">
        <f>DATE(2010,8,30)</f>
        <v>40420</v>
      </c>
      <c r="E25848" s="5">
        <f t="shared" si="438"/>
        <v>2010</v>
      </c>
      <c r="F25848" s="3" t="s">
        <v>4169</v>
      </c>
      <c r="G25848" s="6">
        <v>3136</v>
      </c>
      <c r="H25848" s="5">
        <v>4097</v>
      </c>
    </row>
    <row r="25849" spans="2:8" ht="15" customHeight="1" x14ac:dyDescent="0.4">
      <c r="B25849" s="3" t="s">
        <v>7</v>
      </c>
      <c r="C25849" s="3" t="s">
        <v>4168</v>
      </c>
      <c r="D25849" s="4">
        <f>DATE(2010,9,29)</f>
        <v>40450</v>
      </c>
      <c r="E25849" s="5">
        <f t="shared" si="438"/>
        <v>2010</v>
      </c>
      <c r="F25849" s="3" t="s">
        <v>4169</v>
      </c>
      <c r="G25849" s="6">
        <v>804</v>
      </c>
      <c r="H25849" s="5">
        <v>4125</v>
      </c>
    </row>
    <row r="25850" spans="2:8" ht="15" customHeight="1" x14ac:dyDescent="0.4">
      <c r="B25850" s="3" t="s">
        <v>7</v>
      </c>
      <c r="C25850" s="3" t="s">
        <v>4168</v>
      </c>
      <c r="D25850" s="4">
        <f>DATE(2010,9,23)</f>
        <v>40444</v>
      </c>
      <c r="E25850" s="5">
        <f t="shared" si="438"/>
        <v>2010</v>
      </c>
      <c r="F25850" s="3" t="s">
        <v>4169</v>
      </c>
      <c r="G25850" s="6">
        <v>267</v>
      </c>
      <c r="H25850" s="5">
        <v>4130</v>
      </c>
    </row>
    <row r="25851" spans="2:8" ht="15" customHeight="1" x14ac:dyDescent="0.4">
      <c r="B25851" s="3" t="s">
        <v>7</v>
      </c>
      <c r="C25851" s="3" t="s">
        <v>4168</v>
      </c>
      <c r="D25851" s="4">
        <f>DATE(2010,9,23)</f>
        <v>40444</v>
      </c>
      <c r="E25851" s="5">
        <f t="shared" si="438"/>
        <v>2010</v>
      </c>
      <c r="F25851" s="3" t="s">
        <v>4169</v>
      </c>
      <c r="G25851" s="6">
        <v>179</v>
      </c>
      <c r="H25851" s="5">
        <v>4132</v>
      </c>
    </row>
    <row r="25852" spans="2:8" ht="15" customHeight="1" x14ac:dyDescent="0.4">
      <c r="B25852" s="3" t="s">
        <v>7</v>
      </c>
      <c r="C25852" s="3" t="s">
        <v>4168</v>
      </c>
      <c r="D25852" s="4">
        <f>DATE(2010,9,23)</f>
        <v>40444</v>
      </c>
      <c r="E25852" s="5">
        <f t="shared" si="438"/>
        <v>2010</v>
      </c>
      <c r="F25852" s="3" t="s">
        <v>4169</v>
      </c>
      <c r="G25852" s="6">
        <v>179</v>
      </c>
      <c r="H25852" s="5">
        <v>4131</v>
      </c>
    </row>
    <row r="25853" spans="2:8" ht="15" customHeight="1" x14ac:dyDescent="0.4">
      <c r="B25853" s="3" t="s">
        <v>7</v>
      </c>
      <c r="C25853" s="3" t="s">
        <v>4168</v>
      </c>
      <c r="D25853" s="4">
        <f>DATE(2010,9,23)</f>
        <v>40444</v>
      </c>
      <c r="E25853" s="5">
        <f t="shared" si="438"/>
        <v>2010</v>
      </c>
      <c r="F25853" s="3" t="s">
        <v>4169</v>
      </c>
      <c r="G25853" s="6">
        <v>461.6</v>
      </c>
      <c r="H25853" s="5">
        <v>4129</v>
      </c>
    </row>
    <row r="25854" spans="2:8" ht="15" customHeight="1" x14ac:dyDescent="0.4">
      <c r="B25854" s="3" t="s">
        <v>7</v>
      </c>
      <c r="C25854" s="3" t="s">
        <v>4168</v>
      </c>
      <c r="D25854" s="4">
        <f>DATE(2010,10,6)</f>
        <v>40457</v>
      </c>
      <c r="E25854" s="5">
        <f t="shared" si="438"/>
        <v>2010</v>
      </c>
      <c r="F25854" s="3" t="s">
        <v>4169</v>
      </c>
      <c r="G25854" s="6">
        <v>804</v>
      </c>
      <c r="H25854" s="5">
        <v>4144</v>
      </c>
    </row>
    <row r="25855" spans="2:8" ht="15" customHeight="1" x14ac:dyDescent="0.4">
      <c r="B25855" s="3" t="s">
        <v>7</v>
      </c>
      <c r="C25855" s="3" t="s">
        <v>4168</v>
      </c>
      <c r="D25855" s="4">
        <f>DATE(2010,10,29)</f>
        <v>40480</v>
      </c>
      <c r="E25855" s="5">
        <f t="shared" si="438"/>
        <v>2010</v>
      </c>
      <c r="F25855" s="3" t="s">
        <v>4169</v>
      </c>
      <c r="G25855" s="6">
        <v>4757.8100000000004</v>
      </c>
      <c r="H25855" s="5">
        <v>4182</v>
      </c>
    </row>
    <row r="25856" spans="2:8" ht="15" customHeight="1" x14ac:dyDescent="0.4">
      <c r="B25856" s="3" t="s">
        <v>7</v>
      </c>
      <c r="C25856" s="3" t="s">
        <v>4168</v>
      </c>
      <c r="D25856" s="4">
        <f>DATE(2010,11,3)</f>
        <v>40485</v>
      </c>
      <c r="E25856" s="5">
        <f t="shared" si="438"/>
        <v>2010</v>
      </c>
      <c r="F25856" s="3" t="s">
        <v>4169</v>
      </c>
      <c r="G25856" s="6">
        <v>3136</v>
      </c>
      <c r="H25856" s="5">
        <v>4184</v>
      </c>
    </row>
    <row r="25857" spans="2:8" ht="15" customHeight="1" x14ac:dyDescent="0.4">
      <c r="B25857" s="3" t="s">
        <v>7</v>
      </c>
      <c r="C25857" s="3" t="s">
        <v>4168</v>
      </c>
      <c r="D25857" s="4">
        <f>DATE(2010,11,19)</f>
        <v>40501</v>
      </c>
      <c r="E25857" s="5">
        <f t="shared" si="438"/>
        <v>2010</v>
      </c>
      <c r="F25857" s="3" t="s">
        <v>4169</v>
      </c>
      <c r="G25857" s="6">
        <v>160.80000000000001</v>
      </c>
      <c r="H25857" s="5">
        <v>4228</v>
      </c>
    </row>
    <row r="25858" spans="2:8" ht="15" customHeight="1" x14ac:dyDescent="0.4">
      <c r="B25858" s="3" t="s">
        <v>7</v>
      </c>
      <c r="C25858" s="3" t="s">
        <v>4168</v>
      </c>
      <c r="D25858" s="4">
        <f>DATE(2010,11,29)</f>
        <v>40511</v>
      </c>
      <c r="E25858" s="5">
        <f t="shared" si="438"/>
        <v>2010</v>
      </c>
      <c r="F25858" s="3" t="s">
        <v>4169</v>
      </c>
      <c r="G25858" s="6">
        <v>5513.86</v>
      </c>
      <c r="H25858" s="5">
        <v>4181</v>
      </c>
    </row>
    <row r="25859" spans="2:8" ht="15" customHeight="1" x14ac:dyDescent="0.4">
      <c r="B25859" s="3" t="s">
        <v>7</v>
      </c>
      <c r="C25859" s="3" t="s">
        <v>4168</v>
      </c>
      <c r="D25859" s="4">
        <f>DATE(2010,11,29)</f>
        <v>40511</v>
      </c>
      <c r="E25859" s="5">
        <f t="shared" ref="E25859:E25922" si="439">YEAR(D25859)</f>
        <v>2010</v>
      </c>
      <c r="F25859" s="3" t="s">
        <v>4169</v>
      </c>
      <c r="G25859" s="6">
        <v>4757.8100000000004</v>
      </c>
      <c r="H25859" s="5">
        <v>4226</v>
      </c>
    </row>
    <row r="25860" spans="2:8" ht="15" customHeight="1" x14ac:dyDescent="0.4">
      <c r="B25860" s="3" t="s">
        <v>7</v>
      </c>
      <c r="C25860" s="3" t="s">
        <v>4168</v>
      </c>
      <c r="D25860" s="4">
        <f>DATE(2010,11,29)</f>
        <v>40511</v>
      </c>
      <c r="E25860" s="5">
        <f t="shared" si="439"/>
        <v>2010</v>
      </c>
      <c r="F25860" s="3" t="s">
        <v>4169</v>
      </c>
      <c r="G25860" s="6">
        <v>2342.4</v>
      </c>
      <c r="H25860" s="5">
        <v>4204</v>
      </c>
    </row>
    <row r="25861" spans="2:8" ht="15" customHeight="1" x14ac:dyDescent="0.4">
      <c r="B25861" s="3" t="s">
        <v>7</v>
      </c>
      <c r="C25861" s="3" t="s">
        <v>4168</v>
      </c>
      <c r="D25861" s="4">
        <f>DATE(2010,11,1)</f>
        <v>40483</v>
      </c>
      <c r="E25861" s="5">
        <f t="shared" si="439"/>
        <v>2010</v>
      </c>
      <c r="F25861" s="3" t="s">
        <v>4169</v>
      </c>
      <c r="G25861" s="6">
        <v>16733.650000000001</v>
      </c>
      <c r="H25861" s="5">
        <v>4117</v>
      </c>
    </row>
    <row r="25862" spans="2:8" ht="15" customHeight="1" x14ac:dyDescent="0.4">
      <c r="B25862" s="3" t="s">
        <v>7</v>
      </c>
      <c r="C25862" s="3" t="s">
        <v>4168</v>
      </c>
      <c r="D25862" s="4">
        <f>DATE(2010,12,13)</f>
        <v>40525</v>
      </c>
      <c r="E25862" s="5">
        <f t="shared" si="439"/>
        <v>2010</v>
      </c>
      <c r="F25862" s="3" t="s">
        <v>4169</v>
      </c>
      <c r="G25862" s="6">
        <v>400.5</v>
      </c>
      <c r="H25862" s="5">
        <v>4242</v>
      </c>
    </row>
    <row r="25863" spans="2:8" ht="15" customHeight="1" x14ac:dyDescent="0.4">
      <c r="B25863" s="3" t="s">
        <v>7</v>
      </c>
      <c r="C25863" s="3" t="s">
        <v>4168</v>
      </c>
      <c r="D25863" s="4">
        <f>DATE(2010,12,13)</f>
        <v>40525</v>
      </c>
      <c r="E25863" s="5">
        <f t="shared" si="439"/>
        <v>2010</v>
      </c>
      <c r="F25863" s="3" t="s">
        <v>4169</v>
      </c>
      <c r="G25863" s="6">
        <v>4492.8</v>
      </c>
      <c r="H25863" s="5">
        <v>4218</v>
      </c>
    </row>
    <row r="25864" spans="2:8" ht="15" customHeight="1" x14ac:dyDescent="0.4">
      <c r="B25864" s="3" t="s">
        <v>7</v>
      </c>
      <c r="C25864" s="3" t="s">
        <v>4168</v>
      </c>
      <c r="D25864" s="4">
        <f>DATE(2010,12,17)</f>
        <v>40529</v>
      </c>
      <c r="E25864" s="5">
        <f t="shared" si="439"/>
        <v>2010</v>
      </c>
      <c r="F25864" s="3" t="s">
        <v>4169</v>
      </c>
      <c r="G25864" s="6">
        <v>16293.75</v>
      </c>
      <c r="H25864" s="5">
        <v>4198</v>
      </c>
    </row>
    <row r="25865" spans="2:8" ht="15" customHeight="1" x14ac:dyDescent="0.4">
      <c r="B25865" s="3" t="s">
        <v>7</v>
      </c>
      <c r="C25865" s="3" t="s">
        <v>4168</v>
      </c>
      <c r="D25865" s="4">
        <f>DATE(2011,1,4)</f>
        <v>40547</v>
      </c>
      <c r="E25865" s="5">
        <f t="shared" si="439"/>
        <v>2011</v>
      </c>
      <c r="F25865" s="3" t="s">
        <v>4169</v>
      </c>
      <c r="G25865" s="6">
        <v>1527.6</v>
      </c>
      <c r="H25865" s="5">
        <v>4243</v>
      </c>
    </row>
    <row r="25866" spans="2:8" ht="15" customHeight="1" x14ac:dyDescent="0.4">
      <c r="B25866" s="3" t="s">
        <v>7</v>
      </c>
      <c r="C25866" s="3" t="s">
        <v>4168</v>
      </c>
      <c r="D25866" s="4">
        <f>DATE(2011,2,15)</f>
        <v>40589</v>
      </c>
      <c r="E25866" s="5">
        <f t="shared" si="439"/>
        <v>2011</v>
      </c>
      <c r="F25866" s="3" t="s">
        <v>4169</v>
      </c>
      <c r="G25866" s="6">
        <v>643.79999999999995</v>
      </c>
      <c r="H25866" s="5">
        <v>4310</v>
      </c>
    </row>
    <row r="25867" spans="2:8" ht="15" customHeight="1" x14ac:dyDescent="0.4">
      <c r="B25867" s="3" t="s">
        <v>7</v>
      </c>
      <c r="C25867" s="3" t="s">
        <v>4168</v>
      </c>
      <c r="D25867" s="4">
        <f>DATE(2011,4,1)</f>
        <v>40634</v>
      </c>
      <c r="E25867" s="5">
        <f t="shared" si="439"/>
        <v>2011</v>
      </c>
      <c r="F25867" s="3" t="s">
        <v>4169</v>
      </c>
      <c r="G25867" s="6">
        <v>3136</v>
      </c>
      <c r="H25867" s="5">
        <v>4363</v>
      </c>
    </row>
    <row r="25868" spans="2:8" ht="15" customHeight="1" x14ac:dyDescent="0.4">
      <c r="B25868" s="3" t="s">
        <v>7</v>
      </c>
      <c r="C25868" s="3" t="s">
        <v>4168</v>
      </c>
      <c r="D25868" s="4">
        <f>DATE(2011,4,1)</f>
        <v>40634</v>
      </c>
      <c r="E25868" s="5">
        <f t="shared" si="439"/>
        <v>2011</v>
      </c>
      <c r="F25868" s="3" t="s">
        <v>4169</v>
      </c>
      <c r="G25868" s="6">
        <v>4757.8100000000004</v>
      </c>
      <c r="H25868" s="5">
        <v>4248</v>
      </c>
    </row>
    <row r="25869" spans="2:8" ht="15" customHeight="1" x14ac:dyDescent="0.4">
      <c r="B25869" s="3" t="s">
        <v>7</v>
      </c>
      <c r="C25869" s="3" t="s">
        <v>4168</v>
      </c>
      <c r="D25869" s="4">
        <f>DATE(2011,4,1)</f>
        <v>40634</v>
      </c>
      <c r="E25869" s="5">
        <f t="shared" si="439"/>
        <v>2011</v>
      </c>
      <c r="F25869" s="3" t="s">
        <v>4169</v>
      </c>
      <c r="G25869" s="6">
        <v>4757.8100000000004</v>
      </c>
      <c r="H25869" s="5">
        <v>4245</v>
      </c>
    </row>
    <row r="25870" spans="2:8" ht="15" customHeight="1" x14ac:dyDescent="0.4">
      <c r="B25870" s="3" t="s">
        <v>7</v>
      </c>
      <c r="C25870" s="3" t="s">
        <v>4168</v>
      </c>
      <c r="D25870" s="4">
        <f>DATE(2011,4,19)</f>
        <v>40652</v>
      </c>
      <c r="E25870" s="5">
        <f t="shared" si="439"/>
        <v>2011</v>
      </c>
      <c r="F25870" s="3" t="s">
        <v>4169</v>
      </c>
      <c r="G25870" s="6">
        <v>205.72</v>
      </c>
      <c r="H25870" s="5">
        <v>4398</v>
      </c>
    </row>
    <row r="25871" spans="2:8" ht="15" customHeight="1" x14ac:dyDescent="0.4">
      <c r="B25871" s="3" t="s">
        <v>7</v>
      </c>
      <c r="C25871" s="3" t="s">
        <v>4168</v>
      </c>
      <c r="D25871" s="4">
        <f>DATE(2011,5,13)</f>
        <v>40676</v>
      </c>
      <c r="E25871" s="5">
        <f t="shared" si="439"/>
        <v>2011</v>
      </c>
      <c r="F25871" s="3" t="s">
        <v>4169</v>
      </c>
      <c r="G25871" s="6">
        <v>9301.2000000000007</v>
      </c>
      <c r="H25871" s="5">
        <v>4426</v>
      </c>
    </row>
    <row r="25872" spans="2:8" ht="15" customHeight="1" x14ac:dyDescent="0.4">
      <c r="B25872" s="3" t="s">
        <v>7</v>
      </c>
      <c r="C25872" s="3" t="s">
        <v>4168</v>
      </c>
      <c r="D25872" s="4">
        <f>DATE(2011,5,13)</f>
        <v>40676</v>
      </c>
      <c r="E25872" s="5">
        <f t="shared" si="439"/>
        <v>2011</v>
      </c>
      <c r="F25872" s="3" t="s">
        <v>4169</v>
      </c>
      <c r="G25872" s="6">
        <v>9301.2000000000007</v>
      </c>
      <c r="H25872" s="5">
        <v>4384</v>
      </c>
    </row>
    <row r="25873" spans="2:8" ht="15" customHeight="1" x14ac:dyDescent="0.4">
      <c r="B25873" s="3" t="s">
        <v>7</v>
      </c>
      <c r="C25873" s="3" t="s">
        <v>4168</v>
      </c>
      <c r="D25873" s="4">
        <f>DATE(2011,6,8)</f>
        <v>40702</v>
      </c>
      <c r="E25873" s="5">
        <f t="shared" si="439"/>
        <v>2011</v>
      </c>
      <c r="F25873" s="3" t="s">
        <v>4169</v>
      </c>
      <c r="G25873" s="6">
        <v>3433.6</v>
      </c>
      <c r="H25873" s="5">
        <v>4425</v>
      </c>
    </row>
    <row r="25874" spans="2:8" ht="15" customHeight="1" x14ac:dyDescent="0.4">
      <c r="B25874" s="3" t="s">
        <v>7</v>
      </c>
      <c r="C25874" s="3" t="s">
        <v>4168</v>
      </c>
      <c r="D25874" s="4">
        <f>DATE(2011,6,8)</f>
        <v>40702</v>
      </c>
      <c r="E25874" s="5">
        <f t="shared" si="439"/>
        <v>2011</v>
      </c>
      <c r="F25874" s="3" t="s">
        <v>4169</v>
      </c>
      <c r="G25874" s="6">
        <v>241.2</v>
      </c>
      <c r="H25874" s="5">
        <v>4471</v>
      </c>
    </row>
    <row r="25875" spans="2:8" ht="15" customHeight="1" x14ac:dyDescent="0.4">
      <c r="B25875" s="3" t="s">
        <v>7</v>
      </c>
      <c r="C25875" s="3" t="s">
        <v>4168</v>
      </c>
      <c r="D25875" s="4">
        <f>DATE(2011,6,16)</f>
        <v>40710</v>
      </c>
      <c r="E25875" s="5">
        <f t="shared" si="439"/>
        <v>2011</v>
      </c>
      <c r="F25875" s="3" t="s">
        <v>4169</v>
      </c>
      <c r="G25875" s="6">
        <v>2799.43</v>
      </c>
      <c r="H25875" s="5">
        <v>4476</v>
      </c>
    </row>
    <row r="25876" spans="2:8" ht="15" customHeight="1" x14ac:dyDescent="0.4">
      <c r="B25876" s="3" t="s">
        <v>7</v>
      </c>
      <c r="C25876" s="3" t="s">
        <v>4168</v>
      </c>
      <c r="D25876" s="4">
        <f>DATE(2011,6,16)</f>
        <v>40710</v>
      </c>
      <c r="E25876" s="5">
        <f t="shared" si="439"/>
        <v>2011</v>
      </c>
      <c r="F25876" s="3" t="s">
        <v>4169</v>
      </c>
      <c r="G25876" s="6">
        <v>337.5</v>
      </c>
      <c r="H25876" s="5">
        <v>4491</v>
      </c>
    </row>
    <row r="25877" spans="2:8" ht="15" customHeight="1" x14ac:dyDescent="0.4">
      <c r="B25877" s="3" t="s">
        <v>7</v>
      </c>
      <c r="C25877" s="3" t="s">
        <v>4168</v>
      </c>
      <c r="D25877" s="4">
        <f>DATE(2011,6,22)</f>
        <v>40716</v>
      </c>
      <c r="E25877" s="5">
        <f t="shared" si="439"/>
        <v>2011</v>
      </c>
      <c r="F25877" s="3" t="s">
        <v>4169</v>
      </c>
      <c r="G25877" s="6">
        <v>402</v>
      </c>
      <c r="H25877" s="5">
        <v>4501</v>
      </c>
    </row>
    <row r="25878" spans="2:8" ht="15" customHeight="1" x14ac:dyDescent="0.4">
      <c r="B25878" s="3" t="s">
        <v>7</v>
      </c>
      <c r="C25878" s="3" t="s">
        <v>4168</v>
      </c>
      <c r="D25878" s="4">
        <f t="shared" ref="D25878:D25884" si="440">DATE(2011,7,1)</f>
        <v>40725</v>
      </c>
      <c r="E25878" s="5">
        <f t="shared" si="439"/>
        <v>2011</v>
      </c>
      <c r="F25878" s="3" t="s">
        <v>4169</v>
      </c>
      <c r="G25878" s="6">
        <v>4609.05</v>
      </c>
      <c r="H25878" s="5">
        <v>4494</v>
      </c>
    </row>
    <row r="25879" spans="2:8" ht="15" customHeight="1" x14ac:dyDescent="0.4">
      <c r="B25879" s="3" t="s">
        <v>7</v>
      </c>
      <c r="C25879" s="3" t="s">
        <v>4168</v>
      </c>
      <c r="D25879" s="4">
        <f t="shared" si="440"/>
        <v>40725</v>
      </c>
      <c r="E25879" s="5">
        <f t="shared" si="439"/>
        <v>2011</v>
      </c>
      <c r="F25879" s="3" t="s">
        <v>4169</v>
      </c>
      <c r="G25879" s="6">
        <v>9301.2000000000007</v>
      </c>
      <c r="H25879" s="5">
        <v>4498</v>
      </c>
    </row>
    <row r="25880" spans="2:8" ht="15" customHeight="1" x14ac:dyDescent="0.4">
      <c r="B25880" s="3" t="s">
        <v>7</v>
      </c>
      <c r="C25880" s="3" t="s">
        <v>4168</v>
      </c>
      <c r="D25880" s="4">
        <f t="shared" si="440"/>
        <v>40725</v>
      </c>
      <c r="E25880" s="5">
        <f t="shared" si="439"/>
        <v>2011</v>
      </c>
      <c r="F25880" s="3" t="s">
        <v>4169</v>
      </c>
      <c r="G25880" s="6">
        <v>7323.48</v>
      </c>
      <c r="H25880" s="5">
        <v>4499</v>
      </c>
    </row>
    <row r="25881" spans="2:8" ht="15" customHeight="1" x14ac:dyDescent="0.4">
      <c r="B25881" s="3" t="s">
        <v>7</v>
      </c>
      <c r="C25881" s="3" t="s">
        <v>4168</v>
      </c>
      <c r="D25881" s="4">
        <f t="shared" si="440"/>
        <v>40725</v>
      </c>
      <c r="E25881" s="5">
        <f t="shared" si="439"/>
        <v>2011</v>
      </c>
      <c r="F25881" s="3" t="s">
        <v>4169</v>
      </c>
      <c r="G25881" s="6">
        <v>3136</v>
      </c>
      <c r="H25881" s="5">
        <v>4500</v>
      </c>
    </row>
    <row r="25882" spans="2:8" ht="15" customHeight="1" x14ac:dyDescent="0.4">
      <c r="B25882" s="3" t="s">
        <v>7</v>
      </c>
      <c r="C25882" s="3" t="s">
        <v>4168</v>
      </c>
      <c r="D25882" s="4">
        <f t="shared" si="440"/>
        <v>40725</v>
      </c>
      <c r="E25882" s="5">
        <f t="shared" si="439"/>
        <v>2011</v>
      </c>
      <c r="F25882" s="3" t="s">
        <v>4169</v>
      </c>
      <c r="G25882" s="6">
        <v>308.58</v>
      </c>
      <c r="H25882" s="5">
        <v>4502</v>
      </c>
    </row>
    <row r="25883" spans="2:8" ht="15" customHeight="1" x14ac:dyDescent="0.4">
      <c r="B25883" s="3" t="s">
        <v>7</v>
      </c>
      <c r="C25883" s="3" t="s">
        <v>4168</v>
      </c>
      <c r="D25883" s="4">
        <f t="shared" si="440"/>
        <v>40725</v>
      </c>
      <c r="E25883" s="5">
        <f t="shared" si="439"/>
        <v>2011</v>
      </c>
      <c r="F25883" s="3" t="s">
        <v>4169</v>
      </c>
      <c r="G25883" s="6">
        <v>1010</v>
      </c>
      <c r="H25883" s="5">
        <v>4507</v>
      </c>
    </row>
    <row r="25884" spans="2:8" ht="15" customHeight="1" x14ac:dyDescent="0.4">
      <c r="B25884" s="3" t="s">
        <v>7</v>
      </c>
      <c r="C25884" s="3" t="s">
        <v>4168</v>
      </c>
      <c r="D25884" s="4">
        <f t="shared" si="440"/>
        <v>40725</v>
      </c>
      <c r="E25884" s="5">
        <f t="shared" si="439"/>
        <v>2011</v>
      </c>
      <c r="F25884" s="3" t="s">
        <v>4169</v>
      </c>
      <c r="G25884" s="6">
        <v>268.5</v>
      </c>
      <c r="H25884" s="5">
        <v>4515</v>
      </c>
    </row>
    <row r="25885" spans="2:8" ht="15" customHeight="1" x14ac:dyDescent="0.4">
      <c r="B25885" s="3" t="s">
        <v>7</v>
      </c>
      <c r="C25885" s="3" t="s">
        <v>4168</v>
      </c>
      <c r="D25885" s="4">
        <f>DATE(2011,7,14)</f>
        <v>40738</v>
      </c>
      <c r="E25885" s="5">
        <f t="shared" si="439"/>
        <v>2011</v>
      </c>
      <c r="F25885" s="3" t="s">
        <v>4169</v>
      </c>
      <c r="G25885" s="6">
        <v>3704.24</v>
      </c>
      <c r="H25885" s="5">
        <v>4516</v>
      </c>
    </row>
    <row r="25886" spans="2:8" ht="15" customHeight="1" x14ac:dyDescent="0.4">
      <c r="B25886" s="3" t="s">
        <v>7</v>
      </c>
      <c r="C25886" s="3" t="s">
        <v>4168</v>
      </c>
      <c r="D25886" s="4">
        <f>DATE(2011,7,14)</f>
        <v>40738</v>
      </c>
      <c r="E25886" s="5">
        <f t="shared" si="439"/>
        <v>2011</v>
      </c>
      <c r="F25886" s="3" t="s">
        <v>4169</v>
      </c>
      <c r="G25886" s="6">
        <v>1148.4000000000001</v>
      </c>
      <c r="H25886" s="5">
        <v>4521</v>
      </c>
    </row>
    <row r="25887" spans="2:8" ht="15" customHeight="1" x14ac:dyDescent="0.4">
      <c r="B25887" s="3" t="s">
        <v>7</v>
      </c>
      <c r="C25887" s="3" t="s">
        <v>4168</v>
      </c>
      <c r="D25887" s="4">
        <f>DATE(2011,7,14)</f>
        <v>40738</v>
      </c>
      <c r="E25887" s="5">
        <f t="shared" si="439"/>
        <v>2011</v>
      </c>
      <c r="F25887" s="3" t="s">
        <v>4169</v>
      </c>
      <c r="G25887" s="6">
        <v>2814</v>
      </c>
      <c r="H25887" s="5">
        <v>4517</v>
      </c>
    </row>
    <row r="25888" spans="2:8" ht="15" customHeight="1" x14ac:dyDescent="0.4">
      <c r="B25888" s="3" t="s">
        <v>7</v>
      </c>
      <c r="C25888" s="3" t="s">
        <v>4168</v>
      </c>
      <c r="D25888" s="4">
        <f>DATE(2011,7,14)</f>
        <v>40738</v>
      </c>
      <c r="E25888" s="5">
        <f t="shared" si="439"/>
        <v>2011</v>
      </c>
      <c r="F25888" s="3" t="s">
        <v>4169</v>
      </c>
      <c r="G25888" s="6">
        <v>514.29999999999995</v>
      </c>
      <c r="H25888" s="5">
        <v>4518</v>
      </c>
    </row>
    <row r="25889" spans="2:8" ht="15" customHeight="1" x14ac:dyDescent="0.4">
      <c r="B25889" s="3" t="s">
        <v>7</v>
      </c>
      <c r="C25889" s="3" t="s">
        <v>4168</v>
      </c>
      <c r="D25889" s="4">
        <f>DATE(2011,7,14)</f>
        <v>40738</v>
      </c>
      <c r="E25889" s="5">
        <f t="shared" si="439"/>
        <v>2011</v>
      </c>
      <c r="F25889" s="3" t="s">
        <v>4169</v>
      </c>
      <c r="G25889" s="6">
        <v>257.14999999999998</v>
      </c>
      <c r="H25889" s="5">
        <v>4514</v>
      </c>
    </row>
    <row r="25890" spans="2:8" ht="15" customHeight="1" x14ac:dyDescent="0.4">
      <c r="B25890" s="3" t="s">
        <v>7</v>
      </c>
      <c r="C25890" s="3" t="s">
        <v>4168</v>
      </c>
      <c r="D25890" s="4">
        <f>DATE(2011,7,21)</f>
        <v>40745</v>
      </c>
      <c r="E25890" s="5">
        <f t="shared" si="439"/>
        <v>2011</v>
      </c>
      <c r="F25890" s="3" t="s">
        <v>4169</v>
      </c>
      <c r="G25890" s="6">
        <v>9301.2000000000007</v>
      </c>
      <c r="H25890" s="5">
        <v>4503</v>
      </c>
    </row>
    <row r="25891" spans="2:8" ht="15" customHeight="1" x14ac:dyDescent="0.4">
      <c r="B25891" s="3" t="s">
        <v>7</v>
      </c>
      <c r="C25891" s="3" t="s">
        <v>4168</v>
      </c>
      <c r="D25891" s="4">
        <f>DATE(2011,7,29)</f>
        <v>40753</v>
      </c>
      <c r="E25891" s="5">
        <f t="shared" si="439"/>
        <v>2011</v>
      </c>
      <c r="F25891" s="3" t="s">
        <v>4169</v>
      </c>
      <c r="G25891" s="6">
        <v>1010</v>
      </c>
      <c r="H25891" s="5">
        <v>4536</v>
      </c>
    </row>
    <row r="25892" spans="2:8" ht="15" customHeight="1" x14ac:dyDescent="0.4">
      <c r="B25892" s="3" t="s">
        <v>7</v>
      </c>
      <c r="C25892" s="3" t="s">
        <v>4168</v>
      </c>
      <c r="D25892" s="4">
        <f>DATE(2011,8,4)</f>
        <v>40759</v>
      </c>
      <c r="E25892" s="5">
        <f t="shared" si="439"/>
        <v>2011</v>
      </c>
      <c r="F25892" s="3" t="s">
        <v>4169</v>
      </c>
      <c r="G25892" s="6">
        <v>24552</v>
      </c>
      <c r="H25892" s="5">
        <v>4537</v>
      </c>
    </row>
    <row r="25893" spans="2:8" ht="15" customHeight="1" x14ac:dyDescent="0.4">
      <c r="B25893" s="3" t="s">
        <v>7</v>
      </c>
      <c r="C25893" s="3" t="s">
        <v>4168</v>
      </c>
      <c r="D25893" s="4">
        <f>DATE(2011,8,10)</f>
        <v>40765</v>
      </c>
      <c r="E25893" s="5">
        <f t="shared" si="439"/>
        <v>2011</v>
      </c>
      <c r="F25893" s="3" t="s">
        <v>4169</v>
      </c>
      <c r="G25893" s="6">
        <v>4704</v>
      </c>
      <c r="H25893" s="5">
        <v>4523</v>
      </c>
    </row>
    <row r="25894" spans="2:8" ht="15" customHeight="1" x14ac:dyDescent="0.4">
      <c r="B25894" s="3" t="s">
        <v>7</v>
      </c>
      <c r="C25894" s="3" t="s">
        <v>4168</v>
      </c>
      <c r="D25894" s="4">
        <f>DATE(2011,8,24)</f>
        <v>40779</v>
      </c>
      <c r="E25894" s="5">
        <f t="shared" si="439"/>
        <v>2011</v>
      </c>
      <c r="F25894" s="3" t="s">
        <v>4169</v>
      </c>
      <c r="G25894" s="6">
        <v>34606.730000000003</v>
      </c>
      <c r="H25894" s="5">
        <v>4539</v>
      </c>
    </row>
    <row r="25895" spans="2:8" ht="15" customHeight="1" x14ac:dyDescent="0.4">
      <c r="B25895" s="3" t="s">
        <v>7</v>
      </c>
      <c r="C25895" s="3" t="s">
        <v>4168</v>
      </c>
      <c r="D25895" s="4">
        <f>DATE(2011,8,24)</f>
        <v>40779</v>
      </c>
      <c r="E25895" s="5">
        <f t="shared" si="439"/>
        <v>2011</v>
      </c>
      <c r="F25895" s="3" t="s">
        <v>4169</v>
      </c>
      <c r="G25895" s="6">
        <v>2575.1999999999998</v>
      </c>
      <c r="H25895" s="5">
        <v>4562</v>
      </c>
    </row>
    <row r="25896" spans="2:8" ht="15" customHeight="1" x14ac:dyDescent="0.4">
      <c r="B25896" s="3" t="s">
        <v>7</v>
      </c>
      <c r="C25896" s="3" t="s">
        <v>4168</v>
      </c>
      <c r="D25896" s="4">
        <f>DATE(2011,8,29)</f>
        <v>40784</v>
      </c>
      <c r="E25896" s="5">
        <f t="shared" si="439"/>
        <v>2011</v>
      </c>
      <c r="F25896" s="3" t="s">
        <v>4169</v>
      </c>
      <c r="G25896" s="6">
        <v>322.38</v>
      </c>
      <c r="H25896" s="5">
        <v>4602</v>
      </c>
    </row>
    <row r="25897" spans="2:8" ht="15" customHeight="1" x14ac:dyDescent="0.4">
      <c r="B25897" s="3" t="s">
        <v>7</v>
      </c>
      <c r="C25897" s="3" t="s">
        <v>4168</v>
      </c>
      <c r="D25897" s="4">
        <f>DATE(2011,9,2)</f>
        <v>40788</v>
      </c>
      <c r="E25897" s="5">
        <f t="shared" si="439"/>
        <v>2011</v>
      </c>
      <c r="F25897" s="3" t="s">
        <v>4169</v>
      </c>
      <c r="G25897" s="6">
        <v>152.4</v>
      </c>
      <c r="H25897" s="5">
        <v>4619</v>
      </c>
    </row>
    <row r="25898" spans="2:8" ht="15" customHeight="1" x14ac:dyDescent="0.4">
      <c r="B25898" s="3" t="s">
        <v>7</v>
      </c>
      <c r="C25898" s="3" t="s">
        <v>4168</v>
      </c>
      <c r="D25898" s="4">
        <f>DATE(2011,9,12)</f>
        <v>40798</v>
      </c>
      <c r="E25898" s="5">
        <f t="shared" si="439"/>
        <v>2011</v>
      </c>
      <c r="F25898" s="3" t="s">
        <v>4169</v>
      </c>
      <c r="G25898" s="6">
        <v>4492.8</v>
      </c>
      <c r="H25898" s="5">
        <v>4554</v>
      </c>
    </row>
    <row r="25899" spans="2:8" ht="15" customHeight="1" x14ac:dyDescent="0.4">
      <c r="B25899" s="3" t="s">
        <v>7</v>
      </c>
      <c r="C25899" s="3" t="s">
        <v>4168</v>
      </c>
      <c r="D25899" s="4">
        <f>DATE(2011,9,12)</f>
        <v>40798</v>
      </c>
      <c r="E25899" s="5">
        <f t="shared" si="439"/>
        <v>2011</v>
      </c>
      <c r="F25899" s="3" t="s">
        <v>4169</v>
      </c>
      <c r="G25899" s="6">
        <v>3704.24</v>
      </c>
      <c r="H25899" s="5">
        <v>4571</v>
      </c>
    </row>
    <row r="25900" spans="2:8" ht="15" customHeight="1" x14ac:dyDescent="0.4">
      <c r="B25900" s="3" t="s">
        <v>7</v>
      </c>
      <c r="C25900" s="3" t="s">
        <v>4168</v>
      </c>
      <c r="D25900" s="4">
        <f>DATE(2011,9,12)</f>
        <v>40798</v>
      </c>
      <c r="E25900" s="5">
        <f t="shared" si="439"/>
        <v>2011</v>
      </c>
      <c r="F25900" s="3" t="s">
        <v>4169</v>
      </c>
      <c r="G25900" s="6">
        <v>3704.24</v>
      </c>
      <c r="H25900" s="5">
        <v>4611</v>
      </c>
    </row>
    <row r="25901" spans="2:8" ht="15" customHeight="1" x14ac:dyDescent="0.4">
      <c r="B25901" s="3" t="s">
        <v>7</v>
      </c>
      <c r="C25901" s="3" t="s">
        <v>4168</v>
      </c>
      <c r="D25901" s="4">
        <f>DATE(2011,10,19)</f>
        <v>40835</v>
      </c>
      <c r="E25901" s="5">
        <f t="shared" si="439"/>
        <v>2011</v>
      </c>
      <c r="F25901" s="3" t="s">
        <v>4169</v>
      </c>
      <c r="G25901" s="6">
        <v>537</v>
      </c>
      <c r="H25901" s="5">
        <v>4636</v>
      </c>
    </row>
    <row r="25902" spans="2:8" ht="15" customHeight="1" x14ac:dyDescent="0.4">
      <c r="B25902" s="3" t="s">
        <v>7</v>
      </c>
      <c r="C25902" s="3" t="s">
        <v>4168</v>
      </c>
      <c r="D25902" s="4">
        <f>DATE(2011,10,19)</f>
        <v>40835</v>
      </c>
      <c r="E25902" s="5">
        <f t="shared" si="439"/>
        <v>2011</v>
      </c>
      <c r="F25902" s="3" t="s">
        <v>4169</v>
      </c>
      <c r="G25902" s="6">
        <v>895</v>
      </c>
      <c r="H25902" s="5">
        <v>4637</v>
      </c>
    </row>
    <row r="25903" spans="2:8" ht="15" customHeight="1" x14ac:dyDescent="0.4">
      <c r="B25903" s="3" t="s">
        <v>7</v>
      </c>
      <c r="C25903" s="3" t="s">
        <v>4168</v>
      </c>
      <c r="D25903" s="4">
        <f>DATE(2011,10,20)</f>
        <v>40836</v>
      </c>
      <c r="E25903" s="5">
        <f t="shared" si="439"/>
        <v>2011</v>
      </c>
      <c r="F25903" s="3" t="s">
        <v>4169</v>
      </c>
      <c r="G25903" s="6">
        <v>449.5</v>
      </c>
      <c r="H25903" s="5">
        <v>4684</v>
      </c>
    </row>
    <row r="25904" spans="2:8" ht="15" customHeight="1" x14ac:dyDescent="0.4">
      <c r="B25904" s="3" t="s">
        <v>7</v>
      </c>
      <c r="C25904" s="3" t="s">
        <v>4168</v>
      </c>
      <c r="D25904" s="4">
        <f>DATE(2011,10,26)</f>
        <v>40842</v>
      </c>
      <c r="E25904" s="5">
        <f t="shared" si="439"/>
        <v>2011</v>
      </c>
      <c r="F25904" s="3" t="s">
        <v>4169</v>
      </c>
      <c r="G25904" s="6">
        <v>450</v>
      </c>
      <c r="H25904" s="5">
        <v>4600</v>
      </c>
    </row>
    <row r="25905" spans="2:8" ht="15" customHeight="1" x14ac:dyDescent="0.4">
      <c r="B25905" s="3" t="s">
        <v>7</v>
      </c>
      <c r="C25905" s="3" t="s">
        <v>4168</v>
      </c>
      <c r="D25905" s="4">
        <f>DATE(2011,10,26)</f>
        <v>40842</v>
      </c>
      <c r="E25905" s="5">
        <f t="shared" si="439"/>
        <v>2011</v>
      </c>
      <c r="F25905" s="3" t="s">
        <v>4169</v>
      </c>
      <c r="G25905" s="6">
        <v>3704.24</v>
      </c>
      <c r="H25905" s="5">
        <v>4676</v>
      </c>
    </row>
    <row r="25906" spans="2:8" ht="15" customHeight="1" x14ac:dyDescent="0.4">
      <c r="B25906" s="3" t="s">
        <v>7</v>
      </c>
      <c r="C25906" s="3" t="s">
        <v>4168</v>
      </c>
      <c r="D25906" s="4">
        <f>DATE(2011,10,28)</f>
        <v>40844</v>
      </c>
      <c r="E25906" s="5">
        <f t="shared" si="439"/>
        <v>2011</v>
      </c>
      <c r="F25906" s="3" t="s">
        <v>4169</v>
      </c>
      <c r="G25906" s="6">
        <v>4757.8100000000004</v>
      </c>
      <c r="H25906" s="5">
        <v>4685</v>
      </c>
    </row>
    <row r="25907" spans="2:8" ht="15" customHeight="1" x14ac:dyDescent="0.4">
      <c r="B25907" s="3" t="s">
        <v>7</v>
      </c>
      <c r="C25907" s="3" t="s">
        <v>4168</v>
      </c>
      <c r="D25907" s="4">
        <f>DATE(2011,10,28)</f>
        <v>40844</v>
      </c>
      <c r="E25907" s="5">
        <f t="shared" si="439"/>
        <v>2011</v>
      </c>
      <c r="F25907" s="3" t="s">
        <v>4169</v>
      </c>
      <c r="G25907" s="6">
        <v>819.2</v>
      </c>
      <c r="H25907" s="5">
        <v>4683</v>
      </c>
    </row>
    <row r="25908" spans="2:8" ht="15" customHeight="1" x14ac:dyDescent="0.4">
      <c r="B25908" s="3" t="s">
        <v>7</v>
      </c>
      <c r="C25908" s="3" t="s">
        <v>4168</v>
      </c>
      <c r="D25908" s="4">
        <f>DATE(2011,10,28)</f>
        <v>40844</v>
      </c>
      <c r="E25908" s="5">
        <f t="shared" si="439"/>
        <v>2011</v>
      </c>
      <c r="F25908" s="3" t="s">
        <v>4169</v>
      </c>
      <c r="G25908" s="6">
        <v>9301.2000000000007</v>
      </c>
      <c r="H25908" s="5">
        <v>4673</v>
      </c>
    </row>
    <row r="25909" spans="2:8" ht="15" customHeight="1" x14ac:dyDescent="0.4">
      <c r="B25909" s="3" t="s">
        <v>7</v>
      </c>
      <c r="C25909" s="3" t="s">
        <v>4168</v>
      </c>
      <c r="D25909" s="4">
        <f>DATE(2011,11,18)</f>
        <v>40865</v>
      </c>
      <c r="E25909" s="5">
        <f t="shared" si="439"/>
        <v>2011</v>
      </c>
      <c r="F25909" s="3" t="s">
        <v>4169</v>
      </c>
      <c r="G25909" s="6">
        <v>4492.8</v>
      </c>
      <c r="H25909" s="5">
        <v>4713</v>
      </c>
    </row>
    <row r="25910" spans="2:8" ht="15" customHeight="1" x14ac:dyDescent="0.4">
      <c r="B25910" s="3" t="s">
        <v>7</v>
      </c>
      <c r="C25910" s="3" t="s">
        <v>4168</v>
      </c>
      <c r="D25910" s="4">
        <f>DATE(2011,11,18)</f>
        <v>40865</v>
      </c>
      <c r="E25910" s="5">
        <f t="shared" si="439"/>
        <v>2011</v>
      </c>
      <c r="F25910" s="3" t="s">
        <v>4169</v>
      </c>
      <c r="G25910" s="6">
        <v>514.29999999999995</v>
      </c>
      <c r="H25910" s="5">
        <v>4729</v>
      </c>
    </row>
    <row r="25911" spans="2:8" ht="15" customHeight="1" x14ac:dyDescent="0.4">
      <c r="B25911" s="3" t="s">
        <v>7</v>
      </c>
      <c r="C25911" s="3" t="s">
        <v>4168</v>
      </c>
      <c r="D25911" s="4">
        <f>DATE(2012,2,6)</f>
        <v>40945</v>
      </c>
      <c r="E25911" s="5">
        <f t="shared" si="439"/>
        <v>2012</v>
      </c>
      <c r="F25911" s="3" t="s">
        <v>4169</v>
      </c>
      <c r="G25911" s="6">
        <v>3704.24</v>
      </c>
      <c r="H25911" s="5">
        <v>4810</v>
      </c>
    </row>
    <row r="25912" spans="2:8" ht="15" customHeight="1" x14ac:dyDescent="0.4">
      <c r="B25912" s="3" t="s">
        <v>7</v>
      </c>
      <c r="C25912" s="3" t="s">
        <v>4168</v>
      </c>
      <c r="D25912" s="4">
        <f>DATE(2012,2,6)</f>
        <v>40945</v>
      </c>
      <c r="E25912" s="5">
        <f t="shared" si="439"/>
        <v>2012</v>
      </c>
      <c r="F25912" s="3" t="s">
        <v>4169</v>
      </c>
      <c r="G25912" s="6">
        <v>3704.25</v>
      </c>
      <c r="H25912" s="5">
        <v>4790</v>
      </c>
    </row>
    <row r="25913" spans="2:8" ht="15" customHeight="1" x14ac:dyDescent="0.4">
      <c r="B25913" s="3" t="s">
        <v>7</v>
      </c>
      <c r="C25913" s="3" t="s">
        <v>4168</v>
      </c>
      <c r="D25913" s="4">
        <f>DATE(2012,2,6)</f>
        <v>40945</v>
      </c>
      <c r="E25913" s="5">
        <f t="shared" si="439"/>
        <v>2012</v>
      </c>
      <c r="F25913" s="3" t="s">
        <v>4169</v>
      </c>
      <c r="G25913" s="6">
        <v>4609.05</v>
      </c>
      <c r="H25913" s="5">
        <v>4765</v>
      </c>
    </row>
    <row r="25914" spans="2:8" ht="15" customHeight="1" x14ac:dyDescent="0.4">
      <c r="B25914" s="3" t="s">
        <v>7</v>
      </c>
      <c r="C25914" s="3" t="s">
        <v>4168</v>
      </c>
      <c r="D25914" s="4">
        <f>DATE(2012,2,10)</f>
        <v>40949</v>
      </c>
      <c r="E25914" s="5">
        <f t="shared" si="439"/>
        <v>2012</v>
      </c>
      <c r="F25914" s="3" t="s">
        <v>4169</v>
      </c>
      <c r="G25914" s="6">
        <v>447.5</v>
      </c>
      <c r="H25914" s="5">
        <v>4816</v>
      </c>
    </row>
    <row r="25915" spans="2:8" ht="15" customHeight="1" x14ac:dyDescent="0.4">
      <c r="B25915" s="3" t="s">
        <v>7</v>
      </c>
      <c r="C25915" s="3" t="s">
        <v>4168</v>
      </c>
      <c r="D25915" s="4">
        <f>DATE(2012,2,10)</f>
        <v>40949</v>
      </c>
      <c r="E25915" s="5">
        <f t="shared" si="439"/>
        <v>2012</v>
      </c>
      <c r="F25915" s="3" t="s">
        <v>4169</v>
      </c>
      <c r="G25915" s="6">
        <v>322.38</v>
      </c>
      <c r="H25915" s="5">
        <v>4817</v>
      </c>
    </row>
    <row r="25916" spans="2:8" ht="15" customHeight="1" x14ac:dyDescent="0.4">
      <c r="B25916" s="3" t="s">
        <v>7</v>
      </c>
      <c r="C25916" s="3" t="s">
        <v>4168</v>
      </c>
      <c r="D25916" s="4">
        <f>DATE(2012,2,10)</f>
        <v>40949</v>
      </c>
      <c r="E25916" s="5">
        <f t="shared" si="439"/>
        <v>2012</v>
      </c>
      <c r="F25916" s="3" t="s">
        <v>4169</v>
      </c>
      <c r="G25916" s="6">
        <v>204.7</v>
      </c>
      <c r="H25916" s="5">
        <v>4824</v>
      </c>
    </row>
    <row r="25917" spans="2:8" ht="15" customHeight="1" x14ac:dyDescent="0.4">
      <c r="B25917" s="3" t="s">
        <v>7</v>
      </c>
      <c r="C25917" s="3" t="s">
        <v>4168</v>
      </c>
      <c r="D25917" s="4">
        <f>DATE(2012,2,10)</f>
        <v>40949</v>
      </c>
      <c r="E25917" s="5">
        <f t="shared" si="439"/>
        <v>2012</v>
      </c>
      <c r="F25917" s="3" t="s">
        <v>4169</v>
      </c>
      <c r="G25917" s="6">
        <v>537</v>
      </c>
      <c r="H25917" s="5">
        <v>4825</v>
      </c>
    </row>
    <row r="25918" spans="2:8" ht="15" customHeight="1" x14ac:dyDescent="0.4">
      <c r="B25918" s="3" t="s">
        <v>7</v>
      </c>
      <c r="C25918" s="3" t="s">
        <v>4168</v>
      </c>
      <c r="D25918" s="4">
        <f>DATE(2012,2,10)</f>
        <v>40949</v>
      </c>
      <c r="E25918" s="5">
        <f t="shared" si="439"/>
        <v>2012</v>
      </c>
      <c r="F25918" s="3" t="s">
        <v>4169</v>
      </c>
      <c r="G25918" s="6">
        <v>805.5</v>
      </c>
      <c r="H25918" s="5">
        <v>4826</v>
      </c>
    </row>
    <row r="25919" spans="2:8" ht="15" customHeight="1" x14ac:dyDescent="0.4">
      <c r="B25919" s="3" t="s">
        <v>7</v>
      </c>
      <c r="C25919" s="3" t="s">
        <v>4168</v>
      </c>
      <c r="D25919" s="4">
        <f>DATE(2012,3,30)</f>
        <v>40998</v>
      </c>
      <c r="E25919" s="5">
        <f t="shared" si="439"/>
        <v>2012</v>
      </c>
      <c r="F25919" s="3" t="s">
        <v>4169</v>
      </c>
      <c r="G25919" s="6">
        <v>450</v>
      </c>
      <c r="H25919" s="5">
        <v>4815</v>
      </c>
    </row>
    <row r="25920" spans="2:8" ht="15" customHeight="1" x14ac:dyDescent="0.4">
      <c r="B25920" s="3" t="s">
        <v>7</v>
      </c>
      <c r="C25920" s="3" t="s">
        <v>4168</v>
      </c>
      <c r="D25920" s="4">
        <f>DATE(2012,4,4)</f>
        <v>41003</v>
      </c>
      <c r="E25920" s="5">
        <f t="shared" si="439"/>
        <v>2012</v>
      </c>
      <c r="F25920" s="3" t="s">
        <v>4169</v>
      </c>
      <c r="G25920" s="6">
        <v>3619.24</v>
      </c>
      <c r="H25920" s="5">
        <v>4915</v>
      </c>
    </row>
    <row r="25921" spans="2:8" ht="15" customHeight="1" x14ac:dyDescent="0.4">
      <c r="B25921" s="3" t="s">
        <v>7</v>
      </c>
      <c r="C25921" s="3" t="s">
        <v>4168</v>
      </c>
      <c r="D25921" s="4">
        <f>DATE(2012,4,9)</f>
        <v>41008</v>
      </c>
      <c r="E25921" s="5">
        <f t="shared" si="439"/>
        <v>2012</v>
      </c>
      <c r="F25921" s="3" t="s">
        <v>4169</v>
      </c>
      <c r="G25921" s="6">
        <v>122.82</v>
      </c>
      <c r="H25921" s="5">
        <v>4992</v>
      </c>
    </row>
    <row r="25922" spans="2:8" ht="15" customHeight="1" x14ac:dyDescent="0.4">
      <c r="B25922" s="3" t="s">
        <v>7</v>
      </c>
      <c r="C25922" s="3" t="s">
        <v>4168</v>
      </c>
      <c r="D25922" s="4">
        <f>DATE(2012,4,24)</f>
        <v>41023</v>
      </c>
      <c r="E25922" s="5">
        <f t="shared" si="439"/>
        <v>2012</v>
      </c>
      <c r="F25922" s="3" t="s">
        <v>4169</v>
      </c>
      <c r="G25922" s="6">
        <v>16293.75</v>
      </c>
      <c r="H25922" s="5">
        <v>4986</v>
      </c>
    </row>
    <row r="25923" spans="2:8" ht="15" customHeight="1" x14ac:dyDescent="0.4">
      <c r="B25923" s="3" t="s">
        <v>7</v>
      </c>
      <c r="C25923" s="3" t="s">
        <v>4168</v>
      </c>
      <c r="D25923" s="4">
        <f>DATE(2012,4,25)</f>
        <v>41024</v>
      </c>
      <c r="E25923" s="5">
        <f t="shared" ref="E25923:E25986" si="441">YEAR(D25923)</f>
        <v>2012</v>
      </c>
      <c r="F25923" s="3" t="s">
        <v>4169</v>
      </c>
      <c r="G25923" s="6">
        <v>514.29999999999995</v>
      </c>
      <c r="H25923" s="5">
        <v>4985</v>
      </c>
    </row>
    <row r="25924" spans="2:8" ht="15" customHeight="1" x14ac:dyDescent="0.4">
      <c r="B25924" s="3" t="s">
        <v>7</v>
      </c>
      <c r="C25924" s="3" t="s">
        <v>4168</v>
      </c>
      <c r="D25924" s="4">
        <f>DATE(2012,5,10)</f>
        <v>41039</v>
      </c>
      <c r="E25924" s="5">
        <f t="shared" si="441"/>
        <v>2012</v>
      </c>
      <c r="F25924" s="3" t="s">
        <v>4169</v>
      </c>
      <c r="G25924" s="6">
        <v>537</v>
      </c>
      <c r="H25924" s="5">
        <v>4987</v>
      </c>
    </row>
    <row r="25925" spans="2:8" ht="15" customHeight="1" x14ac:dyDescent="0.4">
      <c r="B25925" s="3" t="s">
        <v>7</v>
      </c>
      <c r="C25925" s="3" t="s">
        <v>4168</v>
      </c>
      <c r="D25925" s="4">
        <f>DATE(2012,6,13)</f>
        <v>41073</v>
      </c>
      <c r="E25925" s="5">
        <f t="shared" si="441"/>
        <v>2012</v>
      </c>
      <c r="F25925" s="3" t="s">
        <v>4169</v>
      </c>
      <c r="G25925" s="6">
        <v>308.58</v>
      </c>
      <c r="H25925" s="5">
        <v>5106</v>
      </c>
    </row>
    <row r="25926" spans="2:8" ht="15" customHeight="1" x14ac:dyDescent="0.4">
      <c r="B25926" s="3" t="s">
        <v>7</v>
      </c>
      <c r="C25926" s="3" t="s">
        <v>4168</v>
      </c>
      <c r="D25926" s="4">
        <f>DATE(2012,6,22)</f>
        <v>41082</v>
      </c>
      <c r="E25926" s="5">
        <f t="shared" si="441"/>
        <v>2012</v>
      </c>
      <c r="F25926" s="3" t="s">
        <v>4169</v>
      </c>
      <c r="G25926" s="6">
        <v>308.58</v>
      </c>
      <c r="H25926" s="5">
        <v>5107</v>
      </c>
    </row>
    <row r="25927" spans="2:8" ht="15" customHeight="1" x14ac:dyDescent="0.4">
      <c r="B25927" s="3" t="s">
        <v>7</v>
      </c>
      <c r="C25927" s="3" t="s">
        <v>4168</v>
      </c>
      <c r="D25927" s="4">
        <f>DATE(2012,6,22)</f>
        <v>41082</v>
      </c>
      <c r="E25927" s="5">
        <f t="shared" si="441"/>
        <v>2012</v>
      </c>
      <c r="F25927" s="3" t="s">
        <v>4169</v>
      </c>
      <c r="G25927" s="6">
        <v>1894.62</v>
      </c>
      <c r="H25927" s="5">
        <v>5105</v>
      </c>
    </row>
    <row r="25928" spans="2:8" ht="15" customHeight="1" x14ac:dyDescent="0.4">
      <c r="B25928" s="3" t="s">
        <v>7</v>
      </c>
      <c r="C25928" s="3" t="s">
        <v>4168</v>
      </c>
      <c r="D25928" s="4">
        <f>DATE(2012,7,16)</f>
        <v>41106</v>
      </c>
      <c r="E25928" s="5">
        <f t="shared" si="441"/>
        <v>2012</v>
      </c>
      <c r="F25928" s="3" t="s">
        <v>4169</v>
      </c>
      <c r="G25928" s="6">
        <v>2307.5</v>
      </c>
      <c r="H25928" s="5">
        <v>5110</v>
      </c>
    </row>
    <row r="25929" spans="2:8" ht="15" customHeight="1" x14ac:dyDescent="0.4">
      <c r="B25929" s="3" t="s">
        <v>7</v>
      </c>
      <c r="C25929" s="3" t="s">
        <v>4168</v>
      </c>
      <c r="D25929" s="4">
        <f>DATE(2012,8,10)</f>
        <v>41131</v>
      </c>
      <c r="E25929" s="5">
        <f t="shared" si="441"/>
        <v>2012</v>
      </c>
      <c r="F25929" s="3" t="s">
        <v>4169</v>
      </c>
      <c r="G25929" s="6">
        <v>537</v>
      </c>
      <c r="H25929" s="5">
        <v>5108</v>
      </c>
    </row>
    <row r="25930" spans="2:8" ht="15" customHeight="1" x14ac:dyDescent="0.4">
      <c r="B25930" s="3" t="s">
        <v>7</v>
      </c>
      <c r="C25930" s="3" t="s">
        <v>4168</v>
      </c>
      <c r="D25930" s="4">
        <f>DATE(2012,8,17)</f>
        <v>41138</v>
      </c>
      <c r="E25930" s="5">
        <f t="shared" si="441"/>
        <v>2012</v>
      </c>
      <c r="F25930" s="3" t="s">
        <v>4169</v>
      </c>
      <c r="G25930" s="6">
        <v>4757.8100000000004</v>
      </c>
      <c r="H25930" s="5">
        <v>5109</v>
      </c>
    </row>
    <row r="25931" spans="2:8" ht="15" customHeight="1" x14ac:dyDescent="0.4">
      <c r="B25931" s="3" t="s">
        <v>7</v>
      </c>
      <c r="C25931" s="3" t="s">
        <v>4168</v>
      </c>
      <c r="D25931" s="4">
        <f>DATE(2012,8,17)</f>
        <v>41138</v>
      </c>
      <c r="E25931" s="5">
        <f t="shared" si="441"/>
        <v>2012</v>
      </c>
      <c r="F25931" s="3" t="s">
        <v>4169</v>
      </c>
      <c r="G25931" s="6">
        <v>543.84</v>
      </c>
      <c r="H25931" s="5">
        <v>5178</v>
      </c>
    </row>
    <row r="25932" spans="2:8" ht="15" customHeight="1" x14ac:dyDescent="0.4">
      <c r="B25932" s="3" t="s">
        <v>7</v>
      </c>
      <c r="C25932" s="3" t="s">
        <v>4168</v>
      </c>
      <c r="D25932" s="4">
        <f>DATE(2012,9,26)</f>
        <v>41178</v>
      </c>
      <c r="E25932" s="5">
        <f t="shared" si="441"/>
        <v>2012</v>
      </c>
      <c r="F25932" s="3" t="s">
        <v>4169</v>
      </c>
      <c r="G25932" s="6">
        <v>4609.05</v>
      </c>
      <c r="H25932" s="5">
        <v>5179</v>
      </c>
    </row>
    <row r="25933" spans="2:8" ht="15" customHeight="1" x14ac:dyDescent="0.4">
      <c r="B25933" s="3" t="s">
        <v>7</v>
      </c>
      <c r="C25933" s="3" t="s">
        <v>4168</v>
      </c>
      <c r="D25933" s="4">
        <f>DATE(2012,10,9)</f>
        <v>41191</v>
      </c>
      <c r="E25933" s="5">
        <f t="shared" si="441"/>
        <v>2012</v>
      </c>
      <c r="F25933" s="3" t="s">
        <v>4169</v>
      </c>
      <c r="G25933" s="6">
        <v>257.14999999999998</v>
      </c>
      <c r="H25933" s="5">
        <v>5232</v>
      </c>
    </row>
    <row r="25934" spans="2:8" ht="15" customHeight="1" x14ac:dyDescent="0.4">
      <c r="B25934" s="3" t="s">
        <v>7</v>
      </c>
      <c r="C25934" s="3" t="s">
        <v>4168</v>
      </c>
      <c r="D25934" s="4">
        <f>DATE(2012,10,11)</f>
        <v>41193</v>
      </c>
      <c r="E25934" s="5">
        <f t="shared" si="441"/>
        <v>2012</v>
      </c>
      <c r="F25934" s="3" t="s">
        <v>4169</v>
      </c>
      <c r="G25934" s="6">
        <v>3704.24</v>
      </c>
      <c r="H25934" s="5">
        <v>5231</v>
      </c>
    </row>
    <row r="25935" spans="2:8" ht="15" customHeight="1" x14ac:dyDescent="0.4">
      <c r="B25935" s="3" t="s">
        <v>7</v>
      </c>
      <c r="C25935" s="3" t="s">
        <v>4168</v>
      </c>
      <c r="D25935" s="4">
        <f>DATE(2012,10,11)</f>
        <v>41193</v>
      </c>
      <c r="E25935" s="5">
        <f t="shared" si="441"/>
        <v>2012</v>
      </c>
      <c r="F25935" s="3" t="s">
        <v>4169</v>
      </c>
      <c r="G25935" s="6">
        <v>4630.3</v>
      </c>
      <c r="H25935" s="5">
        <v>5230</v>
      </c>
    </row>
    <row r="25936" spans="2:8" ht="15" customHeight="1" x14ac:dyDescent="0.4">
      <c r="B25936" s="3" t="s">
        <v>7</v>
      </c>
      <c r="C25936" s="3" t="s">
        <v>4168</v>
      </c>
      <c r="D25936" s="4">
        <f>DATE(2012,10,23)</f>
        <v>41205</v>
      </c>
      <c r="E25936" s="5">
        <f t="shared" si="441"/>
        <v>2012</v>
      </c>
      <c r="F25936" s="3" t="s">
        <v>4169</v>
      </c>
      <c r="G25936" s="6">
        <v>626.5</v>
      </c>
      <c r="H25936" s="5">
        <v>5233</v>
      </c>
    </row>
    <row r="25937" spans="2:8" ht="15" customHeight="1" x14ac:dyDescent="0.4">
      <c r="B25937" s="3" t="s">
        <v>7</v>
      </c>
      <c r="C25937" s="3" t="s">
        <v>4168</v>
      </c>
      <c r="D25937" s="4">
        <f>DATE(2012,10,30)</f>
        <v>41212</v>
      </c>
      <c r="E25937" s="5">
        <f t="shared" si="441"/>
        <v>2012</v>
      </c>
      <c r="F25937" s="3" t="s">
        <v>4169</v>
      </c>
      <c r="G25937" s="6">
        <v>1074</v>
      </c>
      <c r="H25937" s="5">
        <v>5224</v>
      </c>
    </row>
    <row r="25938" spans="2:8" ht="15" customHeight="1" x14ac:dyDescent="0.4">
      <c r="B25938" s="3" t="s">
        <v>7</v>
      </c>
      <c r="C25938" s="3" t="s">
        <v>4168</v>
      </c>
      <c r="D25938" s="4">
        <f>DATE(2012,11,5)</f>
        <v>41218</v>
      </c>
      <c r="E25938" s="5">
        <f t="shared" si="441"/>
        <v>2012</v>
      </c>
      <c r="F25938" s="3" t="s">
        <v>4169</v>
      </c>
      <c r="G25938" s="6">
        <v>241.2</v>
      </c>
      <c r="H25938" s="5">
        <v>5275</v>
      </c>
    </row>
    <row r="25939" spans="2:8" ht="15" customHeight="1" x14ac:dyDescent="0.4">
      <c r="B25939" s="3" t="s">
        <v>7</v>
      </c>
      <c r="C25939" s="3" t="s">
        <v>4168</v>
      </c>
      <c r="D25939" s="4">
        <f>DATE(2012,11,19)</f>
        <v>41232</v>
      </c>
      <c r="E25939" s="5">
        <f t="shared" si="441"/>
        <v>2012</v>
      </c>
      <c r="F25939" s="3" t="s">
        <v>4169</v>
      </c>
      <c r="G25939" s="6">
        <v>9301.2000000000007</v>
      </c>
      <c r="H25939" s="5">
        <v>5239</v>
      </c>
    </row>
    <row r="25940" spans="2:8" ht="15" customHeight="1" x14ac:dyDescent="0.4">
      <c r="B25940" s="3" t="s">
        <v>7</v>
      </c>
      <c r="C25940" s="3" t="s">
        <v>4168</v>
      </c>
      <c r="D25940" s="4">
        <f>DATE(2012,11,20)</f>
        <v>41233</v>
      </c>
      <c r="E25940" s="5">
        <f t="shared" si="441"/>
        <v>2012</v>
      </c>
      <c r="F25940" s="3" t="s">
        <v>4169</v>
      </c>
      <c r="G25940" s="6">
        <v>5513.86</v>
      </c>
      <c r="H25940" s="5">
        <v>5282</v>
      </c>
    </row>
    <row r="25941" spans="2:8" ht="15" customHeight="1" x14ac:dyDescent="0.4">
      <c r="B25941" s="3" t="s">
        <v>7</v>
      </c>
      <c r="C25941" s="3" t="s">
        <v>4168</v>
      </c>
      <c r="D25941" s="4">
        <f>DATE(2012,12,10)</f>
        <v>41253</v>
      </c>
      <c r="E25941" s="5">
        <f t="shared" si="441"/>
        <v>2012</v>
      </c>
      <c r="F25941" s="3" t="s">
        <v>4169</v>
      </c>
      <c r="G25941" s="6">
        <v>482.4</v>
      </c>
      <c r="H25941" s="5">
        <v>5325</v>
      </c>
    </row>
    <row r="25942" spans="2:8" ht="15" customHeight="1" x14ac:dyDescent="0.4">
      <c r="B25942" s="3" t="s">
        <v>7</v>
      </c>
      <c r="C25942" s="3" t="s">
        <v>4168</v>
      </c>
      <c r="D25942" s="4">
        <f>DATE(2012,12,10)</f>
        <v>41253</v>
      </c>
      <c r="E25942" s="5">
        <f t="shared" si="441"/>
        <v>2012</v>
      </c>
      <c r="F25942" s="3" t="s">
        <v>4169</v>
      </c>
      <c r="G25942" s="6">
        <v>4757.8100000000004</v>
      </c>
      <c r="H25942" s="5">
        <v>5326</v>
      </c>
    </row>
    <row r="25943" spans="2:8" ht="15" customHeight="1" x14ac:dyDescent="0.4">
      <c r="B25943" s="3" t="s">
        <v>7</v>
      </c>
      <c r="C25943" s="3" t="s">
        <v>4168</v>
      </c>
      <c r="D25943" s="4">
        <f>DATE(2012,12,18)</f>
        <v>41261</v>
      </c>
      <c r="E25943" s="5">
        <f t="shared" si="441"/>
        <v>2012</v>
      </c>
      <c r="F25943" s="3" t="s">
        <v>4169</v>
      </c>
      <c r="G25943" s="6">
        <v>69.599999999999994</v>
      </c>
      <c r="H25943" s="5">
        <v>5348</v>
      </c>
    </row>
    <row r="25944" spans="2:8" ht="15" customHeight="1" x14ac:dyDescent="0.4">
      <c r="B25944" s="3" t="s">
        <v>7</v>
      </c>
      <c r="C25944" s="3" t="s">
        <v>4168</v>
      </c>
      <c r="D25944" s="4">
        <f>DATE(2012,12,20)</f>
        <v>41263</v>
      </c>
      <c r="E25944" s="5">
        <f t="shared" si="441"/>
        <v>2012</v>
      </c>
      <c r="F25944" s="3" t="s">
        <v>4169</v>
      </c>
      <c r="G25944" s="6">
        <v>4609.05</v>
      </c>
      <c r="H25944" s="5">
        <v>5327</v>
      </c>
    </row>
    <row r="25945" spans="2:8" ht="15" customHeight="1" x14ac:dyDescent="0.4">
      <c r="B25945" s="3" t="s">
        <v>7</v>
      </c>
      <c r="C25945" s="3" t="s">
        <v>4168</v>
      </c>
      <c r="D25945" s="4">
        <f>DATE(2013,1,11)</f>
        <v>41285</v>
      </c>
      <c r="E25945" s="5">
        <f t="shared" si="441"/>
        <v>2013</v>
      </c>
      <c r="F25945" s="3" t="s">
        <v>4169</v>
      </c>
      <c r="G25945" s="6">
        <v>643.20000000000005</v>
      </c>
      <c r="H25945" s="5">
        <v>5354</v>
      </c>
    </row>
    <row r="25946" spans="2:8" ht="15" customHeight="1" x14ac:dyDescent="0.4">
      <c r="B25946" s="3" t="s">
        <v>7</v>
      </c>
      <c r="C25946" s="3" t="s">
        <v>4168</v>
      </c>
      <c r="D25946" s="4">
        <f>DATE(2013,2,22)</f>
        <v>41327</v>
      </c>
      <c r="E25946" s="5">
        <f t="shared" si="441"/>
        <v>2013</v>
      </c>
      <c r="F25946" s="3" t="s">
        <v>4169</v>
      </c>
      <c r="G25946" s="6">
        <v>358</v>
      </c>
      <c r="H25946" s="5">
        <v>5356</v>
      </c>
    </row>
    <row r="25947" spans="2:8" ht="15" customHeight="1" x14ac:dyDescent="0.4">
      <c r="B25947" s="3" t="s">
        <v>7</v>
      </c>
      <c r="C25947" s="3" t="s">
        <v>4168</v>
      </c>
      <c r="D25947" s="4">
        <f>DATE(2013,2,22)</f>
        <v>41327</v>
      </c>
      <c r="E25947" s="5">
        <f t="shared" si="441"/>
        <v>2013</v>
      </c>
      <c r="F25947" s="3" t="s">
        <v>4169</v>
      </c>
      <c r="G25947" s="6">
        <v>9301.2000000000007</v>
      </c>
      <c r="H25947" s="5">
        <v>5349</v>
      </c>
    </row>
    <row r="25948" spans="2:8" ht="15" customHeight="1" x14ac:dyDescent="0.4">
      <c r="B25948" s="3" t="s">
        <v>7</v>
      </c>
      <c r="C25948" s="3" t="s">
        <v>4168</v>
      </c>
      <c r="D25948" s="4">
        <f>DATE(2013,2,22)</f>
        <v>41327</v>
      </c>
      <c r="E25948" s="5">
        <f t="shared" si="441"/>
        <v>2013</v>
      </c>
      <c r="F25948" s="3" t="s">
        <v>4169</v>
      </c>
      <c r="G25948" s="6">
        <v>482.4</v>
      </c>
      <c r="H25948" s="5">
        <v>5406</v>
      </c>
    </row>
    <row r="25949" spans="2:8" ht="15" customHeight="1" x14ac:dyDescent="0.4">
      <c r="B25949" s="3" t="s">
        <v>7</v>
      </c>
      <c r="C25949" s="3" t="s">
        <v>4168</v>
      </c>
      <c r="D25949" s="4">
        <f>DATE(2013,3,1)</f>
        <v>41334</v>
      </c>
      <c r="E25949" s="5">
        <f t="shared" si="441"/>
        <v>2013</v>
      </c>
      <c r="F25949" s="3" t="s">
        <v>4169</v>
      </c>
      <c r="G25949" s="6">
        <v>225</v>
      </c>
      <c r="H25949" s="5">
        <v>5407</v>
      </c>
    </row>
    <row r="25950" spans="2:8" ht="15" customHeight="1" x14ac:dyDescent="0.4">
      <c r="B25950" s="3" t="s">
        <v>7</v>
      </c>
      <c r="C25950" s="3" t="s">
        <v>4168</v>
      </c>
      <c r="D25950" s="4">
        <f>DATE(2013,4,25)</f>
        <v>41389</v>
      </c>
      <c r="E25950" s="5">
        <f t="shared" si="441"/>
        <v>2013</v>
      </c>
      <c r="F25950" s="3" t="s">
        <v>4169</v>
      </c>
      <c r="G25950" s="6">
        <v>462.87</v>
      </c>
      <c r="H25950" s="5">
        <v>5534</v>
      </c>
    </row>
    <row r="25951" spans="2:8" ht="15" customHeight="1" x14ac:dyDescent="0.4">
      <c r="B25951" s="3" t="s">
        <v>7</v>
      </c>
      <c r="C25951" s="3" t="s">
        <v>4168</v>
      </c>
      <c r="D25951" s="4">
        <f>DATE(2013,5,3)</f>
        <v>41397</v>
      </c>
      <c r="E25951" s="5">
        <f t="shared" si="441"/>
        <v>2013</v>
      </c>
      <c r="F25951" s="3" t="s">
        <v>4169</v>
      </c>
      <c r="G25951" s="6">
        <v>179</v>
      </c>
      <c r="H25951" s="5">
        <v>5535</v>
      </c>
    </row>
    <row r="25952" spans="2:8" ht="15" customHeight="1" x14ac:dyDescent="0.4">
      <c r="B25952" s="3" t="s">
        <v>7</v>
      </c>
      <c r="C25952" s="3" t="s">
        <v>4168</v>
      </c>
      <c r="D25952" s="4">
        <f>DATE(2013,5,23)</f>
        <v>41417</v>
      </c>
      <c r="E25952" s="5">
        <f t="shared" si="441"/>
        <v>2013</v>
      </c>
      <c r="F25952" s="3" t="s">
        <v>4169</v>
      </c>
      <c r="G25952" s="6">
        <v>8751.2000000000007</v>
      </c>
      <c r="H25952" s="5">
        <v>5532</v>
      </c>
    </row>
    <row r="25953" spans="2:8" ht="15" customHeight="1" x14ac:dyDescent="0.4">
      <c r="B25953" s="3" t="s">
        <v>7</v>
      </c>
      <c r="C25953" s="3" t="s">
        <v>4168</v>
      </c>
      <c r="D25953" s="4">
        <f>DATE(2013,5,28)</f>
        <v>41422</v>
      </c>
      <c r="E25953" s="5">
        <f t="shared" si="441"/>
        <v>2013</v>
      </c>
      <c r="F25953" s="3" t="s">
        <v>4169</v>
      </c>
      <c r="G25953" s="6">
        <v>4757.8100000000004</v>
      </c>
      <c r="H25953" s="5">
        <v>5547</v>
      </c>
    </row>
    <row r="25954" spans="2:8" ht="15" customHeight="1" x14ac:dyDescent="0.4">
      <c r="B25954" s="3" t="s">
        <v>7</v>
      </c>
      <c r="C25954" s="3" t="s">
        <v>4168</v>
      </c>
      <c r="D25954" s="4">
        <f>DATE(2013,6,27)</f>
        <v>41452</v>
      </c>
      <c r="E25954" s="5">
        <f t="shared" si="441"/>
        <v>2013</v>
      </c>
      <c r="F25954" s="3" t="s">
        <v>4169</v>
      </c>
      <c r="G25954" s="6">
        <v>537</v>
      </c>
      <c r="H25954" s="5">
        <v>5649</v>
      </c>
    </row>
    <row r="25955" spans="2:8" ht="15" customHeight="1" x14ac:dyDescent="0.4">
      <c r="B25955" s="3" t="s">
        <v>7</v>
      </c>
      <c r="C25955" s="3" t="s">
        <v>4168</v>
      </c>
      <c r="D25955" s="4">
        <f>DATE(2013,6,27)</f>
        <v>41452</v>
      </c>
      <c r="E25955" s="5">
        <f t="shared" si="441"/>
        <v>2013</v>
      </c>
      <c r="F25955" s="3" t="s">
        <v>4169</v>
      </c>
      <c r="G25955" s="6">
        <v>241.2</v>
      </c>
      <c r="H25955" s="5">
        <v>5650</v>
      </c>
    </row>
    <row r="25956" spans="2:8" ht="15" customHeight="1" x14ac:dyDescent="0.4">
      <c r="B25956" s="3" t="s">
        <v>7</v>
      </c>
      <c r="C25956" s="3" t="s">
        <v>4168</v>
      </c>
      <c r="D25956" s="4">
        <f>DATE(2013,6,27)</f>
        <v>41452</v>
      </c>
      <c r="E25956" s="5">
        <f t="shared" si="441"/>
        <v>2013</v>
      </c>
      <c r="F25956" s="3" t="s">
        <v>4169</v>
      </c>
      <c r="G25956" s="6">
        <v>626.5</v>
      </c>
      <c r="H25956" s="5">
        <v>5645</v>
      </c>
    </row>
    <row r="25957" spans="2:8" ht="15" customHeight="1" x14ac:dyDescent="0.4">
      <c r="B25957" s="3" t="s">
        <v>7</v>
      </c>
      <c r="C25957" s="3" t="s">
        <v>4168</v>
      </c>
      <c r="D25957" s="4">
        <f>DATE(2013,7,17)</f>
        <v>41472</v>
      </c>
      <c r="E25957" s="5">
        <f t="shared" si="441"/>
        <v>2013</v>
      </c>
      <c r="F25957" s="3" t="s">
        <v>4169</v>
      </c>
      <c r="G25957" s="6">
        <v>462.87</v>
      </c>
      <c r="H25957" s="5">
        <v>5648</v>
      </c>
    </row>
    <row r="25958" spans="2:8" ht="15" customHeight="1" x14ac:dyDescent="0.4">
      <c r="B25958" s="3" t="s">
        <v>7</v>
      </c>
      <c r="C25958" s="3" t="s">
        <v>4168</v>
      </c>
      <c r="D25958" s="4">
        <f>DATE(2013,7,22)</f>
        <v>41477</v>
      </c>
      <c r="E25958" s="5">
        <f t="shared" si="441"/>
        <v>2013</v>
      </c>
      <c r="F25958" s="3" t="s">
        <v>4169</v>
      </c>
      <c r="G25958" s="6">
        <v>4524.05</v>
      </c>
      <c r="H25958" s="5">
        <v>5647</v>
      </c>
    </row>
    <row r="25959" spans="2:8" ht="15" customHeight="1" x14ac:dyDescent="0.4">
      <c r="B25959" s="3" t="s">
        <v>7</v>
      </c>
      <c r="C25959" s="3" t="s">
        <v>4168</v>
      </c>
      <c r="D25959" s="4">
        <f>DATE(2013,7,22)</f>
        <v>41477</v>
      </c>
      <c r="E25959" s="5">
        <f t="shared" si="441"/>
        <v>2013</v>
      </c>
      <c r="F25959" s="3" t="s">
        <v>4169</v>
      </c>
      <c r="G25959" s="6">
        <v>5428.86</v>
      </c>
      <c r="H25959" s="5">
        <v>5646</v>
      </c>
    </row>
    <row r="25960" spans="2:8" ht="15" customHeight="1" x14ac:dyDescent="0.4">
      <c r="B25960" s="3" t="s">
        <v>7</v>
      </c>
      <c r="C25960" s="3" t="s">
        <v>4168</v>
      </c>
      <c r="D25960" s="4">
        <f>DATE(2013,10,16)</f>
        <v>41563</v>
      </c>
      <c r="E25960" s="5">
        <f t="shared" si="441"/>
        <v>2013</v>
      </c>
      <c r="F25960" s="3" t="s">
        <v>4169</v>
      </c>
      <c r="G25960" s="6">
        <v>257.14999999999998</v>
      </c>
      <c r="H25960" s="5">
        <v>5843</v>
      </c>
    </row>
    <row r="25961" spans="2:8" ht="15" customHeight="1" x14ac:dyDescent="0.4">
      <c r="B25961" s="3" t="s">
        <v>7</v>
      </c>
      <c r="C25961" s="3" t="s">
        <v>4168</v>
      </c>
      <c r="D25961" s="4">
        <f>DATE(2013,10,16)</f>
        <v>41563</v>
      </c>
      <c r="E25961" s="5">
        <f t="shared" si="441"/>
        <v>2013</v>
      </c>
      <c r="F25961" s="3" t="s">
        <v>4169</v>
      </c>
      <c r="G25961" s="6">
        <v>626.5</v>
      </c>
      <c r="H25961" s="5">
        <v>5842</v>
      </c>
    </row>
    <row r="25962" spans="2:8" ht="15" customHeight="1" x14ac:dyDescent="0.4">
      <c r="B25962" s="3" t="s">
        <v>7</v>
      </c>
      <c r="C25962" s="3" t="s">
        <v>4168</v>
      </c>
      <c r="D25962" s="4">
        <f>DATE(2013,11,12)</f>
        <v>41590</v>
      </c>
      <c r="E25962" s="5">
        <f t="shared" si="441"/>
        <v>2013</v>
      </c>
      <c r="F25962" s="3" t="s">
        <v>4169</v>
      </c>
      <c r="G25962" s="6">
        <v>2864.43</v>
      </c>
      <c r="H25962" s="5">
        <v>5844</v>
      </c>
    </row>
    <row r="25963" spans="2:8" ht="15" customHeight="1" x14ac:dyDescent="0.4">
      <c r="B25963" s="3" t="s">
        <v>7</v>
      </c>
      <c r="C25963" s="3" t="s">
        <v>4168</v>
      </c>
      <c r="D25963" s="4">
        <f>DATE(2013,11,21)</f>
        <v>41599</v>
      </c>
      <c r="E25963" s="5">
        <f t="shared" si="441"/>
        <v>2013</v>
      </c>
      <c r="F25963" s="3" t="s">
        <v>4169</v>
      </c>
      <c r="G25963" s="6">
        <v>1497.6</v>
      </c>
      <c r="H25963" s="5">
        <v>5913</v>
      </c>
    </row>
    <row r="25964" spans="2:8" ht="15" customHeight="1" x14ac:dyDescent="0.4">
      <c r="B25964" s="3" t="s">
        <v>7</v>
      </c>
      <c r="C25964" s="3" t="s">
        <v>4168</v>
      </c>
      <c r="D25964" s="4">
        <f>DATE(2014,3,19)</f>
        <v>41717</v>
      </c>
      <c r="E25964" s="5">
        <f t="shared" si="441"/>
        <v>2014</v>
      </c>
      <c r="F25964" s="3" t="s">
        <v>4169</v>
      </c>
      <c r="G25964" s="6">
        <v>320.39999999999998</v>
      </c>
      <c r="H25964" s="5">
        <v>6108</v>
      </c>
    </row>
    <row r="25965" spans="2:8" ht="15" customHeight="1" x14ac:dyDescent="0.4">
      <c r="B25965" s="3" t="s">
        <v>7</v>
      </c>
      <c r="C25965" s="3" t="s">
        <v>4168</v>
      </c>
      <c r="D25965" s="4">
        <f>DATE(2014,4,14)</f>
        <v>41743</v>
      </c>
      <c r="E25965" s="5">
        <f t="shared" si="441"/>
        <v>2014</v>
      </c>
      <c r="F25965" s="3" t="s">
        <v>4169</v>
      </c>
      <c r="G25965" s="6">
        <v>895</v>
      </c>
      <c r="H25965" s="5">
        <v>6146</v>
      </c>
    </row>
    <row r="25966" spans="2:8" ht="15" customHeight="1" x14ac:dyDescent="0.4">
      <c r="B25966" s="3" t="s">
        <v>7</v>
      </c>
      <c r="C25966" s="3" t="s">
        <v>4168</v>
      </c>
      <c r="D25966" s="4">
        <f>DATE(2014,4,24)</f>
        <v>41753</v>
      </c>
      <c r="E25966" s="5">
        <f t="shared" si="441"/>
        <v>2014</v>
      </c>
      <c r="F25966" s="3" t="s">
        <v>4169</v>
      </c>
      <c r="G25966" s="6">
        <v>3136</v>
      </c>
      <c r="H25966" s="5">
        <v>6148</v>
      </c>
    </row>
    <row r="25967" spans="2:8" ht="15" customHeight="1" x14ac:dyDescent="0.4">
      <c r="B25967" s="3" t="s">
        <v>7</v>
      </c>
      <c r="C25967" s="3" t="s">
        <v>4168</v>
      </c>
      <c r="D25967" s="4">
        <f>DATE(2014,5,8)</f>
        <v>41767</v>
      </c>
      <c r="E25967" s="5">
        <f t="shared" si="441"/>
        <v>2014</v>
      </c>
      <c r="F25967" s="3" t="s">
        <v>4169</v>
      </c>
      <c r="G25967" s="6">
        <v>19518.41</v>
      </c>
      <c r="H25967" s="5">
        <v>6119</v>
      </c>
    </row>
    <row r="25968" spans="2:8" ht="15" customHeight="1" x14ac:dyDescent="0.4">
      <c r="B25968" s="3" t="s">
        <v>7</v>
      </c>
      <c r="C25968" s="3" t="s">
        <v>4168</v>
      </c>
      <c r="D25968" s="4">
        <f>DATE(2014,5,12)</f>
        <v>41771</v>
      </c>
      <c r="E25968" s="5">
        <f t="shared" si="441"/>
        <v>2014</v>
      </c>
      <c r="F25968" s="3" t="s">
        <v>4169</v>
      </c>
      <c r="G25968" s="6">
        <v>174</v>
      </c>
      <c r="H25968" s="5">
        <v>6180</v>
      </c>
    </row>
    <row r="25969" spans="2:8" ht="15" customHeight="1" x14ac:dyDescent="0.4">
      <c r="B25969" s="3" t="s">
        <v>7</v>
      </c>
      <c r="C25969" s="3" t="s">
        <v>4168</v>
      </c>
      <c r="D25969" s="4">
        <f>DATE(2014,5,16)</f>
        <v>41775</v>
      </c>
      <c r="E25969" s="5">
        <f t="shared" si="441"/>
        <v>2014</v>
      </c>
      <c r="F25969" s="3" t="s">
        <v>4169</v>
      </c>
      <c r="G25969" s="6">
        <v>1608</v>
      </c>
      <c r="H25969" s="5">
        <v>6186</v>
      </c>
    </row>
    <row r="25970" spans="2:8" ht="15" customHeight="1" x14ac:dyDescent="0.4">
      <c r="B25970" s="3" t="s">
        <v>7</v>
      </c>
      <c r="C25970" s="3" t="s">
        <v>4168</v>
      </c>
      <c r="D25970" s="4">
        <f>DATE(2014,5,28)</f>
        <v>41787</v>
      </c>
      <c r="E25970" s="5">
        <f t="shared" si="441"/>
        <v>2014</v>
      </c>
      <c r="F25970" s="3" t="s">
        <v>4169</v>
      </c>
      <c r="G25970" s="6">
        <v>8851.2000000000007</v>
      </c>
      <c r="H25970" s="5">
        <v>6159</v>
      </c>
    </row>
    <row r="25971" spans="2:8" ht="15" customHeight="1" x14ac:dyDescent="0.4">
      <c r="B25971" s="3" t="s">
        <v>7</v>
      </c>
      <c r="C25971" s="3" t="s">
        <v>4168</v>
      </c>
      <c r="D25971" s="4">
        <f>DATE(2014,6,12)</f>
        <v>41802</v>
      </c>
      <c r="E25971" s="5">
        <f t="shared" si="441"/>
        <v>2014</v>
      </c>
      <c r="F25971" s="3" t="s">
        <v>4169</v>
      </c>
      <c r="G25971" s="6">
        <v>1497.6</v>
      </c>
      <c r="H25971" s="5">
        <v>6224</v>
      </c>
    </row>
    <row r="25972" spans="2:8" ht="15" customHeight="1" x14ac:dyDescent="0.4">
      <c r="B25972" s="3" t="s">
        <v>7</v>
      </c>
      <c r="C25972" s="3" t="s">
        <v>4168</v>
      </c>
      <c r="D25972" s="4">
        <f>DATE(2014,7,29)</f>
        <v>41849</v>
      </c>
      <c r="E25972" s="5">
        <f t="shared" si="441"/>
        <v>2014</v>
      </c>
      <c r="F25972" s="3" t="s">
        <v>4169</v>
      </c>
      <c r="G25972" s="6">
        <v>9238.1</v>
      </c>
      <c r="H25972" s="5">
        <v>6270</v>
      </c>
    </row>
    <row r="25973" spans="2:8" ht="15" customHeight="1" x14ac:dyDescent="0.4">
      <c r="B25973" s="3" t="s">
        <v>7</v>
      </c>
      <c r="C25973" s="3" t="s">
        <v>4168</v>
      </c>
      <c r="D25973" s="4">
        <f>DATE(2014,8,21)</f>
        <v>41872</v>
      </c>
      <c r="E25973" s="5">
        <f t="shared" si="441"/>
        <v>2014</v>
      </c>
      <c r="F25973" s="3" t="s">
        <v>4169</v>
      </c>
      <c r="G25973" s="6">
        <v>5523.86</v>
      </c>
      <c r="H25973" s="5">
        <v>6309</v>
      </c>
    </row>
    <row r="25974" spans="2:8" ht="15" customHeight="1" x14ac:dyDescent="0.4">
      <c r="B25974" s="3" t="s">
        <v>7</v>
      </c>
      <c r="C25974" s="3" t="s">
        <v>4168</v>
      </c>
      <c r="D25974" s="4">
        <f>DATE(2014,9,18)</f>
        <v>41900</v>
      </c>
      <c r="E25974" s="5">
        <f t="shared" si="441"/>
        <v>2014</v>
      </c>
      <c r="F25974" s="3" t="s">
        <v>4169</v>
      </c>
      <c r="G25974" s="6">
        <v>462.87</v>
      </c>
      <c r="H25974" s="5">
        <v>6408</v>
      </c>
    </row>
    <row r="25975" spans="2:8" ht="15" customHeight="1" x14ac:dyDescent="0.4">
      <c r="B25975" s="3" t="s">
        <v>16</v>
      </c>
      <c r="C25975" s="3" t="s">
        <v>4168</v>
      </c>
      <c r="D25975" s="4">
        <f>DATE(2011,4,1)</f>
        <v>40634</v>
      </c>
      <c r="E25975" s="5">
        <f t="shared" si="441"/>
        <v>2011</v>
      </c>
      <c r="F25975" s="3" t="s">
        <v>4169</v>
      </c>
      <c r="G25975" s="6">
        <v>3136</v>
      </c>
      <c r="H25975" s="5">
        <v>4567</v>
      </c>
    </row>
    <row r="25976" spans="2:8" ht="15" customHeight="1" x14ac:dyDescent="0.4">
      <c r="B25976" s="3" t="s">
        <v>16</v>
      </c>
      <c r="C25976" s="3" t="s">
        <v>4168</v>
      </c>
      <c r="D25976" s="4">
        <f>DATE(2010,11,1)</f>
        <v>40483</v>
      </c>
      <c r="E25976" s="5">
        <f t="shared" si="441"/>
        <v>2010</v>
      </c>
      <c r="F25976" s="3" t="s">
        <v>4169</v>
      </c>
      <c r="G25976" s="6">
        <v>1431.25</v>
      </c>
      <c r="H25976" s="5">
        <v>4750</v>
      </c>
    </row>
    <row r="25977" spans="2:8" ht="15" customHeight="1" x14ac:dyDescent="0.4">
      <c r="B25977" t="s">
        <v>7</v>
      </c>
      <c r="C25977" t="s">
        <v>4170</v>
      </c>
      <c r="D25977" s="7">
        <f>DATE(2015,2,2)</f>
        <v>42037</v>
      </c>
      <c r="E25977" s="8">
        <f t="shared" si="441"/>
        <v>2015</v>
      </c>
      <c r="F25977" t="s">
        <v>4171</v>
      </c>
      <c r="G25977" s="9">
        <v>22313</v>
      </c>
      <c r="H25977" s="8">
        <v>197</v>
      </c>
    </row>
    <row r="25978" spans="2:8" ht="15" customHeight="1" x14ac:dyDescent="0.4">
      <c r="B25978" t="s">
        <v>7</v>
      </c>
      <c r="C25978" t="s">
        <v>4170</v>
      </c>
      <c r="D25978" s="7">
        <f>DATE(2017,3,23)</f>
        <v>42817</v>
      </c>
      <c r="E25978" s="8">
        <f t="shared" si="441"/>
        <v>2017</v>
      </c>
      <c r="F25978" t="s">
        <v>4171</v>
      </c>
      <c r="G25978" s="9">
        <v>2300</v>
      </c>
      <c r="H25978" s="8">
        <v>24573</v>
      </c>
    </row>
    <row r="25979" spans="2:8" ht="15" customHeight="1" x14ac:dyDescent="0.4">
      <c r="B25979" t="s">
        <v>7</v>
      </c>
      <c r="C25979" t="s">
        <v>4170</v>
      </c>
      <c r="D25979" s="7">
        <f>DATE(2018,1,23)</f>
        <v>43123</v>
      </c>
      <c r="E25979" s="8">
        <f t="shared" si="441"/>
        <v>2018</v>
      </c>
      <c r="F25979" t="s">
        <v>4171</v>
      </c>
      <c r="G25979" s="9">
        <v>2640</v>
      </c>
      <c r="H25979" s="8">
        <v>26208</v>
      </c>
    </row>
    <row r="25980" spans="2:8" ht="15" customHeight="1" x14ac:dyDescent="0.4">
      <c r="B25980" t="s">
        <v>7</v>
      </c>
      <c r="C25980" t="s">
        <v>4170</v>
      </c>
      <c r="D25980" s="7">
        <f>DATE(2019,5,14)</f>
        <v>43599</v>
      </c>
      <c r="E25980" s="8">
        <f t="shared" si="441"/>
        <v>2019</v>
      </c>
      <c r="F25980" t="s">
        <v>4171</v>
      </c>
      <c r="G25980" s="9">
        <v>2351.5300000000002</v>
      </c>
      <c r="H25980" s="8">
        <v>28914</v>
      </c>
    </row>
    <row r="25981" spans="2:8" ht="15" customHeight="1" x14ac:dyDescent="0.4">
      <c r="B25981" t="s">
        <v>7</v>
      </c>
      <c r="C25981" t="s">
        <v>4170</v>
      </c>
      <c r="D25981" s="7">
        <f>DATE(2019,5,17)</f>
        <v>43602</v>
      </c>
      <c r="E25981" s="8">
        <f t="shared" si="441"/>
        <v>2019</v>
      </c>
      <c r="F25981" t="s">
        <v>4171</v>
      </c>
      <c r="G25981" s="9">
        <v>2450.23</v>
      </c>
      <c r="H25981" s="8">
        <v>29016</v>
      </c>
    </row>
    <row r="25982" spans="2:8" ht="15" customHeight="1" x14ac:dyDescent="0.4">
      <c r="B25982" t="s">
        <v>7</v>
      </c>
      <c r="C25982" t="s">
        <v>4170</v>
      </c>
      <c r="D25982" s="7">
        <f>DATE(2013,5,13)</f>
        <v>41407</v>
      </c>
      <c r="E25982" s="8">
        <f t="shared" si="441"/>
        <v>2013</v>
      </c>
      <c r="F25982" t="s">
        <v>4171</v>
      </c>
      <c r="G25982" s="9">
        <v>363</v>
      </c>
      <c r="H25982" s="8">
        <v>12454</v>
      </c>
    </row>
    <row r="25983" spans="2:8" ht="15" customHeight="1" x14ac:dyDescent="0.4">
      <c r="B25983" t="s">
        <v>7</v>
      </c>
      <c r="C25983" t="s">
        <v>4170</v>
      </c>
      <c r="D25983" s="7">
        <f>DATE(2003,7,9)</f>
        <v>37811</v>
      </c>
      <c r="E25983" s="8">
        <f t="shared" si="441"/>
        <v>2003</v>
      </c>
      <c r="F25983" t="s">
        <v>4171</v>
      </c>
      <c r="G25983" s="9">
        <v>2402.17</v>
      </c>
      <c r="H25983" s="8">
        <v>715</v>
      </c>
    </row>
    <row r="25984" spans="2:8" ht="15" customHeight="1" x14ac:dyDescent="0.4">
      <c r="B25984" t="s">
        <v>7</v>
      </c>
      <c r="C25984" t="s">
        <v>4170</v>
      </c>
      <c r="D25984" s="7">
        <f>DATE(2005,4,7)</f>
        <v>38449</v>
      </c>
      <c r="E25984" s="8">
        <f t="shared" si="441"/>
        <v>2005</v>
      </c>
      <c r="F25984" t="s">
        <v>4171</v>
      </c>
      <c r="G25984" s="9">
        <v>4810.38</v>
      </c>
      <c r="H25984" s="8">
        <v>3044</v>
      </c>
    </row>
    <row r="25985" spans="2:8" ht="15" customHeight="1" x14ac:dyDescent="0.4">
      <c r="B25985" t="s">
        <v>7</v>
      </c>
      <c r="C25985" t="s">
        <v>4170</v>
      </c>
      <c r="D25985" s="7">
        <f>DATE(2005,5,24)</f>
        <v>38496</v>
      </c>
      <c r="E25985" s="8">
        <f t="shared" si="441"/>
        <v>2005</v>
      </c>
      <c r="F25985" t="s">
        <v>4171</v>
      </c>
      <c r="G25985" s="9">
        <v>6803.53</v>
      </c>
      <c r="H25985" s="8">
        <v>3236</v>
      </c>
    </row>
    <row r="25986" spans="2:8" ht="15" customHeight="1" x14ac:dyDescent="0.4">
      <c r="B25986" t="s">
        <v>7</v>
      </c>
      <c r="C25986" t="s">
        <v>4170</v>
      </c>
      <c r="D25986" s="7">
        <f>DATE(2005,10,20)</f>
        <v>38645</v>
      </c>
      <c r="E25986" s="8">
        <f t="shared" si="441"/>
        <v>2005</v>
      </c>
      <c r="F25986" t="s">
        <v>4171</v>
      </c>
      <c r="G25986" s="9">
        <v>3900</v>
      </c>
      <c r="H25986" s="8">
        <v>3680</v>
      </c>
    </row>
    <row r="25987" spans="2:8" ht="15" customHeight="1" x14ac:dyDescent="0.4">
      <c r="B25987" t="s">
        <v>7</v>
      </c>
      <c r="C25987" t="s">
        <v>4170</v>
      </c>
      <c r="D25987" s="7">
        <f>DATE(2005,11,10)</f>
        <v>38666</v>
      </c>
      <c r="E25987" s="8">
        <f t="shared" ref="E25987:E26050" si="442">YEAR(D25987)</f>
        <v>2005</v>
      </c>
      <c r="F25987" t="s">
        <v>4171</v>
      </c>
      <c r="G25987" s="9">
        <v>3500</v>
      </c>
      <c r="H25987" s="8">
        <v>3735</v>
      </c>
    </row>
    <row r="25988" spans="2:8" ht="15" customHeight="1" x14ac:dyDescent="0.4">
      <c r="B25988" t="s">
        <v>7</v>
      </c>
      <c r="C25988" t="s">
        <v>4170</v>
      </c>
      <c r="D25988" s="7">
        <f>DATE(2005,11,30)</f>
        <v>38686</v>
      </c>
      <c r="E25988" s="8">
        <f t="shared" si="442"/>
        <v>2005</v>
      </c>
      <c r="F25988" t="s">
        <v>4171</v>
      </c>
      <c r="G25988" s="9">
        <v>3500</v>
      </c>
      <c r="H25988" s="8">
        <v>3741</v>
      </c>
    </row>
    <row r="25989" spans="2:8" ht="15" customHeight="1" x14ac:dyDescent="0.4">
      <c r="B25989" t="s">
        <v>7</v>
      </c>
      <c r="C25989" t="s">
        <v>4170</v>
      </c>
      <c r="D25989" s="7">
        <f>DATE(2005,12,21)</f>
        <v>38707</v>
      </c>
      <c r="E25989" s="8">
        <f t="shared" si="442"/>
        <v>2005</v>
      </c>
      <c r="F25989" t="s">
        <v>4171</v>
      </c>
      <c r="G25989" s="9">
        <v>3500</v>
      </c>
      <c r="H25989" s="8">
        <v>3862</v>
      </c>
    </row>
    <row r="25990" spans="2:8" ht="15" customHeight="1" x14ac:dyDescent="0.4">
      <c r="B25990" t="s">
        <v>7</v>
      </c>
      <c r="C25990" t="s">
        <v>4170</v>
      </c>
      <c r="D25990" s="7">
        <f>DATE(2006,2,28)</f>
        <v>38776</v>
      </c>
      <c r="E25990" s="8">
        <f t="shared" si="442"/>
        <v>2006</v>
      </c>
      <c r="F25990" t="s">
        <v>4171</v>
      </c>
      <c r="G25990" s="9">
        <v>6776.05</v>
      </c>
      <c r="H25990" s="8">
        <v>4192</v>
      </c>
    </row>
    <row r="25991" spans="2:8" ht="15" customHeight="1" x14ac:dyDescent="0.4">
      <c r="B25991" t="s">
        <v>7</v>
      </c>
      <c r="C25991" t="s">
        <v>4170</v>
      </c>
      <c r="D25991" s="7">
        <f>DATE(2006,3,2)</f>
        <v>38778</v>
      </c>
      <c r="E25991" s="8">
        <f t="shared" si="442"/>
        <v>2006</v>
      </c>
      <c r="F25991" t="s">
        <v>4171</v>
      </c>
      <c r="G25991" s="9">
        <v>4740</v>
      </c>
      <c r="H25991" s="8">
        <v>4247</v>
      </c>
    </row>
    <row r="25992" spans="2:8" ht="15" customHeight="1" x14ac:dyDescent="0.4">
      <c r="B25992" t="s">
        <v>7</v>
      </c>
      <c r="C25992" t="s">
        <v>4170</v>
      </c>
      <c r="D25992" s="7">
        <f>DATE(2006,3,8)</f>
        <v>38784</v>
      </c>
      <c r="E25992" s="8">
        <f t="shared" si="442"/>
        <v>2006</v>
      </c>
      <c r="F25992" t="s">
        <v>4171</v>
      </c>
      <c r="G25992" s="9">
        <v>4200</v>
      </c>
      <c r="H25992" s="8">
        <v>4167</v>
      </c>
    </row>
    <row r="25993" spans="2:8" ht="15" customHeight="1" x14ac:dyDescent="0.4">
      <c r="B25993" t="s">
        <v>7</v>
      </c>
      <c r="C25993" t="s">
        <v>4170</v>
      </c>
      <c r="D25993" s="7">
        <f>DATE(2006,3,16)</f>
        <v>38792</v>
      </c>
      <c r="E25993" s="8">
        <f t="shared" si="442"/>
        <v>2006</v>
      </c>
      <c r="F25993" t="s">
        <v>4171</v>
      </c>
      <c r="G25993" s="9">
        <v>5890.38</v>
      </c>
      <c r="H25993" s="8">
        <v>4168</v>
      </c>
    </row>
    <row r="25994" spans="2:8" ht="15" customHeight="1" x14ac:dyDescent="0.4">
      <c r="B25994" t="s">
        <v>7</v>
      </c>
      <c r="C25994" t="s">
        <v>4170</v>
      </c>
      <c r="D25994" s="7">
        <f>DATE(2006,3,21)</f>
        <v>38797</v>
      </c>
      <c r="E25994" s="8">
        <f t="shared" si="442"/>
        <v>2006</v>
      </c>
      <c r="F25994" t="s">
        <v>4171</v>
      </c>
      <c r="G25994" s="9">
        <v>4695</v>
      </c>
      <c r="H25994" s="8">
        <v>4169</v>
      </c>
    </row>
    <row r="25995" spans="2:8" ht="15" customHeight="1" x14ac:dyDescent="0.4">
      <c r="B25995" t="s">
        <v>7</v>
      </c>
      <c r="C25995" t="s">
        <v>4170</v>
      </c>
      <c r="D25995" s="7">
        <f>DATE(2006,3,24)</f>
        <v>38800</v>
      </c>
      <c r="E25995" s="8">
        <f t="shared" si="442"/>
        <v>2006</v>
      </c>
      <c r="F25995" t="s">
        <v>4171</v>
      </c>
      <c r="G25995" s="9">
        <v>3500</v>
      </c>
      <c r="H25995" s="8">
        <v>4350</v>
      </c>
    </row>
    <row r="25996" spans="2:8" ht="15" customHeight="1" x14ac:dyDescent="0.4">
      <c r="B25996" t="s">
        <v>7</v>
      </c>
      <c r="C25996" t="s">
        <v>4170</v>
      </c>
      <c r="D25996" s="7">
        <f>DATE(2006,3,31)</f>
        <v>38807</v>
      </c>
      <c r="E25996" s="8">
        <f t="shared" si="442"/>
        <v>2006</v>
      </c>
      <c r="F25996" t="s">
        <v>4171</v>
      </c>
      <c r="G25996" s="9">
        <v>7499.24</v>
      </c>
      <c r="H25996" s="8">
        <v>4170</v>
      </c>
    </row>
    <row r="25997" spans="2:8" ht="15" customHeight="1" x14ac:dyDescent="0.4">
      <c r="B25997" t="s">
        <v>7</v>
      </c>
      <c r="C25997" t="s">
        <v>4170</v>
      </c>
      <c r="D25997" s="7">
        <f>DATE(2006,4,6)</f>
        <v>38813</v>
      </c>
      <c r="E25997" s="8">
        <f t="shared" si="442"/>
        <v>2006</v>
      </c>
      <c r="F25997" t="s">
        <v>4171</v>
      </c>
      <c r="G25997" s="9">
        <v>6700.6</v>
      </c>
      <c r="H25997" s="8">
        <v>4171</v>
      </c>
    </row>
    <row r="25998" spans="2:8" ht="15" customHeight="1" x14ac:dyDescent="0.4">
      <c r="B25998" t="s">
        <v>7</v>
      </c>
      <c r="C25998" t="s">
        <v>4170</v>
      </c>
      <c r="D25998" s="7">
        <f>DATE(2006,5,6)</f>
        <v>38843</v>
      </c>
      <c r="E25998" s="8">
        <f t="shared" si="442"/>
        <v>2006</v>
      </c>
      <c r="F25998" t="s">
        <v>4171</v>
      </c>
      <c r="G25998" s="9">
        <v>15669.19</v>
      </c>
      <c r="H25998" s="8">
        <v>4571</v>
      </c>
    </row>
    <row r="25999" spans="2:8" ht="15" customHeight="1" x14ac:dyDescent="0.4">
      <c r="B25999" t="s">
        <v>7</v>
      </c>
      <c r="C25999" t="s">
        <v>4170</v>
      </c>
      <c r="D25999" s="7">
        <f>DATE(2006,4,20)</f>
        <v>38827</v>
      </c>
      <c r="E25999" s="8">
        <f t="shared" si="442"/>
        <v>2006</v>
      </c>
      <c r="F25999" t="s">
        <v>4171</v>
      </c>
      <c r="G25999" s="9">
        <v>2500</v>
      </c>
      <c r="H25999" s="8">
        <v>4520</v>
      </c>
    </row>
    <row r="26000" spans="2:8" ht="15" customHeight="1" x14ac:dyDescent="0.4">
      <c r="B26000" t="s">
        <v>7</v>
      </c>
      <c r="C26000" t="s">
        <v>4170</v>
      </c>
      <c r="D26000" s="7">
        <f>DATE(2006,10,6)</f>
        <v>38996</v>
      </c>
      <c r="E26000" s="8">
        <f t="shared" si="442"/>
        <v>2006</v>
      </c>
      <c r="F26000" t="s">
        <v>4171</v>
      </c>
      <c r="G26000" s="9">
        <v>5959.63</v>
      </c>
      <c r="H26000" s="8">
        <v>5046</v>
      </c>
    </row>
    <row r="26001" spans="2:8" ht="15" customHeight="1" x14ac:dyDescent="0.4">
      <c r="B26001" t="s">
        <v>7</v>
      </c>
      <c r="C26001" t="s">
        <v>4170</v>
      </c>
      <c r="D26001" s="7">
        <f>DATE(2007,7,7)</f>
        <v>39270</v>
      </c>
      <c r="E26001" s="8">
        <f t="shared" si="442"/>
        <v>2007</v>
      </c>
      <c r="F26001" t="s">
        <v>4171</v>
      </c>
      <c r="G26001" s="9">
        <v>3500</v>
      </c>
      <c r="H26001" s="8">
        <v>6142</v>
      </c>
    </row>
    <row r="26002" spans="2:8" ht="15" customHeight="1" x14ac:dyDescent="0.4">
      <c r="B26002" t="s">
        <v>7</v>
      </c>
      <c r="C26002" t="s">
        <v>4170</v>
      </c>
      <c r="D26002" s="7">
        <f>DATE(2007,11,1)</f>
        <v>39387</v>
      </c>
      <c r="E26002" s="8">
        <f t="shared" si="442"/>
        <v>2007</v>
      </c>
      <c r="F26002" t="s">
        <v>4171</v>
      </c>
      <c r="G26002" s="9">
        <v>7940.6</v>
      </c>
      <c r="H26002" s="8">
        <v>6387</v>
      </c>
    </row>
    <row r="26003" spans="2:8" ht="15" customHeight="1" x14ac:dyDescent="0.4">
      <c r="B26003" t="s">
        <v>7</v>
      </c>
      <c r="C26003" t="s">
        <v>4170</v>
      </c>
      <c r="D26003" s="7">
        <f>DATE(2007,11,1)</f>
        <v>39387</v>
      </c>
      <c r="E26003" s="8">
        <f t="shared" si="442"/>
        <v>2007</v>
      </c>
      <c r="F26003" t="s">
        <v>4171</v>
      </c>
      <c r="G26003" s="9">
        <v>9154.89</v>
      </c>
      <c r="H26003" s="8">
        <v>6525</v>
      </c>
    </row>
    <row r="26004" spans="2:8" ht="15" customHeight="1" x14ac:dyDescent="0.4">
      <c r="B26004" t="s">
        <v>7</v>
      </c>
      <c r="C26004" t="s">
        <v>4170</v>
      </c>
      <c r="D26004" s="7">
        <f>DATE(2007,11,10)</f>
        <v>39396</v>
      </c>
      <c r="E26004" s="8">
        <f t="shared" si="442"/>
        <v>2007</v>
      </c>
      <c r="F26004" t="s">
        <v>4171</v>
      </c>
      <c r="G26004" s="9">
        <v>7000</v>
      </c>
      <c r="H26004" s="8">
        <v>6577</v>
      </c>
    </row>
    <row r="26005" spans="2:8" ht="15" customHeight="1" x14ac:dyDescent="0.4">
      <c r="B26005" t="s">
        <v>7</v>
      </c>
      <c r="C26005" t="s">
        <v>4170</v>
      </c>
      <c r="D26005" s="7">
        <f>DATE(2008,1,21)</f>
        <v>39468</v>
      </c>
      <c r="E26005" s="8">
        <f t="shared" si="442"/>
        <v>2008</v>
      </c>
      <c r="F26005" t="s">
        <v>4171</v>
      </c>
      <c r="G26005" s="9">
        <v>8400.84</v>
      </c>
      <c r="H26005" s="8">
        <v>6819</v>
      </c>
    </row>
    <row r="26006" spans="2:8" ht="15" customHeight="1" x14ac:dyDescent="0.4">
      <c r="B26006" t="s">
        <v>7</v>
      </c>
      <c r="C26006" t="s">
        <v>4170</v>
      </c>
      <c r="D26006" s="7">
        <f>DATE(2008,1,24)</f>
        <v>39471</v>
      </c>
      <c r="E26006" s="8">
        <f t="shared" si="442"/>
        <v>2008</v>
      </c>
      <c r="F26006" t="s">
        <v>4171</v>
      </c>
      <c r="G26006" s="9">
        <v>3500</v>
      </c>
      <c r="H26006" s="8">
        <v>6793</v>
      </c>
    </row>
    <row r="26007" spans="2:8" ht="15" customHeight="1" x14ac:dyDescent="0.4">
      <c r="B26007" t="s">
        <v>7</v>
      </c>
      <c r="C26007" t="s">
        <v>4170</v>
      </c>
      <c r="D26007" s="7">
        <f>DATE(2008,1,31)</f>
        <v>39478</v>
      </c>
      <c r="E26007" s="8">
        <f t="shared" si="442"/>
        <v>2008</v>
      </c>
      <c r="F26007" t="s">
        <v>4171</v>
      </c>
      <c r="G26007" s="9">
        <v>7000</v>
      </c>
      <c r="H26007" s="8">
        <v>6795</v>
      </c>
    </row>
    <row r="26008" spans="2:8" ht="15" customHeight="1" x14ac:dyDescent="0.4">
      <c r="B26008" t="s">
        <v>7</v>
      </c>
      <c r="C26008" t="s">
        <v>4170</v>
      </c>
      <c r="D26008" s="7">
        <f>DATE(2008,2,5)</f>
        <v>39483</v>
      </c>
      <c r="E26008" s="8">
        <f t="shared" si="442"/>
        <v>2008</v>
      </c>
      <c r="F26008" t="s">
        <v>4171</v>
      </c>
      <c r="G26008" s="9">
        <v>3500</v>
      </c>
      <c r="H26008" s="8">
        <v>6796</v>
      </c>
    </row>
    <row r="26009" spans="2:8" ht="15" customHeight="1" x14ac:dyDescent="0.4">
      <c r="B26009" t="s">
        <v>7</v>
      </c>
      <c r="C26009" t="s">
        <v>4170</v>
      </c>
      <c r="D26009" s="7">
        <f>DATE(2008,2,16)</f>
        <v>39494</v>
      </c>
      <c r="E26009" s="8">
        <f t="shared" si="442"/>
        <v>2008</v>
      </c>
      <c r="F26009" t="s">
        <v>4171</v>
      </c>
      <c r="G26009" s="9">
        <v>7281.68</v>
      </c>
      <c r="H26009" s="8">
        <v>6797</v>
      </c>
    </row>
    <row r="26010" spans="2:8" ht="15" customHeight="1" x14ac:dyDescent="0.4">
      <c r="B26010" t="s">
        <v>7</v>
      </c>
      <c r="C26010" t="s">
        <v>4170</v>
      </c>
      <c r="D26010" s="7">
        <f>DATE(2008,2,20)</f>
        <v>39498</v>
      </c>
      <c r="E26010" s="8">
        <f t="shared" si="442"/>
        <v>2008</v>
      </c>
      <c r="F26010" t="s">
        <v>4171</v>
      </c>
      <c r="G26010" s="9">
        <v>3500</v>
      </c>
      <c r="H26010" s="8">
        <v>6925</v>
      </c>
    </row>
    <row r="26011" spans="2:8" ht="15" customHeight="1" x14ac:dyDescent="0.4">
      <c r="B26011" t="s">
        <v>7</v>
      </c>
      <c r="C26011" t="s">
        <v>4170</v>
      </c>
      <c r="D26011" s="7">
        <f>DATE(2008,2,29)</f>
        <v>39507</v>
      </c>
      <c r="E26011" s="8">
        <f t="shared" si="442"/>
        <v>2008</v>
      </c>
      <c r="F26011" t="s">
        <v>4171</v>
      </c>
      <c r="G26011" s="9">
        <v>7770</v>
      </c>
      <c r="H26011" s="8">
        <v>6926</v>
      </c>
    </row>
    <row r="26012" spans="2:8" ht="15" customHeight="1" x14ac:dyDescent="0.4">
      <c r="B26012" t="s">
        <v>7</v>
      </c>
      <c r="C26012" t="s">
        <v>4170</v>
      </c>
      <c r="D26012" s="7">
        <f>DATE(2008,3,14)</f>
        <v>39521</v>
      </c>
      <c r="E26012" s="8">
        <f t="shared" si="442"/>
        <v>2008</v>
      </c>
      <c r="F26012" t="s">
        <v>4171</v>
      </c>
      <c r="G26012" s="9">
        <v>9623.7800000000007</v>
      </c>
      <c r="H26012" s="8">
        <v>7151</v>
      </c>
    </row>
    <row r="26013" spans="2:8" ht="15" customHeight="1" x14ac:dyDescent="0.4">
      <c r="B26013" t="s">
        <v>7</v>
      </c>
      <c r="C26013" t="s">
        <v>4170</v>
      </c>
      <c r="D26013" s="7">
        <f>DATE(2009,3,6)</f>
        <v>39878</v>
      </c>
      <c r="E26013" s="8">
        <f t="shared" si="442"/>
        <v>2009</v>
      </c>
      <c r="F26013" t="s">
        <v>4171</v>
      </c>
      <c r="G26013" s="9">
        <v>4327.34</v>
      </c>
      <c r="H26013" s="8">
        <v>8347</v>
      </c>
    </row>
    <row r="26014" spans="2:8" ht="15" customHeight="1" x14ac:dyDescent="0.4">
      <c r="B26014" t="s">
        <v>7</v>
      </c>
      <c r="C26014" t="s">
        <v>4170</v>
      </c>
      <c r="D26014" s="7">
        <f>DATE(2009,11,16)</f>
        <v>40133</v>
      </c>
      <c r="E26014" s="8">
        <f t="shared" si="442"/>
        <v>2009</v>
      </c>
      <c r="F26014" t="s">
        <v>4171</v>
      </c>
      <c r="G26014" s="9">
        <v>8827.58</v>
      </c>
      <c r="H26014" s="8">
        <v>9234</v>
      </c>
    </row>
    <row r="26015" spans="2:8" ht="15" customHeight="1" x14ac:dyDescent="0.4">
      <c r="B26015" t="s">
        <v>7</v>
      </c>
      <c r="C26015" t="s">
        <v>4170</v>
      </c>
      <c r="D26015" s="7">
        <f>DATE(2010,1,13)</f>
        <v>40191</v>
      </c>
      <c r="E26015" s="8">
        <f t="shared" si="442"/>
        <v>2010</v>
      </c>
      <c r="F26015" t="s">
        <v>4171</v>
      </c>
      <c r="G26015" s="9">
        <v>4145.03</v>
      </c>
      <c r="H26015" s="8">
        <v>9356</v>
      </c>
    </row>
    <row r="26016" spans="2:8" ht="15" customHeight="1" x14ac:dyDescent="0.4">
      <c r="B26016" t="s">
        <v>7</v>
      </c>
      <c r="C26016" t="s">
        <v>4170</v>
      </c>
      <c r="D26016" s="7">
        <f>DATE(2010,5,18)</f>
        <v>40316</v>
      </c>
      <c r="E26016" s="8">
        <f t="shared" si="442"/>
        <v>2010</v>
      </c>
      <c r="F26016" t="s">
        <v>4171</v>
      </c>
      <c r="G26016" s="9">
        <v>1369.21</v>
      </c>
      <c r="H26016" s="8">
        <v>9848</v>
      </c>
    </row>
    <row r="26017" spans="2:8" ht="15" customHeight="1" x14ac:dyDescent="0.4">
      <c r="B26017" t="s">
        <v>7</v>
      </c>
      <c r="C26017" t="s">
        <v>4170</v>
      </c>
      <c r="D26017" s="7">
        <f>DATE(2010,11,18)</f>
        <v>40500</v>
      </c>
      <c r="E26017" s="8">
        <f t="shared" si="442"/>
        <v>2010</v>
      </c>
      <c r="F26017" t="s">
        <v>4171</v>
      </c>
      <c r="G26017" s="9">
        <v>4458.0600000000004</v>
      </c>
      <c r="H26017" s="8">
        <v>10264</v>
      </c>
    </row>
    <row r="26018" spans="2:8" ht="15" customHeight="1" x14ac:dyDescent="0.4">
      <c r="B26018" t="s">
        <v>7</v>
      </c>
      <c r="C26018" t="s">
        <v>4170</v>
      </c>
      <c r="D26018" s="7">
        <f>DATE(2011,3,11)</f>
        <v>40613</v>
      </c>
      <c r="E26018" s="8">
        <f t="shared" si="442"/>
        <v>2011</v>
      </c>
      <c r="F26018" t="s">
        <v>4171</v>
      </c>
      <c r="G26018" s="9">
        <v>6861.27</v>
      </c>
      <c r="H26018" s="8">
        <v>10561</v>
      </c>
    </row>
    <row r="26019" spans="2:8" ht="15" customHeight="1" x14ac:dyDescent="0.4">
      <c r="B26019" t="s">
        <v>7</v>
      </c>
      <c r="C26019" t="s">
        <v>4170</v>
      </c>
      <c r="D26019" s="7">
        <f>DATE(2011,3,21)</f>
        <v>40623</v>
      </c>
      <c r="E26019" s="8">
        <f t="shared" si="442"/>
        <v>2011</v>
      </c>
      <c r="F26019" t="s">
        <v>4171</v>
      </c>
      <c r="G26019" s="9">
        <v>3993.03</v>
      </c>
      <c r="H26019" s="8">
        <v>10582</v>
      </c>
    </row>
    <row r="26020" spans="2:8" ht="15" customHeight="1" x14ac:dyDescent="0.4">
      <c r="B26020" t="s">
        <v>7</v>
      </c>
      <c r="C26020" t="s">
        <v>4170</v>
      </c>
      <c r="D26020" s="7">
        <f>DATE(2011,4,20)</f>
        <v>40653</v>
      </c>
      <c r="E26020" s="8">
        <f t="shared" si="442"/>
        <v>2011</v>
      </c>
      <c r="F26020" t="s">
        <v>4171</v>
      </c>
      <c r="G26020" s="9">
        <v>3637.86</v>
      </c>
      <c r="H26020" s="8">
        <v>10663</v>
      </c>
    </row>
    <row r="26021" spans="2:8" ht="15" customHeight="1" x14ac:dyDescent="0.4">
      <c r="B26021" t="s">
        <v>7</v>
      </c>
      <c r="C26021" t="s">
        <v>4170</v>
      </c>
      <c r="D26021" s="7">
        <f>DATE(2011,7,14)</f>
        <v>40738</v>
      </c>
      <c r="E26021" s="8">
        <f t="shared" si="442"/>
        <v>2011</v>
      </c>
      <c r="F26021" t="s">
        <v>4171</v>
      </c>
      <c r="G26021" s="9">
        <v>2533.96</v>
      </c>
      <c r="H26021" s="8">
        <v>10870</v>
      </c>
    </row>
    <row r="26022" spans="2:8" ht="15" customHeight="1" x14ac:dyDescent="0.4">
      <c r="B26022" t="s">
        <v>7</v>
      </c>
      <c r="C26022" t="s">
        <v>4170</v>
      </c>
      <c r="D26022" s="7">
        <f>DATE(2012,1,31)</f>
        <v>40939</v>
      </c>
      <c r="E26022" s="8">
        <f t="shared" si="442"/>
        <v>2012</v>
      </c>
      <c r="F26022" t="s">
        <v>4171</v>
      </c>
      <c r="G26022" s="9">
        <v>8422.5400000000009</v>
      </c>
      <c r="H26022" s="8">
        <v>11225</v>
      </c>
    </row>
    <row r="26023" spans="2:8" ht="15" customHeight="1" x14ac:dyDescent="0.4">
      <c r="B26023" t="s">
        <v>7</v>
      </c>
      <c r="C26023" t="s">
        <v>4170</v>
      </c>
      <c r="D26023" s="7">
        <f>DATE(2012,5,2)</f>
        <v>41031</v>
      </c>
      <c r="E26023" s="8">
        <f t="shared" si="442"/>
        <v>2012</v>
      </c>
      <c r="F26023" t="s">
        <v>4171</v>
      </c>
      <c r="G26023" s="9">
        <v>2597.9499999999998</v>
      </c>
      <c r="H26023" s="8">
        <v>11595</v>
      </c>
    </row>
    <row r="26024" spans="2:8" ht="15" customHeight="1" x14ac:dyDescent="0.4">
      <c r="B26024" t="s">
        <v>7</v>
      </c>
      <c r="C26024" t="s">
        <v>4170</v>
      </c>
      <c r="D26024" s="7">
        <f>DATE(2012,12,4)</f>
        <v>41247</v>
      </c>
      <c r="E26024" s="8">
        <f t="shared" si="442"/>
        <v>2012</v>
      </c>
      <c r="F26024" t="s">
        <v>4171</v>
      </c>
      <c r="G26024" s="9">
        <v>21207.46</v>
      </c>
      <c r="H26024" s="8">
        <v>12023</v>
      </c>
    </row>
    <row r="26025" spans="2:8" ht="15" customHeight="1" x14ac:dyDescent="0.4">
      <c r="B26025" s="3" t="s">
        <v>7</v>
      </c>
      <c r="C26025" s="3" t="s">
        <v>4170</v>
      </c>
      <c r="D26025" s="4">
        <f>DATE(2005,11,8)</f>
        <v>38664</v>
      </c>
      <c r="E26025" s="5">
        <f t="shared" si="442"/>
        <v>2005</v>
      </c>
      <c r="F26025" s="3" t="s">
        <v>4171</v>
      </c>
      <c r="G26025" s="6">
        <v>7120</v>
      </c>
      <c r="H26025" s="5">
        <v>5524</v>
      </c>
    </row>
    <row r="26026" spans="2:8" ht="15" customHeight="1" x14ac:dyDescent="0.4">
      <c r="B26026" s="3" t="s">
        <v>7</v>
      </c>
      <c r="C26026" s="3" t="s">
        <v>4170</v>
      </c>
      <c r="D26026" s="4">
        <f>DATE(2005,11,25)</f>
        <v>38681</v>
      </c>
      <c r="E26026" s="5">
        <f t="shared" si="442"/>
        <v>2005</v>
      </c>
      <c r="F26026" s="3" t="s">
        <v>4171</v>
      </c>
      <c r="G26026" s="6">
        <v>222.5</v>
      </c>
      <c r="H26026" s="5">
        <v>5628</v>
      </c>
    </row>
    <row r="26027" spans="2:8" ht="15" customHeight="1" x14ac:dyDescent="0.4">
      <c r="B26027" s="3" t="s">
        <v>7</v>
      </c>
      <c r="C26027" s="3" t="s">
        <v>4170</v>
      </c>
      <c r="D26027" s="4">
        <f>DATE(2006,3,2)</f>
        <v>38778</v>
      </c>
      <c r="E26027" s="5">
        <f t="shared" si="442"/>
        <v>2006</v>
      </c>
      <c r="F26027" s="3" t="s">
        <v>4171</v>
      </c>
      <c r="G26027" s="6">
        <v>3000</v>
      </c>
      <c r="H26027" s="5">
        <v>6091</v>
      </c>
    </row>
    <row r="26028" spans="2:8" ht="15" customHeight="1" x14ac:dyDescent="0.4">
      <c r="B26028" s="3" t="s">
        <v>7</v>
      </c>
      <c r="C26028" s="3" t="s">
        <v>4170</v>
      </c>
      <c r="D26028" s="4">
        <f>DATE(2006,4,2)</f>
        <v>38809</v>
      </c>
      <c r="E26028" s="5">
        <f t="shared" si="442"/>
        <v>2006</v>
      </c>
      <c r="F26028" s="3" t="s">
        <v>4171</v>
      </c>
      <c r="G26028" s="6">
        <v>10003.92</v>
      </c>
      <c r="H26028" s="5">
        <v>6443</v>
      </c>
    </row>
    <row r="26029" spans="2:8" ht="15" customHeight="1" x14ac:dyDescent="0.4">
      <c r="B26029" s="3" t="s">
        <v>7</v>
      </c>
      <c r="C26029" s="3" t="s">
        <v>4170</v>
      </c>
      <c r="D26029" s="4">
        <f>DATE(2006,5,1)</f>
        <v>38838</v>
      </c>
      <c r="E26029" s="5">
        <f t="shared" si="442"/>
        <v>2006</v>
      </c>
      <c r="F26029" s="3" t="s">
        <v>4171</v>
      </c>
      <c r="G26029" s="6">
        <v>14240</v>
      </c>
      <c r="H26029" s="5">
        <v>6645</v>
      </c>
    </row>
    <row r="26030" spans="2:8" ht="15" customHeight="1" x14ac:dyDescent="0.4">
      <c r="B26030" s="3" t="s">
        <v>7</v>
      </c>
      <c r="C26030" s="3" t="s">
        <v>4170</v>
      </c>
      <c r="D26030" s="4">
        <f>DATE(2006,3,16)</f>
        <v>38792</v>
      </c>
      <c r="E26030" s="5">
        <f t="shared" si="442"/>
        <v>2006</v>
      </c>
      <c r="F26030" s="3" t="s">
        <v>4171</v>
      </c>
      <c r="G26030" s="6">
        <v>7120</v>
      </c>
      <c r="H26030" s="5">
        <v>6305</v>
      </c>
    </row>
    <row r="26031" spans="2:8" ht="15" customHeight="1" x14ac:dyDescent="0.4">
      <c r="B26031" s="3" t="s">
        <v>7</v>
      </c>
      <c r="C26031" s="3" t="s">
        <v>4170</v>
      </c>
      <c r="D26031" s="4">
        <f>DATE(2006,6,8)</f>
        <v>38876</v>
      </c>
      <c r="E26031" s="5">
        <f t="shared" si="442"/>
        <v>2006</v>
      </c>
      <c r="F26031" s="3" t="s">
        <v>4171</v>
      </c>
      <c r="G26031" s="6">
        <v>5467.02</v>
      </c>
      <c r="H26031" s="5">
        <v>6838</v>
      </c>
    </row>
    <row r="26032" spans="2:8" ht="15" customHeight="1" x14ac:dyDescent="0.4">
      <c r="B26032" s="3" t="s">
        <v>7</v>
      </c>
      <c r="C26032" s="3" t="s">
        <v>4170</v>
      </c>
      <c r="D26032" s="4">
        <f>DATE(2006,12,4)</f>
        <v>39055</v>
      </c>
      <c r="E26032" s="5">
        <f t="shared" si="442"/>
        <v>2006</v>
      </c>
      <c r="F26032" s="3" t="s">
        <v>4171</v>
      </c>
      <c r="G26032" s="6">
        <v>10711.18</v>
      </c>
      <c r="H26032" s="5">
        <v>7588</v>
      </c>
    </row>
    <row r="26033" spans="2:8" ht="15" customHeight="1" x14ac:dyDescent="0.4">
      <c r="B26033" s="3" t="s">
        <v>7</v>
      </c>
      <c r="C26033" s="3" t="s">
        <v>4170</v>
      </c>
      <c r="D26033" s="4">
        <f>DATE(2007,7,5)</f>
        <v>39268</v>
      </c>
      <c r="E26033" s="5">
        <f t="shared" si="442"/>
        <v>2007</v>
      </c>
      <c r="F26033" s="3" t="s">
        <v>4171</v>
      </c>
      <c r="G26033" s="6">
        <v>7120</v>
      </c>
      <c r="H26033" s="5">
        <v>8860</v>
      </c>
    </row>
    <row r="26034" spans="2:8" ht="15" customHeight="1" x14ac:dyDescent="0.4">
      <c r="B26034" s="3" t="s">
        <v>7</v>
      </c>
      <c r="C26034" s="3" t="s">
        <v>4170</v>
      </c>
      <c r="D26034" s="4">
        <f>DATE(2007,10,26)</f>
        <v>39381</v>
      </c>
      <c r="E26034" s="5">
        <f t="shared" si="442"/>
        <v>2007</v>
      </c>
      <c r="F26034" s="3" t="s">
        <v>4171</v>
      </c>
      <c r="G26034" s="6">
        <v>7120</v>
      </c>
      <c r="H26034" s="5">
        <v>9396</v>
      </c>
    </row>
    <row r="26035" spans="2:8" ht="15" customHeight="1" x14ac:dyDescent="0.4">
      <c r="B26035" s="3" t="s">
        <v>7</v>
      </c>
      <c r="C26035" s="3" t="s">
        <v>4170</v>
      </c>
      <c r="D26035" s="4">
        <f>DATE(2007,10,27)</f>
        <v>39382</v>
      </c>
      <c r="E26035" s="5">
        <f t="shared" si="442"/>
        <v>2007</v>
      </c>
      <c r="F26035" s="3" t="s">
        <v>4171</v>
      </c>
      <c r="G26035" s="6">
        <v>7120</v>
      </c>
      <c r="H26035" s="5">
        <v>9446</v>
      </c>
    </row>
    <row r="26036" spans="2:8" ht="15" customHeight="1" x14ac:dyDescent="0.4">
      <c r="B26036" s="3" t="s">
        <v>7</v>
      </c>
      <c r="C26036" s="3" t="s">
        <v>4170</v>
      </c>
      <c r="D26036" s="4">
        <f>DATE(2008,1,17)</f>
        <v>39464</v>
      </c>
      <c r="E26036" s="5">
        <f t="shared" si="442"/>
        <v>2008</v>
      </c>
      <c r="F26036" s="3" t="s">
        <v>4171</v>
      </c>
      <c r="G26036" s="6">
        <v>14240</v>
      </c>
      <c r="H26036" s="5">
        <v>9738</v>
      </c>
    </row>
    <row r="26037" spans="2:8" ht="15" customHeight="1" x14ac:dyDescent="0.4">
      <c r="B26037" s="3" t="s">
        <v>7</v>
      </c>
      <c r="C26037" s="3" t="s">
        <v>4170</v>
      </c>
      <c r="D26037" s="4">
        <f>DATE(2008,1,22)</f>
        <v>39469</v>
      </c>
      <c r="E26037" s="5">
        <f t="shared" si="442"/>
        <v>2008</v>
      </c>
      <c r="F26037" s="3" t="s">
        <v>4171</v>
      </c>
      <c r="G26037" s="6">
        <v>8900</v>
      </c>
      <c r="H26037" s="5">
        <v>9737</v>
      </c>
    </row>
    <row r="26038" spans="2:8" ht="15" customHeight="1" x14ac:dyDescent="0.4">
      <c r="B26038" s="3" t="s">
        <v>7</v>
      </c>
      <c r="C26038" s="3" t="s">
        <v>4170</v>
      </c>
      <c r="D26038" s="4">
        <f>DATE(2008,4,15)</f>
        <v>39553</v>
      </c>
      <c r="E26038" s="5">
        <f t="shared" si="442"/>
        <v>2008</v>
      </c>
      <c r="F26038" s="3" t="s">
        <v>4171</v>
      </c>
      <c r="G26038" s="6">
        <v>7296.04</v>
      </c>
      <c r="H26038" s="5">
        <v>10472</v>
      </c>
    </row>
    <row r="26039" spans="2:8" ht="15" customHeight="1" x14ac:dyDescent="0.4">
      <c r="B26039" s="3" t="s">
        <v>7</v>
      </c>
      <c r="C26039" s="3" t="s">
        <v>4170</v>
      </c>
      <c r="D26039" s="4">
        <f>DATE(2008,7,16)</f>
        <v>39645</v>
      </c>
      <c r="E26039" s="5">
        <f t="shared" si="442"/>
        <v>2008</v>
      </c>
      <c r="F26039" s="3" t="s">
        <v>4171</v>
      </c>
      <c r="G26039" s="6">
        <v>26944</v>
      </c>
      <c r="H26039" s="5">
        <v>10928</v>
      </c>
    </row>
    <row r="26040" spans="2:8" ht="15" customHeight="1" x14ac:dyDescent="0.4">
      <c r="B26040" s="3" t="s">
        <v>7</v>
      </c>
      <c r="C26040" s="3" t="s">
        <v>4170</v>
      </c>
      <c r="D26040" s="4">
        <f>DATE(2009,1,22)</f>
        <v>39835</v>
      </c>
      <c r="E26040" s="5">
        <f t="shared" si="442"/>
        <v>2009</v>
      </c>
      <c r="F26040" s="3" t="s">
        <v>4171</v>
      </c>
      <c r="G26040" s="6">
        <v>25260</v>
      </c>
      <c r="H26040" s="5">
        <v>11782</v>
      </c>
    </row>
    <row r="26041" spans="2:8" ht="15" customHeight="1" x14ac:dyDescent="0.4">
      <c r="B26041" s="3" t="s">
        <v>7</v>
      </c>
      <c r="C26041" s="3" t="s">
        <v>4170</v>
      </c>
      <c r="D26041" s="4">
        <f>DATE(2009,5,6)</f>
        <v>39939</v>
      </c>
      <c r="E26041" s="5">
        <f t="shared" si="442"/>
        <v>2009</v>
      </c>
      <c r="F26041" s="3" t="s">
        <v>4171</v>
      </c>
      <c r="G26041" s="6">
        <v>22808.9</v>
      </c>
      <c r="H26041" s="5">
        <v>12423</v>
      </c>
    </row>
    <row r="26042" spans="2:8" ht="15" customHeight="1" x14ac:dyDescent="0.4">
      <c r="B26042" s="3" t="s">
        <v>7</v>
      </c>
      <c r="C26042" s="3" t="s">
        <v>4170</v>
      </c>
      <c r="D26042" s="4">
        <f>DATE(2009,10,9)</f>
        <v>40095</v>
      </c>
      <c r="E26042" s="5">
        <f t="shared" si="442"/>
        <v>2009</v>
      </c>
      <c r="F26042" s="3" t="s">
        <v>4171</v>
      </c>
      <c r="G26042" s="6">
        <v>4230</v>
      </c>
      <c r="H26042" s="5">
        <v>13114</v>
      </c>
    </row>
    <row r="26043" spans="2:8" ht="15" customHeight="1" x14ac:dyDescent="0.4">
      <c r="B26043" s="3" t="s">
        <v>7</v>
      </c>
      <c r="C26043" s="3" t="s">
        <v>4170</v>
      </c>
      <c r="D26043" s="4">
        <f>DATE(2009,10,15)</f>
        <v>40101</v>
      </c>
      <c r="E26043" s="5">
        <f t="shared" si="442"/>
        <v>2009</v>
      </c>
      <c r="F26043" s="3" t="s">
        <v>4171</v>
      </c>
      <c r="G26043" s="6">
        <v>4450</v>
      </c>
      <c r="H26043" s="5">
        <v>13149</v>
      </c>
    </row>
    <row r="26044" spans="2:8" ht="15" customHeight="1" x14ac:dyDescent="0.4">
      <c r="B26044" s="3" t="s">
        <v>7</v>
      </c>
      <c r="C26044" s="3" t="s">
        <v>4170</v>
      </c>
      <c r="D26044" s="4">
        <f>DATE(2009,11,24)</f>
        <v>40141</v>
      </c>
      <c r="E26044" s="5">
        <f t="shared" si="442"/>
        <v>2009</v>
      </c>
      <c r="F26044" s="3" t="s">
        <v>4171</v>
      </c>
      <c r="G26044" s="6">
        <v>13893</v>
      </c>
      <c r="H26044" s="5">
        <v>13289</v>
      </c>
    </row>
    <row r="26045" spans="2:8" ht="15" customHeight="1" x14ac:dyDescent="0.4">
      <c r="B26045" s="3" t="s">
        <v>7</v>
      </c>
      <c r="C26045" s="3" t="s">
        <v>4170</v>
      </c>
      <c r="D26045" s="4">
        <f>DATE(2010,1,25)</f>
        <v>40203</v>
      </c>
      <c r="E26045" s="5">
        <f t="shared" si="442"/>
        <v>2010</v>
      </c>
      <c r="F26045" s="3" t="s">
        <v>4171</v>
      </c>
      <c r="G26045" s="6">
        <v>21050</v>
      </c>
      <c r="H26045" s="5">
        <v>13359</v>
      </c>
    </row>
    <row r="26046" spans="2:8" ht="15" customHeight="1" x14ac:dyDescent="0.4">
      <c r="B26046" s="3" t="s">
        <v>7</v>
      </c>
      <c r="C26046" s="3" t="s">
        <v>4170</v>
      </c>
      <c r="D26046" s="4">
        <f>DATE(2011,2,8)</f>
        <v>40582</v>
      </c>
      <c r="E26046" s="5">
        <f t="shared" si="442"/>
        <v>2011</v>
      </c>
      <c r="F26046" s="3" t="s">
        <v>4171</v>
      </c>
      <c r="G26046" s="6">
        <v>21050</v>
      </c>
      <c r="H26046" s="5">
        <v>14957</v>
      </c>
    </row>
    <row r="26047" spans="2:8" ht="15" customHeight="1" x14ac:dyDescent="0.4">
      <c r="B26047" s="3" t="s">
        <v>7</v>
      </c>
      <c r="C26047" s="3" t="s">
        <v>4170</v>
      </c>
      <c r="D26047" s="4">
        <f>DATE(2011,7,6)</f>
        <v>40730</v>
      </c>
      <c r="E26047" s="5">
        <f t="shared" si="442"/>
        <v>2011</v>
      </c>
      <c r="F26047" s="3" t="s">
        <v>4171</v>
      </c>
      <c r="G26047" s="6">
        <v>1009.89</v>
      </c>
      <c r="H26047" s="5">
        <v>15712</v>
      </c>
    </row>
    <row r="26048" spans="2:8" ht="15" customHeight="1" x14ac:dyDescent="0.4">
      <c r="B26048" s="3" t="s">
        <v>7</v>
      </c>
      <c r="C26048" s="3" t="s">
        <v>4170</v>
      </c>
      <c r="D26048" s="4">
        <f>DATE(2011,9,30)</f>
        <v>40816</v>
      </c>
      <c r="E26048" s="5">
        <f t="shared" si="442"/>
        <v>2011</v>
      </c>
      <c r="F26048" s="3" t="s">
        <v>4171</v>
      </c>
      <c r="G26048" s="6">
        <v>21050</v>
      </c>
      <c r="H26048" s="5">
        <v>15985</v>
      </c>
    </row>
    <row r="26049" spans="2:8" ht="15" customHeight="1" x14ac:dyDescent="0.4">
      <c r="B26049" s="3" t="s">
        <v>7</v>
      </c>
      <c r="C26049" s="3" t="s">
        <v>4170</v>
      </c>
      <c r="D26049" s="4">
        <f>DATE(2012,1,11)</f>
        <v>40919</v>
      </c>
      <c r="E26049" s="5">
        <f t="shared" si="442"/>
        <v>2012</v>
      </c>
      <c r="F26049" s="3" t="s">
        <v>4171</v>
      </c>
      <c r="G26049" s="6">
        <v>24525.55</v>
      </c>
      <c r="H26049" s="5">
        <v>16374</v>
      </c>
    </row>
    <row r="26050" spans="2:8" ht="15" customHeight="1" x14ac:dyDescent="0.4">
      <c r="B26050" s="3" t="s">
        <v>7</v>
      </c>
      <c r="C26050" s="3" t="s">
        <v>4170</v>
      </c>
      <c r="D26050" s="4">
        <f>DATE(2013,1,9)</f>
        <v>41283</v>
      </c>
      <c r="E26050" s="5">
        <f t="shared" si="442"/>
        <v>2013</v>
      </c>
      <c r="F26050" s="3" t="s">
        <v>4171</v>
      </c>
      <c r="G26050" s="6">
        <v>21150</v>
      </c>
      <c r="H26050" s="5">
        <v>17965</v>
      </c>
    </row>
    <row r="26051" spans="2:8" ht="15" customHeight="1" x14ac:dyDescent="0.4">
      <c r="B26051" s="3" t="s">
        <v>7</v>
      </c>
      <c r="C26051" s="3" t="s">
        <v>4170</v>
      </c>
      <c r="D26051" s="4">
        <f>DATE(2013,4,5)</f>
        <v>41369</v>
      </c>
      <c r="E26051" s="5">
        <f t="shared" ref="E26051:E26114" si="443">YEAR(D26051)</f>
        <v>2013</v>
      </c>
      <c r="F26051" s="3" t="s">
        <v>4171</v>
      </c>
      <c r="G26051" s="6">
        <v>21050</v>
      </c>
      <c r="H26051" s="5">
        <v>18281</v>
      </c>
    </row>
    <row r="26052" spans="2:8" ht="15" customHeight="1" x14ac:dyDescent="0.4">
      <c r="B26052" s="3" t="s">
        <v>7</v>
      </c>
      <c r="C26052" s="3" t="s">
        <v>4170</v>
      </c>
      <c r="D26052" s="4">
        <f>DATE(2013,10,16)</f>
        <v>41563</v>
      </c>
      <c r="E26052" s="5">
        <f t="shared" si="443"/>
        <v>2013</v>
      </c>
      <c r="F26052" s="3" t="s">
        <v>4171</v>
      </c>
      <c r="G26052" s="6">
        <v>22250</v>
      </c>
      <c r="H26052" s="5">
        <v>19098</v>
      </c>
    </row>
    <row r="26053" spans="2:8" ht="15" customHeight="1" x14ac:dyDescent="0.4">
      <c r="B26053" s="3" t="s">
        <v>7</v>
      </c>
      <c r="C26053" s="3" t="s">
        <v>4170</v>
      </c>
      <c r="D26053" s="4">
        <f>DATE(2013,10,28)</f>
        <v>41575</v>
      </c>
      <c r="E26053" s="5">
        <f t="shared" si="443"/>
        <v>2013</v>
      </c>
      <c r="F26053" s="3" t="s">
        <v>4171</v>
      </c>
      <c r="G26053" s="6">
        <v>1251.1600000000001</v>
      </c>
      <c r="H26053" s="5">
        <v>19096</v>
      </c>
    </row>
    <row r="26054" spans="2:8" ht="15" customHeight="1" x14ac:dyDescent="0.4">
      <c r="B26054" s="3" t="s">
        <v>7</v>
      </c>
      <c r="C26054" s="3" t="s">
        <v>4170</v>
      </c>
      <c r="D26054" s="4">
        <f>DATE(2013,12,5)</f>
        <v>41613</v>
      </c>
      <c r="E26054" s="5">
        <f t="shared" si="443"/>
        <v>2013</v>
      </c>
      <c r="F26054" s="3" t="s">
        <v>4171</v>
      </c>
      <c r="G26054" s="6">
        <v>750</v>
      </c>
      <c r="H26054" s="5">
        <v>19299</v>
      </c>
    </row>
    <row r="26055" spans="2:8" ht="15" customHeight="1" x14ac:dyDescent="0.4">
      <c r="B26055" s="3" t="s">
        <v>7</v>
      </c>
      <c r="C26055" s="3" t="s">
        <v>4170</v>
      </c>
      <c r="D26055" s="4">
        <f>DATE(2014,1,17)</f>
        <v>41656</v>
      </c>
      <c r="E26055" s="5">
        <f t="shared" si="443"/>
        <v>2014</v>
      </c>
      <c r="F26055" s="3" t="s">
        <v>4171</v>
      </c>
      <c r="G26055" s="6">
        <v>8420</v>
      </c>
      <c r="H26055" s="5">
        <v>19324</v>
      </c>
    </row>
    <row r="26056" spans="2:8" ht="15" customHeight="1" x14ac:dyDescent="0.4">
      <c r="B26056" s="3" t="s">
        <v>7</v>
      </c>
      <c r="C26056" s="3" t="s">
        <v>4170</v>
      </c>
      <c r="D26056" s="4">
        <f>DATE(2014,1,24)</f>
        <v>41663</v>
      </c>
      <c r="E26056" s="5">
        <f t="shared" si="443"/>
        <v>2014</v>
      </c>
      <c r="F26056" s="3" t="s">
        <v>4171</v>
      </c>
      <c r="G26056" s="6">
        <v>25260</v>
      </c>
      <c r="H26056" s="5">
        <v>19324</v>
      </c>
    </row>
    <row r="26057" spans="2:8" ht="15" customHeight="1" x14ac:dyDescent="0.4">
      <c r="B26057" t="s">
        <v>7</v>
      </c>
      <c r="C26057" t="s">
        <v>4172</v>
      </c>
      <c r="D26057" s="7">
        <f>DATE(2010,5,26)</f>
        <v>40324</v>
      </c>
      <c r="E26057" s="8">
        <f t="shared" si="443"/>
        <v>2010</v>
      </c>
      <c r="F26057" t="s">
        <v>4173</v>
      </c>
      <c r="G26057" s="9">
        <v>10345.77</v>
      </c>
      <c r="H26057" s="8">
        <v>9843</v>
      </c>
    </row>
    <row r="26058" spans="2:8" ht="15" customHeight="1" x14ac:dyDescent="0.4">
      <c r="B26058" t="s">
        <v>7</v>
      </c>
      <c r="C26058" t="s">
        <v>4174</v>
      </c>
      <c r="D26058" s="7">
        <f>DATE(2015,4,14)</f>
        <v>42108</v>
      </c>
      <c r="E26058" s="8">
        <f t="shared" si="443"/>
        <v>2015</v>
      </c>
      <c r="F26058" t="s">
        <v>4175</v>
      </c>
      <c r="G26058" s="9">
        <v>5958</v>
      </c>
      <c r="H26058" s="8">
        <v>20322</v>
      </c>
    </row>
    <row r="26059" spans="2:8" ht="15" customHeight="1" x14ac:dyDescent="0.4">
      <c r="B26059" t="s">
        <v>7</v>
      </c>
      <c r="C26059" t="s">
        <v>4174</v>
      </c>
      <c r="D26059" s="7">
        <f>DATE(2007,8,30)</f>
        <v>39324</v>
      </c>
      <c r="E26059" s="8">
        <f t="shared" si="443"/>
        <v>2007</v>
      </c>
      <c r="F26059" t="s">
        <v>4175</v>
      </c>
      <c r="G26059" s="9">
        <v>1166</v>
      </c>
      <c r="H26059" s="8">
        <v>6314</v>
      </c>
    </row>
    <row r="26060" spans="2:8" ht="15" customHeight="1" x14ac:dyDescent="0.4">
      <c r="B26060" t="s">
        <v>7</v>
      </c>
      <c r="C26060" t="s">
        <v>4174</v>
      </c>
      <c r="D26060" s="7">
        <f>DATE(2007,11,12)</f>
        <v>39398</v>
      </c>
      <c r="E26060" s="8">
        <f t="shared" si="443"/>
        <v>2007</v>
      </c>
      <c r="F26060" t="s">
        <v>4175</v>
      </c>
      <c r="G26060" s="9">
        <v>22500</v>
      </c>
      <c r="H26060" s="8">
        <v>6312</v>
      </c>
    </row>
    <row r="26061" spans="2:8" ht="15" customHeight="1" x14ac:dyDescent="0.4">
      <c r="B26061" t="s">
        <v>7</v>
      </c>
      <c r="C26061" t="s">
        <v>4174</v>
      </c>
      <c r="D26061" s="7">
        <f>DATE(2011,10,18)</f>
        <v>40834</v>
      </c>
      <c r="E26061" s="8">
        <f t="shared" si="443"/>
        <v>2011</v>
      </c>
      <c r="F26061" t="s">
        <v>4175</v>
      </c>
      <c r="G26061" s="9">
        <v>1350</v>
      </c>
      <c r="H26061" s="8">
        <v>11080</v>
      </c>
    </row>
    <row r="26062" spans="2:8" ht="15" customHeight="1" x14ac:dyDescent="0.4">
      <c r="B26062" t="s">
        <v>7</v>
      </c>
      <c r="C26062" t="s">
        <v>4174</v>
      </c>
      <c r="D26062" s="7">
        <f>DATE(2013,10,30)</f>
        <v>41577</v>
      </c>
      <c r="E26062" s="8">
        <f t="shared" si="443"/>
        <v>2013</v>
      </c>
      <c r="F26062" t="s">
        <v>4175</v>
      </c>
      <c r="G26062" s="9">
        <v>3500</v>
      </c>
      <c r="H26062" s="8">
        <v>12726</v>
      </c>
    </row>
    <row r="26063" spans="2:8" ht="15" customHeight="1" x14ac:dyDescent="0.4">
      <c r="B26063" t="s">
        <v>7</v>
      </c>
      <c r="C26063" t="s">
        <v>4174</v>
      </c>
      <c r="D26063" s="7">
        <f>DATE(2013,12,3)</f>
        <v>41611</v>
      </c>
      <c r="E26063" s="8">
        <f t="shared" si="443"/>
        <v>2013</v>
      </c>
      <c r="F26063" t="s">
        <v>4175</v>
      </c>
      <c r="G26063" s="9">
        <v>450</v>
      </c>
      <c r="H26063" s="8">
        <v>12830</v>
      </c>
    </row>
    <row r="26064" spans="2:8" ht="15" customHeight="1" x14ac:dyDescent="0.4">
      <c r="B26064" t="s">
        <v>7</v>
      </c>
      <c r="C26064" t="s">
        <v>4174</v>
      </c>
      <c r="D26064" s="7">
        <f>DATE(2014,4,9)</f>
        <v>41738</v>
      </c>
      <c r="E26064" s="8">
        <f t="shared" si="443"/>
        <v>2014</v>
      </c>
      <c r="F26064" t="s">
        <v>4175</v>
      </c>
      <c r="G26064" s="9">
        <v>20</v>
      </c>
      <c r="H26064" s="8">
        <v>13121</v>
      </c>
    </row>
    <row r="26065" spans="2:8" ht="15" customHeight="1" x14ac:dyDescent="0.4">
      <c r="B26065" t="s">
        <v>7</v>
      </c>
      <c r="C26065" t="s">
        <v>4174</v>
      </c>
      <c r="D26065" s="7">
        <f>DATE(2014,11,12)</f>
        <v>41955</v>
      </c>
      <c r="E26065" s="8">
        <f t="shared" si="443"/>
        <v>2014</v>
      </c>
      <c r="F26065" t="s">
        <v>4175</v>
      </c>
      <c r="G26065" s="9">
        <v>1350</v>
      </c>
      <c r="H26065" s="8">
        <v>13576</v>
      </c>
    </row>
    <row r="26066" spans="2:8" ht="15" customHeight="1" x14ac:dyDescent="0.4">
      <c r="B26066" t="s">
        <v>7</v>
      </c>
      <c r="C26066" t="s">
        <v>4174</v>
      </c>
      <c r="D26066" s="7">
        <f>DATE(2014,4,10)</f>
        <v>41739</v>
      </c>
      <c r="E26066" s="8">
        <f t="shared" si="443"/>
        <v>2014</v>
      </c>
      <c r="F26066" t="s">
        <v>4175</v>
      </c>
      <c r="G26066" s="9">
        <v>40735.129999999997</v>
      </c>
      <c r="H26066" s="8">
        <v>13101</v>
      </c>
    </row>
    <row r="26067" spans="2:8" ht="15" customHeight="1" x14ac:dyDescent="0.4">
      <c r="B26067" s="3" t="s">
        <v>7</v>
      </c>
      <c r="C26067" s="3" t="s">
        <v>4174</v>
      </c>
      <c r="D26067" s="4">
        <f>DATE(2005,1,7)</f>
        <v>38359</v>
      </c>
      <c r="E26067" s="5">
        <f t="shared" si="443"/>
        <v>2005</v>
      </c>
      <c r="F26067" s="3" t="s">
        <v>4175</v>
      </c>
      <c r="G26067" s="6">
        <v>11070</v>
      </c>
      <c r="H26067" s="5">
        <v>3823</v>
      </c>
    </row>
    <row r="26068" spans="2:8" ht="15" customHeight="1" x14ac:dyDescent="0.4">
      <c r="B26068" t="s">
        <v>7</v>
      </c>
      <c r="C26068" t="s">
        <v>4176</v>
      </c>
      <c r="D26068" s="7">
        <f>DATE(2015,1,28)</f>
        <v>42032</v>
      </c>
      <c r="E26068" s="8">
        <f t="shared" si="443"/>
        <v>2015</v>
      </c>
      <c r="F26068" t="s">
        <v>4177</v>
      </c>
      <c r="G26068" s="9">
        <v>3040</v>
      </c>
      <c r="H26068" s="8">
        <v>214</v>
      </c>
    </row>
    <row r="26069" spans="2:8" ht="15" customHeight="1" x14ac:dyDescent="0.4">
      <c r="B26069" t="s">
        <v>7</v>
      </c>
      <c r="C26069" t="s">
        <v>4176</v>
      </c>
      <c r="D26069" s="7">
        <f>DATE(2015,7,29)</f>
        <v>42214</v>
      </c>
      <c r="E26069" s="8">
        <f t="shared" si="443"/>
        <v>2015</v>
      </c>
      <c r="F26069" t="s">
        <v>4177</v>
      </c>
      <c r="G26069" s="9">
        <v>3839.16</v>
      </c>
      <c r="H26069" s="8">
        <v>21020</v>
      </c>
    </row>
    <row r="26070" spans="2:8" ht="15" customHeight="1" x14ac:dyDescent="0.4">
      <c r="B26070" t="s">
        <v>7</v>
      </c>
      <c r="C26070" t="s">
        <v>4176</v>
      </c>
      <c r="D26070" s="7">
        <f>DATE(2015,7,29)</f>
        <v>42214</v>
      </c>
      <c r="E26070" s="8">
        <f t="shared" si="443"/>
        <v>2015</v>
      </c>
      <c r="F26070" t="s">
        <v>4177</v>
      </c>
      <c r="G26070" s="9">
        <v>177.65</v>
      </c>
      <c r="H26070" s="8">
        <v>21014</v>
      </c>
    </row>
    <row r="26071" spans="2:8" ht="15" customHeight="1" x14ac:dyDescent="0.4">
      <c r="B26071" t="s">
        <v>7</v>
      </c>
      <c r="C26071" t="s">
        <v>4176</v>
      </c>
      <c r="D26071" s="7">
        <f>DATE(2015,7,29)</f>
        <v>42214</v>
      </c>
      <c r="E26071" s="8">
        <f t="shared" si="443"/>
        <v>2015</v>
      </c>
      <c r="F26071" t="s">
        <v>4177</v>
      </c>
      <c r="G26071" s="9">
        <v>2521.02</v>
      </c>
      <c r="H26071" s="8">
        <v>21020</v>
      </c>
    </row>
    <row r="26072" spans="2:8" ht="15" customHeight="1" x14ac:dyDescent="0.4">
      <c r="B26072" t="s">
        <v>7</v>
      </c>
      <c r="C26072" t="s">
        <v>4176</v>
      </c>
      <c r="D26072" s="7">
        <f>DATE(2015,8,3)</f>
        <v>42219</v>
      </c>
      <c r="E26072" s="8">
        <f t="shared" si="443"/>
        <v>2015</v>
      </c>
      <c r="F26072" t="s">
        <v>4177</v>
      </c>
      <c r="G26072" s="9">
        <v>353.15</v>
      </c>
      <c r="H26072" s="8">
        <v>21034</v>
      </c>
    </row>
    <row r="26073" spans="2:8" ht="15" customHeight="1" x14ac:dyDescent="0.4">
      <c r="B26073" t="s">
        <v>7</v>
      </c>
      <c r="C26073" t="s">
        <v>4176</v>
      </c>
      <c r="D26073" s="7">
        <f>DATE(2016,1,8)</f>
        <v>42377</v>
      </c>
      <c r="E26073" s="8">
        <f t="shared" si="443"/>
        <v>2016</v>
      </c>
      <c r="F26073" t="s">
        <v>4177</v>
      </c>
      <c r="G26073" s="9">
        <v>9500</v>
      </c>
      <c r="H26073" s="8">
        <v>21932</v>
      </c>
    </row>
    <row r="26074" spans="2:8" ht="15" customHeight="1" x14ac:dyDescent="0.4">
      <c r="B26074" s="3" t="s">
        <v>7</v>
      </c>
      <c r="C26074" s="3" t="s">
        <v>4176</v>
      </c>
      <c r="D26074" s="4">
        <f>DATE(2003,2,25)</f>
        <v>37677</v>
      </c>
      <c r="E26074" s="5">
        <f t="shared" si="443"/>
        <v>2003</v>
      </c>
      <c r="F26074" s="3" t="s">
        <v>4177</v>
      </c>
      <c r="G26074" s="6">
        <v>44</v>
      </c>
      <c r="H26074" s="5">
        <v>401</v>
      </c>
    </row>
    <row r="26075" spans="2:8" ht="15" customHeight="1" x14ac:dyDescent="0.4">
      <c r="B26075" s="3" t="s">
        <v>7</v>
      </c>
      <c r="C26075" s="3" t="s">
        <v>4176</v>
      </c>
      <c r="D26075" s="4">
        <f>DATE(2003,3,17)</f>
        <v>37697</v>
      </c>
      <c r="E26075" s="5">
        <f t="shared" si="443"/>
        <v>2003</v>
      </c>
      <c r="F26075" s="3" t="s">
        <v>4177</v>
      </c>
      <c r="G26075" s="6">
        <v>7603.96</v>
      </c>
      <c r="H26075" s="5">
        <v>525</v>
      </c>
    </row>
    <row r="26076" spans="2:8" ht="15" customHeight="1" x14ac:dyDescent="0.4">
      <c r="B26076" s="3" t="s">
        <v>7</v>
      </c>
      <c r="C26076" s="3" t="s">
        <v>4176</v>
      </c>
      <c r="D26076" s="4">
        <f>DATE(2003,5,1)</f>
        <v>37742</v>
      </c>
      <c r="E26076" s="5">
        <f t="shared" si="443"/>
        <v>2003</v>
      </c>
      <c r="F26076" s="3" t="s">
        <v>4177</v>
      </c>
      <c r="G26076" s="6">
        <v>4400.1000000000004</v>
      </c>
      <c r="H26076" s="5">
        <v>865</v>
      </c>
    </row>
    <row r="26077" spans="2:8" ht="15" customHeight="1" x14ac:dyDescent="0.4">
      <c r="B26077" s="3" t="s">
        <v>7</v>
      </c>
      <c r="C26077" s="3" t="s">
        <v>4176</v>
      </c>
      <c r="D26077" s="4">
        <f>DATE(2004,3,31)</f>
        <v>38077</v>
      </c>
      <c r="E26077" s="5">
        <f t="shared" si="443"/>
        <v>2004</v>
      </c>
      <c r="F26077" s="3" t="s">
        <v>4177</v>
      </c>
      <c r="G26077" s="6">
        <v>271.75</v>
      </c>
      <c r="H26077" s="5">
        <v>2539</v>
      </c>
    </row>
    <row r="26078" spans="2:8" ht="15" customHeight="1" x14ac:dyDescent="0.4">
      <c r="B26078" s="3" t="s">
        <v>7</v>
      </c>
      <c r="C26078" s="3" t="s">
        <v>4176</v>
      </c>
      <c r="D26078" s="4">
        <f>DATE(2004,4,14)</f>
        <v>38091</v>
      </c>
      <c r="E26078" s="5">
        <f t="shared" si="443"/>
        <v>2004</v>
      </c>
      <c r="F26078" s="3" t="s">
        <v>4177</v>
      </c>
      <c r="G26078" s="6">
        <v>728</v>
      </c>
      <c r="H26078" s="5">
        <v>2656</v>
      </c>
    </row>
    <row r="26079" spans="2:8" ht="15" customHeight="1" x14ac:dyDescent="0.4">
      <c r="B26079" s="3" t="s">
        <v>7</v>
      </c>
      <c r="C26079" s="3" t="s">
        <v>4176</v>
      </c>
      <c r="D26079" s="4">
        <f>DATE(2004,4,19)</f>
        <v>38096</v>
      </c>
      <c r="E26079" s="5">
        <f t="shared" si="443"/>
        <v>2004</v>
      </c>
      <c r="F26079" s="3" t="s">
        <v>4177</v>
      </c>
      <c r="G26079" s="6">
        <v>3983</v>
      </c>
      <c r="H26079" s="5">
        <v>2658</v>
      </c>
    </row>
    <row r="26080" spans="2:8" ht="15" customHeight="1" x14ac:dyDescent="0.4">
      <c r="B26080" s="3" t="s">
        <v>7</v>
      </c>
      <c r="C26080" s="3" t="s">
        <v>4176</v>
      </c>
      <c r="D26080" s="4">
        <f>DATE(2004,10,11)</f>
        <v>38271</v>
      </c>
      <c r="E26080" s="5">
        <f t="shared" si="443"/>
        <v>2004</v>
      </c>
      <c r="F26080" s="3" t="s">
        <v>4177</v>
      </c>
      <c r="G26080" s="6">
        <v>3754</v>
      </c>
      <c r="H26080" s="5">
        <v>3557</v>
      </c>
    </row>
    <row r="26081" spans="2:8" ht="15" customHeight="1" x14ac:dyDescent="0.4">
      <c r="B26081" s="3" t="s">
        <v>7</v>
      </c>
      <c r="C26081" s="3" t="s">
        <v>4176</v>
      </c>
      <c r="D26081" s="4">
        <f>DATE(2005,7,25)</f>
        <v>38558</v>
      </c>
      <c r="E26081" s="5">
        <f t="shared" si="443"/>
        <v>2005</v>
      </c>
      <c r="F26081" s="3" t="s">
        <v>4177</v>
      </c>
      <c r="G26081" s="6">
        <v>768</v>
      </c>
      <c r="H26081" s="5">
        <v>5022</v>
      </c>
    </row>
    <row r="26082" spans="2:8" ht="15" customHeight="1" x14ac:dyDescent="0.4">
      <c r="B26082" s="3" t="s">
        <v>7</v>
      </c>
      <c r="C26082" s="3" t="s">
        <v>4176</v>
      </c>
      <c r="D26082" s="4">
        <f>DATE(2005,9,12)</f>
        <v>38607</v>
      </c>
      <c r="E26082" s="5">
        <f t="shared" si="443"/>
        <v>2005</v>
      </c>
      <c r="F26082" s="3" t="s">
        <v>4177</v>
      </c>
      <c r="G26082" s="6">
        <v>4201</v>
      </c>
      <c r="H26082" s="5">
        <v>5250</v>
      </c>
    </row>
    <row r="26083" spans="2:8" ht="15" customHeight="1" x14ac:dyDescent="0.4">
      <c r="B26083" s="3" t="s">
        <v>7</v>
      </c>
      <c r="C26083" s="3" t="s">
        <v>4176</v>
      </c>
      <c r="D26083" s="4">
        <f>DATE(2006,3,17)</f>
        <v>38793</v>
      </c>
      <c r="E26083" s="5">
        <f t="shared" si="443"/>
        <v>2006</v>
      </c>
      <c r="F26083" s="3" t="s">
        <v>4177</v>
      </c>
      <c r="G26083" s="6">
        <v>425.02</v>
      </c>
      <c r="H26083" s="5">
        <v>6325</v>
      </c>
    </row>
    <row r="26084" spans="2:8" ht="15" customHeight="1" x14ac:dyDescent="0.4">
      <c r="B26084" s="3" t="s">
        <v>7</v>
      </c>
      <c r="C26084" s="3" t="s">
        <v>4176</v>
      </c>
      <c r="D26084" s="4">
        <f>DATE(2006,4,13)</f>
        <v>38820</v>
      </c>
      <c r="E26084" s="5">
        <f t="shared" si="443"/>
        <v>2006</v>
      </c>
      <c r="F26084" s="3" t="s">
        <v>4177</v>
      </c>
      <c r="G26084" s="6">
        <v>5481.58</v>
      </c>
      <c r="H26084" s="5">
        <v>6487</v>
      </c>
    </row>
    <row r="26085" spans="2:8" ht="15" customHeight="1" x14ac:dyDescent="0.4">
      <c r="B26085" s="3" t="s">
        <v>7</v>
      </c>
      <c r="C26085" s="3" t="s">
        <v>4176</v>
      </c>
      <c r="D26085" s="4">
        <f>DATE(2006,4,26)</f>
        <v>38833</v>
      </c>
      <c r="E26085" s="5">
        <f t="shared" si="443"/>
        <v>2006</v>
      </c>
      <c r="F26085" s="3" t="s">
        <v>4177</v>
      </c>
      <c r="G26085" s="6">
        <v>7016.32</v>
      </c>
      <c r="H26085" s="5">
        <v>6618</v>
      </c>
    </row>
    <row r="26086" spans="2:8" ht="15" customHeight="1" x14ac:dyDescent="0.4">
      <c r="B26086" s="3" t="s">
        <v>7</v>
      </c>
      <c r="C26086" s="3" t="s">
        <v>4176</v>
      </c>
      <c r="D26086" s="4">
        <f>DATE(2007,2,1)</f>
        <v>39114</v>
      </c>
      <c r="E26086" s="5">
        <f t="shared" si="443"/>
        <v>2007</v>
      </c>
      <c r="F26086" s="3" t="s">
        <v>4177</v>
      </c>
      <c r="G26086" s="6">
        <v>769</v>
      </c>
      <c r="H26086" s="5">
        <v>7867</v>
      </c>
    </row>
    <row r="26087" spans="2:8" ht="15" customHeight="1" x14ac:dyDescent="0.4">
      <c r="B26087" s="3" t="s">
        <v>7</v>
      </c>
      <c r="C26087" s="3" t="s">
        <v>4176</v>
      </c>
      <c r="D26087" s="4">
        <f>DATE(2007,4,26)</f>
        <v>39198</v>
      </c>
      <c r="E26087" s="5">
        <f t="shared" si="443"/>
        <v>2007</v>
      </c>
      <c r="F26087" s="3" t="s">
        <v>4177</v>
      </c>
      <c r="G26087" s="6">
        <v>5347.09</v>
      </c>
      <c r="H26087" s="5">
        <v>8462</v>
      </c>
    </row>
    <row r="26088" spans="2:8" ht="15" customHeight="1" x14ac:dyDescent="0.4">
      <c r="B26088" s="3" t="s">
        <v>7</v>
      </c>
      <c r="C26088" s="3" t="s">
        <v>4176</v>
      </c>
      <c r="D26088" s="4">
        <f>DATE(2008,2,8)</f>
        <v>39486</v>
      </c>
      <c r="E26088" s="5">
        <f t="shared" si="443"/>
        <v>2008</v>
      </c>
      <c r="F26088" s="3" t="s">
        <v>4177</v>
      </c>
      <c r="G26088" s="6">
        <v>3826.52</v>
      </c>
      <c r="H26088" s="5">
        <v>9899</v>
      </c>
    </row>
    <row r="26089" spans="2:8" ht="15" customHeight="1" x14ac:dyDescent="0.4">
      <c r="B26089" s="3" t="s">
        <v>7</v>
      </c>
      <c r="C26089" s="3" t="s">
        <v>4176</v>
      </c>
      <c r="D26089" s="4">
        <f>DATE(2008,3,12)</f>
        <v>39519</v>
      </c>
      <c r="E26089" s="5">
        <f t="shared" si="443"/>
        <v>2008</v>
      </c>
      <c r="F26089" s="3" t="s">
        <v>4177</v>
      </c>
      <c r="G26089" s="6">
        <v>187</v>
      </c>
      <c r="H26089" s="5">
        <v>10192</v>
      </c>
    </row>
    <row r="26090" spans="2:8" ht="15" customHeight="1" x14ac:dyDescent="0.4">
      <c r="B26090" s="3" t="s">
        <v>7</v>
      </c>
      <c r="C26090" s="3" t="s">
        <v>4176</v>
      </c>
      <c r="D26090" s="4">
        <f>DATE(2008,5,9)</f>
        <v>39577</v>
      </c>
      <c r="E26090" s="5">
        <f t="shared" si="443"/>
        <v>2008</v>
      </c>
      <c r="F26090" s="3" t="s">
        <v>4177</v>
      </c>
      <c r="G26090" s="6">
        <v>4727.49</v>
      </c>
      <c r="H26090" s="5">
        <v>10594</v>
      </c>
    </row>
    <row r="26091" spans="2:8" ht="15" customHeight="1" x14ac:dyDescent="0.4">
      <c r="B26091" s="3" t="s">
        <v>7</v>
      </c>
      <c r="C26091" s="3" t="s">
        <v>4176</v>
      </c>
      <c r="D26091" s="4">
        <f>DATE(2008,9,3)</f>
        <v>39694</v>
      </c>
      <c r="E26091" s="5">
        <f t="shared" si="443"/>
        <v>2008</v>
      </c>
      <c r="F26091" s="3" t="s">
        <v>4177</v>
      </c>
      <c r="G26091" s="6">
        <v>48.1</v>
      </c>
      <c r="H26091" s="5">
        <v>11202</v>
      </c>
    </row>
    <row r="26092" spans="2:8" ht="15" customHeight="1" x14ac:dyDescent="0.4">
      <c r="B26092" s="3" t="s">
        <v>7</v>
      </c>
      <c r="C26092" s="3" t="s">
        <v>4176</v>
      </c>
      <c r="D26092" s="4">
        <f>DATE(2008,10,16)</f>
        <v>39737</v>
      </c>
      <c r="E26092" s="5">
        <f t="shared" si="443"/>
        <v>2008</v>
      </c>
      <c r="F26092" s="3" t="s">
        <v>4177</v>
      </c>
      <c r="G26092" s="6">
        <v>8815.93</v>
      </c>
      <c r="H26092" s="5">
        <v>11435</v>
      </c>
    </row>
    <row r="26093" spans="2:8" ht="15" customHeight="1" x14ac:dyDescent="0.4">
      <c r="B26093" s="3" t="s">
        <v>7</v>
      </c>
      <c r="C26093" s="3" t="s">
        <v>4176</v>
      </c>
      <c r="D26093" s="4">
        <f>DATE(2009,1,20)</f>
        <v>39833</v>
      </c>
      <c r="E26093" s="5">
        <f t="shared" si="443"/>
        <v>2009</v>
      </c>
      <c r="F26093" s="3" t="s">
        <v>4177</v>
      </c>
      <c r="G26093" s="6">
        <v>160.4</v>
      </c>
      <c r="H26093" s="5">
        <v>11847</v>
      </c>
    </row>
    <row r="26094" spans="2:8" ht="15" customHeight="1" x14ac:dyDescent="0.4">
      <c r="B26094" s="3" t="s">
        <v>7</v>
      </c>
      <c r="C26094" s="3" t="s">
        <v>4176</v>
      </c>
      <c r="D26094" s="4">
        <f>DATE(2009,5,6)</f>
        <v>39939</v>
      </c>
      <c r="E26094" s="5">
        <f t="shared" si="443"/>
        <v>2009</v>
      </c>
      <c r="F26094" s="3" t="s">
        <v>4177</v>
      </c>
      <c r="G26094" s="6">
        <v>3827.43</v>
      </c>
      <c r="H26094" s="5">
        <v>12496</v>
      </c>
    </row>
    <row r="26095" spans="2:8" ht="15" customHeight="1" x14ac:dyDescent="0.4">
      <c r="B26095" s="3" t="s">
        <v>7</v>
      </c>
      <c r="C26095" s="3" t="s">
        <v>4176</v>
      </c>
      <c r="D26095" s="4">
        <f>DATE(2009,8,14)</f>
        <v>40039</v>
      </c>
      <c r="E26095" s="5">
        <f t="shared" si="443"/>
        <v>2009</v>
      </c>
      <c r="F26095" s="3" t="s">
        <v>4177</v>
      </c>
      <c r="G26095" s="6">
        <v>4586.87</v>
      </c>
      <c r="H26095" s="5">
        <v>12904</v>
      </c>
    </row>
    <row r="26096" spans="2:8" ht="15" customHeight="1" x14ac:dyDescent="0.4">
      <c r="B26096" s="3" t="s">
        <v>7</v>
      </c>
      <c r="C26096" s="3" t="s">
        <v>4176</v>
      </c>
      <c r="D26096" s="4">
        <f>DATE(2010,5,19)</f>
        <v>40317</v>
      </c>
      <c r="E26096" s="5">
        <f t="shared" si="443"/>
        <v>2010</v>
      </c>
      <c r="F26096" s="3" t="s">
        <v>4177</v>
      </c>
      <c r="G26096" s="6">
        <v>5917.24</v>
      </c>
      <c r="H26096" s="5">
        <v>14076</v>
      </c>
    </row>
    <row r="26097" spans="2:8" ht="15" customHeight="1" x14ac:dyDescent="0.4">
      <c r="B26097" s="3" t="s">
        <v>7</v>
      </c>
      <c r="C26097" s="3" t="s">
        <v>4176</v>
      </c>
      <c r="D26097" s="4">
        <f>DATE(2010,5,19)</f>
        <v>40317</v>
      </c>
      <c r="E26097" s="5">
        <f t="shared" si="443"/>
        <v>2010</v>
      </c>
      <c r="F26097" s="3" t="s">
        <v>4177</v>
      </c>
      <c r="G26097" s="6">
        <v>304</v>
      </c>
      <c r="H26097" s="5">
        <v>14073</v>
      </c>
    </row>
    <row r="26098" spans="2:8" ht="15" customHeight="1" x14ac:dyDescent="0.4">
      <c r="B26098" s="3" t="s">
        <v>7</v>
      </c>
      <c r="C26098" s="3" t="s">
        <v>4176</v>
      </c>
      <c r="D26098" s="4">
        <f>DATE(2011,5,4)</f>
        <v>40667</v>
      </c>
      <c r="E26098" s="5">
        <f t="shared" si="443"/>
        <v>2011</v>
      </c>
      <c r="F26098" s="3" t="s">
        <v>4177</v>
      </c>
      <c r="G26098" s="6">
        <v>189</v>
      </c>
      <c r="H26098" s="5">
        <v>15528</v>
      </c>
    </row>
    <row r="26099" spans="2:8" ht="15" customHeight="1" x14ac:dyDescent="0.4">
      <c r="B26099" s="3" t="s">
        <v>7</v>
      </c>
      <c r="C26099" s="3" t="s">
        <v>4176</v>
      </c>
      <c r="D26099" s="4">
        <f>DATE(2013,2,8)</f>
        <v>41313</v>
      </c>
      <c r="E26099" s="5">
        <f t="shared" si="443"/>
        <v>2013</v>
      </c>
      <c r="F26099" s="3" t="s">
        <v>4177</v>
      </c>
      <c r="G26099" s="6">
        <v>6172.88</v>
      </c>
      <c r="H26099" s="5">
        <v>18134</v>
      </c>
    </row>
    <row r="26100" spans="2:8" ht="15" customHeight="1" x14ac:dyDescent="0.4">
      <c r="B26100" s="3" t="s">
        <v>7</v>
      </c>
      <c r="C26100" s="3" t="s">
        <v>4176</v>
      </c>
      <c r="D26100" s="4">
        <f>DATE(2013,4,15)</f>
        <v>41379</v>
      </c>
      <c r="E26100" s="5">
        <f t="shared" si="443"/>
        <v>2013</v>
      </c>
      <c r="F26100" s="3" t="s">
        <v>4177</v>
      </c>
      <c r="G26100" s="6">
        <v>3063</v>
      </c>
      <c r="H26100" s="5">
        <v>18456</v>
      </c>
    </row>
    <row r="26101" spans="2:8" ht="15" customHeight="1" x14ac:dyDescent="0.4">
      <c r="B26101" t="s">
        <v>7</v>
      </c>
      <c r="C26101" t="s">
        <v>4178</v>
      </c>
      <c r="D26101" s="7">
        <f>DATE(2015,9,18)</f>
        <v>42265</v>
      </c>
      <c r="E26101" s="8">
        <f t="shared" si="443"/>
        <v>2015</v>
      </c>
      <c r="F26101" t="s">
        <v>4179</v>
      </c>
      <c r="G26101" s="9">
        <v>6565.49</v>
      </c>
      <c r="H26101" s="8">
        <v>21209</v>
      </c>
    </row>
    <row r="26102" spans="2:8" ht="15" customHeight="1" x14ac:dyDescent="0.4">
      <c r="B26102" t="s">
        <v>7</v>
      </c>
      <c r="C26102" t="s">
        <v>4178</v>
      </c>
      <c r="D26102" s="7">
        <f>DATE(2018,4,18)</f>
        <v>43208</v>
      </c>
      <c r="E26102" s="8">
        <f t="shared" si="443"/>
        <v>2018</v>
      </c>
      <c r="F26102" t="s">
        <v>4179</v>
      </c>
      <c r="G26102" s="9">
        <v>6744.11</v>
      </c>
      <c r="H26102" s="8">
        <v>26845</v>
      </c>
    </row>
    <row r="26103" spans="2:8" ht="15" customHeight="1" x14ac:dyDescent="0.4">
      <c r="B26103" t="s">
        <v>7</v>
      </c>
      <c r="C26103" t="s">
        <v>4178</v>
      </c>
      <c r="D26103" s="7">
        <f>DATE(2013,10,11)</f>
        <v>41558</v>
      </c>
      <c r="E26103" s="8">
        <f t="shared" si="443"/>
        <v>2013</v>
      </c>
      <c r="F26103" t="s">
        <v>4179</v>
      </c>
      <c r="G26103" s="9">
        <v>7545.78</v>
      </c>
      <c r="H26103" s="8">
        <v>12709</v>
      </c>
    </row>
    <row r="26104" spans="2:8" ht="15" customHeight="1" x14ac:dyDescent="0.4">
      <c r="B26104" t="s">
        <v>7</v>
      </c>
      <c r="C26104" t="s">
        <v>4178</v>
      </c>
      <c r="D26104" s="7">
        <f>DATE(2014,3,18)</f>
        <v>41716</v>
      </c>
      <c r="E26104" s="8">
        <f t="shared" si="443"/>
        <v>2014</v>
      </c>
      <c r="F26104" t="s">
        <v>4179</v>
      </c>
      <c r="G26104" s="9">
        <v>8279.82</v>
      </c>
      <c r="H26104" s="8">
        <v>13036</v>
      </c>
    </row>
    <row r="26105" spans="2:8" ht="15" customHeight="1" x14ac:dyDescent="0.4">
      <c r="B26105" t="s">
        <v>7</v>
      </c>
      <c r="C26105" t="s">
        <v>4178</v>
      </c>
      <c r="D26105" s="7">
        <f>DATE(2014,10,2)</f>
        <v>41914</v>
      </c>
      <c r="E26105" s="8">
        <f t="shared" si="443"/>
        <v>2014</v>
      </c>
      <c r="F26105" t="s">
        <v>4179</v>
      </c>
      <c r="G26105" s="9">
        <v>6554.46</v>
      </c>
      <c r="H26105" s="8">
        <v>13497</v>
      </c>
    </row>
    <row r="26106" spans="2:8" ht="15" customHeight="1" x14ac:dyDescent="0.4">
      <c r="B26106" t="s">
        <v>7</v>
      </c>
      <c r="C26106" t="s">
        <v>4180</v>
      </c>
      <c r="D26106" s="7">
        <f>DATE(2008,8,10)</f>
        <v>39670</v>
      </c>
      <c r="E26106" s="8">
        <f t="shared" si="443"/>
        <v>2008</v>
      </c>
      <c r="F26106" t="s">
        <v>4181</v>
      </c>
      <c r="G26106" s="9">
        <v>23500</v>
      </c>
      <c r="H26106" s="8">
        <v>7676</v>
      </c>
    </row>
    <row r="26107" spans="2:8" ht="15" customHeight="1" x14ac:dyDescent="0.4">
      <c r="B26107" t="s">
        <v>7</v>
      </c>
      <c r="C26107" t="s">
        <v>4180</v>
      </c>
      <c r="D26107" s="7">
        <f>DATE(2009,6,4)</f>
        <v>39968</v>
      </c>
      <c r="E26107" s="8">
        <f t="shared" si="443"/>
        <v>2009</v>
      </c>
      <c r="F26107" t="s">
        <v>4181</v>
      </c>
      <c r="G26107" s="9">
        <v>23360</v>
      </c>
      <c r="H26107" s="8">
        <v>8518</v>
      </c>
    </row>
    <row r="26108" spans="2:8" ht="15" customHeight="1" x14ac:dyDescent="0.4">
      <c r="B26108" s="3" t="s">
        <v>7</v>
      </c>
      <c r="C26108" s="3" t="s">
        <v>4180</v>
      </c>
      <c r="D26108" s="4">
        <f>DATE(2005,5,9)</f>
        <v>38481</v>
      </c>
      <c r="E26108" s="5">
        <f t="shared" si="443"/>
        <v>2005</v>
      </c>
      <c r="F26108" s="3" t="s">
        <v>4181</v>
      </c>
      <c r="G26108" s="6">
        <v>735</v>
      </c>
      <c r="H26108" s="5">
        <v>4717</v>
      </c>
    </row>
    <row r="26109" spans="2:8" ht="15" customHeight="1" x14ac:dyDescent="0.4">
      <c r="B26109" s="3" t="s">
        <v>7</v>
      </c>
      <c r="C26109" s="3" t="s">
        <v>4180</v>
      </c>
      <c r="D26109" s="4">
        <f>DATE(2005,5,5)</f>
        <v>38477</v>
      </c>
      <c r="E26109" s="5">
        <f t="shared" si="443"/>
        <v>2005</v>
      </c>
      <c r="F26109" s="3" t="s">
        <v>4181</v>
      </c>
      <c r="G26109" s="6">
        <v>735</v>
      </c>
      <c r="H26109" s="5">
        <v>4702</v>
      </c>
    </row>
    <row r="26110" spans="2:8" ht="15" customHeight="1" x14ac:dyDescent="0.4">
      <c r="B26110" s="3" t="s">
        <v>7</v>
      </c>
      <c r="C26110" s="3" t="s">
        <v>4180</v>
      </c>
      <c r="D26110" s="4">
        <f>DATE(2005,5,10)</f>
        <v>38482</v>
      </c>
      <c r="E26110" s="5">
        <f t="shared" si="443"/>
        <v>2005</v>
      </c>
      <c r="F26110" s="3" t="s">
        <v>4181</v>
      </c>
      <c r="G26110" s="6">
        <v>1552.52</v>
      </c>
      <c r="H26110" s="5">
        <v>4733</v>
      </c>
    </row>
    <row r="26111" spans="2:8" ht="15" customHeight="1" x14ac:dyDescent="0.4">
      <c r="B26111" s="3" t="s">
        <v>7</v>
      </c>
      <c r="C26111" s="3" t="s">
        <v>4180</v>
      </c>
      <c r="D26111" s="4">
        <f>DATE(2005,7,27)</f>
        <v>38560</v>
      </c>
      <c r="E26111" s="5">
        <f t="shared" si="443"/>
        <v>2005</v>
      </c>
      <c r="F26111" s="3" t="s">
        <v>4181</v>
      </c>
      <c r="G26111" s="6">
        <v>263</v>
      </c>
      <c r="H26111" s="5">
        <v>5033</v>
      </c>
    </row>
    <row r="26112" spans="2:8" ht="15" customHeight="1" x14ac:dyDescent="0.4">
      <c r="B26112" s="3" t="s">
        <v>7</v>
      </c>
      <c r="C26112" s="3" t="s">
        <v>4180</v>
      </c>
      <c r="D26112" s="4">
        <f>DATE(2005,8,3)</f>
        <v>38567</v>
      </c>
      <c r="E26112" s="5">
        <f t="shared" si="443"/>
        <v>2005</v>
      </c>
      <c r="F26112" s="3" t="s">
        <v>4181</v>
      </c>
      <c r="G26112" s="6">
        <v>147</v>
      </c>
      <c r="H26112" s="5">
        <v>5060</v>
      </c>
    </row>
    <row r="26113" spans="2:8" ht="15" customHeight="1" x14ac:dyDescent="0.4">
      <c r="B26113" s="3" t="s">
        <v>7</v>
      </c>
      <c r="C26113" s="3" t="s">
        <v>4180</v>
      </c>
      <c r="D26113" s="4">
        <f>DATE(2005,12,6)</f>
        <v>38692</v>
      </c>
      <c r="E26113" s="5">
        <f t="shared" si="443"/>
        <v>2005</v>
      </c>
      <c r="F26113" s="3" t="s">
        <v>4181</v>
      </c>
      <c r="G26113" s="6">
        <v>331</v>
      </c>
      <c r="H26113" s="5">
        <v>5636</v>
      </c>
    </row>
    <row r="26114" spans="2:8" ht="15" customHeight="1" x14ac:dyDescent="0.4">
      <c r="B26114" s="3" t="s">
        <v>7</v>
      </c>
      <c r="C26114" s="3" t="s">
        <v>4180</v>
      </c>
      <c r="D26114" s="4">
        <f>DATE(2006,1,16)</f>
        <v>38733</v>
      </c>
      <c r="E26114" s="5">
        <f t="shared" si="443"/>
        <v>2006</v>
      </c>
      <c r="F26114" s="3" t="s">
        <v>4181</v>
      </c>
      <c r="G26114" s="6">
        <v>625.1</v>
      </c>
      <c r="H26114" s="5">
        <v>5854</v>
      </c>
    </row>
    <row r="26115" spans="2:8" ht="15" customHeight="1" x14ac:dyDescent="0.4">
      <c r="B26115" s="3" t="s">
        <v>7</v>
      </c>
      <c r="C26115" s="3" t="s">
        <v>4180</v>
      </c>
      <c r="D26115" s="4">
        <f>DATE(2006,1,17)</f>
        <v>38734</v>
      </c>
      <c r="E26115" s="5">
        <f t="shared" ref="E26115:E26178" si="444">YEAR(D26115)</f>
        <v>2006</v>
      </c>
      <c r="F26115" s="3" t="s">
        <v>4181</v>
      </c>
      <c r="G26115" s="6">
        <v>2664.9</v>
      </c>
      <c r="H26115" s="5">
        <v>5854</v>
      </c>
    </row>
    <row r="26116" spans="2:8" ht="15" customHeight="1" x14ac:dyDescent="0.4">
      <c r="B26116" s="3" t="s">
        <v>7</v>
      </c>
      <c r="C26116" s="3" t="s">
        <v>4180</v>
      </c>
      <c r="D26116" s="4">
        <f>DATE(2006,3,21)</f>
        <v>38797</v>
      </c>
      <c r="E26116" s="5">
        <f t="shared" si="444"/>
        <v>2006</v>
      </c>
      <c r="F26116" s="3" t="s">
        <v>4181</v>
      </c>
      <c r="G26116" s="6">
        <v>331</v>
      </c>
      <c r="H26116" s="5">
        <v>6339</v>
      </c>
    </row>
    <row r="26117" spans="2:8" ht="15" customHeight="1" x14ac:dyDescent="0.4">
      <c r="B26117" s="3" t="s">
        <v>7</v>
      </c>
      <c r="C26117" s="3" t="s">
        <v>4180</v>
      </c>
      <c r="D26117" s="4">
        <f>DATE(2007,12,5)</f>
        <v>39421</v>
      </c>
      <c r="E26117" s="5">
        <f t="shared" si="444"/>
        <v>2007</v>
      </c>
      <c r="F26117" s="3" t="s">
        <v>4181</v>
      </c>
      <c r="G26117" s="6">
        <v>3972</v>
      </c>
      <c r="H26117" s="5">
        <v>9569</v>
      </c>
    </row>
    <row r="26118" spans="2:8" ht="15" customHeight="1" x14ac:dyDescent="0.4">
      <c r="B26118" s="3" t="s">
        <v>7</v>
      </c>
      <c r="C26118" s="3" t="s">
        <v>4180</v>
      </c>
      <c r="D26118" s="4">
        <f>DATE(2008,6,11)</f>
        <v>39610</v>
      </c>
      <c r="E26118" s="5">
        <f t="shared" si="444"/>
        <v>2008</v>
      </c>
      <c r="F26118" s="3" t="s">
        <v>4181</v>
      </c>
      <c r="G26118" s="6">
        <v>3310</v>
      </c>
      <c r="H26118" s="5">
        <v>10840</v>
      </c>
    </row>
    <row r="26119" spans="2:8" ht="15" customHeight="1" x14ac:dyDescent="0.4">
      <c r="B26119" s="3" t="s">
        <v>7</v>
      </c>
      <c r="C26119" s="3" t="s">
        <v>4180</v>
      </c>
      <c r="D26119" s="4">
        <f>DATE(2009,5,19)</f>
        <v>39952</v>
      </c>
      <c r="E26119" s="5">
        <f t="shared" si="444"/>
        <v>2009</v>
      </c>
      <c r="F26119" s="3" t="s">
        <v>4181</v>
      </c>
      <c r="G26119" s="6">
        <v>662</v>
      </c>
      <c r="H26119" s="5">
        <v>12566</v>
      </c>
    </row>
    <row r="26120" spans="2:8" ht="15" customHeight="1" x14ac:dyDescent="0.4">
      <c r="B26120" s="3" t="s">
        <v>7</v>
      </c>
      <c r="C26120" s="3" t="s">
        <v>4180</v>
      </c>
      <c r="D26120" s="4">
        <f>DATE(2009,7,24)</f>
        <v>40018</v>
      </c>
      <c r="E26120" s="5">
        <f t="shared" si="444"/>
        <v>2009</v>
      </c>
      <c r="F26120" s="3" t="s">
        <v>4181</v>
      </c>
      <c r="G26120" s="6">
        <v>658</v>
      </c>
      <c r="H26120" s="5">
        <v>12832</v>
      </c>
    </row>
    <row r="26121" spans="2:8" ht="15" customHeight="1" x14ac:dyDescent="0.4">
      <c r="B26121" s="3" t="s">
        <v>7</v>
      </c>
      <c r="C26121" s="3" t="s">
        <v>4180</v>
      </c>
      <c r="D26121" s="4">
        <f>DATE(2010,4,30)</f>
        <v>40298</v>
      </c>
      <c r="E26121" s="5">
        <f t="shared" si="444"/>
        <v>2010</v>
      </c>
      <c r="F26121" s="3" t="s">
        <v>4181</v>
      </c>
      <c r="G26121" s="6">
        <v>1324</v>
      </c>
      <c r="H26121" s="5">
        <v>13980</v>
      </c>
    </row>
    <row r="26122" spans="2:8" ht="15" customHeight="1" x14ac:dyDescent="0.4">
      <c r="B26122" s="3" t="s">
        <v>7</v>
      </c>
      <c r="C26122" s="3" t="s">
        <v>4180</v>
      </c>
      <c r="D26122" s="4">
        <f>DATE(2011,2,25)</f>
        <v>40599</v>
      </c>
      <c r="E26122" s="5">
        <f t="shared" si="444"/>
        <v>2011</v>
      </c>
      <c r="F26122" s="3" t="s">
        <v>4181</v>
      </c>
      <c r="G26122" s="6">
        <v>662</v>
      </c>
      <c r="H26122" s="5">
        <v>15144</v>
      </c>
    </row>
    <row r="26123" spans="2:8" ht="15" customHeight="1" x14ac:dyDescent="0.4">
      <c r="B26123" s="3" t="s">
        <v>7</v>
      </c>
      <c r="C26123" s="3" t="s">
        <v>4180</v>
      </c>
      <c r="D26123" s="4">
        <f>DATE(2011,3,31)</f>
        <v>40633</v>
      </c>
      <c r="E26123" s="5">
        <f t="shared" si="444"/>
        <v>2011</v>
      </c>
      <c r="F26123" s="3" t="s">
        <v>4181</v>
      </c>
      <c r="G26123" s="6">
        <v>513.24</v>
      </c>
      <c r="H26123" s="5">
        <v>15338</v>
      </c>
    </row>
    <row r="26124" spans="2:8" ht="15" customHeight="1" x14ac:dyDescent="0.4">
      <c r="B26124" t="s">
        <v>7</v>
      </c>
      <c r="C26124" t="s">
        <v>4182</v>
      </c>
      <c r="D26124" s="7">
        <f>DATE(2016,2,29)</f>
        <v>42429</v>
      </c>
      <c r="E26124" s="8">
        <f t="shared" si="444"/>
        <v>2016</v>
      </c>
      <c r="F26124" t="s">
        <v>4183</v>
      </c>
      <c r="G26124" s="9">
        <v>9190.8799999999992</v>
      </c>
      <c r="H26124" s="8">
        <v>22181</v>
      </c>
    </row>
    <row r="26125" spans="2:8" ht="15" customHeight="1" x14ac:dyDescent="0.4">
      <c r="B26125" s="3" t="s">
        <v>7</v>
      </c>
      <c r="C26125" s="3" t="s">
        <v>4182</v>
      </c>
      <c r="D26125" s="4">
        <f>DATE(2012,8,22)</f>
        <v>41143</v>
      </c>
      <c r="E26125" s="5">
        <f t="shared" si="444"/>
        <v>2012</v>
      </c>
      <c r="F26125" s="3" t="s">
        <v>4183</v>
      </c>
      <c r="G26125" s="6">
        <v>9937.6200000000008</v>
      </c>
      <c r="H26125" s="5">
        <v>5173</v>
      </c>
    </row>
    <row r="26126" spans="2:8" ht="15" customHeight="1" x14ac:dyDescent="0.4">
      <c r="B26126" s="3" t="s">
        <v>7</v>
      </c>
      <c r="C26126" s="3" t="s">
        <v>4182</v>
      </c>
      <c r="D26126" s="4">
        <f>DATE(2012,9,21)</f>
        <v>41173</v>
      </c>
      <c r="E26126" s="5">
        <f t="shared" si="444"/>
        <v>2012</v>
      </c>
      <c r="F26126" s="3" t="s">
        <v>4183</v>
      </c>
      <c r="G26126" s="6">
        <v>3872</v>
      </c>
      <c r="H26126" s="5">
        <v>5194</v>
      </c>
    </row>
    <row r="26127" spans="2:8" ht="15" customHeight="1" x14ac:dyDescent="0.4">
      <c r="B26127" s="3" t="s">
        <v>7</v>
      </c>
      <c r="C26127" s="3" t="s">
        <v>4182</v>
      </c>
      <c r="D26127" s="4">
        <f>DATE(2012,12,19)</f>
        <v>41262</v>
      </c>
      <c r="E26127" s="5">
        <f t="shared" si="444"/>
        <v>2012</v>
      </c>
      <c r="F26127" s="3" t="s">
        <v>4183</v>
      </c>
      <c r="G26127" s="6">
        <v>9938</v>
      </c>
      <c r="H26127" s="5">
        <v>5361</v>
      </c>
    </row>
    <row r="26128" spans="2:8" ht="15" customHeight="1" x14ac:dyDescent="0.4">
      <c r="B26128" t="s">
        <v>7</v>
      </c>
      <c r="C26128" t="s">
        <v>4184</v>
      </c>
      <c r="D26128" s="7">
        <f>DATE(2017,5,1)</f>
        <v>42856</v>
      </c>
      <c r="E26128" s="8">
        <f t="shared" si="444"/>
        <v>2017</v>
      </c>
      <c r="F26128" t="s">
        <v>4185</v>
      </c>
      <c r="G26128" s="9">
        <v>35510.550000000003</v>
      </c>
      <c r="H26128" s="8">
        <v>24444</v>
      </c>
    </row>
    <row r="26129" spans="2:8" ht="15" customHeight="1" x14ac:dyDescent="0.4">
      <c r="B26129" t="s">
        <v>7</v>
      </c>
      <c r="C26129" t="s">
        <v>4184</v>
      </c>
      <c r="D26129" s="7">
        <f>DATE(2017,3,30)</f>
        <v>42824</v>
      </c>
      <c r="E26129" s="8">
        <f t="shared" si="444"/>
        <v>2017</v>
      </c>
      <c r="F26129" t="s">
        <v>4185</v>
      </c>
      <c r="G26129" s="9">
        <v>1323</v>
      </c>
      <c r="H26129" s="8">
        <v>24648</v>
      </c>
    </row>
    <row r="26130" spans="2:8" ht="15" customHeight="1" x14ac:dyDescent="0.4">
      <c r="B26130" s="3" t="s">
        <v>7</v>
      </c>
      <c r="C26130" s="3" t="s">
        <v>4184</v>
      </c>
      <c r="D26130" s="4">
        <f>DATE(2004,8,11)</f>
        <v>38210</v>
      </c>
      <c r="E26130" s="5">
        <f t="shared" si="444"/>
        <v>2004</v>
      </c>
      <c r="F26130" s="3" t="s">
        <v>4185</v>
      </c>
      <c r="G26130" s="6">
        <v>210</v>
      </c>
      <c r="H26130" s="5">
        <v>3263</v>
      </c>
    </row>
    <row r="26131" spans="2:8" ht="15" customHeight="1" x14ac:dyDescent="0.4">
      <c r="B26131" s="3" t="s">
        <v>7</v>
      </c>
      <c r="C26131" s="3" t="s">
        <v>4184</v>
      </c>
      <c r="D26131" s="4">
        <f>DATE(2010,3,12)</f>
        <v>40249</v>
      </c>
      <c r="E26131" s="5">
        <f t="shared" si="444"/>
        <v>2010</v>
      </c>
      <c r="F26131" s="3" t="s">
        <v>4185</v>
      </c>
      <c r="G26131" s="6">
        <v>1900</v>
      </c>
      <c r="H26131" s="5">
        <v>13742</v>
      </c>
    </row>
    <row r="26132" spans="2:8" ht="15" customHeight="1" x14ac:dyDescent="0.4">
      <c r="B26132" s="3" t="s">
        <v>7</v>
      </c>
      <c r="C26132" s="3" t="s">
        <v>4184</v>
      </c>
      <c r="D26132" s="4">
        <f>DATE(2010,4,1)</f>
        <v>40269</v>
      </c>
      <c r="E26132" s="5">
        <f t="shared" si="444"/>
        <v>2010</v>
      </c>
      <c r="F26132" s="3" t="s">
        <v>4185</v>
      </c>
      <c r="G26132" s="6">
        <v>441</v>
      </c>
      <c r="H26132" s="5">
        <v>13849</v>
      </c>
    </row>
    <row r="26133" spans="2:8" ht="15" customHeight="1" x14ac:dyDescent="0.4">
      <c r="B26133" s="3" t="s">
        <v>7</v>
      </c>
      <c r="C26133" s="3" t="s">
        <v>4184</v>
      </c>
      <c r="D26133" s="4">
        <f>DATE(2010,4,19)</f>
        <v>40287</v>
      </c>
      <c r="E26133" s="5">
        <f t="shared" si="444"/>
        <v>2010</v>
      </c>
      <c r="F26133" s="3" t="s">
        <v>4185</v>
      </c>
      <c r="G26133" s="6">
        <v>1036.0999999999999</v>
      </c>
      <c r="H26133" s="5">
        <v>13856</v>
      </c>
    </row>
    <row r="26134" spans="2:8" ht="15" customHeight="1" x14ac:dyDescent="0.4">
      <c r="B26134" t="s">
        <v>7</v>
      </c>
      <c r="C26134" t="s">
        <v>4186</v>
      </c>
      <c r="D26134" s="7">
        <f>DATE(2003,9,18)</f>
        <v>37882</v>
      </c>
      <c r="E26134" s="8">
        <f t="shared" si="444"/>
        <v>2003</v>
      </c>
      <c r="F26134" t="s">
        <v>4187</v>
      </c>
      <c r="G26134" s="9">
        <v>5357.37</v>
      </c>
      <c r="H26134" s="8">
        <v>858</v>
      </c>
    </row>
    <row r="26135" spans="2:8" ht="15" customHeight="1" x14ac:dyDescent="0.4">
      <c r="B26135" s="3" t="s">
        <v>7</v>
      </c>
      <c r="C26135" s="3" t="s">
        <v>4186</v>
      </c>
      <c r="D26135" s="4">
        <f>DATE(2004,4,30)</f>
        <v>38107</v>
      </c>
      <c r="E26135" s="5">
        <f t="shared" si="444"/>
        <v>2004</v>
      </c>
      <c r="F26135" s="3" t="s">
        <v>4187</v>
      </c>
      <c r="G26135" s="6">
        <v>10913.38</v>
      </c>
      <c r="H26135" s="5">
        <v>2758</v>
      </c>
    </row>
    <row r="26136" spans="2:8" ht="15" customHeight="1" x14ac:dyDescent="0.4">
      <c r="B26136" s="3" t="s">
        <v>7</v>
      </c>
      <c r="C26136" s="3" t="s">
        <v>4186</v>
      </c>
      <c r="D26136" s="4">
        <f>DATE(2004,5,5)</f>
        <v>38112</v>
      </c>
      <c r="E26136" s="5">
        <f t="shared" si="444"/>
        <v>2004</v>
      </c>
      <c r="F26136" s="3" t="s">
        <v>4187</v>
      </c>
      <c r="G26136" s="6">
        <v>1007</v>
      </c>
      <c r="H26136" s="5">
        <v>2829</v>
      </c>
    </row>
    <row r="26137" spans="2:8" ht="15" customHeight="1" x14ac:dyDescent="0.4">
      <c r="B26137" s="3" t="s">
        <v>7</v>
      </c>
      <c r="C26137" s="3" t="s">
        <v>4186</v>
      </c>
      <c r="D26137" s="4">
        <f>DATE(2004,5,6)</f>
        <v>38113</v>
      </c>
      <c r="E26137" s="5">
        <f t="shared" si="444"/>
        <v>2004</v>
      </c>
      <c r="F26137" s="3" t="s">
        <v>4187</v>
      </c>
      <c r="G26137" s="6">
        <v>1368</v>
      </c>
      <c r="H26137" s="5">
        <v>2835</v>
      </c>
    </row>
    <row r="26138" spans="2:8" ht="15" customHeight="1" x14ac:dyDescent="0.4">
      <c r="B26138" s="3" t="s">
        <v>7</v>
      </c>
      <c r="C26138" s="3" t="s">
        <v>4186</v>
      </c>
      <c r="D26138" s="4">
        <f>DATE(2004,5,6)</f>
        <v>38113</v>
      </c>
      <c r="E26138" s="5">
        <f t="shared" si="444"/>
        <v>2004</v>
      </c>
      <c r="F26138" s="3" t="s">
        <v>4187</v>
      </c>
      <c r="G26138" s="6">
        <v>190.45</v>
      </c>
      <c r="H26138" s="5">
        <v>2839</v>
      </c>
    </row>
    <row r="26139" spans="2:8" ht="15" customHeight="1" x14ac:dyDescent="0.4">
      <c r="B26139" s="3" t="s">
        <v>7</v>
      </c>
      <c r="C26139" s="3" t="s">
        <v>4186</v>
      </c>
      <c r="D26139" s="4">
        <f>DATE(2004,6,30)</f>
        <v>38168</v>
      </c>
      <c r="E26139" s="5">
        <f t="shared" si="444"/>
        <v>2004</v>
      </c>
      <c r="F26139" s="3" t="s">
        <v>4187</v>
      </c>
      <c r="G26139" s="6">
        <v>1763</v>
      </c>
      <c r="H26139" s="5">
        <v>3093</v>
      </c>
    </row>
    <row r="26140" spans="2:8" ht="15" customHeight="1" x14ac:dyDescent="0.4">
      <c r="B26140" s="3" t="s">
        <v>7</v>
      </c>
      <c r="C26140" s="3" t="s">
        <v>4186</v>
      </c>
      <c r="D26140" s="4">
        <f>DATE(2005,4,18)</f>
        <v>38460</v>
      </c>
      <c r="E26140" s="5">
        <f t="shared" si="444"/>
        <v>2005</v>
      </c>
      <c r="F26140" s="3" t="s">
        <v>4187</v>
      </c>
      <c r="G26140" s="6">
        <v>4798.8</v>
      </c>
      <c r="H26140" s="5">
        <v>4589</v>
      </c>
    </row>
    <row r="26141" spans="2:8" ht="15" customHeight="1" x14ac:dyDescent="0.4">
      <c r="B26141" s="3" t="s">
        <v>7</v>
      </c>
      <c r="C26141" s="3" t="s">
        <v>4186</v>
      </c>
      <c r="D26141" s="4">
        <f>DATE(2005,9,7)</f>
        <v>38602</v>
      </c>
      <c r="E26141" s="5">
        <f t="shared" si="444"/>
        <v>2005</v>
      </c>
      <c r="F26141" s="3" t="s">
        <v>4187</v>
      </c>
      <c r="G26141" s="6">
        <v>5331.88</v>
      </c>
      <c r="H26141" s="5">
        <v>5209</v>
      </c>
    </row>
    <row r="26142" spans="2:8" ht="15" customHeight="1" x14ac:dyDescent="0.4">
      <c r="B26142" s="3" t="s">
        <v>7</v>
      </c>
      <c r="C26142" s="3" t="s">
        <v>4186</v>
      </c>
      <c r="D26142" s="4">
        <f>DATE(2007,5,3)</f>
        <v>39205</v>
      </c>
      <c r="E26142" s="5">
        <f t="shared" si="444"/>
        <v>2007</v>
      </c>
      <c r="F26142" s="3" t="s">
        <v>4187</v>
      </c>
      <c r="G26142" s="6">
        <v>6871.09</v>
      </c>
      <c r="H26142" s="5">
        <v>8499</v>
      </c>
    </row>
    <row r="26143" spans="2:8" ht="15" customHeight="1" x14ac:dyDescent="0.4">
      <c r="B26143" s="3" t="s">
        <v>7</v>
      </c>
      <c r="C26143" s="3" t="s">
        <v>4186</v>
      </c>
      <c r="D26143" s="4">
        <f>DATE(2007,6,5)</f>
        <v>39238</v>
      </c>
      <c r="E26143" s="5">
        <f t="shared" si="444"/>
        <v>2007</v>
      </c>
      <c r="F26143" s="3" t="s">
        <v>4187</v>
      </c>
      <c r="G26143" s="6">
        <v>587.88</v>
      </c>
      <c r="H26143" s="5">
        <v>8718</v>
      </c>
    </row>
    <row r="26144" spans="2:8" ht="15" customHeight="1" x14ac:dyDescent="0.4">
      <c r="B26144" s="3" t="s">
        <v>7</v>
      </c>
      <c r="C26144" s="3" t="s">
        <v>4186</v>
      </c>
      <c r="D26144" s="4">
        <f>DATE(2007,6,13)</f>
        <v>39246</v>
      </c>
      <c r="E26144" s="5">
        <f t="shared" si="444"/>
        <v>2007</v>
      </c>
      <c r="F26144" s="3" t="s">
        <v>4187</v>
      </c>
      <c r="G26144" s="6">
        <v>1024.48</v>
      </c>
      <c r="H26144" s="5">
        <v>8751</v>
      </c>
    </row>
    <row r="26145" spans="2:8" ht="15" customHeight="1" x14ac:dyDescent="0.4">
      <c r="B26145" s="3" t="s">
        <v>7</v>
      </c>
      <c r="C26145" s="3" t="s">
        <v>4186</v>
      </c>
      <c r="D26145" s="4">
        <f>DATE(2008,1,28)</f>
        <v>39475</v>
      </c>
      <c r="E26145" s="5">
        <f t="shared" si="444"/>
        <v>2008</v>
      </c>
      <c r="F26145" s="3" t="s">
        <v>4187</v>
      </c>
      <c r="G26145" s="6">
        <v>2043.58</v>
      </c>
      <c r="H26145" s="5">
        <v>9822</v>
      </c>
    </row>
    <row r="26146" spans="2:8" ht="15" customHeight="1" x14ac:dyDescent="0.4">
      <c r="B26146" s="3" t="s">
        <v>7</v>
      </c>
      <c r="C26146" s="3" t="s">
        <v>4186</v>
      </c>
      <c r="D26146" s="4">
        <f>DATE(2009,3,24)</f>
        <v>39896</v>
      </c>
      <c r="E26146" s="5">
        <f t="shared" si="444"/>
        <v>2009</v>
      </c>
      <c r="F26146" s="3" t="s">
        <v>4187</v>
      </c>
      <c r="G26146" s="6">
        <v>3980.79</v>
      </c>
      <c r="H26146" s="5">
        <v>12272</v>
      </c>
    </row>
    <row r="26147" spans="2:8" ht="15" customHeight="1" x14ac:dyDescent="0.4">
      <c r="B26147" s="3" t="s">
        <v>7</v>
      </c>
      <c r="C26147" s="3" t="s">
        <v>4186</v>
      </c>
      <c r="D26147" s="4">
        <f>DATE(2012,3,26)</f>
        <v>40994</v>
      </c>
      <c r="E26147" s="5">
        <f t="shared" si="444"/>
        <v>2012</v>
      </c>
      <c r="F26147" s="3" t="s">
        <v>4187</v>
      </c>
      <c r="G26147" s="6">
        <v>1065.04</v>
      </c>
      <c r="H26147" s="5">
        <v>16822</v>
      </c>
    </row>
    <row r="26148" spans="2:8" ht="15" customHeight="1" x14ac:dyDescent="0.4">
      <c r="B26148" s="3" t="s">
        <v>7</v>
      </c>
      <c r="C26148" s="3" t="s">
        <v>4186</v>
      </c>
      <c r="D26148" s="4">
        <f>DATE(2012,4,10)</f>
        <v>41009</v>
      </c>
      <c r="E26148" s="5">
        <f t="shared" si="444"/>
        <v>2012</v>
      </c>
      <c r="F26148" s="3" t="s">
        <v>4187</v>
      </c>
      <c r="G26148" s="6">
        <v>3665.82</v>
      </c>
      <c r="H26148" s="5">
        <v>16855</v>
      </c>
    </row>
    <row r="26149" spans="2:8" ht="15" customHeight="1" x14ac:dyDescent="0.4">
      <c r="B26149" s="3" t="s">
        <v>7</v>
      </c>
      <c r="C26149" s="3" t="s">
        <v>4186</v>
      </c>
      <c r="D26149" s="4">
        <f>DATE(2013,3,14)</f>
        <v>41347</v>
      </c>
      <c r="E26149" s="5">
        <f t="shared" si="444"/>
        <v>2013</v>
      </c>
      <c r="F26149" s="3" t="s">
        <v>4187</v>
      </c>
      <c r="G26149" s="6">
        <v>6871.64</v>
      </c>
      <c r="H26149" s="5">
        <v>18234</v>
      </c>
    </row>
    <row r="26150" spans="2:8" ht="15" customHeight="1" x14ac:dyDescent="0.4">
      <c r="B26150" s="3" t="s">
        <v>7</v>
      </c>
      <c r="C26150" s="3" t="s">
        <v>4186</v>
      </c>
      <c r="D26150" s="4">
        <f>DATE(2014,3,5)</f>
        <v>41703</v>
      </c>
      <c r="E26150" s="5">
        <f t="shared" si="444"/>
        <v>2014</v>
      </c>
      <c r="F26150" s="3" t="s">
        <v>4187</v>
      </c>
      <c r="G26150" s="6">
        <v>12686.1</v>
      </c>
      <c r="H26150" s="5">
        <v>19511</v>
      </c>
    </row>
    <row r="26151" spans="2:8" ht="15" customHeight="1" x14ac:dyDescent="0.4">
      <c r="B26151" t="s">
        <v>7</v>
      </c>
      <c r="C26151" t="s">
        <v>4188</v>
      </c>
      <c r="D26151" s="7">
        <f>DATE(2015,8,6)</f>
        <v>42222</v>
      </c>
      <c r="E26151" s="8">
        <f t="shared" si="444"/>
        <v>2015</v>
      </c>
      <c r="F26151" t="s">
        <v>4189</v>
      </c>
      <c r="G26151" s="9">
        <v>12275</v>
      </c>
      <c r="H26151" s="8">
        <v>428</v>
      </c>
    </row>
    <row r="26152" spans="2:8" ht="15" customHeight="1" x14ac:dyDescent="0.4">
      <c r="B26152" t="s">
        <v>7</v>
      </c>
      <c r="C26152" t="s">
        <v>4188</v>
      </c>
      <c r="D26152" s="7">
        <f>DATE(2015,12,18)</f>
        <v>42356</v>
      </c>
      <c r="E26152" s="8">
        <f t="shared" si="444"/>
        <v>2015</v>
      </c>
      <c r="F26152" t="s">
        <v>4189</v>
      </c>
      <c r="G26152" s="9">
        <v>12620</v>
      </c>
      <c r="H26152" s="8">
        <v>20479</v>
      </c>
    </row>
    <row r="26153" spans="2:8" ht="15" customHeight="1" x14ac:dyDescent="0.4">
      <c r="B26153" t="s">
        <v>7</v>
      </c>
      <c r="C26153" t="s">
        <v>4188</v>
      </c>
      <c r="D26153" s="7">
        <f>DATE(2016,5,4)</f>
        <v>42494</v>
      </c>
      <c r="E26153" s="8">
        <f t="shared" si="444"/>
        <v>2016</v>
      </c>
      <c r="F26153" t="s">
        <v>4189</v>
      </c>
      <c r="G26153" s="9">
        <v>38720</v>
      </c>
      <c r="H26153" s="8">
        <v>21621</v>
      </c>
    </row>
    <row r="26154" spans="2:8" ht="15" customHeight="1" x14ac:dyDescent="0.4">
      <c r="B26154" t="s">
        <v>7</v>
      </c>
      <c r="C26154" t="s">
        <v>4188</v>
      </c>
      <c r="D26154" s="7">
        <f>DATE(2017,1,12)</f>
        <v>42747</v>
      </c>
      <c r="E26154" s="8">
        <f t="shared" si="444"/>
        <v>2017</v>
      </c>
      <c r="F26154" t="s">
        <v>4189</v>
      </c>
      <c r="G26154" s="9">
        <v>7925</v>
      </c>
      <c r="H26154" s="8">
        <v>22377</v>
      </c>
    </row>
    <row r="26155" spans="2:8" ht="15" customHeight="1" x14ac:dyDescent="0.4">
      <c r="B26155" t="s">
        <v>7</v>
      </c>
      <c r="C26155" t="s">
        <v>4188</v>
      </c>
      <c r="D26155" s="7">
        <f>DATE(2019,4,19)</f>
        <v>43574</v>
      </c>
      <c r="E26155" s="8">
        <f t="shared" si="444"/>
        <v>2019</v>
      </c>
      <c r="F26155" t="s">
        <v>4189</v>
      </c>
      <c r="G26155" s="9">
        <v>39916</v>
      </c>
      <c r="H26155" s="8">
        <v>27744</v>
      </c>
    </row>
    <row r="26156" spans="2:8" ht="15" customHeight="1" x14ac:dyDescent="0.4">
      <c r="B26156" t="s">
        <v>7</v>
      </c>
      <c r="C26156" t="s">
        <v>4188</v>
      </c>
      <c r="D26156" s="7">
        <f>DATE(2019,5,6)</f>
        <v>43591</v>
      </c>
      <c r="E26156" s="8">
        <f t="shared" si="444"/>
        <v>2019</v>
      </c>
      <c r="F26156" t="s">
        <v>4189</v>
      </c>
      <c r="G26156" s="9">
        <v>5806.25</v>
      </c>
      <c r="H26156" s="8">
        <v>25880</v>
      </c>
    </row>
    <row r="26157" spans="2:8" ht="15" customHeight="1" x14ac:dyDescent="0.4">
      <c r="B26157" s="3" t="s">
        <v>7</v>
      </c>
      <c r="C26157" s="3" t="s">
        <v>4188</v>
      </c>
      <c r="D26157" s="4">
        <f>DATE(2003,3,25)</f>
        <v>37705</v>
      </c>
      <c r="E26157" s="5">
        <f t="shared" si="444"/>
        <v>2003</v>
      </c>
      <c r="F26157" s="3" t="s">
        <v>4189</v>
      </c>
      <c r="G26157" s="6">
        <v>12075</v>
      </c>
      <c r="H26157" s="5">
        <v>57</v>
      </c>
    </row>
    <row r="26158" spans="2:8" ht="15" customHeight="1" x14ac:dyDescent="0.4">
      <c r="B26158" s="3" t="s">
        <v>7</v>
      </c>
      <c r="C26158" s="3" t="s">
        <v>4188</v>
      </c>
      <c r="D26158" s="4">
        <f>DATE(2003,3,25)</f>
        <v>37705</v>
      </c>
      <c r="E26158" s="5">
        <f t="shared" si="444"/>
        <v>2003</v>
      </c>
      <c r="F26158" s="3" t="s">
        <v>4189</v>
      </c>
      <c r="G26158" s="6">
        <v>12075</v>
      </c>
      <c r="H26158" s="5">
        <v>649</v>
      </c>
    </row>
    <row r="26159" spans="2:8" ht="15" customHeight="1" x14ac:dyDescent="0.4">
      <c r="B26159" s="3" t="s">
        <v>7</v>
      </c>
      <c r="C26159" s="3" t="s">
        <v>4188</v>
      </c>
      <c r="D26159" s="4">
        <f>DATE(2005,12,13)</f>
        <v>38699</v>
      </c>
      <c r="E26159" s="5">
        <f t="shared" si="444"/>
        <v>2005</v>
      </c>
      <c r="F26159" s="3" t="s">
        <v>4189</v>
      </c>
      <c r="G26159" s="6">
        <v>22961.15</v>
      </c>
      <c r="H26159" s="5">
        <v>5010</v>
      </c>
    </row>
    <row r="26160" spans="2:8" ht="15" customHeight="1" x14ac:dyDescent="0.4">
      <c r="B26160" s="3" t="s">
        <v>7</v>
      </c>
      <c r="C26160" s="3" t="s">
        <v>4188</v>
      </c>
      <c r="D26160" s="4">
        <f>DATE(2006,3,3)</f>
        <v>38779</v>
      </c>
      <c r="E26160" s="5">
        <f t="shared" si="444"/>
        <v>2006</v>
      </c>
      <c r="F26160" s="3" t="s">
        <v>4189</v>
      </c>
      <c r="G26160" s="6">
        <v>57051.93</v>
      </c>
      <c r="H26160" s="5">
        <v>5761</v>
      </c>
    </row>
    <row r="26161" spans="2:8" ht="15" customHeight="1" x14ac:dyDescent="0.4">
      <c r="B26161" s="3" t="s">
        <v>7</v>
      </c>
      <c r="C26161" s="3" t="s">
        <v>4188</v>
      </c>
      <c r="D26161" s="4">
        <f>DATE(2011,8,2)</f>
        <v>40757</v>
      </c>
      <c r="E26161" s="5">
        <f t="shared" si="444"/>
        <v>2011</v>
      </c>
      <c r="F26161" s="3" t="s">
        <v>4189</v>
      </c>
      <c r="G26161" s="6">
        <v>39450</v>
      </c>
      <c r="H26161" s="5">
        <v>15380</v>
      </c>
    </row>
    <row r="26162" spans="2:8" ht="15" customHeight="1" x14ac:dyDescent="0.4">
      <c r="B26162" s="3" t="s">
        <v>7</v>
      </c>
      <c r="C26162" s="3" t="s">
        <v>4188</v>
      </c>
      <c r="D26162" s="4">
        <f>DATE(2012,4,30)</f>
        <v>41029</v>
      </c>
      <c r="E26162" s="5">
        <f t="shared" si="444"/>
        <v>2012</v>
      </c>
      <c r="F26162" s="3" t="s">
        <v>4189</v>
      </c>
      <c r="G26162" s="6">
        <v>24150</v>
      </c>
      <c r="H26162" s="5">
        <v>16281</v>
      </c>
    </row>
    <row r="26163" spans="2:8" ht="15" customHeight="1" x14ac:dyDescent="0.4">
      <c r="B26163" s="3" t="s">
        <v>7</v>
      </c>
      <c r="C26163" s="3" t="s">
        <v>4188</v>
      </c>
      <c r="D26163" s="4">
        <f>DATE(2012,8,2)</f>
        <v>41123</v>
      </c>
      <c r="E26163" s="5">
        <f t="shared" si="444"/>
        <v>2012</v>
      </c>
      <c r="F26163" s="3" t="s">
        <v>4189</v>
      </c>
      <c r="G26163" s="6">
        <v>36900</v>
      </c>
      <c r="H26163" s="5">
        <v>17031</v>
      </c>
    </row>
    <row r="26164" spans="2:8" ht="15" customHeight="1" x14ac:dyDescent="0.4">
      <c r="B26164" s="3" t="s">
        <v>7</v>
      </c>
      <c r="C26164" s="3" t="s">
        <v>4188</v>
      </c>
      <c r="D26164" s="4">
        <f>DATE(2014,6,10)</f>
        <v>41800</v>
      </c>
      <c r="E26164" s="5">
        <f t="shared" si="444"/>
        <v>2014</v>
      </c>
      <c r="F26164" s="3" t="s">
        <v>4189</v>
      </c>
      <c r="G26164" s="6">
        <v>37610</v>
      </c>
      <c r="H26164" s="5">
        <v>19239</v>
      </c>
    </row>
    <row r="26165" spans="2:8" ht="15" customHeight="1" x14ac:dyDescent="0.4">
      <c r="B26165" s="3" t="s">
        <v>16</v>
      </c>
      <c r="C26165" s="3" t="s">
        <v>4188</v>
      </c>
      <c r="D26165" s="4">
        <f>DATE(2003,3,25)</f>
        <v>37705</v>
      </c>
      <c r="E26165" s="5">
        <f t="shared" si="444"/>
        <v>2003</v>
      </c>
      <c r="F26165" s="3" t="s">
        <v>4189</v>
      </c>
      <c r="G26165" s="6">
        <v>12075</v>
      </c>
      <c r="H26165" s="5">
        <v>647</v>
      </c>
    </row>
    <row r="26166" spans="2:8" ht="15" customHeight="1" x14ac:dyDescent="0.4">
      <c r="B26166" t="s">
        <v>7</v>
      </c>
      <c r="C26166" t="s">
        <v>4190</v>
      </c>
      <c r="D26166" s="7">
        <f>DATE(2017,5,12)</f>
        <v>42867</v>
      </c>
      <c r="E26166" s="8">
        <f t="shared" si="444"/>
        <v>2017</v>
      </c>
      <c r="F26166" t="s">
        <v>4191</v>
      </c>
      <c r="G26166" s="9">
        <v>2616</v>
      </c>
      <c r="H26166" s="8">
        <v>24702</v>
      </c>
    </row>
    <row r="26167" spans="2:8" ht="15" customHeight="1" x14ac:dyDescent="0.4">
      <c r="B26167" s="3" t="s">
        <v>7</v>
      </c>
      <c r="C26167" s="3" t="s">
        <v>4192</v>
      </c>
      <c r="D26167" s="4">
        <f>DATE(2009,4,30)</f>
        <v>39933</v>
      </c>
      <c r="E26167" s="5">
        <f t="shared" si="444"/>
        <v>2009</v>
      </c>
      <c r="F26167" s="3" t="s">
        <v>4193</v>
      </c>
      <c r="G26167" s="6">
        <v>2481</v>
      </c>
      <c r="H26167" s="5">
        <v>3397</v>
      </c>
    </row>
    <row r="26168" spans="2:8" ht="15" customHeight="1" x14ac:dyDescent="0.4">
      <c r="B26168" s="3" t="s">
        <v>7</v>
      </c>
      <c r="C26168" s="3" t="s">
        <v>4194</v>
      </c>
      <c r="D26168" s="4">
        <f>DATE(2004,7,20)</f>
        <v>38188</v>
      </c>
      <c r="E26168" s="5">
        <f t="shared" si="444"/>
        <v>2004</v>
      </c>
      <c r="F26168" s="3" t="s">
        <v>4195</v>
      </c>
      <c r="G26168" s="6">
        <v>7946.2</v>
      </c>
      <c r="H26168" s="5">
        <v>1885</v>
      </c>
    </row>
    <row r="26169" spans="2:8" ht="15" customHeight="1" x14ac:dyDescent="0.4">
      <c r="B26169" t="s">
        <v>7</v>
      </c>
      <c r="C26169" t="s">
        <v>4196</v>
      </c>
      <c r="D26169" s="7">
        <f>DATE(2015,9,16)</f>
        <v>42263</v>
      </c>
      <c r="E26169" s="8">
        <f t="shared" si="444"/>
        <v>2015</v>
      </c>
      <c r="F26169" t="s">
        <v>4197</v>
      </c>
      <c r="G26169" s="9">
        <v>6857.98</v>
      </c>
      <c r="H26169" s="8">
        <v>21155</v>
      </c>
    </row>
    <row r="26170" spans="2:8" ht="15" customHeight="1" x14ac:dyDescent="0.4">
      <c r="B26170" t="s">
        <v>7</v>
      </c>
      <c r="C26170" t="s">
        <v>4198</v>
      </c>
      <c r="D26170" s="7">
        <f>DATE(2014,5,9)</f>
        <v>41768</v>
      </c>
      <c r="E26170" s="8">
        <f t="shared" si="444"/>
        <v>2014</v>
      </c>
      <c r="F26170" t="s">
        <v>4199</v>
      </c>
      <c r="G26170" s="9">
        <v>9722.7000000000007</v>
      </c>
      <c r="H26170" s="8">
        <v>12970</v>
      </c>
    </row>
    <row r="26171" spans="2:8" ht="15" customHeight="1" x14ac:dyDescent="0.4">
      <c r="B26171" t="s">
        <v>7</v>
      </c>
      <c r="C26171" t="s">
        <v>4198</v>
      </c>
      <c r="D26171" s="7">
        <f>DATE(2014,11,13)</f>
        <v>41956</v>
      </c>
      <c r="E26171" s="8">
        <f t="shared" si="444"/>
        <v>2014</v>
      </c>
      <c r="F26171" t="s">
        <v>4199</v>
      </c>
      <c r="G26171" s="9">
        <v>4824.3500000000004</v>
      </c>
      <c r="H26171" s="8">
        <v>13567</v>
      </c>
    </row>
    <row r="26172" spans="2:8" ht="15" customHeight="1" x14ac:dyDescent="0.4">
      <c r="B26172" t="s">
        <v>7</v>
      </c>
      <c r="C26172" t="s">
        <v>4198</v>
      </c>
      <c r="D26172" s="7">
        <f>DATE(2003,9,12)</f>
        <v>37876</v>
      </c>
      <c r="E26172" s="8">
        <f t="shared" si="444"/>
        <v>2003</v>
      </c>
      <c r="F26172" t="s">
        <v>4199</v>
      </c>
      <c r="G26172" s="9">
        <v>9737.82</v>
      </c>
      <c r="H26172" s="8">
        <v>854</v>
      </c>
    </row>
    <row r="26173" spans="2:8" ht="15" customHeight="1" x14ac:dyDescent="0.4">
      <c r="B26173" t="s">
        <v>7</v>
      </c>
      <c r="C26173" t="s">
        <v>4198</v>
      </c>
      <c r="D26173" s="7">
        <f>DATE(2003,10,10)</f>
        <v>37904</v>
      </c>
      <c r="E26173" s="8">
        <f t="shared" si="444"/>
        <v>2003</v>
      </c>
      <c r="F26173" t="s">
        <v>4199</v>
      </c>
      <c r="G26173" s="9">
        <v>23164.28</v>
      </c>
      <c r="H26173" s="8">
        <v>875</v>
      </c>
    </row>
    <row r="26174" spans="2:8" ht="15" customHeight="1" x14ac:dyDescent="0.4">
      <c r="B26174" t="s">
        <v>7</v>
      </c>
      <c r="C26174" t="s">
        <v>4198</v>
      </c>
      <c r="D26174" s="7">
        <f>DATE(2005,3,17)</f>
        <v>38428</v>
      </c>
      <c r="E26174" s="8">
        <f t="shared" si="444"/>
        <v>2005</v>
      </c>
      <c r="F26174" t="s">
        <v>4199</v>
      </c>
      <c r="G26174" s="9">
        <v>8795</v>
      </c>
      <c r="H26174" s="8">
        <v>2745</v>
      </c>
    </row>
    <row r="26175" spans="2:8" ht="15" customHeight="1" x14ac:dyDescent="0.4">
      <c r="B26175" t="s">
        <v>7</v>
      </c>
      <c r="C26175" t="s">
        <v>4198</v>
      </c>
      <c r="D26175" s="7">
        <f>DATE(2005,4,15)</f>
        <v>38457</v>
      </c>
      <c r="E26175" s="8">
        <f t="shared" si="444"/>
        <v>2005</v>
      </c>
      <c r="F26175" t="s">
        <v>4199</v>
      </c>
      <c r="G26175" s="9">
        <v>13152.1</v>
      </c>
      <c r="H26175" s="8">
        <v>2665</v>
      </c>
    </row>
    <row r="26176" spans="2:8" ht="15" customHeight="1" x14ac:dyDescent="0.4">
      <c r="B26176" t="s">
        <v>7</v>
      </c>
      <c r="C26176" t="s">
        <v>4198</v>
      </c>
      <c r="D26176" s="7">
        <f>DATE(2005,10,8)</f>
        <v>38633</v>
      </c>
      <c r="E26176" s="8">
        <f t="shared" si="444"/>
        <v>2005</v>
      </c>
      <c r="F26176" t="s">
        <v>4199</v>
      </c>
      <c r="G26176" s="9">
        <v>25094.99</v>
      </c>
      <c r="H26176" s="8">
        <v>3427</v>
      </c>
    </row>
    <row r="26177" spans="2:8" ht="15" customHeight="1" x14ac:dyDescent="0.4">
      <c r="B26177" t="s">
        <v>7</v>
      </c>
      <c r="C26177" t="s">
        <v>4198</v>
      </c>
      <c r="D26177" s="7">
        <f>DATE(2007,2,15)</f>
        <v>39128</v>
      </c>
      <c r="E26177" s="8">
        <f t="shared" si="444"/>
        <v>2007</v>
      </c>
      <c r="F26177" t="s">
        <v>4199</v>
      </c>
      <c r="G26177" s="9">
        <v>13186.45</v>
      </c>
      <c r="H26177" s="8">
        <v>5148</v>
      </c>
    </row>
    <row r="26178" spans="2:8" ht="15" customHeight="1" x14ac:dyDescent="0.4">
      <c r="B26178" t="s">
        <v>7</v>
      </c>
      <c r="C26178" t="s">
        <v>4198</v>
      </c>
      <c r="D26178" s="7">
        <f>DATE(2007,5,1)</f>
        <v>39203</v>
      </c>
      <c r="E26178" s="8">
        <f t="shared" si="444"/>
        <v>2007</v>
      </c>
      <c r="F26178" t="s">
        <v>4199</v>
      </c>
      <c r="G26178" s="9">
        <v>3629.93</v>
      </c>
      <c r="H26178" s="8">
        <v>5507</v>
      </c>
    </row>
    <row r="26179" spans="2:8" ht="15" customHeight="1" x14ac:dyDescent="0.4">
      <c r="B26179" t="s">
        <v>7</v>
      </c>
      <c r="C26179" t="s">
        <v>4198</v>
      </c>
      <c r="D26179" s="7">
        <f>DATE(2007,10,26)</f>
        <v>39381</v>
      </c>
      <c r="E26179" s="8">
        <f t="shared" ref="E26179:E26242" si="445">YEAR(D26179)</f>
        <v>2007</v>
      </c>
      <c r="F26179" t="s">
        <v>4199</v>
      </c>
      <c r="G26179" s="9">
        <v>26573.81</v>
      </c>
      <c r="H26179" s="8">
        <v>6316</v>
      </c>
    </row>
    <row r="26180" spans="2:8" ht="15" customHeight="1" x14ac:dyDescent="0.4">
      <c r="B26180" t="s">
        <v>7</v>
      </c>
      <c r="C26180" t="s">
        <v>4198</v>
      </c>
      <c r="D26180" s="7">
        <f>DATE(2008,6,20)</f>
        <v>39619</v>
      </c>
      <c r="E26180" s="8">
        <f t="shared" si="445"/>
        <v>2008</v>
      </c>
      <c r="F26180" t="s">
        <v>4199</v>
      </c>
      <c r="G26180" s="9">
        <v>3684.94</v>
      </c>
      <c r="H26180" s="8">
        <v>6864</v>
      </c>
    </row>
    <row r="26181" spans="2:8" ht="15" customHeight="1" x14ac:dyDescent="0.4">
      <c r="B26181" t="s">
        <v>7</v>
      </c>
      <c r="C26181" t="s">
        <v>4198</v>
      </c>
      <c r="D26181" s="7">
        <f>DATE(2009,10,8)</f>
        <v>40094</v>
      </c>
      <c r="E26181" s="8">
        <f t="shared" si="445"/>
        <v>2009</v>
      </c>
      <c r="F26181" t="s">
        <v>4199</v>
      </c>
      <c r="G26181" s="9">
        <v>27592.91</v>
      </c>
      <c r="H26181" s="8">
        <v>8633</v>
      </c>
    </row>
    <row r="26182" spans="2:8" ht="15" customHeight="1" x14ac:dyDescent="0.4">
      <c r="B26182" t="s">
        <v>7</v>
      </c>
      <c r="C26182" t="s">
        <v>4198</v>
      </c>
      <c r="D26182" s="7">
        <f>DATE(2009,12,23)</f>
        <v>40170</v>
      </c>
      <c r="E26182" s="8">
        <f t="shared" si="445"/>
        <v>2009</v>
      </c>
      <c r="F26182" t="s">
        <v>4199</v>
      </c>
      <c r="G26182" s="9">
        <v>4670.24</v>
      </c>
      <c r="H26182" s="8">
        <v>9336</v>
      </c>
    </row>
    <row r="26183" spans="2:8" ht="15" customHeight="1" x14ac:dyDescent="0.4">
      <c r="B26183" t="s">
        <v>7</v>
      </c>
      <c r="C26183" t="s">
        <v>4198</v>
      </c>
      <c r="D26183" s="7">
        <f>DATE(2010,2,19)</f>
        <v>40228</v>
      </c>
      <c r="E26183" s="8">
        <f t="shared" si="445"/>
        <v>2010</v>
      </c>
      <c r="F26183" t="s">
        <v>4199</v>
      </c>
      <c r="G26183" s="9">
        <v>4783.43</v>
      </c>
      <c r="H26183" s="8">
        <v>9524</v>
      </c>
    </row>
    <row r="26184" spans="2:8" ht="15" customHeight="1" x14ac:dyDescent="0.4">
      <c r="B26184" t="s">
        <v>7</v>
      </c>
      <c r="C26184" t="s">
        <v>4198</v>
      </c>
      <c r="D26184" s="7">
        <f>DATE(2011,1,26)</f>
        <v>40569</v>
      </c>
      <c r="E26184" s="8">
        <f t="shared" si="445"/>
        <v>2011</v>
      </c>
      <c r="F26184" t="s">
        <v>4199</v>
      </c>
      <c r="G26184" s="9">
        <v>4435.63</v>
      </c>
      <c r="H26184" s="8">
        <v>10344</v>
      </c>
    </row>
    <row r="26185" spans="2:8" ht="15" customHeight="1" x14ac:dyDescent="0.4">
      <c r="B26185" t="s">
        <v>7</v>
      </c>
      <c r="C26185" t="s">
        <v>4198</v>
      </c>
      <c r="D26185" s="7">
        <f>DATE(2012,7,18)</f>
        <v>41108</v>
      </c>
      <c r="E26185" s="8">
        <f t="shared" si="445"/>
        <v>2012</v>
      </c>
      <c r="F26185" t="s">
        <v>4199</v>
      </c>
      <c r="G26185" s="9">
        <v>4710.3900000000003</v>
      </c>
      <c r="H26185" s="8">
        <v>11746</v>
      </c>
    </row>
    <row r="26186" spans="2:8" ht="15" customHeight="1" x14ac:dyDescent="0.4">
      <c r="B26186" t="s">
        <v>7</v>
      </c>
      <c r="C26186" t="s">
        <v>4198</v>
      </c>
      <c r="D26186" s="7">
        <f>DATE(2013,5,3)</f>
        <v>41397</v>
      </c>
      <c r="E26186" s="8">
        <f t="shared" si="445"/>
        <v>2013</v>
      </c>
      <c r="F26186" t="s">
        <v>4199</v>
      </c>
      <c r="G26186" s="9">
        <v>6916.55</v>
      </c>
      <c r="H26186" s="8">
        <v>12398</v>
      </c>
    </row>
    <row r="26187" spans="2:8" ht="15" customHeight="1" x14ac:dyDescent="0.4">
      <c r="B26187" t="s">
        <v>7</v>
      </c>
      <c r="C26187" t="s">
        <v>4198</v>
      </c>
      <c r="D26187" s="7">
        <f>DATE(2013,11,7)</f>
        <v>41585</v>
      </c>
      <c r="E26187" s="8">
        <f t="shared" si="445"/>
        <v>2013</v>
      </c>
      <c r="F26187" t="s">
        <v>4199</v>
      </c>
      <c r="G26187" s="9">
        <v>9325.31</v>
      </c>
      <c r="H26187" s="8">
        <v>12724</v>
      </c>
    </row>
    <row r="26188" spans="2:8" ht="15" customHeight="1" x14ac:dyDescent="0.4">
      <c r="B26188" t="s">
        <v>7</v>
      </c>
      <c r="C26188" t="s">
        <v>4198</v>
      </c>
      <c r="D26188" s="7">
        <f>DATE(2014,5,9)</f>
        <v>41768</v>
      </c>
      <c r="E26188" s="8">
        <f t="shared" si="445"/>
        <v>2014</v>
      </c>
      <c r="F26188" t="s">
        <v>4199</v>
      </c>
      <c r="G26188" s="9">
        <v>24205</v>
      </c>
      <c r="H26188" s="8">
        <v>13096</v>
      </c>
    </row>
    <row r="26189" spans="2:8" ht="15" customHeight="1" x14ac:dyDescent="0.4">
      <c r="B26189" t="s">
        <v>7</v>
      </c>
      <c r="C26189" t="s">
        <v>4198</v>
      </c>
      <c r="D26189" s="7">
        <f>DATE(2014,5,9)</f>
        <v>41768</v>
      </c>
      <c r="E26189" s="8">
        <f t="shared" si="445"/>
        <v>2014</v>
      </c>
      <c r="F26189" t="s">
        <v>4199</v>
      </c>
      <c r="G26189" s="9">
        <v>7966.05</v>
      </c>
      <c r="H26189" s="8">
        <v>12969</v>
      </c>
    </row>
    <row r="26190" spans="2:8" ht="15" customHeight="1" x14ac:dyDescent="0.4">
      <c r="B26190" t="s">
        <v>7</v>
      </c>
      <c r="C26190" t="s">
        <v>4198</v>
      </c>
      <c r="D26190" s="7">
        <f>DATE(2014,11,13)</f>
        <v>41956</v>
      </c>
      <c r="E26190" s="8">
        <f t="shared" si="445"/>
        <v>2014</v>
      </c>
      <c r="F26190" t="s">
        <v>4199</v>
      </c>
      <c r="G26190" s="9">
        <v>6935.78</v>
      </c>
      <c r="H26190" s="8">
        <v>13566</v>
      </c>
    </row>
    <row r="26191" spans="2:8" ht="15" customHeight="1" x14ac:dyDescent="0.4">
      <c r="B26191" s="3" t="s">
        <v>7</v>
      </c>
      <c r="C26191" s="3" t="s">
        <v>4200</v>
      </c>
      <c r="D26191" s="4">
        <f>DATE(2014,12,9)</f>
        <v>41982</v>
      </c>
      <c r="E26191" s="5">
        <f t="shared" si="445"/>
        <v>2014</v>
      </c>
      <c r="F26191" s="3" t="s">
        <v>4201</v>
      </c>
      <c r="G26191" s="6">
        <v>29292.16</v>
      </c>
      <c r="H26191" s="5">
        <v>6454</v>
      </c>
    </row>
    <row r="26192" spans="2:8" ht="15" customHeight="1" x14ac:dyDescent="0.4">
      <c r="B26192" t="s">
        <v>7</v>
      </c>
      <c r="C26192" t="s">
        <v>1786</v>
      </c>
      <c r="D26192" s="7">
        <f>DATE(2018,6,19)</f>
        <v>43270</v>
      </c>
      <c r="E26192" s="8">
        <f t="shared" si="445"/>
        <v>2018</v>
      </c>
      <c r="F26192" t="s">
        <v>4202</v>
      </c>
      <c r="G26192" s="9">
        <v>82455.460000000006</v>
      </c>
      <c r="H26192" s="8">
        <v>27031</v>
      </c>
    </row>
    <row r="26193" spans="2:8" ht="15" customHeight="1" x14ac:dyDescent="0.4">
      <c r="B26193" t="s">
        <v>7</v>
      </c>
      <c r="C26193" t="s">
        <v>4203</v>
      </c>
      <c r="D26193" s="7">
        <f>DATE(2015,10,26)</f>
        <v>42303</v>
      </c>
      <c r="E26193" s="8">
        <f t="shared" si="445"/>
        <v>2015</v>
      </c>
      <c r="F26193" t="s">
        <v>4204</v>
      </c>
      <c r="G26193" s="9">
        <v>3391.41</v>
      </c>
      <c r="H26193" s="8">
        <v>21401</v>
      </c>
    </row>
    <row r="26194" spans="2:8" ht="15" customHeight="1" x14ac:dyDescent="0.4">
      <c r="B26194" t="s">
        <v>7</v>
      </c>
      <c r="C26194" t="s">
        <v>4203</v>
      </c>
      <c r="D26194" s="7">
        <f>DATE(2015,12,1)</f>
        <v>42339</v>
      </c>
      <c r="E26194" s="8">
        <f t="shared" si="445"/>
        <v>2015</v>
      </c>
      <c r="F26194" t="s">
        <v>4204</v>
      </c>
      <c r="G26194" s="9">
        <v>5096.5200000000004</v>
      </c>
      <c r="H26194" s="8">
        <v>21627</v>
      </c>
    </row>
    <row r="26195" spans="2:8" ht="15" customHeight="1" x14ac:dyDescent="0.4">
      <c r="B26195" t="s">
        <v>7</v>
      </c>
      <c r="C26195" t="s">
        <v>4203</v>
      </c>
      <c r="D26195" s="7">
        <f>DATE(2016,8,2)</f>
        <v>42584</v>
      </c>
      <c r="E26195" s="8">
        <f t="shared" si="445"/>
        <v>2016</v>
      </c>
      <c r="F26195" t="s">
        <v>4204</v>
      </c>
      <c r="G26195" s="9">
        <v>5109.8599999999997</v>
      </c>
      <c r="H26195" s="8">
        <v>23186</v>
      </c>
    </row>
    <row r="26196" spans="2:8" ht="15" customHeight="1" x14ac:dyDescent="0.4">
      <c r="B26196" s="3" t="s">
        <v>7</v>
      </c>
      <c r="C26196" s="3" t="s">
        <v>4205</v>
      </c>
      <c r="D26196" s="4">
        <f>DATE(2008,12,1)</f>
        <v>39783</v>
      </c>
      <c r="E26196" s="5">
        <f t="shared" si="445"/>
        <v>2008</v>
      </c>
      <c r="F26196" s="3" t="s">
        <v>4206</v>
      </c>
      <c r="G26196" s="6">
        <v>2101.41</v>
      </c>
      <c r="H26196" s="5">
        <v>11595</v>
      </c>
    </row>
    <row r="26197" spans="2:8" ht="15" customHeight="1" x14ac:dyDescent="0.4">
      <c r="B26197" t="s">
        <v>7</v>
      </c>
      <c r="C26197" t="s">
        <v>4207</v>
      </c>
      <c r="D26197" s="7">
        <f>DATE(2015,7,29)</f>
        <v>42214</v>
      </c>
      <c r="E26197" s="8">
        <f t="shared" si="445"/>
        <v>2015</v>
      </c>
      <c r="F26197" t="s">
        <v>4208</v>
      </c>
      <c r="G26197" s="9">
        <v>4951.93</v>
      </c>
      <c r="H26197" s="8">
        <v>20920</v>
      </c>
    </row>
    <row r="26198" spans="2:8" ht="15" customHeight="1" x14ac:dyDescent="0.4">
      <c r="B26198" t="s">
        <v>7</v>
      </c>
      <c r="C26198" t="s">
        <v>4207</v>
      </c>
      <c r="D26198" s="7">
        <f>DATE(2015,10,20)</f>
        <v>42297</v>
      </c>
      <c r="E26198" s="8">
        <f t="shared" si="445"/>
        <v>2015</v>
      </c>
      <c r="F26198" t="s">
        <v>4208</v>
      </c>
      <c r="G26198" s="9">
        <v>5246.84</v>
      </c>
      <c r="H26198" s="8">
        <v>21384</v>
      </c>
    </row>
    <row r="26199" spans="2:8" ht="15" customHeight="1" x14ac:dyDescent="0.4">
      <c r="B26199" t="s">
        <v>7</v>
      </c>
      <c r="C26199" t="s">
        <v>4207</v>
      </c>
      <c r="D26199" s="7">
        <f>DATE(2014,5,2)</f>
        <v>41761</v>
      </c>
      <c r="E26199" s="8">
        <f t="shared" si="445"/>
        <v>2014</v>
      </c>
      <c r="F26199" t="s">
        <v>4208</v>
      </c>
      <c r="G26199" s="9">
        <v>4519.8</v>
      </c>
      <c r="H26199" s="8">
        <v>13167</v>
      </c>
    </row>
    <row r="26200" spans="2:8" ht="15" customHeight="1" x14ac:dyDescent="0.4">
      <c r="B26200" t="s">
        <v>7</v>
      </c>
      <c r="C26200" t="s">
        <v>4209</v>
      </c>
      <c r="D26200" s="7">
        <f>DATE(2003,2,18)</f>
        <v>37670</v>
      </c>
      <c r="E26200" s="8">
        <f t="shared" si="445"/>
        <v>2003</v>
      </c>
      <c r="F26200" t="s">
        <v>4210</v>
      </c>
      <c r="G26200" s="9">
        <v>750</v>
      </c>
      <c r="H26200" s="8">
        <v>181</v>
      </c>
    </row>
    <row r="26201" spans="2:8" ht="15" customHeight="1" x14ac:dyDescent="0.4">
      <c r="B26201" t="s">
        <v>7</v>
      </c>
      <c r="C26201" t="s">
        <v>4209</v>
      </c>
      <c r="D26201" s="7">
        <f>DATE(2003,11,11)</f>
        <v>37936</v>
      </c>
      <c r="E26201" s="8">
        <f t="shared" si="445"/>
        <v>2003</v>
      </c>
      <c r="F26201" t="s">
        <v>4210</v>
      </c>
      <c r="G26201" s="9">
        <v>750</v>
      </c>
      <c r="H26201" s="8">
        <v>881</v>
      </c>
    </row>
    <row r="26202" spans="2:8" ht="15" customHeight="1" x14ac:dyDescent="0.4">
      <c r="B26202" t="s">
        <v>7</v>
      </c>
      <c r="C26202" t="s">
        <v>4209</v>
      </c>
      <c r="D26202" s="7">
        <f>DATE(2005,3,29)</f>
        <v>38440</v>
      </c>
      <c r="E26202" s="8">
        <f t="shared" si="445"/>
        <v>2005</v>
      </c>
      <c r="F26202" t="s">
        <v>4210</v>
      </c>
      <c r="G26202" s="9">
        <v>1500</v>
      </c>
      <c r="H26202" s="8">
        <v>2610</v>
      </c>
    </row>
    <row r="26203" spans="2:8" ht="15" customHeight="1" x14ac:dyDescent="0.4">
      <c r="B26203" t="s">
        <v>7</v>
      </c>
      <c r="C26203" t="s">
        <v>4209</v>
      </c>
      <c r="D26203" s="7">
        <f>DATE(2006,3,31)</f>
        <v>38807</v>
      </c>
      <c r="E26203" s="8">
        <f t="shared" si="445"/>
        <v>2006</v>
      </c>
      <c r="F26203" t="s">
        <v>4210</v>
      </c>
      <c r="G26203" s="9">
        <v>1000</v>
      </c>
      <c r="H26203" s="8">
        <v>4307</v>
      </c>
    </row>
    <row r="26204" spans="2:8" ht="15" customHeight="1" x14ac:dyDescent="0.4">
      <c r="B26204" t="s">
        <v>7</v>
      </c>
      <c r="C26204" t="s">
        <v>4209</v>
      </c>
      <c r="D26204" s="7">
        <f>DATE(2007,3,20)</f>
        <v>39161</v>
      </c>
      <c r="E26204" s="8">
        <f t="shared" si="445"/>
        <v>2007</v>
      </c>
      <c r="F26204" t="s">
        <v>4210</v>
      </c>
      <c r="G26204" s="9">
        <v>750</v>
      </c>
      <c r="H26204" s="8">
        <v>5646</v>
      </c>
    </row>
    <row r="26205" spans="2:8" ht="15" customHeight="1" x14ac:dyDescent="0.4">
      <c r="B26205" t="s">
        <v>7</v>
      </c>
      <c r="C26205" t="s">
        <v>4209</v>
      </c>
      <c r="D26205" s="7">
        <f>DATE(2007,6,15)</f>
        <v>39248</v>
      </c>
      <c r="E26205" s="8">
        <f t="shared" si="445"/>
        <v>2007</v>
      </c>
      <c r="F26205" t="s">
        <v>4210</v>
      </c>
      <c r="G26205" s="9">
        <v>1728.63</v>
      </c>
      <c r="H26205" s="8">
        <v>6092</v>
      </c>
    </row>
    <row r="26206" spans="2:8" ht="15" customHeight="1" x14ac:dyDescent="0.4">
      <c r="B26206" t="s">
        <v>7</v>
      </c>
      <c r="C26206" t="s">
        <v>4209</v>
      </c>
      <c r="D26206" s="7">
        <f>DATE(2007,6,15)</f>
        <v>39248</v>
      </c>
      <c r="E26206" s="8">
        <f t="shared" si="445"/>
        <v>2007</v>
      </c>
      <c r="F26206" t="s">
        <v>4210</v>
      </c>
      <c r="G26206" s="9">
        <v>201.25</v>
      </c>
      <c r="H26206" s="8">
        <v>6114</v>
      </c>
    </row>
    <row r="26207" spans="2:8" ht="15" customHeight="1" x14ac:dyDescent="0.4">
      <c r="B26207" t="s">
        <v>7</v>
      </c>
      <c r="C26207" t="s">
        <v>4209</v>
      </c>
      <c r="D26207" s="7">
        <f>DATE(2008,4,1)</f>
        <v>39539</v>
      </c>
      <c r="E26207" s="8">
        <f t="shared" si="445"/>
        <v>2008</v>
      </c>
      <c r="F26207" t="s">
        <v>4210</v>
      </c>
      <c r="G26207" s="9">
        <v>2251.3200000000002</v>
      </c>
      <c r="H26207" s="8">
        <v>7130</v>
      </c>
    </row>
    <row r="26208" spans="2:8" ht="15" customHeight="1" x14ac:dyDescent="0.4">
      <c r="B26208" t="s">
        <v>7</v>
      </c>
      <c r="C26208" t="s">
        <v>4209</v>
      </c>
      <c r="D26208" s="7">
        <f>DATE(2008,10,22)</f>
        <v>39743</v>
      </c>
      <c r="E26208" s="8">
        <f t="shared" si="445"/>
        <v>2008</v>
      </c>
      <c r="F26208" t="s">
        <v>4210</v>
      </c>
      <c r="G26208" s="9">
        <v>1429.1</v>
      </c>
      <c r="H26208" s="8">
        <v>7862</v>
      </c>
    </row>
    <row r="26209" spans="2:8" ht="15" customHeight="1" x14ac:dyDescent="0.4">
      <c r="B26209" t="s">
        <v>16</v>
      </c>
      <c r="C26209" t="s">
        <v>4209</v>
      </c>
      <c r="D26209" s="7">
        <f>DATE(2005,5,17)</f>
        <v>38489</v>
      </c>
      <c r="E26209" s="8">
        <f t="shared" si="445"/>
        <v>2005</v>
      </c>
      <c r="F26209" t="s">
        <v>4210</v>
      </c>
      <c r="G26209" s="9">
        <v>750</v>
      </c>
      <c r="H26209" s="8">
        <v>3216</v>
      </c>
    </row>
    <row r="26210" spans="2:8" ht="15" customHeight="1" x14ac:dyDescent="0.4">
      <c r="B26210" s="3" t="s">
        <v>7</v>
      </c>
      <c r="C26210" s="3" t="s">
        <v>4209</v>
      </c>
      <c r="D26210" s="4">
        <f>DATE(2003,2,21)</f>
        <v>37673</v>
      </c>
      <c r="E26210" s="5">
        <f t="shared" si="445"/>
        <v>2003</v>
      </c>
      <c r="F26210" s="3" t="s">
        <v>4210</v>
      </c>
      <c r="G26210" s="6">
        <v>2591.1999999999998</v>
      </c>
      <c r="H26210" s="5">
        <v>223</v>
      </c>
    </row>
    <row r="26211" spans="2:8" ht="15" customHeight="1" x14ac:dyDescent="0.4">
      <c r="B26211" s="3" t="s">
        <v>7</v>
      </c>
      <c r="C26211" s="3" t="s">
        <v>4209</v>
      </c>
      <c r="D26211" s="4">
        <f>DATE(2003,11,11)</f>
        <v>37936</v>
      </c>
      <c r="E26211" s="5">
        <f t="shared" si="445"/>
        <v>2003</v>
      </c>
      <c r="F26211" s="3" t="s">
        <v>4210</v>
      </c>
      <c r="G26211" s="6">
        <v>2460</v>
      </c>
      <c r="H26211" s="5">
        <v>1524</v>
      </c>
    </row>
    <row r="26212" spans="2:8" ht="15" customHeight="1" x14ac:dyDescent="0.4">
      <c r="B26212" s="3" t="s">
        <v>7</v>
      </c>
      <c r="C26212" s="3" t="s">
        <v>4209</v>
      </c>
      <c r="D26212" s="4">
        <f>DATE(2005,3,29)</f>
        <v>38440</v>
      </c>
      <c r="E26212" s="5">
        <f t="shared" si="445"/>
        <v>2005</v>
      </c>
      <c r="F26212" s="3" t="s">
        <v>4210</v>
      </c>
      <c r="G26212" s="6">
        <v>2490</v>
      </c>
      <c r="H26212" s="5">
        <v>3994</v>
      </c>
    </row>
    <row r="26213" spans="2:8" ht="15" customHeight="1" x14ac:dyDescent="0.4">
      <c r="B26213" s="3" t="s">
        <v>7</v>
      </c>
      <c r="C26213" s="3" t="s">
        <v>4209</v>
      </c>
      <c r="D26213" s="4">
        <f>DATE(2007,6,15)</f>
        <v>39248</v>
      </c>
      <c r="E26213" s="5">
        <f t="shared" si="445"/>
        <v>2007</v>
      </c>
      <c r="F26213" s="3" t="s">
        <v>4210</v>
      </c>
      <c r="G26213" s="6">
        <v>3059</v>
      </c>
      <c r="H26213" s="5">
        <v>8785</v>
      </c>
    </row>
    <row r="26214" spans="2:8" ht="15" customHeight="1" x14ac:dyDescent="0.4">
      <c r="B26214" s="3" t="s">
        <v>7</v>
      </c>
      <c r="C26214" s="3" t="s">
        <v>4211</v>
      </c>
      <c r="D26214" s="4">
        <f>DATE(2003,12,10)</f>
        <v>37965</v>
      </c>
      <c r="E26214" s="5">
        <f t="shared" si="445"/>
        <v>2003</v>
      </c>
      <c r="F26214" s="3" t="s">
        <v>4212</v>
      </c>
      <c r="G26214" s="6">
        <v>254.4</v>
      </c>
      <c r="H26214" s="5">
        <v>476</v>
      </c>
    </row>
    <row r="26215" spans="2:8" ht="15" customHeight="1" x14ac:dyDescent="0.4">
      <c r="B26215" s="3" t="s">
        <v>7</v>
      </c>
      <c r="C26215" s="3" t="s">
        <v>4213</v>
      </c>
      <c r="D26215" s="4">
        <f>DATE(2013,10,9)</f>
        <v>41556</v>
      </c>
      <c r="E26215" s="5">
        <f t="shared" si="445"/>
        <v>2013</v>
      </c>
      <c r="F26215" s="3" t="s">
        <v>4214</v>
      </c>
      <c r="G26215" s="6">
        <v>4344.8</v>
      </c>
      <c r="H26215" s="5">
        <v>5834</v>
      </c>
    </row>
    <row r="26216" spans="2:8" ht="15" customHeight="1" x14ac:dyDescent="0.4">
      <c r="B26216" t="s">
        <v>7</v>
      </c>
      <c r="C26216" t="s">
        <v>4215</v>
      </c>
      <c r="D26216" s="7">
        <f>DATE(2003,4,17)</f>
        <v>37728</v>
      </c>
      <c r="E26216" s="8">
        <f t="shared" si="445"/>
        <v>2003</v>
      </c>
      <c r="F26216" t="s">
        <v>4216</v>
      </c>
      <c r="G26216" s="9">
        <v>106</v>
      </c>
      <c r="H26216" s="8">
        <v>457</v>
      </c>
    </row>
    <row r="26217" spans="2:8" ht="15" customHeight="1" x14ac:dyDescent="0.4">
      <c r="B26217" s="3" t="s">
        <v>7</v>
      </c>
      <c r="C26217" s="3" t="s">
        <v>4217</v>
      </c>
      <c r="D26217" s="4">
        <f>DATE(2004,3,30)</f>
        <v>38076</v>
      </c>
      <c r="E26217" s="5">
        <f t="shared" si="445"/>
        <v>2004</v>
      </c>
      <c r="F26217" s="3" t="s">
        <v>4218</v>
      </c>
      <c r="G26217" s="6">
        <v>8478.33</v>
      </c>
      <c r="H26217" s="5">
        <v>576</v>
      </c>
    </row>
    <row r="26218" spans="2:8" ht="15" customHeight="1" x14ac:dyDescent="0.4">
      <c r="B26218" s="3" t="s">
        <v>7</v>
      </c>
      <c r="C26218" s="3" t="s">
        <v>4217</v>
      </c>
      <c r="D26218" s="4">
        <f>DATE(2004,3,30)</f>
        <v>38076</v>
      </c>
      <c r="E26218" s="5">
        <f t="shared" si="445"/>
        <v>2004</v>
      </c>
      <c r="F26218" s="3" t="s">
        <v>4218</v>
      </c>
      <c r="G26218" s="6">
        <v>4086.04</v>
      </c>
      <c r="H26218" s="5">
        <v>649</v>
      </c>
    </row>
    <row r="26219" spans="2:8" ht="15" customHeight="1" x14ac:dyDescent="0.4">
      <c r="B26219" s="3" t="s">
        <v>16</v>
      </c>
      <c r="C26219" s="3" t="s">
        <v>4217</v>
      </c>
      <c r="D26219" s="4">
        <f>DATE(2005,2,2)</f>
        <v>38385</v>
      </c>
      <c r="E26219" s="5">
        <f t="shared" si="445"/>
        <v>2005</v>
      </c>
      <c r="F26219" s="3" t="s">
        <v>4218</v>
      </c>
      <c r="G26219" s="6">
        <v>973.32</v>
      </c>
      <c r="H26219" s="5">
        <v>971</v>
      </c>
    </row>
    <row r="26220" spans="2:8" ht="15" customHeight="1" x14ac:dyDescent="0.4">
      <c r="B26220" s="3" t="s">
        <v>7</v>
      </c>
      <c r="C26220" s="3" t="s">
        <v>4217</v>
      </c>
      <c r="D26220" s="4">
        <f>DATE(2003,12,12)</f>
        <v>37967</v>
      </c>
      <c r="E26220" s="5">
        <f t="shared" si="445"/>
        <v>2003</v>
      </c>
      <c r="F26220" s="3" t="s">
        <v>4218</v>
      </c>
      <c r="G26220" s="6">
        <v>154225.97</v>
      </c>
      <c r="H26220" s="5">
        <v>1894</v>
      </c>
    </row>
    <row r="26221" spans="2:8" ht="15" customHeight="1" x14ac:dyDescent="0.4">
      <c r="B26221" s="3" t="s">
        <v>7</v>
      </c>
      <c r="C26221" s="3" t="s">
        <v>4217</v>
      </c>
      <c r="D26221" s="4">
        <f>DATE(2004,3,30)</f>
        <v>38076</v>
      </c>
      <c r="E26221" s="5">
        <f t="shared" si="445"/>
        <v>2004</v>
      </c>
      <c r="F26221" s="3" t="s">
        <v>4218</v>
      </c>
      <c r="G26221" s="6">
        <v>40730.21</v>
      </c>
      <c r="H26221" s="5">
        <v>2512</v>
      </c>
    </row>
    <row r="26222" spans="2:8" ht="15" customHeight="1" x14ac:dyDescent="0.4">
      <c r="B26222" s="3" t="s">
        <v>7</v>
      </c>
      <c r="C26222" s="3" t="s">
        <v>4217</v>
      </c>
      <c r="D26222" s="4">
        <f>DATE(2004,4,16)</f>
        <v>38093</v>
      </c>
      <c r="E26222" s="5">
        <f t="shared" si="445"/>
        <v>2004</v>
      </c>
      <c r="F26222" s="3" t="s">
        <v>4218</v>
      </c>
      <c r="G26222" s="6">
        <v>10244.450000000001</v>
      </c>
      <c r="H26222" s="5">
        <v>2548</v>
      </c>
    </row>
    <row r="26223" spans="2:8" ht="15" customHeight="1" x14ac:dyDescent="0.4">
      <c r="B26223" s="3" t="s">
        <v>7</v>
      </c>
      <c r="C26223" s="3" t="s">
        <v>4217</v>
      </c>
      <c r="D26223" s="4">
        <f>DATE(2005,2,17)</f>
        <v>38400</v>
      </c>
      <c r="E26223" s="5">
        <f t="shared" si="445"/>
        <v>2005</v>
      </c>
      <c r="F26223" s="3" t="s">
        <v>4218</v>
      </c>
      <c r="G26223" s="6">
        <v>2693.25</v>
      </c>
      <c r="H26223" s="5">
        <v>4100</v>
      </c>
    </row>
    <row r="26224" spans="2:8" ht="15" customHeight="1" x14ac:dyDescent="0.4">
      <c r="B26224" s="3" t="s">
        <v>7</v>
      </c>
      <c r="C26224" s="3" t="s">
        <v>4217</v>
      </c>
      <c r="D26224" s="4">
        <f>DATE(2006,2,1)</f>
        <v>38749</v>
      </c>
      <c r="E26224" s="5">
        <f t="shared" si="445"/>
        <v>2006</v>
      </c>
      <c r="F26224" s="3" t="s">
        <v>4218</v>
      </c>
      <c r="G26224" s="6">
        <v>2523.98</v>
      </c>
      <c r="H26224" s="5">
        <v>5794</v>
      </c>
    </row>
    <row r="26225" spans="2:8" ht="15" customHeight="1" x14ac:dyDescent="0.4">
      <c r="B26225" s="3" t="s">
        <v>16</v>
      </c>
      <c r="C26225" s="3" t="s">
        <v>4217</v>
      </c>
      <c r="D26225" s="4">
        <f>DATE(2005,2,2)</f>
        <v>38385</v>
      </c>
      <c r="E26225" s="5">
        <f t="shared" si="445"/>
        <v>2005</v>
      </c>
      <c r="F26225" s="3" t="s">
        <v>4218</v>
      </c>
      <c r="G26225" s="6">
        <v>30525</v>
      </c>
      <c r="H26225" s="5">
        <v>4242</v>
      </c>
    </row>
    <row r="26226" spans="2:8" ht="15" customHeight="1" x14ac:dyDescent="0.4">
      <c r="B26226" s="3" t="s">
        <v>7</v>
      </c>
      <c r="C26226" s="3" t="s">
        <v>4219</v>
      </c>
      <c r="D26226" s="4">
        <f>DATE(2003,3,21)</f>
        <v>37701</v>
      </c>
      <c r="E26226" s="5">
        <f t="shared" si="445"/>
        <v>2003</v>
      </c>
      <c r="F26226" s="3" t="s">
        <v>4220</v>
      </c>
      <c r="G26226" s="6">
        <v>1249.7</v>
      </c>
      <c r="H26226" s="5">
        <v>63</v>
      </c>
    </row>
    <row r="26227" spans="2:8" ht="15" customHeight="1" x14ac:dyDescent="0.4">
      <c r="B26227" t="s">
        <v>7</v>
      </c>
      <c r="C26227" t="s">
        <v>4221</v>
      </c>
      <c r="D26227" s="7">
        <f>DATE(2016,3,7)</f>
        <v>42436</v>
      </c>
      <c r="E26227" s="8">
        <f t="shared" si="445"/>
        <v>2016</v>
      </c>
      <c r="F26227" t="s">
        <v>4222</v>
      </c>
      <c r="G26227" s="9">
        <v>1315.8</v>
      </c>
      <c r="H26227" s="8">
        <v>22338</v>
      </c>
    </row>
    <row r="26228" spans="2:8" ht="15" customHeight="1" x14ac:dyDescent="0.4">
      <c r="B26228" t="s">
        <v>7</v>
      </c>
      <c r="C26228" t="s">
        <v>4221</v>
      </c>
      <c r="D26228" s="7">
        <f>DATE(2017,8,28)</f>
        <v>42975</v>
      </c>
      <c r="E26228" s="8">
        <f t="shared" si="445"/>
        <v>2017</v>
      </c>
      <c r="F26228" t="s">
        <v>4222</v>
      </c>
      <c r="G26228" s="9">
        <v>1670</v>
      </c>
      <c r="H26228" s="8">
        <v>25064</v>
      </c>
    </row>
    <row r="26229" spans="2:8" ht="15" customHeight="1" x14ac:dyDescent="0.4">
      <c r="B26229" t="s">
        <v>7</v>
      </c>
      <c r="C26229" t="s">
        <v>4223</v>
      </c>
      <c r="D26229" s="7">
        <f>DATE(2015,6,1)</f>
        <v>42156</v>
      </c>
      <c r="E26229" s="8">
        <f t="shared" si="445"/>
        <v>2015</v>
      </c>
      <c r="F26229" t="s">
        <v>4224</v>
      </c>
      <c r="G26229" s="9">
        <v>2494.19</v>
      </c>
      <c r="H26229" s="8">
        <v>20634</v>
      </c>
    </row>
    <row r="26230" spans="2:8" ht="15" customHeight="1" x14ac:dyDescent="0.4">
      <c r="B26230" t="s">
        <v>7</v>
      </c>
      <c r="C26230" t="s">
        <v>4225</v>
      </c>
      <c r="D26230" s="7">
        <f>DATE(2015,6,9)</f>
        <v>42164</v>
      </c>
      <c r="E26230" s="8">
        <f t="shared" si="445"/>
        <v>2015</v>
      </c>
      <c r="F26230" t="s">
        <v>4226</v>
      </c>
      <c r="G26230" s="9">
        <v>15009.79</v>
      </c>
      <c r="H26230" s="8">
        <v>20527</v>
      </c>
    </row>
    <row r="26231" spans="2:8" ht="15" customHeight="1" x14ac:dyDescent="0.4">
      <c r="B26231" t="s">
        <v>7</v>
      </c>
      <c r="C26231" t="s">
        <v>4225</v>
      </c>
      <c r="D26231" s="7">
        <f>DATE(2015,6,1)</f>
        <v>42156</v>
      </c>
      <c r="E26231" s="8">
        <f t="shared" si="445"/>
        <v>2015</v>
      </c>
      <c r="F26231" t="s">
        <v>4226</v>
      </c>
      <c r="G26231" s="9">
        <v>776.8</v>
      </c>
      <c r="H26231" s="8">
        <v>20679</v>
      </c>
    </row>
    <row r="26232" spans="2:8" ht="15" customHeight="1" x14ac:dyDescent="0.4">
      <c r="B26232" t="s">
        <v>7</v>
      </c>
      <c r="C26232" t="s">
        <v>4225</v>
      </c>
      <c r="D26232" s="7">
        <f>DATE(2015,6,18)</f>
        <v>42173</v>
      </c>
      <c r="E26232" s="8">
        <f t="shared" si="445"/>
        <v>2015</v>
      </c>
      <c r="F26232" t="s">
        <v>4226</v>
      </c>
      <c r="G26232" s="9">
        <v>5573.88</v>
      </c>
      <c r="H26232" s="8">
        <v>20774</v>
      </c>
    </row>
    <row r="26233" spans="2:8" ht="15" customHeight="1" x14ac:dyDescent="0.4">
      <c r="B26233" t="s">
        <v>7</v>
      </c>
      <c r="C26233" t="s">
        <v>4225</v>
      </c>
      <c r="D26233" s="7">
        <f>DATE(2015,7,10)</f>
        <v>42195</v>
      </c>
      <c r="E26233" s="8">
        <f t="shared" si="445"/>
        <v>2015</v>
      </c>
      <c r="F26233" t="s">
        <v>4226</v>
      </c>
      <c r="G26233" s="9">
        <v>34295.61</v>
      </c>
      <c r="H26233" s="8">
        <v>20591</v>
      </c>
    </row>
    <row r="26234" spans="2:8" ht="15" customHeight="1" x14ac:dyDescent="0.4">
      <c r="B26234" t="s">
        <v>7</v>
      </c>
      <c r="C26234" t="s">
        <v>4225</v>
      </c>
      <c r="D26234" s="7">
        <f>DATE(2015,9,29)</f>
        <v>42276</v>
      </c>
      <c r="E26234" s="8">
        <f t="shared" si="445"/>
        <v>2015</v>
      </c>
      <c r="F26234" t="s">
        <v>4226</v>
      </c>
      <c r="G26234" s="9">
        <v>1841.62</v>
      </c>
      <c r="H26234" s="8">
        <v>21264</v>
      </c>
    </row>
    <row r="26235" spans="2:8" ht="15" customHeight="1" x14ac:dyDescent="0.4">
      <c r="B26235" t="s">
        <v>7</v>
      </c>
      <c r="C26235" t="s">
        <v>4225</v>
      </c>
      <c r="D26235" s="7">
        <f>DATE(2015,10,20)</f>
        <v>42297</v>
      </c>
      <c r="E26235" s="8">
        <f t="shared" si="445"/>
        <v>2015</v>
      </c>
      <c r="F26235" t="s">
        <v>4226</v>
      </c>
      <c r="G26235" s="9">
        <v>173.04</v>
      </c>
      <c r="H26235" s="8">
        <v>225</v>
      </c>
    </row>
    <row r="26236" spans="2:8" ht="15" customHeight="1" x14ac:dyDescent="0.4">
      <c r="B26236" t="s">
        <v>7</v>
      </c>
      <c r="C26236" t="s">
        <v>4225</v>
      </c>
      <c r="D26236" s="7">
        <f>DATE(2016,6,2)</f>
        <v>42523</v>
      </c>
      <c r="E26236" s="8">
        <f t="shared" si="445"/>
        <v>2016</v>
      </c>
      <c r="F26236" t="s">
        <v>4226</v>
      </c>
      <c r="G26236" s="9">
        <v>430.62</v>
      </c>
      <c r="H26236" s="8">
        <v>22962</v>
      </c>
    </row>
    <row r="26237" spans="2:8" ht="15" customHeight="1" x14ac:dyDescent="0.4">
      <c r="B26237" s="3" t="s">
        <v>7</v>
      </c>
      <c r="C26237" s="3" t="s">
        <v>4225</v>
      </c>
      <c r="D26237" s="4">
        <f>DATE(2005,12,30)</f>
        <v>38716</v>
      </c>
      <c r="E26237" s="5">
        <f t="shared" si="445"/>
        <v>2005</v>
      </c>
      <c r="F26237" s="3" t="s">
        <v>4226</v>
      </c>
      <c r="G26237" s="6">
        <v>7200</v>
      </c>
      <c r="H26237" s="5">
        <v>1334</v>
      </c>
    </row>
    <row r="26238" spans="2:8" ht="15" customHeight="1" x14ac:dyDescent="0.4">
      <c r="B26238" s="3" t="s">
        <v>7</v>
      </c>
      <c r="C26238" s="3" t="s">
        <v>4225</v>
      </c>
      <c r="D26238" s="4">
        <f>DATE(2007,1,22)</f>
        <v>39104</v>
      </c>
      <c r="E26238" s="5">
        <f t="shared" si="445"/>
        <v>2007</v>
      </c>
      <c r="F26238" s="3" t="s">
        <v>4226</v>
      </c>
      <c r="G26238" s="6">
        <v>2848.9</v>
      </c>
      <c r="H26238" s="5">
        <v>1964</v>
      </c>
    </row>
    <row r="26239" spans="2:8" ht="15" customHeight="1" x14ac:dyDescent="0.4">
      <c r="B26239" s="3" t="s">
        <v>7</v>
      </c>
      <c r="C26239" s="3" t="s">
        <v>4225</v>
      </c>
      <c r="D26239" s="4">
        <f>DATE(2008,10,2)</f>
        <v>39723</v>
      </c>
      <c r="E26239" s="5">
        <f t="shared" si="445"/>
        <v>2008</v>
      </c>
      <c r="F26239" s="3" t="s">
        <v>4226</v>
      </c>
      <c r="G26239" s="6">
        <v>1655.23</v>
      </c>
      <c r="H26239" s="5">
        <v>3057</v>
      </c>
    </row>
    <row r="26240" spans="2:8" ht="15" customHeight="1" x14ac:dyDescent="0.4">
      <c r="B26240" s="3" t="s">
        <v>7</v>
      </c>
      <c r="C26240" s="3" t="s">
        <v>4225</v>
      </c>
      <c r="D26240" s="4">
        <f>DATE(2009,12,2)</f>
        <v>40149</v>
      </c>
      <c r="E26240" s="5">
        <f t="shared" si="445"/>
        <v>2009</v>
      </c>
      <c r="F26240" s="3" t="s">
        <v>4226</v>
      </c>
      <c r="G26240" s="6">
        <v>15791.54</v>
      </c>
      <c r="H26240" s="5">
        <v>3578</v>
      </c>
    </row>
    <row r="26241" spans="2:8" ht="15" customHeight="1" x14ac:dyDescent="0.4">
      <c r="B26241" s="3" t="s">
        <v>7</v>
      </c>
      <c r="C26241" s="3" t="s">
        <v>4225</v>
      </c>
      <c r="D26241" s="4">
        <f>DATE(2011,1,17)</f>
        <v>40560</v>
      </c>
      <c r="E26241" s="5">
        <f t="shared" si="445"/>
        <v>2011</v>
      </c>
      <c r="F26241" s="3" t="s">
        <v>4226</v>
      </c>
      <c r="G26241" s="6">
        <v>63.2</v>
      </c>
      <c r="H26241" s="5">
        <v>4273</v>
      </c>
    </row>
    <row r="26242" spans="2:8" ht="15" customHeight="1" x14ac:dyDescent="0.4">
      <c r="B26242" s="3" t="s">
        <v>7</v>
      </c>
      <c r="C26242" s="3" t="s">
        <v>4225</v>
      </c>
      <c r="D26242" s="4">
        <f>DATE(2011,4,1)</f>
        <v>40634</v>
      </c>
      <c r="E26242" s="5">
        <f t="shared" si="445"/>
        <v>2011</v>
      </c>
      <c r="F26242" s="3" t="s">
        <v>4226</v>
      </c>
      <c r="G26242" s="6">
        <v>1633.13</v>
      </c>
      <c r="H26242" s="5">
        <v>4365</v>
      </c>
    </row>
    <row r="26243" spans="2:8" ht="15" customHeight="1" x14ac:dyDescent="0.4">
      <c r="B26243" s="3" t="s">
        <v>7</v>
      </c>
      <c r="C26243" s="3" t="s">
        <v>4225</v>
      </c>
      <c r="D26243" s="4">
        <f>DATE(2011,10,17)</f>
        <v>40833</v>
      </c>
      <c r="E26243" s="5">
        <f t="shared" ref="E26243:E26306" si="446">YEAR(D26243)</f>
        <v>2011</v>
      </c>
      <c r="F26243" s="3" t="s">
        <v>4226</v>
      </c>
      <c r="G26243" s="6">
        <v>1526.28</v>
      </c>
      <c r="H26243" s="5">
        <v>4653</v>
      </c>
    </row>
    <row r="26244" spans="2:8" ht="15" customHeight="1" x14ac:dyDescent="0.4">
      <c r="B26244" s="3" t="s">
        <v>7</v>
      </c>
      <c r="C26244" s="3" t="s">
        <v>4225</v>
      </c>
      <c r="D26244" s="4">
        <f>DATE(2012,2,7)</f>
        <v>40946</v>
      </c>
      <c r="E26244" s="5">
        <f t="shared" si="446"/>
        <v>2012</v>
      </c>
      <c r="F26244" s="3" t="s">
        <v>4226</v>
      </c>
      <c r="G26244" s="6">
        <v>8280.6200000000008</v>
      </c>
      <c r="H26244" s="5">
        <v>4785</v>
      </c>
    </row>
    <row r="26245" spans="2:8" ht="15" customHeight="1" x14ac:dyDescent="0.4">
      <c r="B26245" s="3" t="s">
        <v>7</v>
      </c>
      <c r="C26245" s="3" t="s">
        <v>4225</v>
      </c>
      <c r="D26245" s="4">
        <f>DATE(2012,6,29)</f>
        <v>41089</v>
      </c>
      <c r="E26245" s="5">
        <f t="shared" si="446"/>
        <v>2012</v>
      </c>
      <c r="F26245" s="3" t="s">
        <v>4226</v>
      </c>
      <c r="G26245" s="6">
        <v>127.01</v>
      </c>
      <c r="H26245" s="5">
        <v>5141</v>
      </c>
    </row>
    <row r="26246" spans="2:8" ht="15" customHeight="1" x14ac:dyDescent="0.4">
      <c r="B26246" s="3" t="s">
        <v>7</v>
      </c>
      <c r="C26246" s="3" t="s">
        <v>4225</v>
      </c>
      <c r="D26246" s="4">
        <f>DATE(2013,2,6)</f>
        <v>41311</v>
      </c>
      <c r="E26246" s="5">
        <f t="shared" si="446"/>
        <v>2013</v>
      </c>
      <c r="F26246" s="3" t="s">
        <v>4226</v>
      </c>
      <c r="G26246" s="6">
        <v>2589.9</v>
      </c>
      <c r="H26246" s="5">
        <v>5264</v>
      </c>
    </row>
    <row r="26247" spans="2:8" ht="15" customHeight="1" x14ac:dyDescent="0.4">
      <c r="B26247" s="3" t="s">
        <v>7</v>
      </c>
      <c r="C26247" s="3" t="s">
        <v>4225</v>
      </c>
      <c r="D26247" s="4">
        <f>DATE(2014,2,7)</f>
        <v>41677</v>
      </c>
      <c r="E26247" s="5">
        <f t="shared" si="446"/>
        <v>2014</v>
      </c>
      <c r="F26247" s="3" t="s">
        <v>4226</v>
      </c>
      <c r="G26247" s="6">
        <v>15060</v>
      </c>
      <c r="H26247" s="5">
        <v>5765</v>
      </c>
    </row>
    <row r="26248" spans="2:8" ht="15" customHeight="1" x14ac:dyDescent="0.4">
      <c r="B26248" s="3" t="s">
        <v>7</v>
      </c>
      <c r="C26248" s="3" t="s">
        <v>4225</v>
      </c>
      <c r="D26248" s="4">
        <f>DATE(2014,3,27)</f>
        <v>41725</v>
      </c>
      <c r="E26248" s="5">
        <f t="shared" si="446"/>
        <v>2014</v>
      </c>
      <c r="F26248" s="3" t="s">
        <v>4226</v>
      </c>
      <c r="G26248" s="6">
        <v>526.85</v>
      </c>
      <c r="H26248" s="5">
        <v>6137</v>
      </c>
    </row>
    <row r="26249" spans="2:8" ht="15" customHeight="1" x14ac:dyDescent="0.4">
      <c r="B26249" s="3" t="s">
        <v>7</v>
      </c>
      <c r="C26249" s="3" t="s">
        <v>4225</v>
      </c>
      <c r="D26249" s="4">
        <f>DATE(2014,4,22)</f>
        <v>41751</v>
      </c>
      <c r="E26249" s="5">
        <f t="shared" si="446"/>
        <v>2014</v>
      </c>
      <c r="F26249" s="3" t="s">
        <v>4226</v>
      </c>
      <c r="G26249" s="6">
        <v>8815.2000000000007</v>
      </c>
      <c r="H26249" s="5">
        <v>5912</v>
      </c>
    </row>
    <row r="26250" spans="2:8" ht="15" customHeight="1" x14ac:dyDescent="0.4">
      <c r="B26250" s="3" t="s">
        <v>7</v>
      </c>
      <c r="C26250" s="3" t="s">
        <v>4225</v>
      </c>
      <c r="D26250" s="4">
        <f>DATE(2014,6,26)</f>
        <v>41816</v>
      </c>
      <c r="E26250" s="5">
        <f t="shared" si="446"/>
        <v>2014</v>
      </c>
      <c r="F26250" s="3" t="s">
        <v>4226</v>
      </c>
      <c r="G26250" s="6">
        <v>126.37</v>
      </c>
      <c r="H26250" s="5">
        <v>6058</v>
      </c>
    </row>
    <row r="26251" spans="2:8" ht="15" customHeight="1" x14ac:dyDescent="0.4">
      <c r="B26251" t="s">
        <v>7</v>
      </c>
      <c r="C26251" t="s">
        <v>4227</v>
      </c>
      <c r="D26251" s="7">
        <f>DATE(2003,3,20)</f>
        <v>37700</v>
      </c>
      <c r="E26251" s="8">
        <f t="shared" si="446"/>
        <v>2003</v>
      </c>
      <c r="F26251" t="s">
        <v>4228</v>
      </c>
      <c r="G26251" s="9">
        <v>498.5</v>
      </c>
      <c r="H26251" s="8">
        <v>386</v>
      </c>
    </row>
    <row r="26252" spans="2:8" ht="15" customHeight="1" x14ac:dyDescent="0.4">
      <c r="B26252" s="3" t="s">
        <v>7</v>
      </c>
      <c r="C26252" s="3" t="s">
        <v>4229</v>
      </c>
      <c r="D26252" s="4">
        <f>DATE(2005,3,8)</f>
        <v>38419</v>
      </c>
      <c r="E26252" s="5">
        <f t="shared" si="446"/>
        <v>2005</v>
      </c>
      <c r="F26252" s="3" t="s">
        <v>4230</v>
      </c>
      <c r="G26252" s="6">
        <v>881.25</v>
      </c>
      <c r="H26252" s="5">
        <v>4084</v>
      </c>
    </row>
    <row r="26253" spans="2:8" ht="15" customHeight="1" x14ac:dyDescent="0.4">
      <c r="B26253" s="3" t="s">
        <v>7</v>
      </c>
      <c r="C26253" s="3" t="s">
        <v>4229</v>
      </c>
      <c r="D26253" s="4">
        <f>DATE(2005,4,28)</f>
        <v>38470</v>
      </c>
      <c r="E26253" s="5">
        <f t="shared" si="446"/>
        <v>2005</v>
      </c>
      <c r="F26253" s="3" t="s">
        <v>4230</v>
      </c>
      <c r="G26253" s="6">
        <v>7550.39</v>
      </c>
      <c r="H26253" s="5">
        <v>4631</v>
      </c>
    </row>
    <row r="26254" spans="2:8" ht="15" customHeight="1" x14ac:dyDescent="0.4">
      <c r="B26254" s="3" t="s">
        <v>7</v>
      </c>
      <c r="C26254" s="3" t="s">
        <v>4229</v>
      </c>
      <c r="D26254" s="4">
        <f>DATE(2005,10,19)</f>
        <v>38644</v>
      </c>
      <c r="E26254" s="5">
        <f t="shared" si="446"/>
        <v>2005</v>
      </c>
      <c r="F26254" s="3" t="s">
        <v>4230</v>
      </c>
      <c r="G26254" s="6">
        <v>5788.86</v>
      </c>
      <c r="H26254" s="5">
        <v>5445</v>
      </c>
    </row>
    <row r="26255" spans="2:8" ht="15" customHeight="1" x14ac:dyDescent="0.4">
      <c r="B26255" s="3" t="s">
        <v>7</v>
      </c>
      <c r="C26255" s="3" t="s">
        <v>4229</v>
      </c>
      <c r="D26255" s="4">
        <f>DATE(2005,11,29)</f>
        <v>38685</v>
      </c>
      <c r="E26255" s="5">
        <f t="shared" si="446"/>
        <v>2005</v>
      </c>
      <c r="F26255" s="3" t="s">
        <v>4230</v>
      </c>
      <c r="G26255" s="6">
        <v>1954.25</v>
      </c>
      <c r="H26255" s="5">
        <v>5608</v>
      </c>
    </row>
    <row r="26256" spans="2:8" ht="15" customHeight="1" x14ac:dyDescent="0.4">
      <c r="B26256" s="3" t="s">
        <v>7</v>
      </c>
      <c r="C26256" s="3" t="s">
        <v>4231</v>
      </c>
      <c r="D26256" s="4">
        <f>DATE(2007,5,10)</f>
        <v>39212</v>
      </c>
      <c r="E26256" s="5">
        <f t="shared" si="446"/>
        <v>2007</v>
      </c>
      <c r="F26256" s="3" t="s">
        <v>4232</v>
      </c>
      <c r="G26256" s="6">
        <v>397.9</v>
      </c>
      <c r="H26256" s="5">
        <v>2245</v>
      </c>
    </row>
    <row r="26257" spans="2:8" ht="15" customHeight="1" x14ac:dyDescent="0.4">
      <c r="B26257" s="3" t="s">
        <v>7</v>
      </c>
      <c r="C26257" s="3" t="s">
        <v>4231</v>
      </c>
      <c r="D26257" s="4">
        <f>DATE(2009,1,11)</f>
        <v>39824</v>
      </c>
      <c r="E26257" s="5">
        <f t="shared" si="446"/>
        <v>2009</v>
      </c>
      <c r="F26257" s="3" t="s">
        <v>4232</v>
      </c>
      <c r="G26257" s="6">
        <v>25311.7</v>
      </c>
      <c r="H26257" s="5">
        <v>2858</v>
      </c>
    </row>
    <row r="26258" spans="2:8" ht="15" customHeight="1" x14ac:dyDescent="0.4">
      <c r="B26258" s="3" t="s">
        <v>7</v>
      </c>
      <c r="C26258" s="3" t="s">
        <v>4231</v>
      </c>
      <c r="D26258" s="4">
        <f>DATE(2009,1,11)</f>
        <v>39824</v>
      </c>
      <c r="E26258" s="5">
        <f t="shared" si="446"/>
        <v>2009</v>
      </c>
      <c r="F26258" s="3" t="s">
        <v>4232</v>
      </c>
      <c r="G26258" s="6">
        <v>38978.01</v>
      </c>
      <c r="H26258" s="5">
        <v>2860</v>
      </c>
    </row>
    <row r="26259" spans="2:8" ht="15" customHeight="1" x14ac:dyDescent="0.4">
      <c r="B26259" s="3" t="s">
        <v>7</v>
      </c>
      <c r="C26259" s="3" t="s">
        <v>4231</v>
      </c>
      <c r="D26259" s="4">
        <f>DATE(2003,2,19)</f>
        <v>37671</v>
      </c>
      <c r="E26259" s="5">
        <f t="shared" si="446"/>
        <v>2003</v>
      </c>
      <c r="F26259" s="3" t="s">
        <v>4232</v>
      </c>
      <c r="G26259" s="6">
        <v>460</v>
      </c>
      <c r="H26259" s="5">
        <v>365</v>
      </c>
    </row>
    <row r="26260" spans="2:8" ht="15" customHeight="1" x14ac:dyDescent="0.4">
      <c r="B26260" t="s">
        <v>7</v>
      </c>
      <c r="C26260" t="s">
        <v>4233</v>
      </c>
      <c r="D26260" s="7">
        <f>DATE(2015,11,4)</f>
        <v>42312</v>
      </c>
      <c r="E26260" s="8">
        <f t="shared" si="446"/>
        <v>2015</v>
      </c>
      <c r="F26260" t="s">
        <v>4234</v>
      </c>
      <c r="G26260" s="9">
        <v>16994.240000000002</v>
      </c>
      <c r="H26260" s="8">
        <v>20700</v>
      </c>
    </row>
    <row r="26261" spans="2:8" ht="15" customHeight="1" x14ac:dyDescent="0.4">
      <c r="B26261" t="s">
        <v>7</v>
      </c>
      <c r="C26261" t="s">
        <v>4233</v>
      </c>
      <c r="D26261" s="7">
        <f>DATE(2013,7,15)</f>
        <v>41470</v>
      </c>
      <c r="E26261" s="8">
        <f t="shared" si="446"/>
        <v>2013</v>
      </c>
      <c r="F26261" t="s">
        <v>4234</v>
      </c>
      <c r="G26261" s="9">
        <v>6290</v>
      </c>
      <c r="H26261" s="8">
        <v>12273</v>
      </c>
    </row>
    <row r="26262" spans="2:8" ht="15" customHeight="1" x14ac:dyDescent="0.4">
      <c r="B26262" t="s">
        <v>7</v>
      </c>
      <c r="C26262" t="s">
        <v>4233</v>
      </c>
      <c r="D26262" s="7">
        <f>DATE(2013,11,18)</f>
        <v>41596</v>
      </c>
      <c r="E26262" s="8">
        <f t="shared" si="446"/>
        <v>2013</v>
      </c>
      <c r="F26262" t="s">
        <v>4234</v>
      </c>
      <c r="G26262" s="9">
        <v>4602</v>
      </c>
      <c r="H26262" s="8">
        <v>12735</v>
      </c>
    </row>
    <row r="26263" spans="2:8" ht="15" customHeight="1" x14ac:dyDescent="0.4">
      <c r="B26263" s="3" t="s">
        <v>7</v>
      </c>
      <c r="C26263" s="3" t="s">
        <v>4233</v>
      </c>
      <c r="D26263" s="4">
        <f>DATE(2013,4,22)</f>
        <v>41386</v>
      </c>
      <c r="E26263" s="5">
        <f t="shared" si="446"/>
        <v>2013</v>
      </c>
      <c r="F26263" s="3" t="s">
        <v>4234</v>
      </c>
      <c r="G26263" s="6">
        <v>7265.59</v>
      </c>
      <c r="H26263" s="5">
        <v>5453</v>
      </c>
    </row>
    <row r="26264" spans="2:8" ht="15" customHeight="1" x14ac:dyDescent="0.4">
      <c r="B26264" s="3" t="s">
        <v>7</v>
      </c>
      <c r="C26264" s="3" t="s">
        <v>4233</v>
      </c>
      <c r="D26264" s="4">
        <f>DATE(2013,10,17)</f>
        <v>41564</v>
      </c>
      <c r="E26264" s="5">
        <f t="shared" si="446"/>
        <v>2013</v>
      </c>
      <c r="F26264" s="3" t="s">
        <v>4234</v>
      </c>
      <c r="G26264" s="6">
        <v>2158</v>
      </c>
      <c r="H26264" s="5">
        <v>5847</v>
      </c>
    </row>
    <row r="26265" spans="2:8" ht="15" customHeight="1" x14ac:dyDescent="0.4">
      <c r="B26265" s="3" t="s">
        <v>7</v>
      </c>
      <c r="C26265" s="3" t="s">
        <v>4233</v>
      </c>
      <c r="D26265" s="4">
        <f>DATE(2014,1,27)</f>
        <v>41666</v>
      </c>
      <c r="E26265" s="5">
        <f t="shared" si="446"/>
        <v>2014</v>
      </c>
      <c r="F26265" s="3" t="s">
        <v>4234</v>
      </c>
      <c r="G26265" s="6">
        <v>979</v>
      </c>
      <c r="H26265" s="5">
        <v>6001</v>
      </c>
    </row>
    <row r="26266" spans="2:8" ht="15" customHeight="1" x14ac:dyDescent="0.4">
      <c r="B26266" s="3" t="s">
        <v>7</v>
      </c>
      <c r="C26266" s="3" t="s">
        <v>4233</v>
      </c>
      <c r="D26266" s="4">
        <f>DATE(2014,6,27)</f>
        <v>41817</v>
      </c>
      <c r="E26266" s="5">
        <f t="shared" si="446"/>
        <v>2014</v>
      </c>
      <c r="F26266" s="3" t="s">
        <v>4234</v>
      </c>
      <c r="G26266" s="6">
        <v>157.6</v>
      </c>
      <c r="H26266" s="5">
        <v>6259</v>
      </c>
    </row>
    <row r="26267" spans="2:8" ht="15" customHeight="1" x14ac:dyDescent="0.4">
      <c r="B26267" s="3" t="s">
        <v>7</v>
      </c>
      <c r="C26267" s="3" t="s">
        <v>4233</v>
      </c>
      <c r="D26267" s="4">
        <f>DATE(2013,4,22)</f>
        <v>41386</v>
      </c>
      <c r="E26267" s="5">
        <f t="shared" si="446"/>
        <v>2013</v>
      </c>
      <c r="F26267" s="3" t="s">
        <v>4234</v>
      </c>
      <c r="G26267" s="6">
        <v>9848</v>
      </c>
      <c r="H26267" s="5">
        <v>18146</v>
      </c>
    </row>
    <row r="26268" spans="2:8" ht="15" customHeight="1" x14ac:dyDescent="0.4">
      <c r="B26268" s="3" t="s">
        <v>7</v>
      </c>
      <c r="C26268" s="3" t="s">
        <v>4233</v>
      </c>
      <c r="D26268" s="4">
        <f>DATE(2013,7,17)</f>
        <v>41472</v>
      </c>
      <c r="E26268" s="5">
        <f t="shared" si="446"/>
        <v>2013</v>
      </c>
      <c r="F26268" s="3" t="s">
        <v>4234</v>
      </c>
      <c r="G26268" s="6">
        <v>3518.6</v>
      </c>
      <c r="H26268" s="5">
        <v>18731</v>
      </c>
    </row>
    <row r="26269" spans="2:8" ht="15" customHeight="1" x14ac:dyDescent="0.4">
      <c r="B26269" s="3" t="s">
        <v>7</v>
      </c>
      <c r="C26269" s="3" t="s">
        <v>4233</v>
      </c>
      <c r="D26269" s="4">
        <f>DATE(2013,10,17)</f>
        <v>41564</v>
      </c>
      <c r="E26269" s="5">
        <f t="shared" si="446"/>
        <v>2013</v>
      </c>
      <c r="F26269" s="3" t="s">
        <v>4234</v>
      </c>
      <c r="G26269" s="6">
        <v>3312</v>
      </c>
      <c r="H26269" s="5">
        <v>19102</v>
      </c>
    </row>
    <row r="26270" spans="2:8" ht="15" customHeight="1" x14ac:dyDescent="0.4">
      <c r="B26270" s="3" t="s">
        <v>7</v>
      </c>
      <c r="C26270" s="3" t="s">
        <v>4233</v>
      </c>
      <c r="D26270" s="4">
        <f>DATE(2013,10,29)</f>
        <v>41576</v>
      </c>
      <c r="E26270" s="5">
        <f t="shared" si="446"/>
        <v>2013</v>
      </c>
      <c r="F26270" s="3" t="s">
        <v>4234</v>
      </c>
      <c r="G26270" s="6">
        <v>1961</v>
      </c>
      <c r="H26270" s="5">
        <v>18861</v>
      </c>
    </row>
    <row r="26271" spans="2:8" ht="15" customHeight="1" x14ac:dyDescent="0.4">
      <c r="B26271" s="3" t="s">
        <v>7</v>
      </c>
      <c r="C26271" s="3" t="s">
        <v>4233</v>
      </c>
      <c r="D26271" s="4">
        <f>DATE(2013,12,2)</f>
        <v>41610</v>
      </c>
      <c r="E26271" s="5">
        <f t="shared" si="446"/>
        <v>2013</v>
      </c>
      <c r="F26271" s="3" t="s">
        <v>4234</v>
      </c>
      <c r="G26271" s="6">
        <v>14092.06</v>
      </c>
      <c r="H26271" s="5">
        <v>19269</v>
      </c>
    </row>
    <row r="26272" spans="2:8" ht="15" customHeight="1" x14ac:dyDescent="0.4">
      <c r="B26272" s="3" t="s">
        <v>7</v>
      </c>
      <c r="C26272" s="3" t="s">
        <v>4233</v>
      </c>
      <c r="D26272" s="4">
        <f>DATE(2014,6,27)</f>
        <v>41817</v>
      </c>
      <c r="E26272" s="5">
        <f t="shared" si="446"/>
        <v>2014</v>
      </c>
      <c r="F26272" s="3" t="s">
        <v>4234</v>
      </c>
      <c r="G26272" s="6">
        <v>3075.38</v>
      </c>
      <c r="H26272" s="5">
        <v>20131</v>
      </c>
    </row>
    <row r="26273" spans="2:8" ht="15" customHeight="1" x14ac:dyDescent="0.4">
      <c r="B26273" t="s">
        <v>7</v>
      </c>
      <c r="C26273" t="s">
        <v>4233</v>
      </c>
      <c r="D26273" s="7">
        <f>DATE(2016,10,24)</f>
        <v>42667</v>
      </c>
      <c r="E26273" s="8">
        <f t="shared" si="446"/>
        <v>2016</v>
      </c>
      <c r="F26273" t="s">
        <v>4235</v>
      </c>
      <c r="G26273" s="9">
        <v>7102.72</v>
      </c>
      <c r="H26273" s="8">
        <v>23588</v>
      </c>
    </row>
    <row r="26274" spans="2:8" ht="15" customHeight="1" x14ac:dyDescent="0.4">
      <c r="B26274" t="s">
        <v>7</v>
      </c>
      <c r="C26274" t="s">
        <v>4233</v>
      </c>
      <c r="D26274" s="7">
        <f>DATE(2016,11,10)</f>
        <v>42684</v>
      </c>
      <c r="E26274" s="8">
        <f t="shared" si="446"/>
        <v>2016</v>
      </c>
      <c r="F26274" t="s">
        <v>4235</v>
      </c>
      <c r="G26274" s="9">
        <v>36179.78</v>
      </c>
      <c r="H26274" s="8">
        <v>23626</v>
      </c>
    </row>
    <row r="26275" spans="2:8" ht="15" customHeight="1" x14ac:dyDescent="0.4">
      <c r="B26275" t="s">
        <v>7</v>
      </c>
      <c r="C26275" t="s">
        <v>4233</v>
      </c>
      <c r="D26275" s="7">
        <f>DATE(2016,10,17)</f>
        <v>42660</v>
      </c>
      <c r="E26275" s="8">
        <f t="shared" si="446"/>
        <v>2016</v>
      </c>
      <c r="F26275" t="s">
        <v>4235</v>
      </c>
      <c r="G26275" s="9">
        <v>162.13999999999999</v>
      </c>
      <c r="H26275" s="8">
        <v>23586</v>
      </c>
    </row>
    <row r="26276" spans="2:8" ht="15" customHeight="1" x14ac:dyDescent="0.4">
      <c r="B26276" t="s">
        <v>7</v>
      </c>
      <c r="C26276" t="s">
        <v>4233</v>
      </c>
      <c r="D26276" s="7">
        <f>DATE(2017,11,22)</f>
        <v>43061</v>
      </c>
      <c r="E26276" s="8">
        <f t="shared" si="446"/>
        <v>2017</v>
      </c>
      <c r="F26276" t="s">
        <v>4235</v>
      </c>
      <c r="G26276" s="9">
        <v>6426.28</v>
      </c>
      <c r="H26276" s="8">
        <v>25634</v>
      </c>
    </row>
    <row r="26277" spans="2:8" ht="15" customHeight="1" x14ac:dyDescent="0.4">
      <c r="B26277" t="s">
        <v>7</v>
      </c>
      <c r="C26277" t="s">
        <v>4233</v>
      </c>
      <c r="D26277" s="7">
        <f>DATE(2018,7,13)</f>
        <v>43294</v>
      </c>
      <c r="E26277" s="8">
        <f t="shared" si="446"/>
        <v>2018</v>
      </c>
      <c r="F26277" t="s">
        <v>4235</v>
      </c>
      <c r="G26277" s="9">
        <v>5130</v>
      </c>
      <c r="H26277" s="8">
        <v>27336</v>
      </c>
    </row>
    <row r="26278" spans="2:8" ht="15" customHeight="1" x14ac:dyDescent="0.4">
      <c r="B26278" s="3" t="s">
        <v>7</v>
      </c>
      <c r="C26278" s="3" t="s">
        <v>4233</v>
      </c>
      <c r="D26278" s="4">
        <f>DATE(2013,4,22)</f>
        <v>41386</v>
      </c>
      <c r="E26278" s="5">
        <f t="shared" si="446"/>
        <v>2013</v>
      </c>
      <c r="F26278" s="3" t="s">
        <v>4236</v>
      </c>
      <c r="G26278" s="6">
        <v>24875.34</v>
      </c>
      <c r="H26278" s="5">
        <v>18127</v>
      </c>
    </row>
    <row r="26279" spans="2:8" ht="15" customHeight="1" x14ac:dyDescent="0.4">
      <c r="B26279" t="s">
        <v>7</v>
      </c>
      <c r="C26279" t="s">
        <v>4237</v>
      </c>
      <c r="D26279" s="7">
        <f>DATE(2015,4,1)</f>
        <v>42095</v>
      </c>
      <c r="E26279" s="8">
        <f t="shared" si="446"/>
        <v>2015</v>
      </c>
      <c r="F26279" t="s">
        <v>4238</v>
      </c>
      <c r="G26279" s="9">
        <v>7588.55</v>
      </c>
      <c r="H26279" s="8">
        <v>400</v>
      </c>
    </row>
    <row r="26280" spans="2:8" ht="15" customHeight="1" x14ac:dyDescent="0.4">
      <c r="B26280" t="s">
        <v>7</v>
      </c>
      <c r="C26280" t="s">
        <v>4237</v>
      </c>
      <c r="D26280" s="7">
        <f>DATE(2015,12,11)</f>
        <v>42349</v>
      </c>
      <c r="E26280" s="8">
        <f t="shared" si="446"/>
        <v>2015</v>
      </c>
      <c r="F26280" t="s">
        <v>4238</v>
      </c>
      <c r="G26280" s="9">
        <v>364.28</v>
      </c>
      <c r="H26280" s="8">
        <v>21683</v>
      </c>
    </row>
    <row r="26281" spans="2:8" ht="15" customHeight="1" x14ac:dyDescent="0.4">
      <c r="B26281" t="s">
        <v>7</v>
      </c>
      <c r="C26281" t="s">
        <v>4237</v>
      </c>
      <c r="D26281" s="7">
        <f>DATE(2015,12,16)</f>
        <v>42354</v>
      </c>
      <c r="E26281" s="8">
        <f t="shared" si="446"/>
        <v>2015</v>
      </c>
      <c r="F26281" t="s">
        <v>4238</v>
      </c>
      <c r="G26281" s="9">
        <v>3288</v>
      </c>
      <c r="H26281" s="8">
        <v>21784</v>
      </c>
    </row>
    <row r="26282" spans="2:8" ht="15" customHeight="1" x14ac:dyDescent="0.4">
      <c r="B26282" t="s">
        <v>7</v>
      </c>
      <c r="C26282" t="s">
        <v>4237</v>
      </c>
      <c r="D26282" s="7">
        <f>DATE(2016,1,21)</f>
        <v>42390</v>
      </c>
      <c r="E26282" s="8">
        <f t="shared" si="446"/>
        <v>2016</v>
      </c>
      <c r="F26282" t="s">
        <v>4238</v>
      </c>
      <c r="G26282" s="9">
        <v>2192</v>
      </c>
      <c r="H26282" s="8">
        <v>21935</v>
      </c>
    </row>
    <row r="26283" spans="2:8" ht="15" customHeight="1" x14ac:dyDescent="0.4">
      <c r="B26283" t="s">
        <v>7</v>
      </c>
      <c r="C26283" t="s">
        <v>4237</v>
      </c>
      <c r="D26283" s="7">
        <f>DATE(2016,1,28)</f>
        <v>42397</v>
      </c>
      <c r="E26283" s="8">
        <f t="shared" si="446"/>
        <v>2016</v>
      </c>
      <c r="F26283" t="s">
        <v>4238</v>
      </c>
      <c r="G26283" s="9">
        <v>2030.26</v>
      </c>
      <c r="H26283" s="8">
        <v>21767</v>
      </c>
    </row>
    <row r="26284" spans="2:8" ht="15" customHeight="1" x14ac:dyDescent="0.4">
      <c r="B26284" t="s">
        <v>7</v>
      </c>
      <c r="C26284" t="s">
        <v>4237</v>
      </c>
      <c r="D26284" s="7">
        <f>DATE(2017,4,18)</f>
        <v>42843</v>
      </c>
      <c r="E26284" s="8">
        <f t="shared" si="446"/>
        <v>2017</v>
      </c>
      <c r="F26284" t="s">
        <v>4238</v>
      </c>
      <c r="G26284" s="9">
        <v>96.36</v>
      </c>
      <c r="H26284" s="8">
        <v>24741</v>
      </c>
    </row>
    <row r="26285" spans="2:8" ht="15" customHeight="1" x14ac:dyDescent="0.4">
      <c r="B26285" t="s">
        <v>7</v>
      </c>
      <c r="C26285" t="s">
        <v>4237</v>
      </c>
      <c r="D26285" s="7">
        <f>DATE(2017,8,4)</f>
        <v>42951</v>
      </c>
      <c r="E26285" s="8">
        <f t="shared" si="446"/>
        <v>2017</v>
      </c>
      <c r="F26285" t="s">
        <v>4238</v>
      </c>
      <c r="G26285" s="9">
        <v>191.4</v>
      </c>
      <c r="H26285" s="8">
        <v>25356</v>
      </c>
    </row>
    <row r="26286" spans="2:8" ht="15" customHeight="1" x14ac:dyDescent="0.4">
      <c r="B26286" t="s">
        <v>7</v>
      </c>
      <c r="C26286" t="s">
        <v>4237</v>
      </c>
      <c r="D26286" s="7">
        <f>DATE(2017,11,6)</f>
        <v>43045</v>
      </c>
      <c r="E26286" s="8">
        <f t="shared" si="446"/>
        <v>2017</v>
      </c>
      <c r="F26286" t="s">
        <v>4238</v>
      </c>
      <c r="G26286" s="9">
        <v>492.6</v>
      </c>
      <c r="H26286" s="8">
        <v>25835</v>
      </c>
    </row>
    <row r="26287" spans="2:8" ht="15" customHeight="1" x14ac:dyDescent="0.4">
      <c r="B26287" t="s">
        <v>7</v>
      </c>
      <c r="C26287" t="s">
        <v>4237</v>
      </c>
      <c r="D26287" s="7">
        <f>DATE(2017,11,13)</f>
        <v>43052</v>
      </c>
      <c r="E26287" s="8">
        <f t="shared" si="446"/>
        <v>2017</v>
      </c>
      <c r="F26287" t="s">
        <v>4238</v>
      </c>
      <c r="G26287" s="9">
        <v>4353.4799999999996</v>
      </c>
      <c r="H26287" s="8">
        <v>25723</v>
      </c>
    </row>
    <row r="26288" spans="2:8" ht="15" customHeight="1" x14ac:dyDescent="0.4">
      <c r="B26288" t="s">
        <v>7</v>
      </c>
      <c r="C26288" t="s">
        <v>4237</v>
      </c>
      <c r="D26288" s="7">
        <f>DATE(2017,11,20)</f>
        <v>43059</v>
      </c>
      <c r="E26288" s="8">
        <f t="shared" si="446"/>
        <v>2017</v>
      </c>
      <c r="F26288" t="s">
        <v>4238</v>
      </c>
      <c r="G26288" s="9">
        <v>171</v>
      </c>
      <c r="H26288" s="8">
        <v>25916</v>
      </c>
    </row>
    <row r="26289" spans="2:8" ht="15" customHeight="1" x14ac:dyDescent="0.4">
      <c r="B26289" s="3" t="s">
        <v>7</v>
      </c>
      <c r="C26289" s="3" t="s">
        <v>4237</v>
      </c>
      <c r="D26289" s="4">
        <f>DATE(2004,4,6)</f>
        <v>38083</v>
      </c>
      <c r="E26289" s="5">
        <f t="shared" si="446"/>
        <v>2004</v>
      </c>
      <c r="F26289" s="3" t="s">
        <v>4238</v>
      </c>
      <c r="G26289" s="6">
        <v>323.38</v>
      </c>
      <c r="H26289" s="5">
        <v>601</v>
      </c>
    </row>
    <row r="26290" spans="2:8" ht="15" customHeight="1" x14ac:dyDescent="0.4">
      <c r="B26290" s="3" t="s">
        <v>7</v>
      </c>
      <c r="C26290" s="3" t="s">
        <v>4237</v>
      </c>
      <c r="D26290" s="4">
        <f>DATE(2004,11,3)</f>
        <v>38294</v>
      </c>
      <c r="E26290" s="5">
        <f t="shared" si="446"/>
        <v>2004</v>
      </c>
      <c r="F26290" s="3" t="s">
        <v>4238</v>
      </c>
      <c r="G26290" s="6">
        <v>165.6</v>
      </c>
      <c r="H26290" s="5">
        <v>844</v>
      </c>
    </row>
    <row r="26291" spans="2:8" ht="15" customHeight="1" x14ac:dyDescent="0.4">
      <c r="B26291" s="3" t="s">
        <v>7</v>
      </c>
      <c r="C26291" s="3" t="s">
        <v>4237</v>
      </c>
      <c r="D26291" s="4">
        <f>DATE(2005,8,26)</f>
        <v>38590</v>
      </c>
      <c r="E26291" s="5">
        <f t="shared" si="446"/>
        <v>2005</v>
      </c>
      <c r="F26291" s="3" t="s">
        <v>4238</v>
      </c>
      <c r="G26291" s="6">
        <v>18.52</v>
      </c>
      <c r="H26291" s="5">
        <v>1219</v>
      </c>
    </row>
    <row r="26292" spans="2:8" ht="15" customHeight="1" x14ac:dyDescent="0.4">
      <c r="B26292" s="3" t="s">
        <v>7</v>
      </c>
      <c r="C26292" s="3" t="s">
        <v>4237</v>
      </c>
      <c r="D26292" s="4">
        <f>DATE(2006,4,3)</f>
        <v>38810</v>
      </c>
      <c r="E26292" s="5">
        <f t="shared" si="446"/>
        <v>2006</v>
      </c>
      <c r="F26292" s="3" t="s">
        <v>4238</v>
      </c>
      <c r="G26292" s="6">
        <v>299.05</v>
      </c>
      <c r="H26292" s="5">
        <v>1505</v>
      </c>
    </row>
    <row r="26293" spans="2:8" ht="15" customHeight="1" x14ac:dyDescent="0.4">
      <c r="B26293" s="3" t="s">
        <v>7</v>
      </c>
      <c r="C26293" s="3" t="s">
        <v>4237</v>
      </c>
      <c r="D26293" s="4">
        <f>DATE(2006,9,29)</f>
        <v>38989</v>
      </c>
      <c r="E26293" s="5">
        <f t="shared" si="446"/>
        <v>2006</v>
      </c>
      <c r="F26293" s="3" t="s">
        <v>4238</v>
      </c>
      <c r="G26293" s="6">
        <v>164.2</v>
      </c>
      <c r="H26293" s="5">
        <v>1785</v>
      </c>
    </row>
    <row r="26294" spans="2:8" ht="15" customHeight="1" x14ac:dyDescent="0.4">
      <c r="B26294" s="3" t="s">
        <v>7</v>
      </c>
      <c r="C26294" s="3" t="s">
        <v>4237</v>
      </c>
      <c r="D26294" s="4">
        <f>DATE(2006,11,22)</f>
        <v>39043</v>
      </c>
      <c r="E26294" s="5">
        <f t="shared" si="446"/>
        <v>2006</v>
      </c>
      <c r="F26294" s="3" t="s">
        <v>4238</v>
      </c>
      <c r="G26294" s="6">
        <v>290.47000000000003</v>
      </c>
      <c r="H26294" s="5">
        <v>1927</v>
      </c>
    </row>
    <row r="26295" spans="2:8" ht="15" customHeight="1" x14ac:dyDescent="0.4">
      <c r="B26295" s="3" t="s">
        <v>7</v>
      </c>
      <c r="C26295" s="3" t="s">
        <v>4237</v>
      </c>
      <c r="D26295" s="4">
        <f>DATE(2007,4,24)</f>
        <v>39196</v>
      </c>
      <c r="E26295" s="5">
        <f t="shared" si="446"/>
        <v>2007</v>
      </c>
      <c r="F26295" s="3" t="s">
        <v>4238</v>
      </c>
      <c r="G26295" s="6">
        <v>155.4</v>
      </c>
      <c r="H26295" s="5">
        <v>2202</v>
      </c>
    </row>
    <row r="26296" spans="2:8" ht="15" customHeight="1" x14ac:dyDescent="0.4">
      <c r="B26296" s="3" t="s">
        <v>7</v>
      </c>
      <c r="C26296" s="3" t="s">
        <v>4237</v>
      </c>
      <c r="D26296" s="4">
        <f>DATE(2008,6,6)</f>
        <v>39605</v>
      </c>
      <c r="E26296" s="5">
        <f t="shared" si="446"/>
        <v>2008</v>
      </c>
      <c r="F26296" s="3" t="s">
        <v>4238</v>
      </c>
      <c r="G26296" s="6">
        <v>544</v>
      </c>
      <c r="H26296" s="5">
        <v>2866</v>
      </c>
    </row>
    <row r="26297" spans="2:8" ht="15" customHeight="1" x14ac:dyDescent="0.4">
      <c r="B26297" s="3" t="s">
        <v>7</v>
      </c>
      <c r="C26297" s="3" t="s">
        <v>4237</v>
      </c>
      <c r="D26297" s="4">
        <f>DATE(2013,3,27)</f>
        <v>41360</v>
      </c>
      <c r="E26297" s="5">
        <f t="shared" si="446"/>
        <v>2013</v>
      </c>
      <c r="F26297" s="3" t="s">
        <v>4238</v>
      </c>
      <c r="G26297" s="6">
        <v>492.8</v>
      </c>
      <c r="H26297" s="5">
        <v>5507</v>
      </c>
    </row>
    <row r="26298" spans="2:8" ht="15" customHeight="1" x14ac:dyDescent="0.4">
      <c r="B26298" s="3" t="s">
        <v>7</v>
      </c>
      <c r="C26298" s="3" t="s">
        <v>4237</v>
      </c>
      <c r="D26298" s="4">
        <f>DATE(2014,5,23)</f>
        <v>41782</v>
      </c>
      <c r="E26298" s="5">
        <f t="shared" si="446"/>
        <v>2014</v>
      </c>
      <c r="F26298" s="3" t="s">
        <v>4238</v>
      </c>
      <c r="G26298" s="6">
        <v>68.099999999999994</v>
      </c>
      <c r="H26298" s="5">
        <v>6202</v>
      </c>
    </row>
    <row r="26299" spans="2:8" ht="15" customHeight="1" x14ac:dyDescent="0.4">
      <c r="B26299" s="3" t="s">
        <v>7</v>
      </c>
      <c r="C26299" s="3" t="s">
        <v>4237</v>
      </c>
      <c r="D26299" s="4">
        <f>DATE(2014,7,23)</f>
        <v>41843</v>
      </c>
      <c r="E26299" s="5">
        <f t="shared" si="446"/>
        <v>2014</v>
      </c>
      <c r="F26299" s="3" t="s">
        <v>4238</v>
      </c>
      <c r="G26299" s="6">
        <v>344.5</v>
      </c>
      <c r="H26299" s="5">
        <v>6298</v>
      </c>
    </row>
    <row r="26300" spans="2:8" ht="15" customHeight="1" x14ac:dyDescent="0.4">
      <c r="B26300" t="s">
        <v>7</v>
      </c>
      <c r="C26300" t="s">
        <v>4239</v>
      </c>
      <c r="D26300" s="7">
        <f>DATE(2003,1,16)</f>
        <v>37637</v>
      </c>
      <c r="E26300" s="8">
        <f t="shared" si="446"/>
        <v>2003</v>
      </c>
      <c r="F26300" t="s">
        <v>4240</v>
      </c>
      <c r="G26300" s="9">
        <v>3690.95</v>
      </c>
      <c r="H26300" s="8">
        <v>30</v>
      </c>
    </row>
    <row r="26301" spans="2:8" ht="15" customHeight="1" x14ac:dyDescent="0.4">
      <c r="B26301" t="s">
        <v>7</v>
      </c>
      <c r="C26301" t="s">
        <v>4239</v>
      </c>
      <c r="D26301" s="7">
        <f>DATE(2003,4,21)</f>
        <v>37732</v>
      </c>
      <c r="E26301" s="8">
        <f t="shared" si="446"/>
        <v>2003</v>
      </c>
      <c r="F26301" t="s">
        <v>4240</v>
      </c>
      <c r="G26301" s="9">
        <v>5819.11</v>
      </c>
      <c r="H26301" s="8">
        <v>471</v>
      </c>
    </row>
    <row r="26302" spans="2:8" ht="15" customHeight="1" x14ac:dyDescent="0.4">
      <c r="B26302" t="s">
        <v>7</v>
      </c>
      <c r="C26302" t="s">
        <v>4239</v>
      </c>
      <c r="D26302" s="7">
        <f>DATE(2003,5,1)</f>
        <v>37742</v>
      </c>
      <c r="E26302" s="8">
        <f t="shared" si="446"/>
        <v>2003</v>
      </c>
      <c r="F26302" t="s">
        <v>4240</v>
      </c>
      <c r="G26302" s="9">
        <v>900</v>
      </c>
      <c r="H26302" s="8">
        <v>561</v>
      </c>
    </row>
    <row r="26303" spans="2:8" ht="15" customHeight="1" x14ac:dyDescent="0.4">
      <c r="B26303" t="s">
        <v>7</v>
      </c>
      <c r="C26303" t="s">
        <v>4239</v>
      </c>
      <c r="D26303" s="7">
        <f>DATE(2008,4,27)</f>
        <v>39565</v>
      </c>
      <c r="E26303" s="8">
        <f t="shared" si="446"/>
        <v>2008</v>
      </c>
      <c r="F26303" t="s">
        <v>4240</v>
      </c>
      <c r="G26303" s="9">
        <v>21616</v>
      </c>
      <c r="H26303" s="8">
        <v>6964</v>
      </c>
    </row>
    <row r="26304" spans="2:8" ht="15" customHeight="1" x14ac:dyDescent="0.4">
      <c r="B26304" t="s">
        <v>7</v>
      </c>
      <c r="C26304" t="s">
        <v>4239</v>
      </c>
      <c r="D26304" s="7">
        <f>DATE(2008,4,26)</f>
        <v>39564</v>
      </c>
      <c r="E26304" s="8">
        <f t="shared" si="446"/>
        <v>2008</v>
      </c>
      <c r="F26304" t="s">
        <v>4240</v>
      </c>
      <c r="G26304" s="9">
        <v>13874</v>
      </c>
      <c r="H26304" s="8">
        <v>6965</v>
      </c>
    </row>
    <row r="26305" spans="2:8" ht="15" customHeight="1" x14ac:dyDescent="0.4">
      <c r="B26305" s="3" t="s">
        <v>7</v>
      </c>
      <c r="C26305" s="3" t="s">
        <v>4239</v>
      </c>
      <c r="D26305" s="4">
        <f>DATE(2003,12,3)</f>
        <v>37958</v>
      </c>
      <c r="E26305" s="5">
        <f t="shared" si="446"/>
        <v>2003</v>
      </c>
      <c r="F26305" s="3" t="s">
        <v>4240</v>
      </c>
      <c r="G26305" s="6">
        <v>498</v>
      </c>
      <c r="H26305" s="5">
        <v>1829</v>
      </c>
    </row>
    <row r="26306" spans="2:8" ht="15" customHeight="1" x14ac:dyDescent="0.4">
      <c r="B26306" s="3" t="s">
        <v>7</v>
      </c>
      <c r="C26306" s="3" t="s">
        <v>4241</v>
      </c>
      <c r="D26306" s="4">
        <f>DATE(2014,7,22)</f>
        <v>41842</v>
      </c>
      <c r="E26306" s="5">
        <f t="shared" si="446"/>
        <v>2014</v>
      </c>
      <c r="F26306" s="3" t="s">
        <v>4242</v>
      </c>
      <c r="G26306" s="6">
        <v>16775.5</v>
      </c>
      <c r="H26306" s="5">
        <v>19785</v>
      </c>
    </row>
    <row r="26307" spans="2:8" ht="15" customHeight="1" x14ac:dyDescent="0.4">
      <c r="B26307" s="3" t="s">
        <v>7</v>
      </c>
      <c r="C26307" s="3" t="s">
        <v>4241</v>
      </c>
      <c r="D26307" s="4">
        <f>DATE(2014,11,6)</f>
        <v>41949</v>
      </c>
      <c r="E26307" s="5">
        <f t="shared" ref="E26307:E26370" si="447">YEAR(D26307)</f>
        <v>2014</v>
      </c>
      <c r="F26307" s="3" t="s">
        <v>4242</v>
      </c>
      <c r="G26307" s="6">
        <v>13066.3</v>
      </c>
      <c r="H26307" s="5">
        <v>20381</v>
      </c>
    </row>
    <row r="26308" spans="2:8" ht="15" customHeight="1" x14ac:dyDescent="0.4">
      <c r="B26308" t="s">
        <v>7</v>
      </c>
      <c r="C26308" t="s">
        <v>4241</v>
      </c>
      <c r="D26308" s="7">
        <f>DATE(2015,3,27)</f>
        <v>42090</v>
      </c>
      <c r="E26308" s="8">
        <f t="shared" si="447"/>
        <v>2015</v>
      </c>
      <c r="F26308" t="s">
        <v>4243</v>
      </c>
      <c r="G26308" s="9">
        <v>13721.8</v>
      </c>
      <c r="H26308" s="8">
        <v>220</v>
      </c>
    </row>
    <row r="26309" spans="2:8" ht="15" customHeight="1" x14ac:dyDescent="0.4">
      <c r="B26309" t="s">
        <v>7</v>
      </c>
      <c r="C26309" t="s">
        <v>4244</v>
      </c>
      <c r="D26309" s="7">
        <f>DATE(2015,11,18)</f>
        <v>42326</v>
      </c>
      <c r="E26309" s="8">
        <f t="shared" si="447"/>
        <v>2015</v>
      </c>
      <c r="F26309" t="s">
        <v>4245</v>
      </c>
      <c r="G26309" s="9">
        <v>138515.92000000001</v>
      </c>
      <c r="H26309" s="8">
        <v>20641</v>
      </c>
    </row>
    <row r="26310" spans="2:8" ht="15" customHeight="1" x14ac:dyDescent="0.4">
      <c r="B26310" t="s">
        <v>7</v>
      </c>
      <c r="C26310" t="s">
        <v>4246</v>
      </c>
      <c r="D26310" s="7">
        <f>DATE(2018,10,29)</f>
        <v>43402</v>
      </c>
      <c r="E26310" s="8">
        <f t="shared" si="447"/>
        <v>2018</v>
      </c>
      <c r="F26310" t="s">
        <v>4247</v>
      </c>
      <c r="G26310" s="9">
        <v>4352.22</v>
      </c>
      <c r="H26310" s="8">
        <v>27767</v>
      </c>
    </row>
    <row r="26311" spans="2:8" ht="15" customHeight="1" x14ac:dyDescent="0.4">
      <c r="B26311" t="s">
        <v>7</v>
      </c>
      <c r="C26311" t="s">
        <v>4246</v>
      </c>
      <c r="D26311" s="7">
        <f>DATE(2013,10,24)</f>
        <v>41571</v>
      </c>
      <c r="E26311" s="8">
        <f t="shared" si="447"/>
        <v>2013</v>
      </c>
      <c r="F26311" t="s">
        <v>4247</v>
      </c>
      <c r="G26311" s="9">
        <v>29300</v>
      </c>
      <c r="H26311" s="8">
        <v>12725</v>
      </c>
    </row>
    <row r="26312" spans="2:8" ht="15" customHeight="1" x14ac:dyDescent="0.4">
      <c r="B26312" t="s">
        <v>7</v>
      </c>
      <c r="C26312" t="s">
        <v>4246</v>
      </c>
      <c r="D26312" s="7">
        <f>DATE(2011,11,8)</f>
        <v>40855</v>
      </c>
      <c r="E26312" s="8">
        <f t="shared" si="447"/>
        <v>2011</v>
      </c>
      <c r="F26312" t="s">
        <v>4247</v>
      </c>
      <c r="G26312" s="9">
        <v>4684.68</v>
      </c>
      <c r="H26312" s="8">
        <v>11104</v>
      </c>
    </row>
    <row r="26313" spans="2:8" ht="15" customHeight="1" x14ac:dyDescent="0.4">
      <c r="B26313" t="s">
        <v>7</v>
      </c>
      <c r="C26313" t="s">
        <v>4246</v>
      </c>
      <c r="D26313" s="7">
        <f>DATE(2012,2,9)</f>
        <v>40948</v>
      </c>
      <c r="E26313" s="8">
        <f t="shared" si="447"/>
        <v>2012</v>
      </c>
      <c r="F26313" t="s">
        <v>4247</v>
      </c>
      <c r="G26313" s="9">
        <v>3737.95</v>
      </c>
      <c r="H26313" s="8">
        <v>11255</v>
      </c>
    </row>
    <row r="26314" spans="2:8" ht="15" customHeight="1" x14ac:dyDescent="0.4">
      <c r="B26314" s="3" t="s">
        <v>7</v>
      </c>
      <c r="C26314" s="3" t="s">
        <v>4246</v>
      </c>
      <c r="D26314" s="4">
        <f>DATE(2013,10,30)</f>
        <v>41577</v>
      </c>
      <c r="E26314" s="5">
        <f t="shared" si="447"/>
        <v>2013</v>
      </c>
      <c r="F26314" s="3" t="s">
        <v>4247</v>
      </c>
      <c r="G26314" s="6">
        <v>423</v>
      </c>
      <c r="H26314" s="5">
        <v>19109</v>
      </c>
    </row>
    <row r="26315" spans="2:8" ht="15" customHeight="1" x14ac:dyDescent="0.4">
      <c r="B26315" s="3" t="s">
        <v>7</v>
      </c>
      <c r="C26315" s="3" t="s">
        <v>4246</v>
      </c>
      <c r="D26315" s="4">
        <f>DATE(2014,4,23)</f>
        <v>41752</v>
      </c>
      <c r="E26315" s="5">
        <f t="shared" si="447"/>
        <v>2014</v>
      </c>
      <c r="F26315" s="3" t="s">
        <v>4247</v>
      </c>
      <c r="G26315" s="6">
        <v>436</v>
      </c>
      <c r="H26315" s="5">
        <v>19867</v>
      </c>
    </row>
    <row r="26316" spans="2:8" ht="15" customHeight="1" x14ac:dyDescent="0.4">
      <c r="B26316" t="s">
        <v>7</v>
      </c>
      <c r="C26316" t="s">
        <v>4248</v>
      </c>
      <c r="D26316" s="7">
        <f>DATE(2017,11,7)</f>
        <v>43046</v>
      </c>
      <c r="E26316" s="8">
        <f t="shared" si="447"/>
        <v>2017</v>
      </c>
      <c r="F26316" t="s">
        <v>4249</v>
      </c>
      <c r="G26316" s="9">
        <v>4750</v>
      </c>
      <c r="H26316" s="8">
        <v>25778</v>
      </c>
    </row>
    <row r="26317" spans="2:8" ht="15" customHeight="1" x14ac:dyDescent="0.4">
      <c r="B26317" t="s">
        <v>7</v>
      </c>
      <c r="C26317" t="s">
        <v>4248</v>
      </c>
      <c r="D26317" s="7">
        <f>DATE(2018,5,24)</f>
        <v>43244</v>
      </c>
      <c r="E26317" s="8">
        <f t="shared" si="447"/>
        <v>2018</v>
      </c>
      <c r="F26317" t="s">
        <v>4249</v>
      </c>
      <c r="G26317" s="9">
        <v>98187</v>
      </c>
      <c r="H26317" s="8">
        <v>26326</v>
      </c>
    </row>
    <row r="26318" spans="2:8" ht="15" customHeight="1" x14ac:dyDescent="0.4">
      <c r="B26318" t="s">
        <v>7</v>
      </c>
      <c r="C26318" t="s">
        <v>4248</v>
      </c>
      <c r="D26318" s="7">
        <f>DATE(2018,4,19)</f>
        <v>43209</v>
      </c>
      <c r="E26318" s="8">
        <f t="shared" si="447"/>
        <v>2018</v>
      </c>
      <c r="F26318" t="s">
        <v>4249</v>
      </c>
      <c r="G26318" s="9">
        <v>7682.08</v>
      </c>
      <c r="H26318" s="8">
        <v>26327</v>
      </c>
    </row>
    <row r="26319" spans="2:8" ht="15" customHeight="1" x14ac:dyDescent="0.4">
      <c r="B26319" t="s">
        <v>7</v>
      </c>
      <c r="C26319" t="s">
        <v>4248</v>
      </c>
      <c r="D26319" s="7">
        <f>DATE(2013,11,19)</f>
        <v>41597</v>
      </c>
      <c r="E26319" s="8">
        <f t="shared" si="447"/>
        <v>2013</v>
      </c>
      <c r="F26319" t="s">
        <v>4249</v>
      </c>
      <c r="G26319" s="9">
        <v>3980</v>
      </c>
      <c r="H26319" s="8">
        <v>12699</v>
      </c>
    </row>
    <row r="26320" spans="2:8" ht="15" customHeight="1" x14ac:dyDescent="0.4">
      <c r="B26320" s="3" t="s">
        <v>7</v>
      </c>
      <c r="C26320" s="3" t="s">
        <v>4250</v>
      </c>
      <c r="D26320" s="4">
        <f>DATE(2008,5,9)</f>
        <v>39577</v>
      </c>
      <c r="E26320" s="5">
        <f t="shared" si="447"/>
        <v>2008</v>
      </c>
      <c r="F26320" s="3" t="s">
        <v>4251</v>
      </c>
      <c r="G26320" s="6">
        <v>287.32</v>
      </c>
      <c r="H26320" s="5">
        <v>10561</v>
      </c>
    </row>
    <row r="26321" spans="2:8" ht="15" customHeight="1" x14ac:dyDescent="0.4">
      <c r="B26321" t="s">
        <v>7</v>
      </c>
      <c r="C26321" t="s">
        <v>4252</v>
      </c>
      <c r="D26321" s="7">
        <f>DATE(2015,8,26)</f>
        <v>42242</v>
      </c>
      <c r="E26321" s="8">
        <f t="shared" si="447"/>
        <v>2015</v>
      </c>
      <c r="F26321" t="s">
        <v>4253</v>
      </c>
      <c r="G26321" s="9">
        <v>3930.6</v>
      </c>
      <c r="H26321" s="8">
        <v>21011</v>
      </c>
    </row>
    <row r="26322" spans="2:8" ht="15" customHeight="1" x14ac:dyDescent="0.4">
      <c r="B26322" t="s">
        <v>7</v>
      </c>
      <c r="C26322" t="s">
        <v>4252</v>
      </c>
      <c r="D26322" s="7">
        <f>DATE(2016,6,7)</f>
        <v>42528</v>
      </c>
      <c r="E26322" s="8">
        <f t="shared" si="447"/>
        <v>2016</v>
      </c>
      <c r="F26322" t="s">
        <v>4253</v>
      </c>
      <c r="G26322" s="9">
        <v>4833.38</v>
      </c>
      <c r="H26322" s="8">
        <v>22930</v>
      </c>
    </row>
    <row r="26323" spans="2:8" ht="15" customHeight="1" x14ac:dyDescent="0.4">
      <c r="B26323" t="s">
        <v>7</v>
      </c>
      <c r="C26323" t="s">
        <v>4252</v>
      </c>
      <c r="D26323" s="7">
        <f>DATE(2016,9,7)</f>
        <v>42620</v>
      </c>
      <c r="E26323" s="8">
        <f t="shared" si="447"/>
        <v>2016</v>
      </c>
      <c r="F26323" t="s">
        <v>4253</v>
      </c>
      <c r="G26323" s="9">
        <v>4547.76</v>
      </c>
      <c r="H26323" s="8">
        <v>23333</v>
      </c>
    </row>
    <row r="26324" spans="2:8" ht="15" customHeight="1" x14ac:dyDescent="0.4">
      <c r="B26324" t="s">
        <v>7</v>
      </c>
      <c r="C26324" t="s">
        <v>4252</v>
      </c>
      <c r="D26324" s="7">
        <f>DATE(2011,12,13)</f>
        <v>40890</v>
      </c>
      <c r="E26324" s="8">
        <f t="shared" si="447"/>
        <v>2011</v>
      </c>
      <c r="F26324" t="s">
        <v>4253</v>
      </c>
      <c r="G26324" s="9">
        <v>4494.37</v>
      </c>
      <c r="H26324" s="8">
        <v>11180</v>
      </c>
    </row>
    <row r="26325" spans="2:8" ht="15" customHeight="1" x14ac:dyDescent="0.4">
      <c r="B26325" t="s">
        <v>7</v>
      </c>
      <c r="C26325" t="s">
        <v>4252</v>
      </c>
      <c r="D26325" s="7">
        <f>DATE(2012,5,23)</f>
        <v>41052</v>
      </c>
      <c r="E26325" s="8">
        <f t="shared" si="447"/>
        <v>2012</v>
      </c>
      <c r="F26325" t="s">
        <v>4253</v>
      </c>
      <c r="G26325" s="9">
        <v>4077.17</v>
      </c>
      <c r="H26325" s="8">
        <v>11658</v>
      </c>
    </row>
    <row r="26326" spans="2:8" ht="15" customHeight="1" x14ac:dyDescent="0.4">
      <c r="B26326" t="s">
        <v>7</v>
      </c>
      <c r="C26326" t="s">
        <v>4252</v>
      </c>
      <c r="D26326" s="7">
        <f>DATE(2013,9,25)</f>
        <v>41542</v>
      </c>
      <c r="E26326" s="8">
        <f t="shared" si="447"/>
        <v>2013</v>
      </c>
      <c r="F26326" t="s">
        <v>4253</v>
      </c>
      <c r="G26326" s="9">
        <v>3805.67</v>
      </c>
      <c r="H26326" s="8">
        <v>12669</v>
      </c>
    </row>
    <row r="26327" spans="2:8" ht="15" customHeight="1" x14ac:dyDescent="0.4">
      <c r="B26327" t="s">
        <v>7</v>
      </c>
      <c r="C26327" t="s">
        <v>4252</v>
      </c>
      <c r="D26327" s="7">
        <f>DATE(2014,3,17)</f>
        <v>41715</v>
      </c>
      <c r="E26327" s="8">
        <f t="shared" si="447"/>
        <v>2014</v>
      </c>
      <c r="F26327" t="s">
        <v>4253</v>
      </c>
      <c r="G26327" s="9">
        <v>4239.7700000000004</v>
      </c>
      <c r="H26327" s="8">
        <v>12962</v>
      </c>
    </row>
    <row r="26328" spans="2:8" ht="15" customHeight="1" x14ac:dyDescent="0.4">
      <c r="B26328" t="s">
        <v>7</v>
      </c>
      <c r="C26328" t="s">
        <v>4252</v>
      </c>
      <c r="D26328" s="7">
        <f>DATE(2014,11,21)</f>
        <v>41964</v>
      </c>
      <c r="E26328" s="8">
        <f t="shared" si="447"/>
        <v>2014</v>
      </c>
      <c r="F26328" t="s">
        <v>4253</v>
      </c>
      <c r="G26328" s="9">
        <v>4624.2</v>
      </c>
      <c r="H26328" s="8">
        <v>13608</v>
      </c>
    </row>
    <row r="26329" spans="2:8" ht="15" customHeight="1" x14ac:dyDescent="0.4">
      <c r="B26329" t="s">
        <v>7</v>
      </c>
      <c r="C26329" t="s">
        <v>1403</v>
      </c>
      <c r="D26329" s="7">
        <f>DATE(2004,5,27)</f>
        <v>38134</v>
      </c>
      <c r="E26329" s="8">
        <f t="shared" si="447"/>
        <v>2004</v>
      </c>
      <c r="F26329" t="s">
        <v>4254</v>
      </c>
      <c r="G26329" s="9">
        <v>1737.4</v>
      </c>
      <c r="H26329" s="8">
        <v>1817</v>
      </c>
    </row>
    <row r="26330" spans="2:8" ht="15" customHeight="1" x14ac:dyDescent="0.4">
      <c r="B26330" t="s">
        <v>7</v>
      </c>
      <c r="C26330" t="s">
        <v>1403</v>
      </c>
      <c r="D26330" s="7">
        <f>DATE(2004,5,28)</f>
        <v>38135</v>
      </c>
      <c r="E26330" s="8">
        <f t="shared" si="447"/>
        <v>2004</v>
      </c>
      <c r="F26330" t="s">
        <v>4254</v>
      </c>
      <c r="G26330" s="9">
        <v>4114.7</v>
      </c>
      <c r="H26330" s="8">
        <v>1269</v>
      </c>
    </row>
    <row r="26331" spans="2:8" ht="15" customHeight="1" x14ac:dyDescent="0.4">
      <c r="B26331" s="3" t="s">
        <v>7</v>
      </c>
      <c r="C26331" s="3" t="s">
        <v>4255</v>
      </c>
      <c r="D26331" s="4">
        <f>DATE(2007,5,2)</f>
        <v>39204</v>
      </c>
      <c r="E26331" s="5">
        <f t="shared" si="447"/>
        <v>2007</v>
      </c>
      <c r="F26331" s="3" t="s">
        <v>4256</v>
      </c>
      <c r="G26331" s="6">
        <v>1403.5</v>
      </c>
      <c r="H26331" s="5">
        <v>8504</v>
      </c>
    </row>
    <row r="26332" spans="2:8" ht="15" customHeight="1" x14ac:dyDescent="0.4">
      <c r="B26332" s="3" t="s">
        <v>7</v>
      </c>
      <c r="C26332" s="3" t="s">
        <v>4257</v>
      </c>
      <c r="D26332" s="4">
        <f>DATE(2009,10,1)</f>
        <v>40087</v>
      </c>
      <c r="E26332" s="5">
        <f t="shared" si="447"/>
        <v>2009</v>
      </c>
      <c r="F26332" s="3" t="s">
        <v>4258</v>
      </c>
      <c r="G26332" s="6">
        <v>4723</v>
      </c>
      <c r="H26332" s="5">
        <v>12995</v>
      </c>
    </row>
    <row r="26333" spans="2:8" ht="15" customHeight="1" x14ac:dyDescent="0.4">
      <c r="B26333" s="3" t="s">
        <v>7</v>
      </c>
      <c r="C26333" s="3" t="s">
        <v>4257</v>
      </c>
      <c r="D26333" s="4">
        <f>DATE(2010,2,23)</f>
        <v>40232</v>
      </c>
      <c r="E26333" s="5">
        <f t="shared" si="447"/>
        <v>2010</v>
      </c>
      <c r="F26333" s="3" t="s">
        <v>4258</v>
      </c>
      <c r="G26333" s="6">
        <v>4088</v>
      </c>
      <c r="H26333" s="5">
        <v>13605</v>
      </c>
    </row>
    <row r="26334" spans="2:8" ht="15" customHeight="1" x14ac:dyDescent="0.4">
      <c r="B26334" s="3" t="s">
        <v>7</v>
      </c>
      <c r="C26334" s="3" t="s">
        <v>4257</v>
      </c>
      <c r="D26334" s="4">
        <f>DATE(2010,12,9)</f>
        <v>40521</v>
      </c>
      <c r="E26334" s="5">
        <f t="shared" si="447"/>
        <v>2010</v>
      </c>
      <c r="F26334" s="3" t="s">
        <v>4258</v>
      </c>
      <c r="G26334" s="6">
        <v>1460</v>
      </c>
      <c r="H26334" s="5">
        <v>14771</v>
      </c>
    </row>
    <row r="26335" spans="2:8" ht="15" customHeight="1" x14ac:dyDescent="0.4">
      <c r="B26335" t="s">
        <v>7</v>
      </c>
      <c r="C26335" t="s">
        <v>4259</v>
      </c>
      <c r="D26335" s="7">
        <f>DATE(2015,9,30)</f>
        <v>42277</v>
      </c>
      <c r="E26335" s="8">
        <f t="shared" si="447"/>
        <v>2015</v>
      </c>
      <c r="F26335" t="s">
        <v>4260</v>
      </c>
      <c r="G26335" s="9">
        <v>19077.599999999999</v>
      </c>
      <c r="H26335" s="8">
        <v>21113</v>
      </c>
    </row>
    <row r="26336" spans="2:8" ht="15" customHeight="1" x14ac:dyDescent="0.4">
      <c r="B26336" t="s">
        <v>7</v>
      </c>
      <c r="C26336" t="s">
        <v>4259</v>
      </c>
      <c r="D26336" s="7">
        <f>DATE(2016,9,29)</f>
        <v>42642</v>
      </c>
      <c r="E26336" s="8">
        <f t="shared" si="447"/>
        <v>2016</v>
      </c>
      <c r="F26336" t="s">
        <v>4260</v>
      </c>
      <c r="G26336" s="9">
        <v>511</v>
      </c>
      <c r="H26336" s="8">
        <v>23499</v>
      </c>
    </row>
    <row r="26337" spans="2:8" ht="15" customHeight="1" x14ac:dyDescent="0.4">
      <c r="B26337" t="s">
        <v>7</v>
      </c>
      <c r="C26337" t="s">
        <v>4259</v>
      </c>
      <c r="D26337" s="7">
        <f>DATE(2017,10,16)</f>
        <v>43024</v>
      </c>
      <c r="E26337" s="8">
        <f t="shared" si="447"/>
        <v>2017</v>
      </c>
      <c r="F26337" t="s">
        <v>4260</v>
      </c>
      <c r="G26337" s="9">
        <v>87.25</v>
      </c>
      <c r="H26337" s="8">
        <v>25732</v>
      </c>
    </row>
    <row r="26338" spans="2:8" ht="15" customHeight="1" x14ac:dyDescent="0.4">
      <c r="B26338" t="s">
        <v>7</v>
      </c>
      <c r="C26338" t="s">
        <v>4259</v>
      </c>
      <c r="D26338" s="7">
        <f>DATE(2017,11,7)</f>
        <v>43046</v>
      </c>
      <c r="E26338" s="8">
        <f t="shared" si="447"/>
        <v>2017</v>
      </c>
      <c r="F26338" t="s">
        <v>4260</v>
      </c>
      <c r="G26338" s="9">
        <v>19086.22</v>
      </c>
      <c r="H26338" s="8">
        <v>25705</v>
      </c>
    </row>
    <row r="26339" spans="2:8" ht="15" customHeight="1" x14ac:dyDescent="0.4">
      <c r="B26339" t="s">
        <v>7</v>
      </c>
      <c r="C26339" t="s">
        <v>4259</v>
      </c>
      <c r="D26339" s="7">
        <f>DATE(2018,4,11)</f>
        <v>43201</v>
      </c>
      <c r="E26339" s="8">
        <f t="shared" si="447"/>
        <v>2018</v>
      </c>
      <c r="F26339" t="s">
        <v>4260</v>
      </c>
      <c r="G26339" s="9">
        <v>7504.7</v>
      </c>
      <c r="H26339" s="8">
        <v>26775</v>
      </c>
    </row>
    <row r="26340" spans="2:8" ht="15" customHeight="1" x14ac:dyDescent="0.4">
      <c r="B26340" t="s">
        <v>7</v>
      </c>
      <c r="C26340" t="s">
        <v>4259</v>
      </c>
      <c r="D26340" s="7">
        <f>DATE(2018,9,6)</f>
        <v>43349</v>
      </c>
      <c r="E26340" s="8">
        <f t="shared" si="447"/>
        <v>2018</v>
      </c>
      <c r="F26340" t="s">
        <v>4260</v>
      </c>
      <c r="G26340" s="9">
        <v>641</v>
      </c>
      <c r="H26340" s="8">
        <v>27539</v>
      </c>
    </row>
    <row r="26341" spans="2:8" ht="15" customHeight="1" x14ac:dyDescent="0.4">
      <c r="B26341" s="3" t="s">
        <v>7</v>
      </c>
      <c r="C26341" s="3" t="s">
        <v>4259</v>
      </c>
      <c r="D26341" s="4">
        <f>DATE(2003,8,25)</f>
        <v>37858</v>
      </c>
      <c r="E26341" s="5">
        <f t="shared" si="447"/>
        <v>2003</v>
      </c>
      <c r="F26341" s="3" t="s">
        <v>4260</v>
      </c>
      <c r="G26341" s="6">
        <v>1843.3</v>
      </c>
      <c r="H26341" s="5">
        <v>1401</v>
      </c>
    </row>
    <row r="26342" spans="2:8" ht="15" customHeight="1" x14ac:dyDescent="0.4">
      <c r="B26342" s="3" t="s">
        <v>7</v>
      </c>
      <c r="C26342" s="3" t="s">
        <v>4259</v>
      </c>
      <c r="D26342" s="4">
        <f>DATE(2004,1,21)</f>
        <v>38007</v>
      </c>
      <c r="E26342" s="5">
        <f t="shared" si="447"/>
        <v>2004</v>
      </c>
      <c r="F26342" s="3" t="s">
        <v>4260</v>
      </c>
      <c r="G26342" s="6">
        <v>396</v>
      </c>
      <c r="H26342" s="5">
        <v>2023</v>
      </c>
    </row>
    <row r="26343" spans="2:8" ht="15" customHeight="1" x14ac:dyDescent="0.4">
      <c r="B26343" s="3" t="s">
        <v>7</v>
      </c>
      <c r="C26343" s="3" t="s">
        <v>4259</v>
      </c>
      <c r="D26343" s="4">
        <f>DATE(2004,4,29)</f>
        <v>38106</v>
      </c>
      <c r="E26343" s="5">
        <f t="shared" si="447"/>
        <v>2004</v>
      </c>
      <c r="F26343" s="3" t="s">
        <v>4260</v>
      </c>
      <c r="G26343" s="6">
        <v>9442</v>
      </c>
      <c r="H26343" s="5">
        <v>2644</v>
      </c>
    </row>
    <row r="26344" spans="2:8" ht="15" customHeight="1" x14ac:dyDescent="0.4">
      <c r="B26344" s="3" t="s">
        <v>7</v>
      </c>
      <c r="C26344" s="3" t="s">
        <v>4259</v>
      </c>
      <c r="D26344" s="4">
        <f>DATE(2004,10,11)</f>
        <v>38271</v>
      </c>
      <c r="E26344" s="5">
        <f t="shared" si="447"/>
        <v>2004</v>
      </c>
      <c r="F26344" s="3" t="s">
        <v>4260</v>
      </c>
      <c r="G26344" s="6">
        <v>1992</v>
      </c>
      <c r="H26344" s="5">
        <v>3479</v>
      </c>
    </row>
    <row r="26345" spans="2:8" ht="15" customHeight="1" x14ac:dyDescent="0.4">
      <c r="B26345" s="3" t="s">
        <v>7</v>
      </c>
      <c r="C26345" s="3" t="s">
        <v>4259</v>
      </c>
      <c r="D26345" s="4">
        <f>DATE(2005,1,7)</f>
        <v>38359</v>
      </c>
      <c r="E26345" s="5">
        <f t="shared" si="447"/>
        <v>2005</v>
      </c>
      <c r="F26345" s="3" t="s">
        <v>4260</v>
      </c>
      <c r="G26345" s="6">
        <v>871.1</v>
      </c>
      <c r="H26345" s="5">
        <v>3834</v>
      </c>
    </row>
    <row r="26346" spans="2:8" ht="15" customHeight="1" x14ac:dyDescent="0.4">
      <c r="B26346" s="3" t="s">
        <v>7</v>
      </c>
      <c r="C26346" s="3" t="s">
        <v>4259</v>
      </c>
      <c r="D26346" s="4">
        <f>DATE(2005,5,5)</f>
        <v>38477</v>
      </c>
      <c r="E26346" s="5">
        <f t="shared" si="447"/>
        <v>2005</v>
      </c>
      <c r="F26346" s="3" t="s">
        <v>4260</v>
      </c>
      <c r="G26346" s="6">
        <v>206</v>
      </c>
      <c r="H26346" s="5">
        <v>4698</v>
      </c>
    </row>
    <row r="26347" spans="2:8" ht="15" customHeight="1" x14ac:dyDescent="0.4">
      <c r="B26347" s="3" t="s">
        <v>7</v>
      </c>
      <c r="C26347" s="3" t="s">
        <v>4259</v>
      </c>
      <c r="D26347" s="4">
        <f>DATE(2006,3,21)</f>
        <v>38797</v>
      </c>
      <c r="E26347" s="5">
        <f t="shared" si="447"/>
        <v>2006</v>
      </c>
      <c r="F26347" s="3" t="s">
        <v>4260</v>
      </c>
      <c r="G26347" s="6">
        <v>3140.63</v>
      </c>
      <c r="H26347" s="5">
        <v>6253</v>
      </c>
    </row>
    <row r="26348" spans="2:8" ht="15" customHeight="1" x14ac:dyDescent="0.4">
      <c r="B26348" s="3" t="s">
        <v>7</v>
      </c>
      <c r="C26348" s="3" t="s">
        <v>4259</v>
      </c>
      <c r="D26348" s="4">
        <f>DATE(2007,2,1)</f>
        <v>39114</v>
      </c>
      <c r="E26348" s="5">
        <f t="shared" si="447"/>
        <v>2007</v>
      </c>
      <c r="F26348" s="3" t="s">
        <v>4260</v>
      </c>
      <c r="G26348" s="6">
        <v>2171</v>
      </c>
      <c r="H26348" s="5">
        <v>7826</v>
      </c>
    </row>
    <row r="26349" spans="2:8" ht="15" customHeight="1" x14ac:dyDescent="0.4">
      <c r="B26349" s="3" t="s">
        <v>7</v>
      </c>
      <c r="C26349" s="3" t="s">
        <v>4259</v>
      </c>
      <c r="D26349" s="4">
        <f>DATE(2007,8,27)</f>
        <v>39321</v>
      </c>
      <c r="E26349" s="5">
        <f t="shared" si="447"/>
        <v>2007</v>
      </c>
      <c r="F26349" s="3" t="s">
        <v>4260</v>
      </c>
      <c r="G26349" s="6">
        <v>4987.3599999999997</v>
      </c>
      <c r="H26349" s="5">
        <v>9067</v>
      </c>
    </row>
    <row r="26350" spans="2:8" ht="15" customHeight="1" x14ac:dyDescent="0.4">
      <c r="B26350" s="3" t="s">
        <v>7</v>
      </c>
      <c r="C26350" s="3" t="s">
        <v>4259</v>
      </c>
      <c r="D26350" s="4">
        <f>DATE(2008,9,24)</f>
        <v>39715</v>
      </c>
      <c r="E26350" s="5">
        <f t="shared" si="447"/>
        <v>2008</v>
      </c>
      <c r="F26350" s="3" t="s">
        <v>4260</v>
      </c>
      <c r="G26350" s="6">
        <v>5334.76</v>
      </c>
      <c r="H26350" s="5">
        <v>11156</v>
      </c>
    </row>
    <row r="26351" spans="2:8" ht="15" customHeight="1" x14ac:dyDescent="0.4">
      <c r="B26351" s="3" t="s">
        <v>7</v>
      </c>
      <c r="C26351" s="3" t="s">
        <v>4259</v>
      </c>
      <c r="D26351" s="4">
        <f>DATE(2008,11,4)</f>
        <v>39756</v>
      </c>
      <c r="E26351" s="5">
        <f t="shared" si="447"/>
        <v>2008</v>
      </c>
      <c r="F26351" s="3" t="s">
        <v>4260</v>
      </c>
      <c r="G26351" s="6">
        <v>123.71</v>
      </c>
      <c r="H26351" s="5">
        <v>11543</v>
      </c>
    </row>
    <row r="26352" spans="2:8" ht="15" customHeight="1" x14ac:dyDescent="0.4">
      <c r="B26352" s="3" t="s">
        <v>7</v>
      </c>
      <c r="C26352" s="3" t="s">
        <v>4259</v>
      </c>
      <c r="D26352" s="4">
        <f>DATE(2009,2,16)</f>
        <v>39860</v>
      </c>
      <c r="E26352" s="5">
        <f t="shared" si="447"/>
        <v>2009</v>
      </c>
      <c r="F26352" s="3" t="s">
        <v>4260</v>
      </c>
      <c r="G26352" s="6">
        <v>1942.4</v>
      </c>
      <c r="H26352" s="5">
        <v>11920</v>
      </c>
    </row>
    <row r="26353" spans="2:8" ht="15" customHeight="1" x14ac:dyDescent="0.4">
      <c r="B26353" s="3" t="s">
        <v>7</v>
      </c>
      <c r="C26353" s="3" t="s">
        <v>4259</v>
      </c>
      <c r="D26353" s="4">
        <f>DATE(2009,5,1)</f>
        <v>39934</v>
      </c>
      <c r="E26353" s="5">
        <f t="shared" si="447"/>
        <v>2009</v>
      </c>
      <c r="F26353" s="3" t="s">
        <v>4260</v>
      </c>
      <c r="G26353" s="6">
        <v>2480.1999999999998</v>
      </c>
      <c r="H26353" s="5">
        <v>12396</v>
      </c>
    </row>
    <row r="26354" spans="2:8" ht="15" customHeight="1" x14ac:dyDescent="0.4">
      <c r="B26354" s="3" t="s">
        <v>7</v>
      </c>
      <c r="C26354" s="3" t="s">
        <v>4259</v>
      </c>
      <c r="D26354" s="4">
        <f>DATE(2009,6,11)</f>
        <v>39975</v>
      </c>
      <c r="E26354" s="5">
        <f t="shared" si="447"/>
        <v>2009</v>
      </c>
      <c r="F26354" s="3" t="s">
        <v>4260</v>
      </c>
      <c r="G26354" s="6">
        <v>1749.91</v>
      </c>
      <c r="H26354" s="5">
        <v>12579</v>
      </c>
    </row>
    <row r="26355" spans="2:8" ht="15" customHeight="1" x14ac:dyDescent="0.4">
      <c r="B26355" s="3" t="s">
        <v>7</v>
      </c>
      <c r="C26355" s="3" t="s">
        <v>4259</v>
      </c>
      <c r="D26355" s="4">
        <f>DATE(2012,10,5)</f>
        <v>41187</v>
      </c>
      <c r="E26355" s="5">
        <f t="shared" si="447"/>
        <v>2012</v>
      </c>
      <c r="F26355" s="3" t="s">
        <v>4260</v>
      </c>
      <c r="G26355" s="6">
        <v>9942.67</v>
      </c>
      <c r="H26355" s="5">
        <v>17646</v>
      </c>
    </row>
    <row r="26356" spans="2:8" ht="15" customHeight="1" x14ac:dyDescent="0.4">
      <c r="B26356" s="3" t="s">
        <v>7</v>
      </c>
      <c r="C26356" s="3" t="s">
        <v>4259</v>
      </c>
      <c r="D26356" s="4">
        <f>DATE(2013,7,25)</f>
        <v>41480</v>
      </c>
      <c r="E26356" s="5">
        <f t="shared" si="447"/>
        <v>2013</v>
      </c>
      <c r="F26356" s="3" t="s">
        <v>4260</v>
      </c>
      <c r="G26356" s="6">
        <v>2486.5500000000002</v>
      </c>
      <c r="H26356" s="5">
        <v>18777</v>
      </c>
    </row>
    <row r="26357" spans="2:8" ht="15" customHeight="1" x14ac:dyDescent="0.4">
      <c r="B26357" s="3" t="s">
        <v>7</v>
      </c>
      <c r="C26357" s="3" t="s">
        <v>4259</v>
      </c>
      <c r="D26357" s="4">
        <f>DATE(2014,6,30)</f>
        <v>41820</v>
      </c>
      <c r="E26357" s="5">
        <f t="shared" si="447"/>
        <v>2014</v>
      </c>
      <c r="F26357" s="3" t="s">
        <v>4260</v>
      </c>
      <c r="G26357" s="6">
        <v>1917</v>
      </c>
      <c r="H26357" s="5">
        <v>20128</v>
      </c>
    </row>
    <row r="26358" spans="2:8" ht="15" customHeight="1" x14ac:dyDescent="0.4">
      <c r="B26358" s="3" t="s">
        <v>7</v>
      </c>
      <c r="C26358" s="3" t="s">
        <v>4261</v>
      </c>
      <c r="D26358" s="4">
        <f>DATE(2005,4,12)</f>
        <v>38454</v>
      </c>
      <c r="E26358" s="5">
        <f t="shared" si="447"/>
        <v>2005</v>
      </c>
      <c r="F26358" s="3" t="s">
        <v>4262</v>
      </c>
      <c r="G26358" s="6">
        <v>8096</v>
      </c>
      <c r="H26358" s="5">
        <v>4206</v>
      </c>
    </row>
    <row r="26359" spans="2:8" ht="15" customHeight="1" x14ac:dyDescent="0.4">
      <c r="B26359" s="3" t="s">
        <v>7</v>
      </c>
      <c r="C26359" s="3" t="s">
        <v>4261</v>
      </c>
      <c r="D26359" s="4">
        <f>DATE(2005,8,10)</f>
        <v>38574</v>
      </c>
      <c r="E26359" s="5">
        <f t="shared" si="447"/>
        <v>2005</v>
      </c>
      <c r="F26359" s="3" t="s">
        <v>4262</v>
      </c>
      <c r="G26359" s="6">
        <v>5060</v>
      </c>
      <c r="H26359" s="5">
        <v>4982</v>
      </c>
    </row>
    <row r="26360" spans="2:8" ht="15" customHeight="1" x14ac:dyDescent="0.4">
      <c r="B26360" s="3" t="s">
        <v>7</v>
      </c>
      <c r="C26360" s="3" t="s">
        <v>4261</v>
      </c>
      <c r="D26360" s="4">
        <f>DATE(2003,2,11)</f>
        <v>37663</v>
      </c>
      <c r="E26360" s="5">
        <f t="shared" si="447"/>
        <v>2003</v>
      </c>
      <c r="F26360" s="3" t="s">
        <v>4263</v>
      </c>
      <c r="G26360" s="6">
        <v>8800</v>
      </c>
      <c r="H26360" s="5">
        <v>242</v>
      </c>
    </row>
    <row r="26361" spans="2:8" ht="15" customHeight="1" x14ac:dyDescent="0.4">
      <c r="B26361" t="s">
        <v>7</v>
      </c>
      <c r="C26361" t="s">
        <v>4264</v>
      </c>
      <c r="D26361" s="7">
        <f>DATE(2007,9,20)</f>
        <v>39345</v>
      </c>
      <c r="E26361" s="8">
        <f t="shared" si="447"/>
        <v>2007</v>
      </c>
      <c r="F26361" t="s">
        <v>4265</v>
      </c>
      <c r="G26361" s="9">
        <v>7844.86</v>
      </c>
      <c r="H26361" s="8">
        <v>6394</v>
      </c>
    </row>
    <row r="26362" spans="2:8" ht="15" customHeight="1" x14ac:dyDescent="0.4">
      <c r="B26362" t="s">
        <v>7</v>
      </c>
      <c r="C26362" t="s">
        <v>4266</v>
      </c>
      <c r="D26362" s="7">
        <f>DATE(2015,2,26)</f>
        <v>42061</v>
      </c>
      <c r="E26362" s="8">
        <f t="shared" si="447"/>
        <v>2015</v>
      </c>
      <c r="F26362" t="s">
        <v>4267</v>
      </c>
      <c r="G26362" s="9">
        <v>1231.5</v>
      </c>
      <c r="H26362" s="8">
        <v>20015</v>
      </c>
    </row>
    <row r="26363" spans="2:8" ht="15" customHeight="1" x14ac:dyDescent="0.4">
      <c r="B26363" t="s">
        <v>7</v>
      </c>
      <c r="C26363" t="s">
        <v>4266</v>
      </c>
      <c r="D26363" s="7">
        <f>DATE(2015,6,10)</f>
        <v>42165</v>
      </c>
      <c r="E26363" s="8">
        <f t="shared" si="447"/>
        <v>2015</v>
      </c>
      <c r="F26363" t="s">
        <v>4267</v>
      </c>
      <c r="G26363" s="9">
        <v>730.75</v>
      </c>
      <c r="H26363" s="8">
        <v>20698</v>
      </c>
    </row>
    <row r="26364" spans="2:8" ht="15" customHeight="1" x14ac:dyDescent="0.4">
      <c r="B26364" s="3" t="s">
        <v>7</v>
      </c>
      <c r="C26364" s="3" t="s">
        <v>4266</v>
      </c>
      <c r="D26364" s="4">
        <f>DATE(2004,3,2)</f>
        <v>38048</v>
      </c>
      <c r="E26364" s="5">
        <f t="shared" si="447"/>
        <v>2004</v>
      </c>
      <c r="F26364" s="3" t="s">
        <v>4267</v>
      </c>
      <c r="G26364" s="6">
        <v>405.5</v>
      </c>
      <c r="H26364" s="5">
        <v>2280</v>
      </c>
    </row>
    <row r="26365" spans="2:8" ht="15" customHeight="1" x14ac:dyDescent="0.4">
      <c r="B26365" s="3" t="s">
        <v>7</v>
      </c>
      <c r="C26365" s="3" t="s">
        <v>4266</v>
      </c>
      <c r="D26365" s="4">
        <f>DATE(2007,2,22)</f>
        <v>39135</v>
      </c>
      <c r="E26365" s="5">
        <f t="shared" si="447"/>
        <v>2007</v>
      </c>
      <c r="F26365" s="3" t="s">
        <v>4267</v>
      </c>
      <c r="G26365" s="6">
        <v>676.5</v>
      </c>
      <c r="H26365" s="5">
        <v>7991</v>
      </c>
    </row>
    <row r="26366" spans="2:8" ht="15" customHeight="1" x14ac:dyDescent="0.4">
      <c r="B26366" s="3" t="s">
        <v>7</v>
      </c>
      <c r="C26366" s="3" t="s">
        <v>4266</v>
      </c>
      <c r="D26366" s="4">
        <f>DATE(2007,10,16)</f>
        <v>39371</v>
      </c>
      <c r="E26366" s="5">
        <f t="shared" si="447"/>
        <v>2007</v>
      </c>
      <c r="F26366" s="3" t="s">
        <v>4267</v>
      </c>
      <c r="G26366" s="6">
        <v>2792</v>
      </c>
      <c r="H26366" s="5">
        <v>9318</v>
      </c>
    </row>
    <row r="26367" spans="2:8" ht="15" customHeight="1" x14ac:dyDescent="0.4">
      <c r="B26367" s="3" t="s">
        <v>7</v>
      </c>
      <c r="C26367" s="3" t="s">
        <v>4266</v>
      </c>
      <c r="D26367" s="4">
        <f>DATE(2008,2,22)</f>
        <v>39500</v>
      </c>
      <c r="E26367" s="5">
        <f t="shared" si="447"/>
        <v>2008</v>
      </c>
      <c r="F26367" s="3" t="s">
        <v>4267</v>
      </c>
      <c r="G26367" s="6">
        <v>683</v>
      </c>
      <c r="H26367" s="5">
        <v>9996</v>
      </c>
    </row>
    <row r="26368" spans="2:8" ht="15" customHeight="1" x14ac:dyDescent="0.4">
      <c r="B26368" s="3" t="s">
        <v>7</v>
      </c>
      <c r="C26368" s="3" t="s">
        <v>4266</v>
      </c>
      <c r="D26368" s="4">
        <f>DATE(2009,1,13)</f>
        <v>39826</v>
      </c>
      <c r="E26368" s="5">
        <f t="shared" si="447"/>
        <v>2009</v>
      </c>
      <c r="F26368" s="3" t="s">
        <v>4267</v>
      </c>
      <c r="G26368" s="6">
        <v>8704</v>
      </c>
      <c r="H26368" s="5">
        <v>11761</v>
      </c>
    </row>
    <row r="26369" spans="2:8" ht="15" customHeight="1" x14ac:dyDescent="0.4">
      <c r="B26369" s="3" t="s">
        <v>7</v>
      </c>
      <c r="C26369" s="3" t="s">
        <v>4266</v>
      </c>
      <c r="D26369" s="4">
        <f>DATE(2011,1,27)</f>
        <v>40570</v>
      </c>
      <c r="E26369" s="5">
        <f t="shared" si="447"/>
        <v>2011</v>
      </c>
      <c r="F26369" s="3" t="s">
        <v>4267</v>
      </c>
      <c r="G26369" s="6">
        <v>621.96</v>
      </c>
      <c r="H26369" s="5">
        <v>14884</v>
      </c>
    </row>
    <row r="26370" spans="2:8" ht="15" customHeight="1" x14ac:dyDescent="0.4">
      <c r="B26370" s="3" t="s">
        <v>7</v>
      </c>
      <c r="C26370" s="3" t="s">
        <v>4266</v>
      </c>
      <c r="D26370" s="4">
        <f>DATE(2011,3,1)</f>
        <v>40603</v>
      </c>
      <c r="E26370" s="5">
        <f t="shared" si="447"/>
        <v>2011</v>
      </c>
      <c r="F26370" s="3" t="s">
        <v>4267</v>
      </c>
      <c r="G26370" s="6">
        <v>17100</v>
      </c>
      <c r="H26370" s="5">
        <v>15172</v>
      </c>
    </row>
    <row r="26371" spans="2:8" ht="15" customHeight="1" x14ac:dyDescent="0.4">
      <c r="B26371" s="3" t="s">
        <v>7</v>
      </c>
      <c r="C26371" s="3" t="s">
        <v>4266</v>
      </c>
      <c r="D26371" s="4">
        <f>DATE(2013,3,6)</f>
        <v>41339</v>
      </c>
      <c r="E26371" s="5">
        <f t="shared" ref="E26371:E26434" si="448">YEAR(D26371)</f>
        <v>2013</v>
      </c>
      <c r="F26371" s="3" t="s">
        <v>4267</v>
      </c>
      <c r="G26371" s="6">
        <v>755.5</v>
      </c>
      <c r="H26371" s="5">
        <v>18250</v>
      </c>
    </row>
    <row r="26372" spans="2:8" ht="15" customHeight="1" x14ac:dyDescent="0.4">
      <c r="B26372" t="s">
        <v>7</v>
      </c>
      <c r="C26372" t="s">
        <v>4268</v>
      </c>
      <c r="D26372" s="7">
        <f>DATE(2009,9,8)</f>
        <v>40064</v>
      </c>
      <c r="E26372" s="8">
        <f t="shared" si="448"/>
        <v>2009</v>
      </c>
      <c r="F26372" t="s">
        <v>4269</v>
      </c>
      <c r="G26372" s="9">
        <v>6701.52</v>
      </c>
      <c r="H26372" s="8">
        <v>9004</v>
      </c>
    </row>
    <row r="26373" spans="2:8" ht="15" customHeight="1" x14ac:dyDescent="0.4">
      <c r="B26373" t="s">
        <v>7</v>
      </c>
      <c r="C26373" t="s">
        <v>4268</v>
      </c>
      <c r="D26373" s="7">
        <f>DATE(2012,1,24)</f>
        <v>40932</v>
      </c>
      <c r="E26373" s="8">
        <f t="shared" si="448"/>
        <v>2012</v>
      </c>
      <c r="F26373" t="s">
        <v>4269</v>
      </c>
      <c r="G26373" s="9">
        <v>5357</v>
      </c>
      <c r="H26373" s="8">
        <v>11052</v>
      </c>
    </row>
    <row r="26374" spans="2:8" ht="15" customHeight="1" x14ac:dyDescent="0.4">
      <c r="B26374" t="s">
        <v>7</v>
      </c>
      <c r="C26374" t="s">
        <v>4268</v>
      </c>
      <c r="D26374" s="7">
        <f>DATE(2013,3,20)</f>
        <v>41353</v>
      </c>
      <c r="E26374" s="8">
        <f t="shared" si="448"/>
        <v>2013</v>
      </c>
      <c r="F26374" t="s">
        <v>4269</v>
      </c>
      <c r="G26374" s="9">
        <v>8105</v>
      </c>
      <c r="H26374" s="8">
        <v>11413</v>
      </c>
    </row>
    <row r="26375" spans="2:8" ht="15" customHeight="1" x14ac:dyDescent="0.4">
      <c r="B26375" s="3" t="s">
        <v>7</v>
      </c>
      <c r="C26375" s="3" t="s">
        <v>4268</v>
      </c>
      <c r="D26375" s="4">
        <f>DATE(2012,3,21)</f>
        <v>40989</v>
      </c>
      <c r="E26375" s="5">
        <f t="shared" si="448"/>
        <v>2012</v>
      </c>
      <c r="F26375" s="3" t="s">
        <v>4269</v>
      </c>
      <c r="G26375" s="6">
        <v>14833.5</v>
      </c>
      <c r="H26375" s="5">
        <v>15661</v>
      </c>
    </row>
    <row r="26376" spans="2:8" ht="15" customHeight="1" x14ac:dyDescent="0.4">
      <c r="B26376" s="3" t="s">
        <v>7</v>
      </c>
      <c r="C26376" s="3" t="s">
        <v>4270</v>
      </c>
      <c r="D26376" s="4">
        <f>DATE(2013,6,13)</f>
        <v>41438</v>
      </c>
      <c r="E26376" s="5">
        <f t="shared" si="448"/>
        <v>2013</v>
      </c>
      <c r="F26376" s="3" t="s">
        <v>4271</v>
      </c>
      <c r="G26376" s="6">
        <v>30.05</v>
      </c>
      <c r="H26376" s="5">
        <v>18681</v>
      </c>
    </row>
    <row r="26377" spans="2:8" ht="15" customHeight="1" x14ac:dyDescent="0.4">
      <c r="B26377" s="3" t="s">
        <v>7</v>
      </c>
      <c r="C26377" s="3" t="s">
        <v>4272</v>
      </c>
      <c r="D26377" s="4">
        <f>DATE(2009,3,5)</f>
        <v>39877</v>
      </c>
      <c r="E26377" s="5">
        <f t="shared" si="448"/>
        <v>2009</v>
      </c>
      <c r="F26377" s="3" t="s">
        <v>4273</v>
      </c>
      <c r="G26377" s="6">
        <v>100.4</v>
      </c>
      <c r="H26377" s="5">
        <v>12090</v>
      </c>
    </row>
    <row r="26378" spans="2:8" ht="15" customHeight="1" x14ac:dyDescent="0.4">
      <c r="B26378" s="3" t="s">
        <v>7</v>
      </c>
      <c r="C26378" s="3" t="s">
        <v>4274</v>
      </c>
      <c r="D26378" s="4">
        <f>DATE(2004,10,27)</f>
        <v>38287</v>
      </c>
      <c r="E26378" s="5">
        <f t="shared" si="448"/>
        <v>2004</v>
      </c>
      <c r="F26378" s="3" t="s">
        <v>4275</v>
      </c>
      <c r="G26378" s="6">
        <v>31685</v>
      </c>
      <c r="H26378" s="5">
        <v>3602</v>
      </c>
    </row>
    <row r="26379" spans="2:8" ht="15" customHeight="1" x14ac:dyDescent="0.4">
      <c r="B26379" s="3" t="s">
        <v>7</v>
      </c>
      <c r="C26379" s="3" t="s">
        <v>4276</v>
      </c>
      <c r="D26379" s="4">
        <f>DATE(2013,11,15)</f>
        <v>41593</v>
      </c>
      <c r="E26379" s="5">
        <f t="shared" si="448"/>
        <v>2013</v>
      </c>
      <c r="F26379" s="3" t="s">
        <v>4277</v>
      </c>
      <c r="G26379" s="6">
        <v>93.2</v>
      </c>
      <c r="H26379" s="5">
        <v>5917</v>
      </c>
    </row>
    <row r="26380" spans="2:8" ht="15" customHeight="1" x14ac:dyDescent="0.4">
      <c r="B26380" t="s">
        <v>7</v>
      </c>
      <c r="C26380" t="s">
        <v>4278</v>
      </c>
      <c r="D26380" s="7">
        <f>DATE(2017,8,18)</f>
        <v>42965</v>
      </c>
      <c r="E26380" s="8">
        <f t="shared" si="448"/>
        <v>2017</v>
      </c>
      <c r="F26380" t="s">
        <v>4279</v>
      </c>
      <c r="G26380" s="9">
        <v>6103.25</v>
      </c>
      <c r="H26380" s="8">
        <v>25362</v>
      </c>
    </row>
    <row r="26381" spans="2:8" ht="15" customHeight="1" x14ac:dyDescent="0.4">
      <c r="B26381" t="s">
        <v>7</v>
      </c>
      <c r="C26381" t="s">
        <v>2827</v>
      </c>
      <c r="D26381" s="7">
        <f>DATE(2017,4,20)</f>
        <v>42845</v>
      </c>
      <c r="E26381" s="8">
        <f t="shared" si="448"/>
        <v>2017</v>
      </c>
      <c r="F26381" t="s">
        <v>4280</v>
      </c>
      <c r="G26381" s="9">
        <v>48510.43</v>
      </c>
      <c r="H26381" s="8">
        <v>24482</v>
      </c>
    </row>
    <row r="26382" spans="2:8" ht="15" customHeight="1" x14ac:dyDescent="0.4">
      <c r="B26382" s="3" t="s">
        <v>7</v>
      </c>
      <c r="C26382" s="3" t="s">
        <v>2827</v>
      </c>
      <c r="D26382" s="4">
        <f>DATE(2012,2,13)</f>
        <v>40952</v>
      </c>
      <c r="E26382" s="5">
        <f t="shared" si="448"/>
        <v>2012</v>
      </c>
      <c r="F26382" s="3" t="s">
        <v>4280</v>
      </c>
      <c r="G26382" s="6">
        <v>17880</v>
      </c>
      <c r="H26382" s="5">
        <v>16543</v>
      </c>
    </row>
    <row r="26383" spans="2:8" ht="15" customHeight="1" x14ac:dyDescent="0.4">
      <c r="B26383" s="3" t="s">
        <v>7</v>
      </c>
      <c r="C26383" s="3" t="s">
        <v>2827</v>
      </c>
      <c r="D26383" s="4">
        <f>DATE(2012,2,24)</f>
        <v>40963</v>
      </c>
      <c r="E26383" s="5">
        <f t="shared" si="448"/>
        <v>2012</v>
      </c>
      <c r="F26383" s="3" t="s">
        <v>4280</v>
      </c>
      <c r="G26383" s="6">
        <v>12866.6</v>
      </c>
      <c r="H26383" s="5">
        <v>16533</v>
      </c>
    </row>
    <row r="26384" spans="2:8" ht="15" customHeight="1" x14ac:dyDescent="0.4">
      <c r="B26384" s="3" t="s">
        <v>7</v>
      </c>
      <c r="C26384" s="3" t="s">
        <v>2827</v>
      </c>
      <c r="D26384" s="4">
        <f>DATE(2012,3,2)</f>
        <v>40970</v>
      </c>
      <c r="E26384" s="5">
        <f t="shared" si="448"/>
        <v>2012</v>
      </c>
      <c r="F26384" s="3" t="s">
        <v>4280</v>
      </c>
      <c r="G26384" s="6">
        <v>17968.3</v>
      </c>
      <c r="H26384" s="5">
        <v>16669</v>
      </c>
    </row>
    <row r="26385" spans="2:8" ht="15" customHeight="1" x14ac:dyDescent="0.4">
      <c r="B26385" s="3" t="s">
        <v>7</v>
      </c>
      <c r="C26385" s="3" t="s">
        <v>2827</v>
      </c>
      <c r="D26385" s="4">
        <f>DATE(2012,9,25)</f>
        <v>41177</v>
      </c>
      <c r="E26385" s="5">
        <f t="shared" si="448"/>
        <v>2012</v>
      </c>
      <c r="F26385" s="3" t="s">
        <v>4280</v>
      </c>
      <c r="G26385" s="6">
        <v>18651.04</v>
      </c>
      <c r="H26385" s="5">
        <v>17562</v>
      </c>
    </row>
    <row r="26386" spans="2:8" ht="15" customHeight="1" x14ac:dyDescent="0.4">
      <c r="B26386" s="3" t="s">
        <v>7</v>
      </c>
      <c r="C26386" s="3" t="s">
        <v>2827</v>
      </c>
      <c r="D26386" s="4">
        <f>DATE(2012,11,14)</f>
        <v>41227</v>
      </c>
      <c r="E26386" s="5">
        <f t="shared" si="448"/>
        <v>2012</v>
      </c>
      <c r="F26386" s="3" t="s">
        <v>4280</v>
      </c>
      <c r="G26386" s="6">
        <v>12114.94</v>
      </c>
      <c r="H26386" s="5">
        <v>17779</v>
      </c>
    </row>
    <row r="26387" spans="2:8" ht="15" customHeight="1" x14ac:dyDescent="0.4">
      <c r="B26387" s="3" t="s">
        <v>7</v>
      </c>
      <c r="C26387" s="3" t="s">
        <v>2827</v>
      </c>
      <c r="D26387" s="4">
        <f>DATE(2013,2,8)</f>
        <v>41313</v>
      </c>
      <c r="E26387" s="5">
        <f t="shared" si="448"/>
        <v>2013</v>
      </c>
      <c r="F26387" s="3" t="s">
        <v>4280</v>
      </c>
      <c r="G26387" s="6">
        <v>14835.79</v>
      </c>
      <c r="H26387" s="5">
        <v>18041</v>
      </c>
    </row>
    <row r="26388" spans="2:8" ht="15" customHeight="1" x14ac:dyDescent="0.4">
      <c r="B26388" s="3" t="s">
        <v>7</v>
      </c>
      <c r="C26388" s="3" t="s">
        <v>2827</v>
      </c>
      <c r="D26388" s="4">
        <f>DATE(2013,3,1)</f>
        <v>41334</v>
      </c>
      <c r="E26388" s="5">
        <f t="shared" si="448"/>
        <v>2013</v>
      </c>
      <c r="F26388" s="3" t="s">
        <v>4280</v>
      </c>
      <c r="G26388" s="6">
        <v>44598.57</v>
      </c>
      <c r="H26388" s="5">
        <v>18254</v>
      </c>
    </row>
    <row r="26389" spans="2:8" ht="15" customHeight="1" x14ac:dyDescent="0.4">
      <c r="B26389" s="3" t="s">
        <v>7</v>
      </c>
      <c r="C26389" s="3" t="s">
        <v>2827</v>
      </c>
      <c r="D26389" s="4">
        <f>DATE(2013,3,13)</f>
        <v>41346</v>
      </c>
      <c r="E26389" s="5">
        <f t="shared" si="448"/>
        <v>2013</v>
      </c>
      <c r="F26389" s="3" t="s">
        <v>4280</v>
      </c>
      <c r="G26389" s="6">
        <v>74503</v>
      </c>
      <c r="H26389" s="5">
        <v>18260</v>
      </c>
    </row>
    <row r="26390" spans="2:8" ht="15" customHeight="1" x14ac:dyDescent="0.4">
      <c r="B26390" s="3" t="s">
        <v>7</v>
      </c>
      <c r="C26390" s="3" t="s">
        <v>2827</v>
      </c>
      <c r="D26390" s="4">
        <f>DATE(2013,8,29)</f>
        <v>41515</v>
      </c>
      <c r="E26390" s="5">
        <f t="shared" si="448"/>
        <v>2013</v>
      </c>
      <c r="F26390" s="3" t="s">
        <v>4280</v>
      </c>
      <c r="G26390" s="6">
        <v>12123.81</v>
      </c>
      <c r="H26390" s="5">
        <v>18835</v>
      </c>
    </row>
    <row r="26391" spans="2:8" ht="15" customHeight="1" x14ac:dyDescent="0.4">
      <c r="B26391" s="3" t="s">
        <v>7</v>
      </c>
      <c r="C26391" s="3" t="s">
        <v>2827</v>
      </c>
      <c r="D26391" s="4">
        <f>DATE(2013,11,5)</f>
        <v>41583</v>
      </c>
      <c r="E26391" s="5">
        <f t="shared" si="448"/>
        <v>2013</v>
      </c>
      <c r="F26391" s="3" t="s">
        <v>4280</v>
      </c>
      <c r="G26391" s="6">
        <v>22080.51</v>
      </c>
      <c r="H26391" s="5">
        <v>19152</v>
      </c>
    </row>
    <row r="26392" spans="2:8" ht="15" customHeight="1" x14ac:dyDescent="0.4">
      <c r="B26392" s="3" t="s">
        <v>7</v>
      </c>
      <c r="C26392" s="3" t="s">
        <v>2827</v>
      </c>
      <c r="D26392" s="4">
        <f>DATE(2014,1,15)</f>
        <v>41654</v>
      </c>
      <c r="E26392" s="5">
        <f t="shared" si="448"/>
        <v>2014</v>
      </c>
      <c r="F26392" s="3" t="s">
        <v>4280</v>
      </c>
      <c r="G26392" s="6">
        <v>5364.66</v>
      </c>
      <c r="H26392" s="5">
        <v>19323</v>
      </c>
    </row>
    <row r="26393" spans="2:8" ht="15" customHeight="1" x14ac:dyDescent="0.4">
      <c r="B26393" s="3" t="s">
        <v>7</v>
      </c>
      <c r="C26393" s="3" t="s">
        <v>2827</v>
      </c>
      <c r="D26393" s="4">
        <f>DATE(2014,3,27)</f>
        <v>41725</v>
      </c>
      <c r="E26393" s="5">
        <f t="shared" si="448"/>
        <v>2014</v>
      </c>
      <c r="F26393" s="3" t="s">
        <v>4280</v>
      </c>
      <c r="G26393" s="6">
        <v>787.04</v>
      </c>
      <c r="H26393" s="5">
        <v>19759</v>
      </c>
    </row>
    <row r="26394" spans="2:8" ht="15" customHeight="1" x14ac:dyDescent="0.4">
      <c r="B26394" s="3" t="s">
        <v>7</v>
      </c>
      <c r="C26394" s="3" t="s">
        <v>2827</v>
      </c>
      <c r="D26394" s="4">
        <f>DATE(2014,4,22)</f>
        <v>41751</v>
      </c>
      <c r="E26394" s="5">
        <f t="shared" si="448"/>
        <v>2014</v>
      </c>
      <c r="F26394" s="3" t="s">
        <v>4280</v>
      </c>
      <c r="G26394" s="6">
        <v>12133.43</v>
      </c>
      <c r="H26394" s="5">
        <v>19805</v>
      </c>
    </row>
    <row r="26395" spans="2:8" ht="15" customHeight="1" x14ac:dyDescent="0.4">
      <c r="B26395" s="3" t="s">
        <v>7</v>
      </c>
      <c r="C26395" s="3" t="s">
        <v>2827</v>
      </c>
      <c r="D26395" s="4">
        <f>DATE(2014,7,25)</f>
        <v>41845</v>
      </c>
      <c r="E26395" s="5">
        <f t="shared" si="448"/>
        <v>2014</v>
      </c>
      <c r="F26395" s="3" t="s">
        <v>4280</v>
      </c>
      <c r="G26395" s="6">
        <v>20347.150000000001</v>
      </c>
      <c r="H26395" s="5">
        <v>20197</v>
      </c>
    </row>
    <row r="26396" spans="2:8" ht="15" customHeight="1" x14ac:dyDescent="0.4">
      <c r="B26396" s="3" t="s">
        <v>7</v>
      </c>
      <c r="C26396" s="3" t="s">
        <v>2827</v>
      </c>
      <c r="D26396" s="4">
        <f>DATE(2014,9,2)</f>
        <v>41884</v>
      </c>
      <c r="E26396" s="5">
        <f t="shared" si="448"/>
        <v>2014</v>
      </c>
      <c r="F26396" s="3" t="s">
        <v>4280</v>
      </c>
      <c r="G26396" s="6">
        <v>13702.83</v>
      </c>
      <c r="H26396" s="5">
        <v>20325</v>
      </c>
    </row>
    <row r="26397" spans="2:8" ht="15" customHeight="1" x14ac:dyDescent="0.4">
      <c r="B26397" s="3" t="s">
        <v>7</v>
      </c>
      <c r="C26397" s="3" t="s">
        <v>3205</v>
      </c>
      <c r="D26397" s="4">
        <f>DATE(2007,1,12)</f>
        <v>39094</v>
      </c>
      <c r="E26397" s="5">
        <f t="shared" si="448"/>
        <v>2007</v>
      </c>
      <c r="F26397" s="3" t="s">
        <v>4281</v>
      </c>
      <c r="G26397" s="6">
        <v>1032</v>
      </c>
      <c r="H26397" s="5">
        <v>7745</v>
      </c>
    </row>
    <row r="26398" spans="2:8" ht="15" customHeight="1" x14ac:dyDescent="0.4">
      <c r="B26398" s="3" t="s">
        <v>7</v>
      </c>
      <c r="C26398" s="3" t="s">
        <v>4282</v>
      </c>
      <c r="D26398" s="4">
        <f>DATE(2008,1,14)</f>
        <v>39461</v>
      </c>
      <c r="E26398" s="5">
        <f t="shared" si="448"/>
        <v>2008</v>
      </c>
      <c r="F26398" s="3" t="s">
        <v>4283</v>
      </c>
      <c r="G26398" s="6">
        <v>170</v>
      </c>
      <c r="H26398" s="5">
        <v>2596</v>
      </c>
    </row>
    <row r="26399" spans="2:8" ht="15" customHeight="1" x14ac:dyDescent="0.4">
      <c r="B26399" s="3" t="s">
        <v>7</v>
      </c>
      <c r="C26399" s="3" t="s">
        <v>4282</v>
      </c>
      <c r="D26399" s="4">
        <f>DATE(2008,11,25)</f>
        <v>39777</v>
      </c>
      <c r="E26399" s="5">
        <f t="shared" si="448"/>
        <v>2008</v>
      </c>
      <c r="F26399" s="3" t="s">
        <v>4283</v>
      </c>
      <c r="G26399" s="6">
        <v>340</v>
      </c>
      <c r="H26399" s="5">
        <v>3131</v>
      </c>
    </row>
    <row r="26400" spans="2:8" ht="15" customHeight="1" x14ac:dyDescent="0.4">
      <c r="B26400" s="3" t="s">
        <v>7</v>
      </c>
      <c r="C26400" s="3" t="s">
        <v>4282</v>
      </c>
      <c r="D26400" s="4">
        <f>DATE(2009,5,19)</f>
        <v>39952</v>
      </c>
      <c r="E26400" s="5">
        <f t="shared" si="448"/>
        <v>2009</v>
      </c>
      <c r="F26400" s="3" t="s">
        <v>4283</v>
      </c>
      <c r="G26400" s="6">
        <v>850</v>
      </c>
      <c r="H26400" s="5">
        <v>3418</v>
      </c>
    </row>
    <row r="26401" spans="2:8" ht="15" customHeight="1" x14ac:dyDescent="0.4">
      <c r="B26401" s="3" t="s">
        <v>7</v>
      </c>
      <c r="C26401" s="3" t="s">
        <v>4282</v>
      </c>
      <c r="D26401" s="4">
        <f>DATE(2011,3,16)</f>
        <v>40618</v>
      </c>
      <c r="E26401" s="5">
        <f t="shared" si="448"/>
        <v>2011</v>
      </c>
      <c r="F26401" s="3" t="s">
        <v>4283</v>
      </c>
      <c r="G26401" s="6">
        <v>435.11</v>
      </c>
      <c r="H26401" s="5">
        <v>4348</v>
      </c>
    </row>
    <row r="26402" spans="2:8" ht="15" customHeight="1" x14ac:dyDescent="0.4">
      <c r="B26402" s="3" t="s">
        <v>7</v>
      </c>
      <c r="C26402" s="3" t="s">
        <v>4282</v>
      </c>
      <c r="D26402" s="4">
        <f>DATE(2012,1,13)</f>
        <v>40921</v>
      </c>
      <c r="E26402" s="5">
        <f t="shared" si="448"/>
        <v>2012</v>
      </c>
      <c r="F26402" s="3" t="s">
        <v>4283</v>
      </c>
      <c r="G26402" s="6">
        <v>178.7</v>
      </c>
      <c r="H26402" s="5">
        <v>4781</v>
      </c>
    </row>
    <row r="26403" spans="2:8" ht="15" customHeight="1" x14ac:dyDescent="0.4">
      <c r="B26403" s="3" t="s">
        <v>7</v>
      </c>
      <c r="C26403" s="3" t="s">
        <v>4282</v>
      </c>
      <c r="D26403" s="4">
        <f>DATE(2012,2,7)</f>
        <v>40946</v>
      </c>
      <c r="E26403" s="5">
        <f t="shared" si="448"/>
        <v>2012</v>
      </c>
      <c r="F26403" s="3" t="s">
        <v>4283</v>
      </c>
      <c r="G26403" s="6">
        <v>1035.81</v>
      </c>
      <c r="H26403" s="5">
        <v>4811</v>
      </c>
    </row>
    <row r="26404" spans="2:8" ht="15" customHeight="1" x14ac:dyDescent="0.4">
      <c r="B26404" s="3" t="s">
        <v>7</v>
      </c>
      <c r="C26404" s="3" t="s">
        <v>4282</v>
      </c>
      <c r="D26404" s="4">
        <f>DATE(2007,1,30)</f>
        <v>39112</v>
      </c>
      <c r="E26404" s="5">
        <f t="shared" si="448"/>
        <v>2007</v>
      </c>
      <c r="F26404" s="3" t="s">
        <v>4283</v>
      </c>
      <c r="G26404" s="6">
        <v>184.5</v>
      </c>
      <c r="H26404" s="5">
        <v>7850</v>
      </c>
    </row>
    <row r="26405" spans="2:8" ht="15" customHeight="1" x14ac:dyDescent="0.4">
      <c r="B26405" s="3" t="s">
        <v>16</v>
      </c>
      <c r="C26405" s="3" t="s">
        <v>4282</v>
      </c>
      <c r="D26405" s="4">
        <f>DATE(2007,2,16)</f>
        <v>39129</v>
      </c>
      <c r="E26405" s="5">
        <f t="shared" si="448"/>
        <v>2007</v>
      </c>
      <c r="F26405" s="3" t="s">
        <v>4283</v>
      </c>
      <c r="G26405" s="6">
        <v>178.5</v>
      </c>
      <c r="H26405" s="5">
        <v>7973</v>
      </c>
    </row>
    <row r="26406" spans="2:8" ht="15" customHeight="1" x14ac:dyDescent="0.4">
      <c r="B26406" s="3" t="s">
        <v>7</v>
      </c>
      <c r="C26406" s="3" t="s">
        <v>4284</v>
      </c>
      <c r="D26406" s="4">
        <f>DATE(2005,1,28)</f>
        <v>38380</v>
      </c>
      <c r="E26406" s="5">
        <f t="shared" si="448"/>
        <v>2005</v>
      </c>
      <c r="F26406" s="3" t="s">
        <v>4285</v>
      </c>
      <c r="G26406" s="6">
        <v>153</v>
      </c>
      <c r="H26406" s="5">
        <v>4019</v>
      </c>
    </row>
    <row r="26407" spans="2:8" ht="15" customHeight="1" x14ac:dyDescent="0.4">
      <c r="B26407" s="3" t="s">
        <v>7</v>
      </c>
      <c r="C26407" s="3" t="s">
        <v>4284</v>
      </c>
      <c r="D26407" s="4">
        <f>DATE(2006,8,10)</f>
        <v>38939</v>
      </c>
      <c r="E26407" s="5">
        <f t="shared" si="448"/>
        <v>2006</v>
      </c>
      <c r="F26407" s="3" t="s">
        <v>4285</v>
      </c>
      <c r="G26407" s="6">
        <v>156.4</v>
      </c>
      <c r="H26407" s="5">
        <v>7068</v>
      </c>
    </row>
    <row r="26408" spans="2:8" ht="15" customHeight="1" x14ac:dyDescent="0.4">
      <c r="B26408" t="s">
        <v>7</v>
      </c>
      <c r="C26408" t="s">
        <v>4286</v>
      </c>
      <c r="D26408" s="7">
        <f>DATE(2015,12,17)</f>
        <v>42355</v>
      </c>
      <c r="E26408" s="8">
        <f t="shared" si="448"/>
        <v>2015</v>
      </c>
      <c r="F26408" t="s">
        <v>4287</v>
      </c>
      <c r="G26408" s="9">
        <v>1359.97</v>
      </c>
      <c r="H26408" s="8">
        <v>21668</v>
      </c>
    </row>
    <row r="26409" spans="2:8" ht="15" customHeight="1" x14ac:dyDescent="0.4">
      <c r="B26409" t="s">
        <v>7</v>
      </c>
      <c r="C26409" t="s">
        <v>4286</v>
      </c>
      <c r="D26409" s="7">
        <f>DATE(2015,12,17)</f>
        <v>42355</v>
      </c>
      <c r="E26409" s="8">
        <f t="shared" si="448"/>
        <v>2015</v>
      </c>
      <c r="F26409" t="s">
        <v>4287</v>
      </c>
      <c r="G26409" s="9">
        <v>535</v>
      </c>
      <c r="H26409" s="8">
        <v>21664</v>
      </c>
    </row>
    <row r="26410" spans="2:8" ht="15" customHeight="1" x14ac:dyDescent="0.4">
      <c r="B26410" t="s">
        <v>7</v>
      </c>
      <c r="C26410" t="s">
        <v>4288</v>
      </c>
      <c r="D26410" s="7">
        <f>DATE(2016,4,19)</f>
        <v>42479</v>
      </c>
      <c r="E26410" s="8">
        <f t="shared" si="448"/>
        <v>2016</v>
      </c>
      <c r="F26410" t="s">
        <v>4289</v>
      </c>
      <c r="G26410" s="9">
        <v>2081.15</v>
      </c>
      <c r="H26410" s="8">
        <v>22654</v>
      </c>
    </row>
    <row r="26411" spans="2:8" ht="15" customHeight="1" x14ac:dyDescent="0.4">
      <c r="B26411" t="s">
        <v>7</v>
      </c>
      <c r="C26411" t="s">
        <v>4288</v>
      </c>
      <c r="D26411" s="7">
        <f>DATE(2017,5,1)</f>
        <v>42856</v>
      </c>
      <c r="E26411" s="8">
        <f t="shared" si="448"/>
        <v>2017</v>
      </c>
      <c r="F26411" t="s">
        <v>4289</v>
      </c>
      <c r="G26411" s="9">
        <v>2357.33</v>
      </c>
      <c r="H26411" s="8">
        <v>24446</v>
      </c>
    </row>
    <row r="26412" spans="2:8" ht="15" customHeight="1" x14ac:dyDescent="0.4">
      <c r="B26412" t="s">
        <v>7</v>
      </c>
      <c r="C26412" t="s">
        <v>4288</v>
      </c>
      <c r="D26412" s="7">
        <f>DATE(2003,3,18)</f>
        <v>37698</v>
      </c>
      <c r="E26412" s="8">
        <f t="shared" si="448"/>
        <v>2003</v>
      </c>
      <c r="F26412" t="s">
        <v>4289</v>
      </c>
      <c r="G26412" s="9">
        <v>2953.38</v>
      </c>
      <c r="H26412" s="8">
        <v>354</v>
      </c>
    </row>
    <row r="26413" spans="2:8" ht="15" customHeight="1" x14ac:dyDescent="0.4">
      <c r="B26413" t="s">
        <v>7</v>
      </c>
      <c r="C26413" t="s">
        <v>4288</v>
      </c>
      <c r="D26413" s="7">
        <f>DATE(2003,5,8)</f>
        <v>37749</v>
      </c>
      <c r="E26413" s="8">
        <f t="shared" si="448"/>
        <v>2003</v>
      </c>
      <c r="F26413" t="s">
        <v>4289</v>
      </c>
      <c r="G26413" s="9">
        <v>1670.2</v>
      </c>
      <c r="H26413" s="8">
        <v>565</v>
      </c>
    </row>
    <row r="26414" spans="2:8" ht="15" customHeight="1" x14ac:dyDescent="0.4">
      <c r="B26414" t="s">
        <v>7</v>
      </c>
      <c r="C26414" t="s">
        <v>4288</v>
      </c>
      <c r="D26414" s="7">
        <f>DATE(2003,10,18)</f>
        <v>37912</v>
      </c>
      <c r="E26414" s="8">
        <f t="shared" si="448"/>
        <v>2003</v>
      </c>
      <c r="F26414" t="s">
        <v>4289</v>
      </c>
      <c r="G26414" s="9">
        <v>1621.74</v>
      </c>
      <c r="H26414" s="8">
        <v>958</v>
      </c>
    </row>
    <row r="26415" spans="2:8" ht="15" customHeight="1" x14ac:dyDescent="0.4">
      <c r="B26415" t="s">
        <v>7</v>
      </c>
      <c r="C26415" t="s">
        <v>4288</v>
      </c>
      <c r="D26415" s="7">
        <f>DATE(2004,3,31)</f>
        <v>38077</v>
      </c>
      <c r="E26415" s="8">
        <f t="shared" si="448"/>
        <v>2004</v>
      </c>
      <c r="F26415" t="s">
        <v>4289</v>
      </c>
      <c r="G26415" s="9">
        <v>2603.1999999999998</v>
      </c>
      <c r="H26415" s="8">
        <v>1584</v>
      </c>
    </row>
    <row r="26416" spans="2:8" ht="15" customHeight="1" x14ac:dyDescent="0.4">
      <c r="B26416" t="s">
        <v>7</v>
      </c>
      <c r="C26416" t="s">
        <v>4288</v>
      </c>
      <c r="D26416" s="7">
        <f>DATE(2004,5,20)</f>
        <v>38127</v>
      </c>
      <c r="E26416" s="8">
        <f t="shared" si="448"/>
        <v>2004</v>
      </c>
      <c r="F26416" t="s">
        <v>4289</v>
      </c>
      <c r="G26416" s="9">
        <v>1685.05</v>
      </c>
      <c r="H26416" s="8">
        <v>1761</v>
      </c>
    </row>
    <row r="26417" spans="2:8" ht="15" customHeight="1" x14ac:dyDescent="0.4">
      <c r="B26417" t="s">
        <v>7</v>
      </c>
      <c r="C26417" t="s">
        <v>4288</v>
      </c>
      <c r="D26417" s="7">
        <f>DATE(2005,3,18)</f>
        <v>38429</v>
      </c>
      <c r="E26417" s="8">
        <f t="shared" si="448"/>
        <v>2005</v>
      </c>
      <c r="F26417" t="s">
        <v>4289</v>
      </c>
      <c r="G26417" s="9">
        <v>1769.41</v>
      </c>
      <c r="H26417" s="8">
        <v>2950</v>
      </c>
    </row>
    <row r="26418" spans="2:8" ht="15" customHeight="1" x14ac:dyDescent="0.4">
      <c r="B26418" t="s">
        <v>7</v>
      </c>
      <c r="C26418" t="s">
        <v>4288</v>
      </c>
      <c r="D26418" s="7">
        <f>DATE(2005,4,29)</f>
        <v>38471</v>
      </c>
      <c r="E26418" s="8">
        <f t="shared" si="448"/>
        <v>2005</v>
      </c>
      <c r="F26418" t="s">
        <v>4289</v>
      </c>
      <c r="G26418" s="9">
        <v>1428.03</v>
      </c>
      <c r="H26418" s="8">
        <v>3120</v>
      </c>
    </row>
    <row r="26419" spans="2:8" ht="15" customHeight="1" x14ac:dyDescent="0.4">
      <c r="B26419" t="s">
        <v>7</v>
      </c>
      <c r="C26419" t="s">
        <v>4288</v>
      </c>
      <c r="D26419" s="7">
        <f>DATE(2006,3,16)</f>
        <v>38792</v>
      </c>
      <c r="E26419" s="8">
        <f t="shared" si="448"/>
        <v>2006</v>
      </c>
      <c r="F26419" t="s">
        <v>4289</v>
      </c>
      <c r="G26419" s="9">
        <v>3060.4</v>
      </c>
      <c r="H26419" s="8">
        <v>4337</v>
      </c>
    </row>
    <row r="26420" spans="2:8" ht="15" customHeight="1" x14ac:dyDescent="0.4">
      <c r="B26420" t="s">
        <v>7</v>
      </c>
      <c r="C26420" t="s">
        <v>4288</v>
      </c>
      <c r="D26420" s="7">
        <f>DATE(2006,5,17)</f>
        <v>38854</v>
      </c>
      <c r="E26420" s="8">
        <f t="shared" si="448"/>
        <v>2006</v>
      </c>
      <c r="F26420" t="s">
        <v>4289</v>
      </c>
      <c r="G26420" s="9">
        <v>1810.65</v>
      </c>
      <c r="H26420" s="8">
        <v>4622</v>
      </c>
    </row>
    <row r="26421" spans="2:8" ht="15" customHeight="1" x14ac:dyDescent="0.4">
      <c r="B26421" t="s">
        <v>7</v>
      </c>
      <c r="C26421" t="s">
        <v>4288</v>
      </c>
      <c r="D26421" s="7">
        <f>DATE(2006,5,19)</f>
        <v>38856</v>
      </c>
      <c r="E26421" s="8">
        <f t="shared" si="448"/>
        <v>2006</v>
      </c>
      <c r="F26421" t="s">
        <v>4289</v>
      </c>
      <c r="G26421" s="9">
        <v>24330.17</v>
      </c>
      <c r="H26421" s="8">
        <v>4669</v>
      </c>
    </row>
    <row r="26422" spans="2:8" ht="15" customHeight="1" x14ac:dyDescent="0.4">
      <c r="B26422" t="s">
        <v>7</v>
      </c>
      <c r="C26422" t="s">
        <v>4288</v>
      </c>
      <c r="D26422" s="7">
        <f>DATE(2007,3,12)</f>
        <v>39153</v>
      </c>
      <c r="E26422" s="8">
        <f t="shared" si="448"/>
        <v>2007</v>
      </c>
      <c r="F26422" t="s">
        <v>4289</v>
      </c>
      <c r="G26422" s="9">
        <v>4139.9799999999996</v>
      </c>
      <c r="H26422" s="8">
        <v>5690</v>
      </c>
    </row>
    <row r="26423" spans="2:8" ht="15" customHeight="1" x14ac:dyDescent="0.4">
      <c r="B26423" t="s">
        <v>7</v>
      </c>
      <c r="C26423" t="s">
        <v>4288</v>
      </c>
      <c r="D26423" s="7">
        <f>DATE(2007,9,23)</f>
        <v>39348</v>
      </c>
      <c r="E26423" s="8">
        <f t="shared" si="448"/>
        <v>2007</v>
      </c>
      <c r="F26423" t="s">
        <v>4289</v>
      </c>
      <c r="G26423" s="9">
        <v>5473.8</v>
      </c>
      <c r="H26423" s="8">
        <v>6403</v>
      </c>
    </row>
    <row r="26424" spans="2:8" ht="15" customHeight="1" x14ac:dyDescent="0.4">
      <c r="B26424" t="s">
        <v>7</v>
      </c>
      <c r="C26424" t="s">
        <v>4288</v>
      </c>
      <c r="D26424" s="7">
        <f>DATE(2008,4,23)</f>
        <v>39561</v>
      </c>
      <c r="E26424" s="8">
        <f t="shared" si="448"/>
        <v>2008</v>
      </c>
      <c r="F26424" t="s">
        <v>4289</v>
      </c>
      <c r="G26424" s="9">
        <v>3640.19</v>
      </c>
      <c r="H26424" s="8">
        <v>7290</v>
      </c>
    </row>
    <row r="26425" spans="2:8" ht="15" customHeight="1" x14ac:dyDescent="0.4">
      <c r="B26425" t="s">
        <v>7</v>
      </c>
      <c r="C26425" t="s">
        <v>4288</v>
      </c>
      <c r="D26425" s="7">
        <f>DATE(2008,9,26)</f>
        <v>39717</v>
      </c>
      <c r="E26425" s="8">
        <f t="shared" si="448"/>
        <v>2008</v>
      </c>
      <c r="F26425" t="s">
        <v>4289</v>
      </c>
      <c r="G26425" s="9">
        <v>1776.87</v>
      </c>
      <c r="H26425" s="8">
        <v>7874</v>
      </c>
    </row>
    <row r="26426" spans="2:8" ht="15" customHeight="1" x14ac:dyDescent="0.4">
      <c r="B26426" t="s">
        <v>7</v>
      </c>
      <c r="C26426" t="s">
        <v>4288</v>
      </c>
      <c r="D26426" s="7">
        <f>DATE(2009,3,12)</f>
        <v>39884</v>
      </c>
      <c r="E26426" s="8">
        <f t="shared" si="448"/>
        <v>2009</v>
      </c>
      <c r="F26426" t="s">
        <v>4289</v>
      </c>
      <c r="G26426" s="9">
        <v>3587.8</v>
      </c>
      <c r="H26426" s="8">
        <v>8452</v>
      </c>
    </row>
    <row r="26427" spans="2:8" ht="15" customHeight="1" x14ac:dyDescent="0.4">
      <c r="B26427" t="s">
        <v>7</v>
      </c>
      <c r="C26427" t="s">
        <v>4288</v>
      </c>
      <c r="D26427" s="7">
        <f>DATE(2009,12,1)</f>
        <v>40148</v>
      </c>
      <c r="E26427" s="8">
        <f t="shared" si="448"/>
        <v>2009</v>
      </c>
      <c r="F26427" t="s">
        <v>4289</v>
      </c>
      <c r="G26427" s="9">
        <v>4036.43</v>
      </c>
      <c r="H26427" s="8">
        <v>9258</v>
      </c>
    </row>
    <row r="26428" spans="2:8" ht="15" customHeight="1" x14ac:dyDescent="0.4">
      <c r="B26428" t="s">
        <v>7</v>
      </c>
      <c r="C26428" t="s">
        <v>4288</v>
      </c>
      <c r="D26428" s="7">
        <f>DATE(2010,3,31)</f>
        <v>40268</v>
      </c>
      <c r="E26428" s="8">
        <f t="shared" si="448"/>
        <v>2010</v>
      </c>
      <c r="F26428" t="s">
        <v>4289</v>
      </c>
      <c r="G26428" s="9">
        <v>2097.98</v>
      </c>
      <c r="H26428" s="8">
        <v>9694</v>
      </c>
    </row>
    <row r="26429" spans="2:8" ht="15" customHeight="1" x14ac:dyDescent="0.4">
      <c r="B26429" t="s">
        <v>7</v>
      </c>
      <c r="C26429" t="s">
        <v>4288</v>
      </c>
      <c r="D26429" s="7">
        <f>DATE(2010,11,18)</f>
        <v>40500</v>
      </c>
      <c r="E26429" s="8">
        <f t="shared" si="448"/>
        <v>2010</v>
      </c>
      <c r="F26429" t="s">
        <v>4289</v>
      </c>
      <c r="G26429" s="9">
        <v>2114.3000000000002</v>
      </c>
      <c r="H26429" s="8">
        <v>10247</v>
      </c>
    </row>
    <row r="26430" spans="2:8" ht="15" customHeight="1" x14ac:dyDescent="0.4">
      <c r="B26430" t="s">
        <v>7</v>
      </c>
      <c r="C26430" t="s">
        <v>4288</v>
      </c>
      <c r="D26430" s="7">
        <f>DATE(2011,4,28)</f>
        <v>40661</v>
      </c>
      <c r="E26430" s="8">
        <f t="shared" si="448"/>
        <v>2011</v>
      </c>
      <c r="F26430" t="s">
        <v>4289</v>
      </c>
      <c r="G26430" s="9">
        <v>4161.7</v>
      </c>
      <c r="H26430" s="8">
        <v>10698</v>
      </c>
    </row>
    <row r="26431" spans="2:8" ht="15" customHeight="1" x14ac:dyDescent="0.4">
      <c r="B26431" t="s">
        <v>7</v>
      </c>
      <c r="C26431" t="s">
        <v>4288</v>
      </c>
      <c r="D26431" s="7">
        <f>DATE(2013,4,9)</f>
        <v>41373</v>
      </c>
      <c r="E26431" s="8">
        <f t="shared" si="448"/>
        <v>2013</v>
      </c>
      <c r="F26431" t="s">
        <v>4289</v>
      </c>
      <c r="G26431" s="9">
        <v>4138.3</v>
      </c>
      <c r="H26431" s="8">
        <v>12324</v>
      </c>
    </row>
    <row r="26432" spans="2:8" ht="15" customHeight="1" x14ac:dyDescent="0.4">
      <c r="B26432" t="s">
        <v>7</v>
      </c>
      <c r="C26432" t="s">
        <v>4288</v>
      </c>
      <c r="D26432" s="7">
        <f>DATE(2014,10,29)</f>
        <v>41941</v>
      </c>
      <c r="E26432" s="8">
        <f t="shared" si="448"/>
        <v>2014</v>
      </c>
      <c r="F26432" t="s">
        <v>4289</v>
      </c>
      <c r="G26432" s="9">
        <v>3290.25</v>
      </c>
      <c r="H26432" s="8">
        <v>13540</v>
      </c>
    </row>
    <row r="26433" spans="2:8" ht="15" customHeight="1" x14ac:dyDescent="0.4">
      <c r="B26433" s="3" t="s">
        <v>7</v>
      </c>
      <c r="C26433" s="3" t="s">
        <v>4290</v>
      </c>
      <c r="D26433" s="4">
        <f>DATE(2011,11,7)</f>
        <v>40854</v>
      </c>
      <c r="E26433" s="5">
        <f t="shared" si="448"/>
        <v>2011</v>
      </c>
      <c r="F26433" s="3" t="s">
        <v>4291</v>
      </c>
      <c r="G26433" s="6">
        <v>1704.31</v>
      </c>
      <c r="H26433" s="5">
        <v>16173</v>
      </c>
    </row>
    <row r="26434" spans="2:8" ht="15" customHeight="1" x14ac:dyDescent="0.4">
      <c r="B26434" s="3" t="s">
        <v>7</v>
      </c>
      <c r="C26434" s="3" t="s">
        <v>4292</v>
      </c>
      <c r="D26434" s="4">
        <f>DATE(2014,3,10)</f>
        <v>41708</v>
      </c>
      <c r="E26434" s="5">
        <f t="shared" si="448"/>
        <v>2014</v>
      </c>
      <c r="F26434" s="3" t="s">
        <v>4293</v>
      </c>
      <c r="G26434" s="6">
        <v>2694</v>
      </c>
      <c r="H26434" s="5">
        <v>6071</v>
      </c>
    </row>
    <row r="26435" spans="2:8" ht="15" customHeight="1" x14ac:dyDescent="0.4">
      <c r="B26435" s="3" t="s">
        <v>7</v>
      </c>
      <c r="C26435" s="3" t="s">
        <v>4294</v>
      </c>
      <c r="D26435" s="4">
        <f>DATE(2011,1,17)</f>
        <v>40560</v>
      </c>
      <c r="E26435" s="5">
        <f t="shared" ref="E26435:E26498" si="449">YEAR(D26435)</f>
        <v>2011</v>
      </c>
      <c r="F26435" s="3" t="s">
        <v>4295</v>
      </c>
      <c r="G26435" s="6">
        <v>551.91</v>
      </c>
      <c r="H26435" s="5">
        <v>14925</v>
      </c>
    </row>
    <row r="26436" spans="2:8" ht="15" customHeight="1" x14ac:dyDescent="0.4">
      <c r="B26436" s="3" t="s">
        <v>7</v>
      </c>
      <c r="C26436" s="3" t="s">
        <v>4294</v>
      </c>
      <c r="D26436" s="4">
        <f>DATE(2011,1,24)</f>
        <v>40567</v>
      </c>
      <c r="E26436" s="5">
        <f t="shared" si="449"/>
        <v>2011</v>
      </c>
      <c r="F26436" s="3" t="s">
        <v>4295</v>
      </c>
      <c r="G26436" s="6">
        <v>1285.1300000000001</v>
      </c>
      <c r="H26436" s="5">
        <v>14960</v>
      </c>
    </row>
    <row r="26437" spans="2:8" ht="15" customHeight="1" x14ac:dyDescent="0.4">
      <c r="B26437" s="3" t="s">
        <v>7</v>
      </c>
      <c r="C26437" s="3" t="s">
        <v>4294</v>
      </c>
      <c r="D26437" s="4">
        <f>DATE(2011,3,15)</f>
        <v>40617</v>
      </c>
      <c r="E26437" s="5">
        <f t="shared" si="449"/>
        <v>2011</v>
      </c>
      <c r="F26437" s="3" t="s">
        <v>4295</v>
      </c>
      <c r="G26437" s="6">
        <v>1573</v>
      </c>
      <c r="H26437" s="5">
        <v>15246</v>
      </c>
    </row>
    <row r="26438" spans="2:8" ht="15" customHeight="1" x14ac:dyDescent="0.4">
      <c r="B26438" s="3" t="s">
        <v>7</v>
      </c>
      <c r="C26438" s="3" t="s">
        <v>1556</v>
      </c>
      <c r="D26438" s="4">
        <f>DATE(2013,4,5)</f>
        <v>41369</v>
      </c>
      <c r="E26438" s="5">
        <f t="shared" si="449"/>
        <v>2013</v>
      </c>
      <c r="F26438" s="3" t="s">
        <v>4296</v>
      </c>
      <c r="G26438" s="6">
        <v>441</v>
      </c>
      <c r="H26438" s="5">
        <v>18410</v>
      </c>
    </row>
    <row r="26439" spans="2:8" ht="15" customHeight="1" x14ac:dyDescent="0.4">
      <c r="B26439" t="s">
        <v>7</v>
      </c>
      <c r="C26439" t="s">
        <v>3013</v>
      </c>
      <c r="D26439" s="7">
        <f>DATE(2018,10,10)</f>
        <v>43383</v>
      </c>
      <c r="E26439" s="8">
        <f t="shared" si="449"/>
        <v>2018</v>
      </c>
      <c r="F26439" t="s">
        <v>4297</v>
      </c>
      <c r="G26439" s="9">
        <v>19527</v>
      </c>
      <c r="H26439" s="8">
        <v>27666</v>
      </c>
    </row>
    <row r="26440" spans="2:8" ht="15" customHeight="1" x14ac:dyDescent="0.4">
      <c r="B26440" t="s">
        <v>7</v>
      </c>
      <c r="C26440" t="s">
        <v>3013</v>
      </c>
      <c r="D26440" s="7">
        <f>DATE(2019,5,6)</f>
        <v>43591</v>
      </c>
      <c r="E26440" s="8">
        <f t="shared" si="449"/>
        <v>2019</v>
      </c>
      <c r="F26440" t="s">
        <v>4297</v>
      </c>
      <c r="G26440" s="9">
        <v>20902.32</v>
      </c>
      <c r="H26440" s="8">
        <v>28382</v>
      </c>
    </row>
    <row r="26441" spans="2:8" ht="15" customHeight="1" x14ac:dyDescent="0.4">
      <c r="B26441" t="s">
        <v>7</v>
      </c>
      <c r="C26441" t="s">
        <v>3013</v>
      </c>
      <c r="D26441" s="7">
        <f>DATE(2018,10,10)</f>
        <v>43383</v>
      </c>
      <c r="E26441" s="8">
        <f t="shared" si="449"/>
        <v>2018</v>
      </c>
      <c r="F26441" t="s">
        <v>4297</v>
      </c>
      <c r="G26441" s="9">
        <v>30373</v>
      </c>
      <c r="H26441" s="8">
        <v>27667</v>
      </c>
    </row>
    <row r="26442" spans="2:8" ht="15" customHeight="1" x14ac:dyDescent="0.4">
      <c r="B26442" t="s">
        <v>7</v>
      </c>
      <c r="C26442" t="s">
        <v>3013</v>
      </c>
      <c r="D26442" s="7">
        <f>DATE(2019,5,6)</f>
        <v>43591</v>
      </c>
      <c r="E26442" s="8">
        <f t="shared" si="449"/>
        <v>2019</v>
      </c>
      <c r="F26442" t="s">
        <v>4297</v>
      </c>
      <c r="G26442" s="9">
        <v>29100</v>
      </c>
      <c r="H26442" s="8">
        <v>28383</v>
      </c>
    </row>
    <row r="26443" spans="2:8" ht="15" customHeight="1" x14ac:dyDescent="0.4">
      <c r="B26443" t="s">
        <v>7</v>
      </c>
      <c r="C26443" t="s">
        <v>3013</v>
      </c>
      <c r="D26443" s="7">
        <f>DATE(2019,5,6)</f>
        <v>43591</v>
      </c>
      <c r="E26443" s="8">
        <f t="shared" si="449"/>
        <v>2019</v>
      </c>
      <c r="F26443" t="s">
        <v>4297</v>
      </c>
      <c r="G26443" s="9">
        <v>10361.469999999999</v>
      </c>
      <c r="H26443" s="8">
        <v>28974</v>
      </c>
    </row>
    <row r="26444" spans="2:8" ht="15" customHeight="1" x14ac:dyDescent="0.4">
      <c r="B26444" t="s">
        <v>7</v>
      </c>
      <c r="C26444" t="s">
        <v>3013</v>
      </c>
      <c r="D26444" s="7">
        <f>DATE(2017,9,1)</f>
        <v>42979</v>
      </c>
      <c r="E26444" s="8">
        <f t="shared" si="449"/>
        <v>2017</v>
      </c>
      <c r="F26444" t="s">
        <v>4297</v>
      </c>
      <c r="G26444" s="9">
        <v>9663.7999999999993</v>
      </c>
      <c r="H26444" s="8">
        <v>25371</v>
      </c>
    </row>
    <row r="26445" spans="2:8" ht="15" customHeight="1" x14ac:dyDescent="0.4">
      <c r="B26445" t="s">
        <v>7</v>
      </c>
      <c r="C26445" t="s">
        <v>3013</v>
      </c>
      <c r="D26445" s="7">
        <f>DATE(2015,5,5)</f>
        <v>42129</v>
      </c>
      <c r="E26445" s="8">
        <f t="shared" si="449"/>
        <v>2015</v>
      </c>
      <c r="F26445" t="s">
        <v>4298</v>
      </c>
      <c r="G26445" s="9">
        <v>16300</v>
      </c>
      <c r="H26445" s="8">
        <v>20144</v>
      </c>
    </row>
    <row r="26446" spans="2:8" ht="15" customHeight="1" x14ac:dyDescent="0.4">
      <c r="B26446" t="s">
        <v>7</v>
      </c>
      <c r="C26446" t="s">
        <v>3013</v>
      </c>
      <c r="D26446" s="7">
        <f>DATE(2015,5,5)</f>
        <v>42129</v>
      </c>
      <c r="E26446" s="8">
        <f t="shared" si="449"/>
        <v>2015</v>
      </c>
      <c r="F26446" t="s">
        <v>4298</v>
      </c>
      <c r="G26446" s="9">
        <v>25498.86</v>
      </c>
      <c r="H26446" s="8">
        <v>20252</v>
      </c>
    </row>
    <row r="26447" spans="2:8" ht="15" customHeight="1" x14ac:dyDescent="0.4">
      <c r="B26447" t="s">
        <v>7</v>
      </c>
      <c r="C26447" t="s">
        <v>3013</v>
      </c>
      <c r="D26447" s="7">
        <f>DATE(2015,5,5)</f>
        <v>42129</v>
      </c>
      <c r="E26447" s="8">
        <f t="shared" si="449"/>
        <v>2015</v>
      </c>
      <c r="F26447" t="s">
        <v>4298</v>
      </c>
      <c r="G26447" s="9">
        <v>86001</v>
      </c>
      <c r="H26447" s="8">
        <v>20149</v>
      </c>
    </row>
    <row r="26448" spans="2:8" ht="15" customHeight="1" x14ac:dyDescent="0.4">
      <c r="B26448" t="s">
        <v>7</v>
      </c>
      <c r="C26448" t="s">
        <v>3013</v>
      </c>
      <c r="D26448" s="7">
        <f>DATE(2015,1,23)</f>
        <v>42027</v>
      </c>
      <c r="E26448" s="8">
        <f t="shared" si="449"/>
        <v>2015</v>
      </c>
      <c r="F26448" t="s">
        <v>4298</v>
      </c>
      <c r="G26448" s="9">
        <v>7624.96</v>
      </c>
      <c r="H26448" s="8">
        <v>91</v>
      </c>
    </row>
    <row r="26449" spans="2:8" ht="15" customHeight="1" x14ac:dyDescent="0.4">
      <c r="B26449" t="s">
        <v>7</v>
      </c>
      <c r="C26449" t="s">
        <v>3013</v>
      </c>
      <c r="D26449" s="7">
        <f>DATE(2015,9,9)</f>
        <v>42256</v>
      </c>
      <c r="E26449" s="8">
        <f t="shared" si="449"/>
        <v>2015</v>
      </c>
      <c r="F26449" t="s">
        <v>4298</v>
      </c>
      <c r="G26449" s="9">
        <v>8240.0400000000009</v>
      </c>
      <c r="H26449" s="8">
        <v>21163</v>
      </c>
    </row>
    <row r="26450" spans="2:8" ht="15" customHeight="1" x14ac:dyDescent="0.4">
      <c r="B26450" t="s">
        <v>7</v>
      </c>
      <c r="C26450" t="s">
        <v>3013</v>
      </c>
      <c r="D26450" s="7">
        <f>DATE(2016,1,25)</f>
        <v>42394</v>
      </c>
      <c r="E26450" s="8">
        <f t="shared" si="449"/>
        <v>2016</v>
      </c>
      <c r="F26450" t="s">
        <v>4298</v>
      </c>
      <c r="G26450" s="9">
        <v>8712.82</v>
      </c>
      <c r="H26450" s="8">
        <v>21979</v>
      </c>
    </row>
    <row r="26451" spans="2:8" ht="15" customHeight="1" x14ac:dyDescent="0.4">
      <c r="B26451" t="s">
        <v>7</v>
      </c>
      <c r="C26451" t="s">
        <v>3013</v>
      </c>
      <c r="D26451" s="7">
        <f>DATE(2016,8,12)</f>
        <v>42594</v>
      </c>
      <c r="E26451" s="8">
        <f t="shared" si="449"/>
        <v>2016</v>
      </c>
      <c r="F26451" t="s">
        <v>4298</v>
      </c>
      <c r="G26451" s="9">
        <v>10093.83</v>
      </c>
      <c r="H26451" s="8">
        <v>23179</v>
      </c>
    </row>
    <row r="26452" spans="2:8" ht="15" customHeight="1" x14ac:dyDescent="0.4">
      <c r="B26452" t="s">
        <v>7</v>
      </c>
      <c r="C26452" t="s">
        <v>3013</v>
      </c>
      <c r="D26452" s="7">
        <f>DATE(2017,3,15)</f>
        <v>42809</v>
      </c>
      <c r="E26452" s="8">
        <f t="shared" si="449"/>
        <v>2017</v>
      </c>
      <c r="F26452" t="s">
        <v>4298</v>
      </c>
      <c r="G26452" s="9">
        <v>7616.93</v>
      </c>
      <c r="H26452" s="8">
        <v>24146</v>
      </c>
    </row>
    <row r="26453" spans="2:8" ht="15" customHeight="1" x14ac:dyDescent="0.4">
      <c r="B26453" t="s">
        <v>7</v>
      </c>
      <c r="C26453" t="s">
        <v>3013</v>
      </c>
      <c r="D26453" s="7">
        <f>DATE(2014,4,30)</f>
        <v>41759</v>
      </c>
      <c r="E26453" s="8">
        <f t="shared" si="449"/>
        <v>2014</v>
      </c>
      <c r="F26453" t="s">
        <v>4298</v>
      </c>
      <c r="G26453" s="9">
        <v>8634.9599999999991</v>
      </c>
      <c r="H26453" s="8">
        <v>13099</v>
      </c>
    </row>
    <row r="26454" spans="2:8" ht="15" customHeight="1" x14ac:dyDescent="0.4">
      <c r="B26454" t="s">
        <v>7</v>
      </c>
      <c r="C26454" t="s">
        <v>3013</v>
      </c>
      <c r="D26454" s="7">
        <f>DATE(2014,7,7)</f>
        <v>41827</v>
      </c>
      <c r="E26454" s="8">
        <f t="shared" si="449"/>
        <v>2014</v>
      </c>
      <c r="F26454" t="s">
        <v>4298</v>
      </c>
      <c r="G26454" s="9">
        <v>10793.63</v>
      </c>
      <c r="H26454" s="8">
        <v>13267</v>
      </c>
    </row>
    <row r="26455" spans="2:8" ht="15" customHeight="1" x14ac:dyDescent="0.4">
      <c r="B26455" s="3" t="s">
        <v>7</v>
      </c>
      <c r="C26455" s="3" t="s">
        <v>4211</v>
      </c>
      <c r="D26455" s="4">
        <f>DATE(2003,7,10)</f>
        <v>37812</v>
      </c>
      <c r="E26455" s="5">
        <f t="shared" si="449"/>
        <v>2003</v>
      </c>
      <c r="F26455" s="3" t="s">
        <v>4299</v>
      </c>
      <c r="G26455" s="6">
        <v>3562.5</v>
      </c>
      <c r="H26455" s="5">
        <v>242</v>
      </c>
    </row>
    <row r="26456" spans="2:8" ht="15" customHeight="1" x14ac:dyDescent="0.4">
      <c r="B26456" s="3" t="s">
        <v>7</v>
      </c>
      <c r="C26456" s="3" t="s">
        <v>4211</v>
      </c>
      <c r="D26456" s="4">
        <f>DATE(2003,10,21)</f>
        <v>37915</v>
      </c>
      <c r="E26456" s="5">
        <f t="shared" si="449"/>
        <v>2003</v>
      </c>
      <c r="F26456" s="3" t="s">
        <v>4299</v>
      </c>
      <c r="G26456" s="6">
        <v>492.08</v>
      </c>
      <c r="H26456" s="5">
        <v>394</v>
      </c>
    </row>
    <row r="26457" spans="2:8" ht="15" customHeight="1" x14ac:dyDescent="0.4">
      <c r="B26457" s="3" t="s">
        <v>7</v>
      </c>
      <c r="C26457" s="3" t="s">
        <v>4211</v>
      </c>
      <c r="D26457" s="4">
        <f>DATE(2003,10,31)</f>
        <v>37925</v>
      </c>
      <c r="E26457" s="5">
        <f t="shared" si="449"/>
        <v>2003</v>
      </c>
      <c r="F26457" s="3" t="s">
        <v>4299</v>
      </c>
      <c r="G26457" s="6">
        <v>124.05</v>
      </c>
      <c r="H26457" s="5">
        <v>407</v>
      </c>
    </row>
    <row r="26458" spans="2:8" ht="15" customHeight="1" x14ac:dyDescent="0.4">
      <c r="B26458" s="3" t="s">
        <v>7</v>
      </c>
      <c r="C26458" s="3" t="s">
        <v>4211</v>
      </c>
      <c r="D26458" s="4">
        <f>DATE(2003,10,31)</f>
        <v>37925</v>
      </c>
      <c r="E26458" s="5">
        <f t="shared" si="449"/>
        <v>2003</v>
      </c>
      <c r="F26458" s="3" t="s">
        <v>4299</v>
      </c>
      <c r="G26458" s="6">
        <v>165.39</v>
      </c>
      <c r="H26458" s="5">
        <v>409</v>
      </c>
    </row>
    <row r="26459" spans="2:8" ht="15" customHeight="1" x14ac:dyDescent="0.4">
      <c r="B26459" s="3" t="s">
        <v>7</v>
      </c>
      <c r="C26459" s="3" t="s">
        <v>4211</v>
      </c>
      <c r="D26459" s="4">
        <f>DATE(2004,1,20)</f>
        <v>38006</v>
      </c>
      <c r="E26459" s="5">
        <f t="shared" si="449"/>
        <v>2004</v>
      </c>
      <c r="F26459" s="3" t="s">
        <v>4299</v>
      </c>
      <c r="G26459" s="6">
        <v>283.47000000000003</v>
      </c>
      <c r="H26459" s="5">
        <v>511</v>
      </c>
    </row>
    <row r="26460" spans="2:8" ht="15" customHeight="1" x14ac:dyDescent="0.4">
      <c r="B26460" s="3" t="s">
        <v>7</v>
      </c>
      <c r="C26460" s="3" t="s">
        <v>4211</v>
      </c>
      <c r="D26460" s="4">
        <f>DATE(2004,5,18)</f>
        <v>38125</v>
      </c>
      <c r="E26460" s="5">
        <f t="shared" si="449"/>
        <v>2004</v>
      </c>
      <c r="F26460" s="3" t="s">
        <v>4299</v>
      </c>
      <c r="G26460" s="6">
        <v>1278.58</v>
      </c>
      <c r="H26460" s="5">
        <v>657</v>
      </c>
    </row>
    <row r="26461" spans="2:8" ht="15" customHeight="1" x14ac:dyDescent="0.4">
      <c r="B26461" s="3" t="s">
        <v>7</v>
      </c>
      <c r="C26461" s="3" t="s">
        <v>4211</v>
      </c>
      <c r="D26461" s="4">
        <f>DATE(2004,5,26)</f>
        <v>38133</v>
      </c>
      <c r="E26461" s="5">
        <f t="shared" si="449"/>
        <v>2004</v>
      </c>
      <c r="F26461" s="3" t="s">
        <v>4299</v>
      </c>
      <c r="G26461" s="6">
        <v>292.5</v>
      </c>
      <c r="H26461" s="5">
        <v>675</v>
      </c>
    </row>
    <row r="26462" spans="2:8" ht="15" customHeight="1" x14ac:dyDescent="0.4">
      <c r="B26462" s="3" t="s">
        <v>7</v>
      </c>
      <c r="C26462" s="3" t="s">
        <v>4211</v>
      </c>
      <c r="D26462" s="4">
        <f>DATE(2004,6,18)</f>
        <v>38156</v>
      </c>
      <c r="E26462" s="5">
        <f t="shared" si="449"/>
        <v>2004</v>
      </c>
      <c r="F26462" s="3" t="s">
        <v>4299</v>
      </c>
      <c r="G26462" s="6">
        <v>585</v>
      </c>
      <c r="H26462" s="5">
        <v>698</v>
      </c>
    </row>
    <row r="26463" spans="2:8" ht="15" customHeight="1" x14ac:dyDescent="0.4">
      <c r="B26463" s="3" t="s">
        <v>7</v>
      </c>
      <c r="C26463" s="3" t="s">
        <v>4211</v>
      </c>
      <c r="D26463" s="4">
        <f>DATE(2004,9,29)</f>
        <v>38259</v>
      </c>
      <c r="E26463" s="5">
        <f t="shared" si="449"/>
        <v>2004</v>
      </c>
      <c r="F26463" s="3" t="s">
        <v>4299</v>
      </c>
      <c r="G26463" s="6">
        <v>2022.46</v>
      </c>
      <c r="H26463" s="5">
        <v>794</v>
      </c>
    </row>
    <row r="26464" spans="2:8" ht="15" customHeight="1" x14ac:dyDescent="0.4">
      <c r="B26464" s="3" t="s">
        <v>7</v>
      </c>
      <c r="C26464" s="3" t="s">
        <v>4211</v>
      </c>
      <c r="D26464" s="4">
        <f>DATE(2004,10,7)</f>
        <v>38267</v>
      </c>
      <c r="E26464" s="5">
        <f t="shared" si="449"/>
        <v>2004</v>
      </c>
      <c r="F26464" s="3" t="s">
        <v>4299</v>
      </c>
      <c r="G26464" s="6">
        <v>1562.1</v>
      </c>
      <c r="H26464" s="5">
        <v>809</v>
      </c>
    </row>
    <row r="26465" spans="2:8" ht="15" customHeight="1" x14ac:dyDescent="0.4">
      <c r="B26465" s="3" t="s">
        <v>7</v>
      </c>
      <c r="C26465" s="3" t="s">
        <v>4211</v>
      </c>
      <c r="D26465" s="4">
        <f>DATE(2004,10,26)</f>
        <v>38286</v>
      </c>
      <c r="E26465" s="5">
        <f t="shared" si="449"/>
        <v>2004</v>
      </c>
      <c r="F26465" s="3" t="s">
        <v>4299</v>
      </c>
      <c r="G26465" s="6">
        <v>1210.0999999999999</v>
      </c>
      <c r="H26465" s="5">
        <v>825</v>
      </c>
    </row>
    <row r="26466" spans="2:8" ht="15" customHeight="1" x14ac:dyDescent="0.4">
      <c r="B26466" s="3" t="s">
        <v>7</v>
      </c>
      <c r="C26466" s="3" t="s">
        <v>4211</v>
      </c>
      <c r="D26466" s="4">
        <f>DATE(2004,12,1)</f>
        <v>38322</v>
      </c>
      <c r="E26466" s="5">
        <f t="shared" si="449"/>
        <v>2004</v>
      </c>
      <c r="F26466" s="3" t="s">
        <v>4299</v>
      </c>
      <c r="G26466" s="6">
        <v>292.5</v>
      </c>
      <c r="H26466" s="5">
        <v>880</v>
      </c>
    </row>
    <row r="26467" spans="2:8" ht="15" customHeight="1" x14ac:dyDescent="0.4">
      <c r="B26467" s="3" t="s">
        <v>7</v>
      </c>
      <c r="C26467" s="3" t="s">
        <v>4211</v>
      </c>
      <c r="D26467" s="4">
        <f>DATE(2005,4,14)</f>
        <v>38456</v>
      </c>
      <c r="E26467" s="5">
        <f t="shared" si="449"/>
        <v>2005</v>
      </c>
      <c r="F26467" s="3" t="s">
        <v>4299</v>
      </c>
      <c r="G26467" s="6">
        <v>1505</v>
      </c>
      <c r="H26467" s="5">
        <v>1032</v>
      </c>
    </row>
    <row r="26468" spans="2:8" ht="15" customHeight="1" x14ac:dyDescent="0.4">
      <c r="B26468" s="3" t="s">
        <v>7</v>
      </c>
      <c r="C26468" s="3" t="s">
        <v>4211</v>
      </c>
      <c r="D26468" s="4">
        <f>DATE(2005,4,13)</f>
        <v>38455</v>
      </c>
      <c r="E26468" s="5">
        <f t="shared" si="449"/>
        <v>2005</v>
      </c>
      <c r="F26468" s="3" t="s">
        <v>4299</v>
      </c>
      <c r="G26468" s="6">
        <v>3740.5</v>
      </c>
      <c r="H26468" s="5">
        <v>1034</v>
      </c>
    </row>
    <row r="26469" spans="2:8" ht="15" customHeight="1" x14ac:dyDescent="0.4">
      <c r="B26469" s="3" t="s">
        <v>7</v>
      </c>
      <c r="C26469" s="3" t="s">
        <v>4211</v>
      </c>
      <c r="D26469" s="4">
        <f>DATE(2005,5,5)</f>
        <v>38477</v>
      </c>
      <c r="E26469" s="5">
        <f t="shared" si="449"/>
        <v>2005</v>
      </c>
      <c r="F26469" s="3" t="s">
        <v>4299</v>
      </c>
      <c r="G26469" s="6">
        <v>300</v>
      </c>
      <c r="H26469" s="5">
        <v>1066</v>
      </c>
    </row>
    <row r="26470" spans="2:8" ht="15" customHeight="1" x14ac:dyDescent="0.4">
      <c r="B26470" s="3" t="s">
        <v>7</v>
      </c>
      <c r="C26470" s="3" t="s">
        <v>4211</v>
      </c>
      <c r="D26470" s="4">
        <f>DATE(2005,5,25)</f>
        <v>38497</v>
      </c>
      <c r="E26470" s="5">
        <f t="shared" si="449"/>
        <v>2005</v>
      </c>
      <c r="F26470" s="3" t="s">
        <v>4299</v>
      </c>
      <c r="G26470" s="6">
        <v>1531.2</v>
      </c>
      <c r="H26470" s="5">
        <v>1079</v>
      </c>
    </row>
    <row r="26471" spans="2:8" ht="15" customHeight="1" x14ac:dyDescent="0.4">
      <c r="B26471" s="3" t="s">
        <v>7</v>
      </c>
      <c r="C26471" s="3" t="s">
        <v>4211</v>
      </c>
      <c r="D26471" s="4">
        <f>DATE(2005,6,9)</f>
        <v>38512</v>
      </c>
      <c r="E26471" s="5">
        <f t="shared" si="449"/>
        <v>2005</v>
      </c>
      <c r="F26471" s="3" t="s">
        <v>4299</v>
      </c>
      <c r="G26471" s="6">
        <v>588</v>
      </c>
      <c r="H26471" s="5">
        <v>1103</v>
      </c>
    </row>
    <row r="26472" spans="2:8" ht="15" customHeight="1" x14ac:dyDescent="0.4">
      <c r="B26472" s="3" t="s">
        <v>7</v>
      </c>
      <c r="C26472" s="3" t="s">
        <v>4211</v>
      </c>
      <c r="D26472" s="4">
        <f>DATE(2005,6,27)</f>
        <v>38530</v>
      </c>
      <c r="E26472" s="5">
        <f t="shared" si="449"/>
        <v>2005</v>
      </c>
      <c r="F26472" s="3" t="s">
        <v>4299</v>
      </c>
      <c r="G26472" s="6">
        <v>1238</v>
      </c>
      <c r="H26472" s="5">
        <v>1137</v>
      </c>
    </row>
    <row r="26473" spans="2:8" ht="15" customHeight="1" x14ac:dyDescent="0.4">
      <c r="B26473" s="3" t="s">
        <v>7</v>
      </c>
      <c r="C26473" s="3" t="s">
        <v>4211</v>
      </c>
      <c r="D26473" s="4">
        <f>DATE(2005,7,12)</f>
        <v>38545</v>
      </c>
      <c r="E26473" s="5">
        <f t="shared" si="449"/>
        <v>2005</v>
      </c>
      <c r="F26473" s="3" t="s">
        <v>4299</v>
      </c>
      <c r="G26473" s="6">
        <v>490</v>
      </c>
      <c r="H26473" s="5">
        <v>1152</v>
      </c>
    </row>
    <row r="26474" spans="2:8" ht="15" customHeight="1" x14ac:dyDescent="0.4">
      <c r="B26474" s="3" t="s">
        <v>7</v>
      </c>
      <c r="C26474" s="3" t="s">
        <v>4211</v>
      </c>
      <c r="D26474" s="4">
        <f>DATE(2005,8,5)</f>
        <v>38569</v>
      </c>
      <c r="E26474" s="5">
        <f t="shared" si="449"/>
        <v>2005</v>
      </c>
      <c r="F26474" s="3" t="s">
        <v>4299</v>
      </c>
      <c r="G26474" s="6">
        <v>490</v>
      </c>
      <c r="H26474" s="5">
        <v>1234</v>
      </c>
    </row>
    <row r="26475" spans="2:8" ht="15" customHeight="1" x14ac:dyDescent="0.4">
      <c r="B26475" s="3" t="s">
        <v>7</v>
      </c>
      <c r="C26475" s="3" t="s">
        <v>4211</v>
      </c>
      <c r="D26475" s="4">
        <f>DATE(2005,11,3)</f>
        <v>38659</v>
      </c>
      <c r="E26475" s="5">
        <f t="shared" si="449"/>
        <v>2005</v>
      </c>
      <c r="F26475" s="3" t="s">
        <v>4299</v>
      </c>
      <c r="G26475" s="6">
        <v>1029.7</v>
      </c>
      <c r="H26475" s="5">
        <v>1270</v>
      </c>
    </row>
    <row r="26476" spans="2:8" ht="15" customHeight="1" x14ac:dyDescent="0.4">
      <c r="B26476" s="3" t="s">
        <v>7</v>
      </c>
      <c r="C26476" s="3" t="s">
        <v>4211</v>
      </c>
      <c r="D26476" s="4">
        <f>DATE(2005,12,19)</f>
        <v>38705</v>
      </c>
      <c r="E26476" s="5">
        <f t="shared" si="449"/>
        <v>2005</v>
      </c>
      <c r="F26476" s="3" t="s">
        <v>4299</v>
      </c>
      <c r="G26476" s="6">
        <v>334.19</v>
      </c>
      <c r="H26476" s="5">
        <v>1328</v>
      </c>
    </row>
    <row r="26477" spans="2:8" ht="15" customHeight="1" x14ac:dyDescent="0.4">
      <c r="B26477" s="3" t="s">
        <v>7</v>
      </c>
      <c r="C26477" s="3" t="s">
        <v>4211</v>
      </c>
      <c r="D26477" s="4">
        <f>DATE(2006,1,9)</f>
        <v>38726</v>
      </c>
      <c r="E26477" s="5">
        <f t="shared" si="449"/>
        <v>2006</v>
      </c>
      <c r="F26477" s="3" t="s">
        <v>4299</v>
      </c>
      <c r="G26477" s="6">
        <v>588</v>
      </c>
      <c r="H26477" s="5">
        <v>1424</v>
      </c>
    </row>
    <row r="26478" spans="2:8" ht="15" customHeight="1" x14ac:dyDescent="0.4">
      <c r="B26478" s="3" t="s">
        <v>7</v>
      </c>
      <c r="C26478" s="3" t="s">
        <v>4211</v>
      </c>
      <c r="D26478" s="4">
        <f>DATE(2005,7,22)</f>
        <v>38555</v>
      </c>
      <c r="E26478" s="5">
        <f t="shared" si="449"/>
        <v>2005</v>
      </c>
      <c r="F26478" s="3" t="s">
        <v>4299</v>
      </c>
      <c r="G26478" s="6">
        <v>391.5</v>
      </c>
      <c r="H26478" s="5">
        <v>1465</v>
      </c>
    </row>
    <row r="26479" spans="2:8" ht="15" customHeight="1" x14ac:dyDescent="0.4">
      <c r="B26479" s="3" t="s">
        <v>7</v>
      </c>
      <c r="C26479" s="3" t="s">
        <v>4211</v>
      </c>
      <c r="D26479" s="4">
        <f>DATE(2006,3,8)</f>
        <v>38784</v>
      </c>
      <c r="E26479" s="5">
        <f t="shared" si="449"/>
        <v>2006</v>
      </c>
      <c r="F26479" s="3" t="s">
        <v>4299</v>
      </c>
      <c r="G26479" s="6">
        <v>650</v>
      </c>
      <c r="H26479" s="5">
        <v>1482</v>
      </c>
    </row>
    <row r="26480" spans="2:8" ht="15" customHeight="1" x14ac:dyDescent="0.4">
      <c r="B26480" s="3" t="s">
        <v>7</v>
      </c>
      <c r="C26480" s="3" t="s">
        <v>4211</v>
      </c>
      <c r="D26480" s="4">
        <f>DATE(2006,6,1)</f>
        <v>38869</v>
      </c>
      <c r="E26480" s="5">
        <f t="shared" si="449"/>
        <v>2006</v>
      </c>
      <c r="F26480" s="3" t="s">
        <v>4299</v>
      </c>
      <c r="G26480" s="6">
        <v>195</v>
      </c>
      <c r="H26480" s="5">
        <v>1604</v>
      </c>
    </row>
    <row r="26481" spans="2:8" ht="15" customHeight="1" x14ac:dyDescent="0.4">
      <c r="B26481" s="3" t="s">
        <v>7</v>
      </c>
      <c r="C26481" s="3" t="s">
        <v>4211</v>
      </c>
      <c r="D26481" s="4">
        <f>DATE(2006,7,12)</f>
        <v>38910</v>
      </c>
      <c r="E26481" s="5">
        <f t="shared" si="449"/>
        <v>2006</v>
      </c>
      <c r="F26481" s="3" t="s">
        <v>4299</v>
      </c>
      <c r="G26481" s="6">
        <v>130</v>
      </c>
      <c r="H26481" s="5">
        <v>1680</v>
      </c>
    </row>
    <row r="26482" spans="2:8" ht="15" customHeight="1" x14ac:dyDescent="0.4">
      <c r="B26482" s="3" t="s">
        <v>7</v>
      </c>
      <c r="C26482" s="3" t="s">
        <v>4211</v>
      </c>
      <c r="D26482" s="4">
        <f>DATE(2006,7,24)</f>
        <v>38922</v>
      </c>
      <c r="E26482" s="5">
        <f t="shared" si="449"/>
        <v>2006</v>
      </c>
      <c r="F26482" s="3" t="s">
        <v>4299</v>
      </c>
      <c r="G26482" s="6">
        <v>65</v>
      </c>
      <c r="H26482" s="5">
        <v>1692</v>
      </c>
    </row>
    <row r="26483" spans="2:8" ht="15" customHeight="1" x14ac:dyDescent="0.4">
      <c r="B26483" s="3" t="s">
        <v>7</v>
      </c>
      <c r="C26483" s="3" t="s">
        <v>4211</v>
      </c>
      <c r="D26483" s="4">
        <f>DATE(2006,8,29)</f>
        <v>38958</v>
      </c>
      <c r="E26483" s="5">
        <f t="shared" si="449"/>
        <v>2006</v>
      </c>
      <c r="F26483" s="3" t="s">
        <v>4299</v>
      </c>
      <c r="G26483" s="6">
        <v>150</v>
      </c>
      <c r="H26483" s="5">
        <v>1755</v>
      </c>
    </row>
    <row r="26484" spans="2:8" ht="15" customHeight="1" x14ac:dyDescent="0.4">
      <c r="B26484" s="3" t="s">
        <v>7</v>
      </c>
      <c r="C26484" s="3" t="s">
        <v>4211</v>
      </c>
      <c r="D26484" s="4">
        <f>DATE(2006,10,11)</f>
        <v>39001</v>
      </c>
      <c r="E26484" s="5">
        <f t="shared" si="449"/>
        <v>2006</v>
      </c>
      <c r="F26484" s="3" t="s">
        <v>4299</v>
      </c>
      <c r="G26484" s="6">
        <v>829</v>
      </c>
      <c r="H26484" s="5">
        <v>1817</v>
      </c>
    </row>
    <row r="26485" spans="2:8" ht="15" customHeight="1" x14ac:dyDescent="0.4">
      <c r="B26485" s="3" t="s">
        <v>7</v>
      </c>
      <c r="C26485" s="3" t="s">
        <v>4211</v>
      </c>
      <c r="D26485" s="4">
        <f>DATE(2006,11,1)</f>
        <v>39022</v>
      </c>
      <c r="E26485" s="5">
        <f t="shared" si="449"/>
        <v>2006</v>
      </c>
      <c r="F26485" s="3" t="s">
        <v>4299</v>
      </c>
      <c r="G26485" s="6">
        <v>1176</v>
      </c>
      <c r="H26485" s="5">
        <v>1845</v>
      </c>
    </row>
    <row r="26486" spans="2:8" ht="15" customHeight="1" x14ac:dyDescent="0.4">
      <c r="B26486" s="3" t="s">
        <v>7</v>
      </c>
      <c r="C26486" s="3" t="s">
        <v>4211</v>
      </c>
      <c r="D26486" s="4">
        <f>DATE(2006,11,2)</f>
        <v>39023</v>
      </c>
      <c r="E26486" s="5">
        <f t="shared" si="449"/>
        <v>2006</v>
      </c>
      <c r="F26486" s="3" t="s">
        <v>4299</v>
      </c>
      <c r="G26486" s="6">
        <v>294</v>
      </c>
      <c r="H26486" s="5">
        <v>1884</v>
      </c>
    </row>
    <row r="26487" spans="2:8" ht="15" customHeight="1" x14ac:dyDescent="0.4">
      <c r="B26487" s="3" t="s">
        <v>7</v>
      </c>
      <c r="C26487" s="3" t="s">
        <v>4211</v>
      </c>
      <c r="D26487" s="4">
        <f>DATE(2006,11,16)</f>
        <v>39037</v>
      </c>
      <c r="E26487" s="5">
        <f t="shared" si="449"/>
        <v>2006</v>
      </c>
      <c r="F26487" s="3" t="s">
        <v>4299</v>
      </c>
      <c r="G26487" s="6">
        <v>150</v>
      </c>
      <c r="H26487" s="5">
        <v>1905</v>
      </c>
    </row>
    <row r="26488" spans="2:8" ht="15" customHeight="1" x14ac:dyDescent="0.4">
      <c r="B26488" s="3" t="s">
        <v>7</v>
      </c>
      <c r="C26488" s="3" t="s">
        <v>4211</v>
      </c>
      <c r="D26488" s="4">
        <f>DATE(2006,11,24)</f>
        <v>39045</v>
      </c>
      <c r="E26488" s="5">
        <f t="shared" si="449"/>
        <v>2006</v>
      </c>
      <c r="F26488" s="3" t="s">
        <v>4299</v>
      </c>
      <c r="G26488" s="6">
        <v>640</v>
      </c>
      <c r="H26488" s="5">
        <v>1912</v>
      </c>
    </row>
    <row r="26489" spans="2:8" ht="15" customHeight="1" x14ac:dyDescent="0.4">
      <c r="B26489" s="3" t="s">
        <v>7</v>
      </c>
      <c r="C26489" s="3" t="s">
        <v>4211</v>
      </c>
      <c r="D26489" s="4">
        <f>DATE(2006,12,15)</f>
        <v>39066</v>
      </c>
      <c r="E26489" s="5">
        <f t="shared" si="449"/>
        <v>2006</v>
      </c>
      <c r="F26489" s="3" t="s">
        <v>4299</v>
      </c>
      <c r="G26489" s="6">
        <v>305</v>
      </c>
      <c r="H26489" s="5">
        <v>1959</v>
      </c>
    </row>
    <row r="26490" spans="2:8" ht="15" customHeight="1" x14ac:dyDescent="0.4">
      <c r="B26490" s="3" t="s">
        <v>7</v>
      </c>
      <c r="C26490" s="3" t="s">
        <v>4211</v>
      </c>
      <c r="D26490" s="4">
        <f>DATE(2007,1,5)</f>
        <v>39087</v>
      </c>
      <c r="E26490" s="5">
        <f t="shared" si="449"/>
        <v>2007</v>
      </c>
      <c r="F26490" s="3" t="s">
        <v>4299</v>
      </c>
      <c r="G26490" s="6">
        <v>159.79</v>
      </c>
      <c r="H26490" s="5">
        <v>1984</v>
      </c>
    </row>
    <row r="26491" spans="2:8" ht="15" customHeight="1" x14ac:dyDescent="0.4">
      <c r="B26491" s="3" t="s">
        <v>7</v>
      </c>
      <c r="C26491" s="3" t="s">
        <v>4211</v>
      </c>
      <c r="D26491" s="4">
        <f>DATE(2007,2,6)</f>
        <v>39119</v>
      </c>
      <c r="E26491" s="5">
        <f t="shared" si="449"/>
        <v>2007</v>
      </c>
      <c r="F26491" s="3" t="s">
        <v>4299</v>
      </c>
      <c r="G26491" s="6">
        <v>325</v>
      </c>
      <c r="H26491" s="5">
        <v>2036</v>
      </c>
    </row>
    <row r="26492" spans="2:8" ht="15" customHeight="1" x14ac:dyDescent="0.4">
      <c r="B26492" s="3" t="s">
        <v>7</v>
      </c>
      <c r="C26492" s="3" t="s">
        <v>4211</v>
      </c>
      <c r="D26492" s="4">
        <f>DATE(2007,2,13)</f>
        <v>39126</v>
      </c>
      <c r="E26492" s="5">
        <f t="shared" si="449"/>
        <v>2007</v>
      </c>
      <c r="F26492" s="3" t="s">
        <v>4299</v>
      </c>
      <c r="G26492" s="6">
        <v>130</v>
      </c>
      <c r="H26492" s="5">
        <v>2049</v>
      </c>
    </row>
    <row r="26493" spans="2:8" ht="15" customHeight="1" x14ac:dyDescent="0.4">
      <c r="B26493" s="3" t="s">
        <v>7</v>
      </c>
      <c r="C26493" s="3" t="s">
        <v>4211</v>
      </c>
      <c r="D26493" s="4">
        <f>DATE(2007,2,19)</f>
        <v>39132</v>
      </c>
      <c r="E26493" s="5">
        <f t="shared" si="449"/>
        <v>2007</v>
      </c>
      <c r="F26493" s="3" t="s">
        <v>4299</v>
      </c>
      <c r="G26493" s="6">
        <v>390</v>
      </c>
      <c r="H26493" s="5">
        <v>2066</v>
      </c>
    </row>
    <row r="26494" spans="2:8" ht="15" customHeight="1" x14ac:dyDescent="0.4">
      <c r="B26494" s="3" t="s">
        <v>7</v>
      </c>
      <c r="C26494" s="3" t="s">
        <v>4211</v>
      </c>
      <c r="D26494" s="4">
        <f>DATE(2007,4,6)</f>
        <v>39178</v>
      </c>
      <c r="E26494" s="5">
        <f t="shared" si="449"/>
        <v>2007</v>
      </c>
      <c r="F26494" s="3" t="s">
        <v>4299</v>
      </c>
      <c r="G26494" s="6">
        <v>3495</v>
      </c>
      <c r="H26494" s="5">
        <v>2130</v>
      </c>
    </row>
    <row r="26495" spans="2:8" ht="15" customHeight="1" x14ac:dyDescent="0.4">
      <c r="B26495" s="3" t="s">
        <v>7</v>
      </c>
      <c r="C26495" s="3" t="s">
        <v>4211</v>
      </c>
      <c r="D26495" s="4">
        <f>DATE(2007,4,25)</f>
        <v>39197</v>
      </c>
      <c r="E26495" s="5">
        <f t="shared" si="449"/>
        <v>2007</v>
      </c>
      <c r="F26495" s="3" t="s">
        <v>4299</v>
      </c>
      <c r="G26495" s="6">
        <v>3827.5</v>
      </c>
      <c r="H26495" s="5">
        <v>2168</v>
      </c>
    </row>
    <row r="26496" spans="2:8" ht="15" customHeight="1" x14ac:dyDescent="0.4">
      <c r="B26496" s="3" t="s">
        <v>7</v>
      </c>
      <c r="C26496" s="3" t="s">
        <v>4211</v>
      </c>
      <c r="D26496" s="4">
        <f>DATE(2007,6,4)</f>
        <v>39237</v>
      </c>
      <c r="E26496" s="5">
        <f t="shared" si="449"/>
        <v>2007</v>
      </c>
      <c r="F26496" s="3" t="s">
        <v>4299</v>
      </c>
      <c r="G26496" s="6">
        <v>2300</v>
      </c>
      <c r="H26496" s="5">
        <v>2267</v>
      </c>
    </row>
    <row r="26497" spans="2:8" ht="15" customHeight="1" x14ac:dyDescent="0.4">
      <c r="B26497" s="3" t="s">
        <v>7</v>
      </c>
      <c r="C26497" s="3" t="s">
        <v>4211</v>
      </c>
      <c r="D26497" s="4">
        <f>DATE(2007,6,6)</f>
        <v>39239</v>
      </c>
      <c r="E26497" s="5">
        <f t="shared" si="449"/>
        <v>2007</v>
      </c>
      <c r="F26497" s="3" t="s">
        <v>4299</v>
      </c>
      <c r="G26497" s="6">
        <v>150</v>
      </c>
      <c r="H26497" s="5">
        <v>2294</v>
      </c>
    </row>
    <row r="26498" spans="2:8" ht="15" customHeight="1" x14ac:dyDescent="0.4">
      <c r="B26498" s="3" t="s">
        <v>7</v>
      </c>
      <c r="C26498" s="3" t="s">
        <v>4211</v>
      </c>
      <c r="D26498" s="4">
        <f>DATE(2007,6,12)</f>
        <v>39245</v>
      </c>
      <c r="E26498" s="5">
        <f t="shared" si="449"/>
        <v>2007</v>
      </c>
      <c r="F26498" s="3" t="s">
        <v>4299</v>
      </c>
      <c r="G26498" s="6">
        <v>770</v>
      </c>
      <c r="H26498" s="5">
        <v>2296</v>
      </c>
    </row>
    <row r="26499" spans="2:8" ht="15" customHeight="1" x14ac:dyDescent="0.4">
      <c r="B26499" s="3" t="s">
        <v>7</v>
      </c>
      <c r="C26499" s="3" t="s">
        <v>4211</v>
      </c>
      <c r="D26499" s="4">
        <f>DATE(2007,7,10)</f>
        <v>39273</v>
      </c>
      <c r="E26499" s="5">
        <f t="shared" ref="E26499:E26562" si="450">YEAR(D26499)</f>
        <v>2007</v>
      </c>
      <c r="F26499" s="3" t="s">
        <v>4299</v>
      </c>
      <c r="G26499" s="6">
        <v>479.5</v>
      </c>
      <c r="H26499" s="5">
        <v>2328</v>
      </c>
    </row>
    <row r="26500" spans="2:8" ht="15" customHeight="1" x14ac:dyDescent="0.4">
      <c r="B26500" s="3" t="s">
        <v>7</v>
      </c>
      <c r="C26500" s="3" t="s">
        <v>4211</v>
      </c>
      <c r="D26500" s="4">
        <f>DATE(2007,7,30)</f>
        <v>39293</v>
      </c>
      <c r="E26500" s="5">
        <f t="shared" si="450"/>
        <v>2007</v>
      </c>
      <c r="F26500" s="3" t="s">
        <v>4299</v>
      </c>
      <c r="G26500" s="6">
        <v>937.5</v>
      </c>
      <c r="H26500" s="5">
        <v>2343</v>
      </c>
    </row>
    <row r="26501" spans="2:8" ht="15" customHeight="1" x14ac:dyDescent="0.4">
      <c r="B26501" s="3" t="s">
        <v>7</v>
      </c>
      <c r="C26501" s="3" t="s">
        <v>4211</v>
      </c>
      <c r="D26501" s="4">
        <f>DATE(2007,9,25)</f>
        <v>39350</v>
      </c>
      <c r="E26501" s="5">
        <f t="shared" si="450"/>
        <v>2007</v>
      </c>
      <c r="F26501" s="3" t="s">
        <v>4299</v>
      </c>
      <c r="G26501" s="6">
        <v>174</v>
      </c>
      <c r="H26501" s="5">
        <v>2409</v>
      </c>
    </row>
    <row r="26502" spans="2:8" ht="15" customHeight="1" x14ac:dyDescent="0.4">
      <c r="B26502" s="3" t="s">
        <v>7</v>
      </c>
      <c r="C26502" s="3" t="s">
        <v>4211</v>
      </c>
      <c r="D26502" s="4">
        <f>DATE(2007,9,26)</f>
        <v>39351</v>
      </c>
      <c r="E26502" s="5">
        <f t="shared" si="450"/>
        <v>2007</v>
      </c>
      <c r="F26502" s="3" t="s">
        <v>4299</v>
      </c>
      <c r="G26502" s="6">
        <v>650</v>
      </c>
      <c r="H26502" s="5">
        <v>2413</v>
      </c>
    </row>
    <row r="26503" spans="2:8" ht="15" customHeight="1" x14ac:dyDescent="0.4">
      <c r="B26503" s="3" t="s">
        <v>7</v>
      </c>
      <c r="C26503" s="3" t="s">
        <v>4211</v>
      </c>
      <c r="D26503" s="4">
        <f>DATE(2007,11,29)</f>
        <v>39415</v>
      </c>
      <c r="E26503" s="5">
        <f t="shared" si="450"/>
        <v>2007</v>
      </c>
      <c r="F26503" s="3" t="s">
        <v>4299</v>
      </c>
      <c r="G26503" s="6">
        <v>763.8</v>
      </c>
      <c r="H26503" s="5">
        <v>2507</v>
      </c>
    </row>
    <row r="26504" spans="2:8" ht="15" customHeight="1" x14ac:dyDescent="0.4">
      <c r="B26504" s="3" t="s">
        <v>7</v>
      </c>
      <c r="C26504" s="3" t="s">
        <v>4211</v>
      </c>
      <c r="D26504" s="4">
        <f>DATE(2007,11,12)</f>
        <v>39398</v>
      </c>
      <c r="E26504" s="5">
        <f t="shared" si="450"/>
        <v>2007</v>
      </c>
      <c r="F26504" s="3" t="s">
        <v>4299</v>
      </c>
      <c r="G26504" s="6">
        <v>2671.6</v>
      </c>
      <c r="H26504" s="5">
        <v>2471</v>
      </c>
    </row>
    <row r="26505" spans="2:8" ht="15" customHeight="1" x14ac:dyDescent="0.4">
      <c r="B26505" s="3" t="s">
        <v>7</v>
      </c>
      <c r="C26505" s="3" t="s">
        <v>4211</v>
      </c>
      <c r="D26505" s="4">
        <f>DATE(2007,12,14)</f>
        <v>39430</v>
      </c>
      <c r="E26505" s="5">
        <f t="shared" si="450"/>
        <v>2007</v>
      </c>
      <c r="F26505" s="3" t="s">
        <v>4299</v>
      </c>
      <c r="G26505" s="6">
        <v>157.6</v>
      </c>
      <c r="H26505" s="5">
        <v>2549</v>
      </c>
    </row>
    <row r="26506" spans="2:8" ht="15" customHeight="1" x14ac:dyDescent="0.4">
      <c r="B26506" s="3" t="s">
        <v>7</v>
      </c>
      <c r="C26506" s="3" t="s">
        <v>4211</v>
      </c>
      <c r="D26506" s="4">
        <f>DATE(2007,12,17)</f>
        <v>39433</v>
      </c>
      <c r="E26506" s="5">
        <f t="shared" si="450"/>
        <v>2007</v>
      </c>
      <c r="F26506" s="3" t="s">
        <v>4299</v>
      </c>
      <c r="G26506" s="6">
        <v>1470</v>
      </c>
      <c r="H26506" s="5">
        <v>2541</v>
      </c>
    </row>
    <row r="26507" spans="2:8" ht="15" customHeight="1" x14ac:dyDescent="0.4">
      <c r="B26507" s="3" t="s">
        <v>7</v>
      </c>
      <c r="C26507" s="3" t="s">
        <v>4211</v>
      </c>
      <c r="D26507" s="4">
        <f>DATE(2007,12,26)</f>
        <v>39442</v>
      </c>
      <c r="E26507" s="5">
        <f t="shared" si="450"/>
        <v>2007</v>
      </c>
      <c r="F26507" s="3" t="s">
        <v>4299</v>
      </c>
      <c r="G26507" s="6">
        <v>342.5</v>
      </c>
      <c r="H26507" s="5">
        <v>2553</v>
      </c>
    </row>
    <row r="26508" spans="2:8" ht="15" customHeight="1" x14ac:dyDescent="0.4">
      <c r="B26508" s="3" t="s">
        <v>7</v>
      </c>
      <c r="C26508" s="3" t="s">
        <v>4211</v>
      </c>
      <c r="D26508" s="4">
        <f>DATE(2008,1,7)</f>
        <v>39454</v>
      </c>
      <c r="E26508" s="5">
        <f t="shared" si="450"/>
        <v>2008</v>
      </c>
      <c r="F26508" s="3" t="s">
        <v>4299</v>
      </c>
      <c r="G26508" s="6">
        <v>157.6</v>
      </c>
      <c r="H26508" s="5">
        <v>2557</v>
      </c>
    </row>
    <row r="26509" spans="2:8" ht="15" customHeight="1" x14ac:dyDescent="0.4">
      <c r="B26509" s="3" t="s">
        <v>7</v>
      </c>
      <c r="C26509" s="3" t="s">
        <v>4211</v>
      </c>
      <c r="D26509" s="4">
        <f>DATE(2008,1,14)</f>
        <v>39461</v>
      </c>
      <c r="E26509" s="5">
        <f t="shared" si="450"/>
        <v>2008</v>
      </c>
      <c r="F26509" s="3" t="s">
        <v>4299</v>
      </c>
      <c r="G26509" s="6">
        <v>489.8</v>
      </c>
      <c r="H26509" s="5">
        <v>2566</v>
      </c>
    </row>
    <row r="26510" spans="2:8" ht="15" customHeight="1" x14ac:dyDescent="0.4">
      <c r="B26510" s="3" t="s">
        <v>7</v>
      </c>
      <c r="C26510" s="3" t="s">
        <v>4211</v>
      </c>
      <c r="D26510" s="4">
        <f>DATE(2008,1,18)</f>
        <v>39465</v>
      </c>
      <c r="E26510" s="5">
        <f t="shared" si="450"/>
        <v>2008</v>
      </c>
      <c r="F26510" s="3" t="s">
        <v>4299</v>
      </c>
      <c r="G26510" s="6">
        <v>68.5</v>
      </c>
      <c r="H26510" s="5">
        <v>2593</v>
      </c>
    </row>
    <row r="26511" spans="2:8" ht="15" customHeight="1" x14ac:dyDescent="0.4">
      <c r="B26511" s="3" t="s">
        <v>7</v>
      </c>
      <c r="C26511" s="3" t="s">
        <v>4211</v>
      </c>
      <c r="D26511" s="4">
        <f>DATE(2008,2,7)</f>
        <v>39485</v>
      </c>
      <c r="E26511" s="5">
        <f t="shared" si="450"/>
        <v>2008</v>
      </c>
      <c r="F26511" s="3" t="s">
        <v>4299</v>
      </c>
      <c r="G26511" s="6">
        <v>1434</v>
      </c>
      <c r="H26511" s="5">
        <v>2635</v>
      </c>
    </row>
    <row r="26512" spans="2:8" ht="15" customHeight="1" x14ac:dyDescent="0.4">
      <c r="B26512" s="3" t="s">
        <v>7</v>
      </c>
      <c r="C26512" s="3" t="s">
        <v>4211</v>
      </c>
      <c r="D26512" s="4">
        <f>DATE(2008,2,26)</f>
        <v>39504</v>
      </c>
      <c r="E26512" s="5">
        <f t="shared" si="450"/>
        <v>2008</v>
      </c>
      <c r="F26512" s="3" t="s">
        <v>4299</v>
      </c>
      <c r="G26512" s="6">
        <v>137</v>
      </c>
      <c r="H26512" s="5">
        <v>2685</v>
      </c>
    </row>
    <row r="26513" spans="2:8" ht="15" customHeight="1" x14ac:dyDescent="0.4">
      <c r="B26513" s="3" t="s">
        <v>7</v>
      </c>
      <c r="C26513" s="3" t="s">
        <v>4211</v>
      </c>
      <c r="D26513" s="4">
        <f>DATE(2008,3,4)</f>
        <v>39511</v>
      </c>
      <c r="E26513" s="5">
        <f t="shared" si="450"/>
        <v>2008</v>
      </c>
      <c r="F26513" s="3" t="s">
        <v>4299</v>
      </c>
      <c r="G26513" s="6">
        <v>383.7</v>
      </c>
      <c r="H26513" s="5">
        <v>2697</v>
      </c>
    </row>
    <row r="26514" spans="2:8" ht="15" customHeight="1" x14ac:dyDescent="0.4">
      <c r="B26514" s="3" t="s">
        <v>7</v>
      </c>
      <c r="C26514" s="3" t="s">
        <v>4211</v>
      </c>
      <c r="D26514" s="4">
        <f>DATE(2008,4,9)</f>
        <v>39547</v>
      </c>
      <c r="E26514" s="5">
        <f t="shared" si="450"/>
        <v>2008</v>
      </c>
      <c r="F26514" s="3" t="s">
        <v>4299</v>
      </c>
      <c r="G26514" s="6">
        <v>1764</v>
      </c>
      <c r="H26514" s="5">
        <v>2750</v>
      </c>
    </row>
    <row r="26515" spans="2:8" ht="15" customHeight="1" x14ac:dyDescent="0.4">
      <c r="B26515" s="3" t="s">
        <v>7</v>
      </c>
      <c r="C26515" s="3" t="s">
        <v>4211</v>
      </c>
      <c r="D26515" s="4">
        <f>DATE(2008,5,2)</f>
        <v>39570</v>
      </c>
      <c r="E26515" s="5">
        <f t="shared" si="450"/>
        <v>2008</v>
      </c>
      <c r="F26515" s="3" t="s">
        <v>4299</v>
      </c>
      <c r="G26515" s="6">
        <v>1224.5</v>
      </c>
      <c r="H26515" s="5">
        <v>2796</v>
      </c>
    </row>
    <row r="26516" spans="2:8" ht="15" customHeight="1" x14ac:dyDescent="0.4">
      <c r="B26516" s="3" t="s">
        <v>7</v>
      </c>
      <c r="C26516" s="3" t="s">
        <v>4211</v>
      </c>
      <c r="D26516" s="4">
        <f>DATE(2008,5,21)</f>
        <v>39589</v>
      </c>
      <c r="E26516" s="5">
        <f t="shared" si="450"/>
        <v>2008</v>
      </c>
      <c r="F26516" s="3" t="s">
        <v>4299</v>
      </c>
      <c r="G26516" s="6">
        <v>753.5</v>
      </c>
      <c r="H26516" s="5">
        <v>2838</v>
      </c>
    </row>
    <row r="26517" spans="2:8" ht="15" customHeight="1" x14ac:dyDescent="0.4">
      <c r="B26517" s="3" t="s">
        <v>7</v>
      </c>
      <c r="C26517" s="3" t="s">
        <v>4211</v>
      </c>
      <c r="D26517" s="4">
        <f>DATE(2008,6,6)</f>
        <v>39605</v>
      </c>
      <c r="E26517" s="5">
        <f t="shared" si="450"/>
        <v>2008</v>
      </c>
      <c r="F26517" s="3" t="s">
        <v>4299</v>
      </c>
      <c r="G26517" s="6">
        <v>456.8</v>
      </c>
      <c r="H26517" s="5">
        <v>2870</v>
      </c>
    </row>
    <row r="26518" spans="2:8" ht="15" customHeight="1" x14ac:dyDescent="0.4">
      <c r="B26518" s="3" t="s">
        <v>7</v>
      </c>
      <c r="C26518" s="3" t="s">
        <v>4211</v>
      </c>
      <c r="D26518" s="4">
        <f>DATE(2008,7,7)</f>
        <v>39636</v>
      </c>
      <c r="E26518" s="5">
        <f t="shared" si="450"/>
        <v>2008</v>
      </c>
      <c r="F26518" s="3" t="s">
        <v>4299</v>
      </c>
      <c r="G26518" s="6">
        <v>342.5</v>
      </c>
      <c r="H26518" s="5">
        <v>2910</v>
      </c>
    </row>
    <row r="26519" spans="2:8" ht="15" customHeight="1" x14ac:dyDescent="0.4">
      <c r="B26519" s="3" t="s">
        <v>7</v>
      </c>
      <c r="C26519" s="3" t="s">
        <v>4211</v>
      </c>
      <c r="D26519" s="4">
        <f>DATE(2008,7,11)</f>
        <v>39640</v>
      </c>
      <c r="E26519" s="5">
        <f t="shared" si="450"/>
        <v>2008</v>
      </c>
      <c r="F26519" s="3" t="s">
        <v>4299</v>
      </c>
      <c r="G26519" s="6">
        <v>685</v>
      </c>
      <c r="H26519" s="5">
        <v>2920</v>
      </c>
    </row>
    <row r="26520" spans="2:8" ht="15" customHeight="1" x14ac:dyDescent="0.4">
      <c r="B26520" s="3" t="s">
        <v>7</v>
      </c>
      <c r="C26520" s="3" t="s">
        <v>4211</v>
      </c>
      <c r="D26520" s="4">
        <f>DATE(2008,7,21)</f>
        <v>39650</v>
      </c>
      <c r="E26520" s="5">
        <f t="shared" si="450"/>
        <v>2008</v>
      </c>
      <c r="F26520" s="3" t="s">
        <v>4299</v>
      </c>
      <c r="G26520" s="6">
        <v>393.8</v>
      </c>
      <c r="H26520" s="5">
        <v>2933</v>
      </c>
    </row>
    <row r="26521" spans="2:8" ht="15" customHeight="1" x14ac:dyDescent="0.4">
      <c r="B26521" s="3" t="s">
        <v>7</v>
      </c>
      <c r="C26521" s="3" t="s">
        <v>4211</v>
      </c>
      <c r="D26521" s="4">
        <f>DATE(2008,8,20)</f>
        <v>39680</v>
      </c>
      <c r="E26521" s="5">
        <f t="shared" si="450"/>
        <v>2008</v>
      </c>
      <c r="F26521" s="3" t="s">
        <v>4299</v>
      </c>
      <c r="G26521" s="6">
        <v>479.5</v>
      </c>
      <c r="H26521" s="5">
        <v>2968</v>
      </c>
    </row>
    <row r="26522" spans="2:8" ht="15" customHeight="1" x14ac:dyDescent="0.4">
      <c r="B26522" s="3" t="s">
        <v>7</v>
      </c>
      <c r="C26522" s="3" t="s">
        <v>4211</v>
      </c>
      <c r="D26522" s="4">
        <f>DATE(2008,8,20)</f>
        <v>39680</v>
      </c>
      <c r="E26522" s="5">
        <f t="shared" si="450"/>
        <v>2008</v>
      </c>
      <c r="F26522" s="3" t="s">
        <v>4299</v>
      </c>
      <c r="G26522" s="6">
        <v>205.5</v>
      </c>
      <c r="H26522" s="5">
        <v>2992</v>
      </c>
    </row>
    <row r="26523" spans="2:8" ht="15" customHeight="1" x14ac:dyDescent="0.4">
      <c r="B26523" s="3" t="s">
        <v>7</v>
      </c>
      <c r="C26523" s="3" t="s">
        <v>4211</v>
      </c>
      <c r="D26523" s="4">
        <f>DATE(2008,9,2)</f>
        <v>39693</v>
      </c>
      <c r="E26523" s="5">
        <f t="shared" si="450"/>
        <v>2008</v>
      </c>
      <c r="F26523" s="3" t="s">
        <v>4299</v>
      </c>
      <c r="G26523" s="6">
        <v>411</v>
      </c>
      <c r="H26523" s="5">
        <v>3007</v>
      </c>
    </row>
    <row r="26524" spans="2:8" ht="15" customHeight="1" x14ac:dyDescent="0.4">
      <c r="B26524" s="3" t="s">
        <v>7</v>
      </c>
      <c r="C26524" s="3" t="s">
        <v>4211</v>
      </c>
      <c r="D26524" s="4">
        <f>DATE(2008,9,24)</f>
        <v>39715</v>
      </c>
      <c r="E26524" s="5">
        <f t="shared" si="450"/>
        <v>2008</v>
      </c>
      <c r="F26524" s="3" t="s">
        <v>4299</v>
      </c>
      <c r="G26524" s="6">
        <v>215.8</v>
      </c>
      <c r="H26524" s="5">
        <v>3016</v>
      </c>
    </row>
    <row r="26525" spans="2:8" ht="15" customHeight="1" x14ac:dyDescent="0.4">
      <c r="B26525" s="3" t="s">
        <v>7</v>
      </c>
      <c r="C26525" s="3" t="s">
        <v>4211</v>
      </c>
      <c r="D26525" s="4">
        <f>DATE(2008,10,14)</f>
        <v>39735</v>
      </c>
      <c r="E26525" s="5">
        <f t="shared" si="450"/>
        <v>2008</v>
      </c>
      <c r="F26525" s="3" t="s">
        <v>4299</v>
      </c>
      <c r="G26525" s="6">
        <v>411</v>
      </c>
      <c r="H26525" s="5">
        <v>3106</v>
      </c>
    </row>
    <row r="26526" spans="2:8" ht="15" customHeight="1" x14ac:dyDescent="0.4">
      <c r="B26526" s="3" t="s">
        <v>7</v>
      </c>
      <c r="C26526" s="3" t="s">
        <v>4211</v>
      </c>
      <c r="D26526" s="4">
        <f>DATE(2008,10,30)</f>
        <v>39751</v>
      </c>
      <c r="E26526" s="5">
        <f t="shared" si="450"/>
        <v>2008</v>
      </c>
      <c r="F26526" s="3" t="s">
        <v>4299</v>
      </c>
      <c r="G26526" s="6">
        <v>342.5</v>
      </c>
      <c r="H26526" s="5">
        <v>3117</v>
      </c>
    </row>
    <row r="26527" spans="2:8" ht="15" customHeight="1" x14ac:dyDescent="0.4">
      <c r="B26527" s="3" t="s">
        <v>7</v>
      </c>
      <c r="C26527" s="3" t="s">
        <v>4211</v>
      </c>
      <c r="D26527" s="4">
        <f>DATE(2008,11,7)</f>
        <v>39759</v>
      </c>
      <c r="E26527" s="5">
        <f t="shared" si="450"/>
        <v>2008</v>
      </c>
      <c r="F26527" s="3" t="s">
        <v>4299</v>
      </c>
      <c r="G26527" s="6">
        <v>411</v>
      </c>
      <c r="H26527" s="5">
        <v>3146</v>
      </c>
    </row>
    <row r="26528" spans="2:8" ht="15" customHeight="1" x14ac:dyDescent="0.4">
      <c r="B26528" s="3" t="s">
        <v>7</v>
      </c>
      <c r="C26528" s="3" t="s">
        <v>4211</v>
      </c>
      <c r="D26528" s="4">
        <f>DATE(2009,3,4)</f>
        <v>39876</v>
      </c>
      <c r="E26528" s="5">
        <f t="shared" si="450"/>
        <v>2009</v>
      </c>
      <c r="F26528" s="3" t="s">
        <v>4299</v>
      </c>
      <c r="G26528" s="6">
        <v>68.5</v>
      </c>
      <c r="H26528" s="5">
        <v>3285</v>
      </c>
    </row>
    <row r="26529" spans="2:8" ht="15" customHeight="1" x14ac:dyDescent="0.4">
      <c r="B26529" s="3" t="s">
        <v>7</v>
      </c>
      <c r="C26529" s="3" t="s">
        <v>4211</v>
      </c>
      <c r="D26529" s="4">
        <f>DATE(2009,5,29)</f>
        <v>39962</v>
      </c>
      <c r="E26529" s="5">
        <f t="shared" si="450"/>
        <v>2009</v>
      </c>
      <c r="F26529" s="3" t="s">
        <v>4299</v>
      </c>
      <c r="G26529" s="6">
        <v>294</v>
      </c>
      <c r="H26529" s="5">
        <v>3443</v>
      </c>
    </row>
    <row r="26530" spans="2:8" ht="15" customHeight="1" x14ac:dyDescent="0.4">
      <c r="B26530" s="3" t="s">
        <v>7</v>
      </c>
      <c r="C26530" s="3" t="s">
        <v>4211</v>
      </c>
      <c r="D26530" s="4">
        <f>DATE(2009,6,4)</f>
        <v>39968</v>
      </c>
      <c r="E26530" s="5">
        <f t="shared" si="450"/>
        <v>2009</v>
      </c>
      <c r="F26530" s="3" t="s">
        <v>4299</v>
      </c>
      <c r="G26530" s="6">
        <v>1134</v>
      </c>
      <c r="H26530" s="5">
        <v>3464</v>
      </c>
    </row>
    <row r="26531" spans="2:8" ht="15" customHeight="1" x14ac:dyDescent="0.4">
      <c r="B26531" s="3" t="s">
        <v>7</v>
      </c>
      <c r="C26531" s="3" t="s">
        <v>4211</v>
      </c>
      <c r="D26531" s="4">
        <f>DATE(2009,8,28)</f>
        <v>40053</v>
      </c>
      <c r="E26531" s="5">
        <f t="shared" si="450"/>
        <v>2009</v>
      </c>
      <c r="F26531" s="3" t="s">
        <v>4299</v>
      </c>
      <c r="G26531" s="6">
        <v>984.5</v>
      </c>
      <c r="H26531" s="5">
        <v>3553</v>
      </c>
    </row>
    <row r="26532" spans="2:8" ht="15" customHeight="1" x14ac:dyDescent="0.4">
      <c r="B26532" s="3" t="s">
        <v>7</v>
      </c>
      <c r="C26532" s="3" t="s">
        <v>4211</v>
      </c>
      <c r="D26532" s="4">
        <f>DATE(2009,10,15)</f>
        <v>40101</v>
      </c>
      <c r="E26532" s="5">
        <f t="shared" si="450"/>
        <v>2009</v>
      </c>
      <c r="F26532" s="3" t="s">
        <v>4299</v>
      </c>
      <c r="G26532" s="6">
        <v>588</v>
      </c>
      <c r="H26532" s="5">
        <v>3600</v>
      </c>
    </row>
    <row r="26533" spans="2:8" ht="15" customHeight="1" x14ac:dyDescent="0.4">
      <c r="B26533" s="3" t="s">
        <v>7</v>
      </c>
      <c r="C26533" s="3" t="s">
        <v>4211</v>
      </c>
      <c r="D26533" s="4">
        <f>DATE(2010,2,22)</f>
        <v>40231</v>
      </c>
      <c r="E26533" s="5">
        <f t="shared" si="450"/>
        <v>2010</v>
      </c>
      <c r="F26533" s="3" t="s">
        <v>4299</v>
      </c>
      <c r="G26533" s="6">
        <v>411</v>
      </c>
      <c r="H26533" s="5">
        <v>3779</v>
      </c>
    </row>
    <row r="26534" spans="2:8" ht="15" customHeight="1" x14ac:dyDescent="0.4">
      <c r="B26534" s="3" t="s">
        <v>7</v>
      </c>
      <c r="C26534" s="3" t="s">
        <v>4211</v>
      </c>
      <c r="D26534" s="4">
        <f>DATE(2010,2,22)</f>
        <v>40231</v>
      </c>
      <c r="E26534" s="5">
        <f t="shared" si="450"/>
        <v>2010</v>
      </c>
      <c r="F26534" s="3" t="s">
        <v>4299</v>
      </c>
      <c r="G26534" s="6">
        <v>236.4</v>
      </c>
      <c r="H26534" s="5">
        <v>3796</v>
      </c>
    </row>
    <row r="26535" spans="2:8" ht="15" customHeight="1" x14ac:dyDescent="0.4">
      <c r="B26535" s="3" t="s">
        <v>7</v>
      </c>
      <c r="C26535" s="3" t="s">
        <v>4211</v>
      </c>
      <c r="D26535" s="4">
        <f>DATE(2010,2,22)</f>
        <v>40231</v>
      </c>
      <c r="E26535" s="5">
        <f t="shared" si="450"/>
        <v>2010</v>
      </c>
      <c r="F26535" s="3" t="s">
        <v>4299</v>
      </c>
      <c r="G26535" s="6">
        <v>787.6</v>
      </c>
      <c r="H26535" s="5">
        <v>3804</v>
      </c>
    </row>
    <row r="26536" spans="2:8" ht="15" customHeight="1" x14ac:dyDescent="0.4">
      <c r="B26536" s="3" t="s">
        <v>7</v>
      </c>
      <c r="C26536" s="3" t="s">
        <v>4211</v>
      </c>
      <c r="D26536" s="4">
        <f>DATE(2010,3,25)</f>
        <v>40262</v>
      </c>
      <c r="E26536" s="5">
        <f t="shared" si="450"/>
        <v>2010</v>
      </c>
      <c r="F26536" s="3" t="s">
        <v>4299</v>
      </c>
      <c r="G26536" s="6">
        <v>548</v>
      </c>
      <c r="H26536" s="5">
        <v>3845</v>
      </c>
    </row>
    <row r="26537" spans="2:8" ht="15" customHeight="1" x14ac:dyDescent="0.4">
      <c r="B26537" s="3" t="s">
        <v>7</v>
      </c>
      <c r="C26537" s="3" t="s">
        <v>4211</v>
      </c>
      <c r="D26537" s="4">
        <f>DATE(2010,4,8)</f>
        <v>40276</v>
      </c>
      <c r="E26537" s="5">
        <f t="shared" si="450"/>
        <v>2010</v>
      </c>
      <c r="F26537" s="3" t="s">
        <v>4299</v>
      </c>
      <c r="G26537" s="6">
        <v>274</v>
      </c>
      <c r="H26537" s="5">
        <v>3885</v>
      </c>
    </row>
    <row r="26538" spans="2:8" ht="15" customHeight="1" x14ac:dyDescent="0.4">
      <c r="B26538" s="3" t="s">
        <v>7</v>
      </c>
      <c r="C26538" s="3" t="s">
        <v>4211</v>
      </c>
      <c r="D26538" s="4">
        <f>DATE(2010,4,16)</f>
        <v>40284</v>
      </c>
      <c r="E26538" s="5">
        <f t="shared" si="450"/>
        <v>2010</v>
      </c>
      <c r="F26538" s="3" t="s">
        <v>4299</v>
      </c>
      <c r="G26538" s="6">
        <v>211.4</v>
      </c>
      <c r="H26538" s="5">
        <v>3899</v>
      </c>
    </row>
    <row r="26539" spans="2:8" ht="15" customHeight="1" x14ac:dyDescent="0.4">
      <c r="B26539" s="3" t="s">
        <v>7</v>
      </c>
      <c r="C26539" s="3" t="s">
        <v>4211</v>
      </c>
      <c r="D26539" s="4">
        <f>DATE(2010,5,17)</f>
        <v>40315</v>
      </c>
      <c r="E26539" s="5">
        <f t="shared" si="450"/>
        <v>2010</v>
      </c>
      <c r="F26539" s="3" t="s">
        <v>4299</v>
      </c>
      <c r="G26539" s="6">
        <v>78.8</v>
      </c>
      <c r="H26539" s="5">
        <v>3937</v>
      </c>
    </row>
    <row r="26540" spans="2:8" ht="15" customHeight="1" x14ac:dyDescent="0.4">
      <c r="B26540" s="3" t="s">
        <v>7</v>
      </c>
      <c r="C26540" s="3" t="s">
        <v>4211</v>
      </c>
      <c r="D26540" s="4">
        <f>DATE(2010,6,8)</f>
        <v>40337</v>
      </c>
      <c r="E26540" s="5">
        <f t="shared" si="450"/>
        <v>2010</v>
      </c>
      <c r="F26540" s="3" t="s">
        <v>4299</v>
      </c>
      <c r="G26540" s="6">
        <v>378</v>
      </c>
      <c r="H26540" s="5">
        <v>3969</v>
      </c>
    </row>
    <row r="26541" spans="2:8" ht="15" customHeight="1" x14ac:dyDescent="0.4">
      <c r="B26541" s="3" t="s">
        <v>7</v>
      </c>
      <c r="C26541" s="3" t="s">
        <v>4211</v>
      </c>
      <c r="D26541" s="4">
        <f>DATE(2010,6,21)</f>
        <v>40350</v>
      </c>
      <c r="E26541" s="5">
        <f t="shared" si="450"/>
        <v>2010</v>
      </c>
      <c r="F26541" s="3" t="s">
        <v>4299</v>
      </c>
      <c r="G26541" s="6">
        <v>616.5</v>
      </c>
      <c r="H26541" s="5">
        <v>3995</v>
      </c>
    </row>
    <row r="26542" spans="2:8" ht="15" customHeight="1" x14ac:dyDescent="0.4">
      <c r="B26542" s="3" t="s">
        <v>7</v>
      </c>
      <c r="C26542" s="3" t="s">
        <v>4211</v>
      </c>
      <c r="D26542" s="4">
        <f>DATE(2011,1,25)</f>
        <v>40568</v>
      </c>
      <c r="E26542" s="5">
        <f t="shared" si="450"/>
        <v>2011</v>
      </c>
      <c r="F26542" s="3" t="s">
        <v>4299</v>
      </c>
      <c r="G26542" s="6">
        <v>3425</v>
      </c>
      <c r="H26542" s="5">
        <v>4283</v>
      </c>
    </row>
    <row r="26543" spans="2:8" ht="15" customHeight="1" x14ac:dyDescent="0.4">
      <c r="B26543" s="3" t="s">
        <v>7</v>
      </c>
      <c r="C26543" s="3" t="s">
        <v>4211</v>
      </c>
      <c r="D26543" s="4">
        <f>DATE(2011,2,23)</f>
        <v>40597</v>
      </c>
      <c r="E26543" s="5">
        <f t="shared" si="450"/>
        <v>2011</v>
      </c>
      <c r="F26543" s="3" t="s">
        <v>4299</v>
      </c>
      <c r="G26543" s="6">
        <v>205.5</v>
      </c>
      <c r="H26543" s="5">
        <v>4325</v>
      </c>
    </row>
    <row r="26544" spans="2:8" ht="15" customHeight="1" x14ac:dyDescent="0.4">
      <c r="B26544" s="3" t="s">
        <v>7</v>
      </c>
      <c r="C26544" s="3" t="s">
        <v>4211</v>
      </c>
      <c r="D26544" s="4">
        <f>DATE(2011,4,1)</f>
        <v>40634</v>
      </c>
      <c r="E26544" s="5">
        <f t="shared" si="450"/>
        <v>2011</v>
      </c>
      <c r="F26544" s="3" t="s">
        <v>4299</v>
      </c>
      <c r="G26544" s="6">
        <v>342.5</v>
      </c>
      <c r="H26544" s="5">
        <v>4386</v>
      </c>
    </row>
    <row r="26545" spans="2:8" ht="15" customHeight="1" x14ac:dyDescent="0.4">
      <c r="B26545" s="3" t="s">
        <v>7</v>
      </c>
      <c r="C26545" s="3" t="s">
        <v>4211</v>
      </c>
      <c r="D26545" s="4">
        <f>DATE(2011,5,4)</f>
        <v>40667</v>
      </c>
      <c r="E26545" s="5">
        <f t="shared" si="450"/>
        <v>2011</v>
      </c>
      <c r="F26545" s="3" t="s">
        <v>4299</v>
      </c>
      <c r="G26545" s="6">
        <v>1096</v>
      </c>
      <c r="H26545" s="5">
        <v>4413</v>
      </c>
    </row>
    <row r="26546" spans="2:8" ht="15" customHeight="1" x14ac:dyDescent="0.4">
      <c r="B26546" s="3" t="s">
        <v>7</v>
      </c>
      <c r="C26546" s="3" t="s">
        <v>4211</v>
      </c>
      <c r="D26546" s="4">
        <f>DATE(2011,5,4)</f>
        <v>40667</v>
      </c>
      <c r="E26546" s="5">
        <f t="shared" si="450"/>
        <v>2011</v>
      </c>
      <c r="F26546" s="3" t="s">
        <v>4299</v>
      </c>
      <c r="G26546" s="6">
        <v>1164.5</v>
      </c>
      <c r="H26546" s="5">
        <v>4427</v>
      </c>
    </row>
    <row r="26547" spans="2:8" ht="15" customHeight="1" x14ac:dyDescent="0.4">
      <c r="B26547" s="3" t="s">
        <v>7</v>
      </c>
      <c r="C26547" s="3" t="s">
        <v>4211</v>
      </c>
      <c r="D26547" s="4">
        <f>DATE(2011,10,19)</f>
        <v>40835</v>
      </c>
      <c r="E26547" s="5">
        <f t="shared" si="450"/>
        <v>2011</v>
      </c>
      <c r="F26547" s="3" t="s">
        <v>4299</v>
      </c>
      <c r="G26547" s="6">
        <v>78.8</v>
      </c>
      <c r="H26547" s="5">
        <v>4652</v>
      </c>
    </row>
    <row r="26548" spans="2:8" ht="15" customHeight="1" x14ac:dyDescent="0.4">
      <c r="B26548" s="3" t="s">
        <v>7</v>
      </c>
      <c r="C26548" s="3" t="s">
        <v>4211</v>
      </c>
      <c r="D26548" s="4">
        <f>DATE(2011,10,28)</f>
        <v>40844</v>
      </c>
      <c r="E26548" s="5">
        <f t="shared" si="450"/>
        <v>2011</v>
      </c>
      <c r="F26548" s="3" t="s">
        <v>4299</v>
      </c>
      <c r="G26548" s="6">
        <v>342.5</v>
      </c>
      <c r="H26548" s="5">
        <v>4662</v>
      </c>
    </row>
    <row r="26549" spans="2:8" ht="15" customHeight="1" x14ac:dyDescent="0.4">
      <c r="B26549" s="3" t="s">
        <v>7</v>
      </c>
      <c r="C26549" s="3" t="s">
        <v>4211</v>
      </c>
      <c r="D26549" s="4">
        <f>DATE(2012,1,16)</f>
        <v>40924</v>
      </c>
      <c r="E26549" s="5">
        <f t="shared" si="450"/>
        <v>2012</v>
      </c>
      <c r="F26549" s="3" t="s">
        <v>4299</v>
      </c>
      <c r="G26549" s="6">
        <v>283.41000000000003</v>
      </c>
      <c r="H26549" s="5">
        <v>4775</v>
      </c>
    </row>
    <row r="26550" spans="2:8" ht="15" customHeight="1" x14ac:dyDescent="0.4">
      <c r="B26550" s="3" t="s">
        <v>7</v>
      </c>
      <c r="C26550" s="3" t="s">
        <v>4211</v>
      </c>
      <c r="D26550" s="4">
        <f>DATE(2012,2,17)</f>
        <v>40956</v>
      </c>
      <c r="E26550" s="5">
        <f t="shared" si="450"/>
        <v>2012</v>
      </c>
      <c r="F26550" s="3" t="s">
        <v>4299</v>
      </c>
      <c r="G26550" s="6">
        <v>137</v>
      </c>
      <c r="H26550" s="5">
        <v>4841</v>
      </c>
    </row>
    <row r="26551" spans="2:8" ht="15" customHeight="1" x14ac:dyDescent="0.4">
      <c r="B26551" s="3" t="s">
        <v>7</v>
      </c>
      <c r="C26551" s="3" t="s">
        <v>4211</v>
      </c>
      <c r="D26551" s="4">
        <f>DATE(2012,3,8)</f>
        <v>40976</v>
      </c>
      <c r="E26551" s="5">
        <f t="shared" si="450"/>
        <v>2012</v>
      </c>
      <c r="F26551" s="3" t="s">
        <v>4299</v>
      </c>
      <c r="G26551" s="6">
        <v>274</v>
      </c>
      <c r="H26551" s="5">
        <v>4884</v>
      </c>
    </row>
    <row r="26552" spans="2:8" ht="15" customHeight="1" x14ac:dyDescent="0.4">
      <c r="B26552" s="3" t="s">
        <v>7</v>
      </c>
      <c r="C26552" s="3" t="s">
        <v>4211</v>
      </c>
      <c r="D26552" s="4">
        <f>DATE(2012,4,4)</f>
        <v>41003</v>
      </c>
      <c r="E26552" s="5">
        <f t="shared" si="450"/>
        <v>2012</v>
      </c>
      <c r="F26552" s="3" t="s">
        <v>4299</v>
      </c>
      <c r="G26552" s="6">
        <v>771.8</v>
      </c>
      <c r="H26552" s="5">
        <v>4957</v>
      </c>
    </row>
    <row r="26553" spans="2:8" ht="15" customHeight="1" x14ac:dyDescent="0.4">
      <c r="B26553" s="3" t="s">
        <v>7</v>
      </c>
      <c r="C26553" s="3" t="s">
        <v>4211</v>
      </c>
      <c r="D26553" s="4">
        <f>DATE(2012,5,2)</f>
        <v>41031</v>
      </c>
      <c r="E26553" s="5">
        <f t="shared" si="450"/>
        <v>2012</v>
      </c>
      <c r="F26553" s="3" t="s">
        <v>4299</v>
      </c>
      <c r="G26553" s="6">
        <v>411</v>
      </c>
      <c r="H26553" s="5">
        <v>5025</v>
      </c>
    </row>
    <row r="26554" spans="2:8" ht="15" customHeight="1" x14ac:dyDescent="0.4">
      <c r="B26554" s="3" t="s">
        <v>7</v>
      </c>
      <c r="C26554" s="3" t="s">
        <v>4211</v>
      </c>
      <c r="D26554" s="4">
        <f>DATE(2012,6,8)</f>
        <v>41068</v>
      </c>
      <c r="E26554" s="5">
        <f t="shared" si="450"/>
        <v>2012</v>
      </c>
      <c r="F26554" s="3" t="s">
        <v>4299</v>
      </c>
      <c r="G26554" s="6">
        <v>1974.4</v>
      </c>
      <c r="H26554" s="5">
        <v>5092</v>
      </c>
    </row>
    <row r="26555" spans="2:8" ht="15" customHeight="1" x14ac:dyDescent="0.4">
      <c r="B26555" s="3" t="s">
        <v>7</v>
      </c>
      <c r="C26555" s="3" t="s">
        <v>4211</v>
      </c>
      <c r="D26555" s="4">
        <f>DATE(2012,12,3)</f>
        <v>41246</v>
      </c>
      <c r="E26555" s="5">
        <f t="shared" si="450"/>
        <v>2012</v>
      </c>
      <c r="F26555" s="3" t="s">
        <v>4299</v>
      </c>
      <c r="G26555" s="6">
        <v>378</v>
      </c>
      <c r="H26555" s="5">
        <v>5317</v>
      </c>
    </row>
    <row r="26556" spans="2:8" ht="15" customHeight="1" x14ac:dyDescent="0.4">
      <c r="B26556" s="3" t="s">
        <v>7</v>
      </c>
      <c r="C26556" s="3" t="s">
        <v>4211</v>
      </c>
      <c r="D26556" s="4">
        <f>DATE(2012,12,18)</f>
        <v>41261</v>
      </c>
      <c r="E26556" s="5">
        <f t="shared" si="450"/>
        <v>2012</v>
      </c>
      <c r="F26556" s="3" t="s">
        <v>4299</v>
      </c>
      <c r="G26556" s="6">
        <v>386</v>
      </c>
      <c r="H26556" s="5">
        <v>5358</v>
      </c>
    </row>
    <row r="26557" spans="2:8" ht="15" customHeight="1" x14ac:dyDescent="0.4">
      <c r="B26557" s="3" t="s">
        <v>7</v>
      </c>
      <c r="C26557" s="3" t="s">
        <v>4211</v>
      </c>
      <c r="D26557" s="4">
        <f>DATE(2013,1,31)</f>
        <v>41305</v>
      </c>
      <c r="E26557" s="5">
        <f t="shared" si="450"/>
        <v>2013</v>
      </c>
      <c r="F26557" s="3" t="s">
        <v>4299</v>
      </c>
      <c r="G26557" s="6">
        <v>378</v>
      </c>
      <c r="H26557" s="5">
        <v>5423</v>
      </c>
    </row>
    <row r="26558" spans="2:8" ht="15" customHeight="1" x14ac:dyDescent="0.4">
      <c r="B26558" s="3" t="s">
        <v>16</v>
      </c>
      <c r="C26558" s="3" t="s">
        <v>4211</v>
      </c>
      <c r="D26558" s="4">
        <f>DATE(2003,12,24)</f>
        <v>37979</v>
      </c>
      <c r="E26558" s="5">
        <f t="shared" si="450"/>
        <v>2003</v>
      </c>
      <c r="F26558" s="3" t="s">
        <v>4299</v>
      </c>
      <c r="G26558" s="6">
        <v>383.95</v>
      </c>
      <c r="H26558" s="5">
        <v>490</v>
      </c>
    </row>
    <row r="26559" spans="2:8" ht="15" customHeight="1" x14ac:dyDescent="0.4">
      <c r="B26559" s="3" t="s">
        <v>16</v>
      </c>
      <c r="C26559" s="3" t="s">
        <v>4211</v>
      </c>
      <c r="D26559" s="4">
        <f>DATE(2007,4,18)</f>
        <v>39190</v>
      </c>
      <c r="E26559" s="5">
        <f t="shared" si="450"/>
        <v>2007</v>
      </c>
      <c r="F26559" s="3" t="s">
        <v>4299</v>
      </c>
      <c r="G26559" s="6">
        <v>520</v>
      </c>
      <c r="H26559" s="5">
        <v>2196</v>
      </c>
    </row>
    <row r="26560" spans="2:8" ht="15" customHeight="1" x14ac:dyDescent="0.4">
      <c r="B26560" s="3" t="s">
        <v>7</v>
      </c>
      <c r="C26560" s="3" t="s">
        <v>4211</v>
      </c>
      <c r="D26560" s="4">
        <f>DATE(2011,9,9)</f>
        <v>40795</v>
      </c>
      <c r="E26560" s="5">
        <f t="shared" si="450"/>
        <v>2011</v>
      </c>
      <c r="F26560" s="3" t="s">
        <v>4299</v>
      </c>
      <c r="G26560" s="6">
        <v>3406.25</v>
      </c>
      <c r="H26560" s="5">
        <v>15952</v>
      </c>
    </row>
    <row r="26561" spans="2:8" ht="15" customHeight="1" x14ac:dyDescent="0.4">
      <c r="B26561" t="s">
        <v>7</v>
      </c>
      <c r="C26561" t="s">
        <v>4211</v>
      </c>
      <c r="D26561" s="7">
        <f>DATE(2015,2,23)</f>
        <v>42058</v>
      </c>
      <c r="E26561" s="8">
        <f t="shared" si="450"/>
        <v>2015</v>
      </c>
      <c r="F26561" t="s">
        <v>4300</v>
      </c>
      <c r="G26561" s="9">
        <v>1802.25</v>
      </c>
      <c r="H26561" s="8">
        <v>298</v>
      </c>
    </row>
    <row r="26562" spans="2:8" ht="15" customHeight="1" x14ac:dyDescent="0.4">
      <c r="B26562" t="s">
        <v>7</v>
      </c>
      <c r="C26562" t="s">
        <v>4211</v>
      </c>
      <c r="D26562" s="7">
        <f>DATE(2015,4,7)</f>
        <v>42101</v>
      </c>
      <c r="E26562" s="8">
        <f t="shared" si="450"/>
        <v>2015</v>
      </c>
      <c r="F26562" t="s">
        <v>4300</v>
      </c>
      <c r="G26562" s="9">
        <v>2055</v>
      </c>
      <c r="H26562" s="8">
        <v>20306</v>
      </c>
    </row>
    <row r="26563" spans="2:8" ht="15" customHeight="1" x14ac:dyDescent="0.4">
      <c r="B26563" t="s">
        <v>7</v>
      </c>
      <c r="C26563" t="s">
        <v>4211</v>
      </c>
      <c r="D26563" s="7">
        <f>DATE(2015,4,14)</f>
        <v>42108</v>
      </c>
      <c r="E26563" s="8">
        <f t="shared" ref="E26563:E26626" si="451">YEAR(D26563)</f>
        <v>2015</v>
      </c>
      <c r="F26563" t="s">
        <v>4300</v>
      </c>
      <c r="G26563" s="9">
        <v>756</v>
      </c>
      <c r="H26563" s="8">
        <v>20364</v>
      </c>
    </row>
    <row r="26564" spans="2:8" ht="15" customHeight="1" x14ac:dyDescent="0.4">
      <c r="B26564" t="s">
        <v>7</v>
      </c>
      <c r="C26564" t="s">
        <v>4211</v>
      </c>
      <c r="D26564" s="7">
        <f>DATE(2015,5,12)</f>
        <v>42136</v>
      </c>
      <c r="E26564" s="8">
        <f t="shared" si="451"/>
        <v>2015</v>
      </c>
      <c r="F26564" t="s">
        <v>4300</v>
      </c>
      <c r="G26564" s="9">
        <v>567</v>
      </c>
      <c r="H26564" s="8">
        <v>20573</v>
      </c>
    </row>
    <row r="26565" spans="2:8" ht="15" customHeight="1" x14ac:dyDescent="0.4">
      <c r="B26565" t="s">
        <v>7</v>
      </c>
      <c r="C26565" t="s">
        <v>4211</v>
      </c>
      <c r="D26565" s="7">
        <f>DATE(2015,8,3)</f>
        <v>42219</v>
      </c>
      <c r="E26565" s="8">
        <f t="shared" si="451"/>
        <v>2015</v>
      </c>
      <c r="F26565" t="s">
        <v>4300</v>
      </c>
      <c r="G26565" s="9">
        <v>1586</v>
      </c>
      <c r="H26565" s="8">
        <v>21016</v>
      </c>
    </row>
    <row r="26566" spans="2:8" ht="15" customHeight="1" x14ac:dyDescent="0.4">
      <c r="B26566" t="s">
        <v>7</v>
      </c>
      <c r="C26566" t="s">
        <v>4211</v>
      </c>
      <c r="D26566" s="7">
        <f>DATE(2016,3,30)</f>
        <v>42459</v>
      </c>
      <c r="E26566" s="8">
        <f t="shared" si="451"/>
        <v>2016</v>
      </c>
      <c r="F26566" t="s">
        <v>4300</v>
      </c>
      <c r="G26566" s="9">
        <v>1134</v>
      </c>
      <c r="H26566" s="8">
        <v>22508</v>
      </c>
    </row>
    <row r="26567" spans="2:8" ht="15" customHeight="1" x14ac:dyDescent="0.4">
      <c r="B26567" t="s">
        <v>7</v>
      </c>
      <c r="C26567" t="s">
        <v>4211</v>
      </c>
      <c r="D26567" s="7">
        <f>DATE(2016,9,1)</f>
        <v>42614</v>
      </c>
      <c r="E26567" s="8">
        <f t="shared" si="451"/>
        <v>2016</v>
      </c>
      <c r="F26567" t="s">
        <v>4300</v>
      </c>
      <c r="G26567" s="9">
        <v>525.29999999999995</v>
      </c>
      <c r="H26567" s="8">
        <v>23367</v>
      </c>
    </row>
    <row r="26568" spans="2:8" ht="15" customHeight="1" x14ac:dyDescent="0.4">
      <c r="B26568" t="s">
        <v>7</v>
      </c>
      <c r="C26568" t="s">
        <v>4211</v>
      </c>
      <c r="D26568" s="7">
        <f>DATE(2016,10,7)</f>
        <v>42650</v>
      </c>
      <c r="E26568" s="8">
        <f t="shared" si="451"/>
        <v>2016</v>
      </c>
      <c r="F26568" t="s">
        <v>4300</v>
      </c>
      <c r="G26568" s="9">
        <v>771.8</v>
      </c>
      <c r="H26568" s="8">
        <v>23612</v>
      </c>
    </row>
    <row r="26569" spans="2:8" ht="15" customHeight="1" x14ac:dyDescent="0.4">
      <c r="B26569" t="s">
        <v>7</v>
      </c>
      <c r="C26569" t="s">
        <v>4211</v>
      </c>
      <c r="D26569" s="7">
        <f>DATE(2016,11,11)</f>
        <v>42685</v>
      </c>
      <c r="E26569" s="8">
        <f t="shared" si="451"/>
        <v>2016</v>
      </c>
      <c r="F26569" t="s">
        <v>4300</v>
      </c>
      <c r="G26569" s="9">
        <v>68.5</v>
      </c>
      <c r="H26569" s="8">
        <v>23795</v>
      </c>
    </row>
    <row r="26570" spans="2:8" ht="15" customHeight="1" x14ac:dyDescent="0.4">
      <c r="B26570" t="s">
        <v>7</v>
      </c>
      <c r="C26570" t="s">
        <v>4211</v>
      </c>
      <c r="D26570" s="7">
        <f>DATE(2017,1,11)</f>
        <v>42746</v>
      </c>
      <c r="E26570" s="8">
        <f t="shared" si="451"/>
        <v>2017</v>
      </c>
      <c r="F26570" t="s">
        <v>4300</v>
      </c>
      <c r="G26570" s="9">
        <v>567</v>
      </c>
      <c r="H26570" s="8">
        <v>24102</v>
      </c>
    </row>
    <row r="26571" spans="2:8" ht="15" customHeight="1" x14ac:dyDescent="0.4">
      <c r="B26571" t="s">
        <v>7</v>
      </c>
      <c r="C26571" t="s">
        <v>4211</v>
      </c>
      <c r="D26571" s="7">
        <f>DATE(2017,3,7)</f>
        <v>42801</v>
      </c>
      <c r="E26571" s="8">
        <f t="shared" si="451"/>
        <v>2017</v>
      </c>
      <c r="F26571" t="s">
        <v>4300</v>
      </c>
      <c r="G26571" s="9">
        <v>68.5</v>
      </c>
      <c r="H26571" s="8">
        <v>24450</v>
      </c>
    </row>
    <row r="26572" spans="2:8" ht="15" customHeight="1" x14ac:dyDescent="0.4">
      <c r="B26572" t="s">
        <v>7</v>
      </c>
      <c r="C26572" t="s">
        <v>4211</v>
      </c>
      <c r="D26572" s="7">
        <f>DATE(2017,5,10)</f>
        <v>42865</v>
      </c>
      <c r="E26572" s="8">
        <f t="shared" si="451"/>
        <v>2017</v>
      </c>
      <c r="F26572" t="s">
        <v>4300</v>
      </c>
      <c r="G26572" s="9">
        <v>137</v>
      </c>
      <c r="H26572" s="8">
        <v>24878</v>
      </c>
    </row>
    <row r="26573" spans="2:8" ht="15" customHeight="1" x14ac:dyDescent="0.4">
      <c r="B26573" t="s">
        <v>7</v>
      </c>
      <c r="C26573" t="s">
        <v>4211</v>
      </c>
      <c r="D26573" s="7">
        <f>DATE(2017,9,19)</f>
        <v>42997</v>
      </c>
      <c r="E26573" s="8">
        <f t="shared" si="451"/>
        <v>2017</v>
      </c>
      <c r="F26573" t="s">
        <v>4300</v>
      </c>
      <c r="G26573" s="9">
        <v>2835</v>
      </c>
      <c r="H26573" s="8">
        <v>25551</v>
      </c>
    </row>
    <row r="26574" spans="2:8" ht="15" customHeight="1" x14ac:dyDescent="0.4">
      <c r="B26574" t="s">
        <v>7</v>
      </c>
      <c r="C26574" t="s">
        <v>4211</v>
      </c>
      <c r="D26574" s="7">
        <f>DATE(2018,2,15)</f>
        <v>43146</v>
      </c>
      <c r="E26574" s="8">
        <f t="shared" si="451"/>
        <v>2018</v>
      </c>
      <c r="F26574" t="s">
        <v>4300</v>
      </c>
      <c r="G26574" s="9">
        <v>385.9</v>
      </c>
      <c r="H26574" s="8">
        <v>26465</v>
      </c>
    </row>
    <row r="26575" spans="2:8" ht="15" customHeight="1" x14ac:dyDescent="0.4">
      <c r="B26575" t="s">
        <v>7</v>
      </c>
      <c r="C26575" t="s">
        <v>4211</v>
      </c>
      <c r="D26575" s="7">
        <f>DATE(2018,2,23)</f>
        <v>43154</v>
      </c>
      <c r="E26575" s="8">
        <f t="shared" si="451"/>
        <v>2018</v>
      </c>
      <c r="F26575" t="s">
        <v>4300</v>
      </c>
      <c r="G26575" s="9">
        <v>385.9</v>
      </c>
      <c r="H26575" s="8">
        <v>26528</v>
      </c>
    </row>
    <row r="26576" spans="2:8" ht="15" customHeight="1" x14ac:dyDescent="0.4">
      <c r="B26576" t="s">
        <v>7</v>
      </c>
      <c r="C26576" t="s">
        <v>4211</v>
      </c>
      <c r="D26576" s="7">
        <f>DATE(2018,3,26)</f>
        <v>43185</v>
      </c>
      <c r="E26576" s="8">
        <f t="shared" si="451"/>
        <v>2018</v>
      </c>
      <c r="F26576" t="s">
        <v>4300</v>
      </c>
      <c r="G26576" s="9">
        <v>609.79999999999995</v>
      </c>
      <c r="H26576" s="8">
        <v>26667</v>
      </c>
    </row>
    <row r="26577" spans="2:8" ht="15" customHeight="1" x14ac:dyDescent="0.4">
      <c r="B26577" t="s">
        <v>7</v>
      </c>
      <c r="C26577" t="s">
        <v>4211</v>
      </c>
      <c r="D26577" s="7">
        <f>DATE(2018,5,17)</f>
        <v>43237</v>
      </c>
      <c r="E26577" s="8">
        <f t="shared" si="451"/>
        <v>2018</v>
      </c>
      <c r="F26577" t="s">
        <v>4300</v>
      </c>
      <c r="G26577" s="9">
        <v>835</v>
      </c>
      <c r="H26577" s="8">
        <v>27063</v>
      </c>
    </row>
    <row r="26578" spans="2:8" ht="15" customHeight="1" x14ac:dyDescent="0.4">
      <c r="B26578" t="s">
        <v>7</v>
      </c>
      <c r="C26578" t="s">
        <v>4211</v>
      </c>
      <c r="D26578" s="7">
        <f>DATE(2018,5,30)</f>
        <v>43250</v>
      </c>
      <c r="E26578" s="8">
        <f t="shared" si="451"/>
        <v>2018</v>
      </c>
      <c r="F26578" t="s">
        <v>4300</v>
      </c>
      <c r="G26578" s="9">
        <v>2392</v>
      </c>
      <c r="H26578" s="8">
        <v>27127</v>
      </c>
    </row>
    <row r="26579" spans="2:8" ht="15" customHeight="1" x14ac:dyDescent="0.4">
      <c r="B26579" t="s">
        <v>7</v>
      </c>
      <c r="C26579" t="s">
        <v>4211</v>
      </c>
      <c r="D26579" s="7">
        <f>DATE(2018,6,6)</f>
        <v>43257</v>
      </c>
      <c r="E26579" s="8">
        <f t="shared" si="451"/>
        <v>2018</v>
      </c>
      <c r="F26579" t="s">
        <v>4300</v>
      </c>
      <c r="G26579" s="9">
        <v>830</v>
      </c>
      <c r="H26579" s="8">
        <v>27173</v>
      </c>
    </row>
    <row r="26580" spans="2:8" ht="15" customHeight="1" x14ac:dyDescent="0.4">
      <c r="B26580" t="s">
        <v>7</v>
      </c>
      <c r="C26580" t="s">
        <v>4211</v>
      </c>
      <c r="D26580" s="7">
        <f>DATE(2018,6,21)</f>
        <v>43272</v>
      </c>
      <c r="E26580" s="8">
        <f t="shared" si="451"/>
        <v>2018</v>
      </c>
      <c r="F26580" t="s">
        <v>4300</v>
      </c>
      <c r="G26580" s="9">
        <v>521</v>
      </c>
      <c r="H26580" s="8">
        <v>27212</v>
      </c>
    </row>
    <row r="26581" spans="2:8" ht="15" customHeight="1" x14ac:dyDescent="0.4">
      <c r="B26581" t="s">
        <v>7</v>
      </c>
      <c r="C26581" t="s">
        <v>4211</v>
      </c>
      <c r="D26581" s="7">
        <f>DATE(2018,6,25)</f>
        <v>43276</v>
      </c>
      <c r="E26581" s="8">
        <f t="shared" si="451"/>
        <v>2018</v>
      </c>
      <c r="F26581" t="s">
        <v>4300</v>
      </c>
      <c r="G26581" s="9">
        <v>294</v>
      </c>
      <c r="H26581" s="8">
        <v>27278</v>
      </c>
    </row>
    <row r="26582" spans="2:8" ht="15" customHeight="1" x14ac:dyDescent="0.4">
      <c r="B26582" t="s">
        <v>7</v>
      </c>
      <c r="C26582" t="s">
        <v>4211</v>
      </c>
      <c r="D26582" s="7">
        <f>DATE(2018,10,23)</f>
        <v>43396</v>
      </c>
      <c r="E26582" s="8">
        <f t="shared" si="451"/>
        <v>2018</v>
      </c>
      <c r="F26582" t="s">
        <v>4300</v>
      </c>
      <c r="G26582" s="9">
        <v>189</v>
      </c>
      <c r="H26582" s="8">
        <v>27858</v>
      </c>
    </row>
    <row r="26583" spans="2:8" ht="15" customHeight="1" x14ac:dyDescent="0.4">
      <c r="B26583" t="s">
        <v>7</v>
      </c>
      <c r="C26583" t="s">
        <v>4211</v>
      </c>
      <c r="D26583" s="7">
        <f>DATE(2018,11,21)</f>
        <v>43425</v>
      </c>
      <c r="E26583" s="8">
        <f t="shared" si="451"/>
        <v>2018</v>
      </c>
      <c r="F26583" t="s">
        <v>4300</v>
      </c>
      <c r="G26583" s="9">
        <v>1670</v>
      </c>
      <c r="H26583" s="8">
        <v>28011</v>
      </c>
    </row>
    <row r="26584" spans="2:8" ht="15" customHeight="1" x14ac:dyDescent="0.4">
      <c r="B26584" t="s">
        <v>7</v>
      </c>
      <c r="C26584" t="s">
        <v>4211</v>
      </c>
      <c r="D26584" s="7">
        <f>DATE(2018,11,21)</f>
        <v>43425</v>
      </c>
      <c r="E26584" s="8">
        <f t="shared" si="451"/>
        <v>2018</v>
      </c>
      <c r="F26584" t="s">
        <v>4300</v>
      </c>
      <c r="G26584" s="9">
        <v>835</v>
      </c>
      <c r="H26584" s="8">
        <v>28012</v>
      </c>
    </row>
    <row r="26585" spans="2:8" ht="15" customHeight="1" x14ac:dyDescent="0.4">
      <c r="B26585" t="s">
        <v>7</v>
      </c>
      <c r="C26585" t="s">
        <v>4211</v>
      </c>
      <c r="D26585" s="7">
        <f>DATE(2018,11,21)</f>
        <v>43425</v>
      </c>
      <c r="E26585" s="8">
        <f t="shared" si="451"/>
        <v>2018</v>
      </c>
      <c r="F26585" t="s">
        <v>4300</v>
      </c>
      <c r="G26585" s="9">
        <v>417.5</v>
      </c>
      <c r="H26585" s="8">
        <v>28003</v>
      </c>
    </row>
    <row r="26586" spans="2:8" ht="15" customHeight="1" x14ac:dyDescent="0.4">
      <c r="B26586" t="s">
        <v>7</v>
      </c>
      <c r="C26586" t="s">
        <v>4211</v>
      </c>
      <c r="D26586" s="7">
        <f>DATE(2018,12,18)</f>
        <v>43452</v>
      </c>
      <c r="E26586" s="8">
        <f t="shared" si="451"/>
        <v>2018</v>
      </c>
      <c r="F26586" t="s">
        <v>4300</v>
      </c>
      <c r="G26586" s="9">
        <v>417.5</v>
      </c>
      <c r="H26586" s="8">
        <v>28121</v>
      </c>
    </row>
    <row r="26587" spans="2:8" ht="15" customHeight="1" x14ac:dyDescent="0.4">
      <c r="B26587" t="s">
        <v>7</v>
      </c>
      <c r="C26587" t="s">
        <v>4211</v>
      </c>
      <c r="D26587" s="7">
        <f>DATE(2019,1,16)</f>
        <v>43481</v>
      </c>
      <c r="E26587" s="8">
        <f t="shared" si="451"/>
        <v>2019</v>
      </c>
      <c r="F26587" t="s">
        <v>4300</v>
      </c>
      <c r="G26587" s="9">
        <v>417.5</v>
      </c>
      <c r="H26587" s="8">
        <v>28176</v>
      </c>
    </row>
    <row r="26588" spans="2:8" ht="15" customHeight="1" x14ac:dyDescent="0.4">
      <c r="B26588" t="s">
        <v>7</v>
      </c>
      <c r="C26588" t="s">
        <v>4211</v>
      </c>
      <c r="D26588" s="7">
        <f>DATE(2019,2,25)</f>
        <v>43521</v>
      </c>
      <c r="E26588" s="8">
        <f t="shared" si="451"/>
        <v>2019</v>
      </c>
      <c r="F26588" t="s">
        <v>4300</v>
      </c>
      <c r="G26588" s="9">
        <v>896.8</v>
      </c>
      <c r="H26588" s="8">
        <v>28467</v>
      </c>
    </row>
    <row r="26589" spans="2:8" ht="15" customHeight="1" x14ac:dyDescent="0.4">
      <c r="B26589" s="3" t="s">
        <v>7</v>
      </c>
      <c r="C26589" s="3" t="s">
        <v>4211</v>
      </c>
      <c r="D26589" s="4">
        <f>DATE(2013,3,13)</f>
        <v>41346</v>
      </c>
      <c r="E26589" s="5">
        <f t="shared" si="451"/>
        <v>2013</v>
      </c>
      <c r="F26589" s="3" t="s">
        <v>4300</v>
      </c>
      <c r="G26589" s="6">
        <v>350.5</v>
      </c>
      <c r="H26589" s="5">
        <v>5490</v>
      </c>
    </row>
    <row r="26590" spans="2:8" ht="15" customHeight="1" x14ac:dyDescent="0.4">
      <c r="B26590" s="3" t="s">
        <v>7</v>
      </c>
      <c r="C26590" s="3" t="s">
        <v>4211</v>
      </c>
      <c r="D26590" s="4">
        <f>DATE(2013,4,15)</f>
        <v>41379</v>
      </c>
      <c r="E26590" s="5">
        <f t="shared" si="451"/>
        <v>2013</v>
      </c>
      <c r="F26590" s="3" t="s">
        <v>4300</v>
      </c>
      <c r="G26590" s="6">
        <v>189</v>
      </c>
      <c r="H26590" s="5">
        <v>5540</v>
      </c>
    </row>
    <row r="26591" spans="2:8" ht="15" customHeight="1" x14ac:dyDescent="0.4">
      <c r="B26591" s="3" t="s">
        <v>7</v>
      </c>
      <c r="C26591" s="3" t="s">
        <v>4211</v>
      </c>
      <c r="D26591" s="4">
        <f>DATE(2013,4,25)</f>
        <v>41389</v>
      </c>
      <c r="E26591" s="5">
        <f t="shared" si="451"/>
        <v>2013</v>
      </c>
      <c r="F26591" s="3" t="s">
        <v>4300</v>
      </c>
      <c r="G26591" s="6">
        <v>787.6</v>
      </c>
      <c r="H26591" s="5">
        <v>5545</v>
      </c>
    </row>
    <row r="26592" spans="2:8" ht="15" customHeight="1" x14ac:dyDescent="0.4">
      <c r="B26592" s="3" t="s">
        <v>7</v>
      </c>
      <c r="C26592" s="3" t="s">
        <v>4211</v>
      </c>
      <c r="D26592" s="4">
        <f>DATE(2013,11,11)</f>
        <v>41589</v>
      </c>
      <c r="E26592" s="5">
        <f t="shared" si="451"/>
        <v>2013</v>
      </c>
      <c r="F26592" s="3" t="s">
        <v>4300</v>
      </c>
      <c r="G26592" s="6">
        <v>78.8</v>
      </c>
      <c r="H26592" s="5">
        <v>5885</v>
      </c>
    </row>
    <row r="26593" spans="2:8" ht="15" customHeight="1" x14ac:dyDescent="0.4">
      <c r="B26593" s="3" t="s">
        <v>7</v>
      </c>
      <c r="C26593" s="3" t="s">
        <v>4211</v>
      </c>
      <c r="D26593" s="4">
        <f>DATE(2013,12,13)</f>
        <v>41621</v>
      </c>
      <c r="E26593" s="5">
        <f t="shared" si="451"/>
        <v>2013</v>
      </c>
      <c r="F26593" s="3" t="s">
        <v>4300</v>
      </c>
      <c r="G26593" s="6">
        <v>765</v>
      </c>
      <c r="H26593" s="5">
        <v>5939</v>
      </c>
    </row>
    <row r="26594" spans="2:8" ht="15" customHeight="1" x14ac:dyDescent="0.4">
      <c r="B26594" s="3" t="s">
        <v>7</v>
      </c>
      <c r="C26594" s="3" t="s">
        <v>4211</v>
      </c>
      <c r="D26594" s="4">
        <f>DATE(2014,2,25)</f>
        <v>41695</v>
      </c>
      <c r="E26594" s="5">
        <f t="shared" si="451"/>
        <v>2014</v>
      </c>
      <c r="F26594" s="3" t="s">
        <v>4300</v>
      </c>
      <c r="G26594" s="6">
        <v>146</v>
      </c>
      <c r="H26594" s="5">
        <v>6057</v>
      </c>
    </row>
    <row r="26595" spans="2:8" ht="15" customHeight="1" x14ac:dyDescent="0.4">
      <c r="B26595" s="3" t="s">
        <v>7</v>
      </c>
      <c r="C26595" s="3" t="s">
        <v>4211</v>
      </c>
      <c r="D26595" s="4">
        <f>DATE(2014,3,20)</f>
        <v>41718</v>
      </c>
      <c r="E26595" s="5">
        <f t="shared" si="451"/>
        <v>2014</v>
      </c>
      <c r="F26595" s="3" t="s">
        <v>4300</v>
      </c>
      <c r="G26595" s="6">
        <v>797.6</v>
      </c>
      <c r="H26595" s="5">
        <v>6116</v>
      </c>
    </row>
    <row r="26596" spans="2:8" ht="15" customHeight="1" x14ac:dyDescent="0.4">
      <c r="B26596" s="3" t="s">
        <v>7</v>
      </c>
      <c r="C26596" s="3" t="s">
        <v>4211</v>
      </c>
      <c r="D26596" s="4">
        <f>DATE(2014,6,12)</f>
        <v>41802</v>
      </c>
      <c r="E26596" s="5">
        <f t="shared" si="451"/>
        <v>2014</v>
      </c>
      <c r="F26596" s="3" t="s">
        <v>4300</v>
      </c>
      <c r="G26596" s="6">
        <v>2278</v>
      </c>
      <c r="H26596" s="5">
        <v>6240</v>
      </c>
    </row>
    <row r="26597" spans="2:8" ht="15" customHeight="1" x14ac:dyDescent="0.4">
      <c r="B26597" s="3" t="s">
        <v>7</v>
      </c>
      <c r="C26597" s="3" t="s">
        <v>4211</v>
      </c>
      <c r="D26597" s="4">
        <f>DATE(2014,11,5)</f>
        <v>41948</v>
      </c>
      <c r="E26597" s="5">
        <f t="shared" si="451"/>
        <v>2014</v>
      </c>
      <c r="F26597" s="3" t="s">
        <v>4300</v>
      </c>
      <c r="G26597" s="6">
        <v>198</v>
      </c>
      <c r="H26597" s="5">
        <v>6457</v>
      </c>
    </row>
    <row r="26598" spans="2:8" ht="15" customHeight="1" x14ac:dyDescent="0.4">
      <c r="B26598" t="s">
        <v>7</v>
      </c>
      <c r="C26598" t="s">
        <v>4301</v>
      </c>
      <c r="D26598" s="7">
        <f>DATE(2016,2,17)</f>
        <v>42417</v>
      </c>
      <c r="E26598" s="8">
        <f t="shared" si="451"/>
        <v>2016</v>
      </c>
      <c r="F26598" t="s">
        <v>4302</v>
      </c>
      <c r="G26598" s="9">
        <v>2069</v>
      </c>
      <c r="H26598" s="8">
        <v>22137</v>
      </c>
    </row>
    <row r="26599" spans="2:8" ht="15" customHeight="1" x14ac:dyDescent="0.4">
      <c r="B26599" t="s">
        <v>7</v>
      </c>
      <c r="C26599" t="s">
        <v>4301</v>
      </c>
      <c r="D26599" s="7">
        <f>DATE(2016,6,1)</f>
        <v>42522</v>
      </c>
      <c r="E26599" s="8">
        <f t="shared" si="451"/>
        <v>2016</v>
      </c>
      <c r="F26599" t="s">
        <v>4302</v>
      </c>
      <c r="G26599" s="9">
        <v>2070</v>
      </c>
      <c r="H26599" s="8">
        <v>22918</v>
      </c>
    </row>
    <row r="26600" spans="2:8" ht="15" customHeight="1" x14ac:dyDescent="0.4">
      <c r="B26600" t="s">
        <v>7</v>
      </c>
      <c r="C26600" t="s">
        <v>4301</v>
      </c>
      <c r="D26600" s="7">
        <f>DATE(2016,7,27)</f>
        <v>42578</v>
      </c>
      <c r="E26600" s="8">
        <f t="shared" si="451"/>
        <v>2016</v>
      </c>
      <c r="F26600" t="s">
        <v>4302</v>
      </c>
      <c r="G26600" s="9">
        <v>2069</v>
      </c>
      <c r="H26600" s="8">
        <v>23136</v>
      </c>
    </row>
    <row r="26601" spans="2:8" ht="15" customHeight="1" x14ac:dyDescent="0.4">
      <c r="B26601" t="s">
        <v>7</v>
      </c>
      <c r="C26601" t="s">
        <v>4301</v>
      </c>
      <c r="D26601" s="7">
        <f>DATE(2016,10,7)</f>
        <v>42650</v>
      </c>
      <c r="E26601" s="8">
        <f t="shared" si="451"/>
        <v>2016</v>
      </c>
      <c r="F26601" t="s">
        <v>4302</v>
      </c>
      <c r="G26601" s="9">
        <v>1132.67</v>
      </c>
      <c r="H26601" s="8">
        <v>23555</v>
      </c>
    </row>
    <row r="26602" spans="2:8" ht="15" customHeight="1" x14ac:dyDescent="0.4">
      <c r="B26602" t="s">
        <v>7</v>
      </c>
      <c r="C26602" t="s">
        <v>4301</v>
      </c>
      <c r="D26602" s="7">
        <f>DATE(2016,10,12)</f>
        <v>42655</v>
      </c>
      <c r="E26602" s="8">
        <f t="shared" si="451"/>
        <v>2016</v>
      </c>
      <c r="F26602" t="s">
        <v>4302</v>
      </c>
      <c r="G26602" s="9">
        <v>1041</v>
      </c>
      <c r="H26602" s="8">
        <v>23611</v>
      </c>
    </row>
    <row r="26603" spans="2:8" ht="15" customHeight="1" x14ac:dyDescent="0.4">
      <c r="B26603" t="s">
        <v>7</v>
      </c>
      <c r="C26603" t="s">
        <v>4301</v>
      </c>
      <c r="D26603" s="7">
        <f>DATE(2017,5,10)</f>
        <v>42865</v>
      </c>
      <c r="E26603" s="8">
        <f t="shared" si="451"/>
        <v>2017</v>
      </c>
      <c r="F26603" t="s">
        <v>4302</v>
      </c>
      <c r="G26603" s="9">
        <v>512.5</v>
      </c>
      <c r="H26603" s="8">
        <v>24892</v>
      </c>
    </row>
    <row r="26604" spans="2:8" ht="15" customHeight="1" x14ac:dyDescent="0.4">
      <c r="B26604" t="s">
        <v>7</v>
      </c>
      <c r="C26604" t="s">
        <v>4301</v>
      </c>
      <c r="D26604" s="7">
        <f>DATE(2017,9,22)</f>
        <v>43000</v>
      </c>
      <c r="E26604" s="8">
        <f t="shared" si="451"/>
        <v>2017</v>
      </c>
      <c r="F26604" t="s">
        <v>4302</v>
      </c>
      <c r="G26604" s="9">
        <v>1537.5</v>
      </c>
      <c r="H26604" s="8">
        <v>25615</v>
      </c>
    </row>
    <row r="26605" spans="2:8" ht="15" customHeight="1" x14ac:dyDescent="0.4">
      <c r="B26605" t="s">
        <v>7</v>
      </c>
      <c r="C26605" t="s">
        <v>4301</v>
      </c>
      <c r="D26605" s="7">
        <f>DATE(2017,10,16)</f>
        <v>43024</v>
      </c>
      <c r="E26605" s="8">
        <f t="shared" si="451"/>
        <v>2017</v>
      </c>
      <c r="F26605" t="s">
        <v>4302</v>
      </c>
      <c r="G26605" s="9">
        <v>512.5</v>
      </c>
      <c r="H26605" s="8">
        <v>25719</v>
      </c>
    </row>
    <row r="26606" spans="2:8" ht="15" customHeight="1" x14ac:dyDescent="0.4">
      <c r="B26606" t="s">
        <v>7</v>
      </c>
      <c r="C26606" t="s">
        <v>4301</v>
      </c>
      <c r="D26606" s="7">
        <f>DATE(2018,3,20)</f>
        <v>43179</v>
      </c>
      <c r="E26606" s="8">
        <f t="shared" si="451"/>
        <v>2018</v>
      </c>
      <c r="F26606" t="s">
        <v>4302</v>
      </c>
      <c r="G26606" s="9">
        <v>1025</v>
      </c>
      <c r="H26606" s="8">
        <v>26683</v>
      </c>
    </row>
    <row r="26607" spans="2:8" ht="15" customHeight="1" x14ac:dyDescent="0.4">
      <c r="B26607" t="s">
        <v>7</v>
      </c>
      <c r="C26607" t="s">
        <v>4301</v>
      </c>
      <c r="D26607" s="7">
        <f>DATE(2018,3,26)</f>
        <v>43185</v>
      </c>
      <c r="E26607" s="8">
        <f t="shared" si="451"/>
        <v>2018</v>
      </c>
      <c r="F26607" t="s">
        <v>4302</v>
      </c>
      <c r="G26607" s="9">
        <v>1042</v>
      </c>
      <c r="H26607" s="8">
        <v>26701</v>
      </c>
    </row>
    <row r="26608" spans="2:8" ht="15" customHeight="1" x14ac:dyDescent="0.4">
      <c r="B26608" t="s">
        <v>7</v>
      </c>
      <c r="C26608" t="s">
        <v>4301</v>
      </c>
      <c r="D26608" s="7">
        <f>DATE(2018,8,24)</f>
        <v>43336</v>
      </c>
      <c r="E26608" s="8">
        <f t="shared" si="451"/>
        <v>2018</v>
      </c>
      <c r="F26608" t="s">
        <v>4302</v>
      </c>
      <c r="G26608" s="9">
        <v>1025</v>
      </c>
      <c r="H26608" s="8">
        <v>27505</v>
      </c>
    </row>
    <row r="26609" spans="2:8" ht="15" customHeight="1" x14ac:dyDescent="0.4">
      <c r="B26609" t="s">
        <v>7</v>
      </c>
      <c r="C26609" t="s">
        <v>4301</v>
      </c>
      <c r="D26609" s="7">
        <f>DATE(2018,10,26)</f>
        <v>43399</v>
      </c>
      <c r="E26609" s="8">
        <f t="shared" si="451"/>
        <v>2018</v>
      </c>
      <c r="F26609" t="s">
        <v>4302</v>
      </c>
      <c r="G26609" s="9">
        <v>512.5</v>
      </c>
      <c r="H26609" s="8">
        <v>27867</v>
      </c>
    </row>
    <row r="26610" spans="2:8" ht="15" customHeight="1" x14ac:dyDescent="0.4">
      <c r="B26610" t="s">
        <v>7</v>
      </c>
      <c r="C26610" t="s">
        <v>4301</v>
      </c>
      <c r="D26610" s="7">
        <f>DATE(2018,11,27)</f>
        <v>43431</v>
      </c>
      <c r="E26610" s="8">
        <f t="shared" si="451"/>
        <v>2018</v>
      </c>
      <c r="F26610" t="s">
        <v>4302</v>
      </c>
      <c r="G26610" s="9">
        <v>1025</v>
      </c>
      <c r="H26610" s="8">
        <v>28033</v>
      </c>
    </row>
    <row r="26611" spans="2:8" ht="15" customHeight="1" x14ac:dyDescent="0.4">
      <c r="B26611" t="s">
        <v>7</v>
      </c>
      <c r="C26611" t="s">
        <v>4301</v>
      </c>
      <c r="D26611" s="7">
        <f>DATE(2019,3,4)</f>
        <v>43528</v>
      </c>
      <c r="E26611" s="8">
        <f t="shared" si="451"/>
        <v>2019</v>
      </c>
      <c r="F26611" t="s">
        <v>4302</v>
      </c>
      <c r="G26611" s="9">
        <v>512.5</v>
      </c>
      <c r="H26611" s="8">
        <v>28330</v>
      </c>
    </row>
    <row r="26612" spans="2:8" ht="15" customHeight="1" x14ac:dyDescent="0.4">
      <c r="B26612" t="s">
        <v>7</v>
      </c>
      <c r="C26612" t="s">
        <v>4301</v>
      </c>
      <c r="D26612" s="7">
        <f>DATE(2019,3,26)</f>
        <v>43550</v>
      </c>
      <c r="E26612" s="8">
        <f t="shared" si="451"/>
        <v>2019</v>
      </c>
      <c r="F26612" t="s">
        <v>4302</v>
      </c>
      <c r="G26612" s="9">
        <v>630</v>
      </c>
      <c r="H26612" s="8">
        <v>28665</v>
      </c>
    </row>
    <row r="26613" spans="2:8" ht="15" customHeight="1" x14ac:dyDescent="0.4">
      <c r="B26613" t="s">
        <v>7</v>
      </c>
      <c r="C26613" t="s">
        <v>4301</v>
      </c>
      <c r="D26613" s="7">
        <f>DATE(2019,4,9)</f>
        <v>43564</v>
      </c>
      <c r="E26613" s="8">
        <f t="shared" si="451"/>
        <v>2019</v>
      </c>
      <c r="F26613" t="s">
        <v>4302</v>
      </c>
      <c r="G26613" s="9">
        <v>2149.39</v>
      </c>
      <c r="H26613" s="8">
        <v>28795</v>
      </c>
    </row>
    <row r="26614" spans="2:8" ht="15" customHeight="1" x14ac:dyDescent="0.4">
      <c r="B26614" t="s">
        <v>7</v>
      </c>
      <c r="C26614" t="s">
        <v>4301</v>
      </c>
      <c r="D26614" s="7">
        <f>DATE(2019,5,17)</f>
        <v>43602</v>
      </c>
      <c r="E26614" s="8">
        <f t="shared" si="451"/>
        <v>2019</v>
      </c>
      <c r="F26614" t="s">
        <v>4302</v>
      </c>
      <c r="G26614" s="9">
        <v>3075</v>
      </c>
      <c r="H26614" s="8">
        <v>29001</v>
      </c>
    </row>
    <row r="26615" spans="2:8" ht="15" customHeight="1" x14ac:dyDescent="0.4">
      <c r="B26615" s="3" t="s">
        <v>7</v>
      </c>
      <c r="C26615" s="3" t="s">
        <v>4301</v>
      </c>
      <c r="D26615" s="4">
        <f>DATE(2014,10,10)</f>
        <v>41922</v>
      </c>
      <c r="E26615" s="5">
        <f t="shared" si="451"/>
        <v>2014</v>
      </c>
      <c r="F26615" s="3" t="s">
        <v>4302</v>
      </c>
      <c r="G26615" s="6">
        <v>336.7</v>
      </c>
      <c r="H26615" s="5">
        <v>20482</v>
      </c>
    </row>
    <row r="26616" spans="2:8" ht="15" customHeight="1" x14ac:dyDescent="0.4">
      <c r="B26616" s="3" t="s">
        <v>7</v>
      </c>
      <c r="C26616" s="3" t="s">
        <v>4211</v>
      </c>
      <c r="D26616" s="4">
        <f>DATE(2011,4,19)</f>
        <v>40652</v>
      </c>
      <c r="E26616" s="5">
        <f t="shared" si="451"/>
        <v>2011</v>
      </c>
      <c r="F26616" s="3" t="s">
        <v>4303</v>
      </c>
      <c r="G26616" s="6">
        <v>137</v>
      </c>
      <c r="H26616" s="5">
        <v>4405</v>
      </c>
    </row>
    <row r="26617" spans="2:8" ht="15" customHeight="1" x14ac:dyDescent="0.4">
      <c r="B26617" t="s">
        <v>7</v>
      </c>
      <c r="C26617" t="s">
        <v>4304</v>
      </c>
      <c r="D26617" s="7">
        <f>DATE(2009,4,21)</f>
        <v>39924</v>
      </c>
      <c r="E26617" s="8">
        <f t="shared" si="451"/>
        <v>2009</v>
      </c>
      <c r="F26617" t="s">
        <v>4305</v>
      </c>
      <c r="G26617" s="9">
        <v>3738.99</v>
      </c>
      <c r="H26617" s="8">
        <v>8575</v>
      </c>
    </row>
    <row r="26618" spans="2:8" ht="15" customHeight="1" x14ac:dyDescent="0.4">
      <c r="B26618" t="s">
        <v>7</v>
      </c>
      <c r="C26618" t="s">
        <v>4306</v>
      </c>
      <c r="D26618" s="7">
        <f>DATE(2015,11,13)</f>
        <v>42321</v>
      </c>
      <c r="E26618" s="8">
        <f t="shared" si="451"/>
        <v>2015</v>
      </c>
      <c r="F26618" t="s">
        <v>4307</v>
      </c>
      <c r="G26618" s="9">
        <v>245981.22</v>
      </c>
      <c r="H26618" s="8">
        <v>20891</v>
      </c>
    </row>
    <row r="26619" spans="2:8" ht="15" customHeight="1" x14ac:dyDescent="0.4">
      <c r="B26619" t="s">
        <v>7</v>
      </c>
      <c r="C26619" t="s">
        <v>4306</v>
      </c>
      <c r="D26619" s="7">
        <f>DATE(2017,10,19)</f>
        <v>43027</v>
      </c>
      <c r="E26619" s="8">
        <f t="shared" si="451"/>
        <v>2017</v>
      </c>
      <c r="F26619" t="s">
        <v>4307</v>
      </c>
      <c r="G26619" s="9">
        <v>267980.34999999998</v>
      </c>
      <c r="H26619" s="8">
        <v>24608</v>
      </c>
    </row>
    <row r="26620" spans="2:8" ht="15" customHeight="1" x14ac:dyDescent="0.4">
      <c r="B26620" t="s">
        <v>7</v>
      </c>
      <c r="C26620" t="s">
        <v>4306</v>
      </c>
      <c r="D26620" s="7">
        <f>DATE(2015,12,3)</f>
        <v>42341</v>
      </c>
      <c r="E26620" s="8">
        <f t="shared" si="451"/>
        <v>2015</v>
      </c>
      <c r="F26620" t="s">
        <v>4307</v>
      </c>
      <c r="G26620" s="9">
        <v>30821.98</v>
      </c>
      <c r="H26620" s="8">
        <v>20761</v>
      </c>
    </row>
    <row r="26621" spans="2:8" ht="15" customHeight="1" x14ac:dyDescent="0.4">
      <c r="B26621" t="s">
        <v>7</v>
      </c>
      <c r="C26621" t="s">
        <v>4306</v>
      </c>
      <c r="D26621" s="7">
        <f>DATE(2016,7,5)</f>
        <v>42556</v>
      </c>
      <c r="E26621" s="8">
        <f t="shared" si="451"/>
        <v>2016</v>
      </c>
      <c r="F26621" t="s">
        <v>4307</v>
      </c>
      <c r="G26621" s="9">
        <v>10436.43</v>
      </c>
      <c r="H26621" s="8">
        <v>22670</v>
      </c>
    </row>
    <row r="26622" spans="2:8" ht="15" customHeight="1" x14ac:dyDescent="0.4">
      <c r="B26622" t="s">
        <v>7</v>
      </c>
      <c r="C26622" t="s">
        <v>4306</v>
      </c>
      <c r="D26622" s="7">
        <f>DATE(2017,10,9)</f>
        <v>43017</v>
      </c>
      <c r="E26622" s="8">
        <f t="shared" si="451"/>
        <v>2017</v>
      </c>
      <c r="F26622" t="s">
        <v>4307</v>
      </c>
      <c r="G26622" s="9">
        <v>37084.370000000003</v>
      </c>
      <c r="H26622" s="8">
        <v>25405</v>
      </c>
    </row>
    <row r="26623" spans="2:8" ht="15" customHeight="1" x14ac:dyDescent="0.4">
      <c r="B26623" t="s">
        <v>7</v>
      </c>
      <c r="C26623" t="s">
        <v>4306</v>
      </c>
      <c r="D26623" s="7">
        <f>DATE(2015,12,1)</f>
        <v>42339</v>
      </c>
      <c r="E26623" s="8">
        <f t="shared" si="451"/>
        <v>2015</v>
      </c>
      <c r="F26623" t="s">
        <v>4307</v>
      </c>
      <c r="G26623" s="9">
        <v>177.5</v>
      </c>
      <c r="H26623" s="8">
        <v>21601</v>
      </c>
    </row>
    <row r="26624" spans="2:8" ht="15" customHeight="1" x14ac:dyDescent="0.4">
      <c r="B26624" t="s">
        <v>7</v>
      </c>
      <c r="C26624" t="s">
        <v>4306</v>
      </c>
      <c r="D26624" s="7">
        <f>DATE(2016,11,1)</f>
        <v>42675</v>
      </c>
      <c r="E26624" s="8">
        <f t="shared" si="451"/>
        <v>2016</v>
      </c>
      <c r="F26624" t="s">
        <v>4307</v>
      </c>
      <c r="G26624" s="9">
        <v>265.31</v>
      </c>
      <c r="H26624" s="8">
        <v>23239</v>
      </c>
    </row>
    <row r="26625" spans="2:8" ht="15" customHeight="1" x14ac:dyDescent="0.4">
      <c r="B26625" t="s">
        <v>7</v>
      </c>
      <c r="C26625" t="s">
        <v>4306</v>
      </c>
      <c r="D26625" s="7">
        <f>DATE(2016,11,2)</f>
        <v>42676</v>
      </c>
      <c r="E26625" s="8">
        <f t="shared" si="451"/>
        <v>2016</v>
      </c>
      <c r="F26625" t="s">
        <v>4307</v>
      </c>
      <c r="G26625" s="9">
        <v>1613</v>
      </c>
      <c r="H26625" s="8">
        <v>23729</v>
      </c>
    </row>
    <row r="26626" spans="2:8" ht="15" customHeight="1" x14ac:dyDescent="0.4">
      <c r="B26626" t="s">
        <v>7</v>
      </c>
      <c r="C26626" t="s">
        <v>4306</v>
      </c>
      <c r="D26626" s="7">
        <f>DATE(2017,12,14)</f>
        <v>43083</v>
      </c>
      <c r="E26626" s="8">
        <f t="shared" si="451"/>
        <v>2017</v>
      </c>
      <c r="F26626" t="s">
        <v>4307</v>
      </c>
      <c r="G26626" s="9">
        <v>4129.07</v>
      </c>
      <c r="H26626" s="8">
        <v>25973</v>
      </c>
    </row>
    <row r="26627" spans="2:8" ht="15" customHeight="1" x14ac:dyDescent="0.4">
      <c r="B26627" t="s">
        <v>7</v>
      </c>
      <c r="C26627" t="s">
        <v>4306</v>
      </c>
      <c r="D26627" s="7">
        <f>DATE(2015,12,3)</f>
        <v>42341</v>
      </c>
      <c r="E26627" s="8">
        <f t="shared" ref="E26627:E26690" si="452">YEAR(D26627)</f>
        <v>2015</v>
      </c>
      <c r="F26627" t="s">
        <v>4307</v>
      </c>
      <c r="G26627" s="9">
        <v>101470.53</v>
      </c>
      <c r="H26627" s="8">
        <v>20762</v>
      </c>
    </row>
    <row r="26628" spans="2:8" ht="15" customHeight="1" x14ac:dyDescent="0.4">
      <c r="B26628" t="s">
        <v>7</v>
      </c>
      <c r="C26628" t="s">
        <v>4306</v>
      </c>
      <c r="D26628" s="7">
        <f>DATE(2017,10,9)</f>
        <v>43017</v>
      </c>
      <c r="E26628" s="8">
        <f t="shared" si="452"/>
        <v>2017</v>
      </c>
      <c r="F26628" t="s">
        <v>4307</v>
      </c>
      <c r="G26628" s="9">
        <v>117534.46</v>
      </c>
      <c r="H26628" s="8">
        <v>24538</v>
      </c>
    </row>
    <row r="26629" spans="2:8" ht="15" customHeight="1" x14ac:dyDescent="0.4">
      <c r="B26629" t="s">
        <v>7</v>
      </c>
      <c r="C26629" t="s">
        <v>4306</v>
      </c>
      <c r="D26629" s="7">
        <f>DATE(2004,2,18)</f>
        <v>38035</v>
      </c>
      <c r="E26629" s="8">
        <f t="shared" si="452"/>
        <v>2004</v>
      </c>
      <c r="F26629" t="s">
        <v>4307</v>
      </c>
      <c r="G26629" s="9">
        <v>4500</v>
      </c>
      <c r="H26629" s="8">
        <v>1394</v>
      </c>
    </row>
    <row r="26630" spans="2:8" ht="15" customHeight="1" x14ac:dyDescent="0.4">
      <c r="B26630" t="s">
        <v>7</v>
      </c>
      <c r="C26630" t="s">
        <v>4306</v>
      </c>
      <c r="D26630" s="7">
        <f>DATE(2004,6,28)</f>
        <v>38166</v>
      </c>
      <c r="E26630" s="8">
        <f t="shared" si="452"/>
        <v>2004</v>
      </c>
      <c r="F26630" t="s">
        <v>4307</v>
      </c>
      <c r="G26630" s="9">
        <v>535</v>
      </c>
      <c r="H26630" s="8">
        <v>1917</v>
      </c>
    </row>
    <row r="26631" spans="2:8" ht="15" customHeight="1" x14ac:dyDescent="0.4">
      <c r="B26631" t="s">
        <v>7</v>
      </c>
      <c r="C26631" t="s">
        <v>4306</v>
      </c>
      <c r="D26631" s="7">
        <f>DATE(2011,11,17)</f>
        <v>40864</v>
      </c>
      <c r="E26631" s="8">
        <f t="shared" si="452"/>
        <v>2011</v>
      </c>
      <c r="F26631" t="s">
        <v>4307</v>
      </c>
      <c r="G26631" s="9">
        <v>19000</v>
      </c>
      <c r="H26631" s="8">
        <v>11013</v>
      </c>
    </row>
    <row r="26632" spans="2:8" ht="15" customHeight="1" x14ac:dyDescent="0.4">
      <c r="B26632" t="s">
        <v>7</v>
      </c>
      <c r="C26632" t="s">
        <v>4306</v>
      </c>
      <c r="D26632" s="7">
        <f>DATE(2013,12,9)</f>
        <v>41617</v>
      </c>
      <c r="E26632" s="8">
        <f t="shared" si="452"/>
        <v>2013</v>
      </c>
      <c r="F26632" t="s">
        <v>4307</v>
      </c>
      <c r="G26632" s="9">
        <v>108257.5</v>
      </c>
      <c r="H26632" s="8">
        <v>12514</v>
      </c>
    </row>
    <row r="26633" spans="2:8" ht="15" customHeight="1" x14ac:dyDescent="0.4">
      <c r="B26633" t="s">
        <v>7</v>
      </c>
      <c r="C26633" t="s">
        <v>4306</v>
      </c>
      <c r="D26633" s="7">
        <f>DATE(2013,12,9)</f>
        <v>41617</v>
      </c>
      <c r="E26633" s="8">
        <f t="shared" si="452"/>
        <v>2013</v>
      </c>
      <c r="F26633" t="s">
        <v>4307</v>
      </c>
      <c r="G26633" s="9">
        <v>30800</v>
      </c>
      <c r="H26633" s="8">
        <v>12670</v>
      </c>
    </row>
    <row r="26634" spans="2:8" ht="15" customHeight="1" x14ac:dyDescent="0.4">
      <c r="B26634" t="s">
        <v>7</v>
      </c>
      <c r="C26634" t="s">
        <v>4306</v>
      </c>
      <c r="D26634" s="7">
        <f>DATE(2014,1,2)</f>
        <v>41641</v>
      </c>
      <c r="E26634" s="8">
        <f t="shared" si="452"/>
        <v>2014</v>
      </c>
      <c r="F26634" t="s">
        <v>4307</v>
      </c>
      <c r="G26634" s="9">
        <v>5700</v>
      </c>
      <c r="H26634" s="8">
        <v>12798</v>
      </c>
    </row>
    <row r="26635" spans="2:8" ht="15" customHeight="1" x14ac:dyDescent="0.4">
      <c r="B26635" t="s">
        <v>7</v>
      </c>
      <c r="C26635" t="s">
        <v>4306</v>
      </c>
      <c r="D26635" s="7">
        <f>DATE(2003,10,17)</f>
        <v>37911</v>
      </c>
      <c r="E26635" s="8">
        <f t="shared" si="452"/>
        <v>2003</v>
      </c>
      <c r="F26635" t="s">
        <v>4307</v>
      </c>
      <c r="G26635" s="9">
        <v>6420.03</v>
      </c>
      <c r="H26635" s="8">
        <v>934</v>
      </c>
    </row>
    <row r="26636" spans="2:8" ht="15" customHeight="1" x14ac:dyDescent="0.4">
      <c r="B26636" t="s">
        <v>7</v>
      </c>
      <c r="C26636" t="s">
        <v>4306</v>
      </c>
      <c r="D26636" s="7">
        <f>DATE(2003,11,26)</f>
        <v>37951</v>
      </c>
      <c r="E26636" s="8">
        <f t="shared" si="452"/>
        <v>2003</v>
      </c>
      <c r="F26636" t="s">
        <v>4307</v>
      </c>
      <c r="G26636" s="9">
        <v>156785.81</v>
      </c>
      <c r="H26636" s="8">
        <v>948</v>
      </c>
    </row>
    <row r="26637" spans="2:8" ht="15" customHeight="1" x14ac:dyDescent="0.4">
      <c r="B26637" t="s">
        <v>7</v>
      </c>
      <c r="C26637" t="s">
        <v>4306</v>
      </c>
      <c r="D26637" s="7">
        <f>DATE(2004,6,15)</f>
        <v>38153</v>
      </c>
      <c r="E26637" s="8">
        <f t="shared" si="452"/>
        <v>2004</v>
      </c>
      <c r="F26637" t="s">
        <v>4307</v>
      </c>
      <c r="G26637" s="9">
        <v>1754.63</v>
      </c>
      <c r="H26637" s="8">
        <v>1898</v>
      </c>
    </row>
    <row r="26638" spans="2:8" ht="15" customHeight="1" x14ac:dyDescent="0.4">
      <c r="B26638" t="s">
        <v>7</v>
      </c>
      <c r="C26638" t="s">
        <v>4306</v>
      </c>
      <c r="D26638" s="7">
        <f>DATE(2005,10,31)</f>
        <v>38656</v>
      </c>
      <c r="E26638" s="8">
        <f t="shared" si="452"/>
        <v>2005</v>
      </c>
      <c r="F26638" t="s">
        <v>4307</v>
      </c>
      <c r="G26638" s="9">
        <v>177870.07</v>
      </c>
      <c r="H26638" s="8">
        <v>3486</v>
      </c>
    </row>
    <row r="26639" spans="2:8" ht="15" customHeight="1" x14ac:dyDescent="0.4">
      <c r="B26639" t="s">
        <v>7</v>
      </c>
      <c r="C26639" t="s">
        <v>4306</v>
      </c>
      <c r="D26639" s="7">
        <f>DATE(2007,12,1)</f>
        <v>39417</v>
      </c>
      <c r="E26639" s="8">
        <f t="shared" si="452"/>
        <v>2007</v>
      </c>
      <c r="F26639" t="s">
        <v>4307</v>
      </c>
      <c r="G26639" s="9">
        <v>188730.18</v>
      </c>
      <c r="H26639" s="8">
        <v>6365</v>
      </c>
    </row>
    <row r="26640" spans="2:8" ht="15" customHeight="1" x14ac:dyDescent="0.4">
      <c r="B26640" t="s">
        <v>7</v>
      </c>
      <c r="C26640" t="s">
        <v>4306</v>
      </c>
      <c r="D26640" s="7">
        <f>DATE(2009,5,6)</f>
        <v>39939</v>
      </c>
      <c r="E26640" s="8">
        <f t="shared" si="452"/>
        <v>2009</v>
      </c>
      <c r="F26640" t="s">
        <v>4307</v>
      </c>
      <c r="G26640" s="9">
        <v>2122.9699999999998</v>
      </c>
      <c r="H26640" s="8">
        <v>8669</v>
      </c>
    </row>
    <row r="26641" spans="2:8" ht="15" customHeight="1" x14ac:dyDescent="0.4">
      <c r="B26641" t="s">
        <v>7</v>
      </c>
      <c r="C26641" t="s">
        <v>4306</v>
      </c>
      <c r="D26641" s="7">
        <f>DATE(2009,12,21)</f>
        <v>40168</v>
      </c>
      <c r="E26641" s="8">
        <f t="shared" si="452"/>
        <v>2009</v>
      </c>
      <c r="F26641" t="s">
        <v>4307</v>
      </c>
      <c r="G26641" s="9">
        <v>189799.69</v>
      </c>
      <c r="H26641" s="8">
        <v>9120</v>
      </c>
    </row>
    <row r="26642" spans="2:8" ht="15" customHeight="1" x14ac:dyDescent="0.4">
      <c r="B26642" t="s">
        <v>7</v>
      </c>
      <c r="C26642" t="s">
        <v>4306</v>
      </c>
      <c r="D26642" s="7">
        <f>DATE(2010,3,31)</f>
        <v>40268</v>
      </c>
      <c r="E26642" s="8">
        <f t="shared" si="452"/>
        <v>2010</v>
      </c>
      <c r="F26642" t="s">
        <v>4307</v>
      </c>
      <c r="G26642" s="9">
        <v>2231.13</v>
      </c>
      <c r="H26642" s="8">
        <v>9696</v>
      </c>
    </row>
    <row r="26643" spans="2:8" ht="15" customHeight="1" x14ac:dyDescent="0.4">
      <c r="B26643" t="s">
        <v>7</v>
      </c>
      <c r="C26643" t="s">
        <v>4306</v>
      </c>
      <c r="D26643" s="7">
        <f>DATE(2011,11,22)</f>
        <v>40869</v>
      </c>
      <c r="E26643" s="8">
        <f t="shared" si="452"/>
        <v>2011</v>
      </c>
      <c r="F26643" t="s">
        <v>4307</v>
      </c>
      <c r="G26643" s="9">
        <v>257515.04</v>
      </c>
      <c r="H26643" s="8">
        <v>10908</v>
      </c>
    </row>
    <row r="26644" spans="2:8" ht="15" customHeight="1" x14ac:dyDescent="0.4">
      <c r="B26644" t="s">
        <v>7</v>
      </c>
      <c r="C26644" t="s">
        <v>4306</v>
      </c>
      <c r="D26644" s="7">
        <f>DATE(2013,11,15)</f>
        <v>41593</v>
      </c>
      <c r="E26644" s="8">
        <f t="shared" si="452"/>
        <v>2013</v>
      </c>
      <c r="F26644" t="s">
        <v>4307</v>
      </c>
      <c r="G26644" s="9">
        <v>201645.07</v>
      </c>
      <c r="H26644" s="8">
        <v>12672</v>
      </c>
    </row>
    <row r="26645" spans="2:8" ht="15" customHeight="1" x14ac:dyDescent="0.4">
      <c r="B26645" t="s">
        <v>7</v>
      </c>
      <c r="C26645" t="s">
        <v>4306</v>
      </c>
      <c r="D26645" s="7">
        <f>DATE(2011,7,15)</f>
        <v>40739</v>
      </c>
      <c r="E26645" s="8">
        <f t="shared" si="452"/>
        <v>2011</v>
      </c>
      <c r="F26645" t="s">
        <v>4307</v>
      </c>
      <c r="G26645" s="9">
        <v>2409.84</v>
      </c>
      <c r="H26645" s="8">
        <v>10872</v>
      </c>
    </row>
    <row r="26646" spans="2:8" ht="15" customHeight="1" x14ac:dyDescent="0.4">
      <c r="B26646" t="s">
        <v>7</v>
      </c>
      <c r="C26646" t="s">
        <v>4306</v>
      </c>
      <c r="D26646" s="7">
        <f>DATE(2011,9,15)</f>
        <v>40801</v>
      </c>
      <c r="E26646" s="8">
        <f t="shared" si="452"/>
        <v>2011</v>
      </c>
      <c r="F26646" t="s">
        <v>4307</v>
      </c>
      <c r="G26646" s="9">
        <v>8806.07</v>
      </c>
      <c r="H26646" s="8">
        <v>10926</v>
      </c>
    </row>
    <row r="26647" spans="2:8" ht="15" customHeight="1" x14ac:dyDescent="0.4">
      <c r="B26647" s="3" t="s">
        <v>7</v>
      </c>
      <c r="C26647" s="3" t="s">
        <v>4306</v>
      </c>
      <c r="D26647" s="4">
        <f>DATE(2005,10,17)</f>
        <v>38642</v>
      </c>
      <c r="E26647" s="5">
        <f t="shared" si="452"/>
        <v>2005</v>
      </c>
      <c r="F26647" s="3" t="s">
        <v>4307</v>
      </c>
      <c r="G26647" s="6">
        <v>41231.14</v>
      </c>
      <c r="H26647" s="5">
        <v>5446</v>
      </c>
    </row>
    <row r="26648" spans="2:8" ht="15" customHeight="1" x14ac:dyDescent="0.4">
      <c r="B26648" s="3" t="s">
        <v>7</v>
      </c>
      <c r="C26648" s="3" t="s">
        <v>4306</v>
      </c>
      <c r="D26648" s="4">
        <f>DATE(2010,10,21)</f>
        <v>40472</v>
      </c>
      <c r="E26648" s="5">
        <f t="shared" si="452"/>
        <v>2010</v>
      </c>
      <c r="F26648" s="3" t="s">
        <v>4307</v>
      </c>
      <c r="G26648" s="6">
        <v>583</v>
      </c>
      <c r="H26648" s="5">
        <v>14653</v>
      </c>
    </row>
    <row r="26649" spans="2:8" ht="15" customHeight="1" x14ac:dyDescent="0.4">
      <c r="B26649" s="3" t="s">
        <v>7</v>
      </c>
      <c r="C26649" s="3" t="s">
        <v>4306</v>
      </c>
      <c r="D26649" s="4">
        <f>DATE(2011,9,14)</f>
        <v>40800</v>
      </c>
      <c r="E26649" s="5">
        <f t="shared" si="452"/>
        <v>2011</v>
      </c>
      <c r="F26649" s="3" t="s">
        <v>4307</v>
      </c>
      <c r="G26649" s="6">
        <v>1839</v>
      </c>
      <c r="H26649" s="5">
        <v>15956</v>
      </c>
    </row>
    <row r="26650" spans="2:8" ht="15" customHeight="1" x14ac:dyDescent="0.4">
      <c r="B26650" s="3" t="s">
        <v>7</v>
      </c>
      <c r="C26650" s="3" t="s">
        <v>4306</v>
      </c>
      <c r="D26650" s="4">
        <f>DATE(2012,2,9)</f>
        <v>40948</v>
      </c>
      <c r="E26650" s="5">
        <f t="shared" si="452"/>
        <v>2012</v>
      </c>
      <c r="F26650" s="3" t="s">
        <v>4307</v>
      </c>
      <c r="G26650" s="6">
        <v>110</v>
      </c>
      <c r="H26650" s="5">
        <v>16524</v>
      </c>
    </row>
    <row r="26651" spans="2:8" ht="15" customHeight="1" x14ac:dyDescent="0.4">
      <c r="B26651" s="3" t="s">
        <v>7</v>
      </c>
      <c r="C26651" s="3" t="s">
        <v>4306</v>
      </c>
      <c r="D26651" s="4">
        <f>DATE(2012,5,14)</f>
        <v>41043</v>
      </c>
      <c r="E26651" s="5">
        <f t="shared" si="452"/>
        <v>2012</v>
      </c>
      <c r="F26651" s="3" t="s">
        <v>4307</v>
      </c>
      <c r="G26651" s="6">
        <v>1209</v>
      </c>
      <c r="H26651" s="5">
        <v>17117</v>
      </c>
    </row>
    <row r="26652" spans="2:8" ht="15" customHeight="1" x14ac:dyDescent="0.4">
      <c r="B26652" s="3" t="s">
        <v>7</v>
      </c>
      <c r="C26652" s="3" t="s">
        <v>4306</v>
      </c>
      <c r="D26652" s="4">
        <f>DATE(2014,3,13)</f>
        <v>41711</v>
      </c>
      <c r="E26652" s="5">
        <f t="shared" si="452"/>
        <v>2014</v>
      </c>
      <c r="F26652" s="3" t="s">
        <v>4307</v>
      </c>
      <c r="G26652" s="6">
        <v>176.5</v>
      </c>
      <c r="H26652" s="5">
        <v>19504</v>
      </c>
    </row>
    <row r="26653" spans="2:8" ht="15" customHeight="1" x14ac:dyDescent="0.4">
      <c r="B26653" t="s">
        <v>7</v>
      </c>
      <c r="C26653" t="s">
        <v>4308</v>
      </c>
      <c r="D26653" s="7">
        <f>DATE(2013,7,9)</f>
        <v>41464</v>
      </c>
      <c r="E26653" s="8">
        <f t="shared" si="452"/>
        <v>2013</v>
      </c>
      <c r="F26653" t="s">
        <v>4309</v>
      </c>
      <c r="G26653" s="9">
        <v>8105.95</v>
      </c>
      <c r="H26653" s="8">
        <v>12531</v>
      </c>
    </row>
    <row r="26654" spans="2:8" ht="15" customHeight="1" x14ac:dyDescent="0.4">
      <c r="B26654" t="s">
        <v>7</v>
      </c>
      <c r="C26654" t="s">
        <v>4308</v>
      </c>
      <c r="D26654" s="7">
        <f>DATE(2014,9,16)</f>
        <v>41898</v>
      </c>
      <c r="E26654" s="8">
        <f t="shared" si="452"/>
        <v>2014</v>
      </c>
      <c r="F26654" t="s">
        <v>4309</v>
      </c>
      <c r="G26654" s="9">
        <v>7783.23</v>
      </c>
      <c r="H26654" s="8">
        <v>13470</v>
      </c>
    </row>
    <row r="26655" spans="2:8" ht="15" customHeight="1" x14ac:dyDescent="0.4">
      <c r="B26655" s="3" t="s">
        <v>7</v>
      </c>
      <c r="C26655" s="3" t="s">
        <v>4310</v>
      </c>
      <c r="D26655" s="4">
        <f>DATE(2004,4,21)</f>
        <v>38098</v>
      </c>
      <c r="E26655" s="5">
        <f t="shared" si="452"/>
        <v>2004</v>
      </c>
      <c r="F26655" s="3" t="s">
        <v>4311</v>
      </c>
      <c r="G26655" s="6">
        <v>31.9</v>
      </c>
      <c r="H26655" s="5">
        <v>2701</v>
      </c>
    </row>
    <row r="26656" spans="2:8" ht="15" customHeight="1" x14ac:dyDescent="0.4">
      <c r="B26656" s="3" t="s">
        <v>7</v>
      </c>
      <c r="C26656" s="3" t="s">
        <v>4310</v>
      </c>
      <c r="D26656" s="4">
        <f>DATE(2004,12,20)</f>
        <v>38341</v>
      </c>
      <c r="E26656" s="5">
        <f t="shared" si="452"/>
        <v>2004</v>
      </c>
      <c r="F26656" s="3" t="s">
        <v>4311</v>
      </c>
      <c r="G26656" s="6">
        <v>95.7</v>
      </c>
      <c r="H26656" s="5">
        <v>3842</v>
      </c>
    </row>
    <row r="26657" spans="2:8" ht="15" customHeight="1" x14ac:dyDescent="0.4">
      <c r="B26657" s="3" t="s">
        <v>7</v>
      </c>
      <c r="C26657" s="3" t="s">
        <v>4310</v>
      </c>
      <c r="D26657" s="4">
        <f>DATE(2005,2,18)</f>
        <v>38401</v>
      </c>
      <c r="E26657" s="5">
        <f t="shared" si="452"/>
        <v>2005</v>
      </c>
      <c r="F26657" s="3" t="s">
        <v>4311</v>
      </c>
      <c r="G26657" s="6">
        <v>533.79999999999995</v>
      </c>
      <c r="H26657" s="5">
        <v>4125</v>
      </c>
    </row>
    <row r="26658" spans="2:8" ht="15" customHeight="1" x14ac:dyDescent="0.4">
      <c r="B26658" s="3" t="s">
        <v>7</v>
      </c>
      <c r="C26658" s="3" t="s">
        <v>4310</v>
      </c>
      <c r="D26658" s="4">
        <f>DATE(2007,4,25)</f>
        <v>39197</v>
      </c>
      <c r="E26658" s="5">
        <f t="shared" si="452"/>
        <v>2007</v>
      </c>
      <c r="F26658" s="3" t="s">
        <v>4311</v>
      </c>
      <c r="G26658" s="6">
        <v>303.60000000000002</v>
      </c>
      <c r="H26658" s="5">
        <v>8428</v>
      </c>
    </row>
    <row r="26659" spans="2:8" ht="15" customHeight="1" x14ac:dyDescent="0.4">
      <c r="B26659" s="3" t="s">
        <v>7</v>
      </c>
      <c r="C26659" s="3" t="s">
        <v>843</v>
      </c>
      <c r="D26659" s="4">
        <f>DATE(2009,9,9)</f>
        <v>40065</v>
      </c>
      <c r="E26659" s="5">
        <f t="shared" si="452"/>
        <v>2009</v>
      </c>
      <c r="F26659" s="3" t="s">
        <v>4312</v>
      </c>
      <c r="G26659" s="6">
        <v>119405</v>
      </c>
      <c r="H26659" s="5">
        <v>3528</v>
      </c>
    </row>
    <row r="26660" spans="2:8" ht="15" customHeight="1" x14ac:dyDescent="0.4">
      <c r="B26660" s="3" t="s">
        <v>7</v>
      </c>
      <c r="C26660" s="3" t="s">
        <v>843</v>
      </c>
      <c r="D26660" s="4">
        <f>DATE(2009,9,4)</f>
        <v>40060</v>
      </c>
      <c r="E26660" s="5">
        <f t="shared" si="452"/>
        <v>2009</v>
      </c>
      <c r="F26660" s="3" t="s">
        <v>4312</v>
      </c>
      <c r="G26660" s="6">
        <v>2718.58</v>
      </c>
      <c r="H26660" s="5">
        <v>3537</v>
      </c>
    </row>
    <row r="26661" spans="2:8" ht="15" customHeight="1" x14ac:dyDescent="0.4">
      <c r="B26661" t="s">
        <v>7</v>
      </c>
      <c r="C26661" t="s">
        <v>4313</v>
      </c>
      <c r="D26661" s="7">
        <f>DATE(2007,11,1)</f>
        <v>39387</v>
      </c>
      <c r="E26661" s="8">
        <f t="shared" si="452"/>
        <v>2007</v>
      </c>
      <c r="F26661" t="s">
        <v>4314</v>
      </c>
      <c r="G26661" s="9">
        <v>3777.33</v>
      </c>
      <c r="H26661" s="8">
        <v>6537</v>
      </c>
    </row>
    <row r="26662" spans="2:8" ht="15" customHeight="1" x14ac:dyDescent="0.4">
      <c r="B26662" t="s">
        <v>7</v>
      </c>
      <c r="C26662" t="s">
        <v>4313</v>
      </c>
      <c r="D26662" s="7">
        <f>DATE(2009,4,29)</f>
        <v>39932</v>
      </c>
      <c r="E26662" s="8">
        <f t="shared" si="452"/>
        <v>2009</v>
      </c>
      <c r="F26662" t="s">
        <v>4314</v>
      </c>
      <c r="G26662" s="9">
        <v>29235.15</v>
      </c>
      <c r="H26662" s="8">
        <v>8607</v>
      </c>
    </row>
    <row r="26663" spans="2:8" ht="15" customHeight="1" x14ac:dyDescent="0.4">
      <c r="B26663" t="s">
        <v>7</v>
      </c>
      <c r="C26663" t="s">
        <v>4313</v>
      </c>
      <c r="D26663" s="7">
        <f>DATE(2010,3,24)</f>
        <v>40261</v>
      </c>
      <c r="E26663" s="8">
        <f t="shared" si="452"/>
        <v>2010</v>
      </c>
      <c r="F26663" t="s">
        <v>4314</v>
      </c>
      <c r="G26663" s="9">
        <v>9795.2999999999993</v>
      </c>
      <c r="H26663" s="8">
        <v>9658</v>
      </c>
    </row>
    <row r="26664" spans="2:8" ht="15" customHeight="1" x14ac:dyDescent="0.4">
      <c r="B26664" t="s">
        <v>7</v>
      </c>
      <c r="C26664" t="s">
        <v>4313</v>
      </c>
      <c r="D26664" s="7">
        <f>DATE(2010,3,24)</f>
        <v>40261</v>
      </c>
      <c r="E26664" s="8">
        <f t="shared" si="452"/>
        <v>2010</v>
      </c>
      <c r="F26664" t="s">
        <v>4314</v>
      </c>
      <c r="G26664" s="9">
        <v>9795.2999999999993</v>
      </c>
      <c r="H26664" s="8">
        <v>9659</v>
      </c>
    </row>
    <row r="26665" spans="2:8" ht="15" customHeight="1" x14ac:dyDescent="0.4">
      <c r="B26665" t="s">
        <v>7</v>
      </c>
      <c r="C26665" t="s">
        <v>4313</v>
      </c>
      <c r="D26665" s="7">
        <f>DATE(2010,3,24)</f>
        <v>40261</v>
      </c>
      <c r="E26665" s="8">
        <f t="shared" si="452"/>
        <v>2010</v>
      </c>
      <c r="F26665" t="s">
        <v>4314</v>
      </c>
      <c r="G26665" s="9">
        <v>9795.2999999999993</v>
      </c>
      <c r="H26665" s="8">
        <v>9660</v>
      </c>
    </row>
    <row r="26666" spans="2:8" ht="15" customHeight="1" x14ac:dyDescent="0.4">
      <c r="B26666" t="s">
        <v>7</v>
      </c>
      <c r="C26666" t="s">
        <v>4313</v>
      </c>
      <c r="D26666" s="7">
        <f>DATE(2011,4,21)</f>
        <v>40654</v>
      </c>
      <c r="E26666" s="8">
        <f t="shared" si="452"/>
        <v>2011</v>
      </c>
      <c r="F26666" t="s">
        <v>4314</v>
      </c>
      <c r="G26666" s="9">
        <v>9636.94</v>
      </c>
      <c r="H26666" s="8">
        <v>10609</v>
      </c>
    </row>
    <row r="26667" spans="2:8" ht="15" customHeight="1" x14ac:dyDescent="0.4">
      <c r="B26667" t="s">
        <v>7</v>
      </c>
      <c r="C26667" t="s">
        <v>4313</v>
      </c>
      <c r="D26667" s="7">
        <f>DATE(2011,4,21)</f>
        <v>40654</v>
      </c>
      <c r="E26667" s="8">
        <f t="shared" si="452"/>
        <v>2011</v>
      </c>
      <c r="F26667" t="s">
        <v>4314</v>
      </c>
      <c r="G26667" s="9">
        <v>9636.94</v>
      </c>
      <c r="H26667" s="8">
        <v>10628</v>
      </c>
    </row>
    <row r="26668" spans="2:8" ht="15" customHeight="1" x14ac:dyDescent="0.4">
      <c r="B26668" t="s">
        <v>7</v>
      </c>
      <c r="C26668" t="s">
        <v>4313</v>
      </c>
      <c r="D26668" s="7">
        <f>DATE(2011,4,21)</f>
        <v>40654</v>
      </c>
      <c r="E26668" s="8">
        <f t="shared" si="452"/>
        <v>2011</v>
      </c>
      <c r="F26668" t="s">
        <v>4314</v>
      </c>
      <c r="G26668" s="9">
        <v>9636.93</v>
      </c>
      <c r="H26668" s="8">
        <v>10629</v>
      </c>
    </row>
    <row r="26669" spans="2:8" ht="15" customHeight="1" x14ac:dyDescent="0.4">
      <c r="B26669" t="s">
        <v>7</v>
      </c>
      <c r="C26669" t="s">
        <v>4313</v>
      </c>
      <c r="D26669" s="7">
        <f>DATE(2010,5,14)</f>
        <v>40312</v>
      </c>
      <c r="E26669" s="8">
        <f t="shared" si="452"/>
        <v>2010</v>
      </c>
      <c r="F26669" t="s">
        <v>4314</v>
      </c>
      <c r="G26669" s="9">
        <v>3409.43</v>
      </c>
      <c r="H26669" s="8">
        <v>9817</v>
      </c>
    </row>
    <row r="26670" spans="2:8" ht="15" customHeight="1" x14ac:dyDescent="0.4">
      <c r="B26670" t="s">
        <v>7</v>
      </c>
      <c r="C26670" t="s">
        <v>4313</v>
      </c>
      <c r="D26670" s="7">
        <f>DATE(2010,5,18)</f>
        <v>40316</v>
      </c>
      <c r="E26670" s="8">
        <f t="shared" si="452"/>
        <v>2010</v>
      </c>
      <c r="F26670" t="s">
        <v>4314</v>
      </c>
      <c r="G26670" s="9">
        <v>4056.78</v>
      </c>
      <c r="H26670" s="8">
        <v>9836</v>
      </c>
    </row>
    <row r="26671" spans="2:8" ht="15" customHeight="1" x14ac:dyDescent="0.4">
      <c r="B26671" t="s">
        <v>7</v>
      </c>
      <c r="C26671" t="s">
        <v>4313</v>
      </c>
      <c r="D26671" s="7">
        <f>DATE(2010,9,9)</f>
        <v>40430</v>
      </c>
      <c r="E26671" s="8">
        <f t="shared" si="452"/>
        <v>2010</v>
      </c>
      <c r="F26671" t="s">
        <v>4314</v>
      </c>
      <c r="G26671" s="9">
        <v>3152.35</v>
      </c>
      <c r="H26671" s="8">
        <v>9950</v>
      </c>
    </row>
    <row r="26672" spans="2:8" ht="15" customHeight="1" x14ac:dyDescent="0.4">
      <c r="B26672" t="s">
        <v>7</v>
      </c>
      <c r="C26672" t="s">
        <v>4313</v>
      </c>
      <c r="D26672" s="7">
        <f>DATE(2012,8,10)</f>
        <v>41131</v>
      </c>
      <c r="E26672" s="8">
        <f t="shared" si="452"/>
        <v>2012</v>
      </c>
      <c r="F26672" t="s">
        <v>4314</v>
      </c>
      <c r="G26672" s="9">
        <v>8275.35</v>
      </c>
      <c r="H26672" s="8">
        <v>11787</v>
      </c>
    </row>
    <row r="26673" spans="2:8" ht="15" customHeight="1" x14ac:dyDescent="0.4">
      <c r="B26673" t="s">
        <v>7</v>
      </c>
      <c r="C26673" t="s">
        <v>4313</v>
      </c>
      <c r="D26673" s="7">
        <f>DATE(2013,1,30)</f>
        <v>41304</v>
      </c>
      <c r="E26673" s="8">
        <f t="shared" si="452"/>
        <v>2013</v>
      </c>
      <c r="F26673" t="s">
        <v>4314</v>
      </c>
      <c r="G26673" s="9">
        <v>3556.42</v>
      </c>
      <c r="H26673" s="8">
        <v>12132</v>
      </c>
    </row>
    <row r="26674" spans="2:8" ht="15" customHeight="1" x14ac:dyDescent="0.4">
      <c r="B26674" t="s">
        <v>16</v>
      </c>
      <c r="C26674" t="s">
        <v>4313</v>
      </c>
      <c r="D26674" s="7">
        <f>DATE(2010,9,22)</f>
        <v>40443</v>
      </c>
      <c r="E26674" s="8">
        <f t="shared" si="452"/>
        <v>2010</v>
      </c>
      <c r="F26674" t="s">
        <v>4314</v>
      </c>
      <c r="G26674" s="9">
        <v>212</v>
      </c>
      <c r="H26674" s="8">
        <v>10157</v>
      </c>
    </row>
    <row r="26675" spans="2:8" ht="15" customHeight="1" x14ac:dyDescent="0.4">
      <c r="B26675" t="s">
        <v>16</v>
      </c>
      <c r="C26675" t="s">
        <v>4313</v>
      </c>
      <c r="D26675" s="7">
        <f>DATE(2010,9,22)</f>
        <v>40443</v>
      </c>
      <c r="E26675" s="8">
        <f t="shared" si="452"/>
        <v>2010</v>
      </c>
      <c r="F26675" t="s">
        <v>4314</v>
      </c>
      <c r="G26675" s="9">
        <v>480</v>
      </c>
      <c r="H26675" s="8">
        <v>10159</v>
      </c>
    </row>
    <row r="26676" spans="2:8" ht="15" customHeight="1" x14ac:dyDescent="0.4">
      <c r="B26676" t="s">
        <v>7</v>
      </c>
      <c r="C26676" t="s">
        <v>4313</v>
      </c>
      <c r="D26676" s="7">
        <f>DATE(2003,5,20)</f>
        <v>37761</v>
      </c>
      <c r="E26676" s="8">
        <f t="shared" si="452"/>
        <v>2003</v>
      </c>
      <c r="F26676" t="s">
        <v>4315</v>
      </c>
      <c r="G26676" s="9">
        <v>3611.58</v>
      </c>
      <c r="H26676" s="8">
        <v>605</v>
      </c>
    </row>
    <row r="26677" spans="2:8" ht="15" customHeight="1" x14ac:dyDescent="0.4">
      <c r="B26677" t="s">
        <v>7</v>
      </c>
      <c r="C26677" t="s">
        <v>4313</v>
      </c>
      <c r="D26677" s="7">
        <f>DATE(2003,5,2)</f>
        <v>37743</v>
      </c>
      <c r="E26677" s="8">
        <f t="shared" si="452"/>
        <v>2003</v>
      </c>
      <c r="F26677" t="s">
        <v>4315</v>
      </c>
      <c r="G26677" s="9">
        <v>7853.1</v>
      </c>
      <c r="H26677" s="8">
        <v>187</v>
      </c>
    </row>
    <row r="26678" spans="2:8" ht="15" customHeight="1" x14ac:dyDescent="0.4">
      <c r="B26678" t="s">
        <v>7</v>
      </c>
      <c r="C26678" t="s">
        <v>4313</v>
      </c>
      <c r="D26678" s="7">
        <f>DATE(2003,8,18)</f>
        <v>37851</v>
      </c>
      <c r="E26678" s="8">
        <f t="shared" si="452"/>
        <v>2003</v>
      </c>
      <c r="F26678" t="s">
        <v>4315</v>
      </c>
      <c r="G26678" s="9">
        <v>7853.1</v>
      </c>
      <c r="H26678" s="8">
        <v>809</v>
      </c>
    </row>
    <row r="26679" spans="2:8" ht="15" customHeight="1" x14ac:dyDescent="0.4">
      <c r="B26679" t="s">
        <v>7</v>
      </c>
      <c r="C26679" t="s">
        <v>4313</v>
      </c>
      <c r="D26679" s="7">
        <f>DATE(2003,10,27)</f>
        <v>37921</v>
      </c>
      <c r="E26679" s="8">
        <f t="shared" si="452"/>
        <v>2003</v>
      </c>
      <c r="F26679" t="s">
        <v>4315</v>
      </c>
      <c r="G26679" s="9">
        <v>2737.47</v>
      </c>
      <c r="H26679" s="8">
        <v>923</v>
      </c>
    </row>
    <row r="26680" spans="2:8" ht="15" customHeight="1" x14ac:dyDescent="0.4">
      <c r="B26680" t="s">
        <v>7</v>
      </c>
      <c r="C26680" t="s">
        <v>4313</v>
      </c>
      <c r="D26680" s="7">
        <f>DATE(2003,11,15)</f>
        <v>37940</v>
      </c>
      <c r="E26680" s="8">
        <f t="shared" si="452"/>
        <v>2003</v>
      </c>
      <c r="F26680" t="s">
        <v>4315</v>
      </c>
      <c r="G26680" s="9">
        <v>3456.01</v>
      </c>
      <c r="H26680" s="8">
        <v>1021</v>
      </c>
    </row>
    <row r="26681" spans="2:8" ht="15" customHeight="1" x14ac:dyDescent="0.4">
      <c r="B26681" t="s">
        <v>7</v>
      </c>
      <c r="C26681" t="s">
        <v>4313</v>
      </c>
      <c r="D26681" s="7">
        <f>DATE(2003,11,18)</f>
        <v>37943</v>
      </c>
      <c r="E26681" s="8">
        <f t="shared" si="452"/>
        <v>2003</v>
      </c>
      <c r="F26681" t="s">
        <v>4315</v>
      </c>
      <c r="G26681" s="9">
        <v>1771.36</v>
      </c>
      <c r="H26681" s="8">
        <v>1025</v>
      </c>
    </row>
    <row r="26682" spans="2:8" ht="15" customHeight="1" x14ac:dyDescent="0.4">
      <c r="B26682" t="s">
        <v>7</v>
      </c>
      <c r="C26682" t="s">
        <v>4313</v>
      </c>
      <c r="D26682" s="7">
        <f>DATE(2004,5,11)</f>
        <v>38118</v>
      </c>
      <c r="E26682" s="8">
        <f t="shared" si="452"/>
        <v>2004</v>
      </c>
      <c r="F26682" t="s">
        <v>4315</v>
      </c>
      <c r="G26682" s="9">
        <v>2136.2399999999998</v>
      </c>
      <c r="H26682" s="8">
        <v>1736</v>
      </c>
    </row>
    <row r="26683" spans="2:8" ht="15" customHeight="1" x14ac:dyDescent="0.4">
      <c r="B26683" t="s">
        <v>7</v>
      </c>
      <c r="C26683" t="s">
        <v>4313</v>
      </c>
      <c r="D26683" s="7">
        <f>DATE(2004,5,22)</f>
        <v>38129</v>
      </c>
      <c r="E26683" s="8">
        <f t="shared" si="452"/>
        <v>2004</v>
      </c>
      <c r="F26683" t="s">
        <v>4315</v>
      </c>
      <c r="G26683" s="9">
        <v>25609.3</v>
      </c>
      <c r="H26683" s="8">
        <v>1760</v>
      </c>
    </row>
    <row r="26684" spans="2:8" ht="15" customHeight="1" x14ac:dyDescent="0.4">
      <c r="B26684" t="s">
        <v>7</v>
      </c>
      <c r="C26684" t="s">
        <v>4313</v>
      </c>
      <c r="D26684" s="7">
        <f>DATE(2005,4,15)</f>
        <v>38457</v>
      </c>
      <c r="E26684" s="8">
        <f t="shared" si="452"/>
        <v>2005</v>
      </c>
      <c r="F26684" t="s">
        <v>4315</v>
      </c>
      <c r="G26684" s="9">
        <v>8971</v>
      </c>
      <c r="H26684" s="8">
        <v>2693</v>
      </c>
    </row>
    <row r="26685" spans="2:8" ht="15" customHeight="1" x14ac:dyDescent="0.4">
      <c r="B26685" t="s">
        <v>7</v>
      </c>
      <c r="C26685" t="s">
        <v>4313</v>
      </c>
      <c r="D26685" s="7">
        <f>DATE(2005,4,13)</f>
        <v>38455</v>
      </c>
      <c r="E26685" s="8">
        <f t="shared" si="452"/>
        <v>2005</v>
      </c>
      <c r="F26685" t="s">
        <v>4315</v>
      </c>
      <c r="G26685" s="9">
        <v>8971</v>
      </c>
      <c r="H26685" s="8">
        <v>3061</v>
      </c>
    </row>
    <row r="26686" spans="2:8" ht="15" customHeight="1" x14ac:dyDescent="0.4">
      <c r="B26686" t="s">
        <v>7</v>
      </c>
      <c r="C26686" t="s">
        <v>4313</v>
      </c>
      <c r="D26686" s="7">
        <f>DATE(2005,4,12)</f>
        <v>38454</v>
      </c>
      <c r="E26686" s="8">
        <f t="shared" si="452"/>
        <v>2005</v>
      </c>
      <c r="F26686" t="s">
        <v>4315</v>
      </c>
      <c r="G26686" s="9">
        <v>8971</v>
      </c>
      <c r="H26686" s="8">
        <v>3062</v>
      </c>
    </row>
    <row r="26687" spans="2:8" ht="15" customHeight="1" x14ac:dyDescent="0.4">
      <c r="B26687" t="s">
        <v>7</v>
      </c>
      <c r="C26687" t="s">
        <v>4313</v>
      </c>
      <c r="D26687" s="7">
        <f>DATE(2006,5,20)</f>
        <v>38857</v>
      </c>
      <c r="E26687" s="8">
        <f t="shared" si="452"/>
        <v>2006</v>
      </c>
      <c r="F26687" t="s">
        <v>4315</v>
      </c>
      <c r="G26687" s="9">
        <v>10432.81</v>
      </c>
      <c r="H26687" s="8">
        <v>4624</v>
      </c>
    </row>
    <row r="26688" spans="2:8" ht="15" customHeight="1" x14ac:dyDescent="0.4">
      <c r="B26688" t="s">
        <v>7</v>
      </c>
      <c r="C26688" t="s">
        <v>4313</v>
      </c>
      <c r="D26688" s="7">
        <f>DATE(2006,5,19)</f>
        <v>38856</v>
      </c>
      <c r="E26688" s="8">
        <f t="shared" si="452"/>
        <v>2006</v>
      </c>
      <c r="F26688" t="s">
        <v>4315</v>
      </c>
      <c r="G26688" s="9">
        <v>10476.530000000001</v>
      </c>
      <c r="H26688" s="8">
        <v>4625</v>
      </c>
    </row>
    <row r="26689" spans="2:8" ht="15" customHeight="1" x14ac:dyDescent="0.4">
      <c r="B26689" t="s">
        <v>7</v>
      </c>
      <c r="C26689" t="s">
        <v>4313</v>
      </c>
      <c r="D26689" s="7">
        <f>DATE(2006,5,20)</f>
        <v>38857</v>
      </c>
      <c r="E26689" s="8">
        <f t="shared" si="452"/>
        <v>2006</v>
      </c>
      <c r="F26689" t="s">
        <v>4315</v>
      </c>
      <c r="G26689" s="9">
        <v>10510.41</v>
      </c>
      <c r="H26689" s="8">
        <v>4477</v>
      </c>
    </row>
    <row r="26690" spans="2:8" ht="15" customHeight="1" x14ac:dyDescent="0.4">
      <c r="B26690" t="s">
        <v>7</v>
      </c>
      <c r="C26690" t="s">
        <v>4313</v>
      </c>
      <c r="D26690" s="7">
        <f>DATE(2006,11,1)</f>
        <v>39022</v>
      </c>
      <c r="E26690" s="8">
        <f t="shared" si="452"/>
        <v>2006</v>
      </c>
      <c r="F26690" t="s">
        <v>4315</v>
      </c>
      <c r="G26690" s="9">
        <v>7928.57</v>
      </c>
      <c r="H26690" s="8">
        <v>5117</v>
      </c>
    </row>
    <row r="26691" spans="2:8" ht="15" customHeight="1" x14ac:dyDescent="0.4">
      <c r="B26691" t="s">
        <v>7</v>
      </c>
      <c r="C26691" t="s">
        <v>4313</v>
      </c>
      <c r="D26691" s="7">
        <f>DATE(2007,5,21)</f>
        <v>39223</v>
      </c>
      <c r="E26691" s="8">
        <f t="shared" ref="E26691:E26754" si="453">YEAR(D26691)</f>
        <v>2007</v>
      </c>
      <c r="F26691" t="s">
        <v>4315</v>
      </c>
      <c r="G26691" s="9">
        <v>9777.0499999999993</v>
      </c>
      <c r="H26691" s="8">
        <v>5860</v>
      </c>
    </row>
    <row r="26692" spans="2:8" ht="15" customHeight="1" x14ac:dyDescent="0.4">
      <c r="B26692" t="s">
        <v>7</v>
      </c>
      <c r="C26692" t="s">
        <v>4313</v>
      </c>
      <c r="D26692" s="7">
        <f>DATE(2007,5,21)</f>
        <v>39223</v>
      </c>
      <c r="E26692" s="8">
        <f t="shared" si="453"/>
        <v>2007</v>
      </c>
      <c r="F26692" t="s">
        <v>4315</v>
      </c>
      <c r="G26692" s="9">
        <v>9777.0499999999993</v>
      </c>
      <c r="H26692" s="8">
        <v>5978</v>
      </c>
    </row>
    <row r="26693" spans="2:8" ht="15" customHeight="1" x14ac:dyDescent="0.4">
      <c r="B26693" t="s">
        <v>7</v>
      </c>
      <c r="C26693" t="s">
        <v>4313</v>
      </c>
      <c r="D26693" s="7">
        <f>DATE(2007,5,21)</f>
        <v>39223</v>
      </c>
      <c r="E26693" s="8">
        <f t="shared" si="453"/>
        <v>2007</v>
      </c>
      <c r="F26693" t="s">
        <v>4315</v>
      </c>
      <c r="G26693" s="9">
        <v>9777.0499999999993</v>
      </c>
      <c r="H26693" s="8">
        <v>5979</v>
      </c>
    </row>
    <row r="26694" spans="2:8" ht="15" customHeight="1" x14ac:dyDescent="0.4">
      <c r="B26694" s="3" t="s">
        <v>7</v>
      </c>
      <c r="C26694" s="3" t="s">
        <v>4313</v>
      </c>
      <c r="D26694" s="4">
        <f>DATE(2003,5,9)</f>
        <v>37750</v>
      </c>
      <c r="E26694" s="5">
        <f t="shared" si="453"/>
        <v>2003</v>
      </c>
      <c r="F26694" s="3" t="s">
        <v>4315</v>
      </c>
      <c r="G26694" s="6">
        <v>420</v>
      </c>
      <c r="H26694" s="5">
        <v>905</v>
      </c>
    </row>
    <row r="26695" spans="2:8" ht="15" customHeight="1" x14ac:dyDescent="0.4">
      <c r="B26695" s="3" t="s">
        <v>7</v>
      </c>
      <c r="C26695" s="3" t="s">
        <v>4313</v>
      </c>
      <c r="D26695" s="4">
        <f>DATE(2003,9,5)</f>
        <v>37869</v>
      </c>
      <c r="E26695" s="5">
        <f t="shared" si="453"/>
        <v>2003</v>
      </c>
      <c r="F26695" s="3" t="s">
        <v>4315</v>
      </c>
      <c r="G26695" s="6">
        <v>806</v>
      </c>
      <c r="H26695" s="5">
        <v>1471</v>
      </c>
    </row>
    <row r="26696" spans="2:8" ht="15" customHeight="1" x14ac:dyDescent="0.4">
      <c r="B26696" s="3" t="s">
        <v>7</v>
      </c>
      <c r="C26696" s="3" t="s">
        <v>4313</v>
      </c>
      <c r="D26696" s="4">
        <f>DATE(2004,10,5)</f>
        <v>38265</v>
      </c>
      <c r="E26696" s="5">
        <f t="shared" si="453"/>
        <v>2004</v>
      </c>
      <c r="F26696" s="3" t="s">
        <v>4315</v>
      </c>
      <c r="G26696" s="6">
        <v>621.5</v>
      </c>
      <c r="H26696" s="5">
        <v>3523</v>
      </c>
    </row>
    <row r="26697" spans="2:8" ht="15" customHeight="1" x14ac:dyDescent="0.4">
      <c r="B26697" s="3" t="s">
        <v>7</v>
      </c>
      <c r="C26697" s="3" t="s">
        <v>4313</v>
      </c>
      <c r="D26697" s="4">
        <f>DATE(2006,3,20)</f>
        <v>38796</v>
      </c>
      <c r="E26697" s="5">
        <f t="shared" si="453"/>
        <v>2006</v>
      </c>
      <c r="F26697" s="3" t="s">
        <v>4315</v>
      </c>
      <c r="G26697" s="6">
        <v>891</v>
      </c>
      <c r="H26697" s="5">
        <v>6330</v>
      </c>
    </row>
    <row r="26698" spans="2:8" ht="15" customHeight="1" x14ac:dyDescent="0.4">
      <c r="B26698" t="s">
        <v>7</v>
      </c>
      <c r="C26698" t="s">
        <v>4316</v>
      </c>
      <c r="D26698" s="7">
        <f>DATE(2015,6,23)</f>
        <v>42178</v>
      </c>
      <c r="E26698" s="8">
        <f t="shared" si="453"/>
        <v>2015</v>
      </c>
      <c r="F26698" t="s">
        <v>4317</v>
      </c>
      <c r="G26698" s="9">
        <v>35484</v>
      </c>
      <c r="H26698" s="8">
        <v>20172</v>
      </c>
    </row>
    <row r="26699" spans="2:8" ht="15" customHeight="1" x14ac:dyDescent="0.4">
      <c r="B26699" t="s">
        <v>7</v>
      </c>
      <c r="C26699" t="s">
        <v>4316</v>
      </c>
      <c r="D26699" s="7">
        <f>DATE(2016,6,10)</f>
        <v>42531</v>
      </c>
      <c r="E26699" s="8">
        <f t="shared" si="453"/>
        <v>2016</v>
      </c>
      <c r="F26699" t="s">
        <v>4317</v>
      </c>
      <c r="G26699" s="9">
        <v>35500</v>
      </c>
      <c r="H26699" s="8">
        <v>22466</v>
      </c>
    </row>
    <row r="26700" spans="2:8" ht="15" customHeight="1" x14ac:dyDescent="0.4">
      <c r="B26700" t="s">
        <v>7</v>
      </c>
      <c r="C26700" t="s">
        <v>4316</v>
      </c>
      <c r="D26700" s="7">
        <f>DATE(2017,6,10)</f>
        <v>42896</v>
      </c>
      <c r="E26700" s="8">
        <f t="shared" si="453"/>
        <v>2017</v>
      </c>
      <c r="F26700" t="s">
        <v>4317</v>
      </c>
      <c r="G26700" s="9">
        <v>35500</v>
      </c>
      <c r="H26700" s="8">
        <v>24295</v>
      </c>
    </row>
    <row r="26701" spans="2:8" ht="15" customHeight="1" x14ac:dyDescent="0.4">
      <c r="B26701" t="s">
        <v>7</v>
      </c>
      <c r="C26701" t="s">
        <v>4316</v>
      </c>
      <c r="D26701" s="7">
        <f>DATE(2018,6,5)</f>
        <v>43256</v>
      </c>
      <c r="E26701" s="8">
        <f t="shared" si="453"/>
        <v>2018</v>
      </c>
      <c r="F26701" t="s">
        <v>4317</v>
      </c>
      <c r="G26701" s="9">
        <v>35750</v>
      </c>
      <c r="H26701" s="8">
        <v>26710</v>
      </c>
    </row>
    <row r="26702" spans="2:8" ht="15" customHeight="1" x14ac:dyDescent="0.4">
      <c r="B26702" t="s">
        <v>7</v>
      </c>
      <c r="C26702" t="s">
        <v>4316</v>
      </c>
      <c r="D26702" s="7">
        <f>DATE(2014,7,10)</f>
        <v>41830</v>
      </c>
      <c r="E26702" s="8">
        <f t="shared" si="453"/>
        <v>2014</v>
      </c>
      <c r="F26702" t="s">
        <v>4317</v>
      </c>
      <c r="G26702" s="9">
        <v>35484</v>
      </c>
      <c r="H26702" s="8">
        <v>13214</v>
      </c>
    </row>
    <row r="26703" spans="2:8" ht="15" customHeight="1" x14ac:dyDescent="0.4">
      <c r="B26703" t="s">
        <v>7</v>
      </c>
      <c r="C26703" t="s">
        <v>4318</v>
      </c>
      <c r="D26703" s="7">
        <f>DATE(2004,4,8)</f>
        <v>38085</v>
      </c>
      <c r="E26703" s="8">
        <f t="shared" si="453"/>
        <v>2004</v>
      </c>
      <c r="F26703" t="s">
        <v>4319</v>
      </c>
      <c r="G26703" s="9">
        <v>2705</v>
      </c>
      <c r="H26703" s="8">
        <v>1577</v>
      </c>
    </row>
    <row r="26704" spans="2:8" ht="15" customHeight="1" x14ac:dyDescent="0.4">
      <c r="B26704" t="s">
        <v>7</v>
      </c>
      <c r="C26704" t="s">
        <v>4318</v>
      </c>
      <c r="D26704" s="7">
        <f>DATE(2004,10,22)</f>
        <v>38282</v>
      </c>
      <c r="E26704" s="8">
        <f t="shared" si="453"/>
        <v>2004</v>
      </c>
      <c r="F26704" t="s">
        <v>4319</v>
      </c>
      <c r="G26704" s="9">
        <v>3191</v>
      </c>
      <c r="H26704" s="8">
        <v>2143</v>
      </c>
    </row>
    <row r="26705" spans="2:8" ht="15" customHeight="1" x14ac:dyDescent="0.4">
      <c r="B26705" t="s">
        <v>7</v>
      </c>
      <c r="C26705" t="s">
        <v>4320</v>
      </c>
      <c r="D26705" s="7">
        <f>DATE(2017,12,8)</f>
        <v>43077</v>
      </c>
      <c r="E26705" s="8">
        <f t="shared" si="453"/>
        <v>2017</v>
      </c>
      <c r="F26705" t="s">
        <v>4321</v>
      </c>
      <c r="G26705" s="9">
        <v>5412.15</v>
      </c>
      <c r="H26705" s="8">
        <v>26010</v>
      </c>
    </row>
    <row r="26706" spans="2:8" ht="15" customHeight="1" x14ac:dyDescent="0.4">
      <c r="B26706" t="s">
        <v>7</v>
      </c>
      <c r="C26706" t="s">
        <v>4320</v>
      </c>
      <c r="D26706" s="7">
        <f>DATE(2018,11,12)</f>
        <v>43416</v>
      </c>
      <c r="E26706" s="8">
        <f t="shared" si="453"/>
        <v>2018</v>
      </c>
      <c r="F26706" t="s">
        <v>4321</v>
      </c>
      <c r="G26706" s="9">
        <v>27654.639999999999</v>
      </c>
      <c r="H26706" s="8">
        <v>27831</v>
      </c>
    </row>
    <row r="26707" spans="2:8" ht="15" customHeight="1" x14ac:dyDescent="0.4">
      <c r="B26707" s="3" t="s">
        <v>7</v>
      </c>
      <c r="C26707" s="3" t="s">
        <v>4320</v>
      </c>
      <c r="D26707" s="4">
        <f>DATE(2012,10,25)</f>
        <v>41207</v>
      </c>
      <c r="E26707" s="5">
        <f t="shared" si="453"/>
        <v>2012</v>
      </c>
      <c r="F26707" s="3" t="s">
        <v>4321</v>
      </c>
      <c r="G26707" s="6">
        <v>9640.43</v>
      </c>
      <c r="H26707" s="5">
        <v>5248</v>
      </c>
    </row>
    <row r="26708" spans="2:8" ht="15" customHeight="1" x14ac:dyDescent="0.4">
      <c r="B26708" s="3" t="s">
        <v>7</v>
      </c>
      <c r="C26708" s="3" t="s">
        <v>4320</v>
      </c>
      <c r="D26708" s="4">
        <f>DATE(2012,11,20)</f>
        <v>41233</v>
      </c>
      <c r="E26708" s="5">
        <f t="shared" si="453"/>
        <v>2012</v>
      </c>
      <c r="F26708" s="3" t="s">
        <v>4321</v>
      </c>
      <c r="G26708" s="6">
        <v>9126.6200000000008</v>
      </c>
      <c r="H26708" s="5">
        <v>5318</v>
      </c>
    </row>
    <row r="26709" spans="2:8" ht="15" customHeight="1" x14ac:dyDescent="0.4">
      <c r="B26709" s="3" t="s">
        <v>7</v>
      </c>
      <c r="C26709" s="3" t="s">
        <v>4320</v>
      </c>
      <c r="D26709" s="4">
        <f>DATE(2012,5,8)</f>
        <v>41037</v>
      </c>
      <c r="E26709" s="5">
        <f t="shared" si="453"/>
        <v>2012</v>
      </c>
      <c r="F26709" s="3" t="s">
        <v>4321</v>
      </c>
      <c r="G26709" s="6">
        <v>49542.65</v>
      </c>
      <c r="H26709" s="5">
        <v>4885</v>
      </c>
    </row>
    <row r="26710" spans="2:8" ht="15" customHeight="1" x14ac:dyDescent="0.4">
      <c r="B26710" s="3" t="s">
        <v>7</v>
      </c>
      <c r="C26710" s="3" t="s">
        <v>4320</v>
      </c>
      <c r="D26710" s="4">
        <f>DATE(2014,11,10)</f>
        <v>41953</v>
      </c>
      <c r="E26710" s="5">
        <f t="shared" si="453"/>
        <v>2014</v>
      </c>
      <c r="F26710" s="3" t="s">
        <v>4321</v>
      </c>
      <c r="G26710" s="6">
        <v>53338.99</v>
      </c>
      <c r="H26710" s="5">
        <v>6328</v>
      </c>
    </row>
    <row r="26711" spans="2:8" ht="15" customHeight="1" x14ac:dyDescent="0.4">
      <c r="B26711" s="3" t="s">
        <v>7</v>
      </c>
      <c r="C26711" s="3" t="s">
        <v>4320</v>
      </c>
      <c r="D26711" s="4">
        <f>DATE(2014,11,10)</f>
        <v>41953</v>
      </c>
      <c r="E26711" s="5">
        <f t="shared" si="453"/>
        <v>2014</v>
      </c>
      <c r="F26711" s="3" t="s">
        <v>4321</v>
      </c>
      <c r="G26711" s="6">
        <v>52816.02</v>
      </c>
      <c r="H26711" s="5">
        <v>6523</v>
      </c>
    </row>
    <row r="26712" spans="2:8" ht="15" customHeight="1" x14ac:dyDescent="0.4">
      <c r="B26712" s="3" t="s">
        <v>16</v>
      </c>
      <c r="C26712" s="3" t="s">
        <v>4320</v>
      </c>
      <c r="D26712" s="4">
        <f>DATE(2014,12,1)</f>
        <v>41974</v>
      </c>
      <c r="E26712" s="5">
        <f t="shared" si="453"/>
        <v>2014</v>
      </c>
      <c r="F26712" s="3" t="s">
        <v>4321</v>
      </c>
      <c r="G26712" s="6">
        <v>53338.99</v>
      </c>
      <c r="H26712" s="5">
        <v>6536</v>
      </c>
    </row>
    <row r="26713" spans="2:8" ht="15" customHeight="1" x14ac:dyDescent="0.4">
      <c r="B26713" s="3" t="s">
        <v>16</v>
      </c>
      <c r="C26713" s="3" t="s">
        <v>4320</v>
      </c>
      <c r="D26713" s="4">
        <f>DATE(2012,11,20)</f>
        <v>41233</v>
      </c>
      <c r="E26713" s="5">
        <f t="shared" si="453"/>
        <v>2012</v>
      </c>
      <c r="F26713" s="3" t="s">
        <v>4321</v>
      </c>
      <c r="G26713" s="6">
        <v>9640.43</v>
      </c>
      <c r="H26713" s="5">
        <v>5319</v>
      </c>
    </row>
    <row r="26714" spans="2:8" ht="15" customHeight="1" x14ac:dyDescent="0.4">
      <c r="B26714" s="3" t="s">
        <v>7</v>
      </c>
      <c r="C26714" s="3" t="s">
        <v>4322</v>
      </c>
      <c r="D26714" s="4">
        <f>DATE(2003,5,19)</f>
        <v>37760</v>
      </c>
      <c r="E26714" s="5">
        <f t="shared" si="453"/>
        <v>2003</v>
      </c>
      <c r="F26714" s="3" t="s">
        <v>4323</v>
      </c>
      <c r="G26714" s="6">
        <v>934.68</v>
      </c>
      <c r="H26714" s="5">
        <v>165</v>
      </c>
    </row>
    <row r="26715" spans="2:8" ht="15" customHeight="1" x14ac:dyDescent="0.4">
      <c r="B26715" s="3" t="s">
        <v>7</v>
      </c>
      <c r="C26715" s="3" t="s">
        <v>4322</v>
      </c>
      <c r="D26715" s="4">
        <f>DATE(2003,7,22)</f>
        <v>37824</v>
      </c>
      <c r="E26715" s="5">
        <f t="shared" si="453"/>
        <v>2003</v>
      </c>
      <c r="F26715" s="3" t="s">
        <v>4323</v>
      </c>
      <c r="G26715" s="6">
        <v>3531.68</v>
      </c>
      <c r="H26715" s="5">
        <v>246</v>
      </c>
    </row>
    <row r="26716" spans="2:8" ht="15" customHeight="1" x14ac:dyDescent="0.4">
      <c r="B26716" s="3" t="s">
        <v>7</v>
      </c>
      <c r="C26716" s="3" t="s">
        <v>4322</v>
      </c>
      <c r="D26716" s="4">
        <f>DATE(2003,9,11)</f>
        <v>37875</v>
      </c>
      <c r="E26716" s="5">
        <f t="shared" si="453"/>
        <v>2003</v>
      </c>
      <c r="F26716" s="3" t="s">
        <v>4323</v>
      </c>
      <c r="G26716" s="6">
        <v>1872.2</v>
      </c>
      <c r="H26716" s="5">
        <v>323</v>
      </c>
    </row>
    <row r="26717" spans="2:8" ht="15" customHeight="1" x14ac:dyDescent="0.4">
      <c r="B26717" s="3" t="s">
        <v>7</v>
      </c>
      <c r="C26717" s="3" t="s">
        <v>4322</v>
      </c>
      <c r="D26717" s="4">
        <f>DATE(2003,11,18)</f>
        <v>37943</v>
      </c>
      <c r="E26717" s="5">
        <f t="shared" si="453"/>
        <v>2003</v>
      </c>
      <c r="F26717" s="3" t="s">
        <v>4323</v>
      </c>
      <c r="G26717" s="6">
        <v>1818.91</v>
      </c>
      <c r="H26717" s="5">
        <v>428</v>
      </c>
    </row>
    <row r="26718" spans="2:8" ht="15" customHeight="1" x14ac:dyDescent="0.4">
      <c r="B26718" s="3" t="s">
        <v>7</v>
      </c>
      <c r="C26718" s="3" t="s">
        <v>4322</v>
      </c>
      <c r="D26718" s="4">
        <f>DATE(2003,11,20)</f>
        <v>37945</v>
      </c>
      <c r="E26718" s="5">
        <f t="shared" si="453"/>
        <v>2003</v>
      </c>
      <c r="F26718" s="3" t="s">
        <v>4323</v>
      </c>
      <c r="G26718" s="6">
        <v>1809.08</v>
      </c>
      <c r="H26718" s="5">
        <v>429</v>
      </c>
    </row>
    <row r="26719" spans="2:8" ht="15" customHeight="1" x14ac:dyDescent="0.4">
      <c r="B26719" s="3" t="s">
        <v>7</v>
      </c>
      <c r="C26719" s="3" t="s">
        <v>4322</v>
      </c>
      <c r="D26719" s="4">
        <f>DATE(2005,10,6)</f>
        <v>38631</v>
      </c>
      <c r="E26719" s="5">
        <f t="shared" si="453"/>
        <v>2005</v>
      </c>
      <c r="F26719" s="3" t="s">
        <v>4323</v>
      </c>
      <c r="G26719" s="6">
        <v>3924.25</v>
      </c>
      <c r="H26719" s="5">
        <v>1237</v>
      </c>
    </row>
    <row r="26720" spans="2:8" ht="15" customHeight="1" x14ac:dyDescent="0.4">
      <c r="B26720" s="3" t="s">
        <v>7</v>
      </c>
      <c r="C26720" s="3" t="s">
        <v>4324</v>
      </c>
      <c r="D26720" s="4">
        <f>DATE(2004,4,9)</f>
        <v>38086</v>
      </c>
      <c r="E26720" s="5">
        <f t="shared" si="453"/>
        <v>2004</v>
      </c>
      <c r="F26720" s="3" t="s">
        <v>4325</v>
      </c>
      <c r="G26720" s="6">
        <v>614.15</v>
      </c>
      <c r="H26720" s="5">
        <v>606</v>
      </c>
    </row>
    <row r="26721" spans="2:8" ht="15" customHeight="1" x14ac:dyDescent="0.4">
      <c r="B26721" s="3" t="s">
        <v>7</v>
      </c>
      <c r="C26721" s="3" t="s">
        <v>4324</v>
      </c>
      <c r="D26721" s="4">
        <f>DATE(2004,12,23)</f>
        <v>38344</v>
      </c>
      <c r="E26721" s="5">
        <f t="shared" si="453"/>
        <v>2004</v>
      </c>
      <c r="F26721" s="3" t="s">
        <v>4325</v>
      </c>
      <c r="G26721" s="6">
        <v>1869.3</v>
      </c>
      <c r="H26721" s="5">
        <v>896</v>
      </c>
    </row>
    <row r="26722" spans="2:8" ht="15" customHeight="1" x14ac:dyDescent="0.4">
      <c r="B26722" s="3" t="s">
        <v>7</v>
      </c>
      <c r="C26722" s="3" t="s">
        <v>4324</v>
      </c>
      <c r="D26722" s="4">
        <f>DATE(2007,4,1)</f>
        <v>39173</v>
      </c>
      <c r="E26722" s="5">
        <f t="shared" si="453"/>
        <v>2007</v>
      </c>
      <c r="F26722" s="3" t="s">
        <v>4325</v>
      </c>
      <c r="G26722" s="6">
        <v>3308.22</v>
      </c>
      <c r="H26722" s="5">
        <v>2152</v>
      </c>
    </row>
    <row r="26723" spans="2:8" ht="15" customHeight="1" x14ac:dyDescent="0.4">
      <c r="B26723" s="3" t="s">
        <v>7</v>
      </c>
      <c r="C26723" s="3" t="s">
        <v>4324</v>
      </c>
      <c r="D26723" s="4">
        <f>DATE(2010,8,26)</f>
        <v>40416</v>
      </c>
      <c r="E26723" s="5">
        <f t="shared" si="453"/>
        <v>2010</v>
      </c>
      <c r="F26723" s="3" t="s">
        <v>4325</v>
      </c>
      <c r="G26723" s="6">
        <v>1256.4000000000001</v>
      </c>
      <c r="H26723" s="5">
        <v>4064</v>
      </c>
    </row>
    <row r="26724" spans="2:8" ht="15" customHeight="1" x14ac:dyDescent="0.4">
      <c r="B26724" t="s">
        <v>7</v>
      </c>
      <c r="C26724" t="s">
        <v>4326</v>
      </c>
      <c r="D26724" s="7">
        <f>DATE(2018,7,17)</f>
        <v>43298</v>
      </c>
      <c r="E26724" s="8">
        <f t="shared" si="453"/>
        <v>2018</v>
      </c>
      <c r="F26724" t="s">
        <v>4327</v>
      </c>
      <c r="G26724" s="9">
        <v>11788.9</v>
      </c>
      <c r="H26724" s="8">
        <v>27313</v>
      </c>
    </row>
    <row r="26725" spans="2:8" ht="15" customHeight="1" x14ac:dyDescent="0.4">
      <c r="B26725" t="s">
        <v>7</v>
      </c>
      <c r="C26725" t="s">
        <v>4326</v>
      </c>
      <c r="D26725" s="7">
        <f>DATE(2018,7,17)</f>
        <v>43298</v>
      </c>
      <c r="E26725" s="8">
        <f t="shared" si="453"/>
        <v>2018</v>
      </c>
      <c r="F26725" t="s">
        <v>4327</v>
      </c>
      <c r="G26725" s="9">
        <v>7088</v>
      </c>
      <c r="H26725" s="8">
        <v>27315</v>
      </c>
    </row>
    <row r="26726" spans="2:8" ht="15" customHeight="1" x14ac:dyDescent="0.4">
      <c r="B26726" s="3" t="s">
        <v>7</v>
      </c>
      <c r="C26726" s="3" t="s">
        <v>4328</v>
      </c>
      <c r="D26726" s="4">
        <f>DATE(2006,11,13)</f>
        <v>39034</v>
      </c>
      <c r="E26726" s="5">
        <f t="shared" si="453"/>
        <v>2006</v>
      </c>
      <c r="F26726" s="3" t="s">
        <v>4329</v>
      </c>
      <c r="G26726" s="6">
        <v>17743.93</v>
      </c>
      <c r="H26726" s="5">
        <v>1916</v>
      </c>
    </row>
    <row r="26727" spans="2:8" ht="15" customHeight="1" x14ac:dyDescent="0.4">
      <c r="B26727" s="3" t="s">
        <v>7</v>
      </c>
      <c r="C26727" s="3" t="s">
        <v>4328</v>
      </c>
      <c r="D26727" s="4">
        <f>DATE(2008,11,6)</f>
        <v>39758</v>
      </c>
      <c r="E26727" s="5">
        <f t="shared" si="453"/>
        <v>2008</v>
      </c>
      <c r="F26727" s="3" t="s">
        <v>4329</v>
      </c>
      <c r="G26727" s="6">
        <v>39176.589999999997</v>
      </c>
      <c r="H26727" s="5">
        <v>3144</v>
      </c>
    </row>
    <row r="26728" spans="2:8" ht="15" customHeight="1" x14ac:dyDescent="0.4">
      <c r="B26728" t="s">
        <v>7</v>
      </c>
      <c r="C26728" t="s">
        <v>4330</v>
      </c>
      <c r="D26728" s="7">
        <f>DATE(2016,10,12)</f>
        <v>42655</v>
      </c>
      <c r="E26728" s="8">
        <f t="shared" si="453"/>
        <v>2016</v>
      </c>
      <c r="F26728" t="s">
        <v>4331</v>
      </c>
      <c r="G26728" s="9">
        <v>71</v>
      </c>
      <c r="H26728" s="8">
        <v>23623</v>
      </c>
    </row>
    <row r="26729" spans="2:8" ht="15" customHeight="1" x14ac:dyDescent="0.4">
      <c r="B26729" t="s">
        <v>7</v>
      </c>
      <c r="C26729" t="s">
        <v>4330</v>
      </c>
      <c r="D26729" s="7">
        <f>DATE(2016,10,14)</f>
        <v>42657</v>
      </c>
      <c r="E26729" s="8">
        <f t="shared" si="453"/>
        <v>2016</v>
      </c>
      <c r="F26729" t="s">
        <v>4331</v>
      </c>
      <c r="G26729" s="9">
        <v>111</v>
      </c>
      <c r="H26729" s="8">
        <v>23659</v>
      </c>
    </row>
    <row r="26730" spans="2:8" ht="15" customHeight="1" x14ac:dyDescent="0.4">
      <c r="B26730" t="s">
        <v>7</v>
      </c>
      <c r="C26730" t="s">
        <v>4330</v>
      </c>
      <c r="D26730" s="7">
        <f>DATE(2017,4,27)</f>
        <v>42852</v>
      </c>
      <c r="E26730" s="8">
        <f t="shared" si="453"/>
        <v>2017</v>
      </c>
      <c r="F26730" t="s">
        <v>4331</v>
      </c>
      <c r="G26730" s="9">
        <v>117.14</v>
      </c>
      <c r="H26730" s="8">
        <v>24725</v>
      </c>
    </row>
    <row r="26731" spans="2:8" ht="15" customHeight="1" x14ac:dyDescent="0.4">
      <c r="B26731" t="s">
        <v>7</v>
      </c>
      <c r="C26731" t="s">
        <v>4330</v>
      </c>
      <c r="D26731" s="7">
        <f>DATE(2017,7,24)</f>
        <v>42940</v>
      </c>
      <c r="E26731" s="8">
        <f t="shared" si="453"/>
        <v>2017</v>
      </c>
      <c r="F26731" t="s">
        <v>4331</v>
      </c>
      <c r="G26731" s="9">
        <v>42</v>
      </c>
      <c r="H26731" s="8">
        <v>25299</v>
      </c>
    </row>
    <row r="26732" spans="2:8" ht="15" customHeight="1" x14ac:dyDescent="0.4">
      <c r="B26732" t="s">
        <v>7</v>
      </c>
      <c r="C26732" t="s">
        <v>4330</v>
      </c>
      <c r="D26732" s="7">
        <f>DATE(2017,10,19)</f>
        <v>43027</v>
      </c>
      <c r="E26732" s="8">
        <f t="shared" si="453"/>
        <v>2017</v>
      </c>
      <c r="F26732" t="s">
        <v>4331</v>
      </c>
      <c r="G26732" s="9">
        <v>72</v>
      </c>
      <c r="H26732" s="8">
        <v>25759</v>
      </c>
    </row>
    <row r="26733" spans="2:8" ht="15" customHeight="1" x14ac:dyDescent="0.4">
      <c r="B26733" t="s">
        <v>7</v>
      </c>
      <c r="C26733" t="s">
        <v>4330</v>
      </c>
      <c r="D26733" s="7">
        <f>DATE(2019,4,24)</f>
        <v>43579</v>
      </c>
      <c r="E26733" s="8">
        <f t="shared" si="453"/>
        <v>2019</v>
      </c>
      <c r="F26733" t="s">
        <v>4331</v>
      </c>
      <c r="G26733" s="9">
        <v>219.61</v>
      </c>
      <c r="H26733" s="8">
        <v>28861</v>
      </c>
    </row>
    <row r="26734" spans="2:8" ht="15" customHeight="1" x14ac:dyDescent="0.4">
      <c r="B26734" t="s">
        <v>7</v>
      </c>
      <c r="C26734" t="s">
        <v>4332</v>
      </c>
      <c r="D26734" s="7">
        <f>DATE(2018,4,2)</f>
        <v>43192</v>
      </c>
      <c r="E26734" s="8">
        <f t="shared" si="453"/>
        <v>2018</v>
      </c>
      <c r="F26734" t="s">
        <v>4333</v>
      </c>
      <c r="G26734" s="9">
        <v>3985.55</v>
      </c>
      <c r="H26734" s="8">
        <v>26573</v>
      </c>
    </row>
    <row r="26735" spans="2:8" ht="15" customHeight="1" x14ac:dyDescent="0.4">
      <c r="B26735" t="s">
        <v>7</v>
      </c>
      <c r="C26735" t="s">
        <v>4332</v>
      </c>
      <c r="D26735" s="7">
        <f>DATE(2018,11,30)</f>
        <v>43434</v>
      </c>
      <c r="E26735" s="8">
        <f t="shared" si="453"/>
        <v>2018</v>
      </c>
      <c r="F26735" t="s">
        <v>4333</v>
      </c>
      <c r="G26735" s="9">
        <v>20300.97</v>
      </c>
      <c r="H26735" s="8">
        <v>27837</v>
      </c>
    </row>
    <row r="26736" spans="2:8" ht="15" customHeight="1" x14ac:dyDescent="0.4">
      <c r="B26736" t="s">
        <v>7</v>
      </c>
      <c r="C26736" t="s">
        <v>4332</v>
      </c>
      <c r="D26736" s="7">
        <f>DATE(2018,11,30)</f>
        <v>43434</v>
      </c>
      <c r="E26736" s="8">
        <f t="shared" si="453"/>
        <v>2018</v>
      </c>
      <c r="F26736" t="s">
        <v>4333</v>
      </c>
      <c r="G26736" s="9">
        <v>538.98</v>
      </c>
      <c r="H26736" s="8">
        <v>27616</v>
      </c>
    </row>
    <row r="26737" spans="2:8" ht="15" customHeight="1" x14ac:dyDescent="0.4">
      <c r="B26737" t="s">
        <v>7</v>
      </c>
      <c r="C26737" t="s">
        <v>4332</v>
      </c>
      <c r="D26737" s="7">
        <f>DATE(2018,12,20)</f>
        <v>43454</v>
      </c>
      <c r="E26737" s="8">
        <f t="shared" si="453"/>
        <v>2018</v>
      </c>
      <c r="F26737" t="s">
        <v>4333</v>
      </c>
      <c r="G26737" s="9">
        <v>23340.87</v>
      </c>
      <c r="H26737" s="8">
        <v>27999</v>
      </c>
    </row>
    <row r="26738" spans="2:8" ht="15" customHeight="1" x14ac:dyDescent="0.4">
      <c r="B26738" t="s">
        <v>7</v>
      </c>
      <c r="C26738" t="s">
        <v>4332</v>
      </c>
      <c r="D26738" s="7">
        <f>DATE(2018,12,21)</f>
        <v>43455</v>
      </c>
      <c r="E26738" s="8">
        <f t="shared" si="453"/>
        <v>2018</v>
      </c>
      <c r="F26738" t="s">
        <v>4333</v>
      </c>
      <c r="G26738" s="9">
        <v>19794.330000000002</v>
      </c>
      <c r="H26738" s="8">
        <v>28104</v>
      </c>
    </row>
    <row r="26739" spans="2:8" ht="15" customHeight="1" x14ac:dyDescent="0.4">
      <c r="B26739" t="s">
        <v>7</v>
      </c>
      <c r="C26739" t="s">
        <v>4332</v>
      </c>
      <c r="D26739" s="7">
        <f>DATE(2018,12,21)</f>
        <v>43455</v>
      </c>
      <c r="E26739" s="8">
        <f t="shared" si="453"/>
        <v>2018</v>
      </c>
      <c r="F26739" t="s">
        <v>4333</v>
      </c>
      <c r="G26739" s="9">
        <v>5244.97</v>
      </c>
      <c r="H26739" s="8">
        <v>28148</v>
      </c>
    </row>
    <row r="26740" spans="2:8" ht="15" customHeight="1" x14ac:dyDescent="0.4">
      <c r="B26740" t="s">
        <v>7</v>
      </c>
      <c r="C26740" t="s">
        <v>4332</v>
      </c>
      <c r="D26740" s="7">
        <f>DATE(2018,12,20)</f>
        <v>43454</v>
      </c>
      <c r="E26740" s="8">
        <f t="shared" si="453"/>
        <v>2018</v>
      </c>
      <c r="F26740" t="s">
        <v>4333</v>
      </c>
      <c r="G26740" s="9">
        <v>28788.42</v>
      </c>
      <c r="H26740" s="8">
        <v>28002</v>
      </c>
    </row>
    <row r="26741" spans="2:8" ht="15" customHeight="1" x14ac:dyDescent="0.4">
      <c r="B26741" t="s">
        <v>16</v>
      </c>
      <c r="C26741" t="s">
        <v>4332</v>
      </c>
      <c r="D26741" s="7">
        <f>DATE(2018,12,13)</f>
        <v>43447</v>
      </c>
      <c r="E26741" s="8">
        <f t="shared" si="453"/>
        <v>2018</v>
      </c>
      <c r="F26741" t="s">
        <v>4333</v>
      </c>
      <c r="G26741" s="9">
        <v>106.34</v>
      </c>
      <c r="H26741" s="8">
        <v>28115</v>
      </c>
    </row>
    <row r="26742" spans="2:8" ht="15" customHeight="1" x14ac:dyDescent="0.4">
      <c r="B26742" t="s">
        <v>16</v>
      </c>
      <c r="C26742" t="s">
        <v>4332</v>
      </c>
      <c r="D26742" s="7">
        <f>DATE(2018,12,13)</f>
        <v>43447</v>
      </c>
      <c r="E26742" s="8">
        <f t="shared" si="453"/>
        <v>2018</v>
      </c>
      <c r="F26742" t="s">
        <v>4333</v>
      </c>
      <c r="G26742" s="9">
        <v>2.83</v>
      </c>
      <c r="H26742" s="8">
        <v>28116</v>
      </c>
    </row>
    <row r="26743" spans="2:8" ht="15" customHeight="1" x14ac:dyDescent="0.4">
      <c r="B26743" t="s">
        <v>16</v>
      </c>
      <c r="C26743" t="s">
        <v>4332</v>
      </c>
      <c r="D26743" s="7">
        <f>DATE(2019,1,14)</f>
        <v>43479</v>
      </c>
      <c r="E26743" s="8">
        <f t="shared" si="453"/>
        <v>2019</v>
      </c>
      <c r="F26743" t="s">
        <v>4333</v>
      </c>
      <c r="G26743" s="9">
        <v>1481.33</v>
      </c>
      <c r="H26743" s="8">
        <v>28234</v>
      </c>
    </row>
    <row r="26744" spans="2:8" ht="15" customHeight="1" x14ac:dyDescent="0.4">
      <c r="B26744" s="3" t="s">
        <v>7</v>
      </c>
      <c r="C26744" s="3" t="s">
        <v>4332</v>
      </c>
      <c r="D26744" s="4">
        <f>DATE(2013,11,8)</f>
        <v>41586</v>
      </c>
      <c r="E26744" s="5">
        <f t="shared" si="453"/>
        <v>2013</v>
      </c>
      <c r="F26744" s="3" t="s">
        <v>4334</v>
      </c>
      <c r="G26744" s="6">
        <v>14069</v>
      </c>
      <c r="H26744" s="5">
        <v>5819</v>
      </c>
    </row>
    <row r="26745" spans="2:8" ht="15" customHeight="1" x14ac:dyDescent="0.4">
      <c r="B26745" s="3" t="s">
        <v>7</v>
      </c>
      <c r="C26745" s="3" t="s">
        <v>4335</v>
      </c>
      <c r="D26745" s="4">
        <f>DATE(2008,6,16)</f>
        <v>39615</v>
      </c>
      <c r="E26745" s="5">
        <f t="shared" si="453"/>
        <v>2008</v>
      </c>
      <c r="F26745" s="3" t="s">
        <v>4336</v>
      </c>
      <c r="G26745" s="6">
        <v>349.04</v>
      </c>
      <c r="H26745" s="5">
        <v>2888</v>
      </c>
    </row>
    <row r="26746" spans="2:8" ht="15" customHeight="1" x14ac:dyDescent="0.4">
      <c r="B26746" t="s">
        <v>7</v>
      </c>
      <c r="C26746" t="s">
        <v>4337</v>
      </c>
      <c r="D26746" s="7">
        <f>DATE(2016,6,15)</f>
        <v>42536</v>
      </c>
      <c r="E26746" s="8">
        <f t="shared" si="453"/>
        <v>2016</v>
      </c>
      <c r="F26746" t="s">
        <v>4338</v>
      </c>
      <c r="G26746" s="9">
        <v>529.28</v>
      </c>
      <c r="H26746" s="8">
        <v>22983</v>
      </c>
    </row>
    <row r="26747" spans="2:8" ht="15" customHeight="1" x14ac:dyDescent="0.4">
      <c r="B26747" t="s">
        <v>7</v>
      </c>
      <c r="C26747" t="s">
        <v>2125</v>
      </c>
      <c r="D26747" s="7">
        <f>DATE(2018,4,2)</f>
        <v>43192</v>
      </c>
      <c r="E26747" s="8">
        <f t="shared" si="453"/>
        <v>2018</v>
      </c>
      <c r="F26747" t="s">
        <v>4339</v>
      </c>
      <c r="G26747" s="9">
        <v>75415.679999999993</v>
      </c>
      <c r="H26747" s="8">
        <v>26238</v>
      </c>
    </row>
    <row r="26748" spans="2:8" ht="15" customHeight="1" x14ac:dyDescent="0.4">
      <c r="B26748" t="s">
        <v>16</v>
      </c>
      <c r="C26748" t="s">
        <v>2125</v>
      </c>
      <c r="D26748" s="7">
        <f>DATE(2018,8,7)</f>
        <v>43319</v>
      </c>
      <c r="E26748" s="8">
        <f t="shared" si="453"/>
        <v>2018</v>
      </c>
      <c r="F26748" t="s">
        <v>4339</v>
      </c>
      <c r="G26748" s="9">
        <v>25905.82</v>
      </c>
      <c r="H26748" s="8">
        <v>27457</v>
      </c>
    </row>
    <row r="26749" spans="2:8" ht="15" customHeight="1" x14ac:dyDescent="0.4">
      <c r="B26749" t="s">
        <v>7</v>
      </c>
      <c r="C26749" t="s">
        <v>4340</v>
      </c>
      <c r="D26749" s="7">
        <f>DATE(2016,4,15)</f>
        <v>42475</v>
      </c>
      <c r="E26749" s="8">
        <f t="shared" si="453"/>
        <v>2016</v>
      </c>
      <c r="F26749" t="s">
        <v>4341</v>
      </c>
      <c r="G26749" s="9">
        <v>1689.9</v>
      </c>
      <c r="H26749" s="8">
        <v>22340</v>
      </c>
    </row>
    <row r="26750" spans="2:8" ht="15" customHeight="1" x14ac:dyDescent="0.4">
      <c r="B26750" t="s">
        <v>7</v>
      </c>
      <c r="C26750" t="s">
        <v>4340</v>
      </c>
      <c r="D26750" s="7">
        <f>DATE(2015,4,8)</f>
        <v>42102</v>
      </c>
      <c r="E26750" s="8">
        <f t="shared" si="453"/>
        <v>2015</v>
      </c>
      <c r="F26750" t="s">
        <v>4341</v>
      </c>
      <c r="G26750" s="9">
        <v>6634</v>
      </c>
      <c r="H26750" s="8">
        <v>20145</v>
      </c>
    </row>
    <row r="26751" spans="2:8" ht="15" customHeight="1" x14ac:dyDescent="0.4">
      <c r="B26751" s="3" t="s">
        <v>7</v>
      </c>
      <c r="C26751" s="3" t="s">
        <v>4340</v>
      </c>
      <c r="D26751" s="4">
        <f>DATE(2009,2,2)</f>
        <v>39846</v>
      </c>
      <c r="E26751" s="5">
        <f t="shared" si="453"/>
        <v>2009</v>
      </c>
      <c r="F26751" s="3" t="s">
        <v>4341</v>
      </c>
      <c r="G26751" s="6">
        <v>19176.669999999998</v>
      </c>
      <c r="H26751" s="5">
        <v>11605</v>
      </c>
    </row>
    <row r="26752" spans="2:8" ht="15" customHeight="1" x14ac:dyDescent="0.4">
      <c r="B26752" s="3" t="s">
        <v>7</v>
      </c>
      <c r="C26752" s="3" t="s">
        <v>4340</v>
      </c>
      <c r="D26752" s="4">
        <f>DATE(2009,12,10)</f>
        <v>40157</v>
      </c>
      <c r="E26752" s="5">
        <f t="shared" si="453"/>
        <v>2009</v>
      </c>
      <c r="F26752" s="3" t="s">
        <v>4341</v>
      </c>
      <c r="G26752" s="6">
        <v>4188.3</v>
      </c>
      <c r="H26752" s="5">
        <v>12897</v>
      </c>
    </row>
    <row r="26753" spans="2:8" ht="15" customHeight="1" x14ac:dyDescent="0.4">
      <c r="B26753" s="3" t="s">
        <v>7</v>
      </c>
      <c r="C26753" s="3" t="s">
        <v>4340</v>
      </c>
      <c r="D26753" s="4">
        <f>DATE(2011,2,18)</f>
        <v>40592</v>
      </c>
      <c r="E26753" s="5">
        <f t="shared" si="453"/>
        <v>2011</v>
      </c>
      <c r="F26753" s="3" t="s">
        <v>4341</v>
      </c>
      <c r="G26753" s="6">
        <v>6193.42</v>
      </c>
      <c r="H26753" s="5">
        <v>14933</v>
      </c>
    </row>
    <row r="26754" spans="2:8" ht="15" customHeight="1" x14ac:dyDescent="0.4">
      <c r="B26754" s="3" t="s">
        <v>7</v>
      </c>
      <c r="C26754" s="3" t="s">
        <v>4340</v>
      </c>
      <c r="D26754" s="4">
        <f>DATE(2012,1,12)</f>
        <v>40920</v>
      </c>
      <c r="E26754" s="5">
        <f t="shared" si="453"/>
        <v>2012</v>
      </c>
      <c r="F26754" s="3" t="s">
        <v>4341</v>
      </c>
      <c r="G26754" s="6">
        <v>5700</v>
      </c>
      <c r="H26754" s="5">
        <v>16291</v>
      </c>
    </row>
    <row r="26755" spans="2:8" ht="15" customHeight="1" x14ac:dyDescent="0.4">
      <c r="B26755" s="3" t="s">
        <v>7</v>
      </c>
      <c r="C26755" s="3" t="s">
        <v>4340</v>
      </c>
      <c r="D26755" s="4">
        <f>DATE(2012,12,12)</f>
        <v>41255</v>
      </c>
      <c r="E26755" s="5">
        <f t="shared" ref="E26755:E26818" si="454">YEAR(D26755)</f>
        <v>2012</v>
      </c>
      <c r="F26755" s="3" t="s">
        <v>4341</v>
      </c>
      <c r="G26755" s="6">
        <v>6772.45</v>
      </c>
      <c r="H26755" s="5">
        <v>17794</v>
      </c>
    </row>
    <row r="26756" spans="2:8" ht="15" customHeight="1" x14ac:dyDescent="0.4">
      <c r="B26756" s="3" t="s">
        <v>7</v>
      </c>
      <c r="C26756" s="3" t="s">
        <v>4340</v>
      </c>
      <c r="D26756" s="4">
        <f>DATE(2013,7,2)</f>
        <v>41457</v>
      </c>
      <c r="E26756" s="5">
        <f t="shared" si="454"/>
        <v>2013</v>
      </c>
      <c r="F26756" s="3" t="s">
        <v>4341</v>
      </c>
      <c r="G26756" s="6">
        <v>6840.72</v>
      </c>
      <c r="H26756" s="5">
        <v>18663</v>
      </c>
    </row>
    <row r="26757" spans="2:8" ht="15" customHeight="1" x14ac:dyDescent="0.4">
      <c r="B26757" s="3" t="s">
        <v>7</v>
      </c>
      <c r="C26757" s="3" t="s">
        <v>4342</v>
      </c>
      <c r="D26757" s="4">
        <f>DATE(2004,4,28)</f>
        <v>38105</v>
      </c>
      <c r="E26757" s="5">
        <f t="shared" si="454"/>
        <v>2004</v>
      </c>
      <c r="F26757" s="3" t="s">
        <v>4343</v>
      </c>
      <c r="G26757" s="6">
        <v>1952.5</v>
      </c>
      <c r="H26757" s="5">
        <v>2733</v>
      </c>
    </row>
    <row r="26758" spans="2:8" ht="15" customHeight="1" x14ac:dyDescent="0.4">
      <c r="B26758" s="3" t="s">
        <v>7</v>
      </c>
      <c r="C26758" s="3" t="s">
        <v>4342</v>
      </c>
      <c r="D26758" s="4">
        <f>DATE(2005,4,5)</f>
        <v>38447</v>
      </c>
      <c r="E26758" s="5">
        <f t="shared" si="454"/>
        <v>2005</v>
      </c>
      <c r="F26758" s="3" t="s">
        <v>4343</v>
      </c>
      <c r="G26758" s="6">
        <v>2061.25</v>
      </c>
      <c r="H26758" s="5">
        <v>4494</v>
      </c>
    </row>
    <row r="26759" spans="2:8" ht="15" customHeight="1" x14ac:dyDescent="0.4">
      <c r="B26759" s="3" t="s">
        <v>7</v>
      </c>
      <c r="C26759" s="3" t="s">
        <v>4342</v>
      </c>
      <c r="D26759" s="4">
        <f>DATE(2006,3,8)</f>
        <v>38784</v>
      </c>
      <c r="E26759" s="5">
        <f t="shared" si="454"/>
        <v>2006</v>
      </c>
      <c r="F26759" s="3" t="s">
        <v>4343</v>
      </c>
      <c r="G26759" s="6">
        <v>3296.6</v>
      </c>
      <c r="H26759" s="5">
        <v>6234</v>
      </c>
    </row>
    <row r="26760" spans="2:8" ht="15" customHeight="1" x14ac:dyDescent="0.4">
      <c r="B26760" t="s">
        <v>7</v>
      </c>
      <c r="C26760" t="s">
        <v>4344</v>
      </c>
      <c r="D26760" s="7">
        <f>DATE(2008,10,31)</f>
        <v>39752</v>
      </c>
      <c r="E26760" s="8">
        <f t="shared" si="454"/>
        <v>2008</v>
      </c>
      <c r="F26760" t="s">
        <v>4345</v>
      </c>
      <c r="G26760" s="9">
        <v>17825</v>
      </c>
      <c r="H26760" s="8">
        <v>7858</v>
      </c>
    </row>
    <row r="26761" spans="2:8" ht="15" customHeight="1" x14ac:dyDescent="0.4">
      <c r="B26761" s="3" t="s">
        <v>7</v>
      </c>
      <c r="C26761" s="3" t="s">
        <v>4344</v>
      </c>
      <c r="D26761" s="4">
        <f>DATE(2012,4,20)</f>
        <v>41019</v>
      </c>
      <c r="E26761" s="5">
        <f t="shared" si="454"/>
        <v>2012</v>
      </c>
      <c r="F26761" s="3" t="s">
        <v>4345</v>
      </c>
      <c r="G26761" s="6">
        <v>338.4</v>
      </c>
      <c r="H26761" s="5">
        <v>17014</v>
      </c>
    </row>
    <row r="26762" spans="2:8" ht="15" customHeight="1" x14ac:dyDescent="0.4">
      <c r="B26762" t="s">
        <v>7</v>
      </c>
      <c r="C26762" t="s">
        <v>4346</v>
      </c>
      <c r="D26762" s="7">
        <f>DATE(2004,6,10)</f>
        <v>38148</v>
      </c>
      <c r="E26762" s="8">
        <f t="shared" si="454"/>
        <v>2004</v>
      </c>
      <c r="F26762" t="s">
        <v>4347</v>
      </c>
      <c r="G26762" s="9">
        <v>24999</v>
      </c>
      <c r="H26762" s="8">
        <v>1821</v>
      </c>
    </row>
    <row r="26763" spans="2:8" ht="15" customHeight="1" x14ac:dyDescent="0.4">
      <c r="B26763" t="s">
        <v>7</v>
      </c>
      <c r="C26763" t="s">
        <v>4346</v>
      </c>
      <c r="D26763" s="7">
        <f>DATE(2008,8,7)</f>
        <v>39667</v>
      </c>
      <c r="E26763" s="8">
        <f t="shared" si="454"/>
        <v>2008</v>
      </c>
      <c r="F26763" t="s">
        <v>4347</v>
      </c>
      <c r="G26763" s="9">
        <v>7740.02</v>
      </c>
      <c r="H26763" s="8">
        <v>7686</v>
      </c>
    </row>
    <row r="26764" spans="2:8" ht="15" customHeight="1" x14ac:dyDescent="0.4">
      <c r="B26764" s="3" t="s">
        <v>7</v>
      </c>
      <c r="C26764" s="3" t="s">
        <v>4346</v>
      </c>
      <c r="D26764" s="4">
        <f>DATE(2004,5,17)</f>
        <v>38124</v>
      </c>
      <c r="E26764" s="5">
        <f t="shared" si="454"/>
        <v>2004</v>
      </c>
      <c r="F26764" s="3" t="s">
        <v>4347</v>
      </c>
      <c r="G26764" s="6">
        <v>25116.5</v>
      </c>
      <c r="H26764" s="5">
        <v>2855</v>
      </c>
    </row>
    <row r="26765" spans="2:8" ht="15" customHeight="1" x14ac:dyDescent="0.4">
      <c r="B26765" s="3" t="s">
        <v>7</v>
      </c>
      <c r="C26765" s="3" t="s">
        <v>4346</v>
      </c>
      <c r="D26765" s="4">
        <f>DATE(2007,6,5)</f>
        <v>39238</v>
      </c>
      <c r="E26765" s="5">
        <f t="shared" si="454"/>
        <v>2007</v>
      </c>
      <c r="F26765" s="3" t="s">
        <v>4347</v>
      </c>
      <c r="G26765" s="6">
        <v>220.5</v>
      </c>
      <c r="H26765" s="5">
        <v>8708</v>
      </c>
    </row>
    <row r="26766" spans="2:8" ht="15" customHeight="1" x14ac:dyDescent="0.4">
      <c r="B26766" s="3" t="s">
        <v>7</v>
      </c>
      <c r="C26766" s="3" t="s">
        <v>4346</v>
      </c>
      <c r="D26766" s="4">
        <f>DATE(2007,9,26)</f>
        <v>39351</v>
      </c>
      <c r="E26766" s="5">
        <f t="shared" si="454"/>
        <v>2007</v>
      </c>
      <c r="F26766" s="3" t="s">
        <v>4347</v>
      </c>
      <c r="G26766" s="6">
        <v>220.5</v>
      </c>
      <c r="H26766" s="5">
        <v>9232</v>
      </c>
    </row>
    <row r="26767" spans="2:8" ht="15" customHeight="1" x14ac:dyDescent="0.4">
      <c r="B26767" t="s">
        <v>7</v>
      </c>
      <c r="C26767" t="s">
        <v>4348</v>
      </c>
      <c r="D26767" s="7">
        <f>DATE(2016,1,15)</f>
        <v>42384</v>
      </c>
      <c r="E26767" s="8">
        <f t="shared" si="454"/>
        <v>2016</v>
      </c>
      <c r="F26767" t="s">
        <v>4349</v>
      </c>
      <c r="G26767" s="9">
        <v>146</v>
      </c>
      <c r="H26767" s="8">
        <v>21986</v>
      </c>
    </row>
    <row r="26768" spans="2:8" ht="15" customHeight="1" x14ac:dyDescent="0.4">
      <c r="B26768" t="s">
        <v>7</v>
      </c>
      <c r="C26768" t="s">
        <v>4348</v>
      </c>
      <c r="D26768" s="7">
        <f>DATE(2017,11,22)</f>
        <v>43061</v>
      </c>
      <c r="E26768" s="8">
        <f t="shared" si="454"/>
        <v>2017</v>
      </c>
      <c r="F26768" t="s">
        <v>4349</v>
      </c>
      <c r="G26768" s="9">
        <v>148.1</v>
      </c>
      <c r="H26768" s="8">
        <v>25798</v>
      </c>
    </row>
    <row r="26769" spans="2:8" ht="15" customHeight="1" x14ac:dyDescent="0.4">
      <c r="B26769" s="3" t="s">
        <v>7</v>
      </c>
      <c r="C26769" s="3" t="s">
        <v>4348</v>
      </c>
      <c r="D26769" s="4">
        <f>DATE(2012,6,7)</f>
        <v>41067</v>
      </c>
      <c r="E26769" s="5">
        <f t="shared" si="454"/>
        <v>2012</v>
      </c>
      <c r="F26769" s="3" t="s">
        <v>4349</v>
      </c>
      <c r="G26769" s="6">
        <v>2061.58</v>
      </c>
      <c r="H26769" s="5">
        <v>5117</v>
      </c>
    </row>
    <row r="26770" spans="2:8" ht="15" customHeight="1" x14ac:dyDescent="0.4">
      <c r="B26770" s="3" t="s">
        <v>7</v>
      </c>
      <c r="C26770" s="3" t="s">
        <v>4348</v>
      </c>
      <c r="D26770" s="4">
        <f>DATE(2013,4,30)</f>
        <v>41394</v>
      </c>
      <c r="E26770" s="5">
        <f t="shared" si="454"/>
        <v>2013</v>
      </c>
      <c r="F26770" s="3" t="s">
        <v>4349</v>
      </c>
      <c r="G26770" s="6">
        <v>579.05999999999995</v>
      </c>
      <c r="H26770" s="5">
        <v>5554</v>
      </c>
    </row>
    <row r="26771" spans="2:8" ht="15" customHeight="1" x14ac:dyDescent="0.4">
      <c r="B26771" s="3" t="s">
        <v>7</v>
      </c>
      <c r="C26771" s="3" t="s">
        <v>4348</v>
      </c>
      <c r="D26771" s="4">
        <f>DATE(2006,6,21)</f>
        <v>38889</v>
      </c>
      <c r="E26771" s="5">
        <f t="shared" si="454"/>
        <v>2006</v>
      </c>
      <c r="F26771" s="3" t="s">
        <v>4349</v>
      </c>
      <c r="G26771" s="6">
        <v>327.60000000000002</v>
      </c>
      <c r="H26771" s="5">
        <v>6874</v>
      </c>
    </row>
    <row r="26772" spans="2:8" ht="15" customHeight="1" x14ac:dyDescent="0.4">
      <c r="B26772" t="s">
        <v>7</v>
      </c>
      <c r="C26772" t="s">
        <v>4350</v>
      </c>
      <c r="D26772" s="7">
        <f>DATE(2017,12,21)</f>
        <v>43090</v>
      </c>
      <c r="E26772" s="8">
        <f t="shared" si="454"/>
        <v>2017</v>
      </c>
      <c r="F26772" t="s">
        <v>4351</v>
      </c>
      <c r="G26772" s="9">
        <v>382.41</v>
      </c>
      <c r="H26772" s="8">
        <v>25974</v>
      </c>
    </row>
    <row r="26773" spans="2:8" ht="15" customHeight="1" x14ac:dyDescent="0.4">
      <c r="B26773" s="3" t="s">
        <v>7</v>
      </c>
      <c r="C26773" s="3" t="s">
        <v>4352</v>
      </c>
      <c r="D26773" s="4">
        <f>DATE(2003,12,11)</f>
        <v>37966</v>
      </c>
      <c r="E26773" s="5">
        <f t="shared" si="454"/>
        <v>2003</v>
      </c>
      <c r="F26773" s="3" t="s">
        <v>4353</v>
      </c>
      <c r="G26773" s="6">
        <v>818.71</v>
      </c>
      <c r="H26773" s="5">
        <v>423</v>
      </c>
    </row>
    <row r="26774" spans="2:8" ht="15" customHeight="1" x14ac:dyDescent="0.4">
      <c r="B26774" s="3" t="s">
        <v>16</v>
      </c>
      <c r="C26774" s="3" t="s">
        <v>4352</v>
      </c>
      <c r="D26774" s="4">
        <f>DATE(2003,12,11)</f>
        <v>37966</v>
      </c>
      <c r="E26774" s="5">
        <f t="shared" si="454"/>
        <v>2003</v>
      </c>
      <c r="F26774" s="3" t="s">
        <v>4353</v>
      </c>
      <c r="G26774" s="6">
        <v>71.209999999999994</v>
      </c>
      <c r="H26774" s="5">
        <v>453</v>
      </c>
    </row>
    <row r="26775" spans="2:8" ht="15" customHeight="1" x14ac:dyDescent="0.4">
      <c r="B26775" t="s">
        <v>7</v>
      </c>
      <c r="C26775" t="s">
        <v>4354</v>
      </c>
      <c r="D26775" s="7">
        <f>DATE(2017,12,19)</f>
        <v>43088</v>
      </c>
      <c r="E26775" s="8">
        <f t="shared" si="454"/>
        <v>2017</v>
      </c>
      <c r="F26775" t="s">
        <v>4355</v>
      </c>
      <c r="G26775" s="9">
        <v>250</v>
      </c>
      <c r="H26775" s="8">
        <v>26021</v>
      </c>
    </row>
    <row r="26776" spans="2:8" ht="15" customHeight="1" x14ac:dyDescent="0.4">
      <c r="B26776" t="s">
        <v>7</v>
      </c>
      <c r="C26776" t="s">
        <v>4354</v>
      </c>
      <c r="D26776" s="7">
        <f>DATE(2018,3,19)</f>
        <v>43178</v>
      </c>
      <c r="E26776" s="8">
        <f t="shared" si="454"/>
        <v>2018</v>
      </c>
      <c r="F26776" t="s">
        <v>4355</v>
      </c>
      <c r="G26776" s="9">
        <v>840</v>
      </c>
      <c r="H26776" s="8">
        <v>26651</v>
      </c>
    </row>
    <row r="26777" spans="2:8" ht="15" customHeight="1" x14ac:dyDescent="0.4">
      <c r="B26777" t="s">
        <v>7</v>
      </c>
      <c r="C26777" t="s">
        <v>4354</v>
      </c>
      <c r="D26777" s="7">
        <f>DATE(2018,5,18)</f>
        <v>43238</v>
      </c>
      <c r="E26777" s="8">
        <f t="shared" si="454"/>
        <v>2018</v>
      </c>
      <c r="F26777" t="s">
        <v>4355</v>
      </c>
      <c r="G26777" s="9">
        <v>1400</v>
      </c>
      <c r="H26777" s="8">
        <v>26996</v>
      </c>
    </row>
    <row r="26778" spans="2:8" ht="15" customHeight="1" x14ac:dyDescent="0.4">
      <c r="B26778" t="s">
        <v>7</v>
      </c>
      <c r="C26778" t="s">
        <v>4354</v>
      </c>
      <c r="D26778" s="7">
        <f>DATE(2006,2,23)</f>
        <v>38771</v>
      </c>
      <c r="E26778" s="8">
        <f t="shared" si="454"/>
        <v>2006</v>
      </c>
      <c r="F26778" t="s">
        <v>4355</v>
      </c>
      <c r="G26778" s="9">
        <v>95</v>
      </c>
      <c r="H26778" s="8">
        <v>4208</v>
      </c>
    </row>
    <row r="26779" spans="2:8" ht="15" customHeight="1" x14ac:dyDescent="0.4">
      <c r="B26779" t="s">
        <v>7</v>
      </c>
      <c r="C26779" t="s">
        <v>4354</v>
      </c>
      <c r="D26779" s="7">
        <f>DATE(2007,3,29)</f>
        <v>39170</v>
      </c>
      <c r="E26779" s="8">
        <f t="shared" si="454"/>
        <v>2007</v>
      </c>
      <c r="F26779" t="s">
        <v>4355</v>
      </c>
      <c r="G26779" s="9">
        <v>107</v>
      </c>
      <c r="H26779" s="8">
        <v>5711</v>
      </c>
    </row>
    <row r="26780" spans="2:8" ht="15" customHeight="1" x14ac:dyDescent="0.4">
      <c r="B26780" t="s">
        <v>7</v>
      </c>
      <c r="C26780" t="s">
        <v>4354</v>
      </c>
      <c r="D26780" s="7">
        <f>DATE(2013,4,3)</f>
        <v>41367</v>
      </c>
      <c r="E26780" s="8">
        <f t="shared" si="454"/>
        <v>2013</v>
      </c>
      <c r="F26780" t="s">
        <v>4355</v>
      </c>
      <c r="G26780" s="9">
        <v>874</v>
      </c>
      <c r="H26780" s="8">
        <v>12333</v>
      </c>
    </row>
    <row r="26781" spans="2:8" ht="15" customHeight="1" x14ac:dyDescent="0.4">
      <c r="B26781" s="3" t="s">
        <v>7</v>
      </c>
      <c r="C26781" s="3" t="s">
        <v>4354</v>
      </c>
      <c r="D26781" s="4">
        <f>DATE(2006,3,31)</f>
        <v>38807</v>
      </c>
      <c r="E26781" s="5">
        <f t="shared" si="454"/>
        <v>2006</v>
      </c>
      <c r="F26781" s="3" t="s">
        <v>4355</v>
      </c>
      <c r="G26781" s="6">
        <v>3018</v>
      </c>
      <c r="H26781" s="5">
        <v>6375</v>
      </c>
    </row>
    <row r="26782" spans="2:8" ht="15" customHeight="1" x14ac:dyDescent="0.4">
      <c r="B26782" s="3" t="s">
        <v>7</v>
      </c>
      <c r="C26782" s="3" t="s">
        <v>4354</v>
      </c>
      <c r="D26782" s="4">
        <f>DATE(2006,4,5)</f>
        <v>38812</v>
      </c>
      <c r="E26782" s="5">
        <f t="shared" si="454"/>
        <v>2006</v>
      </c>
      <c r="F26782" s="3" t="s">
        <v>4355</v>
      </c>
      <c r="G26782" s="6">
        <v>1466</v>
      </c>
      <c r="H26782" s="5">
        <v>6365</v>
      </c>
    </row>
    <row r="26783" spans="2:8" ht="15" customHeight="1" x14ac:dyDescent="0.4">
      <c r="B26783" s="3" t="s">
        <v>7</v>
      </c>
      <c r="C26783" s="3" t="s">
        <v>4354</v>
      </c>
      <c r="D26783" s="4">
        <f>DATE(2010,10,28)</f>
        <v>40479</v>
      </c>
      <c r="E26783" s="5">
        <f t="shared" si="454"/>
        <v>2010</v>
      </c>
      <c r="F26783" s="3" t="s">
        <v>4355</v>
      </c>
      <c r="G26783" s="6">
        <v>803.25</v>
      </c>
      <c r="H26783" s="5">
        <v>14636</v>
      </c>
    </row>
    <row r="26784" spans="2:8" ht="15" customHeight="1" x14ac:dyDescent="0.4">
      <c r="B26784" s="3" t="s">
        <v>7</v>
      </c>
      <c r="C26784" s="3" t="s">
        <v>4354</v>
      </c>
      <c r="D26784" s="4">
        <f>DATE(2013,11,1)</f>
        <v>41579</v>
      </c>
      <c r="E26784" s="5">
        <f t="shared" si="454"/>
        <v>2013</v>
      </c>
      <c r="F26784" s="3" t="s">
        <v>4355</v>
      </c>
      <c r="G26784" s="6">
        <v>4420</v>
      </c>
      <c r="H26784" s="5">
        <v>19158</v>
      </c>
    </row>
    <row r="26785" spans="2:8" ht="15" customHeight="1" x14ac:dyDescent="0.4">
      <c r="B26785" s="3" t="s">
        <v>7</v>
      </c>
      <c r="C26785" s="3" t="s">
        <v>4354</v>
      </c>
      <c r="D26785" s="4">
        <f>DATE(2013,11,11)</f>
        <v>41589</v>
      </c>
      <c r="E26785" s="5">
        <f t="shared" si="454"/>
        <v>2013</v>
      </c>
      <c r="F26785" s="3" t="s">
        <v>4355</v>
      </c>
      <c r="G26785" s="6">
        <v>6500</v>
      </c>
      <c r="H26785" s="5">
        <v>19183</v>
      </c>
    </row>
    <row r="26786" spans="2:8" ht="15" customHeight="1" x14ac:dyDescent="0.4">
      <c r="B26786" s="3" t="s">
        <v>7</v>
      </c>
      <c r="C26786" s="3" t="s">
        <v>4354</v>
      </c>
      <c r="D26786" s="4">
        <f>DATE(2004,4,30)</f>
        <v>38107</v>
      </c>
      <c r="E26786" s="5">
        <f t="shared" si="454"/>
        <v>2004</v>
      </c>
      <c r="F26786" s="3" t="s">
        <v>4356</v>
      </c>
      <c r="G26786" s="6">
        <v>260</v>
      </c>
      <c r="H26786" s="5">
        <v>2723</v>
      </c>
    </row>
    <row r="26787" spans="2:8" ht="15" customHeight="1" x14ac:dyDescent="0.4">
      <c r="B26787" s="3" t="s">
        <v>7</v>
      </c>
      <c r="C26787" s="3" t="s">
        <v>4354</v>
      </c>
      <c r="D26787" s="4">
        <f>DATE(2004,4,30)</f>
        <v>38107</v>
      </c>
      <c r="E26787" s="5">
        <f t="shared" si="454"/>
        <v>2004</v>
      </c>
      <c r="F26787" s="3" t="s">
        <v>4356</v>
      </c>
      <c r="G26787" s="6">
        <v>65.41</v>
      </c>
      <c r="H26787" s="5">
        <v>2966</v>
      </c>
    </row>
    <row r="26788" spans="2:8" ht="15" customHeight="1" x14ac:dyDescent="0.4">
      <c r="B26788" s="3" t="s">
        <v>7</v>
      </c>
      <c r="C26788" s="3" t="s">
        <v>4354</v>
      </c>
      <c r="D26788" s="4">
        <f>DATE(2005,10,24)</f>
        <v>38649</v>
      </c>
      <c r="E26788" s="5">
        <f t="shared" si="454"/>
        <v>2005</v>
      </c>
      <c r="F26788" s="3" t="s">
        <v>4356</v>
      </c>
      <c r="G26788" s="6">
        <v>141.75</v>
      </c>
      <c r="H26788" s="5">
        <v>5466</v>
      </c>
    </row>
    <row r="26789" spans="2:8" ht="15" customHeight="1" x14ac:dyDescent="0.4">
      <c r="B26789" t="s">
        <v>7</v>
      </c>
      <c r="C26789" t="s">
        <v>4357</v>
      </c>
      <c r="D26789" s="7">
        <f>DATE(2007,7,3)</f>
        <v>39266</v>
      </c>
      <c r="E26789" s="8">
        <f t="shared" si="454"/>
        <v>2007</v>
      </c>
      <c r="F26789" t="s">
        <v>4358</v>
      </c>
      <c r="G26789" s="9">
        <v>2717.89</v>
      </c>
      <c r="H26789" s="8">
        <v>6141</v>
      </c>
    </row>
    <row r="26790" spans="2:8" ht="15" customHeight="1" x14ac:dyDescent="0.4">
      <c r="B26790" t="s">
        <v>7</v>
      </c>
      <c r="C26790" t="s">
        <v>4357</v>
      </c>
      <c r="D26790" s="7">
        <f>DATE(2016,8,22)</f>
        <v>42604</v>
      </c>
      <c r="E26790" s="8">
        <f t="shared" si="454"/>
        <v>2016</v>
      </c>
      <c r="F26790" t="s">
        <v>4359</v>
      </c>
      <c r="G26790" s="9">
        <v>20908.23</v>
      </c>
      <c r="H26790" s="8">
        <v>23250</v>
      </c>
    </row>
    <row r="26791" spans="2:8" ht="15" customHeight="1" x14ac:dyDescent="0.4">
      <c r="B26791" t="s">
        <v>7</v>
      </c>
      <c r="C26791" t="s">
        <v>4357</v>
      </c>
      <c r="D26791" s="7">
        <f>DATE(2016,8,22)</f>
        <v>42604</v>
      </c>
      <c r="E26791" s="8">
        <f t="shared" si="454"/>
        <v>2016</v>
      </c>
      <c r="F26791" t="s">
        <v>4359</v>
      </c>
      <c r="G26791" s="9">
        <v>2980</v>
      </c>
      <c r="H26791" s="8">
        <v>23252</v>
      </c>
    </row>
    <row r="26792" spans="2:8" ht="15" customHeight="1" x14ac:dyDescent="0.4">
      <c r="B26792" t="s">
        <v>7</v>
      </c>
      <c r="C26792" t="s">
        <v>4357</v>
      </c>
      <c r="D26792" s="7">
        <f>DATE(2017,8,16)</f>
        <v>42963</v>
      </c>
      <c r="E26792" s="8">
        <f t="shared" si="454"/>
        <v>2017</v>
      </c>
      <c r="F26792" t="s">
        <v>4359</v>
      </c>
      <c r="G26792" s="9">
        <v>25806.66</v>
      </c>
      <c r="H26792" s="8">
        <v>25332</v>
      </c>
    </row>
    <row r="26793" spans="2:8" ht="15" customHeight="1" x14ac:dyDescent="0.4">
      <c r="B26793" t="s">
        <v>7</v>
      </c>
      <c r="C26793" t="s">
        <v>4357</v>
      </c>
      <c r="D26793" s="7">
        <f>DATE(2018,12,4)</f>
        <v>43438</v>
      </c>
      <c r="E26793" s="8">
        <f t="shared" si="454"/>
        <v>2018</v>
      </c>
      <c r="F26793" t="s">
        <v>4359</v>
      </c>
      <c r="G26793" s="9">
        <v>22678</v>
      </c>
      <c r="H26793" s="8">
        <v>27718</v>
      </c>
    </row>
    <row r="26794" spans="2:8" ht="15" customHeight="1" x14ac:dyDescent="0.4">
      <c r="B26794" t="s">
        <v>7</v>
      </c>
      <c r="C26794" t="s">
        <v>4357</v>
      </c>
      <c r="D26794" s="7">
        <f>DATE(2015,1,20)</f>
        <v>42024</v>
      </c>
      <c r="E26794" s="8">
        <f t="shared" si="454"/>
        <v>2015</v>
      </c>
      <c r="F26794" t="s">
        <v>4359</v>
      </c>
      <c r="G26794" s="9">
        <v>773.5</v>
      </c>
      <c r="H26794" s="8">
        <v>219</v>
      </c>
    </row>
    <row r="26795" spans="2:8" ht="15" customHeight="1" x14ac:dyDescent="0.4">
      <c r="B26795" t="s">
        <v>7</v>
      </c>
      <c r="C26795" t="s">
        <v>4357</v>
      </c>
      <c r="D26795" s="7">
        <f>DATE(2017,10,20)</f>
        <v>43028</v>
      </c>
      <c r="E26795" s="8">
        <f t="shared" si="454"/>
        <v>2017</v>
      </c>
      <c r="F26795" t="s">
        <v>4359</v>
      </c>
      <c r="G26795" s="9">
        <v>234.5</v>
      </c>
      <c r="H26795" s="8">
        <v>25746</v>
      </c>
    </row>
    <row r="26796" spans="2:8" ht="15" customHeight="1" x14ac:dyDescent="0.4">
      <c r="B26796" t="s">
        <v>7</v>
      </c>
      <c r="C26796" t="s">
        <v>4357</v>
      </c>
      <c r="D26796" s="7">
        <f>DATE(2018,5,2)</f>
        <v>43222</v>
      </c>
      <c r="E26796" s="8">
        <f t="shared" si="454"/>
        <v>2018</v>
      </c>
      <c r="F26796" t="s">
        <v>4359</v>
      </c>
      <c r="G26796" s="9">
        <v>218</v>
      </c>
      <c r="H26796" s="8">
        <v>26968</v>
      </c>
    </row>
    <row r="26797" spans="2:8" ht="15" customHeight="1" x14ac:dyDescent="0.4">
      <c r="B26797" t="s">
        <v>7</v>
      </c>
      <c r="C26797" t="s">
        <v>4357</v>
      </c>
      <c r="D26797" s="7">
        <f>DATE(2018,10,16)</f>
        <v>43389</v>
      </c>
      <c r="E26797" s="8">
        <f t="shared" si="454"/>
        <v>2018</v>
      </c>
      <c r="F26797" t="s">
        <v>4359</v>
      </c>
      <c r="G26797" s="9">
        <v>975</v>
      </c>
      <c r="H26797" s="8">
        <v>27784</v>
      </c>
    </row>
    <row r="26798" spans="2:8" ht="15" customHeight="1" x14ac:dyDescent="0.4">
      <c r="B26798" t="s">
        <v>7</v>
      </c>
      <c r="C26798" t="s">
        <v>4357</v>
      </c>
      <c r="D26798" s="7">
        <f>DATE(2019,5,1)</f>
        <v>43586</v>
      </c>
      <c r="E26798" s="8">
        <f t="shared" si="454"/>
        <v>2019</v>
      </c>
      <c r="F26798" t="s">
        <v>4359</v>
      </c>
      <c r="G26798" s="9">
        <v>815.5</v>
      </c>
      <c r="H26798" s="8">
        <v>28942</v>
      </c>
    </row>
    <row r="26799" spans="2:8" ht="15" customHeight="1" x14ac:dyDescent="0.4">
      <c r="B26799" t="s">
        <v>7</v>
      </c>
      <c r="C26799" t="s">
        <v>4357</v>
      </c>
      <c r="D26799" s="7">
        <f>DATE(2016,10,12)</f>
        <v>42655</v>
      </c>
      <c r="E26799" s="8">
        <f t="shared" si="454"/>
        <v>2016</v>
      </c>
      <c r="F26799" t="s">
        <v>4359</v>
      </c>
      <c r="G26799" s="9">
        <v>4894.6899999999996</v>
      </c>
      <c r="H26799" s="8">
        <v>23518</v>
      </c>
    </row>
    <row r="26800" spans="2:8" ht="15" customHeight="1" x14ac:dyDescent="0.4">
      <c r="B26800" t="s">
        <v>7</v>
      </c>
      <c r="C26800" t="s">
        <v>4357</v>
      </c>
      <c r="D26800" s="7">
        <f>DATE(2017,10,9)</f>
        <v>43017</v>
      </c>
      <c r="E26800" s="8">
        <f t="shared" si="454"/>
        <v>2017</v>
      </c>
      <c r="F26800" t="s">
        <v>4359</v>
      </c>
      <c r="G26800" s="9">
        <v>28983</v>
      </c>
      <c r="H26800" s="8">
        <v>25508</v>
      </c>
    </row>
    <row r="26801" spans="2:8" ht="15" customHeight="1" x14ac:dyDescent="0.4">
      <c r="B26801" t="s">
        <v>7</v>
      </c>
      <c r="C26801" t="s">
        <v>4357</v>
      </c>
      <c r="D26801" s="7">
        <f>DATE(2014,8,7)</f>
        <v>41858</v>
      </c>
      <c r="E26801" s="8">
        <f t="shared" si="454"/>
        <v>2014</v>
      </c>
      <c r="F26801" t="s">
        <v>4359</v>
      </c>
      <c r="G26801" s="9">
        <v>340</v>
      </c>
      <c r="H26801" s="8">
        <v>13394</v>
      </c>
    </row>
    <row r="26802" spans="2:8" ht="15" customHeight="1" x14ac:dyDescent="0.4">
      <c r="B26802" t="s">
        <v>7</v>
      </c>
      <c r="C26802" t="s">
        <v>4357</v>
      </c>
      <c r="D26802" s="7">
        <f>DATE(2003,2,7)</f>
        <v>37659</v>
      </c>
      <c r="E26802" s="8">
        <f t="shared" si="454"/>
        <v>2003</v>
      </c>
      <c r="F26802" t="s">
        <v>4359</v>
      </c>
      <c r="G26802" s="9">
        <v>19188.419999999998</v>
      </c>
      <c r="H26802" s="8">
        <v>60</v>
      </c>
    </row>
    <row r="26803" spans="2:8" ht="15" customHeight="1" x14ac:dyDescent="0.4">
      <c r="B26803" t="s">
        <v>7</v>
      </c>
      <c r="C26803" t="s">
        <v>4357</v>
      </c>
      <c r="D26803" s="7">
        <f>DATE(2003,2,21)</f>
        <v>37673</v>
      </c>
      <c r="E26803" s="8">
        <f t="shared" si="454"/>
        <v>2003</v>
      </c>
      <c r="F26803" t="s">
        <v>4359</v>
      </c>
      <c r="G26803" s="9">
        <v>3247.33</v>
      </c>
      <c r="H26803" s="8">
        <v>171</v>
      </c>
    </row>
    <row r="26804" spans="2:8" ht="15" customHeight="1" x14ac:dyDescent="0.4">
      <c r="B26804" t="s">
        <v>7</v>
      </c>
      <c r="C26804" t="s">
        <v>4357</v>
      </c>
      <c r="D26804" s="7">
        <f>DATE(2003,2,21)</f>
        <v>37673</v>
      </c>
      <c r="E26804" s="8">
        <f t="shared" si="454"/>
        <v>2003</v>
      </c>
      <c r="F26804" t="s">
        <v>4359</v>
      </c>
      <c r="G26804" s="9">
        <v>6106.93</v>
      </c>
      <c r="H26804" s="8">
        <v>237</v>
      </c>
    </row>
    <row r="26805" spans="2:8" ht="15" customHeight="1" x14ac:dyDescent="0.4">
      <c r="B26805" t="s">
        <v>7</v>
      </c>
      <c r="C26805" t="s">
        <v>4357</v>
      </c>
      <c r="D26805" s="7">
        <f>DATE(2003,3,10)</f>
        <v>37690</v>
      </c>
      <c r="E26805" s="8">
        <f t="shared" si="454"/>
        <v>2003</v>
      </c>
      <c r="F26805" t="s">
        <v>4359</v>
      </c>
      <c r="G26805" s="9">
        <v>4037.49</v>
      </c>
      <c r="H26805" s="8">
        <v>171</v>
      </c>
    </row>
    <row r="26806" spans="2:8" ht="15" customHeight="1" x14ac:dyDescent="0.4">
      <c r="B26806" t="s">
        <v>7</v>
      </c>
      <c r="C26806" t="s">
        <v>4357</v>
      </c>
      <c r="D26806" s="7">
        <f>DATE(2004,4,1)</f>
        <v>38078</v>
      </c>
      <c r="E26806" s="8">
        <f t="shared" si="454"/>
        <v>2004</v>
      </c>
      <c r="F26806" t="s">
        <v>4359</v>
      </c>
      <c r="G26806" s="9">
        <v>13172.5</v>
      </c>
      <c r="H26806" s="8">
        <v>1413</v>
      </c>
    </row>
    <row r="26807" spans="2:8" ht="15" customHeight="1" x14ac:dyDescent="0.4">
      <c r="B26807" t="s">
        <v>7</v>
      </c>
      <c r="C26807" t="s">
        <v>4357</v>
      </c>
      <c r="D26807" s="7">
        <f>DATE(2004,4,1)</f>
        <v>38078</v>
      </c>
      <c r="E26807" s="8">
        <f t="shared" si="454"/>
        <v>2004</v>
      </c>
      <c r="F26807" t="s">
        <v>4359</v>
      </c>
      <c r="G26807" s="9">
        <v>1713.6</v>
      </c>
      <c r="H26807" s="8">
        <v>1572</v>
      </c>
    </row>
    <row r="26808" spans="2:8" ht="15" customHeight="1" x14ac:dyDescent="0.4">
      <c r="B26808" t="s">
        <v>7</v>
      </c>
      <c r="C26808" t="s">
        <v>4357</v>
      </c>
      <c r="D26808" s="7">
        <f>DATE(2004,6,15)</f>
        <v>38153</v>
      </c>
      <c r="E26808" s="8">
        <f t="shared" si="454"/>
        <v>2004</v>
      </c>
      <c r="F26808" t="s">
        <v>4359</v>
      </c>
      <c r="G26808" s="9">
        <v>3331.47</v>
      </c>
      <c r="H26808" s="8">
        <v>1896</v>
      </c>
    </row>
    <row r="26809" spans="2:8" ht="15" customHeight="1" x14ac:dyDescent="0.4">
      <c r="B26809" t="s">
        <v>7</v>
      </c>
      <c r="C26809" t="s">
        <v>4357</v>
      </c>
      <c r="D26809" s="7">
        <f>DATE(2005,2,25)</f>
        <v>38408</v>
      </c>
      <c r="E26809" s="8">
        <f t="shared" si="454"/>
        <v>2005</v>
      </c>
      <c r="F26809" t="s">
        <v>4359</v>
      </c>
      <c r="G26809" s="9">
        <v>17900</v>
      </c>
      <c r="H26809" s="8">
        <v>2752</v>
      </c>
    </row>
    <row r="26810" spans="2:8" ht="15" customHeight="1" x14ac:dyDescent="0.4">
      <c r="B26810" t="s">
        <v>7</v>
      </c>
      <c r="C26810" t="s">
        <v>4357</v>
      </c>
      <c r="D26810" s="7">
        <f>DATE(2005,12,21)</f>
        <v>38707</v>
      </c>
      <c r="E26810" s="8">
        <f t="shared" si="454"/>
        <v>2005</v>
      </c>
      <c r="F26810" t="s">
        <v>4359</v>
      </c>
      <c r="G26810" s="9">
        <v>5118.43</v>
      </c>
      <c r="H26810" s="8">
        <v>3831</v>
      </c>
    </row>
    <row r="26811" spans="2:8" ht="15" customHeight="1" x14ac:dyDescent="0.4">
      <c r="B26811" t="s">
        <v>7</v>
      </c>
      <c r="C26811" t="s">
        <v>4357</v>
      </c>
      <c r="D26811" s="7">
        <f>DATE(2007,3,27)</f>
        <v>39168</v>
      </c>
      <c r="E26811" s="8">
        <f t="shared" si="454"/>
        <v>2007</v>
      </c>
      <c r="F26811" t="s">
        <v>4359</v>
      </c>
      <c r="G26811" s="9">
        <v>4943.0600000000004</v>
      </c>
      <c r="H26811" s="8">
        <v>5199</v>
      </c>
    </row>
    <row r="26812" spans="2:8" ht="15" customHeight="1" x14ac:dyDescent="0.4">
      <c r="B26812" t="s">
        <v>7</v>
      </c>
      <c r="C26812" t="s">
        <v>4357</v>
      </c>
      <c r="D26812" s="7">
        <f>DATE(2007,3,27)</f>
        <v>39168</v>
      </c>
      <c r="E26812" s="8">
        <f t="shared" si="454"/>
        <v>2007</v>
      </c>
      <c r="F26812" t="s">
        <v>4359</v>
      </c>
      <c r="G26812" s="9">
        <v>23945</v>
      </c>
      <c r="H26812" s="8">
        <v>5109</v>
      </c>
    </row>
    <row r="26813" spans="2:8" ht="15" customHeight="1" x14ac:dyDescent="0.4">
      <c r="B26813" t="s">
        <v>7</v>
      </c>
      <c r="C26813" t="s">
        <v>4357</v>
      </c>
      <c r="D26813" s="7">
        <f>DATE(2007,3,31)</f>
        <v>39172</v>
      </c>
      <c r="E26813" s="8">
        <f t="shared" si="454"/>
        <v>2007</v>
      </c>
      <c r="F26813" t="s">
        <v>4359</v>
      </c>
      <c r="G26813" s="9">
        <v>28278</v>
      </c>
      <c r="H26813" s="8">
        <v>5432</v>
      </c>
    </row>
    <row r="26814" spans="2:8" ht="15" customHeight="1" x14ac:dyDescent="0.4">
      <c r="B26814" t="s">
        <v>7</v>
      </c>
      <c r="C26814" t="s">
        <v>4357</v>
      </c>
      <c r="D26814" s="7">
        <f>DATE(2007,5,1)</f>
        <v>39203</v>
      </c>
      <c r="E26814" s="8">
        <f t="shared" si="454"/>
        <v>2007</v>
      </c>
      <c r="F26814" t="s">
        <v>4359</v>
      </c>
      <c r="G26814" s="9">
        <v>7191</v>
      </c>
      <c r="H26814" s="8">
        <v>5255</v>
      </c>
    </row>
    <row r="26815" spans="2:8" ht="15" customHeight="1" x14ac:dyDescent="0.4">
      <c r="B26815" t="s">
        <v>7</v>
      </c>
      <c r="C26815" t="s">
        <v>4357</v>
      </c>
      <c r="D26815" s="7">
        <f>DATE(2007,7,4)</f>
        <v>39267</v>
      </c>
      <c r="E26815" s="8">
        <f t="shared" si="454"/>
        <v>2007</v>
      </c>
      <c r="F26815" t="s">
        <v>4359</v>
      </c>
      <c r="G26815" s="9">
        <v>13400</v>
      </c>
      <c r="H26815" s="8">
        <v>5457</v>
      </c>
    </row>
    <row r="26816" spans="2:8" ht="15" customHeight="1" x14ac:dyDescent="0.4">
      <c r="B26816" t="s">
        <v>7</v>
      </c>
      <c r="C26816" t="s">
        <v>4357</v>
      </c>
      <c r="D26816" s="7">
        <f>DATE(2007,7,4)</f>
        <v>39267</v>
      </c>
      <c r="E26816" s="8">
        <f t="shared" si="454"/>
        <v>2007</v>
      </c>
      <c r="F26816" t="s">
        <v>4359</v>
      </c>
      <c r="G26816" s="9">
        <v>18000</v>
      </c>
      <c r="H26816" s="8">
        <v>5456</v>
      </c>
    </row>
    <row r="26817" spans="2:8" ht="15" customHeight="1" x14ac:dyDescent="0.4">
      <c r="B26817" t="s">
        <v>7</v>
      </c>
      <c r="C26817" t="s">
        <v>4357</v>
      </c>
      <c r="D26817" s="7">
        <f>DATE(2007,9,1)</f>
        <v>39326</v>
      </c>
      <c r="E26817" s="8">
        <f t="shared" si="454"/>
        <v>2007</v>
      </c>
      <c r="F26817" t="s">
        <v>4359</v>
      </c>
      <c r="G26817" s="9">
        <v>5272.71</v>
      </c>
      <c r="H26817" s="8">
        <v>6323</v>
      </c>
    </row>
    <row r="26818" spans="2:8" ht="15" customHeight="1" x14ac:dyDescent="0.4">
      <c r="B26818" t="s">
        <v>7</v>
      </c>
      <c r="C26818" t="s">
        <v>4357</v>
      </c>
      <c r="D26818" s="7">
        <f>DATE(2008,2,6)</f>
        <v>39484</v>
      </c>
      <c r="E26818" s="8">
        <f t="shared" si="454"/>
        <v>2008</v>
      </c>
      <c r="F26818" t="s">
        <v>4359</v>
      </c>
      <c r="G26818" s="9">
        <v>7099.25</v>
      </c>
      <c r="H26818" s="8">
        <v>6909</v>
      </c>
    </row>
    <row r="26819" spans="2:8" ht="15" customHeight="1" x14ac:dyDescent="0.4">
      <c r="B26819" t="s">
        <v>7</v>
      </c>
      <c r="C26819" t="s">
        <v>4357</v>
      </c>
      <c r="D26819" s="7">
        <f>DATE(2008,4,11)</f>
        <v>39549</v>
      </c>
      <c r="E26819" s="8">
        <f t="shared" ref="E26819:E26882" si="455">YEAR(D26819)</f>
        <v>2008</v>
      </c>
      <c r="F26819" t="s">
        <v>4359</v>
      </c>
      <c r="G26819" s="9">
        <v>10900</v>
      </c>
      <c r="H26819" s="8">
        <v>7067</v>
      </c>
    </row>
    <row r="26820" spans="2:8" ht="15" customHeight="1" x14ac:dyDescent="0.4">
      <c r="B26820" t="s">
        <v>7</v>
      </c>
      <c r="C26820" t="s">
        <v>4357</v>
      </c>
      <c r="D26820" s="7">
        <f>DATE(2008,4,10)</f>
        <v>39548</v>
      </c>
      <c r="E26820" s="8">
        <f t="shared" si="455"/>
        <v>2008</v>
      </c>
      <c r="F26820" t="s">
        <v>4359</v>
      </c>
      <c r="G26820" s="9">
        <v>1636</v>
      </c>
      <c r="H26820" s="8">
        <v>7271</v>
      </c>
    </row>
    <row r="26821" spans="2:8" ht="15" customHeight="1" x14ac:dyDescent="0.4">
      <c r="B26821" t="s">
        <v>7</v>
      </c>
      <c r="C26821" t="s">
        <v>4357</v>
      </c>
      <c r="D26821" s="7">
        <f>DATE(2008,4,12)</f>
        <v>39550</v>
      </c>
      <c r="E26821" s="8">
        <f t="shared" si="455"/>
        <v>2008</v>
      </c>
      <c r="F26821" t="s">
        <v>4359</v>
      </c>
      <c r="G26821" s="9">
        <v>14300</v>
      </c>
      <c r="H26821" s="8">
        <v>7068</v>
      </c>
    </row>
    <row r="26822" spans="2:8" ht="15" customHeight="1" x14ac:dyDescent="0.4">
      <c r="B26822" t="s">
        <v>7</v>
      </c>
      <c r="C26822" t="s">
        <v>4357</v>
      </c>
      <c r="D26822" s="7">
        <f>DATE(2008,4,10)</f>
        <v>39548</v>
      </c>
      <c r="E26822" s="8">
        <f t="shared" si="455"/>
        <v>2008</v>
      </c>
      <c r="F26822" t="s">
        <v>4359</v>
      </c>
      <c r="G26822" s="9">
        <v>590</v>
      </c>
      <c r="H26822" s="8">
        <v>7317</v>
      </c>
    </row>
    <row r="26823" spans="2:8" ht="15" customHeight="1" x14ac:dyDescent="0.4">
      <c r="B26823" t="s">
        <v>7</v>
      </c>
      <c r="C26823" t="s">
        <v>4357</v>
      </c>
      <c r="D26823" s="7">
        <f>DATE(2008,4,18)</f>
        <v>39556</v>
      </c>
      <c r="E26823" s="8">
        <f t="shared" si="455"/>
        <v>2008</v>
      </c>
      <c r="F26823" t="s">
        <v>4359</v>
      </c>
      <c r="G26823" s="9">
        <v>19407</v>
      </c>
      <c r="H26823" s="8">
        <v>7031</v>
      </c>
    </row>
    <row r="26824" spans="2:8" ht="15" customHeight="1" x14ac:dyDescent="0.4">
      <c r="B26824" t="s">
        <v>7</v>
      </c>
      <c r="C26824" t="s">
        <v>4357</v>
      </c>
      <c r="D26824" s="7">
        <f>DATE(2008,4,18)</f>
        <v>39556</v>
      </c>
      <c r="E26824" s="8">
        <f t="shared" si="455"/>
        <v>2008</v>
      </c>
      <c r="F26824" t="s">
        <v>4359</v>
      </c>
      <c r="G26824" s="9">
        <v>5985</v>
      </c>
      <c r="H26824" s="8">
        <v>7032</v>
      </c>
    </row>
    <row r="26825" spans="2:8" ht="15" customHeight="1" x14ac:dyDescent="0.4">
      <c r="B26825" t="s">
        <v>7</v>
      </c>
      <c r="C26825" t="s">
        <v>4357</v>
      </c>
      <c r="D26825" s="7">
        <f>DATE(2008,5,1)</f>
        <v>39569</v>
      </c>
      <c r="E26825" s="8">
        <f t="shared" si="455"/>
        <v>2008</v>
      </c>
      <c r="F26825" t="s">
        <v>4359</v>
      </c>
      <c r="G26825" s="9">
        <v>8935.35</v>
      </c>
      <c r="H26825" s="8">
        <v>7222</v>
      </c>
    </row>
    <row r="26826" spans="2:8" ht="15" customHeight="1" x14ac:dyDescent="0.4">
      <c r="B26826" t="s">
        <v>7</v>
      </c>
      <c r="C26826" t="s">
        <v>4357</v>
      </c>
      <c r="D26826" s="7">
        <f>DATE(2009,10,2)</f>
        <v>40088</v>
      </c>
      <c r="E26826" s="8">
        <f t="shared" si="455"/>
        <v>2009</v>
      </c>
      <c r="F26826" t="s">
        <v>4359</v>
      </c>
      <c r="G26826" s="9">
        <v>14300</v>
      </c>
      <c r="H26826" s="8">
        <v>8860</v>
      </c>
    </row>
    <row r="26827" spans="2:8" ht="15" customHeight="1" x14ac:dyDescent="0.4">
      <c r="B26827" t="s">
        <v>7</v>
      </c>
      <c r="C26827" t="s">
        <v>4357</v>
      </c>
      <c r="D26827" s="7">
        <f>DATE(2009,10,5)</f>
        <v>40091</v>
      </c>
      <c r="E26827" s="8">
        <f t="shared" si="455"/>
        <v>2009</v>
      </c>
      <c r="F26827" t="s">
        <v>4359</v>
      </c>
      <c r="G26827" s="9">
        <v>1226.71</v>
      </c>
      <c r="H26827" s="8">
        <v>8953</v>
      </c>
    </row>
    <row r="26828" spans="2:8" ht="15" customHeight="1" x14ac:dyDescent="0.4">
      <c r="B26828" t="s">
        <v>7</v>
      </c>
      <c r="C26828" t="s">
        <v>4357</v>
      </c>
      <c r="D26828" s="7">
        <f>DATE(2009,10,5)</f>
        <v>40091</v>
      </c>
      <c r="E26828" s="8">
        <f t="shared" si="455"/>
        <v>2009</v>
      </c>
      <c r="F26828" t="s">
        <v>4359</v>
      </c>
      <c r="G26828" s="9">
        <v>4053</v>
      </c>
      <c r="H26828" s="8">
        <v>8890</v>
      </c>
    </row>
    <row r="26829" spans="2:8" ht="15" customHeight="1" x14ac:dyDescent="0.4">
      <c r="B26829" t="s">
        <v>7</v>
      </c>
      <c r="C26829" t="s">
        <v>4357</v>
      </c>
      <c r="D26829" s="7">
        <f>DATE(2010,1,20)</f>
        <v>40198</v>
      </c>
      <c r="E26829" s="8">
        <f t="shared" si="455"/>
        <v>2010</v>
      </c>
      <c r="F26829" t="s">
        <v>4359</v>
      </c>
      <c r="G26829" s="9">
        <v>3950</v>
      </c>
      <c r="H26829" s="8">
        <v>9255</v>
      </c>
    </row>
    <row r="26830" spans="2:8" ht="15" customHeight="1" x14ac:dyDescent="0.4">
      <c r="B26830" t="s">
        <v>7</v>
      </c>
      <c r="C26830" t="s">
        <v>4357</v>
      </c>
      <c r="D26830" s="7">
        <f>DATE(2010,1,20)</f>
        <v>40198</v>
      </c>
      <c r="E26830" s="8">
        <f t="shared" si="455"/>
        <v>2010</v>
      </c>
      <c r="F26830" t="s">
        <v>4359</v>
      </c>
      <c r="G26830" s="9">
        <v>21900</v>
      </c>
      <c r="H26830" s="8">
        <v>8987</v>
      </c>
    </row>
    <row r="26831" spans="2:8" ht="15" customHeight="1" x14ac:dyDescent="0.4">
      <c r="B26831" t="s">
        <v>7</v>
      </c>
      <c r="C26831" t="s">
        <v>4357</v>
      </c>
      <c r="D26831" s="7">
        <f>DATE(2010,1,26)</f>
        <v>40204</v>
      </c>
      <c r="E26831" s="8">
        <f t="shared" si="455"/>
        <v>2010</v>
      </c>
      <c r="F26831" t="s">
        <v>4359</v>
      </c>
      <c r="G26831" s="9">
        <v>8853</v>
      </c>
      <c r="H26831" s="8">
        <v>8985</v>
      </c>
    </row>
    <row r="26832" spans="2:8" ht="15" customHeight="1" x14ac:dyDescent="0.4">
      <c r="B26832" t="s">
        <v>7</v>
      </c>
      <c r="C26832" t="s">
        <v>4357</v>
      </c>
      <c r="D26832" s="7">
        <f>DATE(2010,2,8)</f>
        <v>40217</v>
      </c>
      <c r="E26832" s="8">
        <f t="shared" si="455"/>
        <v>2010</v>
      </c>
      <c r="F26832" t="s">
        <v>4359</v>
      </c>
      <c r="G26832" s="9">
        <v>6492.36</v>
      </c>
      <c r="H26832" s="8">
        <v>9214</v>
      </c>
    </row>
    <row r="26833" spans="2:8" ht="15" customHeight="1" x14ac:dyDescent="0.4">
      <c r="B26833" t="s">
        <v>7</v>
      </c>
      <c r="C26833" t="s">
        <v>4357</v>
      </c>
      <c r="D26833" s="7">
        <f>DATE(2010,6,7)</f>
        <v>40336</v>
      </c>
      <c r="E26833" s="8">
        <f t="shared" si="455"/>
        <v>2010</v>
      </c>
      <c r="F26833" t="s">
        <v>4359</v>
      </c>
      <c r="G26833" s="9">
        <v>3649.11</v>
      </c>
      <c r="H26833" s="8">
        <v>9865</v>
      </c>
    </row>
    <row r="26834" spans="2:8" ht="15" customHeight="1" x14ac:dyDescent="0.4">
      <c r="B26834" t="s">
        <v>7</v>
      </c>
      <c r="C26834" t="s">
        <v>4357</v>
      </c>
      <c r="D26834" s="7">
        <f>DATE(2013,5,31)</f>
        <v>41425</v>
      </c>
      <c r="E26834" s="8">
        <f t="shared" si="455"/>
        <v>2013</v>
      </c>
      <c r="F26834" t="s">
        <v>4359</v>
      </c>
      <c r="G26834" s="9">
        <v>1939</v>
      </c>
      <c r="H26834" s="8">
        <v>12452</v>
      </c>
    </row>
    <row r="26835" spans="2:8" ht="15" customHeight="1" x14ac:dyDescent="0.4">
      <c r="B26835" t="s">
        <v>7</v>
      </c>
      <c r="C26835" t="s">
        <v>4357</v>
      </c>
      <c r="D26835" s="7">
        <f>DATE(2013,5,31)</f>
        <v>41425</v>
      </c>
      <c r="E26835" s="8">
        <f t="shared" si="455"/>
        <v>2013</v>
      </c>
      <c r="F26835" t="s">
        <v>4359</v>
      </c>
      <c r="G26835" s="9">
        <v>11300</v>
      </c>
      <c r="H26835" s="8">
        <v>12451</v>
      </c>
    </row>
    <row r="26836" spans="2:8" ht="15" customHeight="1" x14ac:dyDescent="0.4">
      <c r="B26836" t="s">
        <v>7</v>
      </c>
      <c r="C26836" t="s">
        <v>4357</v>
      </c>
      <c r="D26836" s="7">
        <f>DATE(2013,5,31)</f>
        <v>41425</v>
      </c>
      <c r="E26836" s="8">
        <f t="shared" si="455"/>
        <v>2013</v>
      </c>
      <c r="F26836" t="s">
        <v>4359</v>
      </c>
      <c r="G26836" s="9">
        <v>430</v>
      </c>
      <c r="H26836" s="8">
        <v>12480</v>
      </c>
    </row>
    <row r="26837" spans="2:8" ht="15" customHeight="1" x14ac:dyDescent="0.4">
      <c r="B26837" t="s">
        <v>7</v>
      </c>
      <c r="C26837" t="s">
        <v>4357</v>
      </c>
      <c r="D26837" s="7">
        <f>DATE(2014,5,30)</f>
        <v>41789</v>
      </c>
      <c r="E26837" s="8">
        <f t="shared" si="455"/>
        <v>2014</v>
      </c>
      <c r="F26837" t="s">
        <v>4359</v>
      </c>
      <c r="G26837" s="9">
        <v>11855</v>
      </c>
      <c r="H26837" s="8">
        <v>13176</v>
      </c>
    </row>
    <row r="26838" spans="2:8" ht="15" customHeight="1" x14ac:dyDescent="0.4">
      <c r="B26838" t="s">
        <v>7</v>
      </c>
      <c r="C26838" t="s">
        <v>4357</v>
      </c>
      <c r="D26838" s="7">
        <f>DATE(2014,12,9)</f>
        <v>41982</v>
      </c>
      <c r="E26838" s="8">
        <f t="shared" si="455"/>
        <v>2014</v>
      </c>
      <c r="F26838" t="s">
        <v>4359</v>
      </c>
      <c r="G26838" s="9">
        <v>16897</v>
      </c>
      <c r="H26838" s="8">
        <v>13322</v>
      </c>
    </row>
    <row r="26839" spans="2:8" ht="15" customHeight="1" x14ac:dyDescent="0.4">
      <c r="B26839" t="s">
        <v>7</v>
      </c>
      <c r="C26839" t="s">
        <v>4357</v>
      </c>
      <c r="D26839" s="7">
        <f>DATE(2014,12,9)</f>
        <v>41982</v>
      </c>
      <c r="E26839" s="8">
        <f t="shared" si="455"/>
        <v>2014</v>
      </c>
      <c r="F26839" t="s">
        <v>4359</v>
      </c>
      <c r="G26839" s="9">
        <v>5102</v>
      </c>
      <c r="H26839" s="8">
        <v>13516</v>
      </c>
    </row>
    <row r="26840" spans="2:8" ht="15" customHeight="1" x14ac:dyDescent="0.4">
      <c r="B26840" t="s">
        <v>7</v>
      </c>
      <c r="C26840" t="s">
        <v>4357</v>
      </c>
      <c r="D26840" s="7">
        <f>DATE(2014,12,9)</f>
        <v>41982</v>
      </c>
      <c r="E26840" s="8">
        <f t="shared" si="455"/>
        <v>2014</v>
      </c>
      <c r="F26840" t="s">
        <v>4359</v>
      </c>
      <c r="G26840" s="9">
        <v>4540</v>
      </c>
      <c r="H26840" s="8">
        <v>13330</v>
      </c>
    </row>
    <row r="26841" spans="2:8" ht="15" customHeight="1" x14ac:dyDescent="0.4">
      <c r="B26841" t="s">
        <v>7</v>
      </c>
      <c r="C26841" t="s">
        <v>4357</v>
      </c>
      <c r="D26841" s="7">
        <f>DATE(2013,1,8)</f>
        <v>41282</v>
      </c>
      <c r="E26841" s="8">
        <f t="shared" si="455"/>
        <v>2013</v>
      </c>
      <c r="F26841" t="s">
        <v>4359</v>
      </c>
      <c r="G26841" s="9">
        <v>4729.25</v>
      </c>
      <c r="H26841" s="8">
        <v>12037</v>
      </c>
    </row>
    <row r="26842" spans="2:8" ht="15" customHeight="1" x14ac:dyDescent="0.4">
      <c r="B26842" t="s">
        <v>16</v>
      </c>
      <c r="C26842" t="s">
        <v>4357</v>
      </c>
      <c r="D26842" s="7">
        <f>DATE(2003,4,1)</f>
        <v>37712</v>
      </c>
      <c r="E26842" s="8">
        <f t="shared" si="455"/>
        <v>2003</v>
      </c>
      <c r="F26842" t="s">
        <v>4359</v>
      </c>
      <c r="G26842" s="9">
        <v>60</v>
      </c>
      <c r="H26842" s="8">
        <v>609</v>
      </c>
    </row>
    <row r="26843" spans="2:8" ht="15" customHeight="1" x14ac:dyDescent="0.4">
      <c r="B26843" t="s">
        <v>16</v>
      </c>
      <c r="C26843" t="s">
        <v>4357</v>
      </c>
      <c r="D26843" s="7">
        <f>DATE(2014,12,9)</f>
        <v>41982</v>
      </c>
      <c r="E26843" s="8">
        <f t="shared" si="455"/>
        <v>2014</v>
      </c>
      <c r="F26843" t="s">
        <v>4359</v>
      </c>
      <c r="G26843" s="9">
        <v>2158</v>
      </c>
      <c r="H26843" s="8">
        <v>13654</v>
      </c>
    </row>
    <row r="26844" spans="2:8" ht="15" customHeight="1" x14ac:dyDescent="0.4">
      <c r="B26844" s="3" t="s">
        <v>7</v>
      </c>
      <c r="C26844" s="3" t="s">
        <v>4357</v>
      </c>
      <c r="D26844" s="4">
        <f>DATE(2007,7,2)</f>
        <v>39265</v>
      </c>
      <c r="E26844" s="5">
        <f t="shared" si="455"/>
        <v>2007</v>
      </c>
      <c r="F26844" s="3" t="s">
        <v>4359</v>
      </c>
      <c r="G26844" s="6">
        <v>822</v>
      </c>
      <c r="H26844" s="5">
        <v>8846</v>
      </c>
    </row>
    <row r="26845" spans="2:8" ht="15" customHeight="1" x14ac:dyDescent="0.4">
      <c r="B26845" t="s">
        <v>7</v>
      </c>
      <c r="C26845" t="s">
        <v>4360</v>
      </c>
      <c r="D26845" s="7">
        <f>DATE(2016,12,16)</f>
        <v>42720</v>
      </c>
      <c r="E26845" s="8">
        <f t="shared" si="455"/>
        <v>2016</v>
      </c>
      <c r="F26845" t="s">
        <v>4361</v>
      </c>
      <c r="G26845" s="9">
        <v>3750</v>
      </c>
      <c r="H26845" s="8">
        <v>23899</v>
      </c>
    </row>
    <row r="26846" spans="2:8" ht="15" customHeight="1" x14ac:dyDescent="0.4">
      <c r="B26846" s="3" t="s">
        <v>7</v>
      </c>
      <c r="C26846" s="3" t="s">
        <v>4362</v>
      </c>
      <c r="D26846" s="4">
        <f>DATE(2005,3,11)</f>
        <v>38422</v>
      </c>
      <c r="E26846" s="5">
        <f t="shared" si="455"/>
        <v>2005</v>
      </c>
      <c r="F26846" s="3" t="s">
        <v>4363</v>
      </c>
      <c r="G26846" s="6">
        <v>9256.6</v>
      </c>
      <c r="H26846" s="5">
        <v>3851</v>
      </c>
    </row>
    <row r="26847" spans="2:8" ht="15" customHeight="1" x14ac:dyDescent="0.4">
      <c r="B26847" t="s">
        <v>7</v>
      </c>
      <c r="C26847" t="s">
        <v>4362</v>
      </c>
      <c r="D26847" s="7">
        <f>DATE(2019,5,17)</f>
        <v>43602</v>
      </c>
      <c r="E26847" s="8">
        <f t="shared" si="455"/>
        <v>2019</v>
      </c>
      <c r="F26847" t="s">
        <v>4364</v>
      </c>
      <c r="G26847" s="9">
        <v>4305</v>
      </c>
      <c r="H26847" s="8">
        <v>29032</v>
      </c>
    </row>
    <row r="26848" spans="2:8" ht="15" customHeight="1" x14ac:dyDescent="0.4">
      <c r="B26848" t="s">
        <v>7</v>
      </c>
      <c r="C26848" t="s">
        <v>4362</v>
      </c>
      <c r="D26848" s="7">
        <f>DATE(2018,12,6)</f>
        <v>43440</v>
      </c>
      <c r="E26848" s="8">
        <f t="shared" si="455"/>
        <v>2018</v>
      </c>
      <c r="F26848" t="s">
        <v>4364</v>
      </c>
      <c r="G26848" s="9">
        <v>7369.07</v>
      </c>
      <c r="H26848" s="8">
        <v>28087</v>
      </c>
    </row>
    <row r="26849" spans="2:8" ht="15" customHeight="1" x14ac:dyDescent="0.4">
      <c r="B26849" t="s">
        <v>7</v>
      </c>
      <c r="C26849" t="s">
        <v>4362</v>
      </c>
      <c r="D26849" s="7">
        <f>DATE(2019,1,21)</f>
        <v>43486</v>
      </c>
      <c r="E26849" s="8">
        <f t="shared" si="455"/>
        <v>2019</v>
      </c>
      <c r="F26849" t="s">
        <v>4364</v>
      </c>
      <c r="G26849" s="9">
        <v>4182.41</v>
      </c>
      <c r="H26849" s="8">
        <v>28280</v>
      </c>
    </row>
    <row r="26850" spans="2:8" ht="15" customHeight="1" x14ac:dyDescent="0.4">
      <c r="B26850" t="s">
        <v>7</v>
      </c>
      <c r="C26850" t="s">
        <v>4362</v>
      </c>
      <c r="D26850" s="7">
        <f>DATE(2019,3,29)</f>
        <v>43553</v>
      </c>
      <c r="E26850" s="8">
        <f t="shared" si="455"/>
        <v>2019</v>
      </c>
      <c r="F26850" t="s">
        <v>4364</v>
      </c>
      <c r="G26850" s="9">
        <v>3415.05</v>
      </c>
      <c r="H26850" s="8">
        <v>28743</v>
      </c>
    </row>
    <row r="26851" spans="2:8" ht="15" customHeight="1" x14ac:dyDescent="0.4">
      <c r="B26851" t="s">
        <v>7</v>
      </c>
      <c r="C26851" t="s">
        <v>4362</v>
      </c>
      <c r="D26851" s="7">
        <f>DATE(2019,4,9)</f>
        <v>43564</v>
      </c>
      <c r="E26851" s="8">
        <f t="shared" si="455"/>
        <v>2019</v>
      </c>
      <c r="F26851" t="s">
        <v>4364</v>
      </c>
      <c r="G26851" s="9">
        <v>9956</v>
      </c>
      <c r="H26851" s="8">
        <v>28728</v>
      </c>
    </row>
    <row r="26852" spans="2:8" ht="15" customHeight="1" x14ac:dyDescent="0.4">
      <c r="B26852" t="s">
        <v>7</v>
      </c>
      <c r="C26852" t="s">
        <v>4362</v>
      </c>
      <c r="D26852" s="7">
        <f>DATE(2019,4,24)</f>
        <v>43579</v>
      </c>
      <c r="E26852" s="8">
        <f t="shared" si="455"/>
        <v>2019</v>
      </c>
      <c r="F26852" t="s">
        <v>4364</v>
      </c>
      <c r="G26852" s="9">
        <v>3610</v>
      </c>
      <c r="H26852" s="8">
        <v>28900</v>
      </c>
    </row>
    <row r="26853" spans="2:8" ht="15" customHeight="1" x14ac:dyDescent="0.4">
      <c r="B26853" t="s">
        <v>16</v>
      </c>
      <c r="C26853" t="s">
        <v>4362</v>
      </c>
      <c r="D26853" s="7">
        <f>DATE(2018,10,16)</f>
        <v>43389</v>
      </c>
      <c r="E26853" s="8">
        <f t="shared" si="455"/>
        <v>2018</v>
      </c>
      <c r="F26853" t="s">
        <v>4364</v>
      </c>
      <c r="G26853" s="9">
        <v>2908.7</v>
      </c>
      <c r="H26853" s="8">
        <v>27830</v>
      </c>
    </row>
    <row r="26854" spans="2:8" ht="15" customHeight="1" x14ac:dyDescent="0.4">
      <c r="B26854" t="s">
        <v>7</v>
      </c>
      <c r="C26854" t="s">
        <v>4365</v>
      </c>
      <c r="D26854" s="7">
        <f>DATE(2015,1,23)</f>
        <v>42027</v>
      </c>
      <c r="E26854" s="8">
        <f t="shared" si="455"/>
        <v>2015</v>
      </c>
      <c r="F26854" t="s">
        <v>4366</v>
      </c>
      <c r="G26854" s="9">
        <v>3836</v>
      </c>
      <c r="H26854" s="8">
        <v>248</v>
      </c>
    </row>
    <row r="26855" spans="2:8" ht="15" customHeight="1" x14ac:dyDescent="0.4">
      <c r="B26855" t="s">
        <v>7</v>
      </c>
      <c r="C26855" t="s">
        <v>4365</v>
      </c>
      <c r="D26855" s="7">
        <f>DATE(2015,1,28)</f>
        <v>42032</v>
      </c>
      <c r="E26855" s="8">
        <f t="shared" si="455"/>
        <v>2015</v>
      </c>
      <c r="F26855" t="s">
        <v>4366</v>
      </c>
      <c r="G26855" s="9">
        <v>1270.18</v>
      </c>
      <c r="H26855" s="8">
        <v>15</v>
      </c>
    </row>
    <row r="26856" spans="2:8" ht="15" customHeight="1" x14ac:dyDescent="0.4">
      <c r="B26856" t="s">
        <v>7</v>
      </c>
      <c r="C26856" t="s">
        <v>4365</v>
      </c>
      <c r="D26856" s="7">
        <f>DATE(2015,3,4)</f>
        <v>42067</v>
      </c>
      <c r="E26856" s="8">
        <f t="shared" si="455"/>
        <v>2015</v>
      </c>
      <c r="F26856" t="s">
        <v>4366</v>
      </c>
      <c r="G26856" s="9">
        <v>2408</v>
      </c>
      <c r="H26856" s="8">
        <v>20073</v>
      </c>
    </row>
    <row r="26857" spans="2:8" ht="15" customHeight="1" x14ac:dyDescent="0.4">
      <c r="B26857" t="s">
        <v>7</v>
      </c>
      <c r="C26857" t="s">
        <v>4365</v>
      </c>
      <c r="D26857" s="7">
        <f>DATE(2015,5,1)</f>
        <v>42125</v>
      </c>
      <c r="E26857" s="8">
        <f t="shared" si="455"/>
        <v>2015</v>
      </c>
      <c r="F26857" t="s">
        <v>4366</v>
      </c>
      <c r="G26857" s="9">
        <v>2717</v>
      </c>
      <c r="H26857" s="8">
        <v>20516</v>
      </c>
    </row>
    <row r="26858" spans="2:8" ht="15" customHeight="1" x14ac:dyDescent="0.4">
      <c r="B26858" t="s">
        <v>7</v>
      </c>
      <c r="C26858" t="s">
        <v>4365</v>
      </c>
      <c r="D26858" s="7">
        <f>DATE(2013,8,5)</f>
        <v>41491</v>
      </c>
      <c r="E26858" s="8">
        <f t="shared" si="455"/>
        <v>2013</v>
      </c>
      <c r="F26858" t="s">
        <v>4366</v>
      </c>
      <c r="G26858" s="9">
        <v>14365.5</v>
      </c>
      <c r="H26858" s="8">
        <v>12569</v>
      </c>
    </row>
    <row r="26859" spans="2:8" ht="15" customHeight="1" x14ac:dyDescent="0.4">
      <c r="B26859" t="s">
        <v>7</v>
      </c>
      <c r="C26859" t="s">
        <v>4365</v>
      </c>
      <c r="D26859" s="7">
        <f>DATE(2013,11,14)</f>
        <v>41592</v>
      </c>
      <c r="E26859" s="8">
        <f t="shared" si="455"/>
        <v>2013</v>
      </c>
      <c r="F26859" t="s">
        <v>4366</v>
      </c>
      <c r="G26859" s="9">
        <v>63257.31</v>
      </c>
      <c r="H26859" s="8">
        <v>12696</v>
      </c>
    </row>
    <row r="26860" spans="2:8" ht="15" customHeight="1" x14ac:dyDescent="0.4">
      <c r="B26860" s="3" t="s">
        <v>7</v>
      </c>
      <c r="C26860" s="3" t="s">
        <v>4365</v>
      </c>
      <c r="D26860" s="4">
        <f>DATE(2013,7,19)</f>
        <v>41474</v>
      </c>
      <c r="E26860" s="5">
        <f t="shared" si="455"/>
        <v>2013</v>
      </c>
      <c r="F26860" s="3" t="s">
        <v>4366</v>
      </c>
      <c r="G26860" s="6">
        <v>635.52</v>
      </c>
      <c r="H26860" s="5">
        <v>5727</v>
      </c>
    </row>
    <row r="26861" spans="2:8" ht="15" customHeight="1" x14ac:dyDescent="0.4">
      <c r="B26861" s="3" t="s">
        <v>7</v>
      </c>
      <c r="C26861" s="3" t="s">
        <v>4365</v>
      </c>
      <c r="D26861" s="4">
        <f>DATE(2014,6,4)</f>
        <v>41794</v>
      </c>
      <c r="E26861" s="5">
        <f t="shared" si="455"/>
        <v>2014</v>
      </c>
      <c r="F26861" s="3" t="s">
        <v>4366</v>
      </c>
      <c r="G26861" s="6">
        <v>1245.73</v>
      </c>
      <c r="H26861" s="5">
        <v>6234</v>
      </c>
    </row>
    <row r="26862" spans="2:8" ht="15" customHeight="1" x14ac:dyDescent="0.4">
      <c r="B26862" s="3" t="s">
        <v>7</v>
      </c>
      <c r="C26862" s="3" t="s">
        <v>4365</v>
      </c>
      <c r="D26862" s="4">
        <f>DATE(2014,12,18)</f>
        <v>41991</v>
      </c>
      <c r="E26862" s="5">
        <f t="shared" si="455"/>
        <v>2014</v>
      </c>
      <c r="F26862" s="3" t="s">
        <v>4366</v>
      </c>
      <c r="G26862" s="6">
        <v>840</v>
      </c>
      <c r="H26862" s="5">
        <v>6530</v>
      </c>
    </row>
    <row r="26863" spans="2:8" ht="15" customHeight="1" x14ac:dyDescent="0.4">
      <c r="B26863" s="3" t="s">
        <v>7</v>
      </c>
      <c r="C26863" s="3" t="s">
        <v>4365</v>
      </c>
      <c r="D26863" s="4">
        <f>DATE(2013,7,19)</f>
        <v>41474</v>
      </c>
      <c r="E26863" s="5">
        <f t="shared" si="455"/>
        <v>2013</v>
      </c>
      <c r="F26863" s="3" t="s">
        <v>4366</v>
      </c>
      <c r="G26863" s="6">
        <v>1057.48</v>
      </c>
      <c r="H26863" s="5">
        <v>18778</v>
      </c>
    </row>
    <row r="26864" spans="2:8" ht="15" customHeight="1" x14ac:dyDescent="0.4">
      <c r="B26864" s="3" t="s">
        <v>7</v>
      </c>
      <c r="C26864" s="3" t="s">
        <v>4365</v>
      </c>
      <c r="D26864" s="4">
        <f>DATE(2013,9,18)</f>
        <v>41535</v>
      </c>
      <c r="E26864" s="5">
        <f t="shared" si="455"/>
        <v>2013</v>
      </c>
      <c r="F26864" s="3" t="s">
        <v>4366</v>
      </c>
      <c r="G26864" s="6">
        <v>7070.45</v>
      </c>
      <c r="H26864" s="5">
        <v>18932</v>
      </c>
    </row>
    <row r="26865" spans="2:8" ht="15" customHeight="1" x14ac:dyDescent="0.4">
      <c r="B26865" s="3" t="s">
        <v>7</v>
      </c>
      <c r="C26865" s="3" t="s">
        <v>4365</v>
      </c>
      <c r="D26865" s="4">
        <f>DATE(2013,9,24)</f>
        <v>41541</v>
      </c>
      <c r="E26865" s="5">
        <f t="shared" si="455"/>
        <v>2013</v>
      </c>
      <c r="F26865" s="3" t="s">
        <v>4366</v>
      </c>
      <c r="G26865" s="6">
        <v>1408</v>
      </c>
      <c r="H26865" s="5">
        <v>18993</v>
      </c>
    </row>
    <row r="26866" spans="2:8" ht="15" customHeight="1" x14ac:dyDescent="0.4">
      <c r="B26866" s="3" t="s">
        <v>7</v>
      </c>
      <c r="C26866" s="3" t="s">
        <v>4365</v>
      </c>
      <c r="D26866" s="4">
        <f>DATE(2013,10,25)</f>
        <v>41572</v>
      </c>
      <c r="E26866" s="5">
        <f t="shared" si="455"/>
        <v>2013</v>
      </c>
      <c r="F26866" s="3" t="s">
        <v>4366</v>
      </c>
      <c r="G26866" s="6">
        <v>3040</v>
      </c>
      <c r="H26866" s="5">
        <v>19149</v>
      </c>
    </row>
    <row r="26867" spans="2:8" ht="15" customHeight="1" x14ac:dyDescent="0.4">
      <c r="B26867" s="3" t="s">
        <v>7</v>
      </c>
      <c r="C26867" s="3" t="s">
        <v>4365</v>
      </c>
      <c r="D26867" s="4">
        <f>DATE(2013,11,22)</f>
        <v>41600</v>
      </c>
      <c r="E26867" s="5">
        <f t="shared" si="455"/>
        <v>2013</v>
      </c>
      <c r="F26867" s="3" t="s">
        <v>4366</v>
      </c>
      <c r="G26867" s="6">
        <v>11349.38</v>
      </c>
      <c r="H26867" s="5">
        <v>19194</v>
      </c>
    </row>
    <row r="26868" spans="2:8" ht="15" customHeight="1" x14ac:dyDescent="0.4">
      <c r="B26868" s="3" t="s">
        <v>7</v>
      </c>
      <c r="C26868" s="3" t="s">
        <v>4365</v>
      </c>
      <c r="D26868" s="4">
        <f>DATE(2013,12,11)</f>
        <v>41619</v>
      </c>
      <c r="E26868" s="5">
        <f t="shared" si="455"/>
        <v>2013</v>
      </c>
      <c r="F26868" s="3" t="s">
        <v>4366</v>
      </c>
      <c r="G26868" s="6">
        <v>2171.46</v>
      </c>
      <c r="H26868" s="5">
        <v>19320</v>
      </c>
    </row>
    <row r="26869" spans="2:8" ht="15" customHeight="1" x14ac:dyDescent="0.4">
      <c r="B26869" s="3" t="s">
        <v>7</v>
      </c>
      <c r="C26869" s="3" t="s">
        <v>4365</v>
      </c>
      <c r="D26869" s="4">
        <f>DATE(2014,5,14)</f>
        <v>41773</v>
      </c>
      <c r="E26869" s="5">
        <f t="shared" si="455"/>
        <v>2014</v>
      </c>
      <c r="F26869" s="3" t="s">
        <v>4366</v>
      </c>
      <c r="G26869" s="6">
        <v>2600.94</v>
      </c>
      <c r="H26869" s="5">
        <v>19978</v>
      </c>
    </row>
    <row r="26870" spans="2:8" ht="15" customHeight="1" x14ac:dyDescent="0.4">
      <c r="B26870" s="3" t="s">
        <v>7</v>
      </c>
      <c r="C26870" s="3" t="s">
        <v>4365</v>
      </c>
      <c r="D26870" s="4">
        <f>DATE(2014,6,4)</f>
        <v>41794</v>
      </c>
      <c r="E26870" s="5">
        <f t="shared" si="455"/>
        <v>2014</v>
      </c>
      <c r="F26870" s="3" t="s">
        <v>4366</v>
      </c>
      <c r="G26870" s="6">
        <v>1121.42</v>
      </c>
      <c r="H26870" s="5">
        <v>20046</v>
      </c>
    </row>
    <row r="26871" spans="2:8" ht="15" customHeight="1" x14ac:dyDescent="0.4">
      <c r="B26871" s="3" t="s">
        <v>7</v>
      </c>
      <c r="C26871" s="3" t="s">
        <v>4365</v>
      </c>
      <c r="D26871" s="4">
        <f>DATE(2014,12,5)</f>
        <v>41978</v>
      </c>
      <c r="E26871" s="5">
        <f t="shared" si="455"/>
        <v>2014</v>
      </c>
      <c r="F26871" s="3" t="s">
        <v>4366</v>
      </c>
      <c r="G26871" s="6">
        <v>9562.5</v>
      </c>
      <c r="H26871" s="5">
        <v>20686</v>
      </c>
    </row>
    <row r="26872" spans="2:8" ht="15" customHeight="1" x14ac:dyDescent="0.4">
      <c r="B26872" s="3" t="s">
        <v>7</v>
      </c>
      <c r="C26872" s="3" t="s">
        <v>4365</v>
      </c>
      <c r="D26872" s="4">
        <f>DATE(2014,3,7)</f>
        <v>41705</v>
      </c>
      <c r="E26872" s="5">
        <f t="shared" si="455"/>
        <v>2014</v>
      </c>
      <c r="F26872" s="3" t="s">
        <v>4367</v>
      </c>
      <c r="G26872" s="6">
        <v>5700</v>
      </c>
      <c r="H26872" s="5">
        <v>19641</v>
      </c>
    </row>
    <row r="26873" spans="2:8" ht="15" customHeight="1" x14ac:dyDescent="0.4">
      <c r="B26873" t="s">
        <v>16</v>
      </c>
      <c r="C26873" t="s">
        <v>4365</v>
      </c>
      <c r="D26873" s="7">
        <f>DATE(2014,2,26)</f>
        <v>41696</v>
      </c>
      <c r="E26873" s="8">
        <f t="shared" si="455"/>
        <v>2014</v>
      </c>
      <c r="F26873" t="s">
        <v>4368</v>
      </c>
      <c r="G26873" s="9">
        <v>20343.79</v>
      </c>
      <c r="H26873" s="8">
        <v>13019</v>
      </c>
    </row>
    <row r="26874" spans="2:8" ht="15" customHeight="1" x14ac:dyDescent="0.4">
      <c r="B26874" t="s">
        <v>7</v>
      </c>
      <c r="C26874" t="s">
        <v>4362</v>
      </c>
      <c r="D26874" s="7">
        <f>DATE(2017,5,11)</f>
        <v>42866</v>
      </c>
      <c r="E26874" s="8">
        <f t="shared" si="455"/>
        <v>2017</v>
      </c>
      <c r="F26874" t="s">
        <v>4369</v>
      </c>
      <c r="G26874" s="9">
        <v>3320</v>
      </c>
      <c r="H26874" s="8">
        <v>24908</v>
      </c>
    </row>
    <row r="26875" spans="2:8" ht="15" customHeight="1" x14ac:dyDescent="0.4">
      <c r="B26875" t="s">
        <v>7</v>
      </c>
      <c r="C26875" t="s">
        <v>4362</v>
      </c>
      <c r="D26875" s="7">
        <f>DATE(2017,6,7)</f>
        <v>42893</v>
      </c>
      <c r="E26875" s="8">
        <f t="shared" si="455"/>
        <v>2017</v>
      </c>
      <c r="F26875" t="s">
        <v>4369</v>
      </c>
      <c r="G26875" s="9">
        <v>3488</v>
      </c>
      <c r="H26875" s="8">
        <v>25074</v>
      </c>
    </row>
    <row r="26876" spans="2:8" ht="15" customHeight="1" x14ac:dyDescent="0.4">
      <c r="B26876" t="s">
        <v>7</v>
      </c>
      <c r="C26876" t="s">
        <v>4362</v>
      </c>
      <c r="D26876" s="7">
        <f>DATE(2017,6,13)</f>
        <v>42899</v>
      </c>
      <c r="E26876" s="8">
        <f t="shared" si="455"/>
        <v>2017</v>
      </c>
      <c r="F26876" t="s">
        <v>4369</v>
      </c>
      <c r="G26876" s="9">
        <v>469</v>
      </c>
      <c r="H26876" s="8">
        <v>25101</v>
      </c>
    </row>
    <row r="26877" spans="2:8" ht="15" customHeight="1" x14ac:dyDescent="0.4">
      <c r="B26877" t="s">
        <v>7</v>
      </c>
      <c r="C26877" t="s">
        <v>4362</v>
      </c>
      <c r="D26877" s="7">
        <f>DATE(2017,7,3)</f>
        <v>42919</v>
      </c>
      <c r="E26877" s="8">
        <f t="shared" si="455"/>
        <v>2017</v>
      </c>
      <c r="F26877" t="s">
        <v>4369</v>
      </c>
      <c r="G26877" s="9">
        <v>990</v>
      </c>
      <c r="H26877" s="8">
        <v>25192</v>
      </c>
    </row>
    <row r="26878" spans="2:8" ht="15" customHeight="1" x14ac:dyDescent="0.4">
      <c r="B26878" t="s">
        <v>7</v>
      </c>
      <c r="C26878" t="s">
        <v>4362</v>
      </c>
      <c r="D26878" s="7">
        <f>DATE(2017,8,18)</f>
        <v>42965</v>
      </c>
      <c r="E26878" s="8">
        <f t="shared" si="455"/>
        <v>2017</v>
      </c>
      <c r="F26878" t="s">
        <v>4369</v>
      </c>
      <c r="G26878" s="9">
        <v>21850.19</v>
      </c>
      <c r="H26878" s="8">
        <v>25391</v>
      </c>
    </row>
    <row r="26879" spans="2:8" ht="15" customHeight="1" x14ac:dyDescent="0.4">
      <c r="B26879" t="s">
        <v>7</v>
      </c>
      <c r="C26879" t="s">
        <v>4362</v>
      </c>
      <c r="D26879" s="7">
        <f>DATE(2017,9,26)</f>
        <v>43004</v>
      </c>
      <c r="E26879" s="8">
        <f t="shared" si="455"/>
        <v>2017</v>
      </c>
      <c r="F26879" t="s">
        <v>4369</v>
      </c>
      <c r="G26879" s="9">
        <v>928.97</v>
      </c>
      <c r="H26879" s="8">
        <v>25639</v>
      </c>
    </row>
    <row r="26880" spans="2:8" ht="15" customHeight="1" x14ac:dyDescent="0.4">
      <c r="B26880" t="s">
        <v>7</v>
      </c>
      <c r="C26880" t="s">
        <v>4362</v>
      </c>
      <c r="D26880" s="7">
        <f>DATE(2018,3,19)</f>
        <v>43178</v>
      </c>
      <c r="E26880" s="8">
        <f t="shared" si="455"/>
        <v>2018</v>
      </c>
      <c r="F26880" t="s">
        <v>4369</v>
      </c>
      <c r="G26880" s="9">
        <v>15413.48</v>
      </c>
      <c r="H26880" s="8">
        <v>26546</v>
      </c>
    </row>
    <row r="26881" spans="2:8" ht="15" customHeight="1" x14ac:dyDescent="0.4">
      <c r="B26881" t="s">
        <v>7</v>
      </c>
      <c r="C26881" t="s">
        <v>4362</v>
      </c>
      <c r="D26881" s="7">
        <f>DATE(2018,3,23)</f>
        <v>43182</v>
      </c>
      <c r="E26881" s="8">
        <f t="shared" si="455"/>
        <v>2018</v>
      </c>
      <c r="F26881" t="s">
        <v>4369</v>
      </c>
      <c r="G26881" s="9">
        <v>242.85</v>
      </c>
      <c r="H26881" s="8">
        <v>26736</v>
      </c>
    </row>
    <row r="26882" spans="2:8" ht="15" customHeight="1" x14ac:dyDescent="0.4">
      <c r="B26882" t="s">
        <v>7</v>
      </c>
      <c r="C26882" t="s">
        <v>4362</v>
      </c>
      <c r="D26882" s="7">
        <f>DATE(2018,4,25)</f>
        <v>43215</v>
      </c>
      <c r="E26882" s="8">
        <f t="shared" si="455"/>
        <v>2018</v>
      </c>
      <c r="F26882" t="s">
        <v>4369</v>
      </c>
      <c r="G26882" s="9">
        <v>9171.6</v>
      </c>
      <c r="H26882" s="8">
        <v>26953</v>
      </c>
    </row>
    <row r="26883" spans="2:8" ht="15" customHeight="1" x14ac:dyDescent="0.4">
      <c r="B26883" t="s">
        <v>7</v>
      </c>
      <c r="C26883" t="s">
        <v>4362</v>
      </c>
      <c r="D26883" s="7">
        <f>DATE(2018,5,4)</f>
        <v>43224</v>
      </c>
      <c r="E26883" s="8">
        <f t="shared" ref="E26883:E26946" si="456">YEAR(D26883)</f>
        <v>2018</v>
      </c>
      <c r="F26883" t="s">
        <v>4369</v>
      </c>
      <c r="G26883" s="9">
        <v>1473</v>
      </c>
      <c r="H26883" s="8">
        <v>27016</v>
      </c>
    </row>
    <row r="26884" spans="2:8" ht="15" customHeight="1" x14ac:dyDescent="0.4">
      <c r="B26884" t="s">
        <v>7</v>
      </c>
      <c r="C26884" t="s">
        <v>4362</v>
      </c>
      <c r="D26884" s="7">
        <f>DATE(2018,5,8)</f>
        <v>43228</v>
      </c>
      <c r="E26884" s="8">
        <f t="shared" si="456"/>
        <v>2018</v>
      </c>
      <c r="F26884" t="s">
        <v>4369</v>
      </c>
      <c r="G26884" s="9">
        <v>4305</v>
      </c>
      <c r="H26884" s="8">
        <v>27008</v>
      </c>
    </row>
    <row r="26885" spans="2:8" ht="15" customHeight="1" x14ac:dyDescent="0.4">
      <c r="B26885" t="s">
        <v>7</v>
      </c>
      <c r="C26885" t="s">
        <v>4362</v>
      </c>
      <c r="D26885" s="7">
        <f>DATE(2018,5,11)</f>
        <v>43231</v>
      </c>
      <c r="E26885" s="8">
        <f t="shared" si="456"/>
        <v>2018</v>
      </c>
      <c r="F26885" t="s">
        <v>4369</v>
      </c>
      <c r="G26885" s="9">
        <v>718.4</v>
      </c>
      <c r="H26885" s="8">
        <v>27020</v>
      </c>
    </row>
    <row r="26886" spans="2:8" ht="15" customHeight="1" x14ac:dyDescent="0.4">
      <c r="B26886" t="s">
        <v>7</v>
      </c>
      <c r="C26886" t="s">
        <v>4362</v>
      </c>
      <c r="D26886" s="7">
        <f>DATE(2018,5,16)</f>
        <v>43236</v>
      </c>
      <c r="E26886" s="8">
        <f t="shared" si="456"/>
        <v>2018</v>
      </c>
      <c r="F26886" t="s">
        <v>4369</v>
      </c>
      <c r="G26886" s="9">
        <v>2394</v>
      </c>
      <c r="H26886" s="8">
        <v>27064</v>
      </c>
    </row>
    <row r="26887" spans="2:8" ht="15" customHeight="1" x14ac:dyDescent="0.4">
      <c r="B26887" t="s">
        <v>7</v>
      </c>
      <c r="C26887" t="s">
        <v>4362</v>
      </c>
      <c r="D26887" s="7">
        <f>DATE(2018,5,25)</f>
        <v>43245</v>
      </c>
      <c r="E26887" s="8">
        <f t="shared" si="456"/>
        <v>2018</v>
      </c>
      <c r="F26887" t="s">
        <v>4369</v>
      </c>
      <c r="G26887" s="9">
        <v>4606</v>
      </c>
      <c r="H26887" s="8">
        <v>27073</v>
      </c>
    </row>
    <row r="26888" spans="2:8" ht="15" customHeight="1" x14ac:dyDescent="0.4">
      <c r="B26888" t="s">
        <v>7</v>
      </c>
      <c r="C26888" t="s">
        <v>4362</v>
      </c>
      <c r="D26888" s="7">
        <f>DATE(2018,5,31)</f>
        <v>43251</v>
      </c>
      <c r="E26888" s="8">
        <f t="shared" si="456"/>
        <v>2018</v>
      </c>
      <c r="F26888" t="s">
        <v>4369</v>
      </c>
      <c r="G26888" s="9">
        <v>6129.4</v>
      </c>
      <c r="H26888" s="8">
        <v>27136</v>
      </c>
    </row>
    <row r="26889" spans="2:8" ht="15" customHeight="1" x14ac:dyDescent="0.4">
      <c r="B26889" t="s">
        <v>7</v>
      </c>
      <c r="C26889" t="s">
        <v>4362</v>
      </c>
      <c r="D26889" s="7">
        <f>DATE(2018,6,4)</f>
        <v>43255</v>
      </c>
      <c r="E26889" s="8">
        <f t="shared" si="456"/>
        <v>2018</v>
      </c>
      <c r="F26889" t="s">
        <v>4369</v>
      </c>
      <c r="G26889" s="9">
        <v>4693</v>
      </c>
      <c r="H26889" s="8">
        <v>27165</v>
      </c>
    </row>
    <row r="26890" spans="2:8" ht="15" customHeight="1" x14ac:dyDescent="0.4">
      <c r="B26890" t="s">
        <v>7</v>
      </c>
      <c r="C26890" t="s">
        <v>4362</v>
      </c>
      <c r="D26890" s="7">
        <f>DATE(2018,6,8)</f>
        <v>43259</v>
      </c>
      <c r="E26890" s="8">
        <f t="shared" si="456"/>
        <v>2018</v>
      </c>
      <c r="F26890" t="s">
        <v>4369</v>
      </c>
      <c r="G26890" s="9">
        <v>4305</v>
      </c>
      <c r="H26890" s="8">
        <v>27189</v>
      </c>
    </row>
    <row r="26891" spans="2:8" ht="15" customHeight="1" x14ac:dyDescent="0.4">
      <c r="B26891" t="s">
        <v>7</v>
      </c>
      <c r="C26891" t="s">
        <v>4362</v>
      </c>
      <c r="D26891" s="7">
        <f>DATE(2018,6,26)</f>
        <v>43277</v>
      </c>
      <c r="E26891" s="8">
        <f t="shared" si="456"/>
        <v>2018</v>
      </c>
      <c r="F26891" t="s">
        <v>4369</v>
      </c>
      <c r="G26891" s="9">
        <v>4441.3999999999996</v>
      </c>
      <c r="H26891" s="8">
        <v>27283</v>
      </c>
    </row>
    <row r="26892" spans="2:8" ht="15" customHeight="1" x14ac:dyDescent="0.4">
      <c r="B26892" t="s">
        <v>7</v>
      </c>
      <c r="C26892" t="s">
        <v>4362</v>
      </c>
      <c r="D26892" s="7">
        <f>DATE(2018,7,5)</f>
        <v>43286</v>
      </c>
      <c r="E26892" s="8">
        <f t="shared" si="456"/>
        <v>2018</v>
      </c>
      <c r="F26892" t="s">
        <v>4369</v>
      </c>
      <c r="G26892" s="9">
        <v>4100</v>
      </c>
      <c r="H26892" s="8">
        <v>27302</v>
      </c>
    </row>
    <row r="26893" spans="2:8" ht="15" customHeight="1" x14ac:dyDescent="0.4">
      <c r="B26893" t="s">
        <v>7</v>
      </c>
      <c r="C26893" t="s">
        <v>4362</v>
      </c>
      <c r="D26893" s="7">
        <f>DATE(2018,7,6)</f>
        <v>43287</v>
      </c>
      <c r="E26893" s="8">
        <f t="shared" si="456"/>
        <v>2018</v>
      </c>
      <c r="F26893" t="s">
        <v>4369</v>
      </c>
      <c r="G26893" s="9">
        <v>102</v>
      </c>
      <c r="H26893" s="8">
        <v>27345</v>
      </c>
    </row>
    <row r="26894" spans="2:8" ht="15" customHeight="1" x14ac:dyDescent="0.4">
      <c r="B26894" t="s">
        <v>7</v>
      </c>
      <c r="C26894" t="s">
        <v>4362</v>
      </c>
      <c r="D26894" s="7">
        <f>DATE(2018,7,6)</f>
        <v>43287</v>
      </c>
      <c r="E26894" s="8">
        <f t="shared" si="456"/>
        <v>2018</v>
      </c>
      <c r="F26894" t="s">
        <v>4369</v>
      </c>
      <c r="G26894" s="9">
        <v>17700</v>
      </c>
      <c r="H26894" s="8">
        <v>27246</v>
      </c>
    </row>
    <row r="26895" spans="2:8" ht="15" customHeight="1" x14ac:dyDescent="0.4">
      <c r="B26895" t="s">
        <v>7</v>
      </c>
      <c r="C26895" t="s">
        <v>4362</v>
      </c>
      <c r="D26895" s="7">
        <f>DATE(2018,7,13)</f>
        <v>43294</v>
      </c>
      <c r="E26895" s="8">
        <f t="shared" si="456"/>
        <v>2018</v>
      </c>
      <c r="F26895" t="s">
        <v>4369</v>
      </c>
      <c r="G26895" s="9">
        <v>11800</v>
      </c>
      <c r="H26895" s="8">
        <v>27289</v>
      </c>
    </row>
    <row r="26896" spans="2:8" ht="15" customHeight="1" x14ac:dyDescent="0.4">
      <c r="B26896" t="s">
        <v>7</v>
      </c>
      <c r="C26896" t="s">
        <v>4362</v>
      </c>
      <c r="D26896" s="7">
        <f>DATE(2018,8,2)</f>
        <v>43314</v>
      </c>
      <c r="E26896" s="8">
        <f t="shared" si="456"/>
        <v>2018</v>
      </c>
      <c r="F26896" t="s">
        <v>4369</v>
      </c>
      <c r="G26896" s="9">
        <v>6499.6</v>
      </c>
      <c r="H26896" s="8">
        <v>27440</v>
      </c>
    </row>
    <row r="26897" spans="2:8" ht="15" customHeight="1" x14ac:dyDescent="0.4">
      <c r="B26897" t="s">
        <v>7</v>
      </c>
      <c r="C26897" t="s">
        <v>4362</v>
      </c>
      <c r="D26897" s="7">
        <f>DATE(2018,10,1)</f>
        <v>43374</v>
      </c>
      <c r="E26897" s="8">
        <f t="shared" si="456"/>
        <v>2018</v>
      </c>
      <c r="F26897" t="s">
        <v>4369</v>
      </c>
      <c r="G26897" s="9">
        <v>9956</v>
      </c>
      <c r="H26897" s="8">
        <v>27632</v>
      </c>
    </row>
    <row r="26898" spans="2:8" ht="15" customHeight="1" x14ac:dyDescent="0.4">
      <c r="B26898" t="s">
        <v>7</v>
      </c>
      <c r="C26898" t="s">
        <v>4362</v>
      </c>
      <c r="D26898" s="7">
        <f>DATE(2017,3,13)</f>
        <v>42807</v>
      </c>
      <c r="E26898" s="8">
        <f t="shared" si="456"/>
        <v>2017</v>
      </c>
      <c r="F26898" t="s">
        <v>4369</v>
      </c>
      <c r="G26898" s="9">
        <v>8725</v>
      </c>
      <c r="H26898" s="8">
        <v>24469</v>
      </c>
    </row>
    <row r="26899" spans="2:8" ht="15" customHeight="1" x14ac:dyDescent="0.4">
      <c r="B26899" t="s">
        <v>7</v>
      </c>
      <c r="C26899" t="s">
        <v>4362</v>
      </c>
      <c r="D26899" s="7">
        <f>DATE(2017,3,29)</f>
        <v>42823</v>
      </c>
      <c r="E26899" s="8">
        <f t="shared" si="456"/>
        <v>2017</v>
      </c>
      <c r="F26899" t="s">
        <v>4369</v>
      </c>
      <c r="G26899" s="9">
        <v>9880</v>
      </c>
      <c r="H26899" s="8">
        <v>24653</v>
      </c>
    </row>
    <row r="26900" spans="2:8" ht="15" customHeight="1" x14ac:dyDescent="0.4">
      <c r="B26900" t="s">
        <v>7</v>
      </c>
      <c r="C26900" t="s">
        <v>4362</v>
      </c>
      <c r="D26900" s="7">
        <f>DATE(2017,4,11)</f>
        <v>42836</v>
      </c>
      <c r="E26900" s="8">
        <f t="shared" si="456"/>
        <v>2017</v>
      </c>
      <c r="F26900" t="s">
        <v>4369</v>
      </c>
      <c r="G26900" s="9">
        <v>3040</v>
      </c>
      <c r="H26900" s="8">
        <v>24740</v>
      </c>
    </row>
    <row r="26901" spans="2:8" ht="15" customHeight="1" x14ac:dyDescent="0.4">
      <c r="B26901" t="s">
        <v>7</v>
      </c>
      <c r="C26901" t="s">
        <v>4362</v>
      </c>
      <c r="D26901" s="7">
        <f>DATE(2017,4,11)</f>
        <v>42836</v>
      </c>
      <c r="E26901" s="8">
        <f t="shared" si="456"/>
        <v>2017</v>
      </c>
      <c r="F26901" t="s">
        <v>4369</v>
      </c>
      <c r="G26901" s="9">
        <v>726</v>
      </c>
      <c r="H26901" s="8">
        <v>24739</v>
      </c>
    </row>
    <row r="26902" spans="2:8" ht="15" customHeight="1" x14ac:dyDescent="0.4">
      <c r="B26902" t="s">
        <v>7</v>
      </c>
      <c r="C26902" t="s">
        <v>4362</v>
      </c>
      <c r="D26902" s="7">
        <f>DATE(2017,4,11)</f>
        <v>42836</v>
      </c>
      <c r="E26902" s="8">
        <f t="shared" si="456"/>
        <v>2017</v>
      </c>
      <c r="F26902" t="s">
        <v>4369</v>
      </c>
      <c r="G26902" s="9">
        <v>14697.4</v>
      </c>
      <c r="H26902" s="8">
        <v>24746</v>
      </c>
    </row>
    <row r="26903" spans="2:8" ht="15" customHeight="1" x14ac:dyDescent="0.4">
      <c r="B26903" t="s">
        <v>7</v>
      </c>
      <c r="C26903" t="s">
        <v>4362</v>
      </c>
      <c r="D26903" s="7">
        <f>DATE(2017,4,11)</f>
        <v>42836</v>
      </c>
      <c r="E26903" s="8">
        <f t="shared" si="456"/>
        <v>2017</v>
      </c>
      <c r="F26903" t="s">
        <v>4369</v>
      </c>
      <c r="G26903" s="9">
        <v>10148.469999999999</v>
      </c>
      <c r="H26903" s="8">
        <v>24747</v>
      </c>
    </row>
    <row r="26904" spans="2:8" ht="15" customHeight="1" x14ac:dyDescent="0.4">
      <c r="B26904" t="s">
        <v>7</v>
      </c>
      <c r="C26904" t="s">
        <v>4362</v>
      </c>
      <c r="D26904" s="7">
        <f>DATE(2017,4,12)</f>
        <v>42837</v>
      </c>
      <c r="E26904" s="8">
        <f t="shared" si="456"/>
        <v>2017</v>
      </c>
      <c r="F26904" t="s">
        <v>4369</v>
      </c>
      <c r="G26904" s="9">
        <v>847</v>
      </c>
      <c r="H26904" s="8">
        <v>24753</v>
      </c>
    </row>
    <row r="26905" spans="2:8" ht="15" customHeight="1" x14ac:dyDescent="0.4">
      <c r="B26905" t="s">
        <v>7</v>
      </c>
      <c r="C26905" t="s">
        <v>4362</v>
      </c>
      <c r="D26905" s="7">
        <f>DATE(2017,4,13)</f>
        <v>42838</v>
      </c>
      <c r="E26905" s="8">
        <f t="shared" si="456"/>
        <v>2017</v>
      </c>
      <c r="F26905" t="s">
        <v>4369</v>
      </c>
      <c r="G26905" s="9">
        <v>9120</v>
      </c>
      <c r="H26905" s="8">
        <v>24755</v>
      </c>
    </row>
    <row r="26906" spans="2:8" ht="15" customHeight="1" x14ac:dyDescent="0.4">
      <c r="B26906" t="s">
        <v>7</v>
      </c>
      <c r="C26906" t="s">
        <v>4362</v>
      </c>
      <c r="D26906" s="7">
        <f>DATE(2017,5,2)</f>
        <v>42857</v>
      </c>
      <c r="E26906" s="8">
        <f t="shared" si="456"/>
        <v>2017</v>
      </c>
      <c r="F26906" t="s">
        <v>4369</v>
      </c>
      <c r="G26906" s="9">
        <v>2044</v>
      </c>
      <c r="H26906" s="8">
        <v>24871</v>
      </c>
    </row>
    <row r="26907" spans="2:8" ht="15" customHeight="1" x14ac:dyDescent="0.4">
      <c r="B26907" t="s">
        <v>7</v>
      </c>
      <c r="C26907" t="s">
        <v>4362</v>
      </c>
      <c r="D26907" s="7">
        <f>DATE(2017,5,8)</f>
        <v>42863</v>
      </c>
      <c r="E26907" s="8">
        <f t="shared" si="456"/>
        <v>2017</v>
      </c>
      <c r="F26907" t="s">
        <v>4369</v>
      </c>
      <c r="G26907" s="9">
        <v>9500</v>
      </c>
      <c r="H26907" s="8">
        <v>24889</v>
      </c>
    </row>
    <row r="26908" spans="2:8" ht="15" customHeight="1" x14ac:dyDescent="0.4">
      <c r="B26908" t="s">
        <v>7</v>
      </c>
      <c r="C26908" t="s">
        <v>4362</v>
      </c>
      <c r="D26908" s="7">
        <f>DATE(2017,6,19)</f>
        <v>42905</v>
      </c>
      <c r="E26908" s="8">
        <f t="shared" si="456"/>
        <v>2017</v>
      </c>
      <c r="F26908" t="s">
        <v>4369</v>
      </c>
      <c r="G26908" s="9">
        <v>4305</v>
      </c>
      <c r="H26908" s="8">
        <v>25105</v>
      </c>
    </row>
    <row r="26909" spans="2:8" ht="15" customHeight="1" x14ac:dyDescent="0.4">
      <c r="B26909" t="s">
        <v>7</v>
      </c>
      <c r="C26909" t="s">
        <v>4362</v>
      </c>
      <c r="D26909" s="7">
        <f>DATE(2017,6,22)</f>
        <v>42908</v>
      </c>
      <c r="E26909" s="8">
        <f t="shared" si="456"/>
        <v>2017</v>
      </c>
      <c r="F26909" t="s">
        <v>4369</v>
      </c>
      <c r="G26909" s="9">
        <v>57</v>
      </c>
      <c r="H26909" s="8">
        <v>25148</v>
      </c>
    </row>
    <row r="26910" spans="2:8" ht="15" customHeight="1" x14ac:dyDescent="0.4">
      <c r="B26910" t="s">
        <v>7</v>
      </c>
      <c r="C26910" t="s">
        <v>4362</v>
      </c>
      <c r="D26910" s="7">
        <f>DATE(2017,7,18)</f>
        <v>42934</v>
      </c>
      <c r="E26910" s="8">
        <f t="shared" si="456"/>
        <v>2017</v>
      </c>
      <c r="F26910" t="s">
        <v>4369</v>
      </c>
      <c r="G26910" s="9">
        <v>5814</v>
      </c>
      <c r="H26910" s="8">
        <v>25252</v>
      </c>
    </row>
    <row r="26911" spans="2:8" ht="15" customHeight="1" x14ac:dyDescent="0.4">
      <c r="B26911" t="s">
        <v>7</v>
      </c>
      <c r="C26911" t="s">
        <v>4362</v>
      </c>
      <c r="D26911" s="7">
        <f>DATE(2017,8,8)</f>
        <v>42955</v>
      </c>
      <c r="E26911" s="8">
        <f t="shared" si="456"/>
        <v>2017</v>
      </c>
      <c r="F26911" t="s">
        <v>4369</v>
      </c>
      <c r="G26911" s="9">
        <v>19575</v>
      </c>
      <c r="H26911" s="8">
        <v>25370</v>
      </c>
    </row>
    <row r="26912" spans="2:8" ht="15" customHeight="1" x14ac:dyDescent="0.4">
      <c r="B26912" t="s">
        <v>7</v>
      </c>
      <c r="C26912" t="s">
        <v>4362</v>
      </c>
      <c r="D26912" s="7">
        <f>DATE(2017,8,17)</f>
        <v>42964</v>
      </c>
      <c r="E26912" s="8">
        <f t="shared" si="456"/>
        <v>2017</v>
      </c>
      <c r="F26912" t="s">
        <v>4369</v>
      </c>
      <c r="G26912" s="9">
        <v>907.23</v>
      </c>
      <c r="H26912" s="8">
        <v>25438</v>
      </c>
    </row>
    <row r="26913" spans="2:8" ht="15" customHeight="1" x14ac:dyDescent="0.4">
      <c r="B26913" t="s">
        <v>7</v>
      </c>
      <c r="C26913" t="s">
        <v>4362</v>
      </c>
      <c r="D26913" s="7">
        <f>DATE(2017,9,11)</f>
        <v>42989</v>
      </c>
      <c r="E26913" s="8">
        <f t="shared" si="456"/>
        <v>2017</v>
      </c>
      <c r="F26913" t="s">
        <v>4369</v>
      </c>
      <c r="G26913" s="9">
        <v>1900</v>
      </c>
      <c r="H26913" s="8">
        <v>25554</v>
      </c>
    </row>
    <row r="26914" spans="2:8" ht="15" customHeight="1" x14ac:dyDescent="0.4">
      <c r="B26914" t="s">
        <v>7</v>
      </c>
      <c r="C26914" t="s">
        <v>4362</v>
      </c>
      <c r="D26914" s="7">
        <f>DATE(2017,9,12)</f>
        <v>42990</v>
      </c>
      <c r="E26914" s="8">
        <f t="shared" si="456"/>
        <v>2017</v>
      </c>
      <c r="F26914" t="s">
        <v>4369</v>
      </c>
      <c r="G26914" s="9">
        <v>37287.5</v>
      </c>
      <c r="H26914" s="8">
        <v>25553</v>
      </c>
    </row>
    <row r="26915" spans="2:8" ht="15" customHeight="1" x14ac:dyDescent="0.4">
      <c r="B26915" t="s">
        <v>7</v>
      </c>
      <c r="C26915" t="s">
        <v>4362</v>
      </c>
      <c r="D26915" s="7">
        <f>DATE(2017,10,23)</f>
        <v>43031</v>
      </c>
      <c r="E26915" s="8">
        <f t="shared" si="456"/>
        <v>2017</v>
      </c>
      <c r="F26915" t="s">
        <v>4369</v>
      </c>
      <c r="G26915" s="9">
        <v>794</v>
      </c>
      <c r="H26915" s="8">
        <v>25783</v>
      </c>
    </row>
    <row r="26916" spans="2:8" ht="15" customHeight="1" x14ac:dyDescent="0.4">
      <c r="B26916" t="s">
        <v>7</v>
      </c>
      <c r="C26916" t="s">
        <v>4362</v>
      </c>
      <c r="D26916" s="7">
        <f>DATE(2017,11,22)</f>
        <v>43061</v>
      </c>
      <c r="E26916" s="8">
        <f t="shared" si="456"/>
        <v>2017</v>
      </c>
      <c r="F26916" t="s">
        <v>4369</v>
      </c>
      <c r="G26916" s="9">
        <v>18886.64</v>
      </c>
      <c r="H26916" s="8">
        <v>25950</v>
      </c>
    </row>
    <row r="26917" spans="2:8" ht="15" customHeight="1" x14ac:dyDescent="0.4">
      <c r="B26917" t="s">
        <v>7</v>
      </c>
      <c r="C26917" t="s">
        <v>4362</v>
      </c>
      <c r="D26917" s="7">
        <f>DATE(2017,11,22)</f>
        <v>43061</v>
      </c>
      <c r="E26917" s="8">
        <f t="shared" si="456"/>
        <v>2017</v>
      </c>
      <c r="F26917" t="s">
        <v>4369</v>
      </c>
      <c r="G26917" s="9">
        <v>19633</v>
      </c>
      <c r="H26917" s="8">
        <v>25953</v>
      </c>
    </row>
    <row r="26918" spans="2:8" ht="15" customHeight="1" x14ac:dyDescent="0.4">
      <c r="B26918" t="s">
        <v>7</v>
      </c>
      <c r="C26918" t="s">
        <v>4362</v>
      </c>
      <c r="D26918" s="7">
        <f>DATE(2017,12,12)</f>
        <v>43081</v>
      </c>
      <c r="E26918" s="8">
        <f t="shared" si="456"/>
        <v>2017</v>
      </c>
      <c r="F26918" t="s">
        <v>4369</v>
      </c>
      <c r="G26918" s="9">
        <v>10743.47</v>
      </c>
      <c r="H26918" s="8">
        <v>26030</v>
      </c>
    </row>
    <row r="26919" spans="2:8" ht="15" customHeight="1" x14ac:dyDescent="0.4">
      <c r="B26919" t="s">
        <v>7</v>
      </c>
      <c r="C26919" t="s">
        <v>4362</v>
      </c>
      <c r="D26919" s="7">
        <f>DATE(2017,12,13)</f>
        <v>43082</v>
      </c>
      <c r="E26919" s="8">
        <f t="shared" si="456"/>
        <v>2017</v>
      </c>
      <c r="F26919" t="s">
        <v>4369</v>
      </c>
      <c r="G26919" s="9">
        <v>18762</v>
      </c>
      <c r="H26919" s="8">
        <v>26005</v>
      </c>
    </row>
    <row r="26920" spans="2:8" ht="15" customHeight="1" x14ac:dyDescent="0.4">
      <c r="B26920" t="s">
        <v>7</v>
      </c>
      <c r="C26920" t="s">
        <v>4362</v>
      </c>
      <c r="D26920" s="7">
        <f>DATE(2018,1,17)</f>
        <v>43117</v>
      </c>
      <c r="E26920" s="8">
        <f t="shared" si="456"/>
        <v>2018</v>
      </c>
      <c r="F26920" t="s">
        <v>4369</v>
      </c>
      <c r="G26920" s="9">
        <v>9423.89</v>
      </c>
      <c r="H26920" s="8">
        <v>26265</v>
      </c>
    </row>
    <row r="26921" spans="2:8" ht="15" customHeight="1" x14ac:dyDescent="0.4">
      <c r="B26921" t="s">
        <v>7</v>
      </c>
      <c r="C26921" t="s">
        <v>4362</v>
      </c>
      <c r="D26921" s="7">
        <f>DATE(2018,3,2)</f>
        <v>43161</v>
      </c>
      <c r="E26921" s="8">
        <f t="shared" si="456"/>
        <v>2018</v>
      </c>
      <c r="F26921" t="s">
        <v>4369</v>
      </c>
      <c r="G26921" s="9">
        <v>9500</v>
      </c>
      <c r="H26921" s="8">
        <v>26595</v>
      </c>
    </row>
    <row r="26922" spans="2:8" ht="15" customHeight="1" x14ac:dyDescent="0.4">
      <c r="B26922" t="s">
        <v>7</v>
      </c>
      <c r="C26922" t="s">
        <v>4362</v>
      </c>
      <c r="D26922" s="7">
        <f>DATE(2018,8,22)</f>
        <v>43334</v>
      </c>
      <c r="E26922" s="8">
        <f t="shared" si="456"/>
        <v>2018</v>
      </c>
      <c r="F26922" t="s">
        <v>4369</v>
      </c>
      <c r="G26922" s="9">
        <v>4462.1499999999996</v>
      </c>
      <c r="H26922" s="8">
        <v>27526</v>
      </c>
    </row>
    <row r="26923" spans="2:8" ht="15" customHeight="1" x14ac:dyDescent="0.4">
      <c r="B26923" t="s">
        <v>7</v>
      </c>
      <c r="C26923" t="s">
        <v>4362</v>
      </c>
      <c r="D26923" s="7">
        <f>DATE(2017,7,26)</f>
        <v>42942</v>
      </c>
      <c r="E26923" s="8">
        <f t="shared" si="456"/>
        <v>2017</v>
      </c>
      <c r="F26923" t="s">
        <v>4369</v>
      </c>
      <c r="G26923" s="9">
        <v>239.98</v>
      </c>
      <c r="H26923" s="8">
        <v>25323</v>
      </c>
    </row>
    <row r="26924" spans="2:8" ht="15" customHeight="1" x14ac:dyDescent="0.4">
      <c r="B26924" t="s">
        <v>7</v>
      </c>
      <c r="C26924" t="s">
        <v>4362</v>
      </c>
      <c r="D26924" s="7">
        <f>DATE(2011,4,18)</f>
        <v>40651</v>
      </c>
      <c r="E26924" s="8">
        <f t="shared" si="456"/>
        <v>2011</v>
      </c>
      <c r="F26924" t="s">
        <v>4369</v>
      </c>
      <c r="G26924" s="9">
        <v>21003.32</v>
      </c>
      <c r="H26924" s="8">
        <v>10500</v>
      </c>
    </row>
    <row r="26925" spans="2:8" ht="15" customHeight="1" x14ac:dyDescent="0.4">
      <c r="B26925" t="s">
        <v>7</v>
      </c>
      <c r="C26925" t="s">
        <v>4362</v>
      </c>
      <c r="D26925" s="7">
        <f>DATE(2007,10,11)</f>
        <v>39366</v>
      </c>
      <c r="E26925" s="8">
        <f t="shared" si="456"/>
        <v>2007</v>
      </c>
      <c r="F26925" t="s">
        <v>4369</v>
      </c>
      <c r="G26925" s="9">
        <v>1856.99</v>
      </c>
      <c r="H26925" s="8">
        <v>6479</v>
      </c>
    </row>
    <row r="26926" spans="2:8" ht="15" customHeight="1" x14ac:dyDescent="0.4">
      <c r="B26926" t="s">
        <v>7</v>
      </c>
      <c r="C26926" t="s">
        <v>4362</v>
      </c>
      <c r="D26926" s="7">
        <f>DATE(2008,7,1)</f>
        <v>39630</v>
      </c>
      <c r="E26926" s="8">
        <f t="shared" si="456"/>
        <v>2008</v>
      </c>
      <c r="F26926" t="s">
        <v>4369</v>
      </c>
      <c r="G26926" s="9">
        <v>15658.15</v>
      </c>
      <c r="H26926" s="8">
        <v>7495</v>
      </c>
    </row>
    <row r="26927" spans="2:8" ht="15" customHeight="1" x14ac:dyDescent="0.4">
      <c r="B26927" t="s">
        <v>7</v>
      </c>
      <c r="C26927" t="s">
        <v>4362</v>
      </c>
      <c r="D26927" s="7">
        <f>DATE(2008,10,2)</f>
        <v>39723</v>
      </c>
      <c r="E26927" s="8">
        <f t="shared" si="456"/>
        <v>2008</v>
      </c>
      <c r="F26927" t="s">
        <v>4369</v>
      </c>
      <c r="G26927" s="9">
        <v>18491.84</v>
      </c>
      <c r="H26927" s="8">
        <v>7795</v>
      </c>
    </row>
    <row r="26928" spans="2:8" ht="15" customHeight="1" x14ac:dyDescent="0.4">
      <c r="B26928" t="s">
        <v>7</v>
      </c>
      <c r="C26928" t="s">
        <v>4362</v>
      </c>
      <c r="D26928" s="7">
        <f>DATE(2008,10,14)</f>
        <v>39735</v>
      </c>
      <c r="E26928" s="8">
        <f t="shared" si="456"/>
        <v>2008</v>
      </c>
      <c r="F26928" t="s">
        <v>4369</v>
      </c>
      <c r="G26928" s="9">
        <v>10631.65</v>
      </c>
      <c r="H26928" s="8">
        <v>7996</v>
      </c>
    </row>
    <row r="26929" spans="2:8" ht="15" customHeight="1" x14ac:dyDescent="0.4">
      <c r="B26929" s="3" t="s">
        <v>7</v>
      </c>
      <c r="C26929" s="3" t="s">
        <v>4362</v>
      </c>
      <c r="D26929" s="4">
        <f>DATE(2005,8,27)</f>
        <v>38591</v>
      </c>
      <c r="E26929" s="5">
        <f t="shared" si="456"/>
        <v>2005</v>
      </c>
      <c r="F26929" s="3" t="s">
        <v>4369</v>
      </c>
      <c r="G26929" s="6">
        <v>7403.78</v>
      </c>
      <c r="H26929" s="5">
        <v>1190</v>
      </c>
    </row>
    <row r="26930" spans="2:8" ht="15" customHeight="1" x14ac:dyDescent="0.4">
      <c r="B26930" s="3" t="s">
        <v>7</v>
      </c>
      <c r="C26930" s="3" t="s">
        <v>4362</v>
      </c>
      <c r="D26930" s="4">
        <f>DATE(2005,8,18)</f>
        <v>38582</v>
      </c>
      <c r="E26930" s="5">
        <f t="shared" si="456"/>
        <v>2005</v>
      </c>
      <c r="F26930" s="3" t="s">
        <v>4369</v>
      </c>
      <c r="G26930" s="6">
        <v>22184.69</v>
      </c>
      <c r="H26930" s="5">
        <v>1188</v>
      </c>
    </row>
    <row r="26931" spans="2:8" ht="15" customHeight="1" x14ac:dyDescent="0.4">
      <c r="B26931" s="3" t="s">
        <v>7</v>
      </c>
      <c r="C26931" s="3" t="s">
        <v>4362</v>
      </c>
      <c r="D26931" s="4">
        <f>DATE(2006,4,12)</f>
        <v>38819</v>
      </c>
      <c r="E26931" s="5">
        <f t="shared" si="456"/>
        <v>2006</v>
      </c>
      <c r="F26931" s="3" t="s">
        <v>4369</v>
      </c>
      <c r="G26931" s="6">
        <v>1540.24</v>
      </c>
      <c r="H26931" s="5">
        <v>1537</v>
      </c>
    </row>
    <row r="26932" spans="2:8" ht="15" customHeight="1" x14ac:dyDescent="0.4">
      <c r="B26932" s="3" t="s">
        <v>7</v>
      </c>
      <c r="C26932" s="3" t="s">
        <v>4362</v>
      </c>
      <c r="D26932" s="4">
        <f>DATE(2006,5,11)</f>
        <v>38848</v>
      </c>
      <c r="E26932" s="5">
        <f t="shared" si="456"/>
        <v>2006</v>
      </c>
      <c r="F26932" s="3" t="s">
        <v>4369</v>
      </c>
      <c r="G26932" s="6">
        <v>698</v>
      </c>
      <c r="H26932" s="5">
        <v>1577</v>
      </c>
    </row>
    <row r="26933" spans="2:8" ht="15" customHeight="1" x14ac:dyDescent="0.4">
      <c r="B26933" s="3" t="s">
        <v>7</v>
      </c>
      <c r="C26933" s="3" t="s">
        <v>4362</v>
      </c>
      <c r="D26933" s="4">
        <f>DATE(2006,5,25)</f>
        <v>38862</v>
      </c>
      <c r="E26933" s="5">
        <f t="shared" si="456"/>
        <v>2006</v>
      </c>
      <c r="F26933" s="3" t="s">
        <v>4369</v>
      </c>
      <c r="G26933" s="6">
        <v>59328.62</v>
      </c>
      <c r="H26933" s="5">
        <v>1561</v>
      </c>
    </row>
    <row r="26934" spans="2:8" ht="15" customHeight="1" x14ac:dyDescent="0.4">
      <c r="B26934" s="3" t="s">
        <v>7</v>
      </c>
      <c r="C26934" s="3" t="s">
        <v>4362</v>
      </c>
      <c r="D26934" s="4">
        <f>DATE(2006,5,25)</f>
        <v>38862</v>
      </c>
      <c r="E26934" s="5">
        <f t="shared" si="456"/>
        <v>2006</v>
      </c>
      <c r="F26934" s="3" t="s">
        <v>4369</v>
      </c>
      <c r="G26934" s="6">
        <v>6432</v>
      </c>
      <c r="H26934" s="5">
        <v>1567</v>
      </c>
    </row>
    <row r="26935" spans="2:8" ht="15" customHeight="1" x14ac:dyDescent="0.4">
      <c r="B26935" s="3" t="s">
        <v>7</v>
      </c>
      <c r="C26935" s="3" t="s">
        <v>4362</v>
      </c>
      <c r="D26935" s="4">
        <f>DATE(2006,6,15)</f>
        <v>38883</v>
      </c>
      <c r="E26935" s="5">
        <f t="shared" si="456"/>
        <v>2006</v>
      </c>
      <c r="F26935" s="3" t="s">
        <v>4369</v>
      </c>
      <c r="G26935" s="6">
        <v>677.11</v>
      </c>
      <c r="H26935" s="5">
        <v>1622</v>
      </c>
    </row>
    <row r="26936" spans="2:8" ht="15" customHeight="1" x14ac:dyDescent="0.4">
      <c r="B26936" s="3" t="s">
        <v>7</v>
      </c>
      <c r="C26936" s="3" t="s">
        <v>4362</v>
      </c>
      <c r="D26936" s="4">
        <f>DATE(2006,6,23)</f>
        <v>38891</v>
      </c>
      <c r="E26936" s="5">
        <f t="shared" si="456"/>
        <v>2006</v>
      </c>
      <c r="F26936" s="3" t="s">
        <v>4369</v>
      </c>
      <c r="G26936" s="6">
        <v>10488.09</v>
      </c>
      <c r="H26936" s="5">
        <v>1628</v>
      </c>
    </row>
    <row r="26937" spans="2:8" ht="15" customHeight="1" x14ac:dyDescent="0.4">
      <c r="B26937" s="3" t="s">
        <v>7</v>
      </c>
      <c r="C26937" s="3" t="s">
        <v>4362</v>
      </c>
      <c r="D26937" s="4">
        <f>DATE(2006,6,26)</f>
        <v>38894</v>
      </c>
      <c r="E26937" s="5">
        <f t="shared" si="456"/>
        <v>2006</v>
      </c>
      <c r="F26937" s="3" t="s">
        <v>4369</v>
      </c>
      <c r="G26937" s="6">
        <v>2778.61</v>
      </c>
      <c r="H26937" s="5">
        <v>1642</v>
      </c>
    </row>
    <row r="26938" spans="2:8" ht="15" customHeight="1" x14ac:dyDescent="0.4">
      <c r="B26938" s="3" t="s">
        <v>7</v>
      </c>
      <c r="C26938" s="3" t="s">
        <v>4362</v>
      </c>
      <c r="D26938" s="4">
        <f>DATE(2006,7,7)</f>
        <v>38905</v>
      </c>
      <c r="E26938" s="5">
        <f t="shared" si="456"/>
        <v>2006</v>
      </c>
      <c r="F26938" s="3" t="s">
        <v>4369</v>
      </c>
      <c r="G26938" s="6">
        <v>9505.01</v>
      </c>
      <c r="H26938" s="5">
        <v>1672</v>
      </c>
    </row>
    <row r="26939" spans="2:8" ht="15" customHeight="1" x14ac:dyDescent="0.4">
      <c r="B26939" s="3" t="s">
        <v>7</v>
      </c>
      <c r="C26939" s="3" t="s">
        <v>4362</v>
      </c>
      <c r="D26939" s="4">
        <f>DATE(2006,6,15)</f>
        <v>38883</v>
      </c>
      <c r="E26939" s="5">
        <f t="shared" si="456"/>
        <v>2006</v>
      </c>
      <c r="F26939" s="3" t="s">
        <v>4369</v>
      </c>
      <c r="G26939" s="6">
        <v>70.45</v>
      </c>
      <c r="H26939" s="5">
        <v>1700</v>
      </c>
    </row>
    <row r="26940" spans="2:8" ht="15" customHeight="1" x14ac:dyDescent="0.4">
      <c r="B26940" s="3" t="s">
        <v>7</v>
      </c>
      <c r="C26940" s="3" t="s">
        <v>4362</v>
      </c>
      <c r="D26940" s="4">
        <f>DATE(2006,6,26)</f>
        <v>38894</v>
      </c>
      <c r="E26940" s="5">
        <f t="shared" si="456"/>
        <v>2006</v>
      </c>
      <c r="F26940" s="3" t="s">
        <v>4369</v>
      </c>
      <c r="G26940" s="6">
        <v>57.2</v>
      </c>
      <c r="H26940" s="5">
        <v>1706</v>
      </c>
    </row>
    <row r="26941" spans="2:8" ht="15" customHeight="1" x14ac:dyDescent="0.4">
      <c r="B26941" s="3" t="s">
        <v>7</v>
      </c>
      <c r="C26941" s="3" t="s">
        <v>4362</v>
      </c>
      <c r="D26941" s="4">
        <f>DATE(2006,8,4)</f>
        <v>38933</v>
      </c>
      <c r="E26941" s="5">
        <f t="shared" si="456"/>
        <v>2006</v>
      </c>
      <c r="F26941" s="3" t="s">
        <v>4369</v>
      </c>
      <c r="G26941" s="6">
        <v>509.1</v>
      </c>
      <c r="H26941" s="5">
        <v>1714</v>
      </c>
    </row>
    <row r="26942" spans="2:8" ht="15" customHeight="1" x14ac:dyDescent="0.4">
      <c r="B26942" s="3" t="s">
        <v>7</v>
      </c>
      <c r="C26942" s="3" t="s">
        <v>4362</v>
      </c>
      <c r="D26942" s="4">
        <f>DATE(2006,8,11)</f>
        <v>38940</v>
      </c>
      <c r="E26942" s="5">
        <f t="shared" si="456"/>
        <v>2006</v>
      </c>
      <c r="F26942" s="3" t="s">
        <v>4369</v>
      </c>
      <c r="G26942" s="6">
        <v>262.45999999999998</v>
      </c>
      <c r="H26942" s="5">
        <v>1731</v>
      </c>
    </row>
    <row r="26943" spans="2:8" ht="15" customHeight="1" x14ac:dyDescent="0.4">
      <c r="B26943" s="3" t="s">
        <v>7</v>
      </c>
      <c r="C26943" s="3" t="s">
        <v>4362</v>
      </c>
      <c r="D26943" s="4">
        <f>DATE(2006,9,15)</f>
        <v>38975</v>
      </c>
      <c r="E26943" s="5">
        <f t="shared" si="456"/>
        <v>2006</v>
      </c>
      <c r="F26943" s="3" t="s">
        <v>4369</v>
      </c>
      <c r="G26943" s="6">
        <v>1007.53</v>
      </c>
      <c r="H26943" s="5">
        <v>1781</v>
      </c>
    </row>
    <row r="26944" spans="2:8" ht="15" customHeight="1" x14ac:dyDescent="0.4">
      <c r="B26944" s="3" t="s">
        <v>7</v>
      </c>
      <c r="C26944" s="3" t="s">
        <v>4362</v>
      </c>
      <c r="D26944" s="4">
        <f>DATE(2006,9,19)</f>
        <v>38979</v>
      </c>
      <c r="E26944" s="5">
        <f t="shared" si="456"/>
        <v>2006</v>
      </c>
      <c r="F26944" s="3" t="s">
        <v>4369</v>
      </c>
      <c r="G26944" s="6">
        <v>846.92</v>
      </c>
      <c r="H26944" s="5">
        <v>1800</v>
      </c>
    </row>
    <row r="26945" spans="2:8" ht="15" customHeight="1" x14ac:dyDescent="0.4">
      <c r="B26945" s="3" t="s">
        <v>7</v>
      </c>
      <c r="C26945" s="3" t="s">
        <v>4362</v>
      </c>
      <c r="D26945" s="4">
        <f>DATE(2006,9,29)</f>
        <v>38989</v>
      </c>
      <c r="E26945" s="5">
        <f t="shared" si="456"/>
        <v>2006</v>
      </c>
      <c r="F26945" s="3" t="s">
        <v>4369</v>
      </c>
      <c r="G26945" s="6">
        <v>900.07</v>
      </c>
      <c r="H26945" s="5">
        <v>1811</v>
      </c>
    </row>
    <row r="26946" spans="2:8" ht="15" customHeight="1" x14ac:dyDescent="0.4">
      <c r="B26946" s="3" t="s">
        <v>7</v>
      </c>
      <c r="C26946" s="3" t="s">
        <v>4362</v>
      </c>
      <c r="D26946" s="4">
        <f>DATE(2006,10,4)</f>
        <v>38994</v>
      </c>
      <c r="E26946" s="5">
        <f t="shared" si="456"/>
        <v>2006</v>
      </c>
      <c r="F26946" s="3" t="s">
        <v>4369</v>
      </c>
      <c r="G26946" s="6">
        <v>1301.67</v>
      </c>
      <c r="H26946" s="5">
        <v>1816</v>
      </c>
    </row>
    <row r="26947" spans="2:8" ht="15" customHeight="1" x14ac:dyDescent="0.4">
      <c r="B26947" s="3" t="s">
        <v>7</v>
      </c>
      <c r="C26947" s="3" t="s">
        <v>4362</v>
      </c>
      <c r="D26947" s="4">
        <f>DATE(2006,10,13)</f>
        <v>39003</v>
      </c>
      <c r="E26947" s="5">
        <f t="shared" ref="E26947:E27010" si="457">YEAR(D26947)</f>
        <v>2006</v>
      </c>
      <c r="F26947" s="3" t="s">
        <v>4369</v>
      </c>
      <c r="G26947" s="6">
        <v>845.63</v>
      </c>
      <c r="H26947" s="5">
        <v>1823</v>
      </c>
    </row>
    <row r="26948" spans="2:8" ht="15" customHeight="1" x14ac:dyDescent="0.4">
      <c r="B26948" s="3" t="s">
        <v>7</v>
      </c>
      <c r="C26948" s="3" t="s">
        <v>4362</v>
      </c>
      <c r="D26948" s="4">
        <f>DATE(2006,11,14)</f>
        <v>39035</v>
      </c>
      <c r="E26948" s="5">
        <f t="shared" si="457"/>
        <v>2006</v>
      </c>
      <c r="F26948" s="3" t="s">
        <v>4369</v>
      </c>
      <c r="G26948" s="6">
        <v>285.69</v>
      </c>
      <c r="H26948" s="5">
        <v>1908</v>
      </c>
    </row>
    <row r="26949" spans="2:8" ht="15" customHeight="1" x14ac:dyDescent="0.4">
      <c r="B26949" s="3" t="s">
        <v>7</v>
      </c>
      <c r="C26949" s="3" t="s">
        <v>4362</v>
      </c>
      <c r="D26949" s="4">
        <f>DATE(2007,1,26)</f>
        <v>39108</v>
      </c>
      <c r="E26949" s="5">
        <f t="shared" si="457"/>
        <v>2007</v>
      </c>
      <c r="F26949" s="3" t="s">
        <v>4369</v>
      </c>
      <c r="G26949" s="6">
        <v>5029</v>
      </c>
      <c r="H26949" s="5">
        <v>2029</v>
      </c>
    </row>
    <row r="26950" spans="2:8" ht="15" customHeight="1" x14ac:dyDescent="0.4">
      <c r="B26950" s="3" t="s">
        <v>7</v>
      </c>
      <c r="C26950" s="3" t="s">
        <v>4362</v>
      </c>
      <c r="D26950" s="4">
        <f>DATE(2007,2,20)</f>
        <v>39133</v>
      </c>
      <c r="E26950" s="5">
        <f t="shared" si="457"/>
        <v>2007</v>
      </c>
      <c r="F26950" s="3" t="s">
        <v>4369</v>
      </c>
      <c r="G26950" s="6">
        <v>3955.53</v>
      </c>
      <c r="H26950" s="5">
        <v>2035</v>
      </c>
    </row>
    <row r="26951" spans="2:8" ht="15" customHeight="1" x14ac:dyDescent="0.4">
      <c r="B26951" s="3" t="s">
        <v>7</v>
      </c>
      <c r="C26951" s="3" t="s">
        <v>4362</v>
      </c>
      <c r="D26951" s="4">
        <f>DATE(2007,3,22)</f>
        <v>39163</v>
      </c>
      <c r="E26951" s="5">
        <f t="shared" si="457"/>
        <v>2007</v>
      </c>
      <c r="F26951" s="3" t="s">
        <v>4369</v>
      </c>
      <c r="G26951" s="6">
        <v>4933.1000000000004</v>
      </c>
      <c r="H26951" s="5">
        <v>2136</v>
      </c>
    </row>
    <row r="26952" spans="2:8" ht="15" customHeight="1" x14ac:dyDescent="0.4">
      <c r="B26952" s="3" t="s">
        <v>7</v>
      </c>
      <c r="C26952" s="3" t="s">
        <v>4362</v>
      </c>
      <c r="D26952" s="4">
        <f>DATE(2007,3,23)</f>
        <v>39164</v>
      </c>
      <c r="E26952" s="5">
        <f t="shared" si="457"/>
        <v>2007</v>
      </c>
      <c r="F26952" s="3" t="s">
        <v>4369</v>
      </c>
      <c r="G26952" s="6">
        <v>629.95000000000005</v>
      </c>
      <c r="H26952" s="5">
        <v>2137</v>
      </c>
    </row>
    <row r="26953" spans="2:8" ht="15" customHeight="1" x14ac:dyDescent="0.4">
      <c r="B26953" s="3" t="s">
        <v>7</v>
      </c>
      <c r="C26953" s="3" t="s">
        <v>4362</v>
      </c>
      <c r="D26953" s="4">
        <f>DATE(2007,4,1)</f>
        <v>39173</v>
      </c>
      <c r="E26953" s="5">
        <f t="shared" si="457"/>
        <v>2007</v>
      </c>
      <c r="F26953" s="3" t="s">
        <v>4369</v>
      </c>
      <c r="G26953" s="6">
        <v>354.12</v>
      </c>
      <c r="H26953" s="5">
        <v>2149</v>
      </c>
    </row>
    <row r="26954" spans="2:8" ht="15" customHeight="1" x14ac:dyDescent="0.4">
      <c r="B26954" s="3" t="s">
        <v>7</v>
      </c>
      <c r="C26954" s="3" t="s">
        <v>4362</v>
      </c>
      <c r="D26954" s="4">
        <f>DATE(2007,4,9)</f>
        <v>39181</v>
      </c>
      <c r="E26954" s="5">
        <f t="shared" si="457"/>
        <v>2007</v>
      </c>
      <c r="F26954" s="3" t="s">
        <v>4369</v>
      </c>
      <c r="G26954" s="6">
        <v>157</v>
      </c>
      <c r="H26954" s="5">
        <v>2170</v>
      </c>
    </row>
    <row r="26955" spans="2:8" ht="15" customHeight="1" x14ac:dyDescent="0.4">
      <c r="B26955" s="3" t="s">
        <v>7</v>
      </c>
      <c r="C26955" s="3" t="s">
        <v>4362</v>
      </c>
      <c r="D26955" s="4">
        <f>DATE(2007,4,18)</f>
        <v>39190</v>
      </c>
      <c r="E26955" s="5">
        <f t="shared" si="457"/>
        <v>2007</v>
      </c>
      <c r="F26955" s="3" t="s">
        <v>4369</v>
      </c>
      <c r="G26955" s="6">
        <v>376.38</v>
      </c>
      <c r="H26955" s="5">
        <v>2193</v>
      </c>
    </row>
    <row r="26956" spans="2:8" ht="15" customHeight="1" x14ac:dyDescent="0.4">
      <c r="B26956" s="3" t="s">
        <v>7</v>
      </c>
      <c r="C26956" s="3" t="s">
        <v>4362</v>
      </c>
      <c r="D26956" s="4">
        <f>DATE(2007,4,1)</f>
        <v>39173</v>
      </c>
      <c r="E26956" s="5">
        <f t="shared" si="457"/>
        <v>2007</v>
      </c>
      <c r="F26956" s="3" t="s">
        <v>4369</v>
      </c>
      <c r="G26956" s="6">
        <v>615.20000000000005</v>
      </c>
      <c r="H26956" s="5">
        <v>2156</v>
      </c>
    </row>
    <row r="26957" spans="2:8" ht="15" customHeight="1" x14ac:dyDescent="0.4">
      <c r="B26957" s="3" t="s">
        <v>7</v>
      </c>
      <c r="C26957" s="3" t="s">
        <v>4362</v>
      </c>
      <c r="D26957" s="4">
        <f>DATE(2007,5,1)</f>
        <v>39203</v>
      </c>
      <c r="E26957" s="5">
        <f t="shared" si="457"/>
        <v>2007</v>
      </c>
      <c r="F26957" s="3" t="s">
        <v>4369</v>
      </c>
      <c r="G26957" s="6">
        <v>421.98</v>
      </c>
      <c r="H26957" s="5">
        <v>2228</v>
      </c>
    </row>
    <row r="26958" spans="2:8" ht="15" customHeight="1" x14ac:dyDescent="0.4">
      <c r="B26958" s="3" t="s">
        <v>7</v>
      </c>
      <c r="C26958" s="3" t="s">
        <v>4362</v>
      </c>
      <c r="D26958" s="4">
        <f>DATE(2007,4,13)</f>
        <v>39185</v>
      </c>
      <c r="E26958" s="5">
        <f t="shared" si="457"/>
        <v>2007</v>
      </c>
      <c r="F26958" s="3" t="s">
        <v>4369</v>
      </c>
      <c r="G26958" s="6">
        <v>1774.33</v>
      </c>
      <c r="H26958" s="5">
        <v>2184</v>
      </c>
    </row>
    <row r="26959" spans="2:8" ht="15" customHeight="1" x14ac:dyDescent="0.4">
      <c r="B26959" s="3" t="s">
        <v>7</v>
      </c>
      <c r="C26959" s="3" t="s">
        <v>4362</v>
      </c>
      <c r="D26959" s="4">
        <f>DATE(2007,5,1)</f>
        <v>39203</v>
      </c>
      <c r="E26959" s="5">
        <f t="shared" si="457"/>
        <v>2007</v>
      </c>
      <c r="F26959" s="3" t="s">
        <v>4369</v>
      </c>
      <c r="G26959" s="6">
        <v>1926.38</v>
      </c>
      <c r="H26959" s="5">
        <v>2208</v>
      </c>
    </row>
    <row r="26960" spans="2:8" ht="15" customHeight="1" x14ac:dyDescent="0.4">
      <c r="B26960" s="3" t="s">
        <v>7</v>
      </c>
      <c r="C26960" s="3" t="s">
        <v>4362</v>
      </c>
      <c r="D26960" s="4">
        <f>DATE(2007,5,18)</f>
        <v>39220</v>
      </c>
      <c r="E26960" s="5">
        <f t="shared" si="457"/>
        <v>2007</v>
      </c>
      <c r="F26960" s="3" t="s">
        <v>4369</v>
      </c>
      <c r="G26960" s="6">
        <v>2224</v>
      </c>
      <c r="H26960" s="5">
        <v>2254</v>
      </c>
    </row>
    <row r="26961" spans="2:8" ht="15" customHeight="1" x14ac:dyDescent="0.4">
      <c r="B26961" s="3" t="s">
        <v>7</v>
      </c>
      <c r="C26961" s="3" t="s">
        <v>4362</v>
      </c>
      <c r="D26961" s="4">
        <f>DATE(2007,5,25)</f>
        <v>39227</v>
      </c>
      <c r="E26961" s="5">
        <f t="shared" si="457"/>
        <v>2007</v>
      </c>
      <c r="F26961" s="3" t="s">
        <v>4369</v>
      </c>
      <c r="G26961" s="6">
        <v>230.64</v>
      </c>
      <c r="H26961" s="5">
        <v>2263</v>
      </c>
    </row>
    <row r="26962" spans="2:8" ht="15" customHeight="1" x14ac:dyDescent="0.4">
      <c r="B26962" s="3" t="s">
        <v>7</v>
      </c>
      <c r="C26962" s="3" t="s">
        <v>4362</v>
      </c>
      <c r="D26962" s="4">
        <f>DATE(2007,5,25)</f>
        <v>39227</v>
      </c>
      <c r="E26962" s="5">
        <f t="shared" si="457"/>
        <v>2007</v>
      </c>
      <c r="F26962" s="3" t="s">
        <v>4369</v>
      </c>
      <c r="G26962" s="6">
        <v>799.71</v>
      </c>
      <c r="H26962" s="5">
        <v>2266</v>
      </c>
    </row>
    <row r="26963" spans="2:8" ht="15" customHeight="1" x14ac:dyDescent="0.4">
      <c r="B26963" s="3" t="s">
        <v>7</v>
      </c>
      <c r="C26963" s="3" t="s">
        <v>4362</v>
      </c>
      <c r="D26963" s="4">
        <f>DATE(2007,5,21)</f>
        <v>39223</v>
      </c>
      <c r="E26963" s="5">
        <f t="shared" si="457"/>
        <v>2007</v>
      </c>
      <c r="F26963" s="3" t="s">
        <v>4369</v>
      </c>
      <c r="G26963" s="6">
        <v>1651.31</v>
      </c>
      <c r="H26963" s="5">
        <v>2258</v>
      </c>
    </row>
    <row r="26964" spans="2:8" ht="15" customHeight="1" x14ac:dyDescent="0.4">
      <c r="B26964" s="3" t="s">
        <v>7</v>
      </c>
      <c r="C26964" s="3" t="s">
        <v>4362</v>
      </c>
      <c r="D26964" s="4">
        <f>DATE(2007,6,1)</f>
        <v>39234</v>
      </c>
      <c r="E26964" s="5">
        <f t="shared" si="457"/>
        <v>2007</v>
      </c>
      <c r="F26964" s="3" t="s">
        <v>4369</v>
      </c>
      <c r="G26964" s="6">
        <v>900</v>
      </c>
      <c r="H26964" s="5">
        <v>2257</v>
      </c>
    </row>
    <row r="26965" spans="2:8" ht="15" customHeight="1" x14ac:dyDescent="0.4">
      <c r="B26965" s="3" t="s">
        <v>7</v>
      </c>
      <c r="C26965" s="3" t="s">
        <v>4362</v>
      </c>
      <c r="D26965" s="4">
        <f>DATE(2007,6,15)</f>
        <v>39248</v>
      </c>
      <c r="E26965" s="5">
        <f t="shared" si="457"/>
        <v>2007</v>
      </c>
      <c r="F26965" s="3" t="s">
        <v>4369</v>
      </c>
      <c r="G26965" s="6">
        <v>713.22</v>
      </c>
      <c r="H26965" s="5">
        <v>2304</v>
      </c>
    </row>
    <row r="26966" spans="2:8" ht="15" customHeight="1" x14ac:dyDescent="0.4">
      <c r="B26966" s="3" t="s">
        <v>7</v>
      </c>
      <c r="C26966" s="3" t="s">
        <v>4362</v>
      </c>
      <c r="D26966" s="4">
        <f>DATE(2007,7,9)</f>
        <v>39272</v>
      </c>
      <c r="E26966" s="5">
        <f t="shared" si="457"/>
        <v>2007</v>
      </c>
      <c r="F26966" s="3" t="s">
        <v>4369</v>
      </c>
      <c r="G26966" s="6">
        <v>407.67</v>
      </c>
      <c r="H26966" s="5">
        <v>2321</v>
      </c>
    </row>
    <row r="26967" spans="2:8" ht="15" customHeight="1" x14ac:dyDescent="0.4">
      <c r="B26967" s="3" t="s">
        <v>7</v>
      </c>
      <c r="C26967" s="3" t="s">
        <v>4362</v>
      </c>
      <c r="D26967" s="4">
        <f>DATE(2007,6,15)</f>
        <v>39248</v>
      </c>
      <c r="E26967" s="5">
        <f t="shared" si="457"/>
        <v>2007</v>
      </c>
      <c r="F26967" s="3" t="s">
        <v>4369</v>
      </c>
      <c r="G26967" s="6">
        <v>50.49</v>
      </c>
      <c r="H26967" s="5">
        <v>2336</v>
      </c>
    </row>
    <row r="26968" spans="2:8" ht="15" customHeight="1" x14ac:dyDescent="0.4">
      <c r="B26968" s="3" t="s">
        <v>7</v>
      </c>
      <c r="C26968" s="3" t="s">
        <v>4362</v>
      </c>
      <c r="D26968" s="4">
        <f>DATE(2007,8,22)</f>
        <v>39316</v>
      </c>
      <c r="E26968" s="5">
        <f t="shared" si="457"/>
        <v>2007</v>
      </c>
      <c r="F26968" s="3" t="s">
        <v>4369</v>
      </c>
      <c r="G26968" s="6">
        <v>926.04</v>
      </c>
      <c r="H26968" s="5">
        <v>2368</v>
      </c>
    </row>
    <row r="26969" spans="2:8" ht="15" customHeight="1" x14ac:dyDescent="0.4">
      <c r="B26969" s="3" t="s">
        <v>7</v>
      </c>
      <c r="C26969" s="3" t="s">
        <v>4362</v>
      </c>
      <c r="D26969" s="4">
        <f>DATE(2007,11,30)</f>
        <v>39416</v>
      </c>
      <c r="E26969" s="5">
        <f t="shared" si="457"/>
        <v>2007</v>
      </c>
      <c r="F26969" s="3" t="s">
        <v>4369</v>
      </c>
      <c r="G26969" s="6">
        <v>8808.18</v>
      </c>
      <c r="H26969" s="5">
        <v>2527</v>
      </c>
    </row>
    <row r="26970" spans="2:8" ht="15" customHeight="1" x14ac:dyDescent="0.4">
      <c r="B26970" s="3" t="s">
        <v>7</v>
      </c>
      <c r="C26970" s="3" t="s">
        <v>4362</v>
      </c>
      <c r="D26970" s="4">
        <f>DATE(2007,11,21)</f>
        <v>39407</v>
      </c>
      <c r="E26970" s="5">
        <f t="shared" si="457"/>
        <v>2007</v>
      </c>
      <c r="F26970" s="3" t="s">
        <v>4369</v>
      </c>
      <c r="G26970" s="6">
        <v>1718.52</v>
      </c>
      <c r="H26970" s="5">
        <v>2486</v>
      </c>
    </row>
    <row r="26971" spans="2:8" ht="15" customHeight="1" x14ac:dyDescent="0.4">
      <c r="B26971" s="3" t="s">
        <v>7</v>
      </c>
      <c r="C26971" s="3" t="s">
        <v>4362</v>
      </c>
      <c r="D26971" s="4">
        <f>DATE(2007,12,14)</f>
        <v>39430</v>
      </c>
      <c r="E26971" s="5">
        <f t="shared" si="457"/>
        <v>2007</v>
      </c>
      <c r="F26971" s="3" t="s">
        <v>4369</v>
      </c>
      <c r="G26971" s="6">
        <v>570.92999999999995</v>
      </c>
      <c r="H26971" s="5">
        <v>2534</v>
      </c>
    </row>
    <row r="26972" spans="2:8" ht="15" customHeight="1" x14ac:dyDescent="0.4">
      <c r="B26972" s="3" t="s">
        <v>7</v>
      </c>
      <c r="C26972" s="3" t="s">
        <v>4362</v>
      </c>
      <c r="D26972" s="4">
        <f>DATE(2008,4,29)</f>
        <v>39567</v>
      </c>
      <c r="E26972" s="5">
        <f t="shared" si="457"/>
        <v>2008</v>
      </c>
      <c r="F26972" s="3" t="s">
        <v>4369</v>
      </c>
      <c r="G26972" s="6">
        <v>767.6</v>
      </c>
      <c r="H26972" s="5">
        <v>2797</v>
      </c>
    </row>
    <row r="26973" spans="2:8" ht="15" customHeight="1" x14ac:dyDescent="0.4">
      <c r="B26973" s="3" t="s">
        <v>7</v>
      </c>
      <c r="C26973" s="3" t="s">
        <v>4362</v>
      </c>
      <c r="D26973" s="4">
        <f>DATE(2008,5,6)</f>
        <v>39574</v>
      </c>
      <c r="E26973" s="5">
        <f t="shared" si="457"/>
        <v>2008</v>
      </c>
      <c r="F26973" s="3" t="s">
        <v>4369</v>
      </c>
      <c r="G26973" s="6">
        <v>154.43</v>
      </c>
      <c r="H26973" s="5">
        <v>2809</v>
      </c>
    </row>
    <row r="26974" spans="2:8" ht="15" customHeight="1" x14ac:dyDescent="0.4">
      <c r="B26974" s="3" t="s">
        <v>7</v>
      </c>
      <c r="C26974" s="3" t="s">
        <v>4362</v>
      </c>
      <c r="D26974" s="4">
        <f>DATE(2008,5,23)</f>
        <v>39591</v>
      </c>
      <c r="E26974" s="5">
        <f t="shared" si="457"/>
        <v>2008</v>
      </c>
      <c r="F26974" s="3" t="s">
        <v>4369</v>
      </c>
      <c r="G26974" s="6">
        <v>872.53</v>
      </c>
      <c r="H26974" s="5">
        <v>2851</v>
      </c>
    </row>
    <row r="26975" spans="2:8" ht="15" customHeight="1" x14ac:dyDescent="0.4">
      <c r="B26975" s="3" t="s">
        <v>7</v>
      </c>
      <c r="C26975" s="3" t="s">
        <v>4362</v>
      </c>
      <c r="D26975" s="4">
        <f>DATE(2008,6,6)</f>
        <v>39605</v>
      </c>
      <c r="E26975" s="5">
        <f t="shared" si="457"/>
        <v>2008</v>
      </c>
      <c r="F26975" s="3" t="s">
        <v>4369</v>
      </c>
      <c r="G26975" s="6">
        <v>1190.24</v>
      </c>
      <c r="H26975" s="5">
        <v>2876</v>
      </c>
    </row>
    <row r="26976" spans="2:8" ht="15" customHeight="1" x14ac:dyDescent="0.4">
      <c r="B26976" s="3" t="s">
        <v>7</v>
      </c>
      <c r="C26976" s="3" t="s">
        <v>4362</v>
      </c>
      <c r="D26976" s="4">
        <f>DATE(2008,6,16)</f>
        <v>39615</v>
      </c>
      <c r="E26976" s="5">
        <f t="shared" si="457"/>
        <v>2008</v>
      </c>
      <c r="F26976" s="3" t="s">
        <v>4369</v>
      </c>
      <c r="G26976" s="6">
        <v>931.44</v>
      </c>
      <c r="H26976" s="5">
        <v>2886</v>
      </c>
    </row>
    <row r="26977" spans="2:8" ht="15" customHeight="1" x14ac:dyDescent="0.4">
      <c r="B26977" s="3" t="s">
        <v>7</v>
      </c>
      <c r="C26977" s="3" t="s">
        <v>4362</v>
      </c>
      <c r="D26977" s="4">
        <f>DATE(2008,6,1)</f>
        <v>39600</v>
      </c>
      <c r="E26977" s="5">
        <f t="shared" si="457"/>
        <v>2008</v>
      </c>
      <c r="F26977" s="3" t="s">
        <v>4369</v>
      </c>
      <c r="G26977" s="6">
        <v>95.73</v>
      </c>
      <c r="H26977" s="5">
        <v>2907</v>
      </c>
    </row>
    <row r="26978" spans="2:8" ht="15" customHeight="1" x14ac:dyDescent="0.4">
      <c r="B26978" s="3" t="s">
        <v>7</v>
      </c>
      <c r="C26978" s="3" t="s">
        <v>4362</v>
      </c>
      <c r="D26978" s="4">
        <f>DATE(2008,8,1)</f>
        <v>39661</v>
      </c>
      <c r="E26978" s="5">
        <f t="shared" si="457"/>
        <v>2008</v>
      </c>
      <c r="F26978" s="3" t="s">
        <v>4369</v>
      </c>
      <c r="G26978" s="6">
        <v>85337.14</v>
      </c>
      <c r="H26978" s="5">
        <v>2721</v>
      </c>
    </row>
    <row r="26979" spans="2:8" ht="15" customHeight="1" x14ac:dyDescent="0.4">
      <c r="B26979" s="3" t="s">
        <v>7</v>
      </c>
      <c r="C26979" s="3" t="s">
        <v>4362</v>
      </c>
      <c r="D26979" s="4">
        <f>DATE(2008,7,1)</f>
        <v>39630</v>
      </c>
      <c r="E26979" s="5">
        <f t="shared" si="457"/>
        <v>2008</v>
      </c>
      <c r="F26979" s="3" t="s">
        <v>4369</v>
      </c>
      <c r="G26979" s="6">
        <v>1025.01</v>
      </c>
      <c r="H26979" s="5">
        <v>2874</v>
      </c>
    </row>
    <row r="26980" spans="2:8" ht="15" customHeight="1" x14ac:dyDescent="0.4">
      <c r="B26980" s="3" t="s">
        <v>7</v>
      </c>
      <c r="C26980" s="3" t="s">
        <v>4362</v>
      </c>
      <c r="D26980" s="4">
        <f>DATE(2008,8,16)</f>
        <v>39676</v>
      </c>
      <c r="E26980" s="5">
        <f t="shared" si="457"/>
        <v>2008</v>
      </c>
      <c r="F26980" s="3" t="s">
        <v>4369</v>
      </c>
      <c r="G26980" s="6">
        <v>2509.7600000000002</v>
      </c>
      <c r="H26980" s="5">
        <v>2986</v>
      </c>
    </row>
    <row r="26981" spans="2:8" ht="15" customHeight="1" x14ac:dyDescent="0.4">
      <c r="B26981" s="3" t="s">
        <v>7</v>
      </c>
      <c r="C26981" s="3" t="s">
        <v>4362</v>
      </c>
      <c r="D26981" s="4">
        <f>DATE(2008,8,29)</f>
        <v>39689</v>
      </c>
      <c r="E26981" s="5">
        <f t="shared" si="457"/>
        <v>2008</v>
      </c>
      <c r="F26981" s="3" t="s">
        <v>4369</v>
      </c>
      <c r="G26981" s="6">
        <v>785.19</v>
      </c>
      <c r="H26981" s="5">
        <v>3005</v>
      </c>
    </row>
    <row r="26982" spans="2:8" ht="15" customHeight="1" x14ac:dyDescent="0.4">
      <c r="B26982" s="3" t="s">
        <v>7</v>
      </c>
      <c r="C26982" s="3" t="s">
        <v>4362</v>
      </c>
      <c r="D26982" s="4">
        <f>DATE(2008,9,9)</f>
        <v>39700</v>
      </c>
      <c r="E26982" s="5">
        <f t="shared" si="457"/>
        <v>2008</v>
      </c>
      <c r="F26982" s="3" t="s">
        <v>4369</v>
      </c>
      <c r="G26982" s="6">
        <v>2849.63</v>
      </c>
      <c r="H26982" s="5">
        <v>3015</v>
      </c>
    </row>
    <row r="26983" spans="2:8" ht="15" customHeight="1" x14ac:dyDescent="0.4">
      <c r="B26983" s="3" t="s">
        <v>7</v>
      </c>
      <c r="C26983" s="3" t="s">
        <v>4362</v>
      </c>
      <c r="D26983" s="4">
        <f>DATE(2008,9,9)</f>
        <v>39700</v>
      </c>
      <c r="E26983" s="5">
        <f t="shared" si="457"/>
        <v>2008</v>
      </c>
      <c r="F26983" s="3" t="s">
        <v>4369</v>
      </c>
      <c r="G26983" s="6">
        <v>1555.81</v>
      </c>
      <c r="H26983" s="5">
        <v>3020</v>
      </c>
    </row>
    <row r="26984" spans="2:8" ht="15" customHeight="1" x14ac:dyDescent="0.4">
      <c r="B26984" s="3" t="s">
        <v>7</v>
      </c>
      <c r="C26984" s="3" t="s">
        <v>4362</v>
      </c>
      <c r="D26984" s="4">
        <f>DATE(2008,9,9)</f>
        <v>39700</v>
      </c>
      <c r="E26984" s="5">
        <f t="shared" si="457"/>
        <v>2008</v>
      </c>
      <c r="F26984" s="3" t="s">
        <v>4369</v>
      </c>
      <c r="G26984" s="6">
        <v>1515.93</v>
      </c>
      <c r="H26984" s="5">
        <v>3026</v>
      </c>
    </row>
    <row r="26985" spans="2:8" ht="15" customHeight="1" x14ac:dyDescent="0.4">
      <c r="B26985" s="3" t="s">
        <v>7</v>
      </c>
      <c r="C26985" s="3" t="s">
        <v>4362</v>
      </c>
      <c r="D26985" s="4">
        <f>DATE(2008,9,17)</f>
        <v>39708</v>
      </c>
      <c r="E26985" s="5">
        <f t="shared" si="457"/>
        <v>2008</v>
      </c>
      <c r="F26985" s="3" t="s">
        <v>4369</v>
      </c>
      <c r="G26985" s="6">
        <v>6815.2</v>
      </c>
      <c r="H26985" s="5">
        <v>3029</v>
      </c>
    </row>
    <row r="26986" spans="2:8" ht="15" customHeight="1" x14ac:dyDescent="0.4">
      <c r="B26986" s="3" t="s">
        <v>7</v>
      </c>
      <c r="C26986" s="3" t="s">
        <v>4362</v>
      </c>
      <c r="D26986" s="4">
        <f>DATE(2008,9,18)</f>
        <v>39709</v>
      </c>
      <c r="E26986" s="5">
        <f t="shared" si="457"/>
        <v>2008</v>
      </c>
      <c r="F26986" s="3" t="s">
        <v>4369</v>
      </c>
      <c r="G26986" s="6">
        <v>688.63</v>
      </c>
      <c r="H26986" s="5">
        <v>3051</v>
      </c>
    </row>
    <row r="26987" spans="2:8" ht="15" customHeight="1" x14ac:dyDescent="0.4">
      <c r="B26987" s="3" t="s">
        <v>7</v>
      </c>
      <c r="C26987" s="3" t="s">
        <v>4362</v>
      </c>
      <c r="D26987" s="4">
        <f>DATE(2008,9,5)</f>
        <v>39696</v>
      </c>
      <c r="E26987" s="5">
        <f t="shared" si="457"/>
        <v>2008</v>
      </c>
      <c r="F26987" s="3" t="s">
        <v>4369</v>
      </c>
      <c r="G26987" s="6">
        <v>2919.06</v>
      </c>
      <c r="H26987" s="5">
        <v>3064</v>
      </c>
    </row>
    <row r="26988" spans="2:8" ht="15" customHeight="1" x14ac:dyDescent="0.4">
      <c r="B26988" s="3" t="s">
        <v>7</v>
      </c>
      <c r="C26988" s="3" t="s">
        <v>4362</v>
      </c>
      <c r="D26988" s="4">
        <f>DATE(2008,10,1)</f>
        <v>39722</v>
      </c>
      <c r="E26988" s="5">
        <f t="shared" si="457"/>
        <v>2008</v>
      </c>
      <c r="F26988" s="3" t="s">
        <v>4369</v>
      </c>
      <c r="G26988" s="6">
        <v>10391.4</v>
      </c>
      <c r="H26988" s="5">
        <v>3025</v>
      </c>
    </row>
    <row r="26989" spans="2:8" ht="15" customHeight="1" x14ac:dyDescent="0.4">
      <c r="B26989" s="3" t="s">
        <v>7</v>
      </c>
      <c r="C26989" s="3" t="s">
        <v>4362</v>
      </c>
      <c r="D26989" s="4">
        <f>DATE(2008,9,18)</f>
        <v>39709</v>
      </c>
      <c r="E26989" s="5">
        <f t="shared" si="457"/>
        <v>2008</v>
      </c>
      <c r="F26989" s="3" t="s">
        <v>4369</v>
      </c>
      <c r="G26989" s="6">
        <v>4303.9399999999996</v>
      </c>
      <c r="H26989" s="5">
        <v>3065</v>
      </c>
    </row>
    <row r="26990" spans="2:8" ht="15" customHeight="1" x14ac:dyDescent="0.4">
      <c r="B26990" s="3" t="s">
        <v>7</v>
      </c>
      <c r="C26990" s="3" t="s">
        <v>4362</v>
      </c>
      <c r="D26990" s="4">
        <f>DATE(2008,10,2)</f>
        <v>39723</v>
      </c>
      <c r="E26990" s="5">
        <f t="shared" si="457"/>
        <v>2008</v>
      </c>
      <c r="F26990" s="3" t="s">
        <v>4369</v>
      </c>
      <c r="G26990" s="6">
        <v>16495.7</v>
      </c>
      <c r="H26990" s="5">
        <v>3083</v>
      </c>
    </row>
    <row r="26991" spans="2:8" ht="15" customHeight="1" x14ac:dyDescent="0.4">
      <c r="B26991" s="3" t="s">
        <v>7</v>
      </c>
      <c r="C26991" s="3" t="s">
        <v>4362</v>
      </c>
      <c r="D26991" s="4">
        <f>DATE(2008,10,3)</f>
        <v>39724</v>
      </c>
      <c r="E26991" s="5">
        <f t="shared" si="457"/>
        <v>2008</v>
      </c>
      <c r="F26991" s="3" t="s">
        <v>4369</v>
      </c>
      <c r="G26991" s="6">
        <v>1775.37</v>
      </c>
      <c r="H26991" s="5">
        <v>3092</v>
      </c>
    </row>
    <row r="26992" spans="2:8" ht="15" customHeight="1" x14ac:dyDescent="0.4">
      <c r="B26992" s="3" t="s">
        <v>7</v>
      </c>
      <c r="C26992" s="3" t="s">
        <v>4362</v>
      </c>
      <c r="D26992" s="4">
        <f>DATE(2008,9,18)</f>
        <v>39709</v>
      </c>
      <c r="E26992" s="5">
        <f t="shared" si="457"/>
        <v>2008</v>
      </c>
      <c r="F26992" s="3" t="s">
        <v>4369</v>
      </c>
      <c r="G26992" s="6">
        <v>11990.13</v>
      </c>
      <c r="H26992" s="5">
        <v>2974</v>
      </c>
    </row>
    <row r="26993" spans="2:8" ht="15" customHeight="1" x14ac:dyDescent="0.4">
      <c r="B26993" s="3" t="s">
        <v>7</v>
      </c>
      <c r="C26993" s="3" t="s">
        <v>4362</v>
      </c>
      <c r="D26993" s="4">
        <f>DATE(2008,9,23)</f>
        <v>39714</v>
      </c>
      <c r="E26993" s="5">
        <f t="shared" si="457"/>
        <v>2008</v>
      </c>
      <c r="F26993" s="3" t="s">
        <v>4369</v>
      </c>
      <c r="G26993" s="6">
        <v>4098.1899999999996</v>
      </c>
      <c r="H26993" s="5">
        <v>3059</v>
      </c>
    </row>
    <row r="26994" spans="2:8" ht="15" customHeight="1" x14ac:dyDescent="0.4">
      <c r="B26994" s="3" t="s">
        <v>7</v>
      </c>
      <c r="C26994" s="3" t="s">
        <v>4362</v>
      </c>
      <c r="D26994" s="4">
        <f>DATE(2008,9,23)</f>
        <v>39714</v>
      </c>
      <c r="E26994" s="5">
        <f t="shared" si="457"/>
        <v>2008</v>
      </c>
      <c r="F26994" s="3" t="s">
        <v>4369</v>
      </c>
      <c r="G26994" s="6">
        <v>5975.75</v>
      </c>
      <c r="H26994" s="5">
        <v>3066</v>
      </c>
    </row>
    <row r="26995" spans="2:8" ht="15" customHeight="1" x14ac:dyDescent="0.4">
      <c r="B26995" s="3" t="s">
        <v>7</v>
      </c>
      <c r="C26995" s="3" t="s">
        <v>4362</v>
      </c>
      <c r="D26995" s="4">
        <f>DATE(2008,10,7)</f>
        <v>39728</v>
      </c>
      <c r="E26995" s="5">
        <f t="shared" si="457"/>
        <v>2008</v>
      </c>
      <c r="F26995" s="3" t="s">
        <v>4369</v>
      </c>
      <c r="G26995" s="6">
        <v>6557.73</v>
      </c>
      <c r="H26995" s="5">
        <v>3091</v>
      </c>
    </row>
    <row r="26996" spans="2:8" ht="15" customHeight="1" x14ac:dyDescent="0.4">
      <c r="B26996" s="3" t="s">
        <v>7</v>
      </c>
      <c r="C26996" s="3" t="s">
        <v>4362</v>
      </c>
      <c r="D26996" s="4">
        <f>DATE(2008,10,9)</f>
        <v>39730</v>
      </c>
      <c r="E26996" s="5">
        <f t="shared" si="457"/>
        <v>2008</v>
      </c>
      <c r="F26996" s="3" t="s">
        <v>4369</v>
      </c>
      <c r="G26996" s="6">
        <v>10257.26</v>
      </c>
      <c r="H26996" s="5">
        <v>3105</v>
      </c>
    </row>
    <row r="26997" spans="2:8" ht="15" customHeight="1" x14ac:dyDescent="0.4">
      <c r="B26997" s="3" t="s">
        <v>7</v>
      </c>
      <c r="C26997" s="3" t="s">
        <v>4362</v>
      </c>
      <c r="D26997" s="4">
        <f>DATE(2008,10,14)</f>
        <v>39735</v>
      </c>
      <c r="E26997" s="5">
        <f t="shared" si="457"/>
        <v>2008</v>
      </c>
      <c r="F26997" s="3" t="s">
        <v>4369</v>
      </c>
      <c r="G26997" s="6">
        <v>614.17999999999995</v>
      </c>
      <c r="H26997" s="5">
        <v>2852</v>
      </c>
    </row>
    <row r="26998" spans="2:8" ht="15" customHeight="1" x14ac:dyDescent="0.4">
      <c r="B26998" s="3" t="s">
        <v>7</v>
      </c>
      <c r="C26998" s="3" t="s">
        <v>4362</v>
      </c>
      <c r="D26998" s="4">
        <f>DATE(2008,10,22)</f>
        <v>39743</v>
      </c>
      <c r="E26998" s="5">
        <f t="shared" si="457"/>
        <v>2008</v>
      </c>
      <c r="F26998" s="3" t="s">
        <v>4369</v>
      </c>
      <c r="G26998" s="6">
        <v>3819.45</v>
      </c>
      <c r="H26998" s="5">
        <v>3115</v>
      </c>
    </row>
    <row r="26999" spans="2:8" ht="15" customHeight="1" x14ac:dyDescent="0.4">
      <c r="B26999" s="3" t="s">
        <v>7</v>
      </c>
      <c r="C26999" s="3" t="s">
        <v>4362</v>
      </c>
      <c r="D26999" s="4">
        <f>DATE(2008,10,22)</f>
        <v>39743</v>
      </c>
      <c r="E26999" s="5">
        <f t="shared" si="457"/>
        <v>2008</v>
      </c>
      <c r="F26999" s="3" t="s">
        <v>4369</v>
      </c>
      <c r="G26999" s="6">
        <v>1856.8</v>
      </c>
      <c r="H26999" s="5">
        <v>3124</v>
      </c>
    </row>
    <row r="27000" spans="2:8" ht="15" customHeight="1" x14ac:dyDescent="0.4">
      <c r="B27000" s="3" t="s">
        <v>7</v>
      </c>
      <c r="C27000" s="3" t="s">
        <v>4362</v>
      </c>
      <c r="D27000" s="4">
        <f>DATE(2008,11,10)</f>
        <v>39762</v>
      </c>
      <c r="E27000" s="5">
        <f t="shared" si="457"/>
        <v>2008</v>
      </c>
      <c r="F27000" s="3" t="s">
        <v>4369</v>
      </c>
      <c r="G27000" s="6">
        <v>1586.85</v>
      </c>
      <c r="H27000" s="5">
        <v>3148</v>
      </c>
    </row>
    <row r="27001" spans="2:8" ht="15" customHeight="1" x14ac:dyDescent="0.4">
      <c r="B27001" s="3" t="s">
        <v>7</v>
      </c>
      <c r="C27001" s="3" t="s">
        <v>4362</v>
      </c>
      <c r="D27001" s="4">
        <f>DATE(2008,11,14)</f>
        <v>39766</v>
      </c>
      <c r="E27001" s="5">
        <f t="shared" si="457"/>
        <v>2008</v>
      </c>
      <c r="F27001" s="3" t="s">
        <v>4369</v>
      </c>
      <c r="G27001" s="6">
        <v>2153.02</v>
      </c>
      <c r="H27001" s="5">
        <v>3156</v>
      </c>
    </row>
    <row r="27002" spans="2:8" ht="15" customHeight="1" x14ac:dyDescent="0.4">
      <c r="B27002" s="3" t="s">
        <v>7</v>
      </c>
      <c r="C27002" s="3" t="s">
        <v>4362</v>
      </c>
      <c r="D27002" s="4">
        <f>DATE(2008,11,1)</f>
        <v>39753</v>
      </c>
      <c r="E27002" s="5">
        <f t="shared" si="457"/>
        <v>2008</v>
      </c>
      <c r="F27002" s="3" t="s">
        <v>4369</v>
      </c>
      <c r="G27002" s="6">
        <v>4045.67</v>
      </c>
      <c r="H27002" s="5">
        <v>2973</v>
      </c>
    </row>
    <row r="27003" spans="2:8" ht="15" customHeight="1" x14ac:dyDescent="0.4">
      <c r="B27003" s="3" t="s">
        <v>7</v>
      </c>
      <c r="C27003" s="3" t="s">
        <v>4362</v>
      </c>
      <c r="D27003" s="4">
        <f>DATE(2008,12,29)</f>
        <v>39811</v>
      </c>
      <c r="E27003" s="5">
        <f t="shared" si="457"/>
        <v>2008</v>
      </c>
      <c r="F27003" s="3" t="s">
        <v>4369</v>
      </c>
      <c r="G27003" s="6">
        <v>373.98</v>
      </c>
      <c r="H27003" s="5">
        <v>3185</v>
      </c>
    </row>
    <row r="27004" spans="2:8" ht="15" customHeight="1" x14ac:dyDescent="0.4">
      <c r="B27004" s="3" t="s">
        <v>7</v>
      </c>
      <c r="C27004" s="3" t="s">
        <v>4362</v>
      </c>
      <c r="D27004" s="4">
        <f>DATE(2009,1,16)</f>
        <v>39829</v>
      </c>
      <c r="E27004" s="5">
        <f t="shared" si="457"/>
        <v>2009</v>
      </c>
      <c r="F27004" s="3" t="s">
        <v>4369</v>
      </c>
      <c r="G27004" s="6">
        <v>14818.26</v>
      </c>
      <c r="H27004" s="5">
        <v>3222</v>
      </c>
    </row>
    <row r="27005" spans="2:8" ht="15" customHeight="1" x14ac:dyDescent="0.4">
      <c r="B27005" s="3" t="s">
        <v>7</v>
      </c>
      <c r="C27005" s="3" t="s">
        <v>4362</v>
      </c>
      <c r="D27005" s="4">
        <f>DATE(2009,1,16)</f>
        <v>39829</v>
      </c>
      <c r="E27005" s="5">
        <f t="shared" si="457"/>
        <v>2009</v>
      </c>
      <c r="F27005" s="3" t="s">
        <v>4369</v>
      </c>
      <c r="G27005" s="6">
        <v>1945.76</v>
      </c>
      <c r="H27005" s="5">
        <v>3196</v>
      </c>
    </row>
    <row r="27006" spans="2:8" ht="15" customHeight="1" x14ac:dyDescent="0.4">
      <c r="B27006" s="3" t="s">
        <v>7</v>
      </c>
      <c r="C27006" s="3" t="s">
        <v>4362</v>
      </c>
      <c r="D27006" s="4">
        <f>DATE(2009,1,21)</f>
        <v>39834</v>
      </c>
      <c r="E27006" s="5">
        <f t="shared" si="457"/>
        <v>2009</v>
      </c>
      <c r="F27006" s="3" t="s">
        <v>4369</v>
      </c>
      <c r="G27006" s="6">
        <v>1157.6199999999999</v>
      </c>
      <c r="H27006" s="5">
        <v>3116</v>
      </c>
    </row>
    <row r="27007" spans="2:8" ht="15" customHeight="1" x14ac:dyDescent="0.4">
      <c r="B27007" s="3" t="s">
        <v>7</v>
      </c>
      <c r="C27007" s="3" t="s">
        <v>4362</v>
      </c>
      <c r="D27007" s="4">
        <f>DATE(2009,1,27)</f>
        <v>39840</v>
      </c>
      <c r="E27007" s="5">
        <f t="shared" si="457"/>
        <v>2009</v>
      </c>
      <c r="F27007" s="3" t="s">
        <v>4369</v>
      </c>
      <c r="G27007" s="6">
        <v>38246.58</v>
      </c>
      <c r="H27007" s="5">
        <v>3240</v>
      </c>
    </row>
    <row r="27008" spans="2:8" ht="15" customHeight="1" x14ac:dyDescent="0.4">
      <c r="B27008" s="3" t="s">
        <v>7</v>
      </c>
      <c r="C27008" s="3" t="s">
        <v>4362</v>
      </c>
      <c r="D27008" s="4">
        <f>DATE(2009,1,28)</f>
        <v>39841</v>
      </c>
      <c r="E27008" s="5">
        <f t="shared" si="457"/>
        <v>2009</v>
      </c>
      <c r="F27008" s="3" t="s">
        <v>4369</v>
      </c>
      <c r="G27008" s="6">
        <v>557.9</v>
      </c>
      <c r="H27008" s="5">
        <v>3244</v>
      </c>
    </row>
    <row r="27009" spans="2:8" ht="15" customHeight="1" x14ac:dyDescent="0.4">
      <c r="B27009" s="3" t="s">
        <v>7</v>
      </c>
      <c r="C27009" s="3" t="s">
        <v>4362</v>
      </c>
      <c r="D27009" s="4">
        <f>DATE(2009,2,5)</f>
        <v>39849</v>
      </c>
      <c r="E27009" s="5">
        <f t="shared" si="457"/>
        <v>2009</v>
      </c>
      <c r="F27009" s="3" t="s">
        <v>4369</v>
      </c>
      <c r="G27009" s="6">
        <v>2058.6</v>
      </c>
      <c r="H27009" s="5">
        <v>3255</v>
      </c>
    </row>
    <row r="27010" spans="2:8" ht="15" customHeight="1" x14ac:dyDescent="0.4">
      <c r="B27010" s="3" t="s">
        <v>7</v>
      </c>
      <c r="C27010" s="3" t="s">
        <v>4362</v>
      </c>
      <c r="D27010" s="4">
        <f>DATE(2009,2,6)</f>
        <v>39850</v>
      </c>
      <c r="E27010" s="5">
        <f t="shared" si="457"/>
        <v>2009</v>
      </c>
      <c r="F27010" s="3" t="s">
        <v>4369</v>
      </c>
      <c r="G27010" s="6">
        <v>8670.18</v>
      </c>
      <c r="H27010" s="5">
        <v>3269</v>
      </c>
    </row>
    <row r="27011" spans="2:8" ht="15" customHeight="1" x14ac:dyDescent="0.4">
      <c r="B27011" s="3" t="s">
        <v>7</v>
      </c>
      <c r="C27011" s="3" t="s">
        <v>4362</v>
      </c>
      <c r="D27011" s="4">
        <f>DATE(2009,2,14)</f>
        <v>39858</v>
      </c>
      <c r="E27011" s="5">
        <f t="shared" ref="E27011:E27074" si="458">YEAR(D27011)</f>
        <v>2009</v>
      </c>
      <c r="F27011" s="3" t="s">
        <v>4369</v>
      </c>
      <c r="G27011" s="6">
        <v>2145.91</v>
      </c>
      <c r="H27011" s="5">
        <v>3282</v>
      </c>
    </row>
    <row r="27012" spans="2:8" ht="15" customHeight="1" x14ac:dyDescent="0.4">
      <c r="B27012" s="3" t="s">
        <v>7</v>
      </c>
      <c r="C27012" s="3" t="s">
        <v>4362</v>
      </c>
      <c r="D27012" s="4">
        <f>DATE(2009,2,27)</f>
        <v>39871</v>
      </c>
      <c r="E27012" s="5">
        <f t="shared" si="458"/>
        <v>2009</v>
      </c>
      <c r="F27012" s="3" t="s">
        <v>4369</v>
      </c>
      <c r="G27012" s="6">
        <v>5513.89</v>
      </c>
      <c r="H27012" s="5">
        <v>3279</v>
      </c>
    </row>
    <row r="27013" spans="2:8" ht="15" customHeight="1" x14ac:dyDescent="0.4">
      <c r="B27013" s="3" t="s">
        <v>7</v>
      </c>
      <c r="C27013" s="3" t="s">
        <v>4362</v>
      </c>
      <c r="D27013" s="4">
        <f>DATE(2009,2,27)</f>
        <v>39871</v>
      </c>
      <c r="E27013" s="5">
        <f t="shared" si="458"/>
        <v>2009</v>
      </c>
      <c r="F27013" s="3" t="s">
        <v>4369</v>
      </c>
      <c r="G27013" s="6">
        <v>917.1</v>
      </c>
      <c r="H27013" s="5">
        <v>3301</v>
      </c>
    </row>
    <row r="27014" spans="2:8" ht="15" customHeight="1" x14ac:dyDescent="0.4">
      <c r="B27014" s="3" t="s">
        <v>7</v>
      </c>
      <c r="C27014" s="3" t="s">
        <v>4362</v>
      </c>
      <c r="D27014" s="4">
        <f>DATE(2009,3,2)</f>
        <v>39874</v>
      </c>
      <c r="E27014" s="5">
        <f t="shared" si="458"/>
        <v>2009</v>
      </c>
      <c r="F27014" s="3" t="s">
        <v>4369</v>
      </c>
      <c r="G27014" s="6">
        <v>8325.8799999999992</v>
      </c>
      <c r="H27014" s="5">
        <v>3302</v>
      </c>
    </row>
    <row r="27015" spans="2:8" ht="15" customHeight="1" x14ac:dyDescent="0.4">
      <c r="B27015" s="3" t="s">
        <v>7</v>
      </c>
      <c r="C27015" s="3" t="s">
        <v>4362</v>
      </c>
      <c r="D27015" s="4">
        <f>DATE(2009,3,2)</f>
        <v>39874</v>
      </c>
      <c r="E27015" s="5">
        <f t="shared" si="458"/>
        <v>2009</v>
      </c>
      <c r="F27015" s="3" t="s">
        <v>4369</v>
      </c>
      <c r="G27015" s="6">
        <v>19960</v>
      </c>
      <c r="H27015" s="5">
        <v>3295</v>
      </c>
    </row>
    <row r="27016" spans="2:8" ht="15" customHeight="1" x14ac:dyDescent="0.4">
      <c r="B27016" s="3" t="s">
        <v>7</v>
      </c>
      <c r="C27016" s="3" t="s">
        <v>4362</v>
      </c>
      <c r="D27016" s="4">
        <f>DATE(2009,3,6)</f>
        <v>39878</v>
      </c>
      <c r="E27016" s="5">
        <f t="shared" si="458"/>
        <v>2009</v>
      </c>
      <c r="F27016" s="3" t="s">
        <v>4369</v>
      </c>
      <c r="G27016" s="6">
        <v>11888.5</v>
      </c>
      <c r="H27016" s="5">
        <v>3303</v>
      </c>
    </row>
    <row r="27017" spans="2:8" ht="15" customHeight="1" x14ac:dyDescent="0.4">
      <c r="B27017" s="3" t="s">
        <v>7</v>
      </c>
      <c r="C27017" s="3" t="s">
        <v>4362</v>
      </c>
      <c r="D27017" s="4">
        <f>DATE(2009,3,11)</f>
        <v>39883</v>
      </c>
      <c r="E27017" s="5">
        <f t="shared" si="458"/>
        <v>2009</v>
      </c>
      <c r="F27017" s="3" t="s">
        <v>4369</v>
      </c>
      <c r="G27017" s="6">
        <v>1151.57</v>
      </c>
      <c r="H27017" s="5">
        <v>3306</v>
      </c>
    </row>
    <row r="27018" spans="2:8" ht="15" customHeight="1" x14ac:dyDescent="0.4">
      <c r="B27018" s="3" t="s">
        <v>7</v>
      </c>
      <c r="C27018" s="3" t="s">
        <v>4362</v>
      </c>
      <c r="D27018" s="4">
        <f>DATE(2009,3,25)</f>
        <v>39897</v>
      </c>
      <c r="E27018" s="5">
        <f t="shared" si="458"/>
        <v>2009</v>
      </c>
      <c r="F27018" s="3" t="s">
        <v>4369</v>
      </c>
      <c r="G27018" s="6">
        <v>2563.5700000000002</v>
      </c>
      <c r="H27018" s="5">
        <v>3351</v>
      </c>
    </row>
    <row r="27019" spans="2:8" ht="15" customHeight="1" x14ac:dyDescent="0.4">
      <c r="B27019" s="3" t="s">
        <v>7</v>
      </c>
      <c r="C27019" s="3" t="s">
        <v>4362</v>
      </c>
      <c r="D27019" s="4">
        <f>DATE(2009,4,15)</f>
        <v>39918</v>
      </c>
      <c r="E27019" s="5">
        <f t="shared" si="458"/>
        <v>2009</v>
      </c>
      <c r="F27019" s="3" t="s">
        <v>4369</v>
      </c>
      <c r="G27019" s="6">
        <v>3994.89</v>
      </c>
      <c r="H27019" s="5">
        <v>3336</v>
      </c>
    </row>
    <row r="27020" spans="2:8" ht="15" customHeight="1" x14ac:dyDescent="0.4">
      <c r="B27020" s="3" t="s">
        <v>7</v>
      </c>
      <c r="C27020" s="3" t="s">
        <v>4362</v>
      </c>
      <c r="D27020" s="4">
        <f>DATE(2009,4,1)</f>
        <v>39904</v>
      </c>
      <c r="E27020" s="5">
        <f t="shared" si="458"/>
        <v>2009</v>
      </c>
      <c r="F27020" s="3" t="s">
        <v>4369</v>
      </c>
      <c r="G27020" s="6">
        <v>2711.46</v>
      </c>
      <c r="H27020" s="5">
        <v>3355</v>
      </c>
    </row>
    <row r="27021" spans="2:8" ht="15" customHeight="1" x14ac:dyDescent="0.4">
      <c r="B27021" s="3" t="s">
        <v>7</v>
      </c>
      <c r="C27021" s="3" t="s">
        <v>4362</v>
      </c>
      <c r="D27021" s="4">
        <f>DATE(2009,4,24)</f>
        <v>39927</v>
      </c>
      <c r="E27021" s="5">
        <f t="shared" si="458"/>
        <v>2009</v>
      </c>
      <c r="F27021" s="3" t="s">
        <v>4369</v>
      </c>
      <c r="G27021" s="6">
        <v>13922.5</v>
      </c>
      <c r="H27021" s="5">
        <v>3400</v>
      </c>
    </row>
    <row r="27022" spans="2:8" ht="15" customHeight="1" x14ac:dyDescent="0.4">
      <c r="B27022" s="3" t="s">
        <v>7</v>
      </c>
      <c r="C27022" s="3" t="s">
        <v>4362</v>
      </c>
      <c r="D27022" s="4">
        <f>DATE(2009,4,29)</f>
        <v>39932</v>
      </c>
      <c r="E27022" s="5">
        <f t="shared" si="458"/>
        <v>2009</v>
      </c>
      <c r="F27022" s="3" t="s">
        <v>4369</v>
      </c>
      <c r="G27022" s="6">
        <v>30964.31</v>
      </c>
      <c r="H27022" s="5">
        <v>3296</v>
      </c>
    </row>
    <row r="27023" spans="2:8" ht="15" customHeight="1" x14ac:dyDescent="0.4">
      <c r="B27023" s="3" t="s">
        <v>7</v>
      </c>
      <c r="C27023" s="3" t="s">
        <v>4362</v>
      </c>
      <c r="D27023" s="4">
        <f>DATE(2009,5,29)</f>
        <v>39962</v>
      </c>
      <c r="E27023" s="5">
        <f t="shared" si="458"/>
        <v>2009</v>
      </c>
      <c r="F27023" s="3" t="s">
        <v>4369</v>
      </c>
      <c r="G27023" s="6">
        <v>321.19</v>
      </c>
      <c r="H27023" s="5">
        <v>3435</v>
      </c>
    </row>
    <row r="27024" spans="2:8" ht="15" customHeight="1" x14ac:dyDescent="0.4">
      <c r="B27024" s="3" t="s">
        <v>7</v>
      </c>
      <c r="C27024" s="3" t="s">
        <v>4362</v>
      </c>
      <c r="D27024" s="4">
        <f>DATE(2009,5,22)</f>
        <v>39955</v>
      </c>
      <c r="E27024" s="5">
        <f t="shared" si="458"/>
        <v>2009</v>
      </c>
      <c r="F27024" s="3" t="s">
        <v>4369</v>
      </c>
      <c r="G27024" s="6">
        <v>16882.84</v>
      </c>
      <c r="H27024" s="5">
        <v>3453</v>
      </c>
    </row>
    <row r="27025" spans="2:8" ht="15" customHeight="1" x14ac:dyDescent="0.4">
      <c r="B27025" s="3" t="s">
        <v>7</v>
      </c>
      <c r="C27025" s="3" t="s">
        <v>4362</v>
      </c>
      <c r="D27025" s="4">
        <f>DATE(2009,5,27)</f>
        <v>39960</v>
      </c>
      <c r="E27025" s="5">
        <f t="shared" si="458"/>
        <v>2009</v>
      </c>
      <c r="F27025" s="3" t="s">
        <v>4369</v>
      </c>
      <c r="G27025" s="6">
        <v>34041.39</v>
      </c>
      <c r="H27025" s="5">
        <v>3296</v>
      </c>
    </row>
    <row r="27026" spans="2:8" ht="15" customHeight="1" x14ac:dyDescent="0.4">
      <c r="B27026" s="3" t="s">
        <v>7</v>
      </c>
      <c r="C27026" s="3" t="s">
        <v>4362</v>
      </c>
      <c r="D27026" s="4">
        <f>DATE(2009,6,18)</f>
        <v>39982</v>
      </c>
      <c r="E27026" s="5">
        <f t="shared" si="458"/>
        <v>2009</v>
      </c>
      <c r="F27026" s="3" t="s">
        <v>4369</v>
      </c>
      <c r="G27026" s="6">
        <v>5160</v>
      </c>
      <c r="H27026" s="5">
        <v>3474</v>
      </c>
    </row>
    <row r="27027" spans="2:8" ht="15" customHeight="1" x14ac:dyDescent="0.4">
      <c r="B27027" s="3" t="s">
        <v>7</v>
      </c>
      <c r="C27027" s="3" t="s">
        <v>4362</v>
      </c>
      <c r="D27027" s="4">
        <f>DATE(2009,7,24)</f>
        <v>40018</v>
      </c>
      <c r="E27027" s="5">
        <f t="shared" si="458"/>
        <v>2009</v>
      </c>
      <c r="F27027" s="3" t="s">
        <v>4369</v>
      </c>
      <c r="G27027" s="6">
        <v>2667.19</v>
      </c>
      <c r="H27027" s="5">
        <v>3511</v>
      </c>
    </row>
    <row r="27028" spans="2:8" ht="15" customHeight="1" x14ac:dyDescent="0.4">
      <c r="B27028" s="3" t="s">
        <v>7</v>
      </c>
      <c r="C27028" s="3" t="s">
        <v>4362</v>
      </c>
      <c r="D27028" s="4">
        <f>DATE(2009,7,24)</f>
        <v>40018</v>
      </c>
      <c r="E27028" s="5">
        <f t="shared" si="458"/>
        <v>2009</v>
      </c>
      <c r="F27028" s="3" t="s">
        <v>4369</v>
      </c>
      <c r="G27028" s="6">
        <v>564.34</v>
      </c>
      <c r="H27028" s="5">
        <v>3513</v>
      </c>
    </row>
    <row r="27029" spans="2:8" ht="15" customHeight="1" x14ac:dyDescent="0.4">
      <c r="B27029" s="3" t="s">
        <v>7</v>
      </c>
      <c r="C27029" s="3" t="s">
        <v>4362</v>
      </c>
      <c r="D27029" s="4">
        <f>DATE(2009,7,20)</f>
        <v>40014</v>
      </c>
      <c r="E27029" s="5">
        <f t="shared" si="458"/>
        <v>2009</v>
      </c>
      <c r="F27029" s="3" t="s">
        <v>4369</v>
      </c>
      <c r="G27029" s="6">
        <v>7558.9</v>
      </c>
      <c r="H27029" s="5">
        <v>3520</v>
      </c>
    </row>
    <row r="27030" spans="2:8" ht="15" customHeight="1" x14ac:dyDescent="0.4">
      <c r="B27030" s="3" t="s">
        <v>7</v>
      </c>
      <c r="C27030" s="3" t="s">
        <v>4362</v>
      </c>
      <c r="D27030" s="4">
        <f>DATE(2009,7,23)</f>
        <v>40017</v>
      </c>
      <c r="E27030" s="5">
        <f t="shared" si="458"/>
        <v>2009</v>
      </c>
      <c r="F27030" s="3" t="s">
        <v>4369</v>
      </c>
      <c r="G27030" s="6">
        <v>1950.14</v>
      </c>
      <c r="H27030" s="5">
        <v>3515</v>
      </c>
    </row>
    <row r="27031" spans="2:8" ht="15" customHeight="1" x14ac:dyDescent="0.4">
      <c r="B27031" s="3" t="s">
        <v>7</v>
      </c>
      <c r="C27031" s="3" t="s">
        <v>4362</v>
      </c>
      <c r="D27031" s="4">
        <f>DATE(2009,7,23)</f>
        <v>40017</v>
      </c>
      <c r="E27031" s="5">
        <f t="shared" si="458"/>
        <v>2009</v>
      </c>
      <c r="F27031" s="3" t="s">
        <v>4369</v>
      </c>
      <c r="G27031" s="6">
        <v>3850</v>
      </c>
      <c r="H27031" s="5">
        <v>3521</v>
      </c>
    </row>
    <row r="27032" spans="2:8" ht="15" customHeight="1" x14ac:dyDescent="0.4">
      <c r="B27032" s="3" t="s">
        <v>7</v>
      </c>
      <c r="C27032" s="3" t="s">
        <v>4362</v>
      </c>
      <c r="D27032" s="4">
        <f>DATE(2009,8,5)</f>
        <v>40030</v>
      </c>
      <c r="E27032" s="5">
        <f t="shared" si="458"/>
        <v>2009</v>
      </c>
      <c r="F27032" s="3" t="s">
        <v>4369</v>
      </c>
      <c r="G27032" s="6">
        <v>5140.63</v>
      </c>
      <c r="H27032" s="5">
        <v>3529</v>
      </c>
    </row>
    <row r="27033" spans="2:8" ht="15" customHeight="1" x14ac:dyDescent="0.4">
      <c r="B27033" s="3" t="s">
        <v>7</v>
      </c>
      <c r="C27033" s="3" t="s">
        <v>4362</v>
      </c>
      <c r="D27033" s="4">
        <f>DATE(2009,8,5)</f>
        <v>40030</v>
      </c>
      <c r="E27033" s="5">
        <f t="shared" si="458"/>
        <v>2009</v>
      </c>
      <c r="F27033" s="3" t="s">
        <v>4369</v>
      </c>
      <c r="G27033" s="6">
        <v>5841.27</v>
      </c>
      <c r="H27033" s="5">
        <v>3535</v>
      </c>
    </row>
    <row r="27034" spans="2:8" ht="15" customHeight="1" x14ac:dyDescent="0.4">
      <c r="B27034" s="3" t="s">
        <v>7</v>
      </c>
      <c r="C27034" s="3" t="s">
        <v>4362</v>
      </c>
      <c r="D27034" s="4">
        <f>DATE(2009,9,17)</f>
        <v>40073</v>
      </c>
      <c r="E27034" s="5">
        <f t="shared" si="458"/>
        <v>2009</v>
      </c>
      <c r="F27034" s="3" t="s">
        <v>4369</v>
      </c>
      <c r="G27034" s="6">
        <v>726.34</v>
      </c>
      <c r="H27034" s="5">
        <v>3576</v>
      </c>
    </row>
    <row r="27035" spans="2:8" ht="15" customHeight="1" x14ac:dyDescent="0.4">
      <c r="B27035" s="3" t="s">
        <v>7</v>
      </c>
      <c r="C27035" s="3" t="s">
        <v>4362</v>
      </c>
      <c r="D27035" s="4">
        <f>DATE(2009,9,18)</f>
        <v>40074</v>
      </c>
      <c r="E27035" s="5">
        <f t="shared" si="458"/>
        <v>2009</v>
      </c>
      <c r="F27035" s="3" t="s">
        <v>4369</v>
      </c>
      <c r="G27035" s="6">
        <v>18468.72</v>
      </c>
      <c r="H27035" s="5">
        <v>3597</v>
      </c>
    </row>
    <row r="27036" spans="2:8" ht="15" customHeight="1" x14ac:dyDescent="0.4">
      <c r="B27036" s="3" t="s">
        <v>7</v>
      </c>
      <c r="C27036" s="3" t="s">
        <v>4362</v>
      </c>
      <c r="D27036" s="4">
        <f>DATE(2009,10,9)</f>
        <v>40095</v>
      </c>
      <c r="E27036" s="5">
        <f t="shared" si="458"/>
        <v>2009</v>
      </c>
      <c r="F27036" s="3" t="s">
        <v>4369</v>
      </c>
      <c r="G27036" s="6">
        <v>2053.5100000000002</v>
      </c>
      <c r="H27036" s="5">
        <v>3590</v>
      </c>
    </row>
    <row r="27037" spans="2:8" ht="15" customHeight="1" x14ac:dyDescent="0.4">
      <c r="B27037" s="3" t="s">
        <v>7</v>
      </c>
      <c r="C27037" s="3" t="s">
        <v>4362</v>
      </c>
      <c r="D27037" s="4">
        <f>DATE(2008,10,9)</f>
        <v>39730</v>
      </c>
      <c r="E27037" s="5">
        <f t="shared" si="458"/>
        <v>2008</v>
      </c>
      <c r="F27037" s="3" t="s">
        <v>4369</v>
      </c>
      <c r="G27037" s="6">
        <v>4984.1000000000004</v>
      </c>
      <c r="H27037" s="5">
        <v>3584</v>
      </c>
    </row>
    <row r="27038" spans="2:8" ht="15" customHeight="1" x14ac:dyDescent="0.4">
      <c r="B27038" s="3" t="s">
        <v>7</v>
      </c>
      <c r="C27038" s="3" t="s">
        <v>4362</v>
      </c>
      <c r="D27038" s="4">
        <f>DATE(2009,10,16)</f>
        <v>40102</v>
      </c>
      <c r="E27038" s="5">
        <f t="shared" si="458"/>
        <v>2009</v>
      </c>
      <c r="F27038" s="3" t="s">
        <v>4369</v>
      </c>
      <c r="G27038" s="6">
        <v>5867.39</v>
      </c>
      <c r="H27038" s="5">
        <v>3610</v>
      </c>
    </row>
    <row r="27039" spans="2:8" ht="15" customHeight="1" x14ac:dyDescent="0.4">
      <c r="B27039" s="3" t="s">
        <v>7</v>
      </c>
      <c r="C27039" s="3" t="s">
        <v>4362</v>
      </c>
      <c r="D27039" s="4">
        <f>DATE(2009,9,15)</f>
        <v>40071</v>
      </c>
      <c r="E27039" s="5">
        <f t="shared" si="458"/>
        <v>2009</v>
      </c>
      <c r="F27039" s="3" t="s">
        <v>4369</v>
      </c>
      <c r="G27039" s="6">
        <v>19838.5</v>
      </c>
      <c r="H27039" s="5">
        <v>3624</v>
      </c>
    </row>
    <row r="27040" spans="2:8" ht="15" customHeight="1" x14ac:dyDescent="0.4">
      <c r="B27040" s="3" t="s">
        <v>7</v>
      </c>
      <c r="C27040" s="3" t="s">
        <v>4362</v>
      </c>
      <c r="D27040" s="4">
        <f>DATE(2009,11,3)</f>
        <v>40120</v>
      </c>
      <c r="E27040" s="5">
        <f t="shared" si="458"/>
        <v>2009</v>
      </c>
      <c r="F27040" s="3" t="s">
        <v>4369</v>
      </c>
      <c r="G27040" s="6">
        <v>2156.4899999999998</v>
      </c>
      <c r="H27040" s="5">
        <v>3629</v>
      </c>
    </row>
    <row r="27041" spans="2:8" ht="15" customHeight="1" x14ac:dyDescent="0.4">
      <c r="B27041" s="3" t="s">
        <v>7</v>
      </c>
      <c r="C27041" s="3" t="s">
        <v>4362</v>
      </c>
      <c r="D27041" s="4">
        <f>DATE(2009,10,28)</f>
        <v>40114</v>
      </c>
      <c r="E27041" s="5">
        <f t="shared" si="458"/>
        <v>2009</v>
      </c>
      <c r="F27041" s="3" t="s">
        <v>4369</v>
      </c>
      <c r="G27041" s="6">
        <v>695.56</v>
      </c>
      <c r="H27041" s="5">
        <v>3641</v>
      </c>
    </row>
    <row r="27042" spans="2:8" ht="15" customHeight="1" x14ac:dyDescent="0.4">
      <c r="B27042" s="3" t="s">
        <v>7</v>
      </c>
      <c r="C27042" s="3" t="s">
        <v>4362</v>
      </c>
      <c r="D27042" s="4">
        <f>DATE(2010,1,6)</f>
        <v>40184</v>
      </c>
      <c r="E27042" s="5">
        <f t="shared" si="458"/>
        <v>2010</v>
      </c>
      <c r="F27042" s="3" t="s">
        <v>4369</v>
      </c>
      <c r="G27042" s="6">
        <v>6143.6</v>
      </c>
      <c r="H27042" s="5">
        <v>3700</v>
      </c>
    </row>
    <row r="27043" spans="2:8" ht="15" customHeight="1" x14ac:dyDescent="0.4">
      <c r="B27043" s="3" t="s">
        <v>7</v>
      </c>
      <c r="C27043" s="3" t="s">
        <v>4362</v>
      </c>
      <c r="D27043" s="4">
        <f>DATE(2010,1,6)</f>
        <v>40184</v>
      </c>
      <c r="E27043" s="5">
        <f t="shared" si="458"/>
        <v>2010</v>
      </c>
      <c r="F27043" s="3" t="s">
        <v>4369</v>
      </c>
      <c r="G27043" s="6">
        <v>13388.5</v>
      </c>
      <c r="H27043" s="5">
        <v>3704</v>
      </c>
    </row>
    <row r="27044" spans="2:8" ht="15" customHeight="1" x14ac:dyDescent="0.4">
      <c r="B27044" s="3" t="s">
        <v>7</v>
      </c>
      <c r="C27044" s="3" t="s">
        <v>4362</v>
      </c>
      <c r="D27044" s="4">
        <f>DATE(2010,1,7)</f>
        <v>40185</v>
      </c>
      <c r="E27044" s="5">
        <f t="shared" si="458"/>
        <v>2010</v>
      </c>
      <c r="F27044" s="3" t="s">
        <v>4369</v>
      </c>
      <c r="G27044" s="6">
        <v>20311.28</v>
      </c>
      <c r="H27044" s="5">
        <v>3748</v>
      </c>
    </row>
    <row r="27045" spans="2:8" ht="15" customHeight="1" x14ac:dyDescent="0.4">
      <c r="B27045" s="3" t="s">
        <v>7</v>
      </c>
      <c r="C27045" s="3" t="s">
        <v>4362</v>
      </c>
      <c r="D27045" s="4">
        <f>DATE(2010,2,4)</f>
        <v>40213</v>
      </c>
      <c r="E27045" s="5">
        <f t="shared" si="458"/>
        <v>2010</v>
      </c>
      <c r="F27045" s="3" t="s">
        <v>4369</v>
      </c>
      <c r="G27045" s="6">
        <v>577.16</v>
      </c>
      <c r="H27045" s="5">
        <v>3767</v>
      </c>
    </row>
    <row r="27046" spans="2:8" ht="15" customHeight="1" x14ac:dyDescent="0.4">
      <c r="B27046" s="3" t="s">
        <v>7</v>
      </c>
      <c r="C27046" s="3" t="s">
        <v>4362</v>
      </c>
      <c r="D27046" s="4">
        <f>DATE(2010,3,8)</f>
        <v>40245</v>
      </c>
      <c r="E27046" s="5">
        <f t="shared" si="458"/>
        <v>2010</v>
      </c>
      <c r="F27046" s="3" t="s">
        <v>4369</v>
      </c>
      <c r="G27046" s="6">
        <v>30094</v>
      </c>
      <c r="H27046" s="5">
        <v>3738</v>
      </c>
    </row>
    <row r="27047" spans="2:8" ht="15" customHeight="1" x14ac:dyDescent="0.4">
      <c r="B27047" s="3" t="s">
        <v>7</v>
      </c>
      <c r="C27047" s="3" t="s">
        <v>4362</v>
      </c>
      <c r="D27047" s="4">
        <f>DATE(2010,2,4)</f>
        <v>40213</v>
      </c>
      <c r="E27047" s="5">
        <f t="shared" si="458"/>
        <v>2010</v>
      </c>
      <c r="F27047" s="3" t="s">
        <v>4369</v>
      </c>
      <c r="G27047" s="6">
        <v>1297.1500000000001</v>
      </c>
      <c r="H27047" s="5">
        <v>3750</v>
      </c>
    </row>
    <row r="27048" spans="2:8" ht="15" customHeight="1" x14ac:dyDescent="0.4">
      <c r="B27048" s="3" t="s">
        <v>7</v>
      </c>
      <c r="C27048" s="3" t="s">
        <v>4362</v>
      </c>
      <c r="D27048" s="4">
        <f>DATE(2010,3,19)</f>
        <v>40256</v>
      </c>
      <c r="E27048" s="5">
        <f t="shared" si="458"/>
        <v>2010</v>
      </c>
      <c r="F27048" s="3" t="s">
        <v>4369</v>
      </c>
      <c r="G27048" s="6">
        <v>14457.28</v>
      </c>
      <c r="H27048" s="5">
        <v>3867</v>
      </c>
    </row>
    <row r="27049" spans="2:8" ht="15" customHeight="1" x14ac:dyDescent="0.4">
      <c r="B27049" s="3" t="s">
        <v>7</v>
      </c>
      <c r="C27049" s="3" t="s">
        <v>4362</v>
      </c>
      <c r="D27049" s="4">
        <f>DATE(2010,3,12)</f>
        <v>40249</v>
      </c>
      <c r="E27049" s="5">
        <f t="shared" si="458"/>
        <v>2010</v>
      </c>
      <c r="F27049" s="3" t="s">
        <v>4369</v>
      </c>
      <c r="G27049" s="6">
        <v>374.5</v>
      </c>
      <c r="H27049" s="5">
        <v>3912</v>
      </c>
    </row>
    <row r="27050" spans="2:8" ht="15" customHeight="1" x14ac:dyDescent="0.4">
      <c r="B27050" s="3" t="s">
        <v>7</v>
      </c>
      <c r="C27050" s="3" t="s">
        <v>4362</v>
      </c>
      <c r="D27050" s="4">
        <f>DATE(2010,4,19)</f>
        <v>40287</v>
      </c>
      <c r="E27050" s="5">
        <f t="shared" si="458"/>
        <v>2010</v>
      </c>
      <c r="F27050" s="3" t="s">
        <v>4369</v>
      </c>
      <c r="G27050" s="6">
        <v>431.6</v>
      </c>
      <c r="H27050" s="5">
        <v>3909</v>
      </c>
    </row>
    <row r="27051" spans="2:8" ht="15" customHeight="1" x14ac:dyDescent="0.4">
      <c r="B27051" s="3" t="s">
        <v>7</v>
      </c>
      <c r="C27051" s="3" t="s">
        <v>4362</v>
      </c>
      <c r="D27051" s="4">
        <f>DATE(2010,8,16)</f>
        <v>40406</v>
      </c>
      <c r="E27051" s="5">
        <f t="shared" si="458"/>
        <v>2010</v>
      </c>
      <c r="F27051" s="3" t="s">
        <v>4369</v>
      </c>
      <c r="G27051" s="6">
        <v>17692.09</v>
      </c>
      <c r="H27051" s="5">
        <v>4081</v>
      </c>
    </row>
    <row r="27052" spans="2:8" ht="15" customHeight="1" x14ac:dyDescent="0.4">
      <c r="B27052" s="3" t="s">
        <v>7</v>
      </c>
      <c r="C27052" s="3" t="s">
        <v>4362</v>
      </c>
      <c r="D27052" s="4">
        <f>DATE(2010,8,16)</f>
        <v>40406</v>
      </c>
      <c r="E27052" s="5">
        <f t="shared" si="458"/>
        <v>2010</v>
      </c>
      <c r="F27052" s="3" t="s">
        <v>4369</v>
      </c>
      <c r="G27052" s="6">
        <v>17158.900000000001</v>
      </c>
      <c r="H27052" s="5">
        <v>4082</v>
      </c>
    </row>
    <row r="27053" spans="2:8" ht="15" customHeight="1" x14ac:dyDescent="0.4">
      <c r="B27053" s="3" t="s">
        <v>7</v>
      </c>
      <c r="C27053" s="3" t="s">
        <v>4362</v>
      </c>
      <c r="D27053" s="4">
        <f>DATE(2010,9,20)</f>
        <v>40441</v>
      </c>
      <c r="E27053" s="5">
        <f t="shared" si="458"/>
        <v>2010</v>
      </c>
      <c r="F27053" s="3" t="s">
        <v>4369</v>
      </c>
      <c r="G27053" s="6">
        <v>1962.5</v>
      </c>
      <c r="H27053" s="5">
        <v>4134</v>
      </c>
    </row>
    <row r="27054" spans="2:8" ht="15" customHeight="1" x14ac:dyDescent="0.4">
      <c r="B27054" s="3" t="s">
        <v>7</v>
      </c>
      <c r="C27054" s="3" t="s">
        <v>4362</v>
      </c>
      <c r="D27054" s="4">
        <f>DATE(2010,9,20)</f>
        <v>40441</v>
      </c>
      <c r="E27054" s="5">
        <f t="shared" si="458"/>
        <v>2010</v>
      </c>
      <c r="F27054" s="3" t="s">
        <v>4369</v>
      </c>
      <c r="G27054" s="6">
        <v>1407.5</v>
      </c>
      <c r="H27054" s="5">
        <v>4177</v>
      </c>
    </row>
    <row r="27055" spans="2:8" ht="15" customHeight="1" x14ac:dyDescent="0.4">
      <c r="B27055" s="3" t="s">
        <v>7</v>
      </c>
      <c r="C27055" s="3" t="s">
        <v>4362</v>
      </c>
      <c r="D27055" s="4">
        <f>DATE(2010,12,22)</f>
        <v>40534</v>
      </c>
      <c r="E27055" s="5">
        <f t="shared" si="458"/>
        <v>2010</v>
      </c>
      <c r="F27055" s="3" t="s">
        <v>4369</v>
      </c>
      <c r="G27055" s="6">
        <v>8236.81</v>
      </c>
      <c r="H27055" s="5">
        <v>4265</v>
      </c>
    </row>
    <row r="27056" spans="2:8" ht="15" customHeight="1" x14ac:dyDescent="0.4">
      <c r="B27056" s="3" t="s">
        <v>7</v>
      </c>
      <c r="C27056" s="3" t="s">
        <v>4362</v>
      </c>
      <c r="D27056" s="4">
        <f>DATE(2011,5,5)</f>
        <v>40668</v>
      </c>
      <c r="E27056" s="5">
        <f t="shared" si="458"/>
        <v>2011</v>
      </c>
      <c r="F27056" s="3" t="s">
        <v>4369</v>
      </c>
      <c r="G27056" s="6">
        <v>1266.07</v>
      </c>
      <c r="H27056" s="5">
        <v>4469</v>
      </c>
    </row>
    <row r="27057" spans="2:8" ht="15" customHeight="1" x14ac:dyDescent="0.4">
      <c r="B27057" s="3" t="s">
        <v>7</v>
      </c>
      <c r="C27057" s="3" t="s">
        <v>4362</v>
      </c>
      <c r="D27057" s="4">
        <f>DATE(2011,5,20)</f>
        <v>40683</v>
      </c>
      <c r="E27057" s="5">
        <f t="shared" si="458"/>
        <v>2011</v>
      </c>
      <c r="F27057" s="3" t="s">
        <v>4369</v>
      </c>
      <c r="G27057" s="6">
        <v>2136.8000000000002</v>
      </c>
      <c r="H27057" s="5">
        <v>4470</v>
      </c>
    </row>
    <row r="27058" spans="2:8" ht="15" customHeight="1" x14ac:dyDescent="0.4">
      <c r="B27058" s="3" t="s">
        <v>7</v>
      </c>
      <c r="C27058" s="3" t="s">
        <v>4362</v>
      </c>
      <c r="D27058" s="4">
        <f>DATE(2011,5,24)</f>
        <v>40687</v>
      </c>
      <c r="E27058" s="5">
        <f t="shared" si="458"/>
        <v>2011</v>
      </c>
      <c r="F27058" s="3" t="s">
        <v>4369</v>
      </c>
      <c r="G27058" s="6">
        <v>2136.8000000000002</v>
      </c>
      <c r="H27058" s="5">
        <v>4470</v>
      </c>
    </row>
    <row r="27059" spans="2:8" ht="15" customHeight="1" x14ac:dyDescent="0.4">
      <c r="B27059" s="3" t="s">
        <v>7</v>
      </c>
      <c r="C27059" s="3" t="s">
        <v>4362</v>
      </c>
      <c r="D27059" s="4">
        <f>DATE(2011,6,6)</f>
        <v>40700</v>
      </c>
      <c r="E27059" s="5">
        <f t="shared" si="458"/>
        <v>2011</v>
      </c>
      <c r="F27059" s="3" t="s">
        <v>4369</v>
      </c>
      <c r="G27059" s="6">
        <v>13283.35</v>
      </c>
      <c r="H27059" s="5">
        <v>4481</v>
      </c>
    </row>
    <row r="27060" spans="2:8" ht="15" customHeight="1" x14ac:dyDescent="0.4">
      <c r="B27060" s="3" t="s">
        <v>7</v>
      </c>
      <c r="C27060" s="3" t="s">
        <v>4362</v>
      </c>
      <c r="D27060" s="4">
        <f>DATE(2011,6,30)</f>
        <v>40724</v>
      </c>
      <c r="E27060" s="5">
        <f t="shared" si="458"/>
        <v>2011</v>
      </c>
      <c r="F27060" s="3" t="s">
        <v>4369</v>
      </c>
      <c r="G27060" s="6">
        <v>16615.740000000002</v>
      </c>
      <c r="H27060" s="5">
        <v>4519</v>
      </c>
    </row>
    <row r="27061" spans="2:8" ht="15" customHeight="1" x14ac:dyDescent="0.4">
      <c r="B27061" s="3" t="s">
        <v>7</v>
      </c>
      <c r="C27061" s="3" t="s">
        <v>4362</v>
      </c>
      <c r="D27061" s="4">
        <f>DATE(2011,9,1)</f>
        <v>40787</v>
      </c>
      <c r="E27061" s="5">
        <f t="shared" si="458"/>
        <v>2011</v>
      </c>
      <c r="F27061" s="3" t="s">
        <v>4369</v>
      </c>
      <c r="G27061" s="6">
        <v>1281</v>
      </c>
      <c r="H27061" s="5">
        <v>4590</v>
      </c>
    </row>
    <row r="27062" spans="2:8" ht="15" customHeight="1" x14ac:dyDescent="0.4">
      <c r="B27062" s="3" t="s">
        <v>7</v>
      </c>
      <c r="C27062" s="3" t="s">
        <v>4362</v>
      </c>
      <c r="D27062" s="4">
        <f>DATE(2011,9,12)</f>
        <v>40798</v>
      </c>
      <c r="E27062" s="5">
        <f t="shared" si="458"/>
        <v>2011</v>
      </c>
      <c r="F27062" s="3" t="s">
        <v>4369</v>
      </c>
      <c r="G27062" s="6">
        <v>788</v>
      </c>
      <c r="H27062" s="5">
        <v>4590</v>
      </c>
    </row>
    <row r="27063" spans="2:8" ht="15" customHeight="1" x14ac:dyDescent="0.4">
      <c r="B27063" s="3" t="s">
        <v>7</v>
      </c>
      <c r="C27063" s="3" t="s">
        <v>4362</v>
      </c>
      <c r="D27063" s="4">
        <f>DATE(2011,9,14)</f>
        <v>40800</v>
      </c>
      <c r="E27063" s="5">
        <f t="shared" si="458"/>
        <v>2011</v>
      </c>
      <c r="F27063" s="3" t="s">
        <v>4369</v>
      </c>
      <c r="G27063" s="6">
        <v>36683.58</v>
      </c>
      <c r="H27063" s="5">
        <v>4629</v>
      </c>
    </row>
    <row r="27064" spans="2:8" ht="15" customHeight="1" x14ac:dyDescent="0.4">
      <c r="B27064" s="3" t="s">
        <v>7</v>
      </c>
      <c r="C27064" s="3" t="s">
        <v>4362</v>
      </c>
      <c r="D27064" s="4">
        <f>DATE(2011,10,28)</f>
        <v>40844</v>
      </c>
      <c r="E27064" s="5">
        <f t="shared" si="458"/>
        <v>2011</v>
      </c>
      <c r="F27064" s="3" t="s">
        <v>4369</v>
      </c>
      <c r="G27064" s="6">
        <v>2241.1999999999998</v>
      </c>
      <c r="H27064" s="5">
        <v>4639</v>
      </c>
    </row>
    <row r="27065" spans="2:8" ht="15" customHeight="1" x14ac:dyDescent="0.4">
      <c r="B27065" s="3" t="s">
        <v>7</v>
      </c>
      <c r="C27065" s="3" t="s">
        <v>4362</v>
      </c>
      <c r="D27065" s="4">
        <f>DATE(2008,9,1)</f>
        <v>39692</v>
      </c>
      <c r="E27065" s="5">
        <f t="shared" si="458"/>
        <v>2008</v>
      </c>
      <c r="F27065" s="3" t="s">
        <v>4369</v>
      </c>
      <c r="G27065" s="6">
        <v>15724.47</v>
      </c>
      <c r="H27065" s="5">
        <v>3061</v>
      </c>
    </row>
    <row r="27066" spans="2:8" ht="15" customHeight="1" x14ac:dyDescent="0.4">
      <c r="B27066" s="3" t="s">
        <v>16</v>
      </c>
      <c r="C27066" s="3" t="s">
        <v>4362</v>
      </c>
      <c r="D27066" s="4">
        <f>DATE(2008,4,1)</f>
        <v>39539</v>
      </c>
      <c r="E27066" s="5">
        <f t="shared" si="458"/>
        <v>2008</v>
      </c>
      <c r="F27066" s="3" t="s">
        <v>4369</v>
      </c>
      <c r="G27066" s="6">
        <v>7200</v>
      </c>
      <c r="H27066" s="5">
        <v>2803</v>
      </c>
    </row>
    <row r="27067" spans="2:8" ht="15" customHeight="1" x14ac:dyDescent="0.4">
      <c r="B27067" s="3" t="s">
        <v>16</v>
      </c>
      <c r="C27067" s="3" t="s">
        <v>4362</v>
      </c>
      <c r="D27067" s="4">
        <f>DATE(2009,8,26)</f>
        <v>40051</v>
      </c>
      <c r="E27067" s="5">
        <f t="shared" si="458"/>
        <v>2009</v>
      </c>
      <c r="F27067" s="3" t="s">
        <v>4369</v>
      </c>
      <c r="G27067" s="6">
        <v>1891.2</v>
      </c>
      <c r="H27067" s="5">
        <v>3568</v>
      </c>
    </row>
    <row r="27068" spans="2:8" ht="15" customHeight="1" x14ac:dyDescent="0.4">
      <c r="B27068" s="3" t="s">
        <v>16</v>
      </c>
      <c r="C27068" s="3" t="s">
        <v>4362</v>
      </c>
      <c r="D27068" s="4">
        <f>DATE(2010,9,20)</f>
        <v>40441</v>
      </c>
      <c r="E27068" s="5">
        <f t="shared" si="458"/>
        <v>2010</v>
      </c>
      <c r="F27068" s="3" t="s">
        <v>4369</v>
      </c>
      <c r="G27068" s="6">
        <v>1962.5</v>
      </c>
      <c r="H27068" s="5">
        <v>4175</v>
      </c>
    </row>
    <row r="27069" spans="2:8" ht="15" customHeight="1" x14ac:dyDescent="0.4">
      <c r="B27069" s="3" t="s">
        <v>7</v>
      </c>
      <c r="C27069" s="3" t="s">
        <v>4362</v>
      </c>
      <c r="D27069" s="4">
        <f>DATE(2006,5,5)</f>
        <v>38842</v>
      </c>
      <c r="E27069" s="5">
        <f t="shared" si="458"/>
        <v>2006</v>
      </c>
      <c r="F27069" s="3" t="s">
        <v>4369</v>
      </c>
      <c r="G27069" s="6">
        <v>20347.7</v>
      </c>
      <c r="H27069" s="5">
        <v>6545</v>
      </c>
    </row>
    <row r="27070" spans="2:8" ht="15" customHeight="1" x14ac:dyDescent="0.4">
      <c r="B27070" s="3" t="s">
        <v>7</v>
      </c>
      <c r="C27070" s="3" t="s">
        <v>4362</v>
      </c>
      <c r="D27070" s="4">
        <f>DATE(2007,3,22)</f>
        <v>39163</v>
      </c>
      <c r="E27070" s="5">
        <f t="shared" si="458"/>
        <v>2007</v>
      </c>
      <c r="F27070" s="3" t="s">
        <v>4369</v>
      </c>
      <c r="G27070" s="6">
        <v>106.77</v>
      </c>
      <c r="H27070" s="5">
        <v>8213</v>
      </c>
    </row>
    <row r="27071" spans="2:8" ht="15" customHeight="1" x14ac:dyDescent="0.4">
      <c r="B27071" s="3" t="s">
        <v>7</v>
      </c>
      <c r="C27071" s="3" t="s">
        <v>4362</v>
      </c>
      <c r="D27071" s="4">
        <f>DATE(2007,10,8)</f>
        <v>39363</v>
      </c>
      <c r="E27071" s="5">
        <f t="shared" si="458"/>
        <v>2007</v>
      </c>
      <c r="F27071" s="3" t="s">
        <v>4369</v>
      </c>
      <c r="G27071" s="6">
        <v>560.72</v>
      </c>
      <c r="H27071" s="5">
        <v>9298</v>
      </c>
    </row>
    <row r="27072" spans="2:8" ht="15" customHeight="1" x14ac:dyDescent="0.4">
      <c r="B27072" s="3" t="s">
        <v>7</v>
      </c>
      <c r="C27072" s="3" t="s">
        <v>4362</v>
      </c>
      <c r="D27072" s="4">
        <f>DATE(2008,3,10)</f>
        <v>39517</v>
      </c>
      <c r="E27072" s="5">
        <f t="shared" si="458"/>
        <v>2008</v>
      </c>
      <c r="F27072" s="3" t="s">
        <v>4369</v>
      </c>
      <c r="G27072" s="6">
        <v>5199.3900000000003</v>
      </c>
      <c r="H27072" s="5">
        <v>10149</v>
      </c>
    </row>
    <row r="27073" spans="2:8" ht="15" customHeight="1" x14ac:dyDescent="0.4">
      <c r="B27073" s="3" t="s">
        <v>7</v>
      </c>
      <c r="C27073" s="3" t="s">
        <v>4362</v>
      </c>
      <c r="D27073" s="4">
        <f>DATE(2008,4,3)</f>
        <v>39541</v>
      </c>
      <c r="E27073" s="5">
        <f t="shared" si="458"/>
        <v>2008</v>
      </c>
      <c r="F27073" s="3" t="s">
        <v>4369</v>
      </c>
      <c r="G27073" s="6">
        <v>9642.76</v>
      </c>
      <c r="H27073" s="5">
        <v>10362</v>
      </c>
    </row>
    <row r="27074" spans="2:8" ht="15" customHeight="1" x14ac:dyDescent="0.4">
      <c r="B27074" s="3" t="s">
        <v>7</v>
      </c>
      <c r="C27074" s="3" t="s">
        <v>4362</v>
      </c>
      <c r="D27074" s="4">
        <f>DATE(2008,5,20)</f>
        <v>39588</v>
      </c>
      <c r="E27074" s="5">
        <f t="shared" si="458"/>
        <v>2008</v>
      </c>
      <c r="F27074" s="3" t="s">
        <v>4369</v>
      </c>
      <c r="G27074" s="6">
        <v>7626.25</v>
      </c>
      <c r="H27074" s="5">
        <v>10708</v>
      </c>
    </row>
    <row r="27075" spans="2:8" ht="15" customHeight="1" x14ac:dyDescent="0.4">
      <c r="B27075" s="3" t="s">
        <v>7</v>
      </c>
      <c r="C27075" s="3" t="s">
        <v>4362</v>
      </c>
      <c r="D27075" s="4">
        <f>DATE(2008,5,29)</f>
        <v>39597</v>
      </c>
      <c r="E27075" s="5">
        <f t="shared" ref="E27075:E27138" si="459">YEAR(D27075)</f>
        <v>2008</v>
      </c>
      <c r="F27075" s="3" t="s">
        <v>4369</v>
      </c>
      <c r="G27075" s="6">
        <v>81822.45</v>
      </c>
      <c r="H27075" s="5">
        <v>10741</v>
      </c>
    </row>
    <row r="27076" spans="2:8" ht="15" customHeight="1" x14ac:dyDescent="0.4">
      <c r="B27076" s="3" t="s">
        <v>7</v>
      </c>
      <c r="C27076" s="3" t="s">
        <v>4362</v>
      </c>
      <c r="D27076" s="4">
        <f>DATE(2008,6,16)</f>
        <v>39615</v>
      </c>
      <c r="E27076" s="5">
        <f t="shared" si="459"/>
        <v>2008</v>
      </c>
      <c r="F27076" s="3" t="s">
        <v>4369</v>
      </c>
      <c r="G27076" s="6">
        <v>452.08</v>
      </c>
      <c r="H27076" s="5">
        <v>10852</v>
      </c>
    </row>
    <row r="27077" spans="2:8" ht="15" customHeight="1" x14ac:dyDescent="0.4">
      <c r="B27077" s="3" t="s">
        <v>7</v>
      </c>
      <c r="C27077" s="3" t="s">
        <v>4362</v>
      </c>
      <c r="D27077" s="4">
        <f>DATE(2008,6,17)</f>
        <v>39616</v>
      </c>
      <c r="E27077" s="5">
        <f t="shared" si="459"/>
        <v>2008</v>
      </c>
      <c r="F27077" s="3" t="s">
        <v>4369</v>
      </c>
      <c r="G27077" s="6">
        <v>428.28</v>
      </c>
      <c r="H27077" s="5">
        <v>10857</v>
      </c>
    </row>
    <row r="27078" spans="2:8" ht="15" customHeight="1" x14ac:dyDescent="0.4">
      <c r="B27078" s="3" t="s">
        <v>7</v>
      </c>
      <c r="C27078" s="3" t="s">
        <v>4362</v>
      </c>
      <c r="D27078" s="4">
        <f>DATE(2008,7,9)</f>
        <v>39638</v>
      </c>
      <c r="E27078" s="5">
        <f t="shared" si="459"/>
        <v>2008</v>
      </c>
      <c r="F27078" s="3" t="s">
        <v>4369</v>
      </c>
      <c r="G27078" s="6">
        <v>40035.17</v>
      </c>
      <c r="H27078" s="5">
        <v>10379</v>
      </c>
    </row>
    <row r="27079" spans="2:8" ht="15" customHeight="1" x14ac:dyDescent="0.4">
      <c r="B27079" s="3" t="s">
        <v>7</v>
      </c>
      <c r="C27079" s="3" t="s">
        <v>4362</v>
      </c>
      <c r="D27079" s="4">
        <f>DATE(2008,8,6)</f>
        <v>39666</v>
      </c>
      <c r="E27079" s="5">
        <f t="shared" si="459"/>
        <v>2008</v>
      </c>
      <c r="F27079" s="3" t="s">
        <v>4369</v>
      </c>
      <c r="G27079" s="6">
        <v>13687.84</v>
      </c>
      <c r="H27079" s="5">
        <v>11070</v>
      </c>
    </row>
    <row r="27080" spans="2:8" ht="15" customHeight="1" x14ac:dyDescent="0.4">
      <c r="B27080" s="3" t="s">
        <v>7</v>
      </c>
      <c r="C27080" s="3" t="s">
        <v>4362</v>
      </c>
      <c r="D27080" s="4">
        <f>DATE(2008,9,4)</f>
        <v>39695</v>
      </c>
      <c r="E27080" s="5">
        <f t="shared" si="459"/>
        <v>2008</v>
      </c>
      <c r="F27080" s="3" t="s">
        <v>4369</v>
      </c>
      <c r="G27080" s="6">
        <v>40713.1</v>
      </c>
      <c r="H27080" s="5">
        <v>11209</v>
      </c>
    </row>
    <row r="27081" spans="2:8" ht="15" customHeight="1" x14ac:dyDescent="0.4">
      <c r="B27081" s="3" t="s">
        <v>7</v>
      </c>
      <c r="C27081" s="3" t="s">
        <v>4362</v>
      </c>
      <c r="D27081" s="4">
        <f>DATE(2008,9,18)</f>
        <v>39709</v>
      </c>
      <c r="E27081" s="5">
        <f t="shared" si="459"/>
        <v>2008</v>
      </c>
      <c r="F27081" s="3" t="s">
        <v>4369</v>
      </c>
      <c r="G27081" s="6">
        <v>5100.8100000000004</v>
      </c>
      <c r="H27081" s="5">
        <v>11281</v>
      </c>
    </row>
    <row r="27082" spans="2:8" ht="15" customHeight="1" x14ac:dyDescent="0.4">
      <c r="B27082" s="3" t="s">
        <v>7</v>
      </c>
      <c r="C27082" s="3" t="s">
        <v>4362</v>
      </c>
      <c r="D27082" s="4">
        <f>DATE(2008,9,22)</f>
        <v>39713</v>
      </c>
      <c r="E27082" s="5">
        <f t="shared" si="459"/>
        <v>2008</v>
      </c>
      <c r="F27082" s="3" t="s">
        <v>4369</v>
      </c>
      <c r="G27082" s="6">
        <v>1174.8900000000001</v>
      </c>
      <c r="H27082" s="5">
        <v>11302</v>
      </c>
    </row>
    <row r="27083" spans="2:8" ht="15" customHeight="1" x14ac:dyDescent="0.4">
      <c r="B27083" s="3" t="s">
        <v>7</v>
      </c>
      <c r="C27083" s="3" t="s">
        <v>4362</v>
      </c>
      <c r="D27083" s="4">
        <f>DATE(2008,9,26)</f>
        <v>39717</v>
      </c>
      <c r="E27083" s="5">
        <f t="shared" si="459"/>
        <v>2008</v>
      </c>
      <c r="F27083" s="3" t="s">
        <v>4369</v>
      </c>
      <c r="G27083" s="6">
        <v>13352.15</v>
      </c>
      <c r="H27083" s="5">
        <v>11320</v>
      </c>
    </row>
    <row r="27084" spans="2:8" ht="15" customHeight="1" x14ac:dyDescent="0.4">
      <c r="B27084" s="3" t="s">
        <v>7</v>
      </c>
      <c r="C27084" s="3" t="s">
        <v>4362</v>
      </c>
      <c r="D27084" s="4">
        <f>DATE(2008,10,27)</f>
        <v>39748</v>
      </c>
      <c r="E27084" s="5">
        <f t="shared" si="459"/>
        <v>2008</v>
      </c>
      <c r="F27084" s="3" t="s">
        <v>4369</v>
      </c>
      <c r="G27084" s="6">
        <v>4469.4399999999996</v>
      </c>
      <c r="H27084" s="5">
        <v>11495</v>
      </c>
    </row>
    <row r="27085" spans="2:8" ht="15" customHeight="1" x14ac:dyDescent="0.4">
      <c r="B27085" s="3" t="s">
        <v>7</v>
      </c>
      <c r="C27085" s="3" t="s">
        <v>4362</v>
      </c>
      <c r="D27085" s="4">
        <f>DATE(2009,1,9)</f>
        <v>39822</v>
      </c>
      <c r="E27085" s="5">
        <f t="shared" si="459"/>
        <v>2009</v>
      </c>
      <c r="F27085" s="3" t="s">
        <v>4369</v>
      </c>
      <c r="G27085" s="6">
        <v>118942.01</v>
      </c>
      <c r="H27085" s="5">
        <v>11691</v>
      </c>
    </row>
    <row r="27086" spans="2:8" ht="15" customHeight="1" x14ac:dyDescent="0.4">
      <c r="B27086" s="3" t="s">
        <v>7</v>
      </c>
      <c r="C27086" s="3" t="s">
        <v>4362</v>
      </c>
      <c r="D27086" s="4">
        <f>DATE(2009,1,9)</f>
        <v>39822</v>
      </c>
      <c r="E27086" s="5">
        <f t="shared" si="459"/>
        <v>2009</v>
      </c>
      <c r="F27086" s="3" t="s">
        <v>4369</v>
      </c>
      <c r="G27086" s="6">
        <v>2414.62</v>
      </c>
      <c r="H27086" s="5">
        <v>11692</v>
      </c>
    </row>
    <row r="27087" spans="2:8" ht="15" customHeight="1" x14ac:dyDescent="0.4">
      <c r="B27087" s="3" t="s">
        <v>7</v>
      </c>
      <c r="C27087" s="3" t="s">
        <v>4362</v>
      </c>
      <c r="D27087" s="4">
        <f>DATE(2009,1,15)</f>
        <v>39828</v>
      </c>
      <c r="E27087" s="5">
        <f t="shared" si="459"/>
        <v>2009</v>
      </c>
      <c r="F27087" s="3" t="s">
        <v>4369</v>
      </c>
      <c r="G27087" s="6">
        <v>1195.33</v>
      </c>
      <c r="H27087" s="5">
        <v>11828</v>
      </c>
    </row>
    <row r="27088" spans="2:8" ht="15" customHeight="1" x14ac:dyDescent="0.4">
      <c r="B27088" s="3" t="s">
        <v>7</v>
      </c>
      <c r="C27088" s="3" t="s">
        <v>4362</v>
      </c>
      <c r="D27088" s="4">
        <f>DATE(2009,1,21)</f>
        <v>39834</v>
      </c>
      <c r="E27088" s="5">
        <f t="shared" si="459"/>
        <v>2009</v>
      </c>
      <c r="F27088" s="3" t="s">
        <v>4369</v>
      </c>
      <c r="G27088" s="6">
        <v>6400.44</v>
      </c>
      <c r="H27088" s="5">
        <v>11836</v>
      </c>
    </row>
    <row r="27089" spans="2:8" ht="15" customHeight="1" x14ac:dyDescent="0.4">
      <c r="B27089" s="3" t="s">
        <v>7</v>
      </c>
      <c r="C27089" s="3" t="s">
        <v>4362</v>
      </c>
      <c r="D27089" s="4">
        <f>DATE(2009,1,27)</f>
        <v>39840</v>
      </c>
      <c r="E27089" s="5">
        <f t="shared" si="459"/>
        <v>2009</v>
      </c>
      <c r="F27089" s="3" t="s">
        <v>4369</v>
      </c>
      <c r="G27089" s="6">
        <v>8942.2900000000009</v>
      </c>
      <c r="H27089" s="5">
        <v>11885</v>
      </c>
    </row>
    <row r="27090" spans="2:8" ht="15" customHeight="1" x14ac:dyDescent="0.4">
      <c r="B27090" s="3" t="s">
        <v>7</v>
      </c>
      <c r="C27090" s="3" t="s">
        <v>4362</v>
      </c>
      <c r="D27090" s="4">
        <f>DATE(2009,1,30)</f>
        <v>39843</v>
      </c>
      <c r="E27090" s="5">
        <f t="shared" si="459"/>
        <v>2009</v>
      </c>
      <c r="F27090" s="3" t="s">
        <v>4369</v>
      </c>
      <c r="G27090" s="6">
        <v>8361.17</v>
      </c>
      <c r="H27090" s="5">
        <v>11905</v>
      </c>
    </row>
    <row r="27091" spans="2:8" ht="15" customHeight="1" x14ac:dyDescent="0.4">
      <c r="B27091" s="3" t="s">
        <v>7</v>
      </c>
      <c r="C27091" s="3" t="s">
        <v>4362</v>
      </c>
      <c r="D27091" s="4">
        <f>DATE(2009,1,30)</f>
        <v>39843</v>
      </c>
      <c r="E27091" s="5">
        <f t="shared" si="459"/>
        <v>2009</v>
      </c>
      <c r="F27091" s="3" t="s">
        <v>4369</v>
      </c>
      <c r="G27091" s="6">
        <v>1400.47</v>
      </c>
      <c r="H27091" s="5">
        <v>11922</v>
      </c>
    </row>
    <row r="27092" spans="2:8" ht="15" customHeight="1" x14ac:dyDescent="0.4">
      <c r="B27092" s="3" t="s">
        <v>7</v>
      </c>
      <c r="C27092" s="3" t="s">
        <v>4362</v>
      </c>
      <c r="D27092" s="4">
        <f>DATE(2009,2,4)</f>
        <v>39848</v>
      </c>
      <c r="E27092" s="5">
        <f t="shared" si="459"/>
        <v>2009</v>
      </c>
      <c r="F27092" s="3" t="s">
        <v>4369</v>
      </c>
      <c r="G27092" s="6">
        <v>1171.08</v>
      </c>
      <c r="H27092" s="5">
        <v>11924</v>
      </c>
    </row>
    <row r="27093" spans="2:8" ht="15" customHeight="1" x14ac:dyDescent="0.4">
      <c r="B27093" s="3" t="s">
        <v>7</v>
      </c>
      <c r="C27093" s="3" t="s">
        <v>4362</v>
      </c>
      <c r="D27093" s="4">
        <f>DATE(2009,2,17)</f>
        <v>39861</v>
      </c>
      <c r="E27093" s="5">
        <f t="shared" si="459"/>
        <v>2009</v>
      </c>
      <c r="F27093" s="3" t="s">
        <v>4369</v>
      </c>
      <c r="G27093" s="6">
        <v>2087.81</v>
      </c>
      <c r="H27093" s="5">
        <v>11998</v>
      </c>
    </row>
    <row r="27094" spans="2:8" ht="15" customHeight="1" x14ac:dyDescent="0.4">
      <c r="B27094" s="3" t="s">
        <v>7</v>
      </c>
      <c r="C27094" s="3" t="s">
        <v>4362</v>
      </c>
      <c r="D27094" s="4">
        <f>DATE(2009,3,18)</f>
        <v>39890</v>
      </c>
      <c r="E27094" s="5">
        <f t="shared" si="459"/>
        <v>2009</v>
      </c>
      <c r="F27094" s="3" t="s">
        <v>4369</v>
      </c>
      <c r="G27094" s="6">
        <v>3341.92</v>
      </c>
      <c r="H27094" s="5">
        <v>12254</v>
      </c>
    </row>
    <row r="27095" spans="2:8" ht="15" customHeight="1" x14ac:dyDescent="0.4">
      <c r="B27095" s="3" t="s">
        <v>7</v>
      </c>
      <c r="C27095" s="3" t="s">
        <v>4362</v>
      </c>
      <c r="D27095" s="4">
        <f>DATE(2009,4,7)</f>
        <v>39910</v>
      </c>
      <c r="E27095" s="5">
        <f t="shared" si="459"/>
        <v>2009</v>
      </c>
      <c r="F27095" s="3" t="s">
        <v>4369</v>
      </c>
      <c r="G27095" s="6">
        <v>1886.59</v>
      </c>
      <c r="H27095" s="5">
        <v>12359</v>
      </c>
    </row>
    <row r="27096" spans="2:8" ht="15" customHeight="1" x14ac:dyDescent="0.4">
      <c r="B27096" s="3" t="s">
        <v>7</v>
      </c>
      <c r="C27096" s="3" t="s">
        <v>4362</v>
      </c>
      <c r="D27096" s="4">
        <f>DATE(2009,4,7)</f>
        <v>39910</v>
      </c>
      <c r="E27096" s="5">
        <f t="shared" si="459"/>
        <v>2009</v>
      </c>
      <c r="F27096" s="3" t="s">
        <v>4369</v>
      </c>
      <c r="G27096" s="6">
        <v>36579.1</v>
      </c>
      <c r="H27096" s="5">
        <v>11763</v>
      </c>
    </row>
    <row r="27097" spans="2:8" ht="15" customHeight="1" x14ac:dyDescent="0.4">
      <c r="B27097" s="3" t="s">
        <v>7</v>
      </c>
      <c r="C27097" s="3" t="s">
        <v>4362</v>
      </c>
      <c r="D27097" s="4">
        <f>DATE(2009,4,27)</f>
        <v>39930</v>
      </c>
      <c r="E27097" s="5">
        <f t="shared" si="459"/>
        <v>2009</v>
      </c>
      <c r="F27097" s="3" t="s">
        <v>4369</v>
      </c>
      <c r="G27097" s="6">
        <v>3847.4</v>
      </c>
      <c r="H27097" s="5">
        <v>12466</v>
      </c>
    </row>
    <row r="27098" spans="2:8" ht="15" customHeight="1" x14ac:dyDescent="0.4">
      <c r="B27098" s="3" t="s">
        <v>7</v>
      </c>
      <c r="C27098" s="3" t="s">
        <v>4362</v>
      </c>
      <c r="D27098" s="4">
        <f>DATE(2009,4,27)</f>
        <v>39930</v>
      </c>
      <c r="E27098" s="5">
        <f t="shared" si="459"/>
        <v>2009</v>
      </c>
      <c r="F27098" s="3" t="s">
        <v>4369</v>
      </c>
      <c r="G27098" s="6">
        <v>1862.9</v>
      </c>
      <c r="H27098" s="5">
        <v>12467</v>
      </c>
    </row>
    <row r="27099" spans="2:8" ht="15" customHeight="1" x14ac:dyDescent="0.4">
      <c r="B27099" s="3" t="s">
        <v>7</v>
      </c>
      <c r="C27099" s="3" t="s">
        <v>4362</v>
      </c>
      <c r="D27099" s="4">
        <f>DATE(2009,5,5)</f>
        <v>39938</v>
      </c>
      <c r="E27099" s="5">
        <f t="shared" si="459"/>
        <v>2009</v>
      </c>
      <c r="F27099" s="3" t="s">
        <v>4369</v>
      </c>
      <c r="G27099" s="6">
        <v>481.47</v>
      </c>
      <c r="H27099" s="5">
        <v>12493</v>
      </c>
    </row>
    <row r="27100" spans="2:8" ht="15" customHeight="1" x14ac:dyDescent="0.4">
      <c r="B27100" s="3" t="s">
        <v>7</v>
      </c>
      <c r="C27100" s="3" t="s">
        <v>4362</v>
      </c>
      <c r="D27100" s="4">
        <f>DATE(2009,5,8)</f>
        <v>39941</v>
      </c>
      <c r="E27100" s="5">
        <f t="shared" si="459"/>
        <v>2009</v>
      </c>
      <c r="F27100" s="3" t="s">
        <v>4369</v>
      </c>
      <c r="G27100" s="6">
        <v>176.5</v>
      </c>
      <c r="H27100" s="5">
        <v>12529</v>
      </c>
    </row>
    <row r="27101" spans="2:8" ht="15" customHeight="1" x14ac:dyDescent="0.4">
      <c r="B27101" s="3" t="s">
        <v>7</v>
      </c>
      <c r="C27101" s="3" t="s">
        <v>4362</v>
      </c>
      <c r="D27101" s="4">
        <f>DATE(2009,5,22)</f>
        <v>39955</v>
      </c>
      <c r="E27101" s="5">
        <f t="shared" si="459"/>
        <v>2009</v>
      </c>
      <c r="F27101" s="3" t="s">
        <v>4369</v>
      </c>
      <c r="G27101" s="6">
        <v>7207.97</v>
      </c>
      <c r="H27101" s="5">
        <v>12592</v>
      </c>
    </row>
    <row r="27102" spans="2:8" ht="15" customHeight="1" x14ac:dyDescent="0.4">
      <c r="B27102" s="3" t="s">
        <v>7</v>
      </c>
      <c r="C27102" s="3" t="s">
        <v>4362</v>
      </c>
      <c r="D27102" s="4">
        <f>DATE(2009,6,25)</f>
        <v>39989</v>
      </c>
      <c r="E27102" s="5">
        <f t="shared" si="459"/>
        <v>2009</v>
      </c>
      <c r="F27102" s="3" t="s">
        <v>4369</v>
      </c>
      <c r="G27102" s="6">
        <v>9073.99</v>
      </c>
      <c r="H27102" s="5">
        <v>12744</v>
      </c>
    </row>
    <row r="27103" spans="2:8" ht="15" customHeight="1" x14ac:dyDescent="0.4">
      <c r="B27103" s="3" t="s">
        <v>7</v>
      </c>
      <c r="C27103" s="3" t="s">
        <v>4362</v>
      </c>
      <c r="D27103" s="4">
        <f>DATE(2009,6,26)</f>
        <v>39990</v>
      </c>
      <c r="E27103" s="5">
        <f t="shared" si="459"/>
        <v>2009</v>
      </c>
      <c r="F27103" s="3" t="s">
        <v>4369</v>
      </c>
      <c r="G27103" s="6">
        <v>1753.63</v>
      </c>
      <c r="H27103" s="5">
        <v>12745</v>
      </c>
    </row>
    <row r="27104" spans="2:8" ht="15" customHeight="1" x14ac:dyDescent="0.4">
      <c r="B27104" s="3" t="s">
        <v>7</v>
      </c>
      <c r="C27104" s="3" t="s">
        <v>4362</v>
      </c>
      <c r="D27104" s="4">
        <f>DATE(2009,6,30)</f>
        <v>39994</v>
      </c>
      <c r="E27104" s="5">
        <f t="shared" si="459"/>
        <v>2009</v>
      </c>
      <c r="F27104" s="3" t="s">
        <v>4369</v>
      </c>
      <c r="G27104" s="6">
        <v>8491.83</v>
      </c>
      <c r="H27104" s="5">
        <v>12746</v>
      </c>
    </row>
    <row r="27105" spans="2:8" ht="15" customHeight="1" x14ac:dyDescent="0.4">
      <c r="B27105" s="3" t="s">
        <v>7</v>
      </c>
      <c r="C27105" s="3" t="s">
        <v>4362</v>
      </c>
      <c r="D27105" s="4">
        <f>DATE(2009,7,20)</f>
        <v>40014</v>
      </c>
      <c r="E27105" s="5">
        <f t="shared" si="459"/>
        <v>2009</v>
      </c>
      <c r="F27105" s="3" t="s">
        <v>4369</v>
      </c>
      <c r="G27105" s="6">
        <v>6121.28</v>
      </c>
      <c r="H27105" s="5">
        <v>12828</v>
      </c>
    </row>
    <row r="27106" spans="2:8" ht="15" customHeight="1" x14ac:dyDescent="0.4">
      <c r="B27106" s="3" t="s">
        <v>7</v>
      </c>
      <c r="C27106" s="3" t="s">
        <v>4362</v>
      </c>
      <c r="D27106" s="4">
        <f>DATE(2009,7,27)</f>
        <v>40021</v>
      </c>
      <c r="E27106" s="5">
        <f t="shared" si="459"/>
        <v>2009</v>
      </c>
      <c r="F27106" s="3" t="s">
        <v>4369</v>
      </c>
      <c r="G27106" s="6">
        <v>3150.57</v>
      </c>
      <c r="H27106" s="5">
        <v>12843</v>
      </c>
    </row>
    <row r="27107" spans="2:8" ht="15" customHeight="1" x14ac:dyDescent="0.4">
      <c r="B27107" s="3" t="s">
        <v>7</v>
      </c>
      <c r="C27107" s="3" t="s">
        <v>4362</v>
      </c>
      <c r="D27107" s="4">
        <f>DATE(2009,8,21)</f>
        <v>40046</v>
      </c>
      <c r="E27107" s="5">
        <f t="shared" si="459"/>
        <v>2009</v>
      </c>
      <c r="F27107" s="3" t="s">
        <v>4369</v>
      </c>
      <c r="G27107" s="6">
        <v>487.9</v>
      </c>
      <c r="H27107" s="5">
        <v>12944</v>
      </c>
    </row>
    <row r="27108" spans="2:8" ht="15" customHeight="1" x14ac:dyDescent="0.4">
      <c r="B27108" s="3" t="s">
        <v>7</v>
      </c>
      <c r="C27108" s="3" t="s">
        <v>4362</v>
      </c>
      <c r="D27108" s="4">
        <f>DATE(2009,8,28)</f>
        <v>40053</v>
      </c>
      <c r="E27108" s="5">
        <f t="shared" si="459"/>
        <v>2009</v>
      </c>
      <c r="F27108" s="3" t="s">
        <v>4369</v>
      </c>
      <c r="G27108" s="6">
        <v>3805.46</v>
      </c>
      <c r="H27108" s="5">
        <v>12957</v>
      </c>
    </row>
    <row r="27109" spans="2:8" ht="15" customHeight="1" x14ac:dyDescent="0.4">
      <c r="B27109" s="3" t="s">
        <v>7</v>
      </c>
      <c r="C27109" s="3" t="s">
        <v>4362</v>
      </c>
      <c r="D27109" s="4">
        <f>DATE(2009,9,4)</f>
        <v>40060</v>
      </c>
      <c r="E27109" s="5">
        <f t="shared" si="459"/>
        <v>2009</v>
      </c>
      <c r="F27109" s="3" t="s">
        <v>4369</v>
      </c>
      <c r="G27109" s="6">
        <v>8597.51</v>
      </c>
      <c r="H27109" s="5">
        <v>12984</v>
      </c>
    </row>
    <row r="27110" spans="2:8" ht="15" customHeight="1" x14ac:dyDescent="0.4">
      <c r="B27110" s="3" t="s">
        <v>7</v>
      </c>
      <c r="C27110" s="3" t="s">
        <v>4362</v>
      </c>
      <c r="D27110" s="4">
        <f>DATE(2009,9,9)</f>
        <v>40065</v>
      </c>
      <c r="E27110" s="5">
        <f t="shared" si="459"/>
        <v>2009</v>
      </c>
      <c r="F27110" s="3" t="s">
        <v>4369</v>
      </c>
      <c r="G27110" s="6">
        <v>220.43</v>
      </c>
      <c r="H27110" s="5">
        <v>13002</v>
      </c>
    </row>
    <row r="27111" spans="2:8" ht="15" customHeight="1" x14ac:dyDescent="0.4">
      <c r="B27111" s="3" t="s">
        <v>7</v>
      </c>
      <c r="C27111" s="3" t="s">
        <v>4362</v>
      </c>
      <c r="D27111" s="4">
        <f>DATE(2009,9,10)</f>
        <v>40066</v>
      </c>
      <c r="E27111" s="5">
        <f t="shared" si="459"/>
        <v>2009</v>
      </c>
      <c r="F27111" s="3" t="s">
        <v>4369</v>
      </c>
      <c r="G27111" s="6">
        <v>1013.4</v>
      </c>
      <c r="H27111" s="5">
        <v>13009</v>
      </c>
    </row>
    <row r="27112" spans="2:8" ht="15" customHeight="1" x14ac:dyDescent="0.4">
      <c r="B27112" s="3" t="s">
        <v>7</v>
      </c>
      <c r="C27112" s="3" t="s">
        <v>4362</v>
      </c>
      <c r="D27112" s="4">
        <f>DATE(2009,9,18)</f>
        <v>40074</v>
      </c>
      <c r="E27112" s="5">
        <f t="shared" si="459"/>
        <v>2009</v>
      </c>
      <c r="F27112" s="3" t="s">
        <v>4369</v>
      </c>
      <c r="G27112" s="6">
        <v>813.53</v>
      </c>
      <c r="H27112" s="5">
        <v>13036</v>
      </c>
    </row>
    <row r="27113" spans="2:8" ht="15" customHeight="1" x14ac:dyDescent="0.4">
      <c r="B27113" s="3" t="s">
        <v>7</v>
      </c>
      <c r="C27113" s="3" t="s">
        <v>4362</v>
      </c>
      <c r="D27113" s="4">
        <f>DATE(2009,9,18)</f>
        <v>40074</v>
      </c>
      <c r="E27113" s="5">
        <f t="shared" si="459"/>
        <v>2009</v>
      </c>
      <c r="F27113" s="3" t="s">
        <v>4369</v>
      </c>
      <c r="G27113" s="6">
        <v>1400</v>
      </c>
      <c r="H27113" s="5">
        <v>13042</v>
      </c>
    </row>
    <row r="27114" spans="2:8" ht="15" customHeight="1" x14ac:dyDescent="0.4">
      <c r="B27114" s="3" t="s">
        <v>7</v>
      </c>
      <c r="C27114" s="3" t="s">
        <v>4362</v>
      </c>
      <c r="D27114" s="4">
        <f>DATE(2009,10,6)</f>
        <v>40092</v>
      </c>
      <c r="E27114" s="5">
        <f t="shared" si="459"/>
        <v>2009</v>
      </c>
      <c r="F27114" s="3" t="s">
        <v>4369</v>
      </c>
      <c r="G27114" s="6">
        <v>196.53</v>
      </c>
      <c r="H27114" s="5">
        <v>13107</v>
      </c>
    </row>
    <row r="27115" spans="2:8" ht="15" customHeight="1" x14ac:dyDescent="0.4">
      <c r="B27115" s="3" t="s">
        <v>7</v>
      </c>
      <c r="C27115" s="3" t="s">
        <v>4362</v>
      </c>
      <c r="D27115" s="4">
        <f>DATE(2009,10,16)</f>
        <v>40102</v>
      </c>
      <c r="E27115" s="5">
        <f t="shared" si="459"/>
        <v>2009</v>
      </c>
      <c r="F27115" s="3" t="s">
        <v>4369</v>
      </c>
      <c r="G27115" s="6">
        <v>14443.33</v>
      </c>
      <c r="H27115" s="5">
        <v>13163</v>
      </c>
    </row>
    <row r="27116" spans="2:8" ht="15" customHeight="1" x14ac:dyDescent="0.4">
      <c r="B27116" s="3" t="s">
        <v>7</v>
      </c>
      <c r="C27116" s="3" t="s">
        <v>4362</v>
      </c>
      <c r="D27116" s="4">
        <f>DATE(2009,10,19)</f>
        <v>40105</v>
      </c>
      <c r="E27116" s="5">
        <f t="shared" si="459"/>
        <v>2009</v>
      </c>
      <c r="F27116" s="3" t="s">
        <v>4369</v>
      </c>
      <c r="G27116" s="6">
        <v>354.93</v>
      </c>
      <c r="H27116" s="5">
        <v>13171</v>
      </c>
    </row>
    <row r="27117" spans="2:8" ht="15" customHeight="1" x14ac:dyDescent="0.4">
      <c r="B27117" s="3" t="s">
        <v>7</v>
      </c>
      <c r="C27117" s="3" t="s">
        <v>4362</v>
      </c>
      <c r="D27117" s="4">
        <f>DATE(2009,10,29)</f>
        <v>40115</v>
      </c>
      <c r="E27117" s="5">
        <f t="shared" si="459"/>
        <v>2009</v>
      </c>
      <c r="F27117" s="3" t="s">
        <v>4369</v>
      </c>
      <c r="G27117" s="6">
        <v>1012.76</v>
      </c>
      <c r="H27117" s="5">
        <v>13209</v>
      </c>
    </row>
    <row r="27118" spans="2:8" ht="15" customHeight="1" x14ac:dyDescent="0.4">
      <c r="B27118" s="3" t="s">
        <v>7</v>
      </c>
      <c r="C27118" s="3" t="s">
        <v>4362</v>
      </c>
      <c r="D27118" s="4">
        <f>DATE(2009,10,29)</f>
        <v>40115</v>
      </c>
      <c r="E27118" s="5">
        <f t="shared" si="459"/>
        <v>2009</v>
      </c>
      <c r="F27118" s="3" t="s">
        <v>4369</v>
      </c>
      <c r="G27118" s="6">
        <v>880</v>
      </c>
      <c r="H27118" s="5">
        <v>13213</v>
      </c>
    </row>
    <row r="27119" spans="2:8" ht="15" customHeight="1" x14ac:dyDescent="0.4">
      <c r="B27119" s="3" t="s">
        <v>7</v>
      </c>
      <c r="C27119" s="3" t="s">
        <v>4362</v>
      </c>
      <c r="D27119" s="4">
        <f>DATE(2009,12,1)</f>
        <v>40148</v>
      </c>
      <c r="E27119" s="5">
        <f t="shared" si="459"/>
        <v>2009</v>
      </c>
      <c r="F27119" s="3" t="s">
        <v>4369</v>
      </c>
      <c r="G27119" s="6">
        <v>17072.939999999999</v>
      </c>
      <c r="H27119" s="5">
        <v>13312</v>
      </c>
    </row>
    <row r="27120" spans="2:8" ht="15" customHeight="1" x14ac:dyDescent="0.4">
      <c r="B27120" s="3" t="s">
        <v>7</v>
      </c>
      <c r="C27120" s="3" t="s">
        <v>4362</v>
      </c>
      <c r="D27120" s="4">
        <f>DATE(2010,1,7)</f>
        <v>40185</v>
      </c>
      <c r="E27120" s="5">
        <f t="shared" si="459"/>
        <v>2010</v>
      </c>
      <c r="F27120" s="3" t="s">
        <v>4369</v>
      </c>
      <c r="G27120" s="6">
        <v>215.53</v>
      </c>
      <c r="H27120" s="5">
        <v>13413</v>
      </c>
    </row>
    <row r="27121" spans="2:8" ht="15" customHeight="1" x14ac:dyDescent="0.4">
      <c r="B27121" s="3" t="s">
        <v>7</v>
      </c>
      <c r="C27121" s="3" t="s">
        <v>4362</v>
      </c>
      <c r="D27121" s="4">
        <f>DATE(2010,2,5)</f>
        <v>40214</v>
      </c>
      <c r="E27121" s="5">
        <f t="shared" si="459"/>
        <v>2010</v>
      </c>
      <c r="F27121" s="3" t="s">
        <v>4369</v>
      </c>
      <c r="G27121" s="6">
        <v>2271.98</v>
      </c>
      <c r="H27121" s="5">
        <v>13569</v>
      </c>
    </row>
    <row r="27122" spans="2:8" ht="15" customHeight="1" x14ac:dyDescent="0.4">
      <c r="B27122" s="3" t="s">
        <v>7</v>
      </c>
      <c r="C27122" s="3" t="s">
        <v>4362</v>
      </c>
      <c r="D27122" s="4">
        <f>DATE(2010,3,5)</f>
        <v>40242</v>
      </c>
      <c r="E27122" s="5">
        <f t="shared" si="459"/>
        <v>2010</v>
      </c>
      <c r="F27122" s="3" t="s">
        <v>4369</v>
      </c>
      <c r="G27122" s="6">
        <v>3520</v>
      </c>
      <c r="H27122" s="5">
        <v>13719</v>
      </c>
    </row>
    <row r="27123" spans="2:8" ht="15" customHeight="1" x14ac:dyDescent="0.4">
      <c r="B27123" s="3" t="s">
        <v>7</v>
      </c>
      <c r="C27123" s="3" t="s">
        <v>4362</v>
      </c>
      <c r="D27123" s="4">
        <f>DATE(2010,3,19)</f>
        <v>40256</v>
      </c>
      <c r="E27123" s="5">
        <f t="shared" si="459"/>
        <v>2010</v>
      </c>
      <c r="F27123" s="3" t="s">
        <v>4369</v>
      </c>
      <c r="G27123" s="6">
        <v>1586.69</v>
      </c>
      <c r="H27123" s="5">
        <v>13757</v>
      </c>
    </row>
    <row r="27124" spans="2:8" ht="15" customHeight="1" x14ac:dyDescent="0.4">
      <c r="B27124" s="3" t="s">
        <v>7</v>
      </c>
      <c r="C27124" s="3" t="s">
        <v>4362</v>
      </c>
      <c r="D27124" s="4">
        <f>DATE(2010,4,1)</f>
        <v>40269</v>
      </c>
      <c r="E27124" s="5">
        <f t="shared" si="459"/>
        <v>2010</v>
      </c>
      <c r="F27124" s="3" t="s">
        <v>4369</v>
      </c>
      <c r="G27124" s="6">
        <v>6858.57</v>
      </c>
      <c r="H27124" s="5">
        <v>13843</v>
      </c>
    </row>
    <row r="27125" spans="2:8" ht="15" customHeight="1" x14ac:dyDescent="0.4">
      <c r="B27125" s="3" t="s">
        <v>7</v>
      </c>
      <c r="C27125" s="3" t="s">
        <v>4362</v>
      </c>
      <c r="D27125" s="4">
        <f>DATE(2010,4,9)</f>
        <v>40277</v>
      </c>
      <c r="E27125" s="5">
        <f t="shared" si="459"/>
        <v>2010</v>
      </c>
      <c r="F27125" s="3" t="s">
        <v>4369</v>
      </c>
      <c r="G27125" s="6">
        <v>5670</v>
      </c>
      <c r="H27125" s="5">
        <v>13899</v>
      </c>
    </row>
    <row r="27126" spans="2:8" ht="15" customHeight="1" x14ac:dyDescent="0.4">
      <c r="B27126" s="3" t="s">
        <v>7</v>
      </c>
      <c r="C27126" s="3" t="s">
        <v>4362</v>
      </c>
      <c r="D27126" s="4">
        <f>DATE(2010,4,13)</f>
        <v>40281</v>
      </c>
      <c r="E27126" s="5">
        <f t="shared" si="459"/>
        <v>2010</v>
      </c>
      <c r="F27126" s="3" t="s">
        <v>4369</v>
      </c>
      <c r="G27126" s="6">
        <v>2791.89</v>
      </c>
      <c r="H27126" s="5">
        <v>13903</v>
      </c>
    </row>
    <row r="27127" spans="2:8" ht="15" customHeight="1" x14ac:dyDescent="0.4">
      <c r="B27127" s="3" t="s">
        <v>7</v>
      </c>
      <c r="C27127" s="3" t="s">
        <v>4362</v>
      </c>
      <c r="D27127" s="4">
        <f>DATE(2010,4,13)</f>
        <v>40281</v>
      </c>
      <c r="E27127" s="5">
        <f t="shared" si="459"/>
        <v>2010</v>
      </c>
      <c r="F27127" s="3" t="s">
        <v>4369</v>
      </c>
      <c r="G27127" s="6">
        <v>2429.37</v>
      </c>
      <c r="H27127" s="5">
        <v>13908</v>
      </c>
    </row>
    <row r="27128" spans="2:8" ht="15" customHeight="1" x14ac:dyDescent="0.4">
      <c r="B27128" s="3" t="s">
        <v>7</v>
      </c>
      <c r="C27128" s="3" t="s">
        <v>4362</v>
      </c>
      <c r="D27128" s="4">
        <f>DATE(2010,4,13)</f>
        <v>40281</v>
      </c>
      <c r="E27128" s="5">
        <f t="shared" si="459"/>
        <v>2010</v>
      </c>
      <c r="F27128" s="3" t="s">
        <v>4369</v>
      </c>
      <c r="G27128" s="6">
        <v>3469.72</v>
      </c>
      <c r="H27128" s="5">
        <v>13902</v>
      </c>
    </row>
    <row r="27129" spans="2:8" ht="15" customHeight="1" x14ac:dyDescent="0.4">
      <c r="B27129" s="3" t="s">
        <v>7</v>
      </c>
      <c r="C27129" s="3" t="s">
        <v>4362</v>
      </c>
      <c r="D27129" s="4">
        <f>DATE(2010,4,13)</f>
        <v>40281</v>
      </c>
      <c r="E27129" s="5">
        <f t="shared" si="459"/>
        <v>2010</v>
      </c>
      <c r="F27129" s="3" t="s">
        <v>4369</v>
      </c>
      <c r="G27129" s="6">
        <v>5109.88</v>
      </c>
      <c r="H27129" s="5">
        <v>13907</v>
      </c>
    </row>
    <row r="27130" spans="2:8" ht="15" customHeight="1" x14ac:dyDescent="0.4">
      <c r="B27130" s="3" t="s">
        <v>7</v>
      </c>
      <c r="C27130" s="3" t="s">
        <v>4362</v>
      </c>
      <c r="D27130" s="4">
        <f>DATE(2010,4,15)</f>
        <v>40283</v>
      </c>
      <c r="E27130" s="5">
        <f t="shared" si="459"/>
        <v>2010</v>
      </c>
      <c r="F27130" s="3" t="s">
        <v>4369</v>
      </c>
      <c r="G27130" s="6">
        <v>912</v>
      </c>
      <c r="H27130" s="5">
        <v>13924</v>
      </c>
    </row>
    <row r="27131" spans="2:8" ht="15" customHeight="1" x14ac:dyDescent="0.4">
      <c r="B27131" s="3" t="s">
        <v>7</v>
      </c>
      <c r="C27131" s="3" t="s">
        <v>4362</v>
      </c>
      <c r="D27131" s="4">
        <f>DATE(2010,4,16)</f>
        <v>40284</v>
      </c>
      <c r="E27131" s="5">
        <f t="shared" si="459"/>
        <v>2010</v>
      </c>
      <c r="F27131" s="3" t="s">
        <v>4369</v>
      </c>
      <c r="G27131" s="6">
        <v>5031.8</v>
      </c>
      <c r="H27131" s="5">
        <v>13931</v>
      </c>
    </row>
    <row r="27132" spans="2:8" ht="15" customHeight="1" x14ac:dyDescent="0.4">
      <c r="B27132" s="3" t="s">
        <v>7</v>
      </c>
      <c r="C27132" s="3" t="s">
        <v>4362</v>
      </c>
      <c r="D27132" s="4">
        <f>DATE(2010,5,3)</f>
        <v>40301</v>
      </c>
      <c r="E27132" s="5">
        <f t="shared" si="459"/>
        <v>2010</v>
      </c>
      <c r="F27132" s="3" t="s">
        <v>4369</v>
      </c>
      <c r="G27132" s="6">
        <v>880</v>
      </c>
      <c r="H27132" s="5">
        <v>14013</v>
      </c>
    </row>
    <row r="27133" spans="2:8" ht="15" customHeight="1" x14ac:dyDescent="0.4">
      <c r="B27133" s="3" t="s">
        <v>7</v>
      </c>
      <c r="C27133" s="3" t="s">
        <v>4362</v>
      </c>
      <c r="D27133" s="4">
        <f>DATE(2010,5,6)</f>
        <v>40304</v>
      </c>
      <c r="E27133" s="5">
        <f t="shared" si="459"/>
        <v>2010</v>
      </c>
      <c r="F27133" s="3" t="s">
        <v>4369</v>
      </c>
      <c r="G27133" s="6">
        <v>3168</v>
      </c>
      <c r="H27133" s="5">
        <v>14035</v>
      </c>
    </row>
    <row r="27134" spans="2:8" ht="15" customHeight="1" x14ac:dyDescent="0.4">
      <c r="B27134" s="3" t="s">
        <v>7</v>
      </c>
      <c r="C27134" s="3" t="s">
        <v>4362</v>
      </c>
      <c r="D27134" s="4">
        <f>DATE(2010,5,14)</f>
        <v>40312</v>
      </c>
      <c r="E27134" s="5">
        <f t="shared" si="459"/>
        <v>2010</v>
      </c>
      <c r="F27134" s="3" t="s">
        <v>4369</v>
      </c>
      <c r="G27134" s="6">
        <v>7223.04</v>
      </c>
      <c r="H27134" s="5">
        <v>14069</v>
      </c>
    </row>
    <row r="27135" spans="2:8" ht="15" customHeight="1" x14ac:dyDescent="0.4">
      <c r="B27135" s="3" t="s">
        <v>7</v>
      </c>
      <c r="C27135" s="3" t="s">
        <v>4362</v>
      </c>
      <c r="D27135" s="4">
        <f>DATE(2010,5,26)</f>
        <v>40324</v>
      </c>
      <c r="E27135" s="5">
        <f t="shared" si="459"/>
        <v>2010</v>
      </c>
      <c r="F27135" s="3" t="s">
        <v>4369</v>
      </c>
      <c r="G27135" s="6">
        <v>16453.080000000002</v>
      </c>
      <c r="H27135" s="5">
        <v>14109</v>
      </c>
    </row>
    <row r="27136" spans="2:8" ht="15" customHeight="1" x14ac:dyDescent="0.4">
      <c r="B27136" s="3" t="s">
        <v>7</v>
      </c>
      <c r="C27136" s="3" t="s">
        <v>4362</v>
      </c>
      <c r="D27136" s="4">
        <f>DATE(2010,7,6)</f>
        <v>40365</v>
      </c>
      <c r="E27136" s="5">
        <f t="shared" si="459"/>
        <v>2010</v>
      </c>
      <c r="F27136" s="3" t="s">
        <v>4369</v>
      </c>
      <c r="G27136" s="6">
        <v>1056</v>
      </c>
      <c r="H27136" s="5">
        <v>14255</v>
      </c>
    </row>
    <row r="27137" spans="2:8" ht="15" customHeight="1" x14ac:dyDescent="0.4">
      <c r="B27137" s="3" t="s">
        <v>7</v>
      </c>
      <c r="C27137" s="3" t="s">
        <v>4362</v>
      </c>
      <c r="D27137" s="4">
        <f>DATE(2010,7,21)</f>
        <v>40380</v>
      </c>
      <c r="E27137" s="5">
        <f t="shared" si="459"/>
        <v>2010</v>
      </c>
      <c r="F27137" s="3" t="s">
        <v>4369</v>
      </c>
      <c r="G27137" s="6">
        <v>4928</v>
      </c>
      <c r="H27137" s="5">
        <v>14310</v>
      </c>
    </row>
    <row r="27138" spans="2:8" ht="15" customHeight="1" x14ac:dyDescent="0.4">
      <c r="B27138" s="3" t="s">
        <v>7</v>
      </c>
      <c r="C27138" s="3" t="s">
        <v>4362</v>
      </c>
      <c r="D27138" s="4">
        <f>DATE(2010,8,16)</f>
        <v>40406</v>
      </c>
      <c r="E27138" s="5">
        <f t="shared" si="459"/>
        <v>2010</v>
      </c>
      <c r="F27138" s="3" t="s">
        <v>4369</v>
      </c>
      <c r="G27138" s="6">
        <v>2313.04</v>
      </c>
      <c r="H27138" s="5">
        <v>14388</v>
      </c>
    </row>
    <row r="27139" spans="2:8" ht="15" customHeight="1" x14ac:dyDescent="0.4">
      <c r="B27139" s="3" t="s">
        <v>7</v>
      </c>
      <c r="C27139" s="3" t="s">
        <v>4362</v>
      </c>
      <c r="D27139" s="4">
        <f>DATE(2010,8,16)</f>
        <v>40406</v>
      </c>
      <c r="E27139" s="5">
        <f t="shared" ref="E27139:E27202" si="460">YEAR(D27139)</f>
        <v>2010</v>
      </c>
      <c r="F27139" s="3" t="s">
        <v>4369</v>
      </c>
      <c r="G27139" s="6">
        <v>2730.5</v>
      </c>
      <c r="H27139" s="5">
        <v>14393</v>
      </c>
    </row>
    <row r="27140" spans="2:8" ht="15" customHeight="1" x14ac:dyDescent="0.4">
      <c r="B27140" s="3" t="s">
        <v>7</v>
      </c>
      <c r="C27140" s="3" t="s">
        <v>4362</v>
      </c>
      <c r="D27140" s="4">
        <f>DATE(2010,8,25)</f>
        <v>40415</v>
      </c>
      <c r="E27140" s="5">
        <f t="shared" si="460"/>
        <v>2010</v>
      </c>
      <c r="F27140" s="3" t="s">
        <v>4369</v>
      </c>
      <c r="G27140" s="6">
        <v>8885.61</v>
      </c>
      <c r="H27140" s="5">
        <v>14441</v>
      </c>
    </row>
    <row r="27141" spans="2:8" ht="15" customHeight="1" x14ac:dyDescent="0.4">
      <c r="B27141" s="3" t="s">
        <v>7</v>
      </c>
      <c r="C27141" s="3" t="s">
        <v>4362</v>
      </c>
      <c r="D27141" s="4">
        <f>DATE(2010,8,31)</f>
        <v>40421</v>
      </c>
      <c r="E27141" s="5">
        <f t="shared" si="460"/>
        <v>2010</v>
      </c>
      <c r="F27141" s="3" t="s">
        <v>4369</v>
      </c>
      <c r="G27141" s="6">
        <v>17111.93</v>
      </c>
      <c r="H27141" s="5">
        <v>14442</v>
      </c>
    </row>
    <row r="27142" spans="2:8" ht="15" customHeight="1" x14ac:dyDescent="0.4">
      <c r="B27142" s="3" t="s">
        <v>7</v>
      </c>
      <c r="C27142" s="3" t="s">
        <v>4362</v>
      </c>
      <c r="D27142" s="4">
        <f>DATE(2010,10,12)</f>
        <v>40463</v>
      </c>
      <c r="E27142" s="5">
        <f t="shared" si="460"/>
        <v>2010</v>
      </c>
      <c r="F27142" s="3" t="s">
        <v>4369</v>
      </c>
      <c r="G27142" s="6">
        <v>5856</v>
      </c>
      <c r="H27142" s="5">
        <v>14618</v>
      </c>
    </row>
    <row r="27143" spans="2:8" ht="15" customHeight="1" x14ac:dyDescent="0.4">
      <c r="B27143" s="3" t="s">
        <v>7</v>
      </c>
      <c r="C27143" s="3" t="s">
        <v>4362</v>
      </c>
      <c r="D27143" s="4">
        <f>DATE(2010,10,12)</f>
        <v>40463</v>
      </c>
      <c r="E27143" s="5">
        <f t="shared" si="460"/>
        <v>2010</v>
      </c>
      <c r="F27143" s="3" t="s">
        <v>4369</v>
      </c>
      <c r="G27143" s="6">
        <v>19440</v>
      </c>
      <c r="H27143" s="5">
        <v>14620</v>
      </c>
    </row>
    <row r="27144" spans="2:8" ht="15" customHeight="1" x14ac:dyDescent="0.4">
      <c r="B27144" s="3" t="s">
        <v>7</v>
      </c>
      <c r="C27144" s="3" t="s">
        <v>4362</v>
      </c>
      <c r="D27144" s="4">
        <f>DATE(2010,10,13)</f>
        <v>40464</v>
      </c>
      <c r="E27144" s="5">
        <f t="shared" si="460"/>
        <v>2010</v>
      </c>
      <c r="F27144" s="3" t="s">
        <v>4369</v>
      </c>
      <c r="G27144" s="6">
        <v>3472</v>
      </c>
      <c r="H27144" s="5">
        <v>14622</v>
      </c>
    </row>
    <row r="27145" spans="2:8" ht="15" customHeight="1" x14ac:dyDescent="0.4">
      <c r="B27145" s="3" t="s">
        <v>7</v>
      </c>
      <c r="C27145" s="3" t="s">
        <v>4362</v>
      </c>
      <c r="D27145" s="4">
        <f>DATE(2010,10,15)</f>
        <v>40466</v>
      </c>
      <c r="E27145" s="5">
        <f t="shared" si="460"/>
        <v>2010</v>
      </c>
      <c r="F27145" s="3" t="s">
        <v>4369</v>
      </c>
      <c r="G27145" s="6">
        <v>20970</v>
      </c>
      <c r="H27145" s="5">
        <v>14620</v>
      </c>
    </row>
    <row r="27146" spans="2:8" ht="15" customHeight="1" x14ac:dyDescent="0.4">
      <c r="B27146" s="3" t="s">
        <v>7</v>
      </c>
      <c r="C27146" s="3" t="s">
        <v>4362</v>
      </c>
      <c r="D27146" s="4">
        <f>DATE(2010,10,18)</f>
        <v>40469</v>
      </c>
      <c r="E27146" s="5">
        <f t="shared" si="460"/>
        <v>2010</v>
      </c>
      <c r="F27146" s="3" t="s">
        <v>4369</v>
      </c>
      <c r="G27146" s="6">
        <v>1056.21</v>
      </c>
      <c r="H27146" s="5">
        <v>14649</v>
      </c>
    </row>
    <row r="27147" spans="2:8" ht="15" customHeight="1" x14ac:dyDescent="0.4">
      <c r="B27147" s="3" t="s">
        <v>7</v>
      </c>
      <c r="C27147" s="3" t="s">
        <v>4362</v>
      </c>
      <c r="D27147" s="4">
        <f>DATE(2010,10,26)</f>
        <v>40477</v>
      </c>
      <c r="E27147" s="5">
        <f t="shared" si="460"/>
        <v>2010</v>
      </c>
      <c r="F27147" s="3" t="s">
        <v>4369</v>
      </c>
      <c r="G27147" s="6">
        <v>382</v>
      </c>
      <c r="H27147" s="5">
        <v>14675</v>
      </c>
    </row>
    <row r="27148" spans="2:8" ht="15" customHeight="1" x14ac:dyDescent="0.4">
      <c r="B27148" s="3" t="s">
        <v>7</v>
      </c>
      <c r="C27148" s="3" t="s">
        <v>4362</v>
      </c>
      <c r="D27148" s="4">
        <f>DATE(2010,11,17)</f>
        <v>40499</v>
      </c>
      <c r="E27148" s="5">
        <f t="shared" si="460"/>
        <v>2010</v>
      </c>
      <c r="F27148" s="3" t="s">
        <v>4369</v>
      </c>
      <c r="G27148" s="6">
        <v>470</v>
      </c>
      <c r="H27148" s="5">
        <v>14758</v>
      </c>
    </row>
    <row r="27149" spans="2:8" ht="15" customHeight="1" x14ac:dyDescent="0.4">
      <c r="B27149" s="3" t="s">
        <v>7</v>
      </c>
      <c r="C27149" s="3" t="s">
        <v>4362</v>
      </c>
      <c r="D27149" s="4">
        <f>DATE(2011,1,5)</f>
        <v>40548</v>
      </c>
      <c r="E27149" s="5">
        <f t="shared" si="460"/>
        <v>2011</v>
      </c>
      <c r="F27149" s="3" t="s">
        <v>4369</v>
      </c>
      <c r="G27149" s="6">
        <v>497.19</v>
      </c>
      <c r="H27149" s="5">
        <v>14882</v>
      </c>
    </row>
    <row r="27150" spans="2:8" ht="15" customHeight="1" x14ac:dyDescent="0.4">
      <c r="B27150" s="3" t="s">
        <v>7</v>
      </c>
      <c r="C27150" s="3" t="s">
        <v>4362</v>
      </c>
      <c r="D27150" s="4">
        <f>DATE(2011,1,12)</f>
        <v>40555</v>
      </c>
      <c r="E27150" s="5">
        <f t="shared" si="460"/>
        <v>2011</v>
      </c>
      <c r="F27150" s="3" t="s">
        <v>4369</v>
      </c>
      <c r="G27150" s="6">
        <v>264</v>
      </c>
      <c r="H27150" s="5">
        <v>14883</v>
      </c>
    </row>
    <row r="27151" spans="2:8" ht="15" customHeight="1" x14ac:dyDescent="0.4">
      <c r="B27151" s="3" t="s">
        <v>7</v>
      </c>
      <c r="C27151" s="3" t="s">
        <v>4362</v>
      </c>
      <c r="D27151" s="4">
        <f>DATE(2011,3,10)</f>
        <v>40612</v>
      </c>
      <c r="E27151" s="5">
        <f t="shared" si="460"/>
        <v>2011</v>
      </c>
      <c r="F27151" s="3" t="s">
        <v>4369</v>
      </c>
      <c r="G27151" s="6">
        <v>5280</v>
      </c>
      <c r="H27151" s="5">
        <v>15234</v>
      </c>
    </row>
    <row r="27152" spans="2:8" ht="15" customHeight="1" x14ac:dyDescent="0.4">
      <c r="B27152" s="3" t="s">
        <v>7</v>
      </c>
      <c r="C27152" s="3" t="s">
        <v>4362</v>
      </c>
      <c r="D27152" s="4">
        <f>DATE(2011,3,15)</f>
        <v>40617</v>
      </c>
      <c r="E27152" s="5">
        <f t="shared" si="460"/>
        <v>2011</v>
      </c>
      <c r="F27152" s="3" t="s">
        <v>4369</v>
      </c>
      <c r="G27152" s="6">
        <v>4725</v>
      </c>
      <c r="H27152" s="5">
        <v>15252</v>
      </c>
    </row>
    <row r="27153" spans="2:8" ht="15" customHeight="1" x14ac:dyDescent="0.4">
      <c r="B27153" s="3" t="s">
        <v>7</v>
      </c>
      <c r="C27153" s="3" t="s">
        <v>4362</v>
      </c>
      <c r="D27153" s="4">
        <f>DATE(2011,3,24)</f>
        <v>40626</v>
      </c>
      <c r="E27153" s="5">
        <f t="shared" si="460"/>
        <v>2011</v>
      </c>
      <c r="F27153" s="3" t="s">
        <v>4369</v>
      </c>
      <c r="G27153" s="6">
        <v>25830</v>
      </c>
      <c r="H27153" s="5">
        <v>15253</v>
      </c>
    </row>
    <row r="27154" spans="2:8" ht="15" customHeight="1" x14ac:dyDescent="0.4">
      <c r="B27154" s="3" t="s">
        <v>7</v>
      </c>
      <c r="C27154" s="3" t="s">
        <v>4362</v>
      </c>
      <c r="D27154" s="4">
        <f>DATE(2011,4,6)</f>
        <v>40639</v>
      </c>
      <c r="E27154" s="5">
        <f t="shared" si="460"/>
        <v>2011</v>
      </c>
      <c r="F27154" s="3" t="s">
        <v>4369</v>
      </c>
      <c r="G27154" s="6">
        <v>7355</v>
      </c>
      <c r="H27154" s="5">
        <v>15404</v>
      </c>
    </row>
    <row r="27155" spans="2:8" ht="15" customHeight="1" x14ac:dyDescent="0.4">
      <c r="B27155" s="3" t="s">
        <v>7</v>
      </c>
      <c r="C27155" s="3" t="s">
        <v>4362</v>
      </c>
      <c r="D27155" s="4">
        <f>DATE(2011,4,14)</f>
        <v>40647</v>
      </c>
      <c r="E27155" s="5">
        <f t="shared" si="460"/>
        <v>2011</v>
      </c>
      <c r="F27155" s="3" t="s">
        <v>4369</v>
      </c>
      <c r="G27155" s="6">
        <v>6300</v>
      </c>
      <c r="H27155" s="5">
        <v>15254</v>
      </c>
    </row>
    <row r="27156" spans="2:8" ht="15" customHeight="1" x14ac:dyDescent="0.4">
      <c r="B27156" s="3" t="s">
        <v>7</v>
      </c>
      <c r="C27156" s="3" t="s">
        <v>4362</v>
      </c>
      <c r="D27156" s="4">
        <f>DATE(2011,4,28)</f>
        <v>40661</v>
      </c>
      <c r="E27156" s="5">
        <f t="shared" si="460"/>
        <v>2011</v>
      </c>
      <c r="F27156" s="3" t="s">
        <v>4369</v>
      </c>
      <c r="G27156" s="6">
        <v>3951.16</v>
      </c>
      <c r="H27156" s="5">
        <v>15510</v>
      </c>
    </row>
    <row r="27157" spans="2:8" ht="15" customHeight="1" x14ac:dyDescent="0.4">
      <c r="B27157" s="3" t="s">
        <v>7</v>
      </c>
      <c r="C27157" s="3" t="s">
        <v>4362</v>
      </c>
      <c r="D27157" s="4">
        <f>DATE(2011,5,2)</f>
        <v>40665</v>
      </c>
      <c r="E27157" s="5">
        <f t="shared" si="460"/>
        <v>2011</v>
      </c>
      <c r="F27157" s="3" t="s">
        <v>4369</v>
      </c>
      <c r="G27157" s="6">
        <v>26730</v>
      </c>
      <c r="H27157" s="5">
        <v>15499</v>
      </c>
    </row>
    <row r="27158" spans="2:8" ht="15" customHeight="1" x14ac:dyDescent="0.4">
      <c r="B27158" s="3" t="s">
        <v>7</v>
      </c>
      <c r="C27158" s="3" t="s">
        <v>4362</v>
      </c>
      <c r="D27158" s="4">
        <f>DATE(2011,5,2)</f>
        <v>40665</v>
      </c>
      <c r="E27158" s="5">
        <f t="shared" si="460"/>
        <v>2011</v>
      </c>
      <c r="F27158" s="3" t="s">
        <v>4369</v>
      </c>
      <c r="G27158" s="6">
        <v>6921.6</v>
      </c>
      <c r="H27158" s="5">
        <v>15504</v>
      </c>
    </row>
    <row r="27159" spans="2:8" ht="15" customHeight="1" x14ac:dyDescent="0.4">
      <c r="B27159" s="3" t="s">
        <v>7</v>
      </c>
      <c r="C27159" s="3" t="s">
        <v>4362</v>
      </c>
      <c r="D27159" s="4">
        <f>DATE(2011,5,4)</f>
        <v>40667</v>
      </c>
      <c r="E27159" s="5">
        <f t="shared" si="460"/>
        <v>2011</v>
      </c>
      <c r="F27159" s="3" t="s">
        <v>4369</v>
      </c>
      <c r="G27159" s="6">
        <v>388.8</v>
      </c>
      <c r="H27159" s="5">
        <v>15511</v>
      </c>
    </row>
    <row r="27160" spans="2:8" ht="15" customHeight="1" x14ac:dyDescent="0.4">
      <c r="B27160" s="3" t="s">
        <v>7</v>
      </c>
      <c r="C27160" s="3" t="s">
        <v>4362</v>
      </c>
      <c r="D27160" s="4">
        <f>DATE(2011,5,18)</f>
        <v>40681</v>
      </c>
      <c r="E27160" s="5">
        <f t="shared" si="460"/>
        <v>2011</v>
      </c>
      <c r="F27160" s="3" t="s">
        <v>4369</v>
      </c>
      <c r="G27160" s="6">
        <v>3520</v>
      </c>
      <c r="H27160" s="5">
        <v>15604</v>
      </c>
    </row>
    <row r="27161" spans="2:8" ht="15" customHeight="1" x14ac:dyDescent="0.4">
      <c r="B27161" s="3" t="s">
        <v>7</v>
      </c>
      <c r="C27161" s="3" t="s">
        <v>4362</v>
      </c>
      <c r="D27161" s="4">
        <f>DATE(2011,5,26)</f>
        <v>40689</v>
      </c>
      <c r="E27161" s="5">
        <f t="shared" si="460"/>
        <v>2011</v>
      </c>
      <c r="F27161" s="3" t="s">
        <v>4369</v>
      </c>
      <c r="G27161" s="6">
        <v>91884.9</v>
      </c>
      <c r="H27161" s="5">
        <v>15255</v>
      </c>
    </row>
    <row r="27162" spans="2:8" ht="15" customHeight="1" x14ac:dyDescent="0.4">
      <c r="B27162" s="3" t="s">
        <v>7</v>
      </c>
      <c r="C27162" s="3" t="s">
        <v>4362</v>
      </c>
      <c r="D27162" s="4">
        <f>DATE(2011,6,6)</f>
        <v>40700</v>
      </c>
      <c r="E27162" s="5">
        <f t="shared" si="460"/>
        <v>2011</v>
      </c>
      <c r="F27162" s="3" t="s">
        <v>4369</v>
      </c>
      <c r="G27162" s="6">
        <v>1369.94</v>
      </c>
      <c r="H27162" s="5">
        <v>15670</v>
      </c>
    </row>
    <row r="27163" spans="2:8" ht="15" customHeight="1" x14ac:dyDescent="0.4">
      <c r="B27163" s="3" t="s">
        <v>7</v>
      </c>
      <c r="C27163" s="3" t="s">
        <v>4362</v>
      </c>
      <c r="D27163" s="4">
        <f>DATE(2011,6,15)</f>
        <v>40709</v>
      </c>
      <c r="E27163" s="5">
        <f t="shared" si="460"/>
        <v>2011</v>
      </c>
      <c r="F27163" s="3" t="s">
        <v>4369</v>
      </c>
      <c r="G27163" s="6">
        <v>7040</v>
      </c>
      <c r="H27163" s="5">
        <v>15704</v>
      </c>
    </row>
    <row r="27164" spans="2:8" ht="15" customHeight="1" x14ac:dyDescent="0.4">
      <c r="B27164" s="3" t="s">
        <v>7</v>
      </c>
      <c r="C27164" s="3" t="s">
        <v>4362</v>
      </c>
      <c r="D27164" s="4">
        <f>DATE(2011,6,30)</f>
        <v>40724</v>
      </c>
      <c r="E27164" s="5">
        <f t="shared" si="460"/>
        <v>2011</v>
      </c>
      <c r="F27164" s="3" t="s">
        <v>4369</v>
      </c>
      <c r="G27164" s="6">
        <v>96.22</v>
      </c>
      <c r="H27164" s="5">
        <v>15740</v>
      </c>
    </row>
    <row r="27165" spans="2:8" ht="15" customHeight="1" x14ac:dyDescent="0.4">
      <c r="B27165" s="3" t="s">
        <v>7</v>
      </c>
      <c r="C27165" s="3" t="s">
        <v>4362</v>
      </c>
      <c r="D27165" s="4">
        <f>DATE(2011,8,22)</f>
        <v>40777</v>
      </c>
      <c r="E27165" s="5">
        <f t="shared" si="460"/>
        <v>2011</v>
      </c>
      <c r="F27165" s="3" t="s">
        <v>4369</v>
      </c>
      <c r="G27165" s="6">
        <v>18315</v>
      </c>
      <c r="H27165" s="5">
        <v>15894</v>
      </c>
    </row>
    <row r="27166" spans="2:8" ht="15" customHeight="1" x14ac:dyDescent="0.4">
      <c r="B27166" s="3" t="s">
        <v>7</v>
      </c>
      <c r="C27166" s="3" t="s">
        <v>4362</v>
      </c>
      <c r="D27166" s="4">
        <f>DATE(2011,9,9)</f>
        <v>40795</v>
      </c>
      <c r="E27166" s="5">
        <f t="shared" si="460"/>
        <v>2011</v>
      </c>
      <c r="F27166" s="3" t="s">
        <v>4369</v>
      </c>
      <c r="G27166" s="6">
        <v>1097.8499999999999</v>
      </c>
      <c r="H27166" s="5">
        <v>15967</v>
      </c>
    </row>
    <row r="27167" spans="2:8" ht="15" customHeight="1" x14ac:dyDescent="0.4">
      <c r="B27167" s="3" t="s">
        <v>7</v>
      </c>
      <c r="C27167" s="3" t="s">
        <v>4362</v>
      </c>
      <c r="D27167" s="4">
        <f>DATE(2011,9,14)</f>
        <v>40800</v>
      </c>
      <c r="E27167" s="5">
        <f t="shared" si="460"/>
        <v>2011</v>
      </c>
      <c r="F27167" s="3" t="s">
        <v>4369</v>
      </c>
      <c r="G27167" s="6">
        <v>3444.85</v>
      </c>
      <c r="H27167" s="5">
        <v>15964</v>
      </c>
    </row>
    <row r="27168" spans="2:8" ht="15" customHeight="1" x14ac:dyDescent="0.4">
      <c r="B27168" s="3" t="s">
        <v>7</v>
      </c>
      <c r="C27168" s="3" t="s">
        <v>4362</v>
      </c>
      <c r="D27168" s="4">
        <f>DATE(2011,9,15)</f>
        <v>40801</v>
      </c>
      <c r="E27168" s="5">
        <f t="shared" si="460"/>
        <v>2011</v>
      </c>
      <c r="F27168" s="3" t="s">
        <v>4369</v>
      </c>
      <c r="G27168" s="6">
        <v>16368</v>
      </c>
      <c r="H27168" s="5">
        <v>15989</v>
      </c>
    </row>
    <row r="27169" spans="2:8" ht="15" customHeight="1" x14ac:dyDescent="0.4">
      <c r="B27169" s="3" t="s">
        <v>7</v>
      </c>
      <c r="C27169" s="3" t="s">
        <v>4362</v>
      </c>
      <c r="D27169" s="4">
        <f>DATE(2011,9,20)</f>
        <v>40806</v>
      </c>
      <c r="E27169" s="5">
        <f t="shared" si="460"/>
        <v>2011</v>
      </c>
      <c r="F27169" s="3" t="s">
        <v>4369</v>
      </c>
      <c r="G27169" s="6">
        <v>1772.6</v>
      </c>
      <c r="H27169" s="5">
        <v>16006</v>
      </c>
    </row>
    <row r="27170" spans="2:8" ht="15" customHeight="1" x14ac:dyDescent="0.4">
      <c r="B27170" s="3" t="s">
        <v>7</v>
      </c>
      <c r="C27170" s="3" t="s">
        <v>4362</v>
      </c>
      <c r="D27170" s="4">
        <f>DATE(2011,10,5)</f>
        <v>40821</v>
      </c>
      <c r="E27170" s="5">
        <f t="shared" si="460"/>
        <v>2011</v>
      </c>
      <c r="F27170" s="3" t="s">
        <v>4369</v>
      </c>
      <c r="G27170" s="6">
        <v>3238.22</v>
      </c>
      <c r="H27170" s="5">
        <v>16059</v>
      </c>
    </row>
    <row r="27171" spans="2:8" ht="15" customHeight="1" x14ac:dyDescent="0.4">
      <c r="B27171" s="3" t="s">
        <v>7</v>
      </c>
      <c r="C27171" s="3" t="s">
        <v>4362</v>
      </c>
      <c r="D27171" s="4">
        <f>DATE(2011,10,11)</f>
        <v>40827</v>
      </c>
      <c r="E27171" s="5">
        <f t="shared" si="460"/>
        <v>2011</v>
      </c>
      <c r="F27171" s="3" t="s">
        <v>4369</v>
      </c>
      <c r="G27171" s="6">
        <v>416.9</v>
      </c>
      <c r="H27171" s="5">
        <v>16081</v>
      </c>
    </row>
    <row r="27172" spans="2:8" ht="15" customHeight="1" x14ac:dyDescent="0.4">
      <c r="B27172" s="3" t="s">
        <v>7</v>
      </c>
      <c r="C27172" s="3" t="s">
        <v>4362</v>
      </c>
      <c r="D27172" s="4">
        <f>DATE(2011,12,5)</f>
        <v>40882</v>
      </c>
      <c r="E27172" s="5">
        <f t="shared" si="460"/>
        <v>2011</v>
      </c>
      <c r="F27172" s="3" t="s">
        <v>4369</v>
      </c>
      <c r="G27172" s="6">
        <v>1584</v>
      </c>
      <c r="H27172" s="5">
        <v>16277</v>
      </c>
    </row>
    <row r="27173" spans="2:8" ht="15" customHeight="1" x14ac:dyDescent="0.4">
      <c r="B27173" s="3" t="s">
        <v>7</v>
      </c>
      <c r="C27173" s="3" t="s">
        <v>4362</v>
      </c>
      <c r="D27173" s="4">
        <f>DATE(2012,9,21)</f>
        <v>41173</v>
      </c>
      <c r="E27173" s="5">
        <f t="shared" si="460"/>
        <v>2012</v>
      </c>
      <c r="F27173" s="3" t="s">
        <v>4369</v>
      </c>
      <c r="G27173" s="6">
        <v>687.68</v>
      </c>
      <c r="H27173" s="5">
        <v>17631</v>
      </c>
    </row>
    <row r="27174" spans="2:8" ht="15" customHeight="1" x14ac:dyDescent="0.4">
      <c r="B27174" t="s">
        <v>7</v>
      </c>
      <c r="C27174" t="s">
        <v>4362</v>
      </c>
      <c r="D27174" s="7">
        <f>DATE(2015,4,7)</f>
        <v>42101</v>
      </c>
      <c r="E27174" s="8">
        <f t="shared" si="460"/>
        <v>2015</v>
      </c>
      <c r="F27174" t="s">
        <v>4370</v>
      </c>
      <c r="G27174" s="9">
        <v>1773.52</v>
      </c>
      <c r="H27174" s="8">
        <v>20314</v>
      </c>
    </row>
    <row r="27175" spans="2:8" ht="15" customHeight="1" x14ac:dyDescent="0.4">
      <c r="B27175" t="s">
        <v>7</v>
      </c>
      <c r="C27175" t="s">
        <v>4362</v>
      </c>
      <c r="D27175" s="7">
        <f>DATE(2015,4,13)</f>
        <v>42107</v>
      </c>
      <c r="E27175" s="8">
        <f t="shared" si="460"/>
        <v>2015</v>
      </c>
      <c r="F27175" t="s">
        <v>4370</v>
      </c>
      <c r="G27175" s="9">
        <v>9245.98</v>
      </c>
      <c r="H27175" s="8">
        <v>20313</v>
      </c>
    </row>
    <row r="27176" spans="2:8" ht="15" customHeight="1" x14ac:dyDescent="0.4">
      <c r="B27176" t="s">
        <v>7</v>
      </c>
      <c r="C27176" t="s">
        <v>4362</v>
      </c>
      <c r="D27176" s="7">
        <f>DATE(2015,5,28)</f>
        <v>42152</v>
      </c>
      <c r="E27176" s="8">
        <f t="shared" si="460"/>
        <v>2015</v>
      </c>
      <c r="F27176" t="s">
        <v>4370</v>
      </c>
      <c r="G27176" s="9">
        <v>1815.2</v>
      </c>
      <c r="H27176" s="8">
        <v>20695</v>
      </c>
    </row>
    <row r="27177" spans="2:8" ht="15" customHeight="1" x14ac:dyDescent="0.4">
      <c r="B27177" t="s">
        <v>7</v>
      </c>
      <c r="C27177" t="s">
        <v>4362</v>
      </c>
      <c r="D27177" s="7">
        <f>DATE(2015,5,29)</f>
        <v>42153</v>
      </c>
      <c r="E27177" s="8">
        <f t="shared" si="460"/>
        <v>2015</v>
      </c>
      <c r="F27177" t="s">
        <v>4370</v>
      </c>
      <c r="G27177" s="9">
        <v>1121.8599999999999</v>
      </c>
      <c r="H27177" s="8">
        <v>20701</v>
      </c>
    </row>
    <row r="27178" spans="2:8" ht="15" customHeight="1" x14ac:dyDescent="0.4">
      <c r="B27178" t="s">
        <v>7</v>
      </c>
      <c r="C27178" t="s">
        <v>4362</v>
      </c>
      <c r="D27178" s="7">
        <f>DATE(2015,6,15)</f>
        <v>42170</v>
      </c>
      <c r="E27178" s="8">
        <f t="shared" si="460"/>
        <v>2015</v>
      </c>
      <c r="F27178" t="s">
        <v>4370</v>
      </c>
      <c r="G27178" s="9">
        <v>858</v>
      </c>
      <c r="H27178" s="8">
        <v>20808</v>
      </c>
    </row>
    <row r="27179" spans="2:8" ht="15" customHeight="1" x14ac:dyDescent="0.4">
      <c r="B27179" t="s">
        <v>7</v>
      </c>
      <c r="C27179" t="s">
        <v>4362</v>
      </c>
      <c r="D27179" s="7">
        <f>DATE(2015,6,17)</f>
        <v>42172</v>
      </c>
      <c r="E27179" s="8">
        <f t="shared" si="460"/>
        <v>2015</v>
      </c>
      <c r="F27179" t="s">
        <v>4370</v>
      </c>
      <c r="G27179" s="9">
        <v>504</v>
      </c>
      <c r="H27179" s="8">
        <v>20803</v>
      </c>
    </row>
    <row r="27180" spans="2:8" ht="15" customHeight="1" x14ac:dyDescent="0.4">
      <c r="B27180" t="s">
        <v>7</v>
      </c>
      <c r="C27180" t="s">
        <v>4362</v>
      </c>
      <c r="D27180" s="7">
        <f>DATE(2015,8,4)</f>
        <v>42220</v>
      </c>
      <c r="E27180" s="8">
        <f t="shared" si="460"/>
        <v>2015</v>
      </c>
      <c r="F27180" t="s">
        <v>4370</v>
      </c>
      <c r="G27180" s="9">
        <v>20604.43</v>
      </c>
      <c r="H27180" s="8">
        <v>21060</v>
      </c>
    </row>
    <row r="27181" spans="2:8" ht="15" customHeight="1" x14ac:dyDescent="0.4">
      <c r="B27181" t="s">
        <v>7</v>
      </c>
      <c r="C27181" t="s">
        <v>4362</v>
      </c>
      <c r="D27181" s="7">
        <f>DATE(2015,9,14)</f>
        <v>42261</v>
      </c>
      <c r="E27181" s="8">
        <f t="shared" si="460"/>
        <v>2015</v>
      </c>
      <c r="F27181" t="s">
        <v>4370</v>
      </c>
      <c r="G27181" s="9">
        <v>4890.5</v>
      </c>
      <c r="H27181" s="8">
        <v>21245</v>
      </c>
    </row>
    <row r="27182" spans="2:8" ht="15" customHeight="1" x14ac:dyDescent="0.4">
      <c r="B27182" t="s">
        <v>7</v>
      </c>
      <c r="C27182" t="s">
        <v>4362</v>
      </c>
      <c r="D27182" s="7">
        <f>DATE(2015,9,15)</f>
        <v>42262</v>
      </c>
      <c r="E27182" s="8">
        <f t="shared" si="460"/>
        <v>2015</v>
      </c>
      <c r="F27182" t="s">
        <v>4370</v>
      </c>
      <c r="G27182" s="9">
        <v>7383</v>
      </c>
      <c r="H27182" s="8">
        <v>21246</v>
      </c>
    </row>
    <row r="27183" spans="2:8" ht="15" customHeight="1" x14ac:dyDescent="0.4">
      <c r="B27183" t="s">
        <v>7</v>
      </c>
      <c r="C27183" t="s">
        <v>4362</v>
      </c>
      <c r="D27183" s="7">
        <f>DATE(2015,9,15)</f>
        <v>42262</v>
      </c>
      <c r="E27183" s="8">
        <f t="shared" si="460"/>
        <v>2015</v>
      </c>
      <c r="F27183" t="s">
        <v>4370</v>
      </c>
      <c r="G27183" s="9">
        <v>1680</v>
      </c>
      <c r="H27183" s="8">
        <v>21250</v>
      </c>
    </row>
    <row r="27184" spans="2:8" ht="15" customHeight="1" x14ac:dyDescent="0.4">
      <c r="B27184" t="s">
        <v>7</v>
      </c>
      <c r="C27184" t="s">
        <v>4362</v>
      </c>
      <c r="D27184" s="7">
        <f>DATE(2015,9,18)</f>
        <v>42265</v>
      </c>
      <c r="E27184" s="8">
        <f t="shared" si="460"/>
        <v>2015</v>
      </c>
      <c r="F27184" t="s">
        <v>4370</v>
      </c>
      <c r="G27184" s="9">
        <v>4710.96</v>
      </c>
      <c r="H27184" s="8">
        <v>21239</v>
      </c>
    </row>
    <row r="27185" spans="2:8" ht="15" customHeight="1" x14ac:dyDescent="0.4">
      <c r="B27185" t="s">
        <v>7</v>
      </c>
      <c r="C27185" t="s">
        <v>4362</v>
      </c>
      <c r="D27185" s="7">
        <f>DATE(2015,9,23)</f>
        <v>42270</v>
      </c>
      <c r="E27185" s="8">
        <f t="shared" si="460"/>
        <v>2015</v>
      </c>
      <c r="F27185" t="s">
        <v>4370</v>
      </c>
      <c r="G27185" s="9">
        <v>280</v>
      </c>
      <c r="H27185" s="8">
        <v>21297</v>
      </c>
    </row>
    <row r="27186" spans="2:8" ht="15" customHeight="1" x14ac:dyDescent="0.4">
      <c r="B27186" t="s">
        <v>7</v>
      </c>
      <c r="C27186" t="s">
        <v>4362</v>
      </c>
      <c r="D27186" s="7">
        <f>DATE(2015,9,24)</f>
        <v>42271</v>
      </c>
      <c r="E27186" s="8">
        <f t="shared" si="460"/>
        <v>2015</v>
      </c>
      <c r="F27186" t="s">
        <v>4370</v>
      </c>
      <c r="G27186" s="9">
        <v>1082.3800000000001</v>
      </c>
      <c r="H27186" s="8">
        <v>21315</v>
      </c>
    </row>
    <row r="27187" spans="2:8" ht="15" customHeight="1" x14ac:dyDescent="0.4">
      <c r="B27187" t="s">
        <v>7</v>
      </c>
      <c r="C27187" t="s">
        <v>4362</v>
      </c>
      <c r="D27187" s="7">
        <f>DATE(2016,3,30)</f>
        <v>42459</v>
      </c>
      <c r="E27187" s="8">
        <f t="shared" si="460"/>
        <v>2016</v>
      </c>
      <c r="F27187" t="s">
        <v>4370</v>
      </c>
      <c r="G27187" s="9">
        <v>3760.82</v>
      </c>
      <c r="H27187" s="8">
        <v>22518</v>
      </c>
    </row>
    <row r="27188" spans="2:8" ht="15" customHeight="1" x14ac:dyDescent="0.4">
      <c r="B27188" t="s">
        <v>7</v>
      </c>
      <c r="C27188" t="s">
        <v>4362</v>
      </c>
      <c r="D27188" s="7">
        <f>DATE(2016,4,21)</f>
        <v>42481</v>
      </c>
      <c r="E27188" s="8">
        <f t="shared" si="460"/>
        <v>2016</v>
      </c>
      <c r="F27188" t="s">
        <v>4370</v>
      </c>
      <c r="G27188" s="9">
        <v>14478.98</v>
      </c>
      <c r="H27188" s="8">
        <v>22685</v>
      </c>
    </row>
    <row r="27189" spans="2:8" ht="15" customHeight="1" x14ac:dyDescent="0.4">
      <c r="B27189" t="s">
        <v>7</v>
      </c>
      <c r="C27189" t="s">
        <v>4362</v>
      </c>
      <c r="D27189" s="7">
        <f>DATE(2016,4,28)</f>
        <v>42488</v>
      </c>
      <c r="E27189" s="8">
        <f t="shared" si="460"/>
        <v>2016</v>
      </c>
      <c r="F27189" t="s">
        <v>4370</v>
      </c>
      <c r="G27189" s="9">
        <v>7247.72</v>
      </c>
      <c r="H27189" s="8">
        <v>22746</v>
      </c>
    </row>
    <row r="27190" spans="2:8" ht="15" customHeight="1" x14ac:dyDescent="0.4">
      <c r="B27190" t="s">
        <v>7</v>
      </c>
      <c r="C27190" t="s">
        <v>4362</v>
      </c>
      <c r="D27190" s="7">
        <f>DATE(2016,9,27)</f>
        <v>42640</v>
      </c>
      <c r="E27190" s="8">
        <f t="shared" si="460"/>
        <v>2016</v>
      </c>
      <c r="F27190" t="s">
        <v>4370</v>
      </c>
      <c r="G27190" s="9">
        <v>1470</v>
      </c>
      <c r="H27190" s="8">
        <v>23525</v>
      </c>
    </row>
    <row r="27191" spans="2:8" ht="15" customHeight="1" x14ac:dyDescent="0.4">
      <c r="B27191" t="s">
        <v>7</v>
      </c>
      <c r="C27191" t="s">
        <v>4362</v>
      </c>
      <c r="D27191" s="7">
        <f>DATE(2016,11,9)</f>
        <v>42683</v>
      </c>
      <c r="E27191" s="8">
        <f t="shared" si="460"/>
        <v>2016</v>
      </c>
      <c r="F27191" t="s">
        <v>4370</v>
      </c>
      <c r="G27191" s="9">
        <v>4202.17</v>
      </c>
      <c r="H27191" s="8">
        <v>23798</v>
      </c>
    </row>
    <row r="27192" spans="2:8" ht="15" customHeight="1" x14ac:dyDescent="0.4">
      <c r="B27192" t="s">
        <v>7</v>
      </c>
      <c r="C27192" t="s">
        <v>4362</v>
      </c>
      <c r="D27192" s="7">
        <f>DATE(2016,11,30)</f>
        <v>42704</v>
      </c>
      <c r="E27192" s="8">
        <f t="shared" si="460"/>
        <v>2016</v>
      </c>
      <c r="F27192" t="s">
        <v>4370</v>
      </c>
      <c r="G27192" s="9">
        <v>525.88</v>
      </c>
      <c r="H27192" s="8">
        <v>23892</v>
      </c>
    </row>
    <row r="27193" spans="2:8" ht="15" customHeight="1" x14ac:dyDescent="0.4">
      <c r="B27193" t="s">
        <v>7</v>
      </c>
      <c r="C27193" t="s">
        <v>4362</v>
      </c>
      <c r="D27193" s="7">
        <f>DATE(2016,12,28)</f>
        <v>42732</v>
      </c>
      <c r="E27193" s="8">
        <f t="shared" si="460"/>
        <v>2016</v>
      </c>
      <c r="F27193" t="s">
        <v>4370</v>
      </c>
      <c r="G27193" s="9">
        <v>1617.5</v>
      </c>
      <c r="H27193" s="8">
        <v>23968</v>
      </c>
    </row>
    <row r="27194" spans="2:8" ht="15" customHeight="1" x14ac:dyDescent="0.4">
      <c r="B27194" t="s">
        <v>7</v>
      </c>
      <c r="C27194" t="s">
        <v>4362</v>
      </c>
      <c r="D27194" s="7">
        <f>DATE(2016,12,29)</f>
        <v>42733</v>
      </c>
      <c r="E27194" s="8">
        <f t="shared" si="460"/>
        <v>2016</v>
      </c>
      <c r="F27194" t="s">
        <v>4370</v>
      </c>
      <c r="G27194" s="9">
        <v>5000</v>
      </c>
      <c r="H27194" s="8">
        <v>24056</v>
      </c>
    </row>
    <row r="27195" spans="2:8" ht="15" customHeight="1" x14ac:dyDescent="0.4">
      <c r="B27195" t="s">
        <v>7</v>
      </c>
      <c r="C27195" t="s">
        <v>4362</v>
      </c>
      <c r="D27195" s="7">
        <f>DATE(2016,5,25)</f>
        <v>42515</v>
      </c>
      <c r="E27195" s="8">
        <f t="shared" si="460"/>
        <v>2016</v>
      </c>
      <c r="F27195" t="s">
        <v>4370</v>
      </c>
      <c r="G27195" s="9">
        <v>10144.49</v>
      </c>
      <c r="H27195" s="8">
        <v>22708</v>
      </c>
    </row>
    <row r="27196" spans="2:8" ht="15" customHeight="1" x14ac:dyDescent="0.4">
      <c r="B27196" t="s">
        <v>7</v>
      </c>
      <c r="C27196" t="s">
        <v>4362</v>
      </c>
      <c r="D27196" s="7">
        <f>DATE(2015,2,2)</f>
        <v>42037</v>
      </c>
      <c r="E27196" s="8">
        <f t="shared" si="460"/>
        <v>2015</v>
      </c>
      <c r="F27196" t="s">
        <v>4370</v>
      </c>
      <c r="G27196" s="9">
        <v>84</v>
      </c>
      <c r="H27196" s="8">
        <v>330</v>
      </c>
    </row>
    <row r="27197" spans="2:8" ht="15" customHeight="1" x14ac:dyDescent="0.4">
      <c r="B27197" t="s">
        <v>7</v>
      </c>
      <c r="C27197" t="s">
        <v>4362</v>
      </c>
      <c r="D27197" s="7">
        <f>DATE(2015,2,4)</f>
        <v>42039</v>
      </c>
      <c r="E27197" s="8">
        <f t="shared" si="460"/>
        <v>2015</v>
      </c>
      <c r="F27197" t="s">
        <v>4370</v>
      </c>
      <c r="G27197" s="9">
        <v>570</v>
      </c>
      <c r="H27197" s="8">
        <v>354</v>
      </c>
    </row>
    <row r="27198" spans="2:8" ht="15" customHeight="1" x14ac:dyDescent="0.4">
      <c r="B27198" t="s">
        <v>7</v>
      </c>
      <c r="C27198" t="s">
        <v>4362</v>
      </c>
      <c r="D27198" s="7">
        <f>DATE(2015,2,11)</f>
        <v>42046</v>
      </c>
      <c r="E27198" s="8">
        <f t="shared" si="460"/>
        <v>2015</v>
      </c>
      <c r="F27198" t="s">
        <v>4370</v>
      </c>
      <c r="G27198" s="9">
        <v>23742.79</v>
      </c>
      <c r="H27198" s="8">
        <v>429</v>
      </c>
    </row>
    <row r="27199" spans="2:8" ht="15" customHeight="1" x14ac:dyDescent="0.4">
      <c r="B27199" t="s">
        <v>7</v>
      </c>
      <c r="C27199" t="s">
        <v>4362</v>
      </c>
      <c r="D27199" s="7">
        <f>DATE(2015,3,20)</f>
        <v>42083</v>
      </c>
      <c r="E27199" s="8">
        <f t="shared" si="460"/>
        <v>2015</v>
      </c>
      <c r="F27199" t="s">
        <v>4370</v>
      </c>
      <c r="G27199" s="9">
        <v>6062.4</v>
      </c>
      <c r="H27199" s="8">
        <v>20224</v>
      </c>
    </row>
    <row r="27200" spans="2:8" ht="15" customHeight="1" x14ac:dyDescent="0.4">
      <c r="B27200" t="s">
        <v>7</v>
      </c>
      <c r="C27200" t="s">
        <v>4362</v>
      </c>
      <c r="D27200" s="7">
        <f>DATE(2015,3,27)</f>
        <v>42090</v>
      </c>
      <c r="E27200" s="8">
        <f t="shared" si="460"/>
        <v>2015</v>
      </c>
      <c r="F27200" t="s">
        <v>4370</v>
      </c>
      <c r="G27200" s="9">
        <v>11248</v>
      </c>
      <c r="H27200" s="8">
        <v>20244</v>
      </c>
    </row>
    <row r="27201" spans="2:8" ht="15" customHeight="1" x14ac:dyDescent="0.4">
      <c r="B27201" t="s">
        <v>7</v>
      </c>
      <c r="C27201" t="s">
        <v>4362</v>
      </c>
      <c r="D27201" s="7">
        <f>DATE(2015,4,8)</f>
        <v>42102</v>
      </c>
      <c r="E27201" s="8">
        <f t="shared" si="460"/>
        <v>2015</v>
      </c>
      <c r="F27201" t="s">
        <v>4370</v>
      </c>
      <c r="G27201" s="9">
        <v>22295</v>
      </c>
      <c r="H27201" s="8">
        <v>20352</v>
      </c>
    </row>
    <row r="27202" spans="2:8" ht="15" customHeight="1" x14ac:dyDescent="0.4">
      <c r="B27202" t="s">
        <v>7</v>
      </c>
      <c r="C27202" t="s">
        <v>4362</v>
      </c>
      <c r="D27202" s="7">
        <f>DATE(2015,4,27)</f>
        <v>42121</v>
      </c>
      <c r="E27202" s="8">
        <f t="shared" si="460"/>
        <v>2015</v>
      </c>
      <c r="F27202" t="s">
        <v>4370</v>
      </c>
      <c r="G27202" s="9">
        <v>1173.4000000000001</v>
      </c>
      <c r="H27202" s="8">
        <v>20487</v>
      </c>
    </row>
    <row r="27203" spans="2:8" ht="15" customHeight="1" x14ac:dyDescent="0.4">
      <c r="B27203" t="s">
        <v>7</v>
      </c>
      <c r="C27203" t="s">
        <v>4362</v>
      </c>
      <c r="D27203" s="7">
        <f>DATE(2015,5,1)</f>
        <v>42125</v>
      </c>
      <c r="E27203" s="8">
        <f t="shared" ref="E27203:E27266" si="461">YEAR(D27203)</f>
        <v>2015</v>
      </c>
      <c r="F27203" t="s">
        <v>4370</v>
      </c>
      <c r="G27203" s="9">
        <v>8800</v>
      </c>
      <c r="H27203" s="8">
        <v>20519</v>
      </c>
    </row>
    <row r="27204" spans="2:8" ht="15" customHeight="1" x14ac:dyDescent="0.4">
      <c r="B27204" t="s">
        <v>7</v>
      </c>
      <c r="C27204" t="s">
        <v>4362</v>
      </c>
      <c r="D27204" s="7">
        <f>DATE(2015,5,21)</f>
        <v>42145</v>
      </c>
      <c r="E27204" s="8">
        <f t="shared" si="461"/>
        <v>2015</v>
      </c>
      <c r="F27204" t="s">
        <v>4370</v>
      </c>
      <c r="G27204" s="9">
        <v>1140</v>
      </c>
      <c r="H27204" s="8">
        <v>20668</v>
      </c>
    </row>
    <row r="27205" spans="2:8" ht="15" customHeight="1" x14ac:dyDescent="0.4">
      <c r="B27205" t="s">
        <v>7</v>
      </c>
      <c r="C27205" t="s">
        <v>4362</v>
      </c>
      <c r="D27205" s="7">
        <f>DATE(2015,6,22)</f>
        <v>42177</v>
      </c>
      <c r="E27205" s="8">
        <f t="shared" si="461"/>
        <v>2015</v>
      </c>
      <c r="F27205" t="s">
        <v>4370</v>
      </c>
      <c r="G27205" s="9">
        <v>5320</v>
      </c>
      <c r="H27205" s="8">
        <v>20833</v>
      </c>
    </row>
    <row r="27206" spans="2:8" ht="15" customHeight="1" x14ac:dyDescent="0.4">
      <c r="B27206" t="s">
        <v>7</v>
      </c>
      <c r="C27206" t="s">
        <v>4362</v>
      </c>
      <c r="D27206" s="7">
        <f>DATE(2015,7,15)</f>
        <v>42200</v>
      </c>
      <c r="E27206" s="8">
        <f t="shared" si="461"/>
        <v>2015</v>
      </c>
      <c r="F27206" t="s">
        <v>4370</v>
      </c>
      <c r="G27206" s="9">
        <v>6696.4</v>
      </c>
      <c r="H27206" s="8">
        <v>20957</v>
      </c>
    </row>
    <row r="27207" spans="2:8" ht="15" customHeight="1" x14ac:dyDescent="0.4">
      <c r="B27207" t="s">
        <v>7</v>
      </c>
      <c r="C27207" t="s">
        <v>4362</v>
      </c>
      <c r="D27207" s="7">
        <f>DATE(2015,7,17)</f>
        <v>42202</v>
      </c>
      <c r="E27207" s="8">
        <f t="shared" si="461"/>
        <v>2015</v>
      </c>
      <c r="F27207" t="s">
        <v>4370</v>
      </c>
      <c r="G27207" s="9">
        <v>890</v>
      </c>
      <c r="H27207" s="8">
        <v>20966</v>
      </c>
    </row>
    <row r="27208" spans="2:8" ht="15" customHeight="1" x14ac:dyDescent="0.4">
      <c r="B27208" t="s">
        <v>7</v>
      </c>
      <c r="C27208" t="s">
        <v>4362</v>
      </c>
      <c r="D27208" s="7">
        <f>DATE(2015,8,31)</f>
        <v>42247</v>
      </c>
      <c r="E27208" s="8">
        <f t="shared" si="461"/>
        <v>2015</v>
      </c>
      <c r="F27208" t="s">
        <v>4370</v>
      </c>
      <c r="G27208" s="9">
        <v>3990</v>
      </c>
      <c r="H27208" s="8">
        <v>21154</v>
      </c>
    </row>
    <row r="27209" spans="2:8" ht="15" customHeight="1" x14ac:dyDescent="0.4">
      <c r="B27209" t="s">
        <v>7</v>
      </c>
      <c r="C27209" t="s">
        <v>4362</v>
      </c>
      <c r="D27209" s="7">
        <f>DATE(2015,9,1)</f>
        <v>42248</v>
      </c>
      <c r="E27209" s="8">
        <f t="shared" si="461"/>
        <v>2015</v>
      </c>
      <c r="F27209" t="s">
        <v>4370</v>
      </c>
      <c r="G27209" s="9">
        <v>9975.68</v>
      </c>
      <c r="H27209" s="8">
        <v>21149</v>
      </c>
    </row>
    <row r="27210" spans="2:8" ht="15" customHeight="1" x14ac:dyDescent="0.4">
      <c r="B27210" t="s">
        <v>7</v>
      </c>
      <c r="C27210" t="s">
        <v>4362</v>
      </c>
      <c r="D27210" s="7">
        <f>DATE(2015,9,23)</f>
        <v>42270</v>
      </c>
      <c r="E27210" s="8">
        <f t="shared" si="461"/>
        <v>2015</v>
      </c>
      <c r="F27210" t="s">
        <v>4370</v>
      </c>
      <c r="G27210" s="9">
        <v>2006.4</v>
      </c>
      <c r="H27210" s="8">
        <v>21285</v>
      </c>
    </row>
    <row r="27211" spans="2:8" ht="15" customHeight="1" x14ac:dyDescent="0.4">
      <c r="B27211" t="s">
        <v>7</v>
      </c>
      <c r="C27211" t="s">
        <v>4362</v>
      </c>
      <c r="D27211" s="7">
        <f>DATE(2015,9,25)</f>
        <v>42272</v>
      </c>
      <c r="E27211" s="8">
        <f t="shared" si="461"/>
        <v>2015</v>
      </c>
      <c r="F27211" t="s">
        <v>4370</v>
      </c>
      <c r="G27211" s="9">
        <v>6832</v>
      </c>
      <c r="H27211" s="8">
        <v>21325</v>
      </c>
    </row>
    <row r="27212" spans="2:8" ht="15" customHeight="1" x14ac:dyDescent="0.4">
      <c r="B27212" t="s">
        <v>7</v>
      </c>
      <c r="C27212" t="s">
        <v>4362</v>
      </c>
      <c r="D27212" s="7">
        <f>DATE(2015,9,25)</f>
        <v>42272</v>
      </c>
      <c r="E27212" s="8">
        <f t="shared" si="461"/>
        <v>2015</v>
      </c>
      <c r="F27212" t="s">
        <v>4370</v>
      </c>
      <c r="G27212" s="9">
        <v>3920</v>
      </c>
      <c r="H27212" s="8">
        <v>21330</v>
      </c>
    </row>
    <row r="27213" spans="2:8" ht="15" customHeight="1" x14ac:dyDescent="0.4">
      <c r="B27213" t="s">
        <v>7</v>
      </c>
      <c r="C27213" t="s">
        <v>4362</v>
      </c>
      <c r="D27213" s="7">
        <f>DATE(2015,10,7)</f>
        <v>42284</v>
      </c>
      <c r="E27213" s="8">
        <f t="shared" si="461"/>
        <v>2015</v>
      </c>
      <c r="F27213" t="s">
        <v>4370</v>
      </c>
      <c r="G27213" s="9">
        <v>568.44000000000005</v>
      </c>
      <c r="H27213" s="8">
        <v>21381</v>
      </c>
    </row>
    <row r="27214" spans="2:8" ht="15" customHeight="1" x14ac:dyDescent="0.4">
      <c r="B27214" t="s">
        <v>7</v>
      </c>
      <c r="C27214" t="s">
        <v>4362</v>
      </c>
      <c r="D27214" s="7">
        <f>DATE(2015,11,2)</f>
        <v>42310</v>
      </c>
      <c r="E27214" s="8">
        <f t="shared" si="461"/>
        <v>2015</v>
      </c>
      <c r="F27214" t="s">
        <v>4370</v>
      </c>
      <c r="G27214" s="9">
        <v>24520</v>
      </c>
      <c r="H27214" s="8">
        <v>21514</v>
      </c>
    </row>
    <row r="27215" spans="2:8" ht="15" customHeight="1" x14ac:dyDescent="0.4">
      <c r="B27215" t="s">
        <v>7</v>
      </c>
      <c r="C27215" t="s">
        <v>4362</v>
      </c>
      <c r="D27215" s="7">
        <f>DATE(2016,1,8)</f>
        <v>42377</v>
      </c>
      <c r="E27215" s="8">
        <f t="shared" si="461"/>
        <v>2016</v>
      </c>
      <c r="F27215" t="s">
        <v>4370</v>
      </c>
      <c r="G27215" s="9">
        <v>6320</v>
      </c>
      <c r="H27215" s="8">
        <v>21938</v>
      </c>
    </row>
    <row r="27216" spans="2:8" ht="15" customHeight="1" x14ac:dyDescent="0.4">
      <c r="B27216" t="s">
        <v>7</v>
      </c>
      <c r="C27216" t="s">
        <v>4362</v>
      </c>
      <c r="D27216" s="7">
        <f>DATE(2016,2,11)</f>
        <v>42411</v>
      </c>
      <c r="E27216" s="8">
        <f t="shared" si="461"/>
        <v>2016</v>
      </c>
      <c r="F27216" t="s">
        <v>4370</v>
      </c>
      <c r="G27216" s="9">
        <v>105.4</v>
      </c>
      <c r="H27216" s="8">
        <v>22164</v>
      </c>
    </row>
    <row r="27217" spans="2:8" ht="15" customHeight="1" x14ac:dyDescent="0.4">
      <c r="B27217" t="s">
        <v>7</v>
      </c>
      <c r="C27217" t="s">
        <v>4362</v>
      </c>
      <c r="D27217" s="7">
        <f>DATE(2016,2,12)</f>
        <v>42412</v>
      </c>
      <c r="E27217" s="8">
        <f t="shared" si="461"/>
        <v>2016</v>
      </c>
      <c r="F27217" t="s">
        <v>4370</v>
      </c>
      <c r="G27217" s="9">
        <v>1760</v>
      </c>
      <c r="H27217" s="8">
        <v>22208</v>
      </c>
    </row>
    <row r="27218" spans="2:8" ht="15" customHeight="1" x14ac:dyDescent="0.4">
      <c r="B27218" t="s">
        <v>7</v>
      </c>
      <c r="C27218" t="s">
        <v>4362</v>
      </c>
      <c r="D27218" s="7">
        <f>DATE(2016,3,14)</f>
        <v>42443</v>
      </c>
      <c r="E27218" s="8">
        <f t="shared" si="461"/>
        <v>2016</v>
      </c>
      <c r="F27218" t="s">
        <v>4370</v>
      </c>
      <c r="G27218" s="9">
        <v>16192</v>
      </c>
      <c r="H27218" s="8">
        <v>22384</v>
      </c>
    </row>
    <row r="27219" spans="2:8" ht="15" customHeight="1" x14ac:dyDescent="0.4">
      <c r="B27219" t="s">
        <v>7</v>
      </c>
      <c r="C27219" t="s">
        <v>4362</v>
      </c>
      <c r="D27219" s="7">
        <f>DATE(2016,3,14)</f>
        <v>42443</v>
      </c>
      <c r="E27219" s="8">
        <f t="shared" si="461"/>
        <v>2016</v>
      </c>
      <c r="F27219" t="s">
        <v>4370</v>
      </c>
      <c r="G27219" s="9">
        <v>30.96</v>
      </c>
      <c r="H27219" s="8">
        <v>22386</v>
      </c>
    </row>
    <row r="27220" spans="2:8" ht="15" customHeight="1" x14ac:dyDescent="0.4">
      <c r="B27220" t="s">
        <v>7</v>
      </c>
      <c r="C27220" t="s">
        <v>4362</v>
      </c>
      <c r="D27220" s="7">
        <f>DATE(2016,3,21)</f>
        <v>42450</v>
      </c>
      <c r="E27220" s="8">
        <f t="shared" si="461"/>
        <v>2016</v>
      </c>
      <c r="F27220" t="s">
        <v>4370</v>
      </c>
      <c r="G27220" s="9">
        <v>3520</v>
      </c>
      <c r="H27220" s="8">
        <v>22468</v>
      </c>
    </row>
    <row r="27221" spans="2:8" ht="15" customHeight="1" x14ac:dyDescent="0.4">
      <c r="B27221" t="s">
        <v>7</v>
      </c>
      <c r="C27221" t="s">
        <v>4362</v>
      </c>
      <c r="D27221" s="7">
        <f>DATE(2016,4,1)</f>
        <v>42461</v>
      </c>
      <c r="E27221" s="8">
        <f t="shared" si="461"/>
        <v>2016</v>
      </c>
      <c r="F27221" t="s">
        <v>4370</v>
      </c>
      <c r="G27221" s="9">
        <v>580.79999999999995</v>
      </c>
      <c r="H27221" s="8">
        <v>22580</v>
      </c>
    </row>
    <row r="27222" spans="2:8" ht="15" customHeight="1" x14ac:dyDescent="0.4">
      <c r="B27222" t="s">
        <v>7</v>
      </c>
      <c r="C27222" t="s">
        <v>4362</v>
      </c>
      <c r="D27222" s="7">
        <f>DATE(2016,4,19)</f>
        <v>42479</v>
      </c>
      <c r="E27222" s="8">
        <f t="shared" si="461"/>
        <v>2016</v>
      </c>
      <c r="F27222" t="s">
        <v>4370</v>
      </c>
      <c r="G27222" s="9">
        <v>19450</v>
      </c>
      <c r="H27222" s="8">
        <v>22680</v>
      </c>
    </row>
    <row r="27223" spans="2:8" ht="15" customHeight="1" x14ac:dyDescent="0.4">
      <c r="B27223" t="s">
        <v>7</v>
      </c>
      <c r="C27223" t="s">
        <v>4362</v>
      </c>
      <c r="D27223" s="7">
        <f>DATE(2016,4,26)</f>
        <v>42486</v>
      </c>
      <c r="E27223" s="8">
        <f t="shared" si="461"/>
        <v>2016</v>
      </c>
      <c r="F27223" t="s">
        <v>4370</v>
      </c>
      <c r="G27223" s="9">
        <v>3168</v>
      </c>
      <c r="H27223" s="8">
        <v>22706</v>
      </c>
    </row>
    <row r="27224" spans="2:8" ht="15" customHeight="1" x14ac:dyDescent="0.4">
      <c r="B27224" t="s">
        <v>7</v>
      </c>
      <c r="C27224" t="s">
        <v>4362</v>
      </c>
      <c r="D27224" s="7">
        <f>DATE(2016,4,27)</f>
        <v>42487</v>
      </c>
      <c r="E27224" s="8">
        <f t="shared" si="461"/>
        <v>2016</v>
      </c>
      <c r="F27224" t="s">
        <v>4370</v>
      </c>
      <c r="G27224" s="9">
        <v>8800</v>
      </c>
      <c r="H27224" s="8">
        <v>22688</v>
      </c>
    </row>
    <row r="27225" spans="2:8" ht="15" customHeight="1" x14ac:dyDescent="0.4">
      <c r="B27225" t="s">
        <v>7</v>
      </c>
      <c r="C27225" t="s">
        <v>4362</v>
      </c>
      <c r="D27225" s="7">
        <f>DATE(2016,6,21)</f>
        <v>42542</v>
      </c>
      <c r="E27225" s="8">
        <f t="shared" si="461"/>
        <v>2016</v>
      </c>
      <c r="F27225" t="s">
        <v>4370</v>
      </c>
      <c r="G27225" s="9">
        <v>97</v>
      </c>
      <c r="H27225" s="8">
        <v>23033</v>
      </c>
    </row>
    <row r="27226" spans="2:8" ht="15" customHeight="1" x14ac:dyDescent="0.4">
      <c r="B27226" t="s">
        <v>7</v>
      </c>
      <c r="C27226" t="s">
        <v>4362</v>
      </c>
      <c r="D27226" s="7">
        <f>DATE(2016,7,7)</f>
        <v>42558</v>
      </c>
      <c r="E27226" s="8">
        <f t="shared" si="461"/>
        <v>2016</v>
      </c>
      <c r="F27226" t="s">
        <v>4370</v>
      </c>
      <c r="G27226" s="9">
        <v>3990</v>
      </c>
      <c r="H27226" s="8">
        <v>23101</v>
      </c>
    </row>
    <row r="27227" spans="2:8" ht="15" customHeight="1" x14ac:dyDescent="0.4">
      <c r="B27227" t="s">
        <v>7</v>
      </c>
      <c r="C27227" t="s">
        <v>4362</v>
      </c>
      <c r="D27227" s="7">
        <f>DATE(2016,7,26)</f>
        <v>42577</v>
      </c>
      <c r="E27227" s="8">
        <f t="shared" si="461"/>
        <v>2016</v>
      </c>
      <c r="F27227" t="s">
        <v>4370</v>
      </c>
      <c r="G27227" s="9">
        <v>8448</v>
      </c>
      <c r="H27227" s="8">
        <v>23176</v>
      </c>
    </row>
    <row r="27228" spans="2:8" ht="15" customHeight="1" x14ac:dyDescent="0.4">
      <c r="B27228" t="s">
        <v>7</v>
      </c>
      <c r="C27228" t="s">
        <v>4362</v>
      </c>
      <c r="D27228" s="7">
        <f>DATE(2016,7,29)</f>
        <v>42580</v>
      </c>
      <c r="E27228" s="8">
        <f t="shared" si="461"/>
        <v>2016</v>
      </c>
      <c r="F27228" t="s">
        <v>4370</v>
      </c>
      <c r="G27228" s="9">
        <v>1386</v>
      </c>
      <c r="H27228" s="8">
        <v>23212</v>
      </c>
    </row>
    <row r="27229" spans="2:8" ht="15" customHeight="1" x14ac:dyDescent="0.4">
      <c r="B27229" t="s">
        <v>7</v>
      </c>
      <c r="C27229" t="s">
        <v>4362</v>
      </c>
      <c r="D27229" s="7">
        <f>DATE(2016,8,24)</f>
        <v>42606</v>
      </c>
      <c r="E27229" s="8">
        <f t="shared" si="461"/>
        <v>2016</v>
      </c>
      <c r="F27229" t="s">
        <v>4370</v>
      </c>
      <c r="G27229" s="9">
        <v>22850.69</v>
      </c>
      <c r="H27229" s="8">
        <v>23268</v>
      </c>
    </row>
    <row r="27230" spans="2:8" ht="15" customHeight="1" x14ac:dyDescent="0.4">
      <c r="B27230" t="s">
        <v>7</v>
      </c>
      <c r="C27230" t="s">
        <v>4362</v>
      </c>
      <c r="D27230" s="7">
        <f>DATE(2016,9,8)</f>
        <v>42621</v>
      </c>
      <c r="E27230" s="8">
        <f t="shared" si="461"/>
        <v>2016</v>
      </c>
      <c r="F27230" t="s">
        <v>4370</v>
      </c>
      <c r="G27230" s="9">
        <v>12427.2</v>
      </c>
      <c r="H27230" s="8">
        <v>23436</v>
      </c>
    </row>
    <row r="27231" spans="2:8" ht="15" customHeight="1" x14ac:dyDescent="0.4">
      <c r="B27231" t="s">
        <v>7</v>
      </c>
      <c r="C27231" t="s">
        <v>4362</v>
      </c>
      <c r="D27231" s="7">
        <f>DATE(2016,9,12)</f>
        <v>42625</v>
      </c>
      <c r="E27231" s="8">
        <f t="shared" si="461"/>
        <v>2016</v>
      </c>
      <c r="F27231" t="s">
        <v>4370</v>
      </c>
      <c r="G27231" s="9">
        <v>17166.5</v>
      </c>
      <c r="H27231" s="8">
        <v>23455</v>
      </c>
    </row>
    <row r="27232" spans="2:8" ht="15" customHeight="1" x14ac:dyDescent="0.4">
      <c r="B27232" t="s">
        <v>7</v>
      </c>
      <c r="C27232" t="s">
        <v>4362</v>
      </c>
      <c r="D27232" s="7">
        <f>DATE(2016,9,26)</f>
        <v>42639</v>
      </c>
      <c r="E27232" s="8">
        <f t="shared" si="461"/>
        <v>2016</v>
      </c>
      <c r="F27232" t="s">
        <v>4370</v>
      </c>
      <c r="G27232" s="9">
        <v>8800</v>
      </c>
      <c r="H27232" s="8">
        <v>23528</v>
      </c>
    </row>
    <row r="27233" spans="2:8" ht="15" customHeight="1" x14ac:dyDescent="0.4">
      <c r="B27233" t="s">
        <v>7</v>
      </c>
      <c r="C27233" t="s">
        <v>4362</v>
      </c>
      <c r="D27233" s="7">
        <f>DATE(2016,9,27)</f>
        <v>42640</v>
      </c>
      <c r="E27233" s="8">
        <f t="shared" si="461"/>
        <v>2016</v>
      </c>
      <c r="F27233" t="s">
        <v>4370</v>
      </c>
      <c r="G27233" s="9">
        <v>9063.2000000000007</v>
      </c>
      <c r="H27233" s="8">
        <v>23522</v>
      </c>
    </row>
    <row r="27234" spans="2:8" ht="15" customHeight="1" x14ac:dyDescent="0.4">
      <c r="B27234" t="s">
        <v>7</v>
      </c>
      <c r="C27234" t="s">
        <v>4362</v>
      </c>
      <c r="D27234" s="7">
        <f>DATE(2016,10,10)</f>
        <v>42653</v>
      </c>
      <c r="E27234" s="8">
        <f t="shared" si="461"/>
        <v>2016</v>
      </c>
      <c r="F27234" t="s">
        <v>4370</v>
      </c>
      <c r="G27234" s="9">
        <v>21841.14</v>
      </c>
      <c r="H27234" s="8">
        <v>23628</v>
      </c>
    </row>
    <row r="27235" spans="2:8" ht="15" customHeight="1" x14ac:dyDescent="0.4">
      <c r="B27235" t="s">
        <v>7</v>
      </c>
      <c r="C27235" t="s">
        <v>4362</v>
      </c>
      <c r="D27235" s="7">
        <f>DATE(2016,10,21)</f>
        <v>42664</v>
      </c>
      <c r="E27235" s="8">
        <f t="shared" si="461"/>
        <v>2016</v>
      </c>
      <c r="F27235" t="s">
        <v>4370</v>
      </c>
      <c r="G27235" s="9">
        <v>640.20000000000005</v>
      </c>
      <c r="H27235" s="8">
        <v>23643</v>
      </c>
    </row>
    <row r="27236" spans="2:8" ht="15" customHeight="1" x14ac:dyDescent="0.4">
      <c r="B27236" t="s">
        <v>7</v>
      </c>
      <c r="C27236" t="s">
        <v>4362</v>
      </c>
      <c r="D27236" s="7">
        <f>DATE(2016,10,25)</f>
        <v>42668</v>
      </c>
      <c r="E27236" s="8">
        <f t="shared" si="461"/>
        <v>2016</v>
      </c>
      <c r="F27236" t="s">
        <v>4370</v>
      </c>
      <c r="G27236" s="9">
        <v>30149.96</v>
      </c>
      <c r="H27236" s="8">
        <v>23734</v>
      </c>
    </row>
    <row r="27237" spans="2:8" ht="15" customHeight="1" x14ac:dyDescent="0.4">
      <c r="B27237" t="s">
        <v>7</v>
      </c>
      <c r="C27237" t="s">
        <v>4362</v>
      </c>
      <c r="D27237" s="7">
        <f>DATE(2016,10,25)</f>
        <v>42668</v>
      </c>
      <c r="E27237" s="8">
        <f t="shared" si="461"/>
        <v>2016</v>
      </c>
      <c r="F27237" t="s">
        <v>4370</v>
      </c>
      <c r="G27237" s="9">
        <v>15012.51</v>
      </c>
      <c r="H27237" s="8">
        <v>23735</v>
      </c>
    </row>
    <row r="27238" spans="2:8" ht="15" customHeight="1" x14ac:dyDescent="0.4">
      <c r="B27238" t="s">
        <v>7</v>
      </c>
      <c r="C27238" t="s">
        <v>4362</v>
      </c>
      <c r="D27238" s="7">
        <f>DATE(2016,10,31)</f>
        <v>42674</v>
      </c>
      <c r="E27238" s="8">
        <f t="shared" si="461"/>
        <v>2016</v>
      </c>
      <c r="F27238" t="s">
        <v>4370</v>
      </c>
      <c r="G27238" s="9">
        <v>2632</v>
      </c>
      <c r="H27238" s="8">
        <v>23760</v>
      </c>
    </row>
    <row r="27239" spans="2:8" ht="15" customHeight="1" x14ac:dyDescent="0.4">
      <c r="B27239" t="s">
        <v>7</v>
      </c>
      <c r="C27239" t="s">
        <v>4362</v>
      </c>
      <c r="D27239" s="7">
        <f>DATE(2016,11,4)</f>
        <v>42678</v>
      </c>
      <c r="E27239" s="8">
        <f t="shared" si="461"/>
        <v>2016</v>
      </c>
      <c r="F27239" t="s">
        <v>4370</v>
      </c>
      <c r="G27239" s="9">
        <v>219.84</v>
      </c>
      <c r="H27239" s="8">
        <v>23778</v>
      </c>
    </row>
    <row r="27240" spans="2:8" ht="15" customHeight="1" x14ac:dyDescent="0.4">
      <c r="B27240" t="s">
        <v>7</v>
      </c>
      <c r="C27240" t="s">
        <v>4362</v>
      </c>
      <c r="D27240" s="7">
        <f>DATE(2016,11,8)</f>
        <v>42682</v>
      </c>
      <c r="E27240" s="8">
        <f t="shared" si="461"/>
        <v>2016</v>
      </c>
      <c r="F27240" t="s">
        <v>4370</v>
      </c>
      <c r="G27240" s="9">
        <v>721</v>
      </c>
      <c r="H27240" s="8">
        <v>23766</v>
      </c>
    </row>
    <row r="27241" spans="2:8" ht="15" customHeight="1" x14ac:dyDescent="0.4">
      <c r="B27241" t="s">
        <v>7</v>
      </c>
      <c r="C27241" t="s">
        <v>4362</v>
      </c>
      <c r="D27241" s="7">
        <f>DATE(2017,1,11)</f>
        <v>42746</v>
      </c>
      <c r="E27241" s="8">
        <f t="shared" si="461"/>
        <v>2017</v>
      </c>
      <c r="F27241" t="s">
        <v>4370</v>
      </c>
      <c r="G27241" s="9">
        <v>4480</v>
      </c>
      <c r="H27241" s="8">
        <v>24088</v>
      </c>
    </row>
    <row r="27242" spans="2:8" ht="15" customHeight="1" x14ac:dyDescent="0.4">
      <c r="B27242" t="s">
        <v>7</v>
      </c>
      <c r="C27242" t="s">
        <v>4362</v>
      </c>
      <c r="D27242" s="7">
        <f>DATE(2015,6,5)</f>
        <v>42160</v>
      </c>
      <c r="E27242" s="8">
        <f t="shared" si="461"/>
        <v>2015</v>
      </c>
      <c r="F27242" t="s">
        <v>4370</v>
      </c>
      <c r="G27242" s="9">
        <v>11029.25</v>
      </c>
      <c r="H27242" s="8">
        <v>20503</v>
      </c>
    </row>
    <row r="27243" spans="2:8" ht="15" customHeight="1" x14ac:dyDescent="0.4">
      <c r="B27243" t="s">
        <v>16</v>
      </c>
      <c r="C27243" t="s">
        <v>4362</v>
      </c>
      <c r="D27243" s="7">
        <f t="shared" ref="D27243:D27248" si="462">DATE(2015,11,6)</f>
        <v>42314</v>
      </c>
      <c r="E27243" s="8">
        <f t="shared" si="461"/>
        <v>2015</v>
      </c>
      <c r="F27243" t="s">
        <v>4370</v>
      </c>
      <c r="G27243" s="9">
        <v>1960</v>
      </c>
      <c r="H27243" s="8">
        <v>21520</v>
      </c>
    </row>
    <row r="27244" spans="2:8" ht="15" customHeight="1" x14ac:dyDescent="0.4">
      <c r="B27244" t="s">
        <v>16</v>
      </c>
      <c r="C27244" t="s">
        <v>4362</v>
      </c>
      <c r="D27244" s="7">
        <f t="shared" si="462"/>
        <v>42314</v>
      </c>
      <c r="E27244" s="8">
        <f t="shared" si="461"/>
        <v>2015</v>
      </c>
      <c r="F27244" t="s">
        <v>4370</v>
      </c>
      <c r="G27244" s="9">
        <v>83.38</v>
      </c>
      <c r="H27244" s="8">
        <v>21521</v>
      </c>
    </row>
    <row r="27245" spans="2:8" ht="15" customHeight="1" x14ac:dyDescent="0.4">
      <c r="B27245" t="s">
        <v>16</v>
      </c>
      <c r="C27245" t="s">
        <v>4362</v>
      </c>
      <c r="D27245" s="7">
        <f t="shared" si="462"/>
        <v>42314</v>
      </c>
      <c r="E27245" s="8">
        <f t="shared" si="461"/>
        <v>2015</v>
      </c>
      <c r="F27245" t="s">
        <v>4370</v>
      </c>
      <c r="G27245" s="9">
        <v>3488.32</v>
      </c>
      <c r="H27245" s="8">
        <v>21516</v>
      </c>
    </row>
    <row r="27246" spans="2:8" ht="15" customHeight="1" x14ac:dyDescent="0.4">
      <c r="B27246" t="s">
        <v>16</v>
      </c>
      <c r="C27246" t="s">
        <v>4362</v>
      </c>
      <c r="D27246" s="7">
        <f t="shared" si="462"/>
        <v>42314</v>
      </c>
      <c r="E27246" s="8">
        <f t="shared" si="461"/>
        <v>2015</v>
      </c>
      <c r="F27246" t="s">
        <v>4370</v>
      </c>
      <c r="G27246" s="9">
        <v>1760</v>
      </c>
      <c r="H27246" s="8">
        <v>21517</v>
      </c>
    </row>
    <row r="27247" spans="2:8" ht="15" customHeight="1" x14ac:dyDescent="0.4">
      <c r="B27247" t="s">
        <v>16</v>
      </c>
      <c r="C27247" t="s">
        <v>4362</v>
      </c>
      <c r="D27247" s="7">
        <f t="shared" si="462"/>
        <v>42314</v>
      </c>
      <c r="E27247" s="8">
        <f t="shared" si="461"/>
        <v>2015</v>
      </c>
      <c r="F27247" t="s">
        <v>4370</v>
      </c>
      <c r="G27247" s="9">
        <v>1960</v>
      </c>
      <c r="H27247" s="8">
        <v>21518</v>
      </c>
    </row>
    <row r="27248" spans="2:8" ht="15" customHeight="1" x14ac:dyDescent="0.4">
      <c r="B27248" t="s">
        <v>16</v>
      </c>
      <c r="C27248" t="s">
        <v>4362</v>
      </c>
      <c r="D27248" s="7">
        <f t="shared" si="462"/>
        <v>42314</v>
      </c>
      <c r="E27248" s="8">
        <f t="shared" si="461"/>
        <v>2015</v>
      </c>
      <c r="F27248" t="s">
        <v>4370</v>
      </c>
      <c r="G27248" s="9">
        <v>3920</v>
      </c>
      <c r="H27248" s="8">
        <v>21519</v>
      </c>
    </row>
    <row r="27249" spans="2:8" ht="15" customHeight="1" x14ac:dyDescent="0.4">
      <c r="B27249" t="s">
        <v>7</v>
      </c>
      <c r="C27249" t="s">
        <v>4362</v>
      </c>
      <c r="D27249" s="7">
        <f>DATE(2012,9,6)</f>
        <v>41158</v>
      </c>
      <c r="E27249" s="8">
        <f t="shared" si="461"/>
        <v>2012</v>
      </c>
      <c r="F27249" t="s">
        <v>4370</v>
      </c>
      <c r="G27249" s="9">
        <v>14076.88</v>
      </c>
      <c r="H27249" s="8">
        <v>11769</v>
      </c>
    </row>
    <row r="27250" spans="2:8" ht="15" customHeight="1" x14ac:dyDescent="0.4">
      <c r="B27250" t="s">
        <v>7</v>
      </c>
      <c r="C27250" t="s">
        <v>4362</v>
      </c>
      <c r="D27250" s="7">
        <f>DATE(2012,11,8)</f>
        <v>41221</v>
      </c>
      <c r="E27250" s="8">
        <f t="shared" si="461"/>
        <v>2012</v>
      </c>
      <c r="F27250" t="s">
        <v>4370</v>
      </c>
      <c r="G27250" s="9">
        <v>26411.98</v>
      </c>
      <c r="H27250" s="8">
        <v>11927</v>
      </c>
    </row>
    <row r="27251" spans="2:8" ht="15" customHeight="1" x14ac:dyDescent="0.4">
      <c r="B27251" t="s">
        <v>7</v>
      </c>
      <c r="C27251" t="s">
        <v>4362</v>
      </c>
      <c r="D27251" s="7">
        <f>DATE(2013,5,9)</f>
        <v>41403</v>
      </c>
      <c r="E27251" s="8">
        <f t="shared" si="461"/>
        <v>2013</v>
      </c>
      <c r="F27251" t="s">
        <v>4370</v>
      </c>
      <c r="G27251" s="9">
        <v>24940.58</v>
      </c>
      <c r="H27251" s="8">
        <v>12392</v>
      </c>
    </row>
    <row r="27252" spans="2:8" ht="15" customHeight="1" x14ac:dyDescent="0.4">
      <c r="B27252" t="s">
        <v>7</v>
      </c>
      <c r="C27252" t="s">
        <v>4362</v>
      </c>
      <c r="D27252" s="7">
        <f>DATE(2014,6,26)</f>
        <v>41816</v>
      </c>
      <c r="E27252" s="8">
        <f t="shared" si="461"/>
        <v>2014</v>
      </c>
      <c r="F27252" t="s">
        <v>4370</v>
      </c>
      <c r="G27252" s="9">
        <v>4427.5</v>
      </c>
      <c r="H27252" s="8">
        <v>13256</v>
      </c>
    </row>
    <row r="27253" spans="2:8" ht="15" customHeight="1" x14ac:dyDescent="0.4">
      <c r="B27253" t="s">
        <v>7</v>
      </c>
      <c r="C27253" t="s">
        <v>4362</v>
      </c>
      <c r="D27253" s="7">
        <f>DATE(2014,9,22)</f>
        <v>41904</v>
      </c>
      <c r="E27253" s="8">
        <f t="shared" si="461"/>
        <v>2014</v>
      </c>
      <c r="F27253" t="s">
        <v>4370</v>
      </c>
      <c r="G27253" s="9">
        <v>21560</v>
      </c>
      <c r="H27253" s="8">
        <v>13438</v>
      </c>
    </row>
    <row r="27254" spans="2:8" ht="15" customHeight="1" x14ac:dyDescent="0.4">
      <c r="B27254" t="s">
        <v>16</v>
      </c>
      <c r="C27254" t="s">
        <v>4362</v>
      </c>
      <c r="D27254" s="7">
        <f>DATE(2014,9,22)</f>
        <v>41904</v>
      </c>
      <c r="E27254" s="8">
        <f t="shared" si="461"/>
        <v>2014</v>
      </c>
      <c r="F27254" t="s">
        <v>4370</v>
      </c>
      <c r="G27254" s="9">
        <v>21560</v>
      </c>
      <c r="H27254" s="8">
        <v>13504</v>
      </c>
    </row>
    <row r="27255" spans="2:8" ht="15" customHeight="1" x14ac:dyDescent="0.4">
      <c r="B27255" s="3" t="s">
        <v>7</v>
      </c>
      <c r="C27255" s="3" t="s">
        <v>4362</v>
      </c>
      <c r="D27255" s="4">
        <f>DATE(2012,6,15)</f>
        <v>41075</v>
      </c>
      <c r="E27255" s="5">
        <f t="shared" si="461"/>
        <v>2012</v>
      </c>
      <c r="F27255" s="3" t="s">
        <v>4370</v>
      </c>
      <c r="G27255" s="6">
        <v>16681.240000000002</v>
      </c>
      <c r="H27255" s="5">
        <v>5127</v>
      </c>
    </row>
    <row r="27256" spans="2:8" ht="15" customHeight="1" x14ac:dyDescent="0.4">
      <c r="B27256" s="3" t="s">
        <v>7</v>
      </c>
      <c r="C27256" s="3" t="s">
        <v>4362</v>
      </c>
      <c r="D27256" s="4">
        <f>DATE(2012,6,19)</f>
        <v>41079</v>
      </c>
      <c r="E27256" s="5">
        <f t="shared" si="461"/>
        <v>2012</v>
      </c>
      <c r="F27256" s="3" t="s">
        <v>4370</v>
      </c>
      <c r="G27256" s="6">
        <v>3082.5</v>
      </c>
      <c r="H27256" s="5">
        <v>5128</v>
      </c>
    </row>
    <row r="27257" spans="2:8" ht="15" customHeight="1" x14ac:dyDescent="0.4">
      <c r="B27257" s="3" t="s">
        <v>7</v>
      </c>
      <c r="C27257" s="3" t="s">
        <v>4362</v>
      </c>
      <c r="D27257" s="4">
        <f>DATE(2012,6,21)</f>
        <v>41081</v>
      </c>
      <c r="E27257" s="5">
        <f t="shared" si="461"/>
        <v>2012</v>
      </c>
      <c r="F27257" s="3" t="s">
        <v>4370</v>
      </c>
      <c r="G27257" s="6">
        <v>1227.4000000000001</v>
      </c>
      <c r="H27257" s="5">
        <v>5129</v>
      </c>
    </row>
    <row r="27258" spans="2:8" ht="15" customHeight="1" x14ac:dyDescent="0.4">
      <c r="B27258" s="3" t="s">
        <v>7</v>
      </c>
      <c r="C27258" s="3" t="s">
        <v>4362</v>
      </c>
      <c r="D27258" s="4">
        <f>DATE(2012,7,5)</f>
        <v>41095</v>
      </c>
      <c r="E27258" s="5">
        <f t="shared" si="461"/>
        <v>2012</v>
      </c>
      <c r="F27258" s="3" t="s">
        <v>4370</v>
      </c>
      <c r="G27258" s="6">
        <v>542.4</v>
      </c>
      <c r="H27258" s="5">
        <v>5152</v>
      </c>
    </row>
    <row r="27259" spans="2:8" ht="15" customHeight="1" x14ac:dyDescent="0.4">
      <c r="B27259" s="3" t="s">
        <v>7</v>
      </c>
      <c r="C27259" s="3" t="s">
        <v>4362</v>
      </c>
      <c r="D27259" s="4">
        <f>DATE(2012,7,9)</f>
        <v>41099</v>
      </c>
      <c r="E27259" s="5">
        <f t="shared" si="461"/>
        <v>2012</v>
      </c>
      <c r="F27259" s="3" t="s">
        <v>4370</v>
      </c>
      <c r="G27259" s="6">
        <v>135.6</v>
      </c>
      <c r="H27259" s="5">
        <v>5156</v>
      </c>
    </row>
    <row r="27260" spans="2:8" ht="15" customHeight="1" x14ac:dyDescent="0.4">
      <c r="B27260" s="3" t="s">
        <v>7</v>
      </c>
      <c r="C27260" s="3" t="s">
        <v>4362</v>
      </c>
      <c r="D27260" s="4">
        <f>DATE(2012,7,12)</f>
        <v>41102</v>
      </c>
      <c r="E27260" s="5">
        <f t="shared" si="461"/>
        <v>2012</v>
      </c>
      <c r="F27260" s="3" t="s">
        <v>4370</v>
      </c>
      <c r="G27260" s="6">
        <v>1912.4</v>
      </c>
      <c r="H27260" s="5">
        <v>5160</v>
      </c>
    </row>
    <row r="27261" spans="2:8" ht="15" customHeight="1" x14ac:dyDescent="0.4">
      <c r="B27261" s="3" t="s">
        <v>7</v>
      </c>
      <c r="C27261" s="3" t="s">
        <v>4362</v>
      </c>
      <c r="D27261" s="4">
        <f>DATE(2012,8,7)</f>
        <v>41128</v>
      </c>
      <c r="E27261" s="5">
        <f t="shared" si="461"/>
        <v>2012</v>
      </c>
      <c r="F27261" s="3" t="s">
        <v>4370</v>
      </c>
      <c r="G27261" s="6">
        <v>5596.03</v>
      </c>
      <c r="H27261" s="5">
        <v>5174</v>
      </c>
    </row>
    <row r="27262" spans="2:8" ht="15" customHeight="1" x14ac:dyDescent="0.4">
      <c r="B27262" s="3" t="s">
        <v>7</v>
      </c>
      <c r="C27262" s="3" t="s">
        <v>4362</v>
      </c>
      <c r="D27262" s="4">
        <f>DATE(2012,8,7)</f>
        <v>41128</v>
      </c>
      <c r="E27262" s="5">
        <f t="shared" si="461"/>
        <v>2012</v>
      </c>
      <c r="F27262" s="3" t="s">
        <v>4370</v>
      </c>
      <c r="G27262" s="6">
        <v>2857.3</v>
      </c>
      <c r="H27262" s="5">
        <v>5164</v>
      </c>
    </row>
    <row r="27263" spans="2:8" ht="15" customHeight="1" x14ac:dyDescent="0.4">
      <c r="B27263" s="3" t="s">
        <v>7</v>
      </c>
      <c r="C27263" s="3" t="s">
        <v>4362</v>
      </c>
      <c r="D27263" s="4">
        <f>DATE(2012,8,7)</f>
        <v>41128</v>
      </c>
      <c r="E27263" s="5">
        <f t="shared" si="461"/>
        <v>2012</v>
      </c>
      <c r="F27263" s="3" t="s">
        <v>4370</v>
      </c>
      <c r="G27263" s="6">
        <v>6833.74</v>
      </c>
      <c r="H27263" s="5">
        <v>5170</v>
      </c>
    </row>
    <row r="27264" spans="2:8" ht="15" customHeight="1" x14ac:dyDescent="0.4">
      <c r="B27264" s="3" t="s">
        <v>7</v>
      </c>
      <c r="C27264" s="3" t="s">
        <v>4362</v>
      </c>
      <c r="D27264" s="4">
        <f>DATE(2012,8,28)</f>
        <v>41149</v>
      </c>
      <c r="E27264" s="5">
        <f t="shared" si="461"/>
        <v>2012</v>
      </c>
      <c r="F27264" s="3" t="s">
        <v>4370</v>
      </c>
      <c r="G27264" s="6">
        <v>28871</v>
      </c>
      <c r="H27264" s="5">
        <v>5196</v>
      </c>
    </row>
    <row r="27265" spans="2:8" ht="15" customHeight="1" x14ac:dyDescent="0.4">
      <c r="B27265" s="3" t="s">
        <v>7</v>
      </c>
      <c r="C27265" s="3" t="s">
        <v>4362</v>
      </c>
      <c r="D27265" s="4">
        <f>DATE(2013,5,8)</f>
        <v>41402</v>
      </c>
      <c r="E27265" s="5">
        <f t="shared" si="461"/>
        <v>2013</v>
      </c>
      <c r="F27265" s="3" t="s">
        <v>4370</v>
      </c>
      <c r="G27265" s="6">
        <v>20670.63</v>
      </c>
      <c r="H27265" s="5">
        <v>5539</v>
      </c>
    </row>
    <row r="27266" spans="2:8" ht="15" customHeight="1" x14ac:dyDescent="0.4">
      <c r="B27266" s="3" t="s">
        <v>7</v>
      </c>
      <c r="C27266" s="3" t="s">
        <v>4362</v>
      </c>
      <c r="D27266" s="4">
        <f>DATE(2013,6,6)</f>
        <v>41431</v>
      </c>
      <c r="E27266" s="5">
        <f t="shared" si="461"/>
        <v>2013</v>
      </c>
      <c r="F27266" s="3" t="s">
        <v>4370</v>
      </c>
      <c r="G27266" s="6">
        <v>22402.02</v>
      </c>
      <c r="H27266" s="5">
        <v>5609</v>
      </c>
    </row>
    <row r="27267" spans="2:8" ht="15" customHeight="1" x14ac:dyDescent="0.4">
      <c r="B27267" s="3" t="s">
        <v>7</v>
      </c>
      <c r="C27267" s="3" t="s">
        <v>4362</v>
      </c>
      <c r="D27267" s="4">
        <f>DATE(2013,6,6)</f>
        <v>41431</v>
      </c>
      <c r="E27267" s="5">
        <f t="shared" ref="E27267:E27330" si="463">YEAR(D27267)</f>
        <v>2013</v>
      </c>
      <c r="F27267" s="3" t="s">
        <v>4370</v>
      </c>
      <c r="G27267" s="6">
        <v>3992.91</v>
      </c>
      <c r="H27267" s="5">
        <v>5610</v>
      </c>
    </row>
    <row r="27268" spans="2:8" ht="15" customHeight="1" x14ac:dyDescent="0.4">
      <c r="B27268" s="3" t="s">
        <v>7</v>
      </c>
      <c r="C27268" s="3" t="s">
        <v>4362</v>
      </c>
      <c r="D27268" s="4">
        <f>DATE(2013,6,6)</f>
        <v>41431</v>
      </c>
      <c r="E27268" s="5">
        <f t="shared" si="463"/>
        <v>2013</v>
      </c>
      <c r="F27268" s="3" t="s">
        <v>4370</v>
      </c>
      <c r="G27268" s="6">
        <v>15925.84</v>
      </c>
      <c r="H27268" s="5">
        <v>5611</v>
      </c>
    </row>
    <row r="27269" spans="2:8" ht="15" customHeight="1" x14ac:dyDescent="0.4">
      <c r="B27269" s="3" t="s">
        <v>7</v>
      </c>
      <c r="C27269" s="3" t="s">
        <v>4362</v>
      </c>
      <c r="D27269" s="4">
        <f>DATE(2013,9,19)</f>
        <v>41536</v>
      </c>
      <c r="E27269" s="5">
        <f t="shared" si="463"/>
        <v>2013</v>
      </c>
      <c r="F27269" s="3" t="s">
        <v>4370</v>
      </c>
      <c r="G27269" s="6">
        <v>6476.61</v>
      </c>
      <c r="H27269" s="5">
        <v>5801</v>
      </c>
    </row>
    <row r="27270" spans="2:8" ht="15" customHeight="1" x14ac:dyDescent="0.4">
      <c r="B27270" s="3" t="s">
        <v>7</v>
      </c>
      <c r="C27270" s="3" t="s">
        <v>4362</v>
      </c>
      <c r="D27270" s="4">
        <f>DATE(2013,9,27)</f>
        <v>41544</v>
      </c>
      <c r="E27270" s="5">
        <f t="shared" si="463"/>
        <v>2013</v>
      </c>
      <c r="F27270" s="3" t="s">
        <v>4370</v>
      </c>
      <c r="G27270" s="6">
        <v>54971.040000000001</v>
      </c>
      <c r="H27270" s="5">
        <v>5778</v>
      </c>
    </row>
    <row r="27271" spans="2:8" ht="15" customHeight="1" x14ac:dyDescent="0.4">
      <c r="B27271" s="3" t="s">
        <v>7</v>
      </c>
      <c r="C27271" s="3" t="s">
        <v>4362</v>
      </c>
      <c r="D27271" s="4">
        <f>DATE(2013,10,3)</f>
        <v>41550</v>
      </c>
      <c r="E27271" s="5">
        <f t="shared" si="463"/>
        <v>2013</v>
      </c>
      <c r="F27271" s="3" t="s">
        <v>4370</v>
      </c>
      <c r="G27271" s="6">
        <v>1505.6</v>
      </c>
      <c r="H27271" s="5">
        <v>5830</v>
      </c>
    </row>
    <row r="27272" spans="2:8" ht="15" customHeight="1" x14ac:dyDescent="0.4">
      <c r="B27272" s="3" t="s">
        <v>7</v>
      </c>
      <c r="C27272" s="3" t="s">
        <v>4362</v>
      </c>
      <c r="D27272" s="4">
        <f>DATE(2013,10,4)</f>
        <v>41551</v>
      </c>
      <c r="E27272" s="5">
        <f t="shared" si="463"/>
        <v>2013</v>
      </c>
      <c r="F27272" s="3" t="s">
        <v>4370</v>
      </c>
      <c r="G27272" s="6">
        <v>685</v>
      </c>
      <c r="H27272" s="5">
        <v>5832</v>
      </c>
    </row>
    <row r="27273" spans="2:8" ht="15" customHeight="1" x14ac:dyDescent="0.4">
      <c r="B27273" s="3" t="s">
        <v>7</v>
      </c>
      <c r="C27273" s="3" t="s">
        <v>4362</v>
      </c>
      <c r="D27273" s="4">
        <f>DATE(2013,10,17)</f>
        <v>41564</v>
      </c>
      <c r="E27273" s="5">
        <f t="shared" si="463"/>
        <v>2013</v>
      </c>
      <c r="F27273" s="3" t="s">
        <v>4370</v>
      </c>
      <c r="G27273" s="6">
        <v>263.25</v>
      </c>
      <c r="H27273" s="5">
        <v>5854</v>
      </c>
    </row>
    <row r="27274" spans="2:8" ht="15" customHeight="1" x14ac:dyDescent="0.4">
      <c r="B27274" s="3" t="s">
        <v>7</v>
      </c>
      <c r="C27274" s="3" t="s">
        <v>4362</v>
      </c>
      <c r="D27274" s="4">
        <f>DATE(2013,10,18)</f>
        <v>41565</v>
      </c>
      <c r="E27274" s="5">
        <f t="shared" si="463"/>
        <v>2013</v>
      </c>
      <c r="F27274" s="3" t="s">
        <v>4370</v>
      </c>
      <c r="G27274" s="6">
        <v>1370</v>
      </c>
      <c r="H27274" s="5">
        <v>5853</v>
      </c>
    </row>
    <row r="27275" spans="2:8" ht="15" customHeight="1" x14ac:dyDescent="0.4">
      <c r="B27275" s="3" t="s">
        <v>7</v>
      </c>
      <c r="C27275" s="3" t="s">
        <v>4362</v>
      </c>
      <c r="D27275" s="4">
        <f>DATE(2013,11,1)</f>
        <v>41579</v>
      </c>
      <c r="E27275" s="5">
        <f t="shared" si="463"/>
        <v>2013</v>
      </c>
      <c r="F27275" s="3" t="s">
        <v>4370</v>
      </c>
      <c r="G27275" s="6">
        <v>11149.84</v>
      </c>
      <c r="H27275" s="5">
        <v>5867</v>
      </c>
    </row>
    <row r="27276" spans="2:8" ht="15" customHeight="1" x14ac:dyDescent="0.4">
      <c r="B27276" s="3" t="s">
        <v>7</v>
      </c>
      <c r="C27276" s="3" t="s">
        <v>4362</v>
      </c>
      <c r="D27276" s="4">
        <f>DATE(2013,11,15)</f>
        <v>41593</v>
      </c>
      <c r="E27276" s="5">
        <f t="shared" si="463"/>
        <v>2013</v>
      </c>
      <c r="F27276" s="3" t="s">
        <v>4370</v>
      </c>
      <c r="G27276" s="6">
        <v>261.41000000000003</v>
      </c>
      <c r="H27276" s="5">
        <v>5920</v>
      </c>
    </row>
    <row r="27277" spans="2:8" ht="15" customHeight="1" x14ac:dyDescent="0.4">
      <c r="B27277" s="3" t="s">
        <v>7</v>
      </c>
      <c r="C27277" s="3" t="s">
        <v>4362</v>
      </c>
      <c r="D27277" s="4">
        <f>DATE(2013,11,22)</f>
        <v>41600</v>
      </c>
      <c r="E27277" s="5">
        <f t="shared" si="463"/>
        <v>2013</v>
      </c>
      <c r="F27277" s="3" t="s">
        <v>4370</v>
      </c>
      <c r="G27277" s="6">
        <v>12740.48</v>
      </c>
      <c r="H27277" s="5">
        <v>5926</v>
      </c>
    </row>
    <row r="27278" spans="2:8" ht="15" customHeight="1" x14ac:dyDescent="0.4">
      <c r="B27278" s="3" t="s">
        <v>7</v>
      </c>
      <c r="C27278" s="3" t="s">
        <v>4362</v>
      </c>
      <c r="D27278" s="4">
        <f>DATE(2013,11,22)</f>
        <v>41600</v>
      </c>
      <c r="E27278" s="5">
        <f t="shared" si="463"/>
        <v>2013</v>
      </c>
      <c r="F27278" s="3" t="s">
        <v>4370</v>
      </c>
      <c r="G27278" s="6">
        <v>14725.87</v>
      </c>
      <c r="H27278" s="5">
        <v>5930</v>
      </c>
    </row>
    <row r="27279" spans="2:8" ht="15" customHeight="1" x14ac:dyDescent="0.4">
      <c r="B27279" s="3" t="s">
        <v>7</v>
      </c>
      <c r="C27279" s="3" t="s">
        <v>4362</v>
      </c>
      <c r="D27279" s="4">
        <f>DATE(2014,8,18)</f>
        <v>41869</v>
      </c>
      <c r="E27279" s="5">
        <f t="shared" si="463"/>
        <v>2014</v>
      </c>
      <c r="F27279" s="3" t="s">
        <v>4370</v>
      </c>
      <c r="G27279" s="6">
        <v>22796.12</v>
      </c>
      <c r="H27279" s="5">
        <v>6327</v>
      </c>
    </row>
    <row r="27280" spans="2:8" ht="15" customHeight="1" x14ac:dyDescent="0.4">
      <c r="B27280" s="3" t="s">
        <v>7</v>
      </c>
      <c r="C27280" s="3" t="s">
        <v>4362</v>
      </c>
      <c r="D27280" s="4">
        <f>DATE(2014,9,8)</f>
        <v>41890</v>
      </c>
      <c r="E27280" s="5">
        <f t="shared" si="463"/>
        <v>2014</v>
      </c>
      <c r="F27280" s="3" t="s">
        <v>4370</v>
      </c>
      <c r="G27280" s="6">
        <v>24060.71</v>
      </c>
      <c r="H27280" s="5">
        <v>6398</v>
      </c>
    </row>
    <row r="27281" spans="2:8" ht="15" customHeight="1" x14ac:dyDescent="0.4">
      <c r="B27281" s="3" t="s">
        <v>7</v>
      </c>
      <c r="C27281" s="3" t="s">
        <v>4362</v>
      </c>
      <c r="D27281" s="4">
        <f>DATE(2014,9,10)</f>
        <v>41892</v>
      </c>
      <c r="E27281" s="5">
        <f t="shared" si="463"/>
        <v>2014</v>
      </c>
      <c r="F27281" s="3" t="s">
        <v>4370</v>
      </c>
      <c r="G27281" s="6">
        <v>6026</v>
      </c>
      <c r="H27281" s="5">
        <v>6397</v>
      </c>
    </row>
    <row r="27282" spans="2:8" ht="15" customHeight="1" x14ac:dyDescent="0.4">
      <c r="B27282" s="3" t="s">
        <v>7</v>
      </c>
      <c r="C27282" s="3" t="s">
        <v>4362</v>
      </c>
      <c r="D27282" s="4">
        <f>DATE(2014,9,19)</f>
        <v>41901</v>
      </c>
      <c r="E27282" s="5">
        <f t="shared" si="463"/>
        <v>2014</v>
      </c>
      <c r="F27282" s="3" t="s">
        <v>4370</v>
      </c>
      <c r="G27282" s="6">
        <v>1206</v>
      </c>
      <c r="H27282" s="5">
        <v>6425</v>
      </c>
    </row>
    <row r="27283" spans="2:8" ht="15" customHeight="1" x14ac:dyDescent="0.4">
      <c r="B27283" s="3" t="s">
        <v>7</v>
      </c>
      <c r="C27283" s="3" t="s">
        <v>4362</v>
      </c>
      <c r="D27283" s="4">
        <f>DATE(2014,9,30)</f>
        <v>41912</v>
      </c>
      <c r="E27283" s="5">
        <f t="shared" si="463"/>
        <v>2014</v>
      </c>
      <c r="F27283" s="3" t="s">
        <v>4370</v>
      </c>
      <c r="G27283" s="6">
        <v>1206</v>
      </c>
      <c r="H27283" s="5">
        <v>6434</v>
      </c>
    </row>
    <row r="27284" spans="2:8" ht="15" customHeight="1" x14ac:dyDescent="0.4">
      <c r="B27284" s="3" t="s">
        <v>7</v>
      </c>
      <c r="C27284" s="3" t="s">
        <v>4362</v>
      </c>
      <c r="D27284" s="4">
        <f>DATE(2014,10,21)</f>
        <v>41933</v>
      </c>
      <c r="E27284" s="5">
        <f t="shared" si="463"/>
        <v>2014</v>
      </c>
      <c r="F27284" s="3" t="s">
        <v>4370</v>
      </c>
      <c r="G27284" s="6">
        <v>796</v>
      </c>
      <c r="H27284" s="5">
        <v>6446</v>
      </c>
    </row>
    <row r="27285" spans="2:8" ht="15" customHeight="1" x14ac:dyDescent="0.4">
      <c r="B27285" s="3" t="s">
        <v>7</v>
      </c>
      <c r="C27285" s="3" t="s">
        <v>4362</v>
      </c>
      <c r="D27285" s="4">
        <f>DATE(2014,12,2)</f>
        <v>41975</v>
      </c>
      <c r="E27285" s="5">
        <f t="shared" si="463"/>
        <v>2014</v>
      </c>
      <c r="F27285" s="3" t="s">
        <v>4370</v>
      </c>
      <c r="G27285" s="6">
        <v>31454.59</v>
      </c>
      <c r="H27285" s="5">
        <v>6508</v>
      </c>
    </row>
    <row r="27286" spans="2:8" ht="15" customHeight="1" x14ac:dyDescent="0.4">
      <c r="B27286" s="3" t="s">
        <v>7</v>
      </c>
      <c r="C27286" s="3" t="s">
        <v>4362</v>
      </c>
      <c r="D27286" s="4">
        <f>DATE(2012,11,30)</f>
        <v>41243</v>
      </c>
      <c r="E27286" s="5">
        <f t="shared" si="463"/>
        <v>2012</v>
      </c>
      <c r="F27286" s="3" t="s">
        <v>4370</v>
      </c>
      <c r="G27286" s="6">
        <v>1950</v>
      </c>
      <c r="H27286" s="5">
        <v>5332</v>
      </c>
    </row>
    <row r="27287" spans="2:8" ht="15" customHeight="1" x14ac:dyDescent="0.4">
      <c r="B27287" s="3" t="s">
        <v>7</v>
      </c>
      <c r="C27287" s="3" t="s">
        <v>4362</v>
      </c>
      <c r="D27287" s="4">
        <f>DATE(2013,1,8)</f>
        <v>41282</v>
      </c>
      <c r="E27287" s="5">
        <f t="shared" si="463"/>
        <v>2013</v>
      </c>
      <c r="F27287" s="3" t="s">
        <v>4370</v>
      </c>
      <c r="G27287" s="6">
        <v>35000</v>
      </c>
      <c r="H27287" s="5">
        <v>5308</v>
      </c>
    </row>
    <row r="27288" spans="2:8" ht="15" customHeight="1" x14ac:dyDescent="0.4">
      <c r="B27288" s="3" t="s">
        <v>7</v>
      </c>
      <c r="C27288" s="3" t="s">
        <v>4362</v>
      </c>
      <c r="D27288" s="4">
        <f>DATE(2012,5,15)</f>
        <v>41044</v>
      </c>
      <c r="E27288" s="5">
        <f t="shared" si="463"/>
        <v>2012</v>
      </c>
      <c r="F27288" s="3" t="s">
        <v>4370</v>
      </c>
      <c r="G27288" s="6">
        <v>949.84</v>
      </c>
      <c r="H27288" s="5">
        <v>17144</v>
      </c>
    </row>
    <row r="27289" spans="2:8" ht="15" customHeight="1" x14ac:dyDescent="0.4">
      <c r="B27289" s="3" t="s">
        <v>7</v>
      </c>
      <c r="C27289" s="3" t="s">
        <v>4362</v>
      </c>
      <c r="D27289" s="4">
        <f>DATE(2012,6,12)</f>
        <v>41072</v>
      </c>
      <c r="E27289" s="5">
        <f t="shared" si="463"/>
        <v>2012</v>
      </c>
      <c r="F27289" s="3" t="s">
        <v>4370</v>
      </c>
      <c r="G27289" s="6">
        <v>704</v>
      </c>
      <c r="H27289" s="5">
        <v>17252</v>
      </c>
    </row>
    <row r="27290" spans="2:8" ht="15" customHeight="1" x14ac:dyDescent="0.4">
      <c r="B27290" s="3" t="s">
        <v>7</v>
      </c>
      <c r="C27290" s="3" t="s">
        <v>4362</v>
      </c>
      <c r="D27290" s="4">
        <f>DATE(2012,6,12)</f>
        <v>41072</v>
      </c>
      <c r="E27290" s="5">
        <f t="shared" si="463"/>
        <v>2012</v>
      </c>
      <c r="F27290" s="3" t="s">
        <v>4370</v>
      </c>
      <c r="G27290" s="6">
        <v>2112</v>
      </c>
      <c r="H27290" s="5">
        <v>17253</v>
      </c>
    </row>
    <row r="27291" spans="2:8" ht="15" customHeight="1" x14ac:dyDescent="0.4">
      <c r="B27291" s="3" t="s">
        <v>7</v>
      </c>
      <c r="C27291" s="3" t="s">
        <v>4362</v>
      </c>
      <c r="D27291" s="4">
        <f>DATE(2012,6,19)</f>
        <v>41079</v>
      </c>
      <c r="E27291" s="5">
        <f t="shared" si="463"/>
        <v>2012</v>
      </c>
      <c r="F27291" s="3" t="s">
        <v>4370</v>
      </c>
      <c r="G27291" s="6">
        <v>2472</v>
      </c>
      <c r="H27291" s="5">
        <v>17274</v>
      </c>
    </row>
    <row r="27292" spans="2:8" ht="15" customHeight="1" x14ac:dyDescent="0.4">
      <c r="B27292" s="3" t="s">
        <v>7</v>
      </c>
      <c r="C27292" s="3" t="s">
        <v>4362</v>
      </c>
      <c r="D27292" s="4">
        <f>DATE(2012,6,22)</f>
        <v>41082</v>
      </c>
      <c r="E27292" s="5">
        <f t="shared" si="463"/>
        <v>2012</v>
      </c>
      <c r="F27292" s="3" t="s">
        <v>4370</v>
      </c>
      <c r="G27292" s="6">
        <v>10795.4</v>
      </c>
      <c r="H27292" s="5">
        <v>17243</v>
      </c>
    </row>
    <row r="27293" spans="2:8" ht="15" customHeight="1" x14ac:dyDescent="0.4">
      <c r="B27293" s="3" t="s">
        <v>7</v>
      </c>
      <c r="C27293" s="3" t="s">
        <v>4362</v>
      </c>
      <c r="D27293" s="4">
        <f>DATE(2012,7,3)</f>
        <v>41093</v>
      </c>
      <c r="E27293" s="5">
        <f t="shared" si="463"/>
        <v>2012</v>
      </c>
      <c r="F27293" s="3" t="s">
        <v>4370</v>
      </c>
      <c r="G27293" s="6">
        <v>5280</v>
      </c>
      <c r="H27293" s="5">
        <v>17314</v>
      </c>
    </row>
    <row r="27294" spans="2:8" ht="15" customHeight="1" x14ac:dyDescent="0.4">
      <c r="B27294" s="3" t="s">
        <v>7</v>
      </c>
      <c r="C27294" s="3" t="s">
        <v>4362</v>
      </c>
      <c r="D27294" s="4">
        <f>DATE(2012,7,5)</f>
        <v>41095</v>
      </c>
      <c r="E27294" s="5">
        <f t="shared" si="463"/>
        <v>2012</v>
      </c>
      <c r="F27294" s="3" t="s">
        <v>4370</v>
      </c>
      <c r="G27294" s="6">
        <v>16283.52</v>
      </c>
      <c r="H27294" s="5">
        <v>17336</v>
      </c>
    </row>
    <row r="27295" spans="2:8" ht="15" customHeight="1" x14ac:dyDescent="0.4">
      <c r="B27295" s="3" t="s">
        <v>7</v>
      </c>
      <c r="C27295" s="3" t="s">
        <v>4362</v>
      </c>
      <c r="D27295" s="4">
        <f>DATE(2012,8,28)</f>
        <v>41149</v>
      </c>
      <c r="E27295" s="5">
        <f t="shared" si="463"/>
        <v>2012</v>
      </c>
      <c r="F27295" s="3" t="s">
        <v>4370</v>
      </c>
      <c r="G27295" s="6">
        <v>10152.6</v>
      </c>
      <c r="H27295" s="5">
        <v>17535</v>
      </c>
    </row>
    <row r="27296" spans="2:8" ht="15" customHeight="1" x14ac:dyDescent="0.4">
      <c r="B27296" s="3" t="s">
        <v>7</v>
      </c>
      <c r="C27296" s="3" t="s">
        <v>4362</v>
      </c>
      <c r="D27296" s="4">
        <f>DATE(2012,9,7)</f>
        <v>41159</v>
      </c>
      <c r="E27296" s="5">
        <f t="shared" si="463"/>
        <v>2012</v>
      </c>
      <c r="F27296" s="3" t="s">
        <v>4370</v>
      </c>
      <c r="G27296" s="6">
        <v>8800</v>
      </c>
      <c r="H27296" s="5">
        <v>17564</v>
      </c>
    </row>
    <row r="27297" spans="2:8" ht="15" customHeight="1" x14ac:dyDescent="0.4">
      <c r="B27297" s="3" t="s">
        <v>7</v>
      </c>
      <c r="C27297" s="3" t="s">
        <v>4362</v>
      </c>
      <c r="D27297" s="4">
        <f>DATE(2012,10,11)</f>
        <v>41193</v>
      </c>
      <c r="E27297" s="5">
        <f t="shared" si="463"/>
        <v>2012</v>
      </c>
      <c r="F27297" s="3" t="s">
        <v>4370</v>
      </c>
      <c r="G27297" s="6">
        <v>16283.52</v>
      </c>
      <c r="H27297" s="5">
        <v>17717</v>
      </c>
    </row>
    <row r="27298" spans="2:8" ht="15" customHeight="1" x14ac:dyDescent="0.4">
      <c r="B27298" s="3" t="s">
        <v>7</v>
      </c>
      <c r="C27298" s="3" t="s">
        <v>4362</v>
      </c>
      <c r="D27298" s="4">
        <f>DATE(2013,2,22)</f>
        <v>41327</v>
      </c>
      <c r="E27298" s="5">
        <f t="shared" si="463"/>
        <v>2013</v>
      </c>
      <c r="F27298" s="3" t="s">
        <v>4370</v>
      </c>
      <c r="G27298" s="6">
        <v>9526.66</v>
      </c>
      <c r="H27298" s="5">
        <v>18096</v>
      </c>
    </row>
    <row r="27299" spans="2:8" ht="15" customHeight="1" x14ac:dyDescent="0.4">
      <c r="B27299" s="3" t="s">
        <v>7</v>
      </c>
      <c r="C27299" s="3" t="s">
        <v>4362</v>
      </c>
      <c r="D27299" s="4">
        <f>DATE(2013,3,8)</f>
        <v>41341</v>
      </c>
      <c r="E27299" s="5">
        <f t="shared" si="463"/>
        <v>2013</v>
      </c>
      <c r="F27299" s="3" t="s">
        <v>4370</v>
      </c>
      <c r="G27299" s="6">
        <v>3567.85</v>
      </c>
      <c r="H27299" s="5">
        <v>18074</v>
      </c>
    </row>
    <row r="27300" spans="2:8" ht="15" customHeight="1" x14ac:dyDescent="0.4">
      <c r="B27300" s="3" t="s">
        <v>7</v>
      </c>
      <c r="C27300" s="3" t="s">
        <v>4362</v>
      </c>
      <c r="D27300" s="4">
        <f>DATE(2013,3,27)</f>
        <v>41360</v>
      </c>
      <c r="E27300" s="5">
        <f t="shared" si="463"/>
        <v>2013</v>
      </c>
      <c r="F27300" s="3" t="s">
        <v>4370</v>
      </c>
      <c r="G27300" s="6">
        <v>21213</v>
      </c>
      <c r="H27300" s="5">
        <v>18360</v>
      </c>
    </row>
    <row r="27301" spans="2:8" ht="15" customHeight="1" x14ac:dyDescent="0.4">
      <c r="B27301" s="3" t="s">
        <v>7</v>
      </c>
      <c r="C27301" s="3" t="s">
        <v>4362</v>
      </c>
      <c r="D27301" s="4">
        <f>DATE(2013,3,27)</f>
        <v>41360</v>
      </c>
      <c r="E27301" s="5">
        <f t="shared" si="463"/>
        <v>2013</v>
      </c>
      <c r="F27301" s="3" t="s">
        <v>4370</v>
      </c>
      <c r="G27301" s="6">
        <v>1120</v>
      </c>
      <c r="H27301" s="5">
        <v>18365</v>
      </c>
    </row>
    <row r="27302" spans="2:8" ht="15" customHeight="1" x14ac:dyDescent="0.4">
      <c r="B27302" s="3" t="s">
        <v>7</v>
      </c>
      <c r="C27302" s="3" t="s">
        <v>4362</v>
      </c>
      <c r="D27302" s="4">
        <f>DATE(2013,4,18)</f>
        <v>41382</v>
      </c>
      <c r="E27302" s="5">
        <f t="shared" si="463"/>
        <v>2013</v>
      </c>
      <c r="F27302" s="3" t="s">
        <v>4370</v>
      </c>
      <c r="G27302" s="6">
        <v>28558.080000000002</v>
      </c>
      <c r="H27302" s="5">
        <v>18446</v>
      </c>
    </row>
    <row r="27303" spans="2:8" ht="15" customHeight="1" x14ac:dyDescent="0.4">
      <c r="B27303" s="3" t="s">
        <v>7</v>
      </c>
      <c r="C27303" s="3" t="s">
        <v>4362</v>
      </c>
      <c r="D27303" s="4">
        <f>DATE(2013,6,6)</f>
        <v>41431</v>
      </c>
      <c r="E27303" s="5">
        <f t="shared" si="463"/>
        <v>2013</v>
      </c>
      <c r="F27303" s="3" t="s">
        <v>4370</v>
      </c>
      <c r="G27303" s="6">
        <v>1181.47</v>
      </c>
      <c r="H27303" s="5">
        <v>18660</v>
      </c>
    </row>
    <row r="27304" spans="2:8" ht="15" customHeight="1" x14ac:dyDescent="0.4">
      <c r="B27304" s="3" t="s">
        <v>7</v>
      </c>
      <c r="C27304" s="3" t="s">
        <v>4362</v>
      </c>
      <c r="D27304" s="4">
        <f>DATE(2013,6,17)</f>
        <v>41442</v>
      </c>
      <c r="E27304" s="5">
        <f t="shared" si="463"/>
        <v>2013</v>
      </c>
      <c r="F27304" s="3" t="s">
        <v>4370</v>
      </c>
      <c r="G27304" s="6">
        <v>22680</v>
      </c>
      <c r="H27304" s="5">
        <v>18697</v>
      </c>
    </row>
    <row r="27305" spans="2:8" ht="15" customHeight="1" x14ac:dyDescent="0.4">
      <c r="B27305" s="3" t="s">
        <v>7</v>
      </c>
      <c r="C27305" s="3" t="s">
        <v>4362</v>
      </c>
      <c r="D27305" s="4">
        <f>DATE(2013,6,20)</f>
        <v>41445</v>
      </c>
      <c r="E27305" s="5">
        <f t="shared" si="463"/>
        <v>2013</v>
      </c>
      <c r="F27305" s="3" t="s">
        <v>4370</v>
      </c>
      <c r="G27305" s="6">
        <v>20920</v>
      </c>
      <c r="H27305" s="5">
        <v>18692</v>
      </c>
    </row>
    <row r="27306" spans="2:8" ht="15" customHeight="1" x14ac:dyDescent="0.4">
      <c r="B27306" s="3" t="s">
        <v>7</v>
      </c>
      <c r="C27306" s="3" t="s">
        <v>4362</v>
      </c>
      <c r="D27306" s="4">
        <f>DATE(2013,6,25)</f>
        <v>41450</v>
      </c>
      <c r="E27306" s="5">
        <f t="shared" si="463"/>
        <v>2013</v>
      </c>
      <c r="F27306" s="3" t="s">
        <v>4370</v>
      </c>
      <c r="G27306" s="6">
        <v>2010</v>
      </c>
      <c r="H27306" s="5">
        <v>18682</v>
      </c>
    </row>
    <row r="27307" spans="2:8" ht="15" customHeight="1" x14ac:dyDescent="0.4">
      <c r="B27307" s="3" t="s">
        <v>7</v>
      </c>
      <c r="C27307" s="3" t="s">
        <v>4362</v>
      </c>
      <c r="D27307" s="4">
        <f>DATE(2013,7,1)</f>
        <v>41456</v>
      </c>
      <c r="E27307" s="5">
        <f t="shared" si="463"/>
        <v>2013</v>
      </c>
      <c r="F27307" s="3" t="s">
        <v>4370</v>
      </c>
      <c r="G27307" s="6">
        <v>3990</v>
      </c>
      <c r="H27307" s="5">
        <v>18727</v>
      </c>
    </row>
    <row r="27308" spans="2:8" ht="15" customHeight="1" x14ac:dyDescent="0.4">
      <c r="B27308" s="3" t="s">
        <v>7</v>
      </c>
      <c r="C27308" s="3" t="s">
        <v>4362</v>
      </c>
      <c r="D27308" s="4">
        <f>DATE(2013,7,15)</f>
        <v>41470</v>
      </c>
      <c r="E27308" s="5">
        <f t="shared" si="463"/>
        <v>2013</v>
      </c>
      <c r="F27308" s="3" t="s">
        <v>4370</v>
      </c>
      <c r="G27308" s="6">
        <v>10640</v>
      </c>
      <c r="H27308" s="5">
        <v>18768</v>
      </c>
    </row>
    <row r="27309" spans="2:8" ht="15" customHeight="1" x14ac:dyDescent="0.4">
      <c r="B27309" s="3" t="s">
        <v>7</v>
      </c>
      <c r="C27309" s="3" t="s">
        <v>4362</v>
      </c>
      <c r="D27309" s="4">
        <f>DATE(2013,7,16)</f>
        <v>41471</v>
      </c>
      <c r="E27309" s="5">
        <f t="shared" si="463"/>
        <v>2013</v>
      </c>
      <c r="F27309" s="3" t="s">
        <v>4370</v>
      </c>
      <c r="G27309" s="6">
        <v>1829.2</v>
      </c>
      <c r="H27309" s="5">
        <v>18775</v>
      </c>
    </row>
    <row r="27310" spans="2:8" ht="15" customHeight="1" x14ac:dyDescent="0.4">
      <c r="B27310" s="3" t="s">
        <v>7</v>
      </c>
      <c r="C27310" s="3" t="s">
        <v>4362</v>
      </c>
      <c r="D27310" s="4">
        <f>DATE(2013,7,18)</f>
        <v>41473</v>
      </c>
      <c r="E27310" s="5">
        <f t="shared" si="463"/>
        <v>2013</v>
      </c>
      <c r="F27310" s="3" t="s">
        <v>4370</v>
      </c>
      <c r="G27310" s="6">
        <v>195.5</v>
      </c>
      <c r="H27310" s="5">
        <v>18788</v>
      </c>
    </row>
    <row r="27311" spans="2:8" ht="15" customHeight="1" x14ac:dyDescent="0.4">
      <c r="B27311" s="3" t="s">
        <v>7</v>
      </c>
      <c r="C27311" s="3" t="s">
        <v>4362</v>
      </c>
      <c r="D27311" s="4">
        <f>DATE(2013,7,30)</f>
        <v>41485</v>
      </c>
      <c r="E27311" s="5">
        <f t="shared" si="463"/>
        <v>2013</v>
      </c>
      <c r="F27311" s="3" t="s">
        <v>4370</v>
      </c>
      <c r="G27311" s="6">
        <v>22411.25</v>
      </c>
      <c r="H27311" s="5">
        <v>18810</v>
      </c>
    </row>
    <row r="27312" spans="2:8" ht="15" customHeight="1" x14ac:dyDescent="0.4">
      <c r="B27312" s="3" t="s">
        <v>7</v>
      </c>
      <c r="C27312" s="3" t="s">
        <v>4362</v>
      </c>
      <c r="D27312" s="4">
        <f>DATE(2013,8,15)</f>
        <v>41501</v>
      </c>
      <c r="E27312" s="5">
        <f t="shared" si="463"/>
        <v>2013</v>
      </c>
      <c r="F27312" s="3" t="s">
        <v>4370</v>
      </c>
      <c r="G27312" s="6">
        <v>616.70000000000005</v>
      </c>
      <c r="H27312" s="5">
        <v>18885</v>
      </c>
    </row>
    <row r="27313" spans="2:8" ht="15" customHeight="1" x14ac:dyDescent="0.4">
      <c r="B27313" s="3" t="s">
        <v>7</v>
      </c>
      <c r="C27313" s="3" t="s">
        <v>4362</v>
      </c>
      <c r="D27313" s="4">
        <f>DATE(2013,8,27)</f>
        <v>41513</v>
      </c>
      <c r="E27313" s="5">
        <f t="shared" si="463"/>
        <v>2013</v>
      </c>
      <c r="F27313" s="3" t="s">
        <v>4370</v>
      </c>
      <c r="G27313" s="6">
        <v>41994</v>
      </c>
      <c r="H27313" s="5">
        <v>18884</v>
      </c>
    </row>
    <row r="27314" spans="2:8" ht="15" customHeight="1" x14ac:dyDescent="0.4">
      <c r="B27314" s="3" t="s">
        <v>7</v>
      </c>
      <c r="C27314" s="3" t="s">
        <v>4362</v>
      </c>
      <c r="D27314" s="4">
        <f>DATE(2013,9,4)</f>
        <v>41521</v>
      </c>
      <c r="E27314" s="5">
        <f t="shared" si="463"/>
        <v>2013</v>
      </c>
      <c r="F27314" s="3" t="s">
        <v>4370</v>
      </c>
      <c r="G27314" s="6">
        <v>1498.63</v>
      </c>
      <c r="H27314" s="5">
        <v>18948</v>
      </c>
    </row>
    <row r="27315" spans="2:8" ht="15" customHeight="1" x14ac:dyDescent="0.4">
      <c r="B27315" s="3" t="s">
        <v>7</v>
      </c>
      <c r="C27315" s="3" t="s">
        <v>4362</v>
      </c>
      <c r="D27315" s="4">
        <f>DATE(2013,9,12)</f>
        <v>41529</v>
      </c>
      <c r="E27315" s="5">
        <f t="shared" si="463"/>
        <v>2013</v>
      </c>
      <c r="F27315" s="3" t="s">
        <v>4370</v>
      </c>
      <c r="G27315" s="6">
        <v>704</v>
      </c>
      <c r="H27315" s="5">
        <v>18945</v>
      </c>
    </row>
    <row r="27316" spans="2:8" ht="15" customHeight="1" x14ac:dyDescent="0.4">
      <c r="B27316" s="3" t="s">
        <v>7</v>
      </c>
      <c r="C27316" s="3" t="s">
        <v>4362</v>
      </c>
      <c r="D27316" s="4">
        <f>DATE(2013,10,3)</f>
        <v>41550</v>
      </c>
      <c r="E27316" s="5">
        <f t="shared" si="463"/>
        <v>2013</v>
      </c>
      <c r="F27316" s="3" t="s">
        <v>4370</v>
      </c>
      <c r="G27316" s="6">
        <v>3520</v>
      </c>
      <c r="H27316" s="5">
        <v>19043</v>
      </c>
    </row>
    <row r="27317" spans="2:8" ht="15" customHeight="1" x14ac:dyDescent="0.4">
      <c r="B27317" s="3" t="s">
        <v>7</v>
      </c>
      <c r="C27317" s="3" t="s">
        <v>4362</v>
      </c>
      <c r="D27317" s="4">
        <f>DATE(2013,10,4)</f>
        <v>41551</v>
      </c>
      <c r="E27317" s="5">
        <f t="shared" si="463"/>
        <v>2013</v>
      </c>
      <c r="F27317" s="3" t="s">
        <v>4370</v>
      </c>
      <c r="G27317" s="6">
        <v>704</v>
      </c>
      <c r="H27317" s="5">
        <v>19047</v>
      </c>
    </row>
    <row r="27318" spans="2:8" ht="15" customHeight="1" x14ac:dyDescent="0.4">
      <c r="B27318" s="3" t="s">
        <v>7</v>
      </c>
      <c r="C27318" s="3" t="s">
        <v>4362</v>
      </c>
      <c r="D27318" s="4">
        <f>DATE(2013,10,11)</f>
        <v>41558</v>
      </c>
      <c r="E27318" s="5">
        <f t="shared" si="463"/>
        <v>2013</v>
      </c>
      <c r="F27318" s="3" t="s">
        <v>4370</v>
      </c>
      <c r="G27318" s="6">
        <v>682.9</v>
      </c>
      <c r="H27318" s="5">
        <v>19077</v>
      </c>
    </row>
    <row r="27319" spans="2:8" ht="15" customHeight="1" x14ac:dyDescent="0.4">
      <c r="B27319" s="3" t="s">
        <v>7</v>
      </c>
      <c r="C27319" s="3" t="s">
        <v>4362</v>
      </c>
      <c r="D27319" s="4">
        <f>DATE(2013,10,17)</f>
        <v>41564</v>
      </c>
      <c r="E27319" s="5">
        <f t="shared" si="463"/>
        <v>2013</v>
      </c>
      <c r="F27319" s="3" t="s">
        <v>4370</v>
      </c>
      <c r="G27319" s="6">
        <v>1440.5</v>
      </c>
      <c r="H27319" s="5">
        <v>19103</v>
      </c>
    </row>
    <row r="27320" spans="2:8" ht="15" customHeight="1" x14ac:dyDescent="0.4">
      <c r="B27320" s="3" t="s">
        <v>7</v>
      </c>
      <c r="C27320" s="3" t="s">
        <v>4362</v>
      </c>
      <c r="D27320" s="4">
        <f>DATE(2013,11,11)</f>
        <v>41589</v>
      </c>
      <c r="E27320" s="5">
        <f t="shared" si="463"/>
        <v>2013</v>
      </c>
      <c r="F27320" s="3" t="s">
        <v>4370</v>
      </c>
      <c r="G27320" s="6">
        <v>528</v>
      </c>
      <c r="H27320" s="5">
        <v>19213</v>
      </c>
    </row>
    <row r="27321" spans="2:8" ht="15" customHeight="1" x14ac:dyDescent="0.4">
      <c r="B27321" s="3" t="s">
        <v>7</v>
      </c>
      <c r="C27321" s="3" t="s">
        <v>4362</v>
      </c>
      <c r="D27321" s="4">
        <f>DATE(2013,11,18)</f>
        <v>41596</v>
      </c>
      <c r="E27321" s="5">
        <f t="shared" si="463"/>
        <v>2013</v>
      </c>
      <c r="F27321" s="3" t="s">
        <v>4370</v>
      </c>
      <c r="G27321" s="6">
        <v>3920</v>
      </c>
      <c r="H27321" s="5">
        <v>19232</v>
      </c>
    </row>
    <row r="27322" spans="2:8" ht="15" customHeight="1" x14ac:dyDescent="0.4">
      <c r="B27322" s="3" t="s">
        <v>7</v>
      </c>
      <c r="C27322" s="3" t="s">
        <v>4362</v>
      </c>
      <c r="D27322" s="4">
        <f>DATE(2013,11,22)</f>
        <v>41600</v>
      </c>
      <c r="E27322" s="5">
        <f t="shared" si="463"/>
        <v>2013</v>
      </c>
      <c r="F27322" s="3" t="s">
        <v>4370</v>
      </c>
      <c r="G27322" s="6">
        <v>736.54</v>
      </c>
      <c r="H27322" s="5">
        <v>19261</v>
      </c>
    </row>
    <row r="27323" spans="2:8" ht="15" customHeight="1" x14ac:dyDescent="0.4">
      <c r="B27323" s="3" t="s">
        <v>7</v>
      </c>
      <c r="C27323" s="3" t="s">
        <v>4362</v>
      </c>
      <c r="D27323" s="4">
        <f>DATE(2013,11,22)</f>
        <v>41600</v>
      </c>
      <c r="E27323" s="5">
        <f t="shared" si="463"/>
        <v>2013</v>
      </c>
      <c r="F27323" s="3" t="s">
        <v>4370</v>
      </c>
      <c r="G27323" s="6">
        <v>412.75</v>
      </c>
      <c r="H27323" s="5">
        <v>19270</v>
      </c>
    </row>
    <row r="27324" spans="2:8" ht="15" customHeight="1" x14ac:dyDescent="0.4">
      <c r="B27324" s="3" t="s">
        <v>7</v>
      </c>
      <c r="C27324" s="3" t="s">
        <v>4362</v>
      </c>
      <c r="D27324" s="4">
        <f>DATE(2014,2,3)</f>
        <v>41673</v>
      </c>
      <c r="E27324" s="5">
        <f t="shared" si="463"/>
        <v>2014</v>
      </c>
      <c r="F27324" s="3" t="s">
        <v>4370</v>
      </c>
      <c r="G27324" s="6">
        <v>1695.48</v>
      </c>
      <c r="H27324" s="5">
        <v>19467</v>
      </c>
    </row>
    <row r="27325" spans="2:8" ht="15" customHeight="1" x14ac:dyDescent="0.4">
      <c r="B27325" s="3" t="s">
        <v>7</v>
      </c>
      <c r="C27325" s="3" t="s">
        <v>4362</v>
      </c>
      <c r="D27325" s="4">
        <f>DATE(2014,2,25)</f>
        <v>41695</v>
      </c>
      <c r="E27325" s="5">
        <f t="shared" si="463"/>
        <v>2014</v>
      </c>
      <c r="F27325" s="3" t="s">
        <v>4370</v>
      </c>
      <c r="G27325" s="6">
        <v>2800</v>
      </c>
      <c r="H27325" s="5">
        <v>19595</v>
      </c>
    </row>
    <row r="27326" spans="2:8" ht="15" customHeight="1" x14ac:dyDescent="0.4">
      <c r="B27326" s="3" t="s">
        <v>7</v>
      </c>
      <c r="C27326" s="3" t="s">
        <v>4362</v>
      </c>
      <c r="D27326" s="4">
        <f>DATE(2014,3,7)</f>
        <v>41705</v>
      </c>
      <c r="E27326" s="5">
        <f t="shared" si="463"/>
        <v>2014</v>
      </c>
      <c r="F27326" s="3" t="s">
        <v>4370</v>
      </c>
      <c r="G27326" s="6">
        <v>10560</v>
      </c>
      <c r="H27326" s="5">
        <v>19642</v>
      </c>
    </row>
    <row r="27327" spans="2:8" ht="15" customHeight="1" x14ac:dyDescent="0.4">
      <c r="B27327" s="3" t="s">
        <v>7</v>
      </c>
      <c r="C27327" s="3" t="s">
        <v>4362</v>
      </c>
      <c r="D27327" s="4">
        <f>DATE(2014,3,11)</f>
        <v>41709</v>
      </c>
      <c r="E27327" s="5">
        <f t="shared" si="463"/>
        <v>2014</v>
      </c>
      <c r="F27327" s="3" t="s">
        <v>4370</v>
      </c>
      <c r="G27327" s="6">
        <v>11727.2</v>
      </c>
      <c r="H27327" s="5">
        <v>19645</v>
      </c>
    </row>
    <row r="27328" spans="2:8" ht="15" customHeight="1" x14ac:dyDescent="0.4">
      <c r="B27328" s="3" t="s">
        <v>7</v>
      </c>
      <c r="C27328" s="3" t="s">
        <v>4362</v>
      </c>
      <c r="D27328" s="4">
        <f>DATE(2014,3,24)</f>
        <v>41722</v>
      </c>
      <c r="E27328" s="5">
        <f t="shared" si="463"/>
        <v>2014</v>
      </c>
      <c r="F27328" s="3" t="s">
        <v>4370</v>
      </c>
      <c r="G27328" s="6">
        <v>8800</v>
      </c>
      <c r="H27328" s="5">
        <v>19745</v>
      </c>
    </row>
    <row r="27329" spans="2:8" ht="15" customHeight="1" x14ac:dyDescent="0.4">
      <c r="B27329" s="3" t="s">
        <v>7</v>
      </c>
      <c r="C27329" s="3" t="s">
        <v>4362</v>
      </c>
      <c r="D27329" s="4">
        <f>DATE(2014,4,18)</f>
        <v>41747</v>
      </c>
      <c r="E27329" s="5">
        <f t="shared" si="463"/>
        <v>2014</v>
      </c>
      <c r="F27329" s="3" t="s">
        <v>4370</v>
      </c>
      <c r="G27329" s="6">
        <v>4854.08</v>
      </c>
      <c r="H27329" s="5">
        <v>19862</v>
      </c>
    </row>
    <row r="27330" spans="2:8" ht="15" customHeight="1" x14ac:dyDescent="0.4">
      <c r="B27330" s="3" t="s">
        <v>7</v>
      </c>
      <c r="C27330" s="3" t="s">
        <v>4362</v>
      </c>
      <c r="D27330" s="4">
        <f>DATE(2014,4,24)</f>
        <v>41753</v>
      </c>
      <c r="E27330" s="5">
        <f t="shared" si="463"/>
        <v>2014</v>
      </c>
      <c r="F27330" s="3" t="s">
        <v>4370</v>
      </c>
      <c r="G27330" s="6">
        <v>3192</v>
      </c>
      <c r="H27330" s="5">
        <v>19883</v>
      </c>
    </row>
    <row r="27331" spans="2:8" ht="15" customHeight="1" x14ac:dyDescent="0.4">
      <c r="B27331" s="3" t="s">
        <v>7</v>
      </c>
      <c r="C27331" s="3" t="s">
        <v>4362</v>
      </c>
      <c r="D27331" s="4">
        <f>DATE(2014,4,30)</f>
        <v>41759</v>
      </c>
      <c r="E27331" s="5">
        <f t="shared" ref="E27331:E27394" si="464">YEAR(D27331)</f>
        <v>2014</v>
      </c>
      <c r="F27331" s="3" t="s">
        <v>4370</v>
      </c>
      <c r="G27331" s="6">
        <v>1576.9</v>
      </c>
      <c r="H27331" s="5">
        <v>19920</v>
      </c>
    </row>
    <row r="27332" spans="2:8" ht="15" customHeight="1" x14ac:dyDescent="0.4">
      <c r="B27332" s="3" t="s">
        <v>7</v>
      </c>
      <c r="C27332" s="3" t="s">
        <v>4362</v>
      </c>
      <c r="D27332" s="4">
        <f>DATE(2014,5,20)</f>
        <v>41779</v>
      </c>
      <c r="E27332" s="5">
        <f t="shared" si="464"/>
        <v>2014</v>
      </c>
      <c r="F27332" s="3" t="s">
        <v>4370</v>
      </c>
      <c r="G27332" s="6">
        <v>2836.8</v>
      </c>
      <c r="H27332" s="5">
        <v>19981</v>
      </c>
    </row>
    <row r="27333" spans="2:8" ht="15" customHeight="1" x14ac:dyDescent="0.4">
      <c r="B27333" s="3" t="s">
        <v>7</v>
      </c>
      <c r="C27333" s="3" t="s">
        <v>4362</v>
      </c>
      <c r="D27333" s="4">
        <f>DATE(2014,5,23)</f>
        <v>41782</v>
      </c>
      <c r="E27333" s="5">
        <f t="shared" si="464"/>
        <v>2014</v>
      </c>
      <c r="F27333" s="3" t="s">
        <v>4370</v>
      </c>
      <c r="G27333" s="6">
        <v>579.66</v>
      </c>
      <c r="H27333" s="5">
        <v>20019</v>
      </c>
    </row>
    <row r="27334" spans="2:8" ht="15" customHeight="1" x14ac:dyDescent="0.4">
      <c r="B27334" s="3" t="s">
        <v>7</v>
      </c>
      <c r="C27334" s="3" t="s">
        <v>4362</v>
      </c>
      <c r="D27334" s="4">
        <f>DATE(2014,5,23)</f>
        <v>41782</v>
      </c>
      <c r="E27334" s="5">
        <f t="shared" si="464"/>
        <v>2014</v>
      </c>
      <c r="F27334" s="3" t="s">
        <v>4370</v>
      </c>
      <c r="G27334" s="6">
        <v>3520</v>
      </c>
      <c r="H27334" s="5">
        <v>20011</v>
      </c>
    </row>
    <row r="27335" spans="2:8" ht="15" customHeight="1" x14ac:dyDescent="0.4">
      <c r="B27335" s="3" t="s">
        <v>7</v>
      </c>
      <c r="C27335" s="3" t="s">
        <v>4362</v>
      </c>
      <c r="D27335" s="4">
        <f>DATE(2014,5,28)</f>
        <v>41787</v>
      </c>
      <c r="E27335" s="5">
        <f t="shared" si="464"/>
        <v>2014</v>
      </c>
      <c r="F27335" s="3" t="s">
        <v>4370</v>
      </c>
      <c r="G27335" s="6">
        <v>12360</v>
      </c>
      <c r="H27335" s="5">
        <v>20023</v>
      </c>
    </row>
    <row r="27336" spans="2:8" ht="15" customHeight="1" x14ac:dyDescent="0.4">
      <c r="B27336" s="3" t="s">
        <v>7</v>
      </c>
      <c r="C27336" s="3" t="s">
        <v>4362</v>
      </c>
      <c r="D27336" s="4">
        <f>DATE(2014,5,28)</f>
        <v>41787</v>
      </c>
      <c r="E27336" s="5">
        <f t="shared" si="464"/>
        <v>2014</v>
      </c>
      <c r="F27336" s="3" t="s">
        <v>4370</v>
      </c>
      <c r="G27336" s="6">
        <v>3247.88</v>
      </c>
      <c r="H27336" s="5">
        <v>20025</v>
      </c>
    </row>
    <row r="27337" spans="2:8" ht="15" customHeight="1" x14ac:dyDescent="0.4">
      <c r="B27337" s="3" t="s">
        <v>7</v>
      </c>
      <c r="C27337" s="3" t="s">
        <v>4362</v>
      </c>
      <c r="D27337" s="4">
        <f>DATE(2014,6,4)</f>
        <v>41794</v>
      </c>
      <c r="E27337" s="5">
        <f t="shared" si="464"/>
        <v>2014</v>
      </c>
      <c r="F27337" s="3" t="s">
        <v>4370</v>
      </c>
      <c r="G27337" s="6">
        <v>1760</v>
      </c>
      <c r="H27337" s="5">
        <v>20051</v>
      </c>
    </row>
    <row r="27338" spans="2:8" ht="15" customHeight="1" x14ac:dyDescent="0.4">
      <c r="B27338" s="3" t="s">
        <v>7</v>
      </c>
      <c r="C27338" s="3" t="s">
        <v>4362</v>
      </c>
      <c r="D27338" s="4">
        <f>DATE(2014,6,18)</f>
        <v>41808</v>
      </c>
      <c r="E27338" s="5">
        <f t="shared" si="464"/>
        <v>2014</v>
      </c>
      <c r="F27338" s="3" t="s">
        <v>4370</v>
      </c>
      <c r="G27338" s="6">
        <v>24720</v>
      </c>
      <c r="H27338" s="5">
        <v>20072</v>
      </c>
    </row>
    <row r="27339" spans="2:8" ht="15" customHeight="1" x14ac:dyDescent="0.4">
      <c r="B27339" s="3" t="s">
        <v>7</v>
      </c>
      <c r="C27339" s="3" t="s">
        <v>4362</v>
      </c>
      <c r="D27339" s="4">
        <f>DATE(2014,7,16)</f>
        <v>41836</v>
      </c>
      <c r="E27339" s="5">
        <f t="shared" si="464"/>
        <v>2014</v>
      </c>
      <c r="F27339" s="3" t="s">
        <v>4370</v>
      </c>
      <c r="G27339" s="6">
        <v>10532.48</v>
      </c>
      <c r="H27339" s="5">
        <v>20181</v>
      </c>
    </row>
    <row r="27340" spans="2:8" ht="15" customHeight="1" x14ac:dyDescent="0.4">
      <c r="B27340" s="3" t="s">
        <v>7</v>
      </c>
      <c r="C27340" s="3" t="s">
        <v>4362</v>
      </c>
      <c r="D27340" s="4">
        <f>DATE(2014,8,12)</f>
        <v>41863</v>
      </c>
      <c r="E27340" s="5">
        <f t="shared" si="464"/>
        <v>2014</v>
      </c>
      <c r="F27340" s="3" t="s">
        <v>4370</v>
      </c>
      <c r="G27340" s="6">
        <v>12320</v>
      </c>
      <c r="H27340" s="5">
        <v>20282</v>
      </c>
    </row>
    <row r="27341" spans="2:8" ht="15" customHeight="1" x14ac:dyDescent="0.4">
      <c r="B27341" s="3" t="s">
        <v>7</v>
      </c>
      <c r="C27341" s="3" t="s">
        <v>4362</v>
      </c>
      <c r="D27341" s="4">
        <f>DATE(2014,8,13)</f>
        <v>41864</v>
      </c>
      <c r="E27341" s="5">
        <f t="shared" si="464"/>
        <v>2014</v>
      </c>
      <c r="F27341" s="3" t="s">
        <v>4370</v>
      </c>
      <c r="G27341" s="6">
        <v>1151.04</v>
      </c>
      <c r="H27341" s="5">
        <v>20291</v>
      </c>
    </row>
    <row r="27342" spans="2:8" ht="15" customHeight="1" x14ac:dyDescent="0.4">
      <c r="B27342" s="3" t="s">
        <v>7</v>
      </c>
      <c r="C27342" s="3" t="s">
        <v>4362</v>
      </c>
      <c r="D27342" s="4">
        <f>DATE(2014,8,19)</f>
        <v>41870</v>
      </c>
      <c r="E27342" s="5">
        <f t="shared" si="464"/>
        <v>2014</v>
      </c>
      <c r="F27342" s="3" t="s">
        <v>4370</v>
      </c>
      <c r="G27342" s="6">
        <v>4878</v>
      </c>
      <c r="H27342" s="5">
        <v>20295</v>
      </c>
    </row>
    <row r="27343" spans="2:8" ht="15" customHeight="1" x14ac:dyDescent="0.4">
      <c r="B27343" s="3" t="s">
        <v>7</v>
      </c>
      <c r="C27343" s="3" t="s">
        <v>4362</v>
      </c>
      <c r="D27343" s="4">
        <f>DATE(2014,8,20)</f>
        <v>41871</v>
      </c>
      <c r="E27343" s="5">
        <f t="shared" si="464"/>
        <v>2014</v>
      </c>
      <c r="F27343" s="3" t="s">
        <v>4370</v>
      </c>
      <c r="G27343" s="6">
        <v>1470</v>
      </c>
      <c r="H27343" s="5">
        <v>20321</v>
      </c>
    </row>
    <row r="27344" spans="2:8" ht="15" customHeight="1" x14ac:dyDescent="0.4">
      <c r="B27344" s="3" t="s">
        <v>7</v>
      </c>
      <c r="C27344" s="3" t="s">
        <v>4362</v>
      </c>
      <c r="D27344" s="4">
        <f>DATE(2014,8,25)</f>
        <v>41876</v>
      </c>
      <c r="E27344" s="5">
        <f t="shared" si="464"/>
        <v>2014</v>
      </c>
      <c r="F27344" s="3" t="s">
        <v>4370</v>
      </c>
      <c r="G27344" s="6">
        <v>4632</v>
      </c>
      <c r="H27344" s="5">
        <v>20336</v>
      </c>
    </row>
    <row r="27345" spans="2:8" ht="15" customHeight="1" x14ac:dyDescent="0.4">
      <c r="B27345" s="3" t="s">
        <v>7</v>
      </c>
      <c r="C27345" s="3" t="s">
        <v>4362</v>
      </c>
      <c r="D27345" s="4">
        <f>DATE(2014,9,3)</f>
        <v>41885</v>
      </c>
      <c r="E27345" s="5">
        <f t="shared" si="464"/>
        <v>2014</v>
      </c>
      <c r="F27345" s="3" t="s">
        <v>4370</v>
      </c>
      <c r="G27345" s="6">
        <v>176</v>
      </c>
      <c r="H27345" s="5">
        <v>20377</v>
      </c>
    </row>
    <row r="27346" spans="2:8" ht="15" customHeight="1" x14ac:dyDescent="0.4">
      <c r="B27346" s="3" t="s">
        <v>7</v>
      </c>
      <c r="C27346" s="3" t="s">
        <v>4362</v>
      </c>
      <c r="D27346" s="4">
        <f>DATE(2014,9,8)</f>
        <v>41890</v>
      </c>
      <c r="E27346" s="5">
        <f t="shared" si="464"/>
        <v>2014</v>
      </c>
      <c r="F27346" s="3" t="s">
        <v>4370</v>
      </c>
      <c r="G27346" s="6">
        <v>2782</v>
      </c>
      <c r="H27346" s="5">
        <v>20370</v>
      </c>
    </row>
    <row r="27347" spans="2:8" ht="15" customHeight="1" x14ac:dyDescent="0.4">
      <c r="B27347" s="3" t="s">
        <v>7</v>
      </c>
      <c r="C27347" s="3" t="s">
        <v>4362</v>
      </c>
      <c r="D27347" s="4">
        <f>DATE(2014,9,8)</f>
        <v>41890</v>
      </c>
      <c r="E27347" s="5">
        <f t="shared" si="464"/>
        <v>2014</v>
      </c>
      <c r="F27347" s="3" t="s">
        <v>4370</v>
      </c>
      <c r="G27347" s="6">
        <v>595.71</v>
      </c>
      <c r="H27347" s="5">
        <v>20389</v>
      </c>
    </row>
    <row r="27348" spans="2:8" ht="15" customHeight="1" x14ac:dyDescent="0.4">
      <c r="B27348" s="3" t="s">
        <v>7</v>
      </c>
      <c r="C27348" s="3" t="s">
        <v>4362</v>
      </c>
      <c r="D27348" s="4">
        <f>DATE(2014,9,25)</f>
        <v>41907</v>
      </c>
      <c r="E27348" s="5">
        <f t="shared" si="464"/>
        <v>2014</v>
      </c>
      <c r="F27348" s="3" t="s">
        <v>4370</v>
      </c>
      <c r="G27348" s="6">
        <v>8800</v>
      </c>
      <c r="H27348" s="5">
        <v>20456</v>
      </c>
    </row>
    <row r="27349" spans="2:8" ht="15" customHeight="1" x14ac:dyDescent="0.4">
      <c r="B27349" s="3" t="s">
        <v>7</v>
      </c>
      <c r="C27349" s="3" t="s">
        <v>4362</v>
      </c>
      <c r="D27349" s="4">
        <f>DATE(2014,10,2)</f>
        <v>41914</v>
      </c>
      <c r="E27349" s="5">
        <f t="shared" si="464"/>
        <v>2014</v>
      </c>
      <c r="F27349" s="3" t="s">
        <v>4370</v>
      </c>
      <c r="G27349" s="6">
        <v>9243.52</v>
      </c>
      <c r="H27349" s="5">
        <v>20480</v>
      </c>
    </row>
    <row r="27350" spans="2:8" ht="15" customHeight="1" x14ac:dyDescent="0.4">
      <c r="B27350" s="3" t="s">
        <v>7</v>
      </c>
      <c r="C27350" s="3" t="s">
        <v>4362</v>
      </c>
      <c r="D27350" s="4">
        <f>DATE(2014,10,15)</f>
        <v>41927</v>
      </c>
      <c r="E27350" s="5">
        <f t="shared" si="464"/>
        <v>2014</v>
      </c>
      <c r="F27350" s="3" t="s">
        <v>4370</v>
      </c>
      <c r="G27350" s="6">
        <v>12607.2</v>
      </c>
      <c r="H27350" s="5">
        <v>20537</v>
      </c>
    </row>
    <row r="27351" spans="2:8" ht="15" customHeight="1" x14ac:dyDescent="0.4">
      <c r="B27351" s="3" t="s">
        <v>7</v>
      </c>
      <c r="C27351" s="3" t="s">
        <v>4362</v>
      </c>
      <c r="D27351" s="4">
        <f>DATE(2014,10,22)</f>
        <v>41934</v>
      </c>
      <c r="E27351" s="5">
        <f t="shared" si="464"/>
        <v>2014</v>
      </c>
      <c r="F27351" s="3" t="s">
        <v>4370</v>
      </c>
      <c r="G27351" s="6">
        <v>1400</v>
      </c>
      <c r="H27351" s="5">
        <v>20561</v>
      </c>
    </row>
    <row r="27352" spans="2:8" ht="15" customHeight="1" x14ac:dyDescent="0.4">
      <c r="B27352" s="3" t="s">
        <v>7</v>
      </c>
      <c r="C27352" s="3" t="s">
        <v>4362</v>
      </c>
      <c r="D27352" s="4">
        <f>DATE(2014,12,2)</f>
        <v>41975</v>
      </c>
      <c r="E27352" s="5">
        <f t="shared" si="464"/>
        <v>2014</v>
      </c>
      <c r="F27352" s="3" t="s">
        <v>4370</v>
      </c>
      <c r="G27352" s="6">
        <v>550.51</v>
      </c>
      <c r="H27352" s="5">
        <v>20690</v>
      </c>
    </row>
    <row r="27353" spans="2:8" ht="15" customHeight="1" x14ac:dyDescent="0.4">
      <c r="B27353" s="3" t="s">
        <v>16</v>
      </c>
      <c r="C27353" s="3" t="s">
        <v>4362</v>
      </c>
      <c r="D27353" s="4">
        <f>DATE(2014,9,8)</f>
        <v>41890</v>
      </c>
      <c r="E27353" s="5">
        <f t="shared" si="464"/>
        <v>2014</v>
      </c>
      <c r="F27353" s="3" t="s">
        <v>4370</v>
      </c>
      <c r="G27353" s="6">
        <v>792</v>
      </c>
      <c r="H27353" s="5">
        <v>20399</v>
      </c>
    </row>
    <row r="27354" spans="2:8" ht="15" customHeight="1" x14ac:dyDescent="0.4">
      <c r="B27354" t="s">
        <v>7</v>
      </c>
      <c r="C27354" t="s">
        <v>4365</v>
      </c>
      <c r="D27354" s="7">
        <f>DATE(2012,12,3)</f>
        <v>41246</v>
      </c>
      <c r="E27354" s="8">
        <f t="shared" si="464"/>
        <v>2012</v>
      </c>
      <c r="F27354" t="s">
        <v>4371</v>
      </c>
      <c r="G27354" s="9">
        <v>12677.89</v>
      </c>
      <c r="H27354" s="8">
        <v>11985</v>
      </c>
    </row>
    <row r="27355" spans="2:8" ht="15" customHeight="1" x14ac:dyDescent="0.4">
      <c r="B27355" s="3" t="s">
        <v>7</v>
      </c>
      <c r="C27355" s="3" t="s">
        <v>4365</v>
      </c>
      <c r="D27355" s="4">
        <f>DATE(2012,11,28)</f>
        <v>41241</v>
      </c>
      <c r="E27355" s="5">
        <f t="shared" si="464"/>
        <v>2012</v>
      </c>
      <c r="F27355" s="3" t="s">
        <v>4371</v>
      </c>
      <c r="G27355" s="6">
        <v>2509.96</v>
      </c>
      <c r="H27355" s="5">
        <v>5306</v>
      </c>
    </row>
    <row r="27356" spans="2:8" ht="15" customHeight="1" x14ac:dyDescent="0.4">
      <c r="B27356" s="3" t="s">
        <v>7</v>
      </c>
      <c r="C27356" s="3" t="s">
        <v>4365</v>
      </c>
      <c r="D27356" s="4">
        <f>DATE(2012,11,20)</f>
        <v>41233</v>
      </c>
      <c r="E27356" s="5">
        <f t="shared" si="464"/>
        <v>2012</v>
      </c>
      <c r="F27356" s="3" t="s">
        <v>4371</v>
      </c>
      <c r="G27356" s="6">
        <v>1320.1</v>
      </c>
      <c r="H27356" s="5">
        <v>17830</v>
      </c>
    </row>
    <row r="27357" spans="2:8" ht="15" customHeight="1" x14ac:dyDescent="0.4">
      <c r="B27357" t="s">
        <v>7</v>
      </c>
      <c r="C27357" t="s">
        <v>4362</v>
      </c>
      <c r="D27357" s="7">
        <f>DATE(2012,6,11)</f>
        <v>41071</v>
      </c>
      <c r="E27357" s="8">
        <f t="shared" si="464"/>
        <v>2012</v>
      </c>
      <c r="F27357" t="s">
        <v>4372</v>
      </c>
      <c r="G27357" s="9">
        <v>12325</v>
      </c>
      <c r="H27357" s="8">
        <v>11578</v>
      </c>
    </row>
    <row r="27358" spans="2:8" ht="15" customHeight="1" x14ac:dyDescent="0.4">
      <c r="B27358" s="3" t="s">
        <v>7</v>
      </c>
      <c r="C27358" s="3" t="s">
        <v>4362</v>
      </c>
      <c r="D27358" s="4">
        <f>DATE(2012,3,2)</f>
        <v>40970</v>
      </c>
      <c r="E27358" s="5">
        <f t="shared" si="464"/>
        <v>2012</v>
      </c>
      <c r="F27358" s="3" t="s">
        <v>4372</v>
      </c>
      <c r="G27358" s="6">
        <v>5168</v>
      </c>
      <c r="H27358" s="5">
        <v>4869</v>
      </c>
    </row>
    <row r="27359" spans="2:8" ht="15" customHeight="1" x14ac:dyDescent="0.4">
      <c r="B27359" s="3" t="s">
        <v>7</v>
      </c>
      <c r="C27359" s="3" t="s">
        <v>4362</v>
      </c>
      <c r="D27359" s="4">
        <f>DATE(2012,4,26)</f>
        <v>41025</v>
      </c>
      <c r="E27359" s="5">
        <f t="shared" si="464"/>
        <v>2012</v>
      </c>
      <c r="F27359" s="3" t="s">
        <v>4372</v>
      </c>
      <c r="G27359" s="6">
        <v>1292</v>
      </c>
      <c r="H27359" s="5">
        <v>4941</v>
      </c>
    </row>
    <row r="27360" spans="2:8" ht="15" customHeight="1" x14ac:dyDescent="0.4">
      <c r="B27360" s="3" t="s">
        <v>7</v>
      </c>
      <c r="C27360" s="3" t="s">
        <v>4362</v>
      </c>
      <c r="D27360" s="4">
        <f>DATE(2012,5,1)</f>
        <v>41030</v>
      </c>
      <c r="E27360" s="5">
        <f t="shared" si="464"/>
        <v>2012</v>
      </c>
      <c r="F27360" s="3" t="s">
        <v>4372</v>
      </c>
      <c r="G27360" s="6">
        <v>9559.0400000000009</v>
      </c>
      <c r="H27360" s="5">
        <v>5038</v>
      </c>
    </row>
    <row r="27361" spans="2:8" ht="15" customHeight="1" x14ac:dyDescent="0.4">
      <c r="B27361" s="3" t="s">
        <v>7</v>
      </c>
      <c r="C27361" s="3" t="s">
        <v>4362</v>
      </c>
      <c r="D27361" s="4">
        <f>DATE(2012,1,23)</f>
        <v>40931</v>
      </c>
      <c r="E27361" s="5">
        <f t="shared" si="464"/>
        <v>2012</v>
      </c>
      <c r="F27361" s="3" t="s">
        <v>4372</v>
      </c>
      <c r="G27361" s="6">
        <v>2240</v>
      </c>
      <c r="H27361" s="5">
        <v>16426</v>
      </c>
    </row>
    <row r="27362" spans="2:8" ht="15" customHeight="1" x14ac:dyDescent="0.4">
      <c r="B27362" s="3" t="s">
        <v>7</v>
      </c>
      <c r="C27362" s="3" t="s">
        <v>4362</v>
      </c>
      <c r="D27362" s="4">
        <f>DATE(2012,2,6)</f>
        <v>40945</v>
      </c>
      <c r="E27362" s="5">
        <f t="shared" si="464"/>
        <v>2012</v>
      </c>
      <c r="F27362" s="3" t="s">
        <v>4372</v>
      </c>
      <c r="G27362" s="6">
        <v>1120</v>
      </c>
      <c r="H27362" s="5">
        <v>16512</v>
      </c>
    </row>
    <row r="27363" spans="2:8" ht="15" customHeight="1" x14ac:dyDescent="0.4">
      <c r="B27363" s="3" t="s">
        <v>7</v>
      </c>
      <c r="C27363" s="3" t="s">
        <v>4362</v>
      </c>
      <c r="D27363" s="4">
        <f>DATE(2012,2,8)</f>
        <v>40947</v>
      </c>
      <c r="E27363" s="5">
        <f t="shared" si="464"/>
        <v>2012</v>
      </c>
      <c r="F27363" s="3" t="s">
        <v>4372</v>
      </c>
      <c r="G27363" s="6">
        <v>7280</v>
      </c>
      <c r="H27363" s="5">
        <v>16511</v>
      </c>
    </row>
    <row r="27364" spans="2:8" ht="15" customHeight="1" x14ac:dyDescent="0.4">
      <c r="B27364" s="3" t="s">
        <v>7</v>
      </c>
      <c r="C27364" s="3" t="s">
        <v>4362</v>
      </c>
      <c r="D27364" s="4">
        <f>DATE(2012,3,26)</f>
        <v>40994</v>
      </c>
      <c r="E27364" s="5">
        <f t="shared" si="464"/>
        <v>2012</v>
      </c>
      <c r="F27364" s="3" t="s">
        <v>4372</v>
      </c>
      <c r="G27364" s="6">
        <v>35895</v>
      </c>
      <c r="H27364" s="5">
        <v>16807</v>
      </c>
    </row>
    <row r="27365" spans="2:8" ht="15" customHeight="1" x14ac:dyDescent="0.4">
      <c r="B27365" s="3" t="s">
        <v>7</v>
      </c>
      <c r="C27365" s="3" t="s">
        <v>4362</v>
      </c>
      <c r="D27365" s="4">
        <f>DATE(2012,4,25)</f>
        <v>41024</v>
      </c>
      <c r="E27365" s="5">
        <f t="shared" si="464"/>
        <v>2012</v>
      </c>
      <c r="F27365" s="3" t="s">
        <v>4372</v>
      </c>
      <c r="G27365" s="6">
        <v>112981.3</v>
      </c>
      <c r="H27365" s="5">
        <v>16898</v>
      </c>
    </row>
    <row r="27366" spans="2:8" ht="15" customHeight="1" x14ac:dyDescent="0.4">
      <c r="B27366" s="3" t="s">
        <v>7</v>
      </c>
      <c r="C27366" s="3" t="s">
        <v>4362</v>
      </c>
      <c r="D27366" s="4">
        <f>DATE(2012,4,25)</f>
        <v>41024</v>
      </c>
      <c r="E27366" s="5">
        <f t="shared" si="464"/>
        <v>2012</v>
      </c>
      <c r="F27366" s="3" t="s">
        <v>4372</v>
      </c>
      <c r="G27366" s="6">
        <v>10712</v>
      </c>
      <c r="H27366" s="5">
        <v>17025</v>
      </c>
    </row>
    <row r="27367" spans="2:8" ht="15" customHeight="1" x14ac:dyDescent="0.4">
      <c r="B27367" s="3" t="s">
        <v>7</v>
      </c>
      <c r="C27367" s="3" t="s">
        <v>4362</v>
      </c>
      <c r="D27367" s="4">
        <f>DATE(2012,4,26)</f>
        <v>41025</v>
      </c>
      <c r="E27367" s="5">
        <f t="shared" si="464"/>
        <v>2012</v>
      </c>
      <c r="F27367" s="3" t="s">
        <v>4372</v>
      </c>
      <c r="G27367" s="6">
        <v>5686.72</v>
      </c>
      <c r="H27367" s="5">
        <v>17026</v>
      </c>
    </row>
    <row r="27368" spans="2:8" ht="15" customHeight="1" x14ac:dyDescent="0.4">
      <c r="B27368" s="3" t="s">
        <v>7</v>
      </c>
      <c r="C27368" s="3" t="s">
        <v>4362</v>
      </c>
      <c r="D27368" s="4">
        <f>DATE(2012,5,1)</f>
        <v>41030</v>
      </c>
      <c r="E27368" s="5">
        <f t="shared" si="464"/>
        <v>2012</v>
      </c>
      <c r="F27368" s="3" t="s">
        <v>4372</v>
      </c>
      <c r="G27368" s="6">
        <v>8076.25</v>
      </c>
      <c r="H27368" s="5">
        <v>17044</v>
      </c>
    </row>
    <row r="27369" spans="2:8" ht="15" customHeight="1" x14ac:dyDescent="0.4">
      <c r="B27369" s="3" t="s">
        <v>7</v>
      </c>
      <c r="C27369" s="3" t="s">
        <v>4365</v>
      </c>
      <c r="D27369" s="4">
        <f>DATE(2012,1,13)</f>
        <v>40921</v>
      </c>
      <c r="E27369" s="5">
        <f t="shared" si="464"/>
        <v>2012</v>
      </c>
      <c r="F27369" s="3" t="s">
        <v>4373</v>
      </c>
      <c r="G27369" s="6">
        <v>33635</v>
      </c>
      <c r="H27369" s="5">
        <v>16336</v>
      </c>
    </row>
    <row r="27370" spans="2:8" ht="15" customHeight="1" x14ac:dyDescent="0.4">
      <c r="B27370" s="3" t="s">
        <v>7</v>
      </c>
      <c r="C27370" s="3" t="s">
        <v>4365</v>
      </c>
      <c r="D27370" s="4">
        <f>DATE(2012,1,13)</f>
        <v>40921</v>
      </c>
      <c r="E27370" s="5">
        <f t="shared" si="464"/>
        <v>2012</v>
      </c>
      <c r="F27370" s="3" t="s">
        <v>4373</v>
      </c>
      <c r="G27370" s="6">
        <v>4447.2</v>
      </c>
      <c r="H27370" s="5">
        <v>16338</v>
      </c>
    </row>
    <row r="27371" spans="2:8" ht="15" customHeight="1" x14ac:dyDescent="0.4">
      <c r="B27371" s="3" t="s">
        <v>7</v>
      </c>
      <c r="C27371" s="3" t="s">
        <v>4362</v>
      </c>
      <c r="D27371" s="4">
        <f>DATE(2014,3,11)</f>
        <v>41709</v>
      </c>
      <c r="E27371" s="5">
        <f t="shared" si="464"/>
        <v>2014</v>
      </c>
      <c r="F27371" s="3" t="s">
        <v>4374</v>
      </c>
      <c r="G27371" s="6">
        <v>2296.3000000000002</v>
      </c>
      <c r="H27371" s="5">
        <v>6094</v>
      </c>
    </row>
    <row r="27372" spans="2:8" ht="15" customHeight="1" x14ac:dyDescent="0.4">
      <c r="B27372" s="3" t="s">
        <v>7</v>
      </c>
      <c r="C27372" s="3" t="s">
        <v>4362</v>
      </c>
      <c r="D27372" s="4">
        <f>DATE(2014,5,28)</f>
        <v>41787</v>
      </c>
      <c r="E27372" s="5">
        <f t="shared" si="464"/>
        <v>2014</v>
      </c>
      <c r="F27372" s="3" t="s">
        <v>4374</v>
      </c>
      <c r="G27372" s="6">
        <v>559.20000000000005</v>
      </c>
      <c r="H27372" s="5">
        <v>6227</v>
      </c>
    </row>
    <row r="27373" spans="2:8" ht="15" customHeight="1" x14ac:dyDescent="0.4">
      <c r="B27373" t="s">
        <v>7</v>
      </c>
      <c r="C27373" t="s">
        <v>4362</v>
      </c>
      <c r="D27373" s="7">
        <f>DATE(2014,5,29)</f>
        <v>41788</v>
      </c>
      <c r="E27373" s="8">
        <f t="shared" si="464"/>
        <v>2014</v>
      </c>
      <c r="F27373" t="s">
        <v>4375</v>
      </c>
      <c r="G27373" s="9">
        <v>4427.5</v>
      </c>
      <c r="H27373" s="8">
        <v>13242</v>
      </c>
    </row>
    <row r="27374" spans="2:8" ht="15" customHeight="1" x14ac:dyDescent="0.4">
      <c r="B27374" s="3" t="s">
        <v>7</v>
      </c>
      <c r="C27374" s="3" t="s">
        <v>4362</v>
      </c>
      <c r="D27374" s="4">
        <f>DATE(2010,2,4)</f>
        <v>40213</v>
      </c>
      <c r="E27374" s="5">
        <f t="shared" si="464"/>
        <v>2010</v>
      </c>
      <c r="F27374" s="3" t="s">
        <v>4376</v>
      </c>
      <c r="G27374" s="6">
        <v>3530.86</v>
      </c>
      <c r="H27374" s="5">
        <v>3767</v>
      </c>
    </row>
    <row r="27375" spans="2:8" ht="15" customHeight="1" x14ac:dyDescent="0.4">
      <c r="B27375" t="s">
        <v>7</v>
      </c>
      <c r="C27375" t="s">
        <v>4377</v>
      </c>
      <c r="D27375" s="7">
        <f>DATE(2011,11,21)</f>
        <v>40868</v>
      </c>
      <c r="E27375" s="8">
        <f t="shared" si="464"/>
        <v>2011</v>
      </c>
      <c r="F27375" t="s">
        <v>4378</v>
      </c>
      <c r="G27375" s="9">
        <v>2500</v>
      </c>
      <c r="H27375" s="8">
        <v>11038</v>
      </c>
    </row>
    <row r="27376" spans="2:8" ht="15" customHeight="1" x14ac:dyDescent="0.4">
      <c r="B27376" t="s">
        <v>7</v>
      </c>
      <c r="C27376" t="s">
        <v>4379</v>
      </c>
      <c r="D27376" s="7">
        <f>DATE(2015,7,15)</f>
        <v>42200</v>
      </c>
      <c r="E27376" s="8">
        <f t="shared" si="464"/>
        <v>2015</v>
      </c>
      <c r="F27376" t="s">
        <v>4380</v>
      </c>
      <c r="G27376" s="9">
        <v>1323</v>
      </c>
      <c r="H27376" s="8">
        <v>20898</v>
      </c>
    </row>
    <row r="27377" spans="2:8" ht="15" customHeight="1" x14ac:dyDescent="0.4">
      <c r="B27377" t="s">
        <v>7</v>
      </c>
      <c r="C27377" t="s">
        <v>4379</v>
      </c>
      <c r="D27377" s="7">
        <f>DATE(2015,10,6)</f>
        <v>42283</v>
      </c>
      <c r="E27377" s="8">
        <f t="shared" si="464"/>
        <v>2015</v>
      </c>
      <c r="F27377" t="s">
        <v>4380</v>
      </c>
      <c r="G27377" s="9">
        <v>3087</v>
      </c>
      <c r="H27377" s="8">
        <v>21299</v>
      </c>
    </row>
    <row r="27378" spans="2:8" ht="15" customHeight="1" x14ac:dyDescent="0.4">
      <c r="B27378" t="s">
        <v>7</v>
      </c>
      <c r="C27378" t="s">
        <v>4379</v>
      </c>
      <c r="D27378" s="7">
        <f>DATE(2017,4,6)</f>
        <v>42831</v>
      </c>
      <c r="E27378" s="8">
        <f t="shared" si="464"/>
        <v>2017</v>
      </c>
      <c r="F27378" t="s">
        <v>4380</v>
      </c>
      <c r="G27378" s="9">
        <v>882</v>
      </c>
      <c r="H27378" s="8">
        <v>24638</v>
      </c>
    </row>
    <row r="27379" spans="2:8" ht="15" customHeight="1" x14ac:dyDescent="0.4">
      <c r="B27379" t="s">
        <v>7</v>
      </c>
      <c r="C27379" t="s">
        <v>4379</v>
      </c>
      <c r="D27379" s="7">
        <f>DATE(2019,1,23)</f>
        <v>43488</v>
      </c>
      <c r="E27379" s="8">
        <f t="shared" si="464"/>
        <v>2019</v>
      </c>
      <c r="F27379" t="s">
        <v>4380</v>
      </c>
      <c r="G27379" s="9">
        <v>791.44</v>
      </c>
      <c r="H27379" s="8">
        <v>28089</v>
      </c>
    </row>
    <row r="27380" spans="2:8" ht="15" customHeight="1" x14ac:dyDescent="0.4">
      <c r="B27380" t="s">
        <v>16</v>
      </c>
      <c r="C27380" t="s">
        <v>4379</v>
      </c>
      <c r="D27380" s="7">
        <f>DATE(2015,12,16)</f>
        <v>42354</v>
      </c>
      <c r="E27380" s="8">
        <f t="shared" si="464"/>
        <v>2015</v>
      </c>
      <c r="F27380" t="s">
        <v>4380</v>
      </c>
      <c r="G27380" s="9">
        <v>1323</v>
      </c>
      <c r="H27380" s="8">
        <v>21744</v>
      </c>
    </row>
    <row r="27381" spans="2:8" ht="15" customHeight="1" x14ac:dyDescent="0.4">
      <c r="B27381" t="s">
        <v>7</v>
      </c>
      <c r="C27381" t="s">
        <v>4379</v>
      </c>
      <c r="D27381" s="7">
        <f>DATE(2010,8,19)</f>
        <v>40409</v>
      </c>
      <c r="E27381" s="8">
        <f t="shared" si="464"/>
        <v>2010</v>
      </c>
      <c r="F27381" t="s">
        <v>4380</v>
      </c>
      <c r="G27381" s="9">
        <v>10608.05</v>
      </c>
      <c r="H27381" s="8">
        <v>10024</v>
      </c>
    </row>
    <row r="27382" spans="2:8" ht="15" customHeight="1" x14ac:dyDescent="0.4">
      <c r="B27382" s="3" t="s">
        <v>7</v>
      </c>
      <c r="C27382" s="3" t="s">
        <v>4379</v>
      </c>
      <c r="D27382" s="4">
        <f>DATE(2003,6,30)</f>
        <v>37802</v>
      </c>
      <c r="E27382" s="5">
        <f t="shared" si="464"/>
        <v>2003</v>
      </c>
      <c r="F27382" s="3" t="s">
        <v>4380</v>
      </c>
      <c r="G27382" s="6">
        <v>266</v>
      </c>
      <c r="H27382" s="5">
        <v>1164</v>
      </c>
    </row>
    <row r="27383" spans="2:8" ht="15" customHeight="1" x14ac:dyDescent="0.4">
      <c r="B27383" s="3" t="s">
        <v>7</v>
      </c>
      <c r="C27383" s="3" t="s">
        <v>4379</v>
      </c>
      <c r="D27383" s="4">
        <f>DATE(2004,5,19)</f>
        <v>38126</v>
      </c>
      <c r="E27383" s="5">
        <f t="shared" si="464"/>
        <v>2004</v>
      </c>
      <c r="F27383" s="3" t="s">
        <v>4380</v>
      </c>
      <c r="G27383" s="6">
        <v>186.9</v>
      </c>
      <c r="H27383" s="5">
        <v>2905</v>
      </c>
    </row>
    <row r="27384" spans="2:8" ht="15" customHeight="1" x14ac:dyDescent="0.4">
      <c r="B27384" s="3" t="s">
        <v>7</v>
      </c>
      <c r="C27384" s="3" t="s">
        <v>4379</v>
      </c>
      <c r="D27384" s="4">
        <f>DATE(2004,5,20)</f>
        <v>38127</v>
      </c>
      <c r="E27384" s="5">
        <f t="shared" si="464"/>
        <v>2004</v>
      </c>
      <c r="F27384" s="3" t="s">
        <v>4380</v>
      </c>
      <c r="G27384" s="6">
        <v>81.8</v>
      </c>
      <c r="H27384" s="5">
        <v>2916</v>
      </c>
    </row>
    <row r="27385" spans="2:8" ht="15" customHeight="1" x14ac:dyDescent="0.4">
      <c r="B27385" s="3" t="s">
        <v>7</v>
      </c>
      <c r="C27385" s="3" t="s">
        <v>4379</v>
      </c>
      <c r="D27385" s="4">
        <f>DATE(2005,8,4)</f>
        <v>38568</v>
      </c>
      <c r="E27385" s="5">
        <f t="shared" si="464"/>
        <v>2005</v>
      </c>
      <c r="F27385" s="3" t="s">
        <v>4380</v>
      </c>
      <c r="G27385" s="6">
        <v>1250</v>
      </c>
      <c r="H27385" s="5">
        <v>5046</v>
      </c>
    </row>
    <row r="27386" spans="2:8" ht="15" customHeight="1" x14ac:dyDescent="0.4">
      <c r="B27386" s="3" t="s">
        <v>7</v>
      </c>
      <c r="C27386" s="3" t="s">
        <v>4379</v>
      </c>
      <c r="D27386" s="4">
        <f>DATE(2006,5,24)</f>
        <v>38861</v>
      </c>
      <c r="E27386" s="5">
        <f t="shared" si="464"/>
        <v>2006</v>
      </c>
      <c r="F27386" s="3" t="s">
        <v>4380</v>
      </c>
      <c r="G27386" s="6">
        <v>450</v>
      </c>
      <c r="H27386" s="5">
        <v>6763</v>
      </c>
    </row>
    <row r="27387" spans="2:8" ht="15" customHeight="1" x14ac:dyDescent="0.4">
      <c r="B27387" s="3" t="s">
        <v>7</v>
      </c>
      <c r="C27387" s="3" t="s">
        <v>4379</v>
      </c>
      <c r="D27387" s="4">
        <f>DATE(2011,1,18)</f>
        <v>40561</v>
      </c>
      <c r="E27387" s="5">
        <f t="shared" si="464"/>
        <v>2011</v>
      </c>
      <c r="F27387" s="3" t="s">
        <v>4380</v>
      </c>
      <c r="G27387" s="6">
        <v>2230</v>
      </c>
      <c r="H27387" s="5">
        <v>14910</v>
      </c>
    </row>
    <row r="27388" spans="2:8" ht="15" customHeight="1" x14ac:dyDescent="0.4">
      <c r="B27388" s="3" t="s">
        <v>7</v>
      </c>
      <c r="C27388" s="3" t="s">
        <v>4379</v>
      </c>
      <c r="D27388" s="4">
        <f>DATE(2013,10,14)</f>
        <v>41561</v>
      </c>
      <c r="E27388" s="5">
        <f t="shared" si="464"/>
        <v>2013</v>
      </c>
      <c r="F27388" s="3" t="s">
        <v>4380</v>
      </c>
      <c r="G27388" s="6">
        <v>882</v>
      </c>
      <c r="H27388" s="5">
        <v>19086</v>
      </c>
    </row>
    <row r="27389" spans="2:8" ht="15" customHeight="1" x14ac:dyDescent="0.4">
      <c r="B27389" t="s">
        <v>7</v>
      </c>
      <c r="C27389" t="s">
        <v>4381</v>
      </c>
      <c r="D27389" s="7">
        <f>DATE(2016,4,6)</f>
        <v>42466</v>
      </c>
      <c r="E27389" s="8">
        <f t="shared" si="464"/>
        <v>2016</v>
      </c>
      <c r="F27389" t="s">
        <v>4382</v>
      </c>
      <c r="G27389" s="9">
        <v>704.92</v>
      </c>
      <c r="H27389" s="8">
        <v>22526</v>
      </c>
    </row>
    <row r="27390" spans="2:8" ht="15" customHeight="1" x14ac:dyDescent="0.4">
      <c r="B27390" t="s">
        <v>7</v>
      </c>
      <c r="C27390" t="s">
        <v>4381</v>
      </c>
      <c r="D27390" s="7">
        <f>DATE(2005,9,28)</f>
        <v>38623</v>
      </c>
      <c r="E27390" s="8">
        <f t="shared" si="464"/>
        <v>2005</v>
      </c>
      <c r="F27390" t="s">
        <v>4382</v>
      </c>
      <c r="G27390" s="9">
        <v>879</v>
      </c>
      <c r="H27390" s="8">
        <v>3609</v>
      </c>
    </row>
    <row r="27391" spans="2:8" ht="15" customHeight="1" x14ac:dyDescent="0.4">
      <c r="B27391" t="s">
        <v>7</v>
      </c>
      <c r="C27391" t="s">
        <v>4381</v>
      </c>
      <c r="D27391" s="7">
        <f>DATE(2007,2,16)</f>
        <v>39129</v>
      </c>
      <c r="E27391" s="8">
        <f t="shared" si="464"/>
        <v>2007</v>
      </c>
      <c r="F27391" t="s">
        <v>4382</v>
      </c>
      <c r="G27391" s="9">
        <v>667</v>
      </c>
      <c r="H27391" s="8">
        <v>5573</v>
      </c>
    </row>
    <row r="27392" spans="2:8" ht="15" customHeight="1" x14ac:dyDescent="0.4">
      <c r="B27392" t="s">
        <v>7</v>
      </c>
      <c r="C27392" t="s">
        <v>4381</v>
      </c>
      <c r="D27392" s="7">
        <f>DATE(2010,3,3)</f>
        <v>40240</v>
      </c>
      <c r="E27392" s="8">
        <f t="shared" si="464"/>
        <v>2010</v>
      </c>
      <c r="F27392" t="s">
        <v>4382</v>
      </c>
      <c r="G27392" s="9">
        <v>352.24</v>
      </c>
      <c r="H27392" s="8">
        <v>9497</v>
      </c>
    </row>
    <row r="27393" spans="2:8" ht="15" customHeight="1" x14ac:dyDescent="0.4">
      <c r="B27393" t="s">
        <v>7</v>
      </c>
      <c r="C27393" t="s">
        <v>4381</v>
      </c>
      <c r="D27393" s="7">
        <f>DATE(2012,5,9)</f>
        <v>41038</v>
      </c>
      <c r="E27393" s="8">
        <f t="shared" si="464"/>
        <v>2012</v>
      </c>
      <c r="F27393" t="s">
        <v>4382</v>
      </c>
      <c r="G27393" s="9">
        <v>183</v>
      </c>
      <c r="H27393" s="8">
        <v>11610</v>
      </c>
    </row>
    <row r="27394" spans="2:8" ht="15" customHeight="1" x14ac:dyDescent="0.4">
      <c r="B27394" t="s">
        <v>7</v>
      </c>
      <c r="C27394" t="s">
        <v>4381</v>
      </c>
      <c r="D27394" s="7">
        <f>DATE(2013,2,28)</f>
        <v>41333</v>
      </c>
      <c r="E27394" s="8">
        <f t="shared" si="464"/>
        <v>2013</v>
      </c>
      <c r="F27394" t="s">
        <v>4382</v>
      </c>
      <c r="G27394" s="9">
        <v>709</v>
      </c>
      <c r="H27394" s="8">
        <v>12218</v>
      </c>
    </row>
    <row r="27395" spans="2:8" ht="15" customHeight="1" x14ac:dyDescent="0.4">
      <c r="B27395" s="3" t="s">
        <v>7</v>
      </c>
      <c r="C27395" s="3" t="s">
        <v>4383</v>
      </c>
      <c r="D27395" s="4">
        <f>DATE(2014,8,27)</f>
        <v>41878</v>
      </c>
      <c r="E27395" s="5">
        <f t="shared" ref="E27395:E27458" si="465">YEAR(D27395)</f>
        <v>2014</v>
      </c>
      <c r="F27395" s="3" t="s">
        <v>4384</v>
      </c>
      <c r="G27395" s="6">
        <v>1760.7</v>
      </c>
      <c r="H27395" s="5">
        <v>6244</v>
      </c>
    </row>
    <row r="27396" spans="2:8" ht="15" customHeight="1" x14ac:dyDescent="0.4">
      <c r="B27396" s="3" t="s">
        <v>7</v>
      </c>
      <c r="C27396" s="3" t="s">
        <v>4383</v>
      </c>
      <c r="D27396" s="4">
        <f>DATE(2007,11,27)</f>
        <v>39413</v>
      </c>
      <c r="E27396" s="5">
        <f t="shared" si="465"/>
        <v>2007</v>
      </c>
      <c r="F27396" s="3" t="s">
        <v>4384</v>
      </c>
      <c r="G27396" s="6">
        <v>2708.9</v>
      </c>
      <c r="H27396" s="5">
        <v>9339</v>
      </c>
    </row>
    <row r="27397" spans="2:8" ht="15" customHeight="1" x14ac:dyDescent="0.4">
      <c r="B27397" t="s">
        <v>7</v>
      </c>
      <c r="C27397" t="s">
        <v>4385</v>
      </c>
      <c r="D27397" s="7">
        <f>DATE(2016,2,5)</f>
        <v>42405</v>
      </c>
      <c r="E27397" s="8">
        <f t="shared" si="465"/>
        <v>2016</v>
      </c>
      <c r="F27397" t="s">
        <v>4386</v>
      </c>
      <c r="G27397" s="9">
        <v>4691.8599999999997</v>
      </c>
      <c r="H27397" s="8">
        <v>22036</v>
      </c>
    </row>
    <row r="27398" spans="2:8" ht="15" customHeight="1" x14ac:dyDescent="0.4">
      <c r="B27398" t="s">
        <v>7</v>
      </c>
      <c r="C27398" t="s">
        <v>4385</v>
      </c>
      <c r="D27398" s="7">
        <f>DATE(2017,9,28)</f>
        <v>43006</v>
      </c>
      <c r="E27398" s="8">
        <f t="shared" si="465"/>
        <v>2017</v>
      </c>
      <c r="F27398" t="s">
        <v>4386</v>
      </c>
      <c r="G27398" s="9">
        <v>6000</v>
      </c>
      <c r="H27398" s="8">
        <v>25637</v>
      </c>
    </row>
    <row r="27399" spans="2:8" ht="15" customHeight="1" x14ac:dyDescent="0.4">
      <c r="B27399" s="3" t="s">
        <v>7</v>
      </c>
      <c r="C27399" s="3" t="s">
        <v>4385</v>
      </c>
      <c r="D27399" s="4">
        <f>DATE(2013,4,29)</f>
        <v>41393</v>
      </c>
      <c r="E27399" s="5">
        <f t="shared" si="465"/>
        <v>2013</v>
      </c>
      <c r="F27399" s="3" t="s">
        <v>4386</v>
      </c>
      <c r="G27399" s="6">
        <v>7550.28</v>
      </c>
      <c r="H27399" s="5">
        <v>18473</v>
      </c>
    </row>
    <row r="27400" spans="2:8" ht="15" customHeight="1" x14ac:dyDescent="0.4">
      <c r="B27400" s="3" t="s">
        <v>7</v>
      </c>
      <c r="C27400" s="3" t="s">
        <v>4385</v>
      </c>
      <c r="D27400" s="4">
        <f>DATE(2014,2,5)</f>
        <v>41675</v>
      </c>
      <c r="E27400" s="5">
        <f t="shared" si="465"/>
        <v>2014</v>
      </c>
      <c r="F27400" s="3" t="s">
        <v>4386</v>
      </c>
      <c r="G27400" s="6">
        <v>4676.82</v>
      </c>
      <c r="H27400" s="5">
        <v>19447</v>
      </c>
    </row>
    <row r="27401" spans="2:8" ht="15" customHeight="1" x14ac:dyDescent="0.4">
      <c r="B27401" t="s">
        <v>7</v>
      </c>
      <c r="C27401" t="s">
        <v>4387</v>
      </c>
      <c r="D27401" s="7">
        <f>DATE(2017,11,9)</f>
        <v>43048</v>
      </c>
      <c r="E27401" s="8">
        <f t="shared" si="465"/>
        <v>2017</v>
      </c>
      <c r="F27401" t="s">
        <v>4388</v>
      </c>
      <c r="G27401" s="9">
        <v>1262.3499999999999</v>
      </c>
      <c r="H27401" s="8">
        <v>25828</v>
      </c>
    </row>
    <row r="27402" spans="2:8" ht="15" customHeight="1" x14ac:dyDescent="0.4">
      <c r="B27402" s="3" t="s">
        <v>7</v>
      </c>
      <c r="C27402" s="3" t="s">
        <v>4389</v>
      </c>
      <c r="D27402" s="4">
        <f>DATE(2006,3,15)</f>
        <v>38791</v>
      </c>
      <c r="E27402" s="5">
        <f t="shared" si="465"/>
        <v>2006</v>
      </c>
      <c r="F27402" s="3" t="s">
        <v>4390</v>
      </c>
      <c r="G27402" s="6">
        <v>23724.880000000001</v>
      </c>
      <c r="H27402" s="5">
        <v>1558</v>
      </c>
    </row>
    <row r="27403" spans="2:8" ht="15" customHeight="1" x14ac:dyDescent="0.4">
      <c r="B27403" s="3" t="s">
        <v>7</v>
      </c>
      <c r="C27403" s="3" t="s">
        <v>4389</v>
      </c>
      <c r="D27403" s="4">
        <f>DATE(2006,12,1)</f>
        <v>39052</v>
      </c>
      <c r="E27403" s="5">
        <f t="shared" si="465"/>
        <v>2006</v>
      </c>
      <c r="F27403" s="3" t="s">
        <v>4390</v>
      </c>
      <c r="G27403" s="6">
        <v>1017.63</v>
      </c>
      <c r="H27403" s="5">
        <v>1937</v>
      </c>
    </row>
    <row r="27404" spans="2:8" ht="15" customHeight="1" x14ac:dyDescent="0.4">
      <c r="B27404" s="3" t="s">
        <v>16</v>
      </c>
      <c r="C27404" s="3" t="s">
        <v>4389</v>
      </c>
      <c r="D27404" s="4">
        <f>DATE(2006,3,15)</f>
        <v>38791</v>
      </c>
      <c r="E27404" s="5">
        <f t="shared" si="465"/>
        <v>2006</v>
      </c>
      <c r="F27404" s="3" t="s">
        <v>4390</v>
      </c>
      <c r="G27404" s="6">
        <v>162</v>
      </c>
      <c r="H27404" s="5">
        <v>1591</v>
      </c>
    </row>
    <row r="27405" spans="2:8" ht="15" customHeight="1" x14ac:dyDescent="0.4">
      <c r="B27405" s="3" t="s">
        <v>7</v>
      </c>
      <c r="C27405" s="3" t="s">
        <v>4389</v>
      </c>
      <c r="D27405" s="4">
        <f>DATE(2003,1,10)</f>
        <v>37631</v>
      </c>
      <c r="E27405" s="5">
        <f t="shared" si="465"/>
        <v>2003</v>
      </c>
      <c r="F27405" s="3" t="s">
        <v>4390</v>
      </c>
      <c r="G27405" s="6">
        <v>1282.69</v>
      </c>
      <c r="H27405" s="5">
        <v>31</v>
      </c>
    </row>
    <row r="27406" spans="2:8" ht="15" customHeight="1" x14ac:dyDescent="0.4">
      <c r="B27406" s="3" t="s">
        <v>7</v>
      </c>
      <c r="C27406" s="3" t="s">
        <v>4389</v>
      </c>
      <c r="D27406" s="4">
        <f>DATE(2003,1,29)</f>
        <v>37650</v>
      </c>
      <c r="E27406" s="5">
        <f t="shared" si="465"/>
        <v>2003</v>
      </c>
      <c r="F27406" s="3" t="s">
        <v>4390</v>
      </c>
      <c r="G27406" s="6">
        <v>7715.35</v>
      </c>
      <c r="H27406" s="5">
        <v>157</v>
      </c>
    </row>
    <row r="27407" spans="2:8" ht="15" customHeight="1" x14ac:dyDescent="0.4">
      <c r="B27407" s="3" t="s">
        <v>7</v>
      </c>
      <c r="C27407" s="3" t="s">
        <v>4389</v>
      </c>
      <c r="D27407" s="4">
        <f>DATE(2003,2,7)</f>
        <v>37659</v>
      </c>
      <c r="E27407" s="5">
        <f t="shared" si="465"/>
        <v>2003</v>
      </c>
      <c r="F27407" s="3" t="s">
        <v>4390</v>
      </c>
      <c r="G27407" s="6">
        <v>682.69</v>
      </c>
      <c r="H27407" s="5">
        <v>261</v>
      </c>
    </row>
    <row r="27408" spans="2:8" ht="15" customHeight="1" x14ac:dyDescent="0.4">
      <c r="B27408" s="3" t="s">
        <v>7</v>
      </c>
      <c r="C27408" s="3" t="s">
        <v>4389</v>
      </c>
      <c r="D27408" s="4">
        <f>DATE(2003,3,11)</f>
        <v>37691</v>
      </c>
      <c r="E27408" s="5">
        <f t="shared" si="465"/>
        <v>2003</v>
      </c>
      <c r="F27408" s="3" t="s">
        <v>4390</v>
      </c>
      <c r="G27408" s="6">
        <v>164.46</v>
      </c>
      <c r="H27408" s="5">
        <v>501</v>
      </c>
    </row>
    <row r="27409" spans="2:8" ht="15" customHeight="1" x14ac:dyDescent="0.4">
      <c r="B27409" s="3" t="s">
        <v>7</v>
      </c>
      <c r="C27409" s="3" t="s">
        <v>4389</v>
      </c>
      <c r="D27409" s="4">
        <f>DATE(2003,4,8)</f>
        <v>37719</v>
      </c>
      <c r="E27409" s="5">
        <f t="shared" si="465"/>
        <v>2003</v>
      </c>
      <c r="F27409" s="3" t="s">
        <v>4390</v>
      </c>
      <c r="G27409" s="6">
        <v>5638.25</v>
      </c>
      <c r="H27409" s="5">
        <v>712</v>
      </c>
    </row>
    <row r="27410" spans="2:8" ht="15" customHeight="1" x14ac:dyDescent="0.4">
      <c r="B27410" s="3" t="s">
        <v>7</v>
      </c>
      <c r="C27410" s="3" t="s">
        <v>4389</v>
      </c>
      <c r="D27410" s="4">
        <f>DATE(2003,5,1)</f>
        <v>37742</v>
      </c>
      <c r="E27410" s="5">
        <f t="shared" si="465"/>
        <v>2003</v>
      </c>
      <c r="F27410" s="3" t="s">
        <v>4390</v>
      </c>
      <c r="G27410" s="6">
        <v>1373.12</v>
      </c>
      <c r="H27410" s="5">
        <v>887</v>
      </c>
    </row>
    <row r="27411" spans="2:8" ht="15" customHeight="1" x14ac:dyDescent="0.4">
      <c r="B27411" s="3" t="s">
        <v>7</v>
      </c>
      <c r="C27411" s="3" t="s">
        <v>4389</v>
      </c>
      <c r="D27411" s="4">
        <f>DATE(2003,5,5)</f>
        <v>37746</v>
      </c>
      <c r="E27411" s="5">
        <f t="shared" si="465"/>
        <v>2003</v>
      </c>
      <c r="F27411" s="3" t="s">
        <v>4390</v>
      </c>
      <c r="G27411" s="6">
        <v>4866.05</v>
      </c>
      <c r="H27411" s="5">
        <v>892</v>
      </c>
    </row>
    <row r="27412" spans="2:8" ht="15" customHeight="1" x14ac:dyDescent="0.4">
      <c r="B27412" s="3" t="s">
        <v>7</v>
      </c>
      <c r="C27412" s="3" t="s">
        <v>4389</v>
      </c>
      <c r="D27412" s="4">
        <f>DATE(2003,5,14)</f>
        <v>37755</v>
      </c>
      <c r="E27412" s="5">
        <f t="shared" si="465"/>
        <v>2003</v>
      </c>
      <c r="F27412" s="3" t="s">
        <v>4390</v>
      </c>
      <c r="G27412" s="6">
        <v>5364.39</v>
      </c>
      <c r="H27412" s="5">
        <v>722</v>
      </c>
    </row>
    <row r="27413" spans="2:8" ht="15" customHeight="1" x14ac:dyDescent="0.4">
      <c r="B27413" s="3" t="s">
        <v>7</v>
      </c>
      <c r="C27413" s="3" t="s">
        <v>4389</v>
      </c>
      <c r="D27413" s="4">
        <f>DATE(2003,5,15)</f>
        <v>37756</v>
      </c>
      <c r="E27413" s="5">
        <f t="shared" si="465"/>
        <v>2003</v>
      </c>
      <c r="F27413" s="3" t="s">
        <v>4390</v>
      </c>
      <c r="G27413" s="6">
        <v>1309.4100000000001</v>
      </c>
      <c r="H27413" s="5">
        <v>971</v>
      </c>
    </row>
    <row r="27414" spans="2:8" ht="15" customHeight="1" x14ac:dyDescent="0.4">
      <c r="B27414" s="3" t="s">
        <v>7</v>
      </c>
      <c r="C27414" s="3" t="s">
        <v>4389</v>
      </c>
      <c r="D27414" s="4">
        <f>DATE(2003,6,12)</f>
        <v>37784</v>
      </c>
      <c r="E27414" s="5">
        <f t="shared" si="465"/>
        <v>2003</v>
      </c>
      <c r="F27414" s="3" t="s">
        <v>4390</v>
      </c>
      <c r="G27414" s="6">
        <v>461.91</v>
      </c>
      <c r="H27414" s="5">
        <v>1108</v>
      </c>
    </row>
    <row r="27415" spans="2:8" ht="15" customHeight="1" x14ac:dyDescent="0.4">
      <c r="B27415" s="3" t="s">
        <v>7</v>
      </c>
      <c r="C27415" s="3" t="s">
        <v>4389</v>
      </c>
      <c r="D27415" s="4">
        <f>DATE(2003,6,12)</f>
        <v>37784</v>
      </c>
      <c r="E27415" s="5">
        <f t="shared" si="465"/>
        <v>2003</v>
      </c>
      <c r="F27415" s="3" t="s">
        <v>4390</v>
      </c>
      <c r="G27415" s="6">
        <v>1896.63</v>
      </c>
      <c r="H27415" s="5">
        <v>1106</v>
      </c>
    </row>
    <row r="27416" spans="2:8" ht="15" customHeight="1" x14ac:dyDescent="0.4">
      <c r="B27416" s="3" t="s">
        <v>7</v>
      </c>
      <c r="C27416" s="3" t="s">
        <v>4389</v>
      </c>
      <c r="D27416" s="4">
        <f>DATE(2003,7,9)</f>
        <v>37811</v>
      </c>
      <c r="E27416" s="5">
        <f t="shared" si="465"/>
        <v>2003</v>
      </c>
      <c r="F27416" s="3" t="s">
        <v>4390</v>
      </c>
      <c r="G27416" s="6">
        <v>20222.349999999999</v>
      </c>
      <c r="H27416" s="5">
        <v>1192</v>
      </c>
    </row>
    <row r="27417" spans="2:8" ht="15" customHeight="1" x14ac:dyDescent="0.4">
      <c r="B27417" s="3" t="s">
        <v>7</v>
      </c>
      <c r="C27417" s="3" t="s">
        <v>4389</v>
      </c>
      <c r="D27417" s="4">
        <f>DATE(2003,7,16)</f>
        <v>37818</v>
      </c>
      <c r="E27417" s="5">
        <f t="shared" si="465"/>
        <v>2003</v>
      </c>
      <c r="F27417" s="3" t="s">
        <v>4390</v>
      </c>
      <c r="G27417" s="6">
        <v>275.91000000000003</v>
      </c>
      <c r="H27417" s="5">
        <v>1213</v>
      </c>
    </row>
    <row r="27418" spans="2:8" ht="15" customHeight="1" x14ac:dyDescent="0.4">
      <c r="B27418" s="3" t="s">
        <v>7</v>
      </c>
      <c r="C27418" s="3" t="s">
        <v>4389</v>
      </c>
      <c r="D27418" s="4">
        <f>DATE(2003,8,14)</f>
        <v>37847</v>
      </c>
      <c r="E27418" s="5">
        <f t="shared" si="465"/>
        <v>2003</v>
      </c>
      <c r="F27418" s="3" t="s">
        <v>4390</v>
      </c>
      <c r="G27418" s="6">
        <v>2416</v>
      </c>
      <c r="H27418" s="5">
        <v>1379</v>
      </c>
    </row>
    <row r="27419" spans="2:8" ht="15" customHeight="1" x14ac:dyDescent="0.4">
      <c r="B27419" s="3" t="s">
        <v>7</v>
      </c>
      <c r="C27419" s="3" t="s">
        <v>4389</v>
      </c>
      <c r="D27419" s="4">
        <f>DATE(2003,9,15)</f>
        <v>37879</v>
      </c>
      <c r="E27419" s="5">
        <f t="shared" si="465"/>
        <v>2003</v>
      </c>
      <c r="F27419" s="3" t="s">
        <v>4390</v>
      </c>
      <c r="G27419" s="6">
        <v>548.75</v>
      </c>
      <c r="H27419" s="5">
        <v>1505</v>
      </c>
    </row>
    <row r="27420" spans="2:8" ht="15" customHeight="1" x14ac:dyDescent="0.4">
      <c r="B27420" s="3" t="s">
        <v>7</v>
      </c>
      <c r="C27420" s="3" t="s">
        <v>4389</v>
      </c>
      <c r="D27420" s="4">
        <f>DATE(2003,10,9)</f>
        <v>37903</v>
      </c>
      <c r="E27420" s="5">
        <f t="shared" si="465"/>
        <v>2003</v>
      </c>
      <c r="F27420" s="3" t="s">
        <v>4390</v>
      </c>
      <c r="G27420" s="6">
        <v>360.41</v>
      </c>
      <c r="H27420" s="5">
        <v>1633</v>
      </c>
    </row>
    <row r="27421" spans="2:8" ht="15" customHeight="1" x14ac:dyDescent="0.4">
      <c r="B27421" s="3" t="s">
        <v>7</v>
      </c>
      <c r="C27421" s="3" t="s">
        <v>4389</v>
      </c>
      <c r="D27421" s="4">
        <f>DATE(2004,1,9)</f>
        <v>37995</v>
      </c>
      <c r="E27421" s="5">
        <f t="shared" si="465"/>
        <v>2004</v>
      </c>
      <c r="F27421" s="3" t="s">
        <v>4390</v>
      </c>
      <c r="G27421" s="6">
        <v>3856.16</v>
      </c>
      <c r="H27421" s="5">
        <v>1968</v>
      </c>
    </row>
    <row r="27422" spans="2:8" ht="15" customHeight="1" x14ac:dyDescent="0.4">
      <c r="B27422" s="3" t="s">
        <v>7</v>
      </c>
      <c r="C27422" s="3" t="s">
        <v>4389</v>
      </c>
      <c r="D27422" s="4">
        <f>DATE(2004,3,3)</f>
        <v>38049</v>
      </c>
      <c r="E27422" s="5">
        <f t="shared" si="465"/>
        <v>2004</v>
      </c>
      <c r="F27422" s="3" t="s">
        <v>4390</v>
      </c>
      <c r="G27422" s="6">
        <v>1815.78</v>
      </c>
      <c r="H27422" s="5">
        <v>2317</v>
      </c>
    </row>
    <row r="27423" spans="2:8" ht="15" customHeight="1" x14ac:dyDescent="0.4">
      <c r="B27423" s="3" t="s">
        <v>7</v>
      </c>
      <c r="C27423" s="3" t="s">
        <v>4389</v>
      </c>
      <c r="D27423" s="4">
        <f>DATE(2004,3,4)</f>
        <v>38050</v>
      </c>
      <c r="E27423" s="5">
        <f t="shared" si="465"/>
        <v>2004</v>
      </c>
      <c r="F27423" s="3" t="s">
        <v>4390</v>
      </c>
      <c r="G27423" s="6">
        <v>1815.78</v>
      </c>
      <c r="H27423" s="5">
        <v>2325</v>
      </c>
    </row>
    <row r="27424" spans="2:8" ht="15" customHeight="1" x14ac:dyDescent="0.4">
      <c r="B27424" s="3" t="s">
        <v>7</v>
      </c>
      <c r="C27424" s="3" t="s">
        <v>4389</v>
      </c>
      <c r="D27424" s="4">
        <f>DATE(2004,4,16)</f>
        <v>38093</v>
      </c>
      <c r="E27424" s="5">
        <f t="shared" si="465"/>
        <v>2004</v>
      </c>
      <c r="F27424" s="3" t="s">
        <v>4390</v>
      </c>
      <c r="G27424" s="6">
        <v>1349.6</v>
      </c>
      <c r="H27424" s="5">
        <v>2624</v>
      </c>
    </row>
    <row r="27425" spans="2:8" ht="15" customHeight="1" x14ac:dyDescent="0.4">
      <c r="B27425" s="3" t="s">
        <v>7</v>
      </c>
      <c r="C27425" s="3" t="s">
        <v>4389</v>
      </c>
      <c r="D27425" s="4">
        <f>DATE(2004,4,28)</f>
        <v>38105</v>
      </c>
      <c r="E27425" s="5">
        <f t="shared" si="465"/>
        <v>2004</v>
      </c>
      <c r="F27425" s="3" t="s">
        <v>4390</v>
      </c>
      <c r="G27425" s="6">
        <v>1353.42</v>
      </c>
      <c r="H27425" s="5">
        <v>2740</v>
      </c>
    </row>
    <row r="27426" spans="2:8" ht="15" customHeight="1" x14ac:dyDescent="0.4">
      <c r="B27426" s="3" t="s">
        <v>7</v>
      </c>
      <c r="C27426" s="3" t="s">
        <v>4389</v>
      </c>
      <c r="D27426" s="4">
        <f>DATE(2004,5,13)</f>
        <v>38120</v>
      </c>
      <c r="E27426" s="5">
        <f t="shared" si="465"/>
        <v>2004</v>
      </c>
      <c r="F27426" s="3" t="s">
        <v>4390</v>
      </c>
      <c r="G27426" s="6">
        <v>1678.43</v>
      </c>
      <c r="H27426" s="5">
        <v>2867</v>
      </c>
    </row>
    <row r="27427" spans="2:8" ht="15" customHeight="1" x14ac:dyDescent="0.4">
      <c r="B27427" s="3" t="s">
        <v>7</v>
      </c>
      <c r="C27427" s="3" t="s">
        <v>4389</v>
      </c>
      <c r="D27427" s="4">
        <f>DATE(2004,5,25)</f>
        <v>38132</v>
      </c>
      <c r="E27427" s="5">
        <f t="shared" si="465"/>
        <v>2004</v>
      </c>
      <c r="F27427" s="3" t="s">
        <v>4390</v>
      </c>
      <c r="G27427" s="6">
        <v>526.63</v>
      </c>
      <c r="H27427" s="5">
        <v>2920</v>
      </c>
    </row>
    <row r="27428" spans="2:8" ht="15" customHeight="1" x14ac:dyDescent="0.4">
      <c r="B27428" s="3" t="s">
        <v>7</v>
      </c>
      <c r="C27428" s="3" t="s">
        <v>4389</v>
      </c>
      <c r="D27428" s="4">
        <f>DATE(2004,5,25)</f>
        <v>38132</v>
      </c>
      <c r="E27428" s="5">
        <f t="shared" si="465"/>
        <v>2004</v>
      </c>
      <c r="F27428" s="3" t="s">
        <v>4390</v>
      </c>
      <c r="G27428" s="6">
        <v>860.39</v>
      </c>
      <c r="H27428" s="5">
        <v>2947</v>
      </c>
    </row>
    <row r="27429" spans="2:8" ht="15" customHeight="1" x14ac:dyDescent="0.4">
      <c r="B27429" s="3" t="s">
        <v>7</v>
      </c>
      <c r="C27429" s="3" t="s">
        <v>4389</v>
      </c>
      <c r="D27429" s="4">
        <f>DATE(2004,6,2)</f>
        <v>38140</v>
      </c>
      <c r="E27429" s="5">
        <f t="shared" si="465"/>
        <v>2004</v>
      </c>
      <c r="F27429" s="3" t="s">
        <v>4390</v>
      </c>
      <c r="G27429" s="6">
        <v>1521.41</v>
      </c>
      <c r="H27429" s="5">
        <v>2959</v>
      </c>
    </row>
    <row r="27430" spans="2:8" ht="15" customHeight="1" x14ac:dyDescent="0.4">
      <c r="B27430" s="3" t="s">
        <v>7</v>
      </c>
      <c r="C27430" s="3" t="s">
        <v>4389</v>
      </c>
      <c r="D27430" s="4">
        <f>DATE(2004,6,16)</f>
        <v>38154</v>
      </c>
      <c r="E27430" s="5">
        <f t="shared" si="465"/>
        <v>2004</v>
      </c>
      <c r="F27430" s="3" t="s">
        <v>4390</v>
      </c>
      <c r="G27430" s="6">
        <v>32323.1</v>
      </c>
      <c r="H27430" s="5">
        <v>3009</v>
      </c>
    </row>
    <row r="27431" spans="2:8" ht="15" customHeight="1" x14ac:dyDescent="0.4">
      <c r="B27431" s="3" t="s">
        <v>7</v>
      </c>
      <c r="C27431" s="3" t="s">
        <v>4389</v>
      </c>
      <c r="D27431" s="4">
        <f>DATE(2004,6,17)</f>
        <v>38155</v>
      </c>
      <c r="E27431" s="5">
        <f t="shared" si="465"/>
        <v>2004</v>
      </c>
      <c r="F27431" s="3" t="s">
        <v>4390</v>
      </c>
      <c r="G27431" s="6">
        <v>3197.52</v>
      </c>
      <c r="H27431" s="5">
        <v>3032</v>
      </c>
    </row>
    <row r="27432" spans="2:8" ht="15" customHeight="1" x14ac:dyDescent="0.4">
      <c r="B27432" s="3" t="s">
        <v>7</v>
      </c>
      <c r="C27432" s="3" t="s">
        <v>4389</v>
      </c>
      <c r="D27432" s="4">
        <f>DATE(2004,7,9)</f>
        <v>38177</v>
      </c>
      <c r="E27432" s="5">
        <f t="shared" si="465"/>
        <v>2004</v>
      </c>
      <c r="F27432" s="3" t="s">
        <v>4390</v>
      </c>
      <c r="G27432" s="6">
        <v>8753.82</v>
      </c>
      <c r="H27432" s="5">
        <v>3129</v>
      </c>
    </row>
    <row r="27433" spans="2:8" ht="15" customHeight="1" x14ac:dyDescent="0.4">
      <c r="B27433" s="3" t="s">
        <v>7</v>
      </c>
      <c r="C27433" s="3" t="s">
        <v>4389</v>
      </c>
      <c r="D27433" s="4">
        <f>DATE(2004,7,19)</f>
        <v>38187</v>
      </c>
      <c r="E27433" s="5">
        <f t="shared" si="465"/>
        <v>2004</v>
      </c>
      <c r="F27433" s="3" t="s">
        <v>4390</v>
      </c>
      <c r="G27433" s="6">
        <v>2361.35</v>
      </c>
      <c r="H27433" s="5">
        <v>3160</v>
      </c>
    </row>
    <row r="27434" spans="2:8" ht="15" customHeight="1" x14ac:dyDescent="0.4">
      <c r="B27434" s="3" t="s">
        <v>7</v>
      </c>
      <c r="C27434" s="3" t="s">
        <v>4389</v>
      </c>
      <c r="D27434" s="4">
        <f>DATE(2004,7,22)</f>
        <v>38190</v>
      </c>
      <c r="E27434" s="5">
        <f t="shared" si="465"/>
        <v>2004</v>
      </c>
      <c r="F27434" s="3" t="s">
        <v>4390</v>
      </c>
      <c r="G27434" s="6">
        <v>144.1</v>
      </c>
      <c r="H27434" s="5">
        <v>3179</v>
      </c>
    </row>
    <row r="27435" spans="2:8" ht="15" customHeight="1" x14ac:dyDescent="0.4">
      <c r="B27435" s="3" t="s">
        <v>7</v>
      </c>
      <c r="C27435" s="3" t="s">
        <v>4389</v>
      </c>
      <c r="D27435" s="4">
        <f>DATE(2004,7,22)</f>
        <v>38190</v>
      </c>
      <c r="E27435" s="5">
        <f t="shared" si="465"/>
        <v>2004</v>
      </c>
      <c r="F27435" s="3" t="s">
        <v>4390</v>
      </c>
      <c r="G27435" s="6">
        <v>348.87</v>
      </c>
      <c r="H27435" s="5">
        <v>3180</v>
      </c>
    </row>
    <row r="27436" spans="2:8" ht="15" customHeight="1" x14ac:dyDescent="0.4">
      <c r="B27436" s="3" t="s">
        <v>7</v>
      </c>
      <c r="C27436" s="3" t="s">
        <v>4389</v>
      </c>
      <c r="D27436" s="4">
        <f>DATE(2004,7,28)</f>
        <v>38196</v>
      </c>
      <c r="E27436" s="5">
        <f t="shared" si="465"/>
        <v>2004</v>
      </c>
      <c r="F27436" s="3" t="s">
        <v>4390</v>
      </c>
      <c r="G27436" s="6">
        <v>421.63</v>
      </c>
      <c r="H27436" s="5">
        <v>3198</v>
      </c>
    </row>
    <row r="27437" spans="2:8" ht="15" customHeight="1" x14ac:dyDescent="0.4">
      <c r="B27437" s="3" t="s">
        <v>7</v>
      </c>
      <c r="C27437" s="3" t="s">
        <v>4389</v>
      </c>
      <c r="D27437" s="4">
        <f>DATE(2004,8,13)</f>
        <v>38212</v>
      </c>
      <c r="E27437" s="5">
        <f t="shared" si="465"/>
        <v>2004</v>
      </c>
      <c r="F27437" s="3" t="s">
        <v>4390</v>
      </c>
      <c r="G27437" s="6">
        <v>8885.25</v>
      </c>
      <c r="H27437" s="5">
        <v>3139</v>
      </c>
    </row>
    <row r="27438" spans="2:8" ht="15" customHeight="1" x14ac:dyDescent="0.4">
      <c r="B27438" s="3" t="s">
        <v>7</v>
      </c>
      <c r="C27438" s="3" t="s">
        <v>4389</v>
      </c>
      <c r="D27438" s="4">
        <f>DATE(2004,8,13)</f>
        <v>38212</v>
      </c>
      <c r="E27438" s="5">
        <f t="shared" si="465"/>
        <v>2004</v>
      </c>
      <c r="F27438" s="3" t="s">
        <v>4390</v>
      </c>
      <c r="G27438" s="6">
        <v>4276.49</v>
      </c>
      <c r="H27438" s="5">
        <v>3243</v>
      </c>
    </row>
    <row r="27439" spans="2:8" ht="15" customHeight="1" x14ac:dyDescent="0.4">
      <c r="B27439" s="3" t="s">
        <v>7</v>
      </c>
      <c r="C27439" s="3" t="s">
        <v>4389</v>
      </c>
      <c r="D27439" s="4">
        <f>DATE(2004,9,13)</f>
        <v>38243</v>
      </c>
      <c r="E27439" s="5">
        <f t="shared" si="465"/>
        <v>2004</v>
      </c>
      <c r="F27439" s="3" t="s">
        <v>4390</v>
      </c>
      <c r="G27439" s="6">
        <v>1966.29</v>
      </c>
      <c r="H27439" s="5">
        <v>3374</v>
      </c>
    </row>
    <row r="27440" spans="2:8" ht="15" customHeight="1" x14ac:dyDescent="0.4">
      <c r="B27440" s="3" t="s">
        <v>7</v>
      </c>
      <c r="C27440" s="3" t="s">
        <v>4389</v>
      </c>
      <c r="D27440" s="4">
        <f>DATE(2004,11,10)</f>
        <v>38301</v>
      </c>
      <c r="E27440" s="5">
        <f t="shared" si="465"/>
        <v>2004</v>
      </c>
      <c r="F27440" s="3" t="s">
        <v>4390</v>
      </c>
      <c r="G27440" s="6">
        <v>3412.8</v>
      </c>
      <c r="H27440" s="5">
        <v>3681</v>
      </c>
    </row>
    <row r="27441" spans="2:8" ht="15" customHeight="1" x14ac:dyDescent="0.4">
      <c r="B27441" s="3" t="s">
        <v>7</v>
      </c>
      <c r="C27441" s="3" t="s">
        <v>4389</v>
      </c>
      <c r="D27441" s="4">
        <f>DATE(2004,11,18)</f>
        <v>38309</v>
      </c>
      <c r="E27441" s="5">
        <f t="shared" si="465"/>
        <v>2004</v>
      </c>
      <c r="F27441" s="3" t="s">
        <v>4390</v>
      </c>
      <c r="G27441" s="6">
        <v>1018.94</v>
      </c>
      <c r="H27441" s="5">
        <v>3722</v>
      </c>
    </row>
    <row r="27442" spans="2:8" ht="15" customHeight="1" x14ac:dyDescent="0.4">
      <c r="B27442" s="3" t="s">
        <v>7</v>
      </c>
      <c r="C27442" s="3" t="s">
        <v>4389</v>
      </c>
      <c r="D27442" s="4">
        <f>DATE(2004,12,15)</f>
        <v>38336</v>
      </c>
      <c r="E27442" s="5">
        <f t="shared" si="465"/>
        <v>2004</v>
      </c>
      <c r="F27442" s="3" t="s">
        <v>4390</v>
      </c>
      <c r="G27442" s="6">
        <v>1969.27</v>
      </c>
      <c r="H27442" s="5">
        <v>3818</v>
      </c>
    </row>
    <row r="27443" spans="2:8" ht="15" customHeight="1" x14ac:dyDescent="0.4">
      <c r="B27443" s="3" t="s">
        <v>7</v>
      </c>
      <c r="C27443" s="3" t="s">
        <v>4389</v>
      </c>
      <c r="D27443" s="4">
        <f>DATE(2005,2,16)</f>
        <v>38399</v>
      </c>
      <c r="E27443" s="5">
        <f t="shared" si="465"/>
        <v>2005</v>
      </c>
      <c r="F27443" s="3" t="s">
        <v>4390</v>
      </c>
      <c r="G27443" s="6">
        <v>3412.8</v>
      </c>
      <c r="H27443" s="5">
        <v>4142</v>
      </c>
    </row>
    <row r="27444" spans="2:8" ht="15" customHeight="1" x14ac:dyDescent="0.4">
      <c r="B27444" s="3" t="s">
        <v>7</v>
      </c>
      <c r="C27444" s="3" t="s">
        <v>4389</v>
      </c>
      <c r="D27444" s="4">
        <f>DATE(2005,2,23)</f>
        <v>38406</v>
      </c>
      <c r="E27444" s="5">
        <f t="shared" si="465"/>
        <v>2005</v>
      </c>
      <c r="F27444" s="3" t="s">
        <v>4390</v>
      </c>
      <c r="G27444" s="6">
        <v>1524.46</v>
      </c>
      <c r="H27444" s="5">
        <v>4174</v>
      </c>
    </row>
    <row r="27445" spans="2:8" ht="15" customHeight="1" x14ac:dyDescent="0.4">
      <c r="B27445" s="3" t="s">
        <v>7</v>
      </c>
      <c r="C27445" s="3" t="s">
        <v>4389</v>
      </c>
      <c r="D27445" s="4">
        <f>DATE(2005,3,10)</f>
        <v>38421</v>
      </c>
      <c r="E27445" s="5">
        <f t="shared" si="465"/>
        <v>2005</v>
      </c>
      <c r="F27445" s="3" t="s">
        <v>4390</v>
      </c>
      <c r="G27445" s="6">
        <v>3336.04</v>
      </c>
      <c r="H27445" s="5">
        <v>4295</v>
      </c>
    </row>
    <row r="27446" spans="2:8" ht="15" customHeight="1" x14ac:dyDescent="0.4">
      <c r="B27446" s="3" t="s">
        <v>7</v>
      </c>
      <c r="C27446" s="3" t="s">
        <v>4389</v>
      </c>
      <c r="D27446" s="4">
        <f>DATE(2005,5,20)</f>
        <v>38492</v>
      </c>
      <c r="E27446" s="5">
        <f t="shared" si="465"/>
        <v>2005</v>
      </c>
      <c r="F27446" s="3" t="s">
        <v>4390</v>
      </c>
      <c r="G27446" s="6">
        <v>8635.6200000000008</v>
      </c>
      <c r="H27446" s="5">
        <v>4787</v>
      </c>
    </row>
    <row r="27447" spans="2:8" ht="15" customHeight="1" x14ac:dyDescent="0.4">
      <c r="B27447" s="3" t="s">
        <v>7</v>
      </c>
      <c r="C27447" s="3" t="s">
        <v>4389</v>
      </c>
      <c r="D27447" s="4">
        <f>DATE(2005,7,5)</f>
        <v>38538</v>
      </c>
      <c r="E27447" s="5">
        <f t="shared" si="465"/>
        <v>2005</v>
      </c>
      <c r="F27447" s="3" t="s">
        <v>4390</v>
      </c>
      <c r="G27447" s="6">
        <v>727</v>
      </c>
      <c r="H27447" s="5">
        <v>4943</v>
      </c>
    </row>
    <row r="27448" spans="2:8" ht="15" customHeight="1" x14ac:dyDescent="0.4">
      <c r="B27448" s="3" t="s">
        <v>7</v>
      </c>
      <c r="C27448" s="3" t="s">
        <v>4389</v>
      </c>
      <c r="D27448" s="4">
        <f>DATE(2005,7,28)</f>
        <v>38561</v>
      </c>
      <c r="E27448" s="5">
        <f t="shared" si="465"/>
        <v>2005</v>
      </c>
      <c r="F27448" s="3" t="s">
        <v>4390</v>
      </c>
      <c r="G27448" s="6">
        <v>4921.2</v>
      </c>
      <c r="H27448" s="5">
        <v>5038</v>
      </c>
    </row>
    <row r="27449" spans="2:8" ht="15" customHeight="1" x14ac:dyDescent="0.4">
      <c r="B27449" s="3" t="s">
        <v>7</v>
      </c>
      <c r="C27449" s="3" t="s">
        <v>4389</v>
      </c>
      <c r="D27449" s="4">
        <f>DATE(2005,8,17)</f>
        <v>38581</v>
      </c>
      <c r="E27449" s="5">
        <f t="shared" si="465"/>
        <v>2005</v>
      </c>
      <c r="F27449" s="3" t="s">
        <v>4390</v>
      </c>
      <c r="G27449" s="6">
        <v>6788.97</v>
      </c>
      <c r="H27449" s="5">
        <v>5125</v>
      </c>
    </row>
    <row r="27450" spans="2:8" ht="15" customHeight="1" x14ac:dyDescent="0.4">
      <c r="B27450" s="3" t="s">
        <v>7</v>
      </c>
      <c r="C27450" s="3" t="s">
        <v>4389</v>
      </c>
      <c r="D27450" s="4">
        <f>DATE(2005,9,14)</f>
        <v>38609</v>
      </c>
      <c r="E27450" s="5">
        <f t="shared" si="465"/>
        <v>2005</v>
      </c>
      <c r="F27450" s="3" t="s">
        <v>4390</v>
      </c>
      <c r="G27450" s="6">
        <v>5062.72</v>
      </c>
      <c r="H27450" s="5">
        <v>5251</v>
      </c>
    </row>
    <row r="27451" spans="2:8" ht="15" customHeight="1" x14ac:dyDescent="0.4">
      <c r="B27451" s="3" t="s">
        <v>7</v>
      </c>
      <c r="C27451" s="3" t="s">
        <v>4389</v>
      </c>
      <c r="D27451" s="4">
        <f>DATE(2005,11,29)</f>
        <v>38685</v>
      </c>
      <c r="E27451" s="5">
        <f t="shared" si="465"/>
        <v>2005</v>
      </c>
      <c r="F27451" s="3" t="s">
        <v>4390</v>
      </c>
      <c r="G27451" s="6">
        <v>5147.6000000000004</v>
      </c>
      <c r="H27451" s="5">
        <v>5630</v>
      </c>
    </row>
    <row r="27452" spans="2:8" ht="15" customHeight="1" x14ac:dyDescent="0.4">
      <c r="B27452" s="3" t="s">
        <v>7</v>
      </c>
      <c r="C27452" s="3" t="s">
        <v>4389</v>
      </c>
      <c r="D27452" s="4">
        <f>DATE(2005,12,21)</f>
        <v>38707</v>
      </c>
      <c r="E27452" s="5">
        <f t="shared" si="465"/>
        <v>2005</v>
      </c>
      <c r="F27452" s="3" t="s">
        <v>4390</v>
      </c>
      <c r="G27452" s="6">
        <v>888.02</v>
      </c>
      <c r="H27452" s="5">
        <v>5741</v>
      </c>
    </row>
    <row r="27453" spans="2:8" ht="15" customHeight="1" x14ac:dyDescent="0.4">
      <c r="B27453" s="3" t="s">
        <v>7</v>
      </c>
      <c r="C27453" s="3" t="s">
        <v>4389</v>
      </c>
      <c r="D27453" s="4">
        <f>DATE(2006,3,31)</f>
        <v>38807</v>
      </c>
      <c r="E27453" s="5">
        <f t="shared" si="465"/>
        <v>2006</v>
      </c>
      <c r="F27453" s="3" t="s">
        <v>4390</v>
      </c>
      <c r="G27453" s="6">
        <v>21964.02</v>
      </c>
      <c r="H27453" s="5">
        <v>6409</v>
      </c>
    </row>
    <row r="27454" spans="2:8" ht="15" customHeight="1" x14ac:dyDescent="0.4">
      <c r="B27454" s="3" t="s">
        <v>7</v>
      </c>
      <c r="C27454" s="3" t="s">
        <v>4389</v>
      </c>
      <c r="D27454" s="4">
        <f>DATE(2006,4,10)</f>
        <v>38817</v>
      </c>
      <c r="E27454" s="5">
        <f t="shared" si="465"/>
        <v>2006</v>
      </c>
      <c r="F27454" s="3" t="s">
        <v>4390</v>
      </c>
      <c r="G27454" s="6">
        <v>731.9</v>
      </c>
      <c r="H27454" s="5">
        <v>6471</v>
      </c>
    </row>
    <row r="27455" spans="2:8" ht="15" customHeight="1" x14ac:dyDescent="0.4">
      <c r="B27455" s="3" t="s">
        <v>7</v>
      </c>
      <c r="C27455" s="3" t="s">
        <v>4389</v>
      </c>
      <c r="D27455" s="4">
        <f>DATE(2006,4,21)</f>
        <v>38828</v>
      </c>
      <c r="E27455" s="5">
        <f t="shared" si="465"/>
        <v>2006</v>
      </c>
      <c r="F27455" s="3" t="s">
        <v>4390</v>
      </c>
      <c r="G27455" s="6">
        <v>6423.05</v>
      </c>
      <c r="H27455" s="5">
        <v>6504</v>
      </c>
    </row>
    <row r="27456" spans="2:8" ht="15" customHeight="1" x14ac:dyDescent="0.4">
      <c r="B27456" s="3" t="s">
        <v>7</v>
      </c>
      <c r="C27456" s="3" t="s">
        <v>4389</v>
      </c>
      <c r="D27456" s="4">
        <f>DATE(2006,5,3)</f>
        <v>38840</v>
      </c>
      <c r="E27456" s="5">
        <f t="shared" si="465"/>
        <v>2006</v>
      </c>
      <c r="F27456" s="3" t="s">
        <v>4390</v>
      </c>
      <c r="G27456" s="6">
        <v>400.44</v>
      </c>
      <c r="H27456" s="5">
        <v>6607</v>
      </c>
    </row>
    <row r="27457" spans="2:8" ht="15" customHeight="1" x14ac:dyDescent="0.4">
      <c r="B27457" s="3" t="s">
        <v>7</v>
      </c>
      <c r="C27457" s="3" t="s">
        <v>4389</v>
      </c>
      <c r="D27457" s="4">
        <f>DATE(2006,5,31)</f>
        <v>38868</v>
      </c>
      <c r="E27457" s="5">
        <f t="shared" si="465"/>
        <v>2006</v>
      </c>
      <c r="F27457" s="3" t="s">
        <v>4390</v>
      </c>
      <c r="G27457" s="6">
        <v>315.75</v>
      </c>
      <c r="H27457" s="5">
        <v>6783</v>
      </c>
    </row>
    <row r="27458" spans="2:8" ht="15" customHeight="1" x14ac:dyDescent="0.4">
      <c r="B27458" s="3" t="s">
        <v>7</v>
      </c>
      <c r="C27458" s="3" t="s">
        <v>4389</v>
      </c>
      <c r="D27458" s="4">
        <f>DATE(2006,6,21)</f>
        <v>38889</v>
      </c>
      <c r="E27458" s="5">
        <f t="shared" si="465"/>
        <v>2006</v>
      </c>
      <c r="F27458" s="3" t="s">
        <v>4390</v>
      </c>
      <c r="G27458" s="6">
        <v>1836.15</v>
      </c>
      <c r="H27458" s="5">
        <v>6816</v>
      </c>
    </row>
    <row r="27459" spans="2:8" ht="15" customHeight="1" x14ac:dyDescent="0.4">
      <c r="B27459" s="3" t="s">
        <v>7</v>
      </c>
      <c r="C27459" s="3" t="s">
        <v>4389</v>
      </c>
      <c r="D27459" s="4">
        <f>DATE(2006,7,6)</f>
        <v>38904</v>
      </c>
      <c r="E27459" s="5">
        <f t="shared" ref="E27459:E27522" si="466">YEAR(D27459)</f>
        <v>2006</v>
      </c>
      <c r="F27459" s="3" t="s">
        <v>4390</v>
      </c>
      <c r="G27459" s="6">
        <v>927.65</v>
      </c>
      <c r="H27459" s="5">
        <v>6919</v>
      </c>
    </row>
    <row r="27460" spans="2:8" ht="15" customHeight="1" x14ac:dyDescent="0.4">
      <c r="B27460" s="3" t="s">
        <v>7</v>
      </c>
      <c r="C27460" s="3" t="s">
        <v>4389</v>
      </c>
      <c r="D27460" s="4">
        <f>DATE(2006,8,9)</f>
        <v>38938</v>
      </c>
      <c r="E27460" s="5">
        <f t="shared" si="466"/>
        <v>2006</v>
      </c>
      <c r="F27460" s="3" t="s">
        <v>4390</v>
      </c>
      <c r="G27460" s="6">
        <v>24305.49</v>
      </c>
      <c r="H27460" s="5">
        <v>7016</v>
      </c>
    </row>
    <row r="27461" spans="2:8" ht="15" customHeight="1" x14ac:dyDescent="0.4">
      <c r="B27461" s="3" t="s">
        <v>7</v>
      </c>
      <c r="C27461" s="3" t="s">
        <v>4389</v>
      </c>
      <c r="D27461" s="4">
        <f>DATE(2006,8,18)</f>
        <v>38947</v>
      </c>
      <c r="E27461" s="5">
        <f t="shared" si="466"/>
        <v>2006</v>
      </c>
      <c r="F27461" s="3" t="s">
        <v>4390</v>
      </c>
      <c r="G27461" s="6">
        <v>18556.400000000001</v>
      </c>
      <c r="H27461" s="5">
        <v>7105</v>
      </c>
    </row>
    <row r="27462" spans="2:8" ht="15" customHeight="1" x14ac:dyDescent="0.4">
      <c r="B27462" s="3" t="s">
        <v>7</v>
      </c>
      <c r="C27462" s="3" t="s">
        <v>4389</v>
      </c>
      <c r="D27462" s="4">
        <f>DATE(2006,8,30)</f>
        <v>38959</v>
      </c>
      <c r="E27462" s="5">
        <f t="shared" si="466"/>
        <v>2006</v>
      </c>
      <c r="F27462" s="3" t="s">
        <v>4390</v>
      </c>
      <c r="G27462" s="6">
        <v>189.77</v>
      </c>
      <c r="H27462" s="5">
        <v>7169</v>
      </c>
    </row>
    <row r="27463" spans="2:8" ht="15" customHeight="1" x14ac:dyDescent="0.4">
      <c r="B27463" s="3" t="s">
        <v>7</v>
      </c>
      <c r="C27463" s="3" t="s">
        <v>4389</v>
      </c>
      <c r="D27463" s="4">
        <f>DATE(2006,9,12)</f>
        <v>38972</v>
      </c>
      <c r="E27463" s="5">
        <f t="shared" si="466"/>
        <v>2006</v>
      </c>
      <c r="F27463" s="3" t="s">
        <v>4390</v>
      </c>
      <c r="G27463" s="6">
        <v>1161.79</v>
      </c>
      <c r="H27463" s="5">
        <v>7220</v>
      </c>
    </row>
    <row r="27464" spans="2:8" ht="15" customHeight="1" x14ac:dyDescent="0.4">
      <c r="B27464" s="3" t="s">
        <v>7</v>
      </c>
      <c r="C27464" s="3" t="s">
        <v>4389</v>
      </c>
      <c r="D27464" s="4">
        <f>DATE(2007,2,12)</f>
        <v>39125</v>
      </c>
      <c r="E27464" s="5">
        <f t="shared" si="466"/>
        <v>2007</v>
      </c>
      <c r="F27464" s="3" t="s">
        <v>4390</v>
      </c>
      <c r="G27464" s="6">
        <v>464.73</v>
      </c>
      <c r="H27464" s="5">
        <v>7898</v>
      </c>
    </row>
    <row r="27465" spans="2:8" ht="15" customHeight="1" x14ac:dyDescent="0.4">
      <c r="B27465" s="3" t="s">
        <v>16</v>
      </c>
      <c r="C27465" s="3" t="s">
        <v>4389</v>
      </c>
      <c r="D27465" s="4">
        <f>DATE(2005,2,7)</f>
        <v>38390</v>
      </c>
      <c r="E27465" s="5">
        <f t="shared" si="466"/>
        <v>2005</v>
      </c>
      <c r="F27465" s="3" t="s">
        <v>4390</v>
      </c>
      <c r="G27465" s="6">
        <v>10539.1</v>
      </c>
      <c r="H27465" s="5">
        <v>4118</v>
      </c>
    </row>
    <row r="27466" spans="2:8" ht="15" customHeight="1" x14ac:dyDescent="0.4">
      <c r="B27466" s="3" t="s">
        <v>16</v>
      </c>
      <c r="C27466" s="3" t="s">
        <v>4389</v>
      </c>
      <c r="D27466" s="4">
        <f>DATE(2005,2,7)</f>
        <v>38390</v>
      </c>
      <c r="E27466" s="5">
        <f t="shared" si="466"/>
        <v>2005</v>
      </c>
      <c r="F27466" s="3" t="s">
        <v>4390</v>
      </c>
      <c r="G27466" s="6">
        <v>6821.1</v>
      </c>
      <c r="H27466" s="5">
        <v>4914</v>
      </c>
    </row>
    <row r="27467" spans="2:8" ht="15" customHeight="1" x14ac:dyDescent="0.4">
      <c r="B27467" s="3" t="s">
        <v>7</v>
      </c>
      <c r="C27467" s="3" t="s">
        <v>4391</v>
      </c>
      <c r="D27467" s="4">
        <f>DATE(2009,8,11)</f>
        <v>40036</v>
      </c>
      <c r="E27467" s="5">
        <f t="shared" si="466"/>
        <v>2009</v>
      </c>
      <c r="F27467" s="3" t="s">
        <v>4392</v>
      </c>
      <c r="G27467" s="6">
        <v>34.22</v>
      </c>
      <c r="H27467" s="5">
        <v>12901</v>
      </c>
    </row>
    <row r="27468" spans="2:8" ht="15" customHeight="1" x14ac:dyDescent="0.4">
      <c r="B27468" s="3" t="s">
        <v>7</v>
      </c>
      <c r="C27468" s="3" t="s">
        <v>4393</v>
      </c>
      <c r="D27468" s="4">
        <f>DATE(2007,12,20)</f>
        <v>39436</v>
      </c>
      <c r="E27468" s="5">
        <f t="shared" si="466"/>
        <v>2007</v>
      </c>
      <c r="F27468" s="3" t="s">
        <v>4394</v>
      </c>
      <c r="G27468" s="6">
        <v>12233.71</v>
      </c>
      <c r="H27468" s="5">
        <v>9619</v>
      </c>
    </row>
    <row r="27469" spans="2:8" ht="15" customHeight="1" x14ac:dyDescent="0.4">
      <c r="B27469" s="3" t="s">
        <v>7</v>
      </c>
      <c r="C27469" s="3" t="s">
        <v>4393</v>
      </c>
      <c r="D27469" s="4">
        <f>DATE(2009,1,22)</f>
        <v>39835</v>
      </c>
      <c r="E27469" s="5">
        <f t="shared" si="466"/>
        <v>2009</v>
      </c>
      <c r="F27469" s="3" t="s">
        <v>4394</v>
      </c>
      <c r="G27469" s="6">
        <v>5978.41</v>
      </c>
      <c r="H27469" s="5">
        <v>11869</v>
      </c>
    </row>
    <row r="27470" spans="2:8" ht="15" customHeight="1" x14ac:dyDescent="0.4">
      <c r="B27470" s="3" t="s">
        <v>7</v>
      </c>
      <c r="C27470" s="3" t="s">
        <v>4393</v>
      </c>
      <c r="D27470" s="4">
        <f>DATE(2010,11,30)</f>
        <v>40512</v>
      </c>
      <c r="E27470" s="5">
        <f t="shared" si="466"/>
        <v>2010</v>
      </c>
      <c r="F27470" s="3" t="s">
        <v>4394</v>
      </c>
      <c r="G27470" s="6">
        <v>820.49</v>
      </c>
      <c r="H27470" s="5">
        <v>14780</v>
      </c>
    </row>
    <row r="27471" spans="2:8" ht="15" customHeight="1" x14ac:dyDescent="0.4">
      <c r="B27471" s="3" t="s">
        <v>7</v>
      </c>
      <c r="C27471" s="3" t="s">
        <v>4393</v>
      </c>
      <c r="D27471" s="4">
        <f>DATE(2012,8,28)</f>
        <v>41149</v>
      </c>
      <c r="E27471" s="5">
        <f t="shared" si="466"/>
        <v>2012</v>
      </c>
      <c r="F27471" s="3" t="s">
        <v>4394</v>
      </c>
      <c r="G27471" s="6">
        <v>212.38</v>
      </c>
      <c r="H27471" s="5">
        <v>17526</v>
      </c>
    </row>
    <row r="27472" spans="2:8" ht="15" customHeight="1" x14ac:dyDescent="0.4">
      <c r="B27472" s="3" t="s">
        <v>7</v>
      </c>
      <c r="C27472" s="3" t="s">
        <v>4393</v>
      </c>
      <c r="D27472" s="4">
        <f>DATE(2012,9,13)</f>
        <v>41165</v>
      </c>
      <c r="E27472" s="5">
        <f t="shared" si="466"/>
        <v>2012</v>
      </c>
      <c r="F27472" s="3" t="s">
        <v>4394</v>
      </c>
      <c r="G27472" s="6">
        <v>929.79</v>
      </c>
      <c r="H27472" s="5">
        <v>17596</v>
      </c>
    </row>
    <row r="27473" spans="2:8" ht="15" customHeight="1" x14ac:dyDescent="0.4">
      <c r="B27473" s="3" t="s">
        <v>7</v>
      </c>
      <c r="C27473" s="3" t="s">
        <v>4393</v>
      </c>
      <c r="D27473" s="4">
        <f>DATE(2012,9,17)</f>
        <v>41169</v>
      </c>
      <c r="E27473" s="5">
        <f t="shared" si="466"/>
        <v>2012</v>
      </c>
      <c r="F27473" s="3" t="s">
        <v>4394</v>
      </c>
      <c r="G27473" s="6">
        <v>2297.9499999999998</v>
      </c>
      <c r="H27473" s="5">
        <v>17602</v>
      </c>
    </row>
    <row r="27474" spans="2:8" ht="15" customHeight="1" x14ac:dyDescent="0.4">
      <c r="B27474" s="3" t="s">
        <v>7</v>
      </c>
      <c r="C27474" s="3" t="s">
        <v>4393</v>
      </c>
      <c r="D27474" s="4">
        <f>DATE(2012,10,26)</f>
        <v>41208</v>
      </c>
      <c r="E27474" s="5">
        <f t="shared" si="466"/>
        <v>2012</v>
      </c>
      <c r="F27474" s="3" t="s">
        <v>4394</v>
      </c>
      <c r="G27474" s="6">
        <v>527.25</v>
      </c>
      <c r="H27474" s="5">
        <v>17735</v>
      </c>
    </row>
    <row r="27475" spans="2:8" ht="15" customHeight="1" x14ac:dyDescent="0.4">
      <c r="B27475" s="3" t="s">
        <v>7</v>
      </c>
      <c r="C27475" s="3" t="s">
        <v>4393</v>
      </c>
      <c r="D27475" s="4">
        <f>DATE(2012,11,2)</f>
        <v>41215</v>
      </c>
      <c r="E27475" s="5">
        <f t="shared" si="466"/>
        <v>2012</v>
      </c>
      <c r="F27475" s="3" t="s">
        <v>4394</v>
      </c>
      <c r="G27475" s="6">
        <v>527.25</v>
      </c>
      <c r="H27475" s="5">
        <v>17787</v>
      </c>
    </row>
    <row r="27476" spans="2:8" ht="15" customHeight="1" x14ac:dyDescent="0.4">
      <c r="B27476" t="s">
        <v>7</v>
      </c>
      <c r="C27476" t="s">
        <v>4395</v>
      </c>
      <c r="D27476" s="7">
        <f>DATE(2015,4,28)</f>
        <v>42122</v>
      </c>
      <c r="E27476" s="8">
        <f t="shared" si="466"/>
        <v>2015</v>
      </c>
      <c r="F27476" t="s">
        <v>4396</v>
      </c>
      <c r="G27476" s="9">
        <v>8260</v>
      </c>
      <c r="H27476" s="8">
        <v>20429</v>
      </c>
    </row>
    <row r="27477" spans="2:8" ht="15" customHeight="1" x14ac:dyDescent="0.4">
      <c r="B27477" t="s">
        <v>7</v>
      </c>
      <c r="C27477" t="s">
        <v>4395</v>
      </c>
      <c r="D27477" s="7">
        <f>DATE(2015,12,11)</f>
        <v>42349</v>
      </c>
      <c r="E27477" s="8">
        <f t="shared" si="466"/>
        <v>2015</v>
      </c>
      <c r="F27477" t="s">
        <v>4396</v>
      </c>
      <c r="G27477" s="9">
        <v>9100</v>
      </c>
      <c r="H27477" s="8">
        <v>21736</v>
      </c>
    </row>
    <row r="27478" spans="2:8" ht="15" customHeight="1" x14ac:dyDescent="0.4">
      <c r="B27478" t="s">
        <v>7</v>
      </c>
      <c r="C27478" t="s">
        <v>4395</v>
      </c>
      <c r="D27478" s="7">
        <f>DATE(2016,11,28)</f>
        <v>42702</v>
      </c>
      <c r="E27478" s="8">
        <f t="shared" si="466"/>
        <v>2016</v>
      </c>
      <c r="F27478" t="s">
        <v>4396</v>
      </c>
      <c r="G27478" s="9">
        <v>10500</v>
      </c>
      <c r="H27478" s="8">
        <v>23846</v>
      </c>
    </row>
    <row r="27479" spans="2:8" ht="15" customHeight="1" x14ac:dyDescent="0.4">
      <c r="B27479" s="3" t="s">
        <v>7</v>
      </c>
      <c r="C27479" s="3" t="s">
        <v>4395</v>
      </c>
      <c r="D27479" s="4">
        <f>DATE(2004,11,17)</f>
        <v>38308</v>
      </c>
      <c r="E27479" s="5">
        <f t="shared" si="466"/>
        <v>2004</v>
      </c>
      <c r="F27479" s="3" t="s">
        <v>4396</v>
      </c>
      <c r="G27479" s="6">
        <v>894.8</v>
      </c>
      <c r="H27479" s="5">
        <v>3702</v>
      </c>
    </row>
    <row r="27480" spans="2:8" ht="15" customHeight="1" x14ac:dyDescent="0.4">
      <c r="B27480" s="3" t="s">
        <v>7</v>
      </c>
      <c r="C27480" s="3" t="s">
        <v>4395</v>
      </c>
      <c r="D27480" s="4">
        <f>DATE(2005,6,10)</f>
        <v>38513</v>
      </c>
      <c r="E27480" s="5">
        <f t="shared" si="466"/>
        <v>2005</v>
      </c>
      <c r="F27480" s="3" t="s">
        <v>4396</v>
      </c>
      <c r="G27480" s="6">
        <v>25669.14</v>
      </c>
      <c r="H27480" s="5">
        <v>4812</v>
      </c>
    </row>
    <row r="27481" spans="2:8" ht="15" customHeight="1" x14ac:dyDescent="0.4">
      <c r="B27481" s="3" t="s">
        <v>7</v>
      </c>
      <c r="C27481" s="3" t="s">
        <v>4395</v>
      </c>
      <c r="D27481" s="4">
        <f>DATE(2006,8,22)</f>
        <v>38951</v>
      </c>
      <c r="E27481" s="5">
        <f t="shared" si="466"/>
        <v>2006</v>
      </c>
      <c r="F27481" s="3" t="s">
        <v>4396</v>
      </c>
      <c r="G27481" s="6">
        <v>11400</v>
      </c>
      <c r="H27481" s="5">
        <v>7103</v>
      </c>
    </row>
    <row r="27482" spans="2:8" ht="15" customHeight="1" x14ac:dyDescent="0.4">
      <c r="B27482" s="3" t="s">
        <v>7</v>
      </c>
      <c r="C27482" s="3" t="s">
        <v>4395</v>
      </c>
      <c r="D27482" s="4">
        <f>DATE(2006,8,22)</f>
        <v>38951</v>
      </c>
      <c r="E27482" s="5">
        <f t="shared" si="466"/>
        <v>2006</v>
      </c>
      <c r="F27482" s="3" t="s">
        <v>4396</v>
      </c>
      <c r="G27482" s="6">
        <v>174.51</v>
      </c>
      <c r="H27482" s="5">
        <v>7384</v>
      </c>
    </row>
    <row r="27483" spans="2:8" ht="15" customHeight="1" x14ac:dyDescent="0.4">
      <c r="B27483" s="3" t="s">
        <v>7</v>
      </c>
      <c r="C27483" s="3" t="s">
        <v>4395</v>
      </c>
      <c r="D27483" s="4">
        <f>DATE(2006,12,8)</f>
        <v>39059</v>
      </c>
      <c r="E27483" s="5">
        <f t="shared" si="466"/>
        <v>2006</v>
      </c>
      <c r="F27483" s="3" t="s">
        <v>4396</v>
      </c>
      <c r="G27483" s="6">
        <v>5000</v>
      </c>
      <c r="H27483" s="5">
        <v>7550</v>
      </c>
    </row>
    <row r="27484" spans="2:8" ht="15" customHeight="1" x14ac:dyDescent="0.4">
      <c r="B27484" s="3" t="s">
        <v>7</v>
      </c>
      <c r="C27484" s="3" t="s">
        <v>4395</v>
      </c>
      <c r="D27484" s="4">
        <f>DATE(2007,8,16)</f>
        <v>39310</v>
      </c>
      <c r="E27484" s="5">
        <f t="shared" si="466"/>
        <v>2007</v>
      </c>
      <c r="F27484" s="3" t="s">
        <v>4396</v>
      </c>
      <c r="G27484" s="6">
        <v>5000</v>
      </c>
      <c r="H27484" s="5">
        <v>8984</v>
      </c>
    </row>
    <row r="27485" spans="2:8" ht="15" customHeight="1" x14ac:dyDescent="0.4">
      <c r="B27485" s="3" t="s">
        <v>7</v>
      </c>
      <c r="C27485" s="3" t="s">
        <v>4395</v>
      </c>
      <c r="D27485" s="4">
        <f>DATE(2007,12,27)</f>
        <v>39443</v>
      </c>
      <c r="E27485" s="5">
        <f t="shared" si="466"/>
        <v>2007</v>
      </c>
      <c r="F27485" s="3" t="s">
        <v>4396</v>
      </c>
      <c r="G27485" s="6">
        <v>5000</v>
      </c>
      <c r="H27485" s="5">
        <v>9166</v>
      </c>
    </row>
    <row r="27486" spans="2:8" ht="15" customHeight="1" x14ac:dyDescent="0.4">
      <c r="B27486" s="3" t="s">
        <v>7</v>
      </c>
      <c r="C27486" s="3" t="s">
        <v>4395</v>
      </c>
      <c r="D27486" s="4">
        <f>DATE(2008,7,18)</f>
        <v>39647</v>
      </c>
      <c r="E27486" s="5">
        <f t="shared" si="466"/>
        <v>2008</v>
      </c>
      <c r="F27486" s="3" t="s">
        <v>4396</v>
      </c>
      <c r="G27486" s="6">
        <v>750</v>
      </c>
      <c r="H27486" s="5">
        <v>10830</v>
      </c>
    </row>
    <row r="27487" spans="2:8" ht="15" customHeight="1" x14ac:dyDescent="0.4">
      <c r="B27487" s="3" t="s">
        <v>7</v>
      </c>
      <c r="C27487" s="3" t="s">
        <v>4395</v>
      </c>
      <c r="D27487" s="4">
        <f>DATE(2008,9,8)</f>
        <v>39699</v>
      </c>
      <c r="E27487" s="5">
        <f t="shared" si="466"/>
        <v>2008</v>
      </c>
      <c r="F27487" s="3" t="s">
        <v>4396</v>
      </c>
      <c r="G27487" s="6">
        <v>10823.96</v>
      </c>
      <c r="H27487" s="5">
        <v>11168</v>
      </c>
    </row>
    <row r="27488" spans="2:8" ht="15" customHeight="1" x14ac:dyDescent="0.4">
      <c r="B27488" s="3" t="s">
        <v>7</v>
      </c>
      <c r="C27488" s="3" t="s">
        <v>4395</v>
      </c>
      <c r="D27488" s="4">
        <f>DATE(2008,11,5)</f>
        <v>39757</v>
      </c>
      <c r="E27488" s="5">
        <f t="shared" si="466"/>
        <v>2008</v>
      </c>
      <c r="F27488" s="3" t="s">
        <v>4396</v>
      </c>
      <c r="G27488" s="6">
        <v>7315.48</v>
      </c>
      <c r="H27488" s="5">
        <v>11529</v>
      </c>
    </row>
    <row r="27489" spans="2:8" ht="15" customHeight="1" x14ac:dyDescent="0.4">
      <c r="B27489" s="3" t="s">
        <v>7</v>
      </c>
      <c r="C27489" s="3" t="s">
        <v>4395</v>
      </c>
      <c r="D27489" s="4">
        <f>DATE(2009,1,29)</f>
        <v>39842</v>
      </c>
      <c r="E27489" s="5">
        <f t="shared" si="466"/>
        <v>2009</v>
      </c>
      <c r="F27489" s="3" t="s">
        <v>4396</v>
      </c>
      <c r="G27489" s="6">
        <v>5000</v>
      </c>
      <c r="H27489" s="5">
        <v>11870</v>
      </c>
    </row>
    <row r="27490" spans="2:8" ht="15" customHeight="1" x14ac:dyDescent="0.4">
      <c r="B27490" s="3" t="s">
        <v>7</v>
      </c>
      <c r="C27490" s="3" t="s">
        <v>4395</v>
      </c>
      <c r="D27490" s="4">
        <f>DATE(2009,3,24)</f>
        <v>39896</v>
      </c>
      <c r="E27490" s="5">
        <f t="shared" si="466"/>
        <v>2009</v>
      </c>
      <c r="F27490" s="3" t="s">
        <v>4396</v>
      </c>
      <c r="G27490" s="6">
        <v>7080</v>
      </c>
      <c r="H27490" s="5">
        <v>12252</v>
      </c>
    </row>
    <row r="27491" spans="2:8" ht="15" customHeight="1" x14ac:dyDescent="0.4">
      <c r="B27491" s="3" t="s">
        <v>7</v>
      </c>
      <c r="C27491" s="3" t="s">
        <v>4395</v>
      </c>
      <c r="D27491" s="4">
        <f>DATE(2010,12,1)</f>
        <v>40513</v>
      </c>
      <c r="E27491" s="5">
        <f t="shared" si="466"/>
        <v>2010</v>
      </c>
      <c r="F27491" s="3" t="s">
        <v>4396</v>
      </c>
      <c r="G27491" s="6">
        <v>2714</v>
      </c>
      <c r="H27491" s="5">
        <v>14774</v>
      </c>
    </row>
    <row r="27492" spans="2:8" ht="15" customHeight="1" x14ac:dyDescent="0.4">
      <c r="B27492" s="3" t="s">
        <v>7</v>
      </c>
      <c r="C27492" s="3" t="s">
        <v>4395</v>
      </c>
      <c r="D27492" s="4">
        <f>DATE(2010,12,6)</f>
        <v>40518</v>
      </c>
      <c r="E27492" s="5">
        <f t="shared" si="466"/>
        <v>2010</v>
      </c>
      <c r="F27492" s="3" t="s">
        <v>4396</v>
      </c>
      <c r="G27492" s="6">
        <v>4130</v>
      </c>
      <c r="H27492" s="5">
        <v>14774</v>
      </c>
    </row>
    <row r="27493" spans="2:8" ht="15" customHeight="1" x14ac:dyDescent="0.4">
      <c r="B27493" s="3" t="s">
        <v>7</v>
      </c>
      <c r="C27493" s="3" t="s">
        <v>4395</v>
      </c>
      <c r="D27493" s="4">
        <f>DATE(2010,12,8)</f>
        <v>40520</v>
      </c>
      <c r="E27493" s="5">
        <f t="shared" si="466"/>
        <v>2010</v>
      </c>
      <c r="F27493" s="3" t="s">
        <v>4396</v>
      </c>
      <c r="G27493" s="6">
        <v>2596</v>
      </c>
      <c r="H27493" s="5">
        <v>14774</v>
      </c>
    </row>
    <row r="27494" spans="2:8" ht="15" customHeight="1" x14ac:dyDescent="0.4">
      <c r="B27494" s="3" t="s">
        <v>7</v>
      </c>
      <c r="C27494" s="3" t="s">
        <v>4395</v>
      </c>
      <c r="D27494" s="4">
        <f>DATE(2011,6,1)</f>
        <v>40695</v>
      </c>
      <c r="E27494" s="5">
        <f t="shared" si="466"/>
        <v>2011</v>
      </c>
      <c r="F27494" s="3" t="s">
        <v>4396</v>
      </c>
      <c r="G27494" s="6">
        <v>5000</v>
      </c>
      <c r="H27494" s="5">
        <v>15633</v>
      </c>
    </row>
    <row r="27495" spans="2:8" ht="15" customHeight="1" x14ac:dyDescent="0.4">
      <c r="B27495" s="3" t="s">
        <v>7</v>
      </c>
      <c r="C27495" s="3" t="s">
        <v>4395</v>
      </c>
      <c r="D27495" s="4">
        <f>DATE(2011,9,28)</f>
        <v>40814</v>
      </c>
      <c r="E27495" s="5">
        <f t="shared" si="466"/>
        <v>2011</v>
      </c>
      <c r="F27495" s="3" t="s">
        <v>4396</v>
      </c>
      <c r="G27495" s="6">
        <v>5000</v>
      </c>
      <c r="H27495" s="5">
        <v>16030</v>
      </c>
    </row>
    <row r="27496" spans="2:8" ht="15" customHeight="1" x14ac:dyDescent="0.4">
      <c r="B27496" s="3" t="s">
        <v>7</v>
      </c>
      <c r="C27496" s="3" t="s">
        <v>4395</v>
      </c>
      <c r="D27496" s="4">
        <f>DATE(2012,1,16)</f>
        <v>40924</v>
      </c>
      <c r="E27496" s="5">
        <f t="shared" si="466"/>
        <v>2012</v>
      </c>
      <c r="F27496" s="3" t="s">
        <v>4396</v>
      </c>
      <c r="G27496" s="6">
        <v>7080</v>
      </c>
      <c r="H27496" s="5">
        <v>16328</v>
      </c>
    </row>
    <row r="27497" spans="2:8" ht="15" customHeight="1" x14ac:dyDescent="0.4">
      <c r="B27497" s="3" t="s">
        <v>7</v>
      </c>
      <c r="C27497" s="3" t="s">
        <v>4395</v>
      </c>
      <c r="D27497" s="4">
        <f>DATE(2012,6,14)</f>
        <v>41074</v>
      </c>
      <c r="E27497" s="5">
        <f t="shared" si="466"/>
        <v>2012</v>
      </c>
      <c r="F27497" s="3" t="s">
        <v>4396</v>
      </c>
      <c r="G27497" s="6">
        <v>5405</v>
      </c>
      <c r="H27497" s="5">
        <v>17262</v>
      </c>
    </row>
    <row r="27498" spans="2:8" ht="15" customHeight="1" x14ac:dyDescent="0.4">
      <c r="B27498" s="3" t="s">
        <v>7</v>
      </c>
      <c r="C27498" s="3" t="s">
        <v>4395</v>
      </c>
      <c r="D27498" s="4">
        <f>DATE(2012,6,18)</f>
        <v>41078</v>
      </c>
      <c r="E27498" s="5">
        <f t="shared" si="466"/>
        <v>2012</v>
      </c>
      <c r="F27498" s="3" t="s">
        <v>4396</v>
      </c>
      <c r="G27498" s="6">
        <v>6095</v>
      </c>
      <c r="H27498" s="5">
        <v>17272</v>
      </c>
    </row>
    <row r="27499" spans="2:8" ht="15" customHeight="1" x14ac:dyDescent="0.4">
      <c r="B27499" s="3" t="s">
        <v>7</v>
      </c>
      <c r="C27499" s="3" t="s">
        <v>4395</v>
      </c>
      <c r="D27499" s="4">
        <f>DATE(2013,1,11)</f>
        <v>41285</v>
      </c>
      <c r="E27499" s="5">
        <f t="shared" si="466"/>
        <v>2013</v>
      </c>
      <c r="F27499" s="3" t="s">
        <v>4396</v>
      </c>
      <c r="G27499" s="6">
        <v>3750</v>
      </c>
      <c r="H27499" s="5">
        <v>17917</v>
      </c>
    </row>
    <row r="27500" spans="2:8" ht="15" customHeight="1" x14ac:dyDescent="0.4">
      <c r="B27500" s="3" t="s">
        <v>7</v>
      </c>
      <c r="C27500" s="3" t="s">
        <v>4395</v>
      </c>
      <c r="D27500" s="4">
        <f>DATE(2013,8,27)</f>
        <v>41513</v>
      </c>
      <c r="E27500" s="5">
        <f t="shared" si="466"/>
        <v>2013</v>
      </c>
      <c r="F27500" s="3" t="s">
        <v>4396</v>
      </c>
      <c r="G27500" s="6">
        <v>3750</v>
      </c>
      <c r="H27500" s="5">
        <v>18899</v>
      </c>
    </row>
    <row r="27501" spans="2:8" ht="15" customHeight="1" x14ac:dyDescent="0.4">
      <c r="B27501" s="3" t="s">
        <v>7</v>
      </c>
      <c r="C27501" s="3" t="s">
        <v>4395</v>
      </c>
      <c r="D27501" s="4">
        <f>DATE(2013,11,18)</f>
        <v>41596</v>
      </c>
      <c r="E27501" s="5">
        <f t="shared" si="466"/>
        <v>2013</v>
      </c>
      <c r="F27501" s="3" t="s">
        <v>4396</v>
      </c>
      <c r="G27501" s="6">
        <v>8260</v>
      </c>
      <c r="H27501" s="5">
        <v>19223</v>
      </c>
    </row>
    <row r="27502" spans="2:8" ht="15" customHeight="1" x14ac:dyDescent="0.4">
      <c r="B27502" s="3" t="s">
        <v>7</v>
      </c>
      <c r="C27502" s="3" t="s">
        <v>4395</v>
      </c>
      <c r="D27502" s="4">
        <f>DATE(2014,1,16)</f>
        <v>41655</v>
      </c>
      <c r="E27502" s="5">
        <f t="shared" si="466"/>
        <v>2014</v>
      </c>
      <c r="F27502" s="3" t="s">
        <v>4396</v>
      </c>
      <c r="G27502" s="6">
        <v>3750</v>
      </c>
      <c r="H27502" s="5">
        <v>19366</v>
      </c>
    </row>
    <row r="27503" spans="2:8" ht="15" customHeight="1" x14ac:dyDescent="0.4">
      <c r="B27503" s="3" t="s">
        <v>7</v>
      </c>
      <c r="C27503" s="3" t="s">
        <v>4395</v>
      </c>
      <c r="D27503" s="4">
        <f>DATE(2014,3,19)</f>
        <v>41717</v>
      </c>
      <c r="E27503" s="5">
        <f t="shared" si="466"/>
        <v>2014</v>
      </c>
      <c r="F27503" s="3" t="s">
        <v>4396</v>
      </c>
      <c r="G27503" s="6">
        <v>8260</v>
      </c>
      <c r="H27503" s="5">
        <v>19636</v>
      </c>
    </row>
    <row r="27504" spans="2:8" ht="15" customHeight="1" x14ac:dyDescent="0.4">
      <c r="B27504" s="3" t="s">
        <v>7</v>
      </c>
      <c r="C27504" s="3" t="s">
        <v>4395</v>
      </c>
      <c r="D27504" s="4">
        <f>DATE(2014,12,5)</f>
        <v>41978</v>
      </c>
      <c r="E27504" s="5">
        <f t="shared" si="466"/>
        <v>2014</v>
      </c>
      <c r="F27504" s="3" t="s">
        <v>4396</v>
      </c>
      <c r="G27504" s="6">
        <v>8260</v>
      </c>
      <c r="H27504" s="5">
        <v>20427</v>
      </c>
    </row>
    <row r="27505" spans="2:8" ht="15" customHeight="1" x14ac:dyDescent="0.4">
      <c r="B27505" s="3" t="s">
        <v>16</v>
      </c>
      <c r="C27505" s="3" t="s">
        <v>4395</v>
      </c>
      <c r="D27505" s="4">
        <f>DATE(2008,7,31)</f>
        <v>39660</v>
      </c>
      <c r="E27505" s="5">
        <f t="shared" si="466"/>
        <v>2008</v>
      </c>
      <c r="F27505" s="3" t="s">
        <v>4396</v>
      </c>
      <c r="G27505" s="6">
        <v>750</v>
      </c>
      <c r="H27505" s="5">
        <v>11068</v>
      </c>
    </row>
    <row r="27506" spans="2:8" ht="15" customHeight="1" x14ac:dyDescent="0.4">
      <c r="B27506" t="s">
        <v>7</v>
      </c>
      <c r="C27506" t="s">
        <v>4397</v>
      </c>
      <c r="D27506" s="7">
        <f>DATE(2016,11,23)</f>
        <v>42697</v>
      </c>
      <c r="E27506" s="8">
        <f t="shared" si="466"/>
        <v>2016</v>
      </c>
      <c r="F27506" t="s">
        <v>4398</v>
      </c>
      <c r="G27506" s="9">
        <v>1120</v>
      </c>
      <c r="H27506" s="8">
        <v>23866</v>
      </c>
    </row>
    <row r="27507" spans="2:8" ht="15" customHeight="1" x14ac:dyDescent="0.4">
      <c r="B27507" t="s">
        <v>7</v>
      </c>
      <c r="C27507" t="s">
        <v>4397</v>
      </c>
      <c r="D27507" s="7">
        <f>DATE(2018,2,9)</f>
        <v>43140</v>
      </c>
      <c r="E27507" s="8">
        <f t="shared" si="466"/>
        <v>2018</v>
      </c>
      <c r="F27507" t="s">
        <v>4398</v>
      </c>
      <c r="G27507" s="9">
        <v>1120</v>
      </c>
      <c r="H27507" s="8">
        <v>26403</v>
      </c>
    </row>
    <row r="27508" spans="2:8" ht="15" customHeight="1" x14ac:dyDescent="0.4">
      <c r="B27508" s="3" t="s">
        <v>7</v>
      </c>
      <c r="C27508" s="3" t="s">
        <v>4397</v>
      </c>
      <c r="D27508" s="4">
        <f>DATE(2008,9,22)</f>
        <v>39713</v>
      </c>
      <c r="E27508" s="5">
        <f t="shared" si="466"/>
        <v>2008</v>
      </c>
      <c r="F27508" s="3" t="s">
        <v>4398</v>
      </c>
      <c r="G27508" s="6">
        <v>75</v>
      </c>
      <c r="H27508" s="5">
        <v>11292</v>
      </c>
    </row>
    <row r="27509" spans="2:8" ht="15" customHeight="1" x14ac:dyDescent="0.4">
      <c r="B27509" s="3" t="s">
        <v>7</v>
      </c>
      <c r="C27509" s="3" t="s">
        <v>4397</v>
      </c>
      <c r="D27509" s="4">
        <f>DATE(2008,10,24)</f>
        <v>39745</v>
      </c>
      <c r="E27509" s="5">
        <f t="shared" si="466"/>
        <v>2008</v>
      </c>
      <c r="F27509" s="3" t="s">
        <v>4398</v>
      </c>
      <c r="G27509" s="6">
        <v>1200</v>
      </c>
      <c r="H27509" s="5">
        <v>11493</v>
      </c>
    </row>
    <row r="27510" spans="2:8" ht="15" customHeight="1" x14ac:dyDescent="0.4">
      <c r="B27510" s="3" t="s">
        <v>7</v>
      </c>
      <c r="C27510" s="3" t="s">
        <v>4397</v>
      </c>
      <c r="D27510" s="4">
        <f>DATE(2008,10,24)</f>
        <v>39745</v>
      </c>
      <c r="E27510" s="5">
        <f t="shared" si="466"/>
        <v>2008</v>
      </c>
      <c r="F27510" s="3" t="s">
        <v>4398</v>
      </c>
      <c r="G27510" s="6">
        <v>150</v>
      </c>
      <c r="H27510" s="5">
        <v>11486</v>
      </c>
    </row>
    <row r="27511" spans="2:8" ht="15" customHeight="1" x14ac:dyDescent="0.4">
      <c r="B27511" s="3" t="s">
        <v>7</v>
      </c>
      <c r="C27511" s="3" t="s">
        <v>4397</v>
      </c>
      <c r="D27511" s="4">
        <f>DATE(2010,2,19)</f>
        <v>40228</v>
      </c>
      <c r="E27511" s="5">
        <f t="shared" si="466"/>
        <v>2010</v>
      </c>
      <c r="F27511" s="3" t="s">
        <v>4398</v>
      </c>
      <c r="G27511" s="6">
        <v>1600</v>
      </c>
      <c r="H27511" s="5">
        <v>13637</v>
      </c>
    </row>
    <row r="27512" spans="2:8" ht="15" customHeight="1" x14ac:dyDescent="0.4">
      <c r="B27512" s="3" t="s">
        <v>7</v>
      </c>
      <c r="C27512" s="3" t="s">
        <v>4397</v>
      </c>
      <c r="D27512" s="4">
        <f>DATE(2011,4,11)</f>
        <v>40644</v>
      </c>
      <c r="E27512" s="5">
        <f t="shared" si="466"/>
        <v>2011</v>
      </c>
      <c r="F27512" s="3" t="s">
        <v>4398</v>
      </c>
      <c r="G27512" s="6">
        <v>2240</v>
      </c>
      <c r="H27512" s="5">
        <v>15408</v>
      </c>
    </row>
    <row r="27513" spans="2:8" ht="15" customHeight="1" x14ac:dyDescent="0.4">
      <c r="B27513" s="3" t="s">
        <v>7</v>
      </c>
      <c r="C27513" s="3" t="s">
        <v>4397</v>
      </c>
      <c r="D27513" s="4">
        <f>DATE(2012,10,26)</f>
        <v>41208</v>
      </c>
      <c r="E27513" s="5">
        <f t="shared" si="466"/>
        <v>2012</v>
      </c>
      <c r="F27513" s="3" t="s">
        <v>4398</v>
      </c>
      <c r="G27513" s="6">
        <v>3360</v>
      </c>
      <c r="H27513" s="5">
        <v>17766</v>
      </c>
    </row>
    <row r="27514" spans="2:8" ht="15" customHeight="1" x14ac:dyDescent="0.4">
      <c r="B27514" s="3" t="s">
        <v>7</v>
      </c>
      <c r="C27514" s="3" t="s">
        <v>4397</v>
      </c>
      <c r="D27514" s="4">
        <f>DATE(2013,3,5)</f>
        <v>41338</v>
      </c>
      <c r="E27514" s="5">
        <f t="shared" si="466"/>
        <v>2013</v>
      </c>
      <c r="F27514" s="3" t="s">
        <v>4398</v>
      </c>
      <c r="G27514" s="6">
        <v>3360</v>
      </c>
      <c r="H27514" s="5">
        <v>18257</v>
      </c>
    </row>
    <row r="27515" spans="2:8" ht="15" customHeight="1" x14ac:dyDescent="0.4">
      <c r="B27515" s="3" t="s">
        <v>7</v>
      </c>
      <c r="C27515" s="3" t="s">
        <v>4397</v>
      </c>
      <c r="D27515" s="4">
        <f>DATE(2013,9,27)</f>
        <v>41544</v>
      </c>
      <c r="E27515" s="5">
        <f t="shared" si="466"/>
        <v>2013</v>
      </c>
      <c r="F27515" s="3" t="s">
        <v>4398</v>
      </c>
      <c r="G27515" s="6">
        <v>2240</v>
      </c>
      <c r="H27515" s="5">
        <v>19013</v>
      </c>
    </row>
    <row r="27516" spans="2:8" ht="15" customHeight="1" x14ac:dyDescent="0.4">
      <c r="B27516" s="3" t="s">
        <v>7</v>
      </c>
      <c r="C27516" s="3" t="s">
        <v>4397</v>
      </c>
      <c r="D27516" s="4">
        <f>DATE(2014,4,1)</f>
        <v>41730</v>
      </c>
      <c r="E27516" s="5">
        <f t="shared" si="466"/>
        <v>2014</v>
      </c>
      <c r="F27516" s="3" t="s">
        <v>4398</v>
      </c>
      <c r="G27516" s="6">
        <v>2240</v>
      </c>
      <c r="H27516" s="5">
        <v>19771</v>
      </c>
    </row>
    <row r="27517" spans="2:8" ht="15" customHeight="1" x14ac:dyDescent="0.4">
      <c r="B27517" s="3" t="s">
        <v>7</v>
      </c>
      <c r="C27517" s="3" t="s">
        <v>4397</v>
      </c>
      <c r="D27517" s="4">
        <f>DATE(2008,9,8)</f>
        <v>39699</v>
      </c>
      <c r="E27517" s="5">
        <f t="shared" si="466"/>
        <v>2008</v>
      </c>
      <c r="F27517" s="3" t="s">
        <v>4399</v>
      </c>
      <c r="G27517" s="6">
        <v>1200</v>
      </c>
      <c r="H27517" s="5">
        <v>11222</v>
      </c>
    </row>
    <row r="27518" spans="2:8" ht="15" customHeight="1" x14ac:dyDescent="0.4">
      <c r="B27518" s="3" t="s">
        <v>7</v>
      </c>
      <c r="C27518" s="3" t="s">
        <v>4400</v>
      </c>
      <c r="D27518" s="4">
        <f>DATE(2006,5,25)</f>
        <v>38862</v>
      </c>
      <c r="E27518" s="5">
        <f t="shared" si="466"/>
        <v>2006</v>
      </c>
      <c r="F27518" s="3" t="s">
        <v>4401</v>
      </c>
      <c r="G27518" s="6">
        <v>1021.99</v>
      </c>
      <c r="H27518" s="5">
        <v>1595</v>
      </c>
    </row>
    <row r="27519" spans="2:8" ht="15" customHeight="1" x14ac:dyDescent="0.4">
      <c r="B27519" t="s">
        <v>7</v>
      </c>
      <c r="C27519" t="s">
        <v>4402</v>
      </c>
      <c r="D27519" s="7">
        <f>DATE(2016,8,10)</f>
        <v>42592</v>
      </c>
      <c r="E27519" s="8">
        <f t="shared" si="466"/>
        <v>2016</v>
      </c>
      <c r="F27519" t="s">
        <v>4403</v>
      </c>
      <c r="G27519" s="9">
        <v>32400</v>
      </c>
      <c r="H27519" s="8">
        <v>23234</v>
      </c>
    </row>
    <row r="27520" spans="2:8" ht="15" customHeight="1" x14ac:dyDescent="0.4">
      <c r="B27520" t="s">
        <v>7</v>
      </c>
      <c r="C27520" t="s">
        <v>4402</v>
      </c>
      <c r="D27520" s="7">
        <f>DATE(2017,10,12)</f>
        <v>43020</v>
      </c>
      <c r="E27520" s="8">
        <f t="shared" si="466"/>
        <v>2017</v>
      </c>
      <c r="F27520" t="s">
        <v>4403</v>
      </c>
      <c r="G27520" s="9">
        <v>416.15</v>
      </c>
      <c r="H27520" s="8">
        <v>25694</v>
      </c>
    </row>
    <row r="27521" spans="2:8" ht="15" customHeight="1" x14ac:dyDescent="0.4">
      <c r="B27521" t="s">
        <v>7</v>
      </c>
      <c r="C27521" t="s">
        <v>4402</v>
      </c>
      <c r="D27521" s="7">
        <f>DATE(2017,12,4)</f>
        <v>43073</v>
      </c>
      <c r="E27521" s="8">
        <f t="shared" si="466"/>
        <v>2017</v>
      </c>
      <c r="F27521" t="s">
        <v>4403</v>
      </c>
      <c r="G27521" s="9">
        <v>304</v>
      </c>
      <c r="H27521" s="8">
        <v>25976</v>
      </c>
    </row>
    <row r="27522" spans="2:8" ht="15" customHeight="1" x14ac:dyDescent="0.4">
      <c r="B27522" t="s">
        <v>7</v>
      </c>
      <c r="C27522" t="s">
        <v>4402</v>
      </c>
      <c r="D27522" s="7">
        <f>DATE(2018,2,22)</f>
        <v>43153</v>
      </c>
      <c r="E27522" s="8">
        <f t="shared" si="466"/>
        <v>2018</v>
      </c>
      <c r="F27522" t="s">
        <v>4403</v>
      </c>
      <c r="G27522" s="9">
        <v>9302.19</v>
      </c>
      <c r="H27522" s="8">
        <v>26451</v>
      </c>
    </row>
    <row r="27523" spans="2:8" ht="15" customHeight="1" x14ac:dyDescent="0.4">
      <c r="B27523" t="s">
        <v>7</v>
      </c>
      <c r="C27523" t="s">
        <v>4402</v>
      </c>
      <c r="D27523" s="7">
        <f>DATE(2013,10,31)</f>
        <v>41578</v>
      </c>
      <c r="E27523" s="8">
        <f t="shared" ref="E27523:E27586" si="467">YEAR(D27523)</f>
        <v>2013</v>
      </c>
      <c r="F27523" t="s">
        <v>4403</v>
      </c>
      <c r="G27523" s="9">
        <v>34649.78</v>
      </c>
      <c r="H27523" s="8">
        <v>12620</v>
      </c>
    </row>
    <row r="27524" spans="2:8" ht="15" customHeight="1" x14ac:dyDescent="0.4">
      <c r="B27524" t="s">
        <v>7</v>
      </c>
      <c r="C27524" t="s">
        <v>4402</v>
      </c>
      <c r="D27524" s="7">
        <f>DATE(2013,12,6)</f>
        <v>41614</v>
      </c>
      <c r="E27524" s="8">
        <f t="shared" si="467"/>
        <v>2013</v>
      </c>
      <c r="F27524" t="s">
        <v>4403</v>
      </c>
      <c r="G27524" s="9">
        <v>8067.73</v>
      </c>
      <c r="H27524" s="8">
        <v>12809</v>
      </c>
    </row>
    <row r="27525" spans="2:8" ht="15" customHeight="1" x14ac:dyDescent="0.4">
      <c r="B27525" t="s">
        <v>16</v>
      </c>
      <c r="C27525" t="s">
        <v>4402</v>
      </c>
      <c r="D27525" s="7">
        <f>DATE(2013,11,4)</f>
        <v>41582</v>
      </c>
      <c r="E27525" s="8">
        <f t="shared" si="467"/>
        <v>2013</v>
      </c>
      <c r="F27525" t="s">
        <v>4403</v>
      </c>
      <c r="G27525" s="9">
        <v>2304</v>
      </c>
      <c r="H27525" s="8">
        <v>12773</v>
      </c>
    </row>
    <row r="27526" spans="2:8" ht="15" customHeight="1" x14ac:dyDescent="0.4">
      <c r="B27526" s="3" t="s">
        <v>7</v>
      </c>
      <c r="C27526" s="3" t="s">
        <v>4402</v>
      </c>
      <c r="D27526" s="4">
        <f>DATE(2010,5,21)</f>
        <v>40319</v>
      </c>
      <c r="E27526" s="5">
        <f t="shared" si="467"/>
        <v>2010</v>
      </c>
      <c r="F27526" s="3" t="s">
        <v>4403</v>
      </c>
      <c r="G27526" s="6">
        <v>258.39999999999998</v>
      </c>
      <c r="H27526" s="5">
        <v>14077</v>
      </c>
    </row>
    <row r="27527" spans="2:8" ht="15" customHeight="1" x14ac:dyDescent="0.4">
      <c r="B27527" s="3" t="s">
        <v>7</v>
      </c>
      <c r="C27527" s="3" t="s">
        <v>4402</v>
      </c>
      <c r="D27527" s="4">
        <f>DATE(2011,7,14)</f>
        <v>40738</v>
      </c>
      <c r="E27527" s="5">
        <f t="shared" si="467"/>
        <v>2011</v>
      </c>
      <c r="F27527" s="3" t="s">
        <v>4403</v>
      </c>
      <c r="G27527" s="6">
        <v>304</v>
      </c>
      <c r="H27527" s="5">
        <v>15770</v>
      </c>
    </row>
    <row r="27528" spans="2:8" ht="15" customHeight="1" x14ac:dyDescent="0.4">
      <c r="B27528" s="3" t="s">
        <v>7</v>
      </c>
      <c r="C27528" s="3" t="s">
        <v>4402</v>
      </c>
      <c r="D27528" s="4">
        <f>DATE(2012,4,13)</f>
        <v>41012</v>
      </c>
      <c r="E27528" s="5">
        <f t="shared" si="467"/>
        <v>2012</v>
      </c>
      <c r="F27528" s="3" t="s">
        <v>4403</v>
      </c>
      <c r="G27528" s="6">
        <v>304</v>
      </c>
      <c r="H27528" s="5">
        <v>16976</v>
      </c>
    </row>
    <row r="27529" spans="2:8" ht="15" customHeight="1" x14ac:dyDescent="0.4">
      <c r="B27529" s="3" t="s">
        <v>7</v>
      </c>
      <c r="C27529" s="3" t="s">
        <v>4402</v>
      </c>
      <c r="D27529" s="4">
        <f>DATE(2013,7,3)</f>
        <v>41458</v>
      </c>
      <c r="E27529" s="5">
        <f t="shared" si="467"/>
        <v>2013</v>
      </c>
      <c r="F27529" s="3" t="s">
        <v>4403</v>
      </c>
      <c r="G27529" s="6">
        <v>14609</v>
      </c>
      <c r="H27529" s="5">
        <v>18667</v>
      </c>
    </row>
    <row r="27530" spans="2:8" ht="15" customHeight="1" x14ac:dyDescent="0.4">
      <c r="B27530" s="3" t="s">
        <v>7</v>
      </c>
      <c r="C27530" s="3" t="s">
        <v>4402</v>
      </c>
      <c r="D27530" s="4">
        <f>DATE(2013,7,18)</f>
        <v>41473</v>
      </c>
      <c r="E27530" s="5">
        <f t="shared" si="467"/>
        <v>2013</v>
      </c>
      <c r="F27530" s="3" t="s">
        <v>4403</v>
      </c>
      <c r="G27530" s="6">
        <v>456</v>
      </c>
      <c r="H27530" s="5">
        <v>18765</v>
      </c>
    </row>
    <row r="27531" spans="2:8" ht="15" customHeight="1" x14ac:dyDescent="0.4">
      <c r="B27531" s="3" t="s">
        <v>7</v>
      </c>
      <c r="C27531" s="3" t="s">
        <v>4402</v>
      </c>
      <c r="D27531" s="4">
        <f>DATE(2013,7,18)</f>
        <v>41473</v>
      </c>
      <c r="E27531" s="5">
        <f t="shared" si="467"/>
        <v>2013</v>
      </c>
      <c r="F27531" s="3" t="s">
        <v>4403</v>
      </c>
      <c r="G27531" s="6">
        <v>304</v>
      </c>
      <c r="H27531" s="5">
        <v>18715</v>
      </c>
    </row>
    <row r="27532" spans="2:8" ht="15" customHeight="1" x14ac:dyDescent="0.4">
      <c r="B27532" s="3" t="s">
        <v>7</v>
      </c>
      <c r="C27532" s="3" t="s">
        <v>4402</v>
      </c>
      <c r="D27532" s="4">
        <f>DATE(2013,11,21)</f>
        <v>41599</v>
      </c>
      <c r="E27532" s="5">
        <f t="shared" si="467"/>
        <v>2013</v>
      </c>
      <c r="F27532" s="3" t="s">
        <v>4403</v>
      </c>
      <c r="G27532" s="6">
        <v>608</v>
      </c>
      <c r="H27532" s="5">
        <v>19250</v>
      </c>
    </row>
    <row r="27533" spans="2:8" ht="15" customHeight="1" x14ac:dyDescent="0.4">
      <c r="B27533" s="3" t="s">
        <v>16</v>
      </c>
      <c r="C27533" s="3" t="s">
        <v>4402</v>
      </c>
      <c r="D27533" s="4">
        <f>DATE(2013,7,19)</f>
        <v>41474</v>
      </c>
      <c r="E27533" s="5">
        <f t="shared" si="467"/>
        <v>2013</v>
      </c>
      <c r="F27533" s="3" t="s">
        <v>4403</v>
      </c>
      <c r="G27533" s="6">
        <v>6200</v>
      </c>
      <c r="H27533" s="5">
        <v>18797</v>
      </c>
    </row>
    <row r="27534" spans="2:8" ht="15" customHeight="1" x14ac:dyDescent="0.4">
      <c r="B27534" s="3" t="s">
        <v>7</v>
      </c>
      <c r="C27534" s="3" t="s">
        <v>4402</v>
      </c>
      <c r="D27534" s="4">
        <f>DATE(2003,6,26)</f>
        <v>37798</v>
      </c>
      <c r="E27534" s="5">
        <f t="shared" si="467"/>
        <v>2003</v>
      </c>
      <c r="F27534" s="3" t="s">
        <v>4404</v>
      </c>
      <c r="G27534" s="6">
        <v>585</v>
      </c>
      <c r="H27534" s="5">
        <v>1144</v>
      </c>
    </row>
    <row r="27535" spans="2:8" ht="15" customHeight="1" x14ac:dyDescent="0.4">
      <c r="B27535" s="3" t="s">
        <v>7</v>
      </c>
      <c r="C27535" s="3" t="s">
        <v>4402</v>
      </c>
      <c r="D27535" s="4">
        <f>DATE(2004,4,28)</f>
        <v>38105</v>
      </c>
      <c r="E27535" s="5">
        <f t="shared" si="467"/>
        <v>2004</v>
      </c>
      <c r="F27535" s="3" t="s">
        <v>4404</v>
      </c>
      <c r="G27535" s="6">
        <v>224.44</v>
      </c>
      <c r="H27535" s="5">
        <v>2726</v>
      </c>
    </row>
    <row r="27536" spans="2:8" ht="15" customHeight="1" x14ac:dyDescent="0.4">
      <c r="B27536" s="3" t="s">
        <v>7</v>
      </c>
      <c r="C27536" s="3" t="s">
        <v>4402</v>
      </c>
      <c r="D27536" s="4">
        <f>DATE(2004,11,22)</f>
        <v>38313</v>
      </c>
      <c r="E27536" s="5">
        <f t="shared" si="467"/>
        <v>2004</v>
      </c>
      <c r="F27536" s="3" t="s">
        <v>4404</v>
      </c>
      <c r="G27536" s="6">
        <v>1450</v>
      </c>
      <c r="H27536" s="5">
        <v>3739</v>
      </c>
    </row>
    <row r="27537" spans="2:8" ht="15" customHeight="1" x14ac:dyDescent="0.4">
      <c r="B27537" s="3" t="s">
        <v>7</v>
      </c>
      <c r="C27537" s="3" t="s">
        <v>4402</v>
      </c>
      <c r="D27537" s="4">
        <f>DATE(2008,9,23)</f>
        <v>39714</v>
      </c>
      <c r="E27537" s="5">
        <f t="shared" si="467"/>
        <v>2008</v>
      </c>
      <c r="F27537" s="3" t="s">
        <v>4404</v>
      </c>
      <c r="G27537" s="6">
        <v>1323</v>
      </c>
      <c r="H27537" s="5">
        <v>11289</v>
      </c>
    </row>
    <row r="27538" spans="2:8" ht="15" customHeight="1" x14ac:dyDescent="0.4">
      <c r="B27538" s="3" t="s">
        <v>7</v>
      </c>
      <c r="C27538" s="3" t="s">
        <v>4402</v>
      </c>
      <c r="D27538" s="4">
        <f>DATE(2008,9,30)</f>
        <v>39721</v>
      </c>
      <c r="E27538" s="5">
        <f t="shared" si="467"/>
        <v>2008</v>
      </c>
      <c r="F27538" s="3" t="s">
        <v>4404</v>
      </c>
      <c r="G27538" s="6">
        <v>159.65</v>
      </c>
      <c r="H27538" s="5">
        <v>11336</v>
      </c>
    </row>
    <row r="27539" spans="2:8" ht="15" customHeight="1" x14ac:dyDescent="0.4">
      <c r="B27539" s="3" t="s">
        <v>7</v>
      </c>
      <c r="C27539" s="3" t="s">
        <v>4405</v>
      </c>
      <c r="D27539" s="4">
        <f>DATE(2003,1,13)</f>
        <v>37634</v>
      </c>
      <c r="E27539" s="5">
        <f t="shared" si="467"/>
        <v>2003</v>
      </c>
      <c r="F27539" s="3" t="s">
        <v>4406</v>
      </c>
      <c r="G27539" s="6">
        <v>5400</v>
      </c>
      <c r="H27539" s="5">
        <v>62</v>
      </c>
    </row>
    <row r="27540" spans="2:8" ht="15" customHeight="1" x14ac:dyDescent="0.4">
      <c r="B27540" s="3" t="s">
        <v>7</v>
      </c>
      <c r="C27540" s="3" t="s">
        <v>4405</v>
      </c>
      <c r="D27540" s="4">
        <f>DATE(2003,2,6)</f>
        <v>37658</v>
      </c>
      <c r="E27540" s="5">
        <f t="shared" si="467"/>
        <v>2003</v>
      </c>
      <c r="F27540" s="3" t="s">
        <v>4406</v>
      </c>
      <c r="G27540" s="6">
        <v>1050</v>
      </c>
      <c r="H27540" s="5">
        <v>221</v>
      </c>
    </row>
    <row r="27541" spans="2:8" ht="15" customHeight="1" x14ac:dyDescent="0.4">
      <c r="B27541" s="3" t="s">
        <v>7</v>
      </c>
      <c r="C27541" s="3" t="s">
        <v>4405</v>
      </c>
      <c r="D27541" s="4">
        <f>DATE(2003,2,21)</f>
        <v>37673</v>
      </c>
      <c r="E27541" s="5">
        <f t="shared" si="467"/>
        <v>2003</v>
      </c>
      <c r="F27541" s="3" t="s">
        <v>4406</v>
      </c>
      <c r="G27541" s="6">
        <v>470</v>
      </c>
      <c r="H27541" s="5">
        <v>314</v>
      </c>
    </row>
    <row r="27542" spans="2:8" ht="15" customHeight="1" x14ac:dyDescent="0.4">
      <c r="B27542" s="3" t="s">
        <v>7</v>
      </c>
      <c r="C27542" s="3" t="s">
        <v>4405</v>
      </c>
      <c r="D27542" s="4">
        <f>DATE(2003,3,3)</f>
        <v>37683</v>
      </c>
      <c r="E27542" s="5">
        <f t="shared" si="467"/>
        <v>2003</v>
      </c>
      <c r="F27542" s="3" t="s">
        <v>4406</v>
      </c>
      <c r="G27542" s="6">
        <v>400</v>
      </c>
      <c r="H27542" s="5">
        <v>448</v>
      </c>
    </row>
    <row r="27543" spans="2:8" ht="15" customHeight="1" x14ac:dyDescent="0.4">
      <c r="B27543" s="3" t="s">
        <v>7</v>
      </c>
      <c r="C27543" s="3" t="s">
        <v>4405</v>
      </c>
      <c r="D27543" s="4">
        <f>DATE(2003,4,3)</f>
        <v>37714</v>
      </c>
      <c r="E27543" s="5">
        <f t="shared" si="467"/>
        <v>2003</v>
      </c>
      <c r="F27543" s="3" t="s">
        <v>4406</v>
      </c>
      <c r="G27543" s="6">
        <v>3450</v>
      </c>
      <c r="H27543" s="5">
        <v>684</v>
      </c>
    </row>
    <row r="27544" spans="2:8" ht="15" customHeight="1" x14ac:dyDescent="0.4">
      <c r="B27544" s="3" t="s">
        <v>7</v>
      </c>
      <c r="C27544" s="3" t="s">
        <v>4405</v>
      </c>
      <c r="D27544" s="4">
        <f>DATE(2003,4,11)</f>
        <v>37722</v>
      </c>
      <c r="E27544" s="5">
        <f t="shared" si="467"/>
        <v>2003</v>
      </c>
      <c r="F27544" s="3" t="s">
        <v>4406</v>
      </c>
      <c r="G27544" s="6">
        <v>20700</v>
      </c>
      <c r="H27544" s="5">
        <v>684</v>
      </c>
    </row>
    <row r="27545" spans="2:8" ht="15" customHeight="1" x14ac:dyDescent="0.4">
      <c r="B27545" s="3" t="s">
        <v>7</v>
      </c>
      <c r="C27545" s="3" t="s">
        <v>4405</v>
      </c>
      <c r="D27545" s="4">
        <f>DATE(2003,4,16)</f>
        <v>37727</v>
      </c>
      <c r="E27545" s="5">
        <f t="shared" si="467"/>
        <v>2003</v>
      </c>
      <c r="F27545" s="3" t="s">
        <v>4406</v>
      </c>
      <c r="G27545" s="6">
        <v>5400</v>
      </c>
      <c r="H27545" s="5">
        <v>731</v>
      </c>
    </row>
    <row r="27546" spans="2:8" ht="15" customHeight="1" x14ac:dyDescent="0.4">
      <c r="B27546" s="3" t="s">
        <v>7</v>
      </c>
      <c r="C27546" s="3" t="s">
        <v>4405</v>
      </c>
      <c r="D27546" s="4">
        <f>DATE(2003,4,23)</f>
        <v>37734</v>
      </c>
      <c r="E27546" s="5">
        <f t="shared" si="467"/>
        <v>2003</v>
      </c>
      <c r="F27546" s="3" t="s">
        <v>4406</v>
      </c>
      <c r="G27546" s="6">
        <v>2200</v>
      </c>
      <c r="H27546" s="5">
        <v>813</v>
      </c>
    </row>
    <row r="27547" spans="2:8" ht="15" customHeight="1" x14ac:dyDescent="0.4">
      <c r="B27547" s="3" t="s">
        <v>7</v>
      </c>
      <c r="C27547" s="3" t="s">
        <v>4405</v>
      </c>
      <c r="D27547" s="4">
        <f>DATE(2003,6,11)</f>
        <v>37783</v>
      </c>
      <c r="E27547" s="5">
        <f t="shared" si="467"/>
        <v>2003</v>
      </c>
      <c r="F27547" s="3" t="s">
        <v>4406</v>
      </c>
      <c r="G27547" s="6">
        <v>17.5</v>
      </c>
      <c r="H27547" s="5">
        <v>1049</v>
      </c>
    </row>
    <row r="27548" spans="2:8" ht="15" customHeight="1" x14ac:dyDescent="0.4">
      <c r="B27548" s="3" t="s">
        <v>7</v>
      </c>
      <c r="C27548" s="3" t="s">
        <v>4405</v>
      </c>
      <c r="D27548" s="4">
        <f>DATE(2003,6,26)</f>
        <v>37798</v>
      </c>
      <c r="E27548" s="5">
        <f t="shared" si="467"/>
        <v>2003</v>
      </c>
      <c r="F27548" s="3" t="s">
        <v>4406</v>
      </c>
      <c r="G27548" s="6">
        <v>7438.82</v>
      </c>
      <c r="H27548" s="5">
        <v>1018</v>
      </c>
    </row>
    <row r="27549" spans="2:8" ht="15" customHeight="1" x14ac:dyDescent="0.4">
      <c r="B27549" s="3" t="s">
        <v>7</v>
      </c>
      <c r="C27549" s="3" t="s">
        <v>4405</v>
      </c>
      <c r="D27549" s="4">
        <f>DATE(2003,7,23)</f>
        <v>37825</v>
      </c>
      <c r="E27549" s="5">
        <f t="shared" si="467"/>
        <v>2003</v>
      </c>
      <c r="F27549" s="3" t="s">
        <v>4406</v>
      </c>
      <c r="G27549" s="6">
        <v>2400</v>
      </c>
      <c r="H27549" s="5">
        <v>1247</v>
      </c>
    </row>
    <row r="27550" spans="2:8" ht="15" customHeight="1" x14ac:dyDescent="0.4">
      <c r="B27550" s="3" t="s">
        <v>7</v>
      </c>
      <c r="C27550" s="3" t="s">
        <v>4405</v>
      </c>
      <c r="D27550" s="4">
        <f>DATE(2003,8,14)</f>
        <v>37847</v>
      </c>
      <c r="E27550" s="5">
        <f t="shared" si="467"/>
        <v>2003</v>
      </c>
      <c r="F27550" s="3" t="s">
        <v>4406</v>
      </c>
      <c r="G27550" s="6">
        <v>27600</v>
      </c>
      <c r="H27550" s="5">
        <v>1359</v>
      </c>
    </row>
    <row r="27551" spans="2:8" ht="15" customHeight="1" x14ac:dyDescent="0.4">
      <c r="B27551" t="s">
        <v>7</v>
      </c>
      <c r="C27551" t="s">
        <v>4405</v>
      </c>
      <c r="D27551" s="7">
        <f>DATE(2015,2,10)</f>
        <v>42045</v>
      </c>
      <c r="E27551" s="8">
        <f t="shared" si="467"/>
        <v>2015</v>
      </c>
      <c r="F27551" t="s">
        <v>4407</v>
      </c>
      <c r="G27551" s="9">
        <v>15750</v>
      </c>
      <c r="H27551" s="8">
        <v>364</v>
      </c>
    </row>
    <row r="27552" spans="2:8" ht="15" customHeight="1" x14ac:dyDescent="0.4">
      <c r="B27552" t="s">
        <v>7</v>
      </c>
      <c r="C27552" t="s">
        <v>4405</v>
      </c>
      <c r="D27552" s="7">
        <f>DATE(2015,2,19)</f>
        <v>42054</v>
      </c>
      <c r="E27552" s="8">
        <f t="shared" si="467"/>
        <v>2015</v>
      </c>
      <c r="F27552" t="s">
        <v>4407</v>
      </c>
      <c r="G27552" s="9">
        <v>24500</v>
      </c>
      <c r="H27552" s="8">
        <v>364</v>
      </c>
    </row>
    <row r="27553" spans="2:8" ht="15" customHeight="1" x14ac:dyDescent="0.4">
      <c r="B27553" t="s">
        <v>7</v>
      </c>
      <c r="C27553" t="s">
        <v>4405</v>
      </c>
      <c r="D27553" s="7">
        <f>DATE(2015,4,14)</f>
        <v>42108</v>
      </c>
      <c r="E27553" s="8">
        <f t="shared" si="467"/>
        <v>2015</v>
      </c>
      <c r="F27553" t="s">
        <v>4407</v>
      </c>
      <c r="G27553" s="9">
        <v>5700</v>
      </c>
      <c r="H27553" s="8">
        <v>5015</v>
      </c>
    </row>
    <row r="27554" spans="2:8" ht="15" customHeight="1" x14ac:dyDescent="0.4">
      <c r="B27554" t="s">
        <v>7</v>
      </c>
      <c r="C27554" t="s">
        <v>4405</v>
      </c>
      <c r="D27554" s="7">
        <f>DATE(2015,11,3)</f>
        <v>42311</v>
      </c>
      <c r="E27554" s="8">
        <f t="shared" si="467"/>
        <v>2015</v>
      </c>
      <c r="F27554" t="s">
        <v>4407</v>
      </c>
      <c r="G27554" s="9">
        <v>14000</v>
      </c>
      <c r="H27554" s="8">
        <v>21496</v>
      </c>
    </row>
    <row r="27555" spans="2:8" ht="15" customHeight="1" x14ac:dyDescent="0.4">
      <c r="B27555" t="s">
        <v>7</v>
      </c>
      <c r="C27555" t="s">
        <v>4405</v>
      </c>
      <c r="D27555" s="7">
        <f>DATE(2015,11,9)</f>
        <v>42317</v>
      </c>
      <c r="E27555" s="8">
        <f t="shared" si="467"/>
        <v>2015</v>
      </c>
      <c r="F27555" t="s">
        <v>4407</v>
      </c>
      <c r="G27555" s="9">
        <v>17500</v>
      </c>
      <c r="H27555" s="8">
        <v>21496</v>
      </c>
    </row>
    <row r="27556" spans="2:8" ht="15" customHeight="1" x14ac:dyDescent="0.4">
      <c r="B27556" t="s">
        <v>7</v>
      </c>
      <c r="C27556" t="s">
        <v>4405</v>
      </c>
      <c r="D27556" s="7">
        <f>DATE(2015,11,11)</f>
        <v>42319</v>
      </c>
      <c r="E27556" s="8">
        <f t="shared" si="467"/>
        <v>2015</v>
      </c>
      <c r="F27556" t="s">
        <v>4407</v>
      </c>
      <c r="G27556" s="9">
        <v>24500</v>
      </c>
      <c r="H27556" s="8">
        <v>21552</v>
      </c>
    </row>
    <row r="27557" spans="2:8" ht="15" customHeight="1" x14ac:dyDescent="0.4">
      <c r="B27557" t="s">
        <v>7</v>
      </c>
      <c r="C27557" t="s">
        <v>4405</v>
      </c>
      <c r="D27557" s="7">
        <f>DATE(2016,4,12)</f>
        <v>42472</v>
      </c>
      <c r="E27557" s="8">
        <f t="shared" si="467"/>
        <v>2016</v>
      </c>
      <c r="F27557" t="s">
        <v>4407</v>
      </c>
      <c r="G27557" s="9">
        <v>33480</v>
      </c>
      <c r="H27557" s="8">
        <v>22585</v>
      </c>
    </row>
    <row r="27558" spans="2:8" ht="15" customHeight="1" x14ac:dyDescent="0.4">
      <c r="B27558" t="s">
        <v>7</v>
      </c>
      <c r="C27558" t="s">
        <v>4405</v>
      </c>
      <c r="D27558" s="7">
        <f>DATE(2016,8,18)</f>
        <v>42600</v>
      </c>
      <c r="E27558" s="8">
        <f t="shared" si="467"/>
        <v>2016</v>
      </c>
      <c r="F27558" t="s">
        <v>4407</v>
      </c>
      <c r="G27558" s="9">
        <v>556</v>
      </c>
      <c r="H27558" s="8">
        <v>23275</v>
      </c>
    </row>
    <row r="27559" spans="2:8" ht="15" customHeight="1" x14ac:dyDescent="0.4">
      <c r="B27559" t="s">
        <v>7</v>
      </c>
      <c r="C27559" t="s">
        <v>4405</v>
      </c>
      <c r="D27559" s="7">
        <f>DATE(2018,4,19)</f>
        <v>43209</v>
      </c>
      <c r="E27559" s="8">
        <f t="shared" si="467"/>
        <v>2018</v>
      </c>
      <c r="F27559" t="s">
        <v>4407</v>
      </c>
      <c r="G27559" s="9">
        <v>16.86</v>
      </c>
      <c r="H27559" s="8">
        <v>26894</v>
      </c>
    </row>
    <row r="27560" spans="2:8" ht="15" customHeight="1" x14ac:dyDescent="0.4">
      <c r="B27560" t="s">
        <v>7</v>
      </c>
      <c r="C27560" t="s">
        <v>4405</v>
      </c>
      <c r="D27560" s="7">
        <f>DATE(2018,8,6)</f>
        <v>43318</v>
      </c>
      <c r="E27560" s="8">
        <f t="shared" si="467"/>
        <v>2018</v>
      </c>
      <c r="F27560" t="s">
        <v>4407</v>
      </c>
      <c r="G27560" s="9">
        <v>162.5</v>
      </c>
      <c r="H27560" s="8">
        <v>27443</v>
      </c>
    </row>
    <row r="27561" spans="2:8" ht="15" customHeight="1" x14ac:dyDescent="0.4">
      <c r="B27561" t="s">
        <v>7</v>
      </c>
      <c r="C27561" t="s">
        <v>4405</v>
      </c>
      <c r="D27561" s="7">
        <f>DATE(2018,8,8)</f>
        <v>43320</v>
      </c>
      <c r="E27561" s="8">
        <f t="shared" si="467"/>
        <v>2018</v>
      </c>
      <c r="F27561" t="s">
        <v>4407</v>
      </c>
      <c r="G27561" s="9">
        <v>1150</v>
      </c>
      <c r="H27561" s="8">
        <v>27456</v>
      </c>
    </row>
    <row r="27562" spans="2:8" ht="15" customHeight="1" x14ac:dyDescent="0.4">
      <c r="B27562" t="s">
        <v>7</v>
      </c>
      <c r="C27562" t="s">
        <v>4405</v>
      </c>
      <c r="D27562" s="7">
        <f>DATE(2011,4,14)</f>
        <v>40647</v>
      </c>
      <c r="E27562" s="8">
        <f t="shared" si="467"/>
        <v>2011</v>
      </c>
      <c r="F27562" t="s">
        <v>4407</v>
      </c>
      <c r="G27562" s="9">
        <v>12600</v>
      </c>
      <c r="H27562" s="8">
        <v>10455</v>
      </c>
    </row>
    <row r="27563" spans="2:8" ht="15" customHeight="1" x14ac:dyDescent="0.4">
      <c r="B27563" t="s">
        <v>7</v>
      </c>
      <c r="C27563" t="s">
        <v>4405</v>
      </c>
      <c r="D27563" s="7">
        <f>DATE(2010,10,14)</f>
        <v>40465</v>
      </c>
      <c r="E27563" s="8">
        <f t="shared" si="467"/>
        <v>2010</v>
      </c>
      <c r="F27563" t="s">
        <v>4407</v>
      </c>
      <c r="G27563" s="9">
        <v>156260</v>
      </c>
      <c r="H27563" s="8">
        <v>9962</v>
      </c>
    </row>
    <row r="27564" spans="2:8" ht="15" customHeight="1" x14ac:dyDescent="0.4">
      <c r="B27564" t="s">
        <v>7</v>
      </c>
      <c r="C27564" t="s">
        <v>4405</v>
      </c>
      <c r="D27564" s="7">
        <f>DATE(2011,4,26)</f>
        <v>40659</v>
      </c>
      <c r="E27564" s="8">
        <f t="shared" si="467"/>
        <v>2011</v>
      </c>
      <c r="F27564" t="s">
        <v>4407</v>
      </c>
      <c r="G27564" s="9">
        <v>169411.28</v>
      </c>
      <c r="H27564" s="8">
        <v>10430</v>
      </c>
    </row>
    <row r="27565" spans="2:8" ht="15" customHeight="1" x14ac:dyDescent="0.4">
      <c r="B27565" t="s">
        <v>7</v>
      </c>
      <c r="C27565" t="s">
        <v>4405</v>
      </c>
      <c r="D27565" s="7">
        <f>DATE(2009,4,8)</f>
        <v>39911</v>
      </c>
      <c r="E27565" s="8">
        <f t="shared" si="467"/>
        <v>2009</v>
      </c>
      <c r="F27565" t="s">
        <v>4407</v>
      </c>
      <c r="G27565" s="9">
        <v>76477.22</v>
      </c>
      <c r="H27565" s="8">
        <v>7898</v>
      </c>
    </row>
    <row r="27566" spans="2:8" ht="15" customHeight="1" x14ac:dyDescent="0.4">
      <c r="B27566" t="s">
        <v>7</v>
      </c>
      <c r="C27566" t="s">
        <v>4405</v>
      </c>
      <c r="D27566" s="7">
        <f>DATE(2010,10,18)</f>
        <v>40469</v>
      </c>
      <c r="E27566" s="8">
        <f t="shared" si="467"/>
        <v>2010</v>
      </c>
      <c r="F27566" t="s">
        <v>4407</v>
      </c>
      <c r="G27566" s="9">
        <v>68426.710000000006</v>
      </c>
      <c r="H27566" s="8">
        <v>9957</v>
      </c>
    </row>
    <row r="27567" spans="2:8" ht="15" customHeight="1" x14ac:dyDescent="0.4">
      <c r="B27567" t="s">
        <v>7</v>
      </c>
      <c r="C27567" t="s">
        <v>4405</v>
      </c>
      <c r="D27567" s="7">
        <f>DATE(2010,10,19)</f>
        <v>40470</v>
      </c>
      <c r="E27567" s="8">
        <f t="shared" si="467"/>
        <v>2010</v>
      </c>
      <c r="F27567" t="s">
        <v>4407</v>
      </c>
      <c r="G27567" s="9">
        <v>58476.71</v>
      </c>
      <c r="H27567" s="8">
        <v>10217</v>
      </c>
    </row>
    <row r="27568" spans="2:8" ht="15" customHeight="1" x14ac:dyDescent="0.4">
      <c r="B27568" t="s">
        <v>7</v>
      </c>
      <c r="C27568" t="s">
        <v>4405</v>
      </c>
      <c r="D27568" s="7">
        <f>DATE(2011,4,21)</f>
        <v>40654</v>
      </c>
      <c r="E27568" s="8">
        <f t="shared" si="467"/>
        <v>2011</v>
      </c>
      <c r="F27568" t="s">
        <v>4407</v>
      </c>
      <c r="G27568" s="9">
        <v>141638.64000000001</v>
      </c>
      <c r="H27568" s="8">
        <v>10312</v>
      </c>
    </row>
    <row r="27569" spans="2:8" ht="15" customHeight="1" x14ac:dyDescent="0.4">
      <c r="B27569" t="s">
        <v>7</v>
      </c>
      <c r="C27569" t="s">
        <v>4405</v>
      </c>
      <c r="D27569" s="7">
        <f>DATE(2011,4,26)</f>
        <v>40659</v>
      </c>
      <c r="E27569" s="8">
        <f t="shared" si="467"/>
        <v>2011</v>
      </c>
      <c r="F27569" t="s">
        <v>4407</v>
      </c>
      <c r="G27569" s="9">
        <v>98869.119999999995</v>
      </c>
      <c r="H27569" s="8">
        <v>10451</v>
      </c>
    </row>
    <row r="27570" spans="2:8" ht="15" customHeight="1" x14ac:dyDescent="0.4">
      <c r="B27570" t="s">
        <v>7</v>
      </c>
      <c r="C27570" t="s">
        <v>4405</v>
      </c>
      <c r="D27570" s="7">
        <f>DATE(2013,2,11)</f>
        <v>41316</v>
      </c>
      <c r="E27570" s="8">
        <f t="shared" si="467"/>
        <v>2013</v>
      </c>
      <c r="F27570" t="s">
        <v>4407</v>
      </c>
      <c r="G27570" s="9">
        <v>10076.370000000001</v>
      </c>
      <c r="H27570" s="8">
        <v>12147</v>
      </c>
    </row>
    <row r="27571" spans="2:8" ht="15" customHeight="1" x14ac:dyDescent="0.4">
      <c r="B27571" t="s">
        <v>7</v>
      </c>
      <c r="C27571" t="s">
        <v>4405</v>
      </c>
      <c r="D27571" s="7">
        <f>DATE(2013,6,10)</f>
        <v>41435</v>
      </c>
      <c r="E27571" s="8">
        <f t="shared" si="467"/>
        <v>2013</v>
      </c>
      <c r="F27571" t="s">
        <v>4407</v>
      </c>
      <c r="G27571" s="9">
        <v>20113.12</v>
      </c>
      <c r="H27571" s="8">
        <v>12492</v>
      </c>
    </row>
    <row r="27572" spans="2:8" ht="15" customHeight="1" x14ac:dyDescent="0.4">
      <c r="B27572" t="s">
        <v>7</v>
      </c>
      <c r="C27572" t="s">
        <v>4405</v>
      </c>
      <c r="D27572" s="7">
        <f>DATE(2014,3,10)</f>
        <v>41708</v>
      </c>
      <c r="E27572" s="8">
        <f t="shared" si="467"/>
        <v>2014</v>
      </c>
      <c r="F27572" t="s">
        <v>4407</v>
      </c>
      <c r="G27572" s="9">
        <v>29110.12</v>
      </c>
      <c r="H27572" s="8">
        <v>13005</v>
      </c>
    </row>
    <row r="27573" spans="2:8" ht="15" customHeight="1" x14ac:dyDescent="0.4">
      <c r="B27573" t="s">
        <v>7</v>
      </c>
      <c r="C27573" t="s">
        <v>4405</v>
      </c>
      <c r="D27573" s="7">
        <f>DATE(2014,4,10)</f>
        <v>41739</v>
      </c>
      <c r="E27573" s="8">
        <f t="shared" si="467"/>
        <v>2014</v>
      </c>
      <c r="F27573" t="s">
        <v>4407</v>
      </c>
      <c r="G27573" s="9">
        <v>218397.68</v>
      </c>
      <c r="H27573" s="8">
        <v>12997</v>
      </c>
    </row>
    <row r="27574" spans="2:8" ht="15" customHeight="1" x14ac:dyDescent="0.4">
      <c r="B27574" t="s">
        <v>7</v>
      </c>
      <c r="C27574" t="s">
        <v>4405</v>
      </c>
      <c r="D27574" s="7">
        <f>DATE(2014,11,5)</f>
        <v>41948</v>
      </c>
      <c r="E27574" s="8">
        <f t="shared" si="467"/>
        <v>2014</v>
      </c>
      <c r="F27574" t="s">
        <v>4407</v>
      </c>
      <c r="G27574" s="9">
        <v>225150</v>
      </c>
      <c r="H27574" s="8">
        <v>13343</v>
      </c>
    </row>
    <row r="27575" spans="2:8" ht="15" customHeight="1" x14ac:dyDescent="0.4">
      <c r="B27575" t="s">
        <v>7</v>
      </c>
      <c r="C27575" t="s">
        <v>4405</v>
      </c>
      <c r="D27575" s="7">
        <f>DATE(2014,4,4)</f>
        <v>41733</v>
      </c>
      <c r="E27575" s="8">
        <f t="shared" si="467"/>
        <v>2014</v>
      </c>
      <c r="F27575" t="s">
        <v>4407</v>
      </c>
      <c r="G27575" s="9">
        <v>13645.1</v>
      </c>
      <c r="H27575" s="8">
        <v>13097</v>
      </c>
    </row>
    <row r="27576" spans="2:8" ht="15" customHeight="1" x14ac:dyDescent="0.4">
      <c r="B27576" t="s">
        <v>16</v>
      </c>
      <c r="C27576" t="s">
        <v>4405</v>
      </c>
      <c r="D27576" s="7">
        <f>DATE(2010,10,19)</f>
        <v>40470</v>
      </c>
      <c r="E27576" s="8">
        <f t="shared" si="467"/>
        <v>2010</v>
      </c>
      <c r="F27576" t="s">
        <v>4407</v>
      </c>
      <c r="G27576" s="9">
        <v>68426.710000000006</v>
      </c>
      <c r="H27576" s="8">
        <v>10215</v>
      </c>
    </row>
    <row r="27577" spans="2:8" ht="15" customHeight="1" x14ac:dyDescent="0.4">
      <c r="B27577" s="3" t="s">
        <v>7</v>
      </c>
      <c r="C27577" s="3" t="s">
        <v>4405</v>
      </c>
      <c r="D27577" s="4">
        <f>DATE(2007,10,3)</f>
        <v>39358</v>
      </c>
      <c r="E27577" s="5">
        <f t="shared" si="467"/>
        <v>2007</v>
      </c>
      <c r="F27577" s="3" t="s">
        <v>4407</v>
      </c>
      <c r="G27577" s="6">
        <v>189</v>
      </c>
      <c r="H27577" s="5">
        <v>9270</v>
      </c>
    </row>
    <row r="27578" spans="2:8" ht="15" customHeight="1" x14ac:dyDescent="0.4">
      <c r="B27578" s="3" t="s">
        <v>7</v>
      </c>
      <c r="C27578" s="3" t="s">
        <v>4405</v>
      </c>
      <c r="D27578" s="4">
        <f>DATE(2007,12,27)</f>
        <v>39443</v>
      </c>
      <c r="E27578" s="5">
        <f t="shared" si="467"/>
        <v>2007</v>
      </c>
      <c r="F27578" s="3" t="s">
        <v>4407</v>
      </c>
      <c r="G27578" s="6">
        <v>28800</v>
      </c>
      <c r="H27578" s="5">
        <v>9617</v>
      </c>
    </row>
    <row r="27579" spans="2:8" ht="15" customHeight="1" x14ac:dyDescent="0.4">
      <c r="B27579" s="3" t="s">
        <v>7</v>
      </c>
      <c r="C27579" s="3" t="s">
        <v>4405</v>
      </c>
      <c r="D27579" s="4">
        <f>DATE(2008,1,31)</f>
        <v>39478</v>
      </c>
      <c r="E27579" s="5">
        <f t="shared" si="467"/>
        <v>2008</v>
      </c>
      <c r="F27579" s="3" t="s">
        <v>4407</v>
      </c>
      <c r="G27579" s="6">
        <v>3115</v>
      </c>
      <c r="H27579" s="5">
        <v>9845</v>
      </c>
    </row>
    <row r="27580" spans="2:8" ht="15" customHeight="1" x14ac:dyDescent="0.4">
      <c r="B27580" s="3" t="s">
        <v>7</v>
      </c>
      <c r="C27580" s="3" t="s">
        <v>4405</v>
      </c>
      <c r="D27580" s="4">
        <f>DATE(2008,2,6)</f>
        <v>39484</v>
      </c>
      <c r="E27580" s="5">
        <f t="shared" si="467"/>
        <v>2008</v>
      </c>
      <c r="F27580" s="3" t="s">
        <v>4407</v>
      </c>
      <c r="G27580" s="6">
        <v>19135</v>
      </c>
      <c r="H27580" s="5">
        <v>9870</v>
      </c>
    </row>
    <row r="27581" spans="2:8" ht="15" customHeight="1" x14ac:dyDescent="0.4">
      <c r="B27581" s="3" t="s">
        <v>7</v>
      </c>
      <c r="C27581" s="3" t="s">
        <v>4405</v>
      </c>
      <c r="D27581" s="4">
        <f>DATE(2008,2,27)</f>
        <v>39505</v>
      </c>
      <c r="E27581" s="5">
        <f t="shared" si="467"/>
        <v>2008</v>
      </c>
      <c r="F27581" s="3" t="s">
        <v>4407</v>
      </c>
      <c r="G27581" s="6">
        <v>228</v>
      </c>
      <c r="H27581" s="5">
        <v>10052</v>
      </c>
    </row>
    <row r="27582" spans="2:8" ht="15" customHeight="1" x14ac:dyDescent="0.4">
      <c r="B27582" s="3" t="s">
        <v>7</v>
      </c>
      <c r="C27582" s="3" t="s">
        <v>4405</v>
      </c>
      <c r="D27582" s="4">
        <f>DATE(2008,3,11)</f>
        <v>39518</v>
      </c>
      <c r="E27582" s="5">
        <f t="shared" si="467"/>
        <v>2008</v>
      </c>
      <c r="F27582" s="3" t="s">
        <v>4407</v>
      </c>
      <c r="G27582" s="6">
        <v>1150</v>
      </c>
      <c r="H27582" s="5">
        <v>10153</v>
      </c>
    </row>
    <row r="27583" spans="2:8" ht="15" customHeight="1" x14ac:dyDescent="0.4">
      <c r="B27583" s="3" t="s">
        <v>7</v>
      </c>
      <c r="C27583" s="3" t="s">
        <v>4405</v>
      </c>
      <c r="D27583" s="4">
        <f>DATE(2008,12,19)</f>
        <v>39801</v>
      </c>
      <c r="E27583" s="5">
        <f t="shared" si="467"/>
        <v>2008</v>
      </c>
      <c r="F27583" s="3" t="s">
        <v>4407</v>
      </c>
      <c r="G27583" s="6">
        <v>15540</v>
      </c>
      <c r="H27583" s="5">
        <v>11470</v>
      </c>
    </row>
    <row r="27584" spans="2:8" ht="15" customHeight="1" x14ac:dyDescent="0.4">
      <c r="B27584" s="3" t="s">
        <v>7</v>
      </c>
      <c r="C27584" s="3" t="s">
        <v>4405</v>
      </c>
      <c r="D27584" s="4">
        <f>DATE(2009,1,23)</f>
        <v>39836</v>
      </c>
      <c r="E27584" s="5">
        <f t="shared" si="467"/>
        <v>2009</v>
      </c>
      <c r="F27584" s="3" t="s">
        <v>4407</v>
      </c>
      <c r="G27584" s="6">
        <v>21600</v>
      </c>
      <c r="H27584" s="5">
        <v>11865</v>
      </c>
    </row>
    <row r="27585" spans="2:8" ht="15" customHeight="1" x14ac:dyDescent="0.4">
      <c r="B27585" s="3" t="s">
        <v>7</v>
      </c>
      <c r="C27585" s="3" t="s">
        <v>4405</v>
      </c>
      <c r="D27585" s="4">
        <f>DATE(2009,2,27)</f>
        <v>39871</v>
      </c>
      <c r="E27585" s="5">
        <f t="shared" si="467"/>
        <v>2009</v>
      </c>
      <c r="F27585" s="3" t="s">
        <v>4407</v>
      </c>
      <c r="G27585" s="6">
        <v>21600</v>
      </c>
      <c r="H27585" s="5">
        <v>12077</v>
      </c>
    </row>
    <row r="27586" spans="2:8" ht="15" customHeight="1" x14ac:dyDescent="0.4">
      <c r="B27586" s="3" t="s">
        <v>7</v>
      </c>
      <c r="C27586" s="3" t="s">
        <v>4405</v>
      </c>
      <c r="D27586" s="4">
        <f>DATE(2009,7,2)</f>
        <v>39996</v>
      </c>
      <c r="E27586" s="5">
        <f t="shared" si="467"/>
        <v>2009</v>
      </c>
      <c r="F27586" s="3" t="s">
        <v>4407</v>
      </c>
      <c r="G27586" s="6">
        <v>28800</v>
      </c>
      <c r="H27586" s="5">
        <v>12731</v>
      </c>
    </row>
    <row r="27587" spans="2:8" ht="15" customHeight="1" x14ac:dyDescent="0.4">
      <c r="B27587" s="3" t="s">
        <v>7</v>
      </c>
      <c r="C27587" s="3" t="s">
        <v>4405</v>
      </c>
      <c r="D27587" s="4">
        <f>DATE(2009,7,24)</f>
        <v>40018</v>
      </c>
      <c r="E27587" s="5">
        <f t="shared" ref="E27587:E27650" si="468">YEAR(D27587)</f>
        <v>2009</v>
      </c>
      <c r="F27587" s="3" t="s">
        <v>4407</v>
      </c>
      <c r="G27587" s="6">
        <v>11125</v>
      </c>
      <c r="H27587" s="5">
        <v>12834</v>
      </c>
    </row>
    <row r="27588" spans="2:8" ht="15" customHeight="1" x14ac:dyDescent="0.4">
      <c r="B27588" s="3" t="s">
        <v>7</v>
      </c>
      <c r="C27588" s="3" t="s">
        <v>4405</v>
      </c>
      <c r="D27588" s="4">
        <f>DATE(2009,8,14)</f>
        <v>40039</v>
      </c>
      <c r="E27588" s="5">
        <f t="shared" si="468"/>
        <v>2009</v>
      </c>
      <c r="F27588" s="3" t="s">
        <v>4407</v>
      </c>
      <c r="G27588" s="6">
        <v>15575</v>
      </c>
      <c r="H27588" s="5">
        <v>12739</v>
      </c>
    </row>
    <row r="27589" spans="2:8" ht="15" customHeight="1" x14ac:dyDescent="0.4">
      <c r="B27589" s="3" t="s">
        <v>7</v>
      </c>
      <c r="C27589" s="3" t="s">
        <v>4405</v>
      </c>
      <c r="D27589" s="4">
        <f>DATE(2010,1,14)</f>
        <v>40192</v>
      </c>
      <c r="E27589" s="5">
        <f t="shared" si="468"/>
        <v>2010</v>
      </c>
      <c r="F27589" s="3" t="s">
        <v>4407</v>
      </c>
      <c r="G27589" s="6">
        <v>3770</v>
      </c>
      <c r="H27589" s="5">
        <v>13394</v>
      </c>
    </row>
    <row r="27590" spans="2:8" ht="15" customHeight="1" x14ac:dyDescent="0.4">
      <c r="B27590" s="3" t="s">
        <v>7</v>
      </c>
      <c r="C27590" s="3" t="s">
        <v>4405</v>
      </c>
      <c r="D27590" s="4">
        <f>DATE(2010,8,23)</f>
        <v>40413</v>
      </c>
      <c r="E27590" s="5">
        <f t="shared" si="468"/>
        <v>2010</v>
      </c>
      <c r="F27590" s="3" t="s">
        <v>4407</v>
      </c>
      <c r="G27590" s="6">
        <v>21600</v>
      </c>
      <c r="H27590" s="5">
        <v>14347</v>
      </c>
    </row>
    <row r="27591" spans="2:8" ht="15" customHeight="1" x14ac:dyDescent="0.4">
      <c r="B27591" s="3" t="s">
        <v>7</v>
      </c>
      <c r="C27591" s="3" t="s">
        <v>4405</v>
      </c>
      <c r="D27591" s="4">
        <f>DATE(2010,9,27)</f>
        <v>40448</v>
      </c>
      <c r="E27591" s="5">
        <f t="shared" si="468"/>
        <v>2010</v>
      </c>
      <c r="F27591" s="3" t="s">
        <v>4407</v>
      </c>
      <c r="G27591" s="6">
        <v>18000</v>
      </c>
      <c r="H27591" s="5">
        <v>14548</v>
      </c>
    </row>
    <row r="27592" spans="2:8" ht="15" customHeight="1" x14ac:dyDescent="0.4">
      <c r="B27592" s="3" t="s">
        <v>7</v>
      </c>
      <c r="C27592" s="3" t="s">
        <v>4405</v>
      </c>
      <c r="D27592" s="4">
        <f>DATE(2011,1,27)</f>
        <v>40570</v>
      </c>
      <c r="E27592" s="5">
        <f t="shared" si="468"/>
        <v>2011</v>
      </c>
      <c r="F27592" s="3" t="s">
        <v>4407</v>
      </c>
      <c r="G27592" s="6">
        <v>16465</v>
      </c>
      <c r="H27592" s="5">
        <v>14953</v>
      </c>
    </row>
    <row r="27593" spans="2:8" ht="15" customHeight="1" x14ac:dyDescent="0.4">
      <c r="B27593" s="3" t="s">
        <v>7</v>
      </c>
      <c r="C27593" s="3" t="s">
        <v>4405</v>
      </c>
      <c r="D27593" s="4">
        <f>DATE(2011,3,18)</f>
        <v>40620</v>
      </c>
      <c r="E27593" s="5">
        <f t="shared" si="468"/>
        <v>2011</v>
      </c>
      <c r="F27593" s="3" t="s">
        <v>4407</v>
      </c>
      <c r="G27593" s="6">
        <v>1335</v>
      </c>
      <c r="H27593" s="5">
        <v>15274</v>
      </c>
    </row>
    <row r="27594" spans="2:8" ht="15" customHeight="1" x14ac:dyDescent="0.4">
      <c r="B27594" s="3" t="s">
        <v>7</v>
      </c>
      <c r="C27594" s="3" t="s">
        <v>4405</v>
      </c>
      <c r="D27594" s="4">
        <f>DATE(2011,3,31)</f>
        <v>40633</v>
      </c>
      <c r="E27594" s="5">
        <f t="shared" si="468"/>
        <v>2011</v>
      </c>
      <c r="F27594" s="3" t="s">
        <v>4407</v>
      </c>
      <c r="G27594" s="6">
        <v>8900</v>
      </c>
      <c r="H27594" s="5">
        <v>14699</v>
      </c>
    </row>
    <row r="27595" spans="2:8" ht="15" customHeight="1" x14ac:dyDescent="0.4">
      <c r="B27595" s="3" t="s">
        <v>7</v>
      </c>
      <c r="C27595" s="3" t="s">
        <v>4405</v>
      </c>
      <c r="D27595" s="4">
        <f>DATE(2011,11,21)</f>
        <v>40868</v>
      </c>
      <c r="E27595" s="5">
        <f t="shared" si="468"/>
        <v>2011</v>
      </c>
      <c r="F27595" s="3" t="s">
        <v>4407</v>
      </c>
      <c r="G27595" s="6">
        <v>63</v>
      </c>
      <c r="H27595" s="5">
        <v>16238</v>
      </c>
    </row>
    <row r="27596" spans="2:8" ht="15" customHeight="1" x14ac:dyDescent="0.4">
      <c r="B27596" s="3" t="s">
        <v>7</v>
      </c>
      <c r="C27596" s="3" t="s">
        <v>4405</v>
      </c>
      <c r="D27596" s="4">
        <f>DATE(2012,1,17)</f>
        <v>40925</v>
      </c>
      <c r="E27596" s="5">
        <f t="shared" si="468"/>
        <v>2012</v>
      </c>
      <c r="F27596" s="3" t="s">
        <v>4407</v>
      </c>
      <c r="G27596" s="6">
        <v>29628</v>
      </c>
      <c r="H27596" s="5">
        <v>16383</v>
      </c>
    </row>
    <row r="27597" spans="2:8" ht="15" customHeight="1" x14ac:dyDescent="0.4">
      <c r="B27597" s="3" t="s">
        <v>7</v>
      </c>
      <c r="C27597" s="3" t="s">
        <v>4405</v>
      </c>
      <c r="D27597" s="4">
        <f>DATE(2014,3,13)</f>
        <v>41711</v>
      </c>
      <c r="E27597" s="5">
        <f t="shared" si="468"/>
        <v>2014</v>
      </c>
      <c r="F27597" s="3" t="s">
        <v>4407</v>
      </c>
      <c r="G27597" s="6">
        <v>9120</v>
      </c>
      <c r="H27597" s="5">
        <v>19617</v>
      </c>
    </row>
    <row r="27598" spans="2:8" ht="15" customHeight="1" x14ac:dyDescent="0.4">
      <c r="B27598" s="3" t="s">
        <v>7</v>
      </c>
      <c r="C27598" s="3" t="s">
        <v>4405</v>
      </c>
      <c r="D27598" s="4">
        <f>DATE(2014,3,18)</f>
        <v>41716</v>
      </c>
      <c r="E27598" s="5">
        <f t="shared" si="468"/>
        <v>2014</v>
      </c>
      <c r="F27598" s="3" t="s">
        <v>4407</v>
      </c>
      <c r="G27598" s="6">
        <v>36400</v>
      </c>
      <c r="H27598" s="5">
        <v>19680</v>
      </c>
    </row>
    <row r="27599" spans="2:8" ht="15" customHeight="1" x14ac:dyDescent="0.4">
      <c r="B27599" s="3" t="s">
        <v>7</v>
      </c>
      <c r="C27599" s="3" t="s">
        <v>4405</v>
      </c>
      <c r="D27599" s="4">
        <f>DATE(2014,3,18)</f>
        <v>41716</v>
      </c>
      <c r="E27599" s="5">
        <f t="shared" si="468"/>
        <v>2014</v>
      </c>
      <c r="F27599" s="3" t="s">
        <v>4407</v>
      </c>
      <c r="G27599" s="6">
        <v>5600</v>
      </c>
      <c r="H27599" s="5">
        <v>19680</v>
      </c>
    </row>
    <row r="27600" spans="2:8" ht="15" customHeight="1" x14ac:dyDescent="0.4">
      <c r="B27600" s="3" t="s">
        <v>7</v>
      </c>
      <c r="C27600" s="3" t="s">
        <v>4405</v>
      </c>
      <c r="D27600" s="4">
        <f>DATE(2014,7,29)</f>
        <v>41849</v>
      </c>
      <c r="E27600" s="5">
        <f t="shared" si="468"/>
        <v>2014</v>
      </c>
      <c r="F27600" s="3" t="s">
        <v>4407</v>
      </c>
      <c r="G27600" s="6">
        <v>7200</v>
      </c>
      <c r="H27600" s="5">
        <v>20239</v>
      </c>
    </row>
    <row r="27601" spans="2:8" ht="15" customHeight="1" x14ac:dyDescent="0.4">
      <c r="B27601" s="3" t="s">
        <v>7</v>
      </c>
      <c r="C27601" s="3" t="s">
        <v>4405</v>
      </c>
      <c r="D27601" s="4">
        <f>DATE(2014,8,1)</f>
        <v>41852</v>
      </c>
      <c r="E27601" s="5">
        <f t="shared" si="468"/>
        <v>2014</v>
      </c>
      <c r="F27601" s="3" t="s">
        <v>4407</v>
      </c>
      <c r="G27601" s="6">
        <v>25200</v>
      </c>
      <c r="H27601" s="5">
        <v>20243</v>
      </c>
    </row>
    <row r="27602" spans="2:8" ht="15" customHeight="1" x14ac:dyDescent="0.4">
      <c r="B27602" s="3" t="s">
        <v>7</v>
      </c>
      <c r="C27602" s="3" t="s">
        <v>4405</v>
      </c>
      <c r="D27602" s="4">
        <f>DATE(2014,8,6)</f>
        <v>41857</v>
      </c>
      <c r="E27602" s="5">
        <f t="shared" si="468"/>
        <v>2014</v>
      </c>
      <c r="F27602" s="3" t="s">
        <v>4407</v>
      </c>
      <c r="G27602" s="6">
        <v>27000</v>
      </c>
      <c r="H27602" s="5">
        <v>20243</v>
      </c>
    </row>
    <row r="27603" spans="2:8" ht="15" customHeight="1" x14ac:dyDescent="0.4">
      <c r="B27603" s="3" t="s">
        <v>7</v>
      </c>
      <c r="C27603" s="3" t="s">
        <v>4405</v>
      </c>
      <c r="D27603" s="4">
        <f>DATE(2014,9,4)</f>
        <v>41886</v>
      </c>
      <c r="E27603" s="5">
        <f t="shared" si="468"/>
        <v>2014</v>
      </c>
      <c r="F27603" s="3" t="s">
        <v>4407</v>
      </c>
      <c r="G27603" s="6">
        <v>9500</v>
      </c>
      <c r="H27603" s="5">
        <v>20335</v>
      </c>
    </row>
    <row r="27604" spans="2:8" ht="15" customHeight="1" x14ac:dyDescent="0.4">
      <c r="B27604" s="3" t="s">
        <v>7</v>
      </c>
      <c r="C27604" s="3" t="s">
        <v>4405</v>
      </c>
      <c r="D27604" s="4">
        <f>DATE(2014,9,17)</f>
        <v>41899</v>
      </c>
      <c r="E27604" s="5">
        <f t="shared" si="468"/>
        <v>2014</v>
      </c>
      <c r="F27604" s="3" t="s">
        <v>4407</v>
      </c>
      <c r="G27604" s="6">
        <v>44840</v>
      </c>
      <c r="H27604" s="5">
        <v>20411</v>
      </c>
    </row>
    <row r="27605" spans="2:8" ht="15" customHeight="1" x14ac:dyDescent="0.4">
      <c r="B27605" t="s">
        <v>7</v>
      </c>
      <c r="C27605" t="s">
        <v>4405</v>
      </c>
      <c r="D27605" s="7">
        <f>DATE(2003,12,19)</f>
        <v>37974</v>
      </c>
      <c r="E27605" s="8">
        <f t="shared" si="468"/>
        <v>2003</v>
      </c>
      <c r="F27605" t="s">
        <v>4408</v>
      </c>
      <c r="G27605" s="9">
        <v>67913.98</v>
      </c>
      <c r="H27605" s="8">
        <v>832</v>
      </c>
    </row>
    <row r="27606" spans="2:8" ht="15" customHeight="1" x14ac:dyDescent="0.4">
      <c r="B27606" t="s">
        <v>7</v>
      </c>
      <c r="C27606" t="s">
        <v>4405</v>
      </c>
      <c r="D27606" s="7">
        <f>DATE(2004,10,7)</f>
        <v>38267</v>
      </c>
      <c r="E27606" s="8">
        <f t="shared" si="468"/>
        <v>2004</v>
      </c>
      <c r="F27606" t="s">
        <v>4408</v>
      </c>
      <c r="G27606" s="9">
        <v>75247.08</v>
      </c>
      <c r="H27606" s="8">
        <v>1942</v>
      </c>
    </row>
    <row r="27607" spans="2:8" ht="15" customHeight="1" x14ac:dyDescent="0.4">
      <c r="B27607" t="s">
        <v>7</v>
      </c>
      <c r="C27607" t="s">
        <v>4405</v>
      </c>
      <c r="D27607" s="7">
        <f>DATE(2004,12,6)</f>
        <v>38327</v>
      </c>
      <c r="E27607" s="8">
        <f t="shared" si="468"/>
        <v>2004</v>
      </c>
      <c r="F27607" t="s">
        <v>4408</v>
      </c>
      <c r="G27607" s="9">
        <v>440.4</v>
      </c>
      <c r="H27607" s="8">
        <v>2429</v>
      </c>
    </row>
    <row r="27608" spans="2:8" ht="15" customHeight="1" x14ac:dyDescent="0.4">
      <c r="B27608" t="s">
        <v>7</v>
      </c>
      <c r="C27608" t="s">
        <v>4405</v>
      </c>
      <c r="D27608" s="7">
        <f>DATE(2005,1,31)</f>
        <v>38383</v>
      </c>
      <c r="E27608" s="8">
        <f t="shared" si="468"/>
        <v>2005</v>
      </c>
      <c r="F27608" t="s">
        <v>4408</v>
      </c>
      <c r="G27608" s="9">
        <v>102536.19</v>
      </c>
      <c r="H27608" s="8">
        <v>2649</v>
      </c>
    </row>
    <row r="27609" spans="2:8" ht="15" customHeight="1" x14ac:dyDescent="0.4">
      <c r="B27609" t="s">
        <v>7</v>
      </c>
      <c r="C27609" t="s">
        <v>4405</v>
      </c>
      <c r="D27609" s="7">
        <f>DATE(2005,4,24)</f>
        <v>38466</v>
      </c>
      <c r="E27609" s="8">
        <f t="shared" si="468"/>
        <v>2005</v>
      </c>
      <c r="F27609" t="s">
        <v>4408</v>
      </c>
      <c r="G27609" s="9">
        <v>86759.21</v>
      </c>
      <c r="H27609" s="8">
        <v>2885</v>
      </c>
    </row>
    <row r="27610" spans="2:8" ht="15" customHeight="1" x14ac:dyDescent="0.4">
      <c r="B27610" t="s">
        <v>7</v>
      </c>
      <c r="C27610" t="s">
        <v>4405</v>
      </c>
      <c r="D27610" s="7">
        <f>DATE(2005,5,16)</f>
        <v>38488</v>
      </c>
      <c r="E27610" s="8">
        <f t="shared" si="468"/>
        <v>2005</v>
      </c>
      <c r="F27610" t="s">
        <v>4408</v>
      </c>
      <c r="G27610" s="9">
        <v>32365.99</v>
      </c>
      <c r="H27610" s="8">
        <v>2894</v>
      </c>
    </row>
    <row r="27611" spans="2:8" ht="15" customHeight="1" x14ac:dyDescent="0.4">
      <c r="B27611" t="s">
        <v>7</v>
      </c>
      <c r="C27611" t="s">
        <v>4405</v>
      </c>
      <c r="D27611" s="7">
        <f>DATE(2006,3,10)</f>
        <v>38786</v>
      </c>
      <c r="E27611" s="8">
        <f t="shared" si="468"/>
        <v>2006</v>
      </c>
      <c r="F27611" t="s">
        <v>4408</v>
      </c>
      <c r="G27611" s="9">
        <v>125040.67</v>
      </c>
      <c r="H27611" s="8">
        <v>4224</v>
      </c>
    </row>
    <row r="27612" spans="2:8" ht="15" customHeight="1" x14ac:dyDescent="0.4">
      <c r="B27612" t="s">
        <v>7</v>
      </c>
      <c r="C27612" t="s">
        <v>4405</v>
      </c>
      <c r="D27612" s="7">
        <f>DATE(2006,11,1)</f>
        <v>39022</v>
      </c>
      <c r="E27612" s="8">
        <f t="shared" si="468"/>
        <v>2006</v>
      </c>
      <c r="F27612" t="s">
        <v>4408</v>
      </c>
      <c r="G27612" s="9">
        <v>108660</v>
      </c>
      <c r="H27612" s="8">
        <v>4764</v>
      </c>
    </row>
    <row r="27613" spans="2:8" ht="15" customHeight="1" x14ac:dyDescent="0.4">
      <c r="B27613" t="s">
        <v>7</v>
      </c>
      <c r="C27613" t="s">
        <v>4405</v>
      </c>
      <c r="D27613" s="7">
        <f>DATE(2006,12,12)</f>
        <v>39063</v>
      </c>
      <c r="E27613" s="8">
        <f t="shared" si="468"/>
        <v>2006</v>
      </c>
      <c r="F27613" t="s">
        <v>4408</v>
      </c>
      <c r="G27613" s="9">
        <v>15473.42</v>
      </c>
      <c r="H27613" s="8">
        <v>5263</v>
      </c>
    </row>
    <row r="27614" spans="2:8" ht="15" customHeight="1" x14ac:dyDescent="0.4">
      <c r="B27614" t="s">
        <v>16</v>
      </c>
      <c r="C27614" t="s">
        <v>4405</v>
      </c>
      <c r="D27614" s="7">
        <f>DATE(2005,9,6)</f>
        <v>38601</v>
      </c>
      <c r="E27614" s="8">
        <f t="shared" si="468"/>
        <v>2005</v>
      </c>
      <c r="F27614" t="s">
        <v>4408</v>
      </c>
      <c r="G27614" s="9">
        <v>2500</v>
      </c>
      <c r="H27614" s="8">
        <v>3561</v>
      </c>
    </row>
    <row r="27615" spans="2:8" ht="15" customHeight="1" x14ac:dyDescent="0.4">
      <c r="B27615" s="3" t="s">
        <v>7</v>
      </c>
      <c r="C27615" s="3" t="s">
        <v>4405</v>
      </c>
      <c r="D27615" s="4">
        <f>DATE(2003,12,1)</f>
        <v>37956</v>
      </c>
      <c r="E27615" s="5">
        <f t="shared" si="468"/>
        <v>2003</v>
      </c>
      <c r="F27615" s="3" t="s">
        <v>4408</v>
      </c>
      <c r="G27615" s="6">
        <v>5400</v>
      </c>
      <c r="H27615" s="5">
        <v>1841</v>
      </c>
    </row>
    <row r="27616" spans="2:8" ht="15" customHeight="1" x14ac:dyDescent="0.4">
      <c r="B27616" s="3" t="s">
        <v>7</v>
      </c>
      <c r="C27616" s="3" t="s">
        <v>4405</v>
      </c>
      <c r="D27616" s="4">
        <f>DATE(2003,12,18)</f>
        <v>37973</v>
      </c>
      <c r="E27616" s="5">
        <f t="shared" si="468"/>
        <v>2003</v>
      </c>
      <c r="F27616" s="3" t="s">
        <v>4408</v>
      </c>
      <c r="G27616" s="6">
        <v>329</v>
      </c>
      <c r="H27616" s="5">
        <v>1904</v>
      </c>
    </row>
    <row r="27617" spans="2:8" ht="15" customHeight="1" x14ac:dyDescent="0.4">
      <c r="B27617" s="3" t="s">
        <v>7</v>
      </c>
      <c r="C27617" s="3" t="s">
        <v>4405</v>
      </c>
      <c r="D27617" s="4">
        <f>DATE(2004,3,31)</f>
        <v>38077</v>
      </c>
      <c r="E27617" s="5">
        <f t="shared" si="468"/>
        <v>2004</v>
      </c>
      <c r="F27617" s="3" t="s">
        <v>4408</v>
      </c>
      <c r="G27617" s="6">
        <v>10800</v>
      </c>
      <c r="H27617" s="5">
        <v>2513</v>
      </c>
    </row>
    <row r="27618" spans="2:8" ht="15" customHeight="1" x14ac:dyDescent="0.4">
      <c r="B27618" s="3" t="s">
        <v>7</v>
      </c>
      <c r="C27618" s="3" t="s">
        <v>4405</v>
      </c>
      <c r="D27618" s="4">
        <f>DATE(2004,5,12)</f>
        <v>38119</v>
      </c>
      <c r="E27618" s="5">
        <f t="shared" si="468"/>
        <v>2004</v>
      </c>
      <c r="F27618" s="3" t="s">
        <v>4408</v>
      </c>
      <c r="G27618" s="6">
        <v>7200</v>
      </c>
      <c r="H27618" s="5">
        <v>2771</v>
      </c>
    </row>
    <row r="27619" spans="2:8" ht="15" customHeight="1" x14ac:dyDescent="0.4">
      <c r="B27619" s="3" t="s">
        <v>7</v>
      </c>
      <c r="C27619" s="3" t="s">
        <v>4405</v>
      </c>
      <c r="D27619" s="4">
        <f>DATE(2004,6,11)</f>
        <v>38149</v>
      </c>
      <c r="E27619" s="5">
        <f t="shared" si="468"/>
        <v>2004</v>
      </c>
      <c r="F27619" s="3" t="s">
        <v>4408</v>
      </c>
      <c r="G27619" s="6">
        <v>9000</v>
      </c>
      <c r="H27619" s="5">
        <v>2953</v>
      </c>
    </row>
    <row r="27620" spans="2:8" ht="15" customHeight="1" x14ac:dyDescent="0.4">
      <c r="B27620" s="3" t="s">
        <v>7</v>
      </c>
      <c r="C27620" s="3" t="s">
        <v>4405</v>
      </c>
      <c r="D27620" s="4">
        <f>DATE(2004,6,11)</f>
        <v>38149</v>
      </c>
      <c r="E27620" s="5">
        <f t="shared" si="468"/>
        <v>2004</v>
      </c>
      <c r="F27620" s="3" t="s">
        <v>4408</v>
      </c>
      <c r="G27620" s="6">
        <v>5400</v>
      </c>
      <c r="H27620" s="5">
        <v>2963</v>
      </c>
    </row>
    <row r="27621" spans="2:8" ht="15" customHeight="1" x14ac:dyDescent="0.4">
      <c r="B27621" s="3" t="s">
        <v>7</v>
      </c>
      <c r="C27621" s="3" t="s">
        <v>4405</v>
      </c>
      <c r="D27621" s="4">
        <f>DATE(2004,8,30)</f>
        <v>38229</v>
      </c>
      <c r="E27621" s="5">
        <f t="shared" si="468"/>
        <v>2004</v>
      </c>
      <c r="F27621" s="3" t="s">
        <v>4408</v>
      </c>
      <c r="G27621" s="6">
        <v>5400</v>
      </c>
      <c r="H27621" s="5">
        <v>3319</v>
      </c>
    </row>
    <row r="27622" spans="2:8" ht="15" customHeight="1" x14ac:dyDescent="0.4">
      <c r="B27622" s="3" t="s">
        <v>7</v>
      </c>
      <c r="C27622" s="3" t="s">
        <v>4405</v>
      </c>
      <c r="D27622" s="4">
        <f>DATE(2004,9,1)</f>
        <v>38231</v>
      </c>
      <c r="E27622" s="5">
        <f t="shared" si="468"/>
        <v>2004</v>
      </c>
      <c r="F27622" s="3" t="s">
        <v>4408</v>
      </c>
      <c r="G27622" s="6">
        <v>9000</v>
      </c>
      <c r="H27622" s="5">
        <v>3323</v>
      </c>
    </row>
    <row r="27623" spans="2:8" ht="15" customHeight="1" x14ac:dyDescent="0.4">
      <c r="B27623" s="3" t="s">
        <v>7</v>
      </c>
      <c r="C27623" s="3" t="s">
        <v>4405</v>
      </c>
      <c r="D27623" s="4">
        <f>DATE(2004,10,25)</f>
        <v>38285</v>
      </c>
      <c r="E27623" s="5">
        <f t="shared" si="468"/>
        <v>2004</v>
      </c>
      <c r="F27623" s="3" t="s">
        <v>4408</v>
      </c>
      <c r="G27623" s="6">
        <v>279</v>
      </c>
      <c r="H27623" s="5">
        <v>3282</v>
      </c>
    </row>
    <row r="27624" spans="2:8" ht="15" customHeight="1" x14ac:dyDescent="0.4">
      <c r="B27624" s="3" t="s">
        <v>7</v>
      </c>
      <c r="C27624" s="3" t="s">
        <v>4405</v>
      </c>
      <c r="D27624" s="4">
        <f>DATE(2004,11,18)</f>
        <v>38309</v>
      </c>
      <c r="E27624" s="5">
        <f t="shared" si="468"/>
        <v>2004</v>
      </c>
      <c r="F27624" s="3" t="s">
        <v>4408</v>
      </c>
      <c r="G27624" s="6">
        <v>525</v>
      </c>
      <c r="H27624" s="5">
        <v>3728</v>
      </c>
    </row>
    <row r="27625" spans="2:8" ht="15" customHeight="1" x14ac:dyDescent="0.4">
      <c r="B27625" s="3" t="s">
        <v>7</v>
      </c>
      <c r="C27625" s="3" t="s">
        <v>4405</v>
      </c>
      <c r="D27625" s="4">
        <f>DATE(2004,12,2)</f>
        <v>38323</v>
      </c>
      <c r="E27625" s="5">
        <f t="shared" si="468"/>
        <v>2004</v>
      </c>
      <c r="F27625" s="3" t="s">
        <v>4408</v>
      </c>
      <c r="G27625" s="6">
        <v>24150</v>
      </c>
      <c r="H27625" s="5">
        <v>3732</v>
      </c>
    </row>
    <row r="27626" spans="2:8" ht="15" customHeight="1" x14ac:dyDescent="0.4">
      <c r="B27626" s="3" t="s">
        <v>7</v>
      </c>
      <c r="C27626" s="3" t="s">
        <v>4405</v>
      </c>
      <c r="D27626" s="4">
        <f>DATE(2005,2,1)</f>
        <v>38384</v>
      </c>
      <c r="E27626" s="5">
        <f t="shared" si="468"/>
        <v>2005</v>
      </c>
      <c r="F27626" s="3" t="s">
        <v>4408</v>
      </c>
      <c r="G27626" s="6">
        <v>40.5</v>
      </c>
      <c r="H27626" s="5">
        <v>4053</v>
      </c>
    </row>
    <row r="27627" spans="2:8" ht="15" customHeight="1" x14ac:dyDescent="0.4">
      <c r="B27627" s="3" t="s">
        <v>7</v>
      </c>
      <c r="C27627" s="3" t="s">
        <v>4405</v>
      </c>
      <c r="D27627" s="4">
        <f>DATE(2005,1,31)</f>
        <v>38383</v>
      </c>
      <c r="E27627" s="5">
        <f t="shared" si="468"/>
        <v>2005</v>
      </c>
      <c r="F27627" s="3" t="s">
        <v>4408</v>
      </c>
      <c r="G27627" s="6">
        <v>19580</v>
      </c>
      <c r="H27627" s="5">
        <v>4292</v>
      </c>
    </row>
    <row r="27628" spans="2:8" ht="15" customHeight="1" x14ac:dyDescent="0.4">
      <c r="B27628" s="3" t="s">
        <v>7</v>
      </c>
      <c r="C27628" s="3" t="s">
        <v>4405</v>
      </c>
      <c r="D27628" s="4">
        <f>DATE(2005,5,19)</f>
        <v>38491</v>
      </c>
      <c r="E27628" s="5">
        <f t="shared" si="468"/>
        <v>2005</v>
      </c>
      <c r="F27628" s="3" t="s">
        <v>4408</v>
      </c>
      <c r="G27628" s="6">
        <v>318</v>
      </c>
      <c r="H27628" s="5">
        <v>4770</v>
      </c>
    </row>
    <row r="27629" spans="2:8" ht="15" customHeight="1" x14ac:dyDescent="0.4">
      <c r="B27629" s="3" t="s">
        <v>7</v>
      </c>
      <c r="C27629" s="3" t="s">
        <v>4405</v>
      </c>
      <c r="D27629" s="4">
        <f>DATE(2005,6,17)</f>
        <v>38520</v>
      </c>
      <c r="E27629" s="5">
        <f t="shared" si="468"/>
        <v>2005</v>
      </c>
      <c r="F27629" s="3" t="s">
        <v>4408</v>
      </c>
      <c r="G27629" s="6">
        <v>21217.5</v>
      </c>
      <c r="H27629" s="5">
        <v>4874</v>
      </c>
    </row>
    <row r="27630" spans="2:8" ht="15" customHeight="1" x14ac:dyDescent="0.4">
      <c r="B27630" s="3" t="s">
        <v>7</v>
      </c>
      <c r="C27630" s="3" t="s">
        <v>4405</v>
      </c>
      <c r="D27630" s="4">
        <f>DATE(2005,9,8)</f>
        <v>38603</v>
      </c>
      <c r="E27630" s="5">
        <f t="shared" si="468"/>
        <v>2005</v>
      </c>
      <c r="F27630" s="3" t="s">
        <v>4408</v>
      </c>
      <c r="G27630" s="6">
        <v>2145</v>
      </c>
      <c r="H27630" s="5">
        <v>5231</v>
      </c>
    </row>
    <row r="27631" spans="2:8" ht="15" customHeight="1" x14ac:dyDescent="0.4">
      <c r="B27631" s="3" t="s">
        <v>7</v>
      </c>
      <c r="C27631" s="3" t="s">
        <v>4405</v>
      </c>
      <c r="D27631" s="4">
        <f>DATE(2005,12,21)</f>
        <v>38707</v>
      </c>
      <c r="E27631" s="5">
        <f t="shared" si="468"/>
        <v>2005</v>
      </c>
      <c r="F27631" s="3" t="s">
        <v>4408</v>
      </c>
      <c r="G27631" s="6">
        <v>1465</v>
      </c>
      <c r="H27631" s="5">
        <v>5752</v>
      </c>
    </row>
    <row r="27632" spans="2:8" ht="15" customHeight="1" x14ac:dyDescent="0.4">
      <c r="B27632" s="3" t="s">
        <v>7</v>
      </c>
      <c r="C27632" s="3" t="s">
        <v>4405</v>
      </c>
      <c r="D27632" s="4">
        <f>DATE(2006,2,16)</f>
        <v>38764</v>
      </c>
      <c r="E27632" s="5">
        <f t="shared" si="468"/>
        <v>2006</v>
      </c>
      <c r="F27632" s="3" t="s">
        <v>4408</v>
      </c>
      <c r="G27632" s="6">
        <v>25260</v>
      </c>
      <c r="H27632" s="5">
        <v>5985</v>
      </c>
    </row>
    <row r="27633" spans="2:8" ht="15" customHeight="1" x14ac:dyDescent="0.4">
      <c r="B27633" s="3" t="s">
        <v>7</v>
      </c>
      <c r="C27633" s="3" t="s">
        <v>4405</v>
      </c>
      <c r="D27633" s="4">
        <f>DATE(2006,4,17)</f>
        <v>38824</v>
      </c>
      <c r="E27633" s="5">
        <f t="shared" si="468"/>
        <v>2006</v>
      </c>
      <c r="F27633" s="3" t="s">
        <v>4408</v>
      </c>
      <c r="G27633" s="6">
        <v>27000</v>
      </c>
      <c r="H27633" s="5">
        <v>6476</v>
      </c>
    </row>
    <row r="27634" spans="2:8" ht="15" customHeight="1" x14ac:dyDescent="0.4">
      <c r="B27634" s="3" t="s">
        <v>7</v>
      </c>
      <c r="C27634" s="3" t="s">
        <v>4405</v>
      </c>
      <c r="D27634" s="4">
        <f>DATE(2006,10,17)</f>
        <v>39007</v>
      </c>
      <c r="E27634" s="5">
        <f t="shared" si="468"/>
        <v>2006</v>
      </c>
      <c r="F27634" s="3" t="s">
        <v>4408</v>
      </c>
      <c r="G27634" s="6">
        <v>2300</v>
      </c>
      <c r="H27634" s="5">
        <v>7398</v>
      </c>
    </row>
    <row r="27635" spans="2:8" ht="15" customHeight="1" x14ac:dyDescent="0.4">
      <c r="B27635" s="3" t="s">
        <v>7</v>
      </c>
      <c r="C27635" s="3" t="s">
        <v>4405</v>
      </c>
      <c r="D27635" s="4">
        <f>DATE(2006,10,23)</f>
        <v>39013</v>
      </c>
      <c r="E27635" s="5">
        <f t="shared" si="468"/>
        <v>2006</v>
      </c>
      <c r="F27635" s="3" t="s">
        <v>4408</v>
      </c>
      <c r="G27635" s="6">
        <v>63</v>
      </c>
      <c r="H27635" s="5">
        <v>7420</v>
      </c>
    </row>
    <row r="27636" spans="2:8" ht="15" customHeight="1" x14ac:dyDescent="0.4">
      <c r="B27636" s="3" t="s">
        <v>7</v>
      </c>
      <c r="C27636" s="3" t="s">
        <v>4405</v>
      </c>
      <c r="D27636" s="4">
        <f>DATE(2006,11,1)</f>
        <v>39022</v>
      </c>
      <c r="E27636" s="5">
        <f t="shared" si="468"/>
        <v>2006</v>
      </c>
      <c r="F27636" s="3" t="s">
        <v>4408</v>
      </c>
      <c r="G27636" s="6">
        <v>21050</v>
      </c>
      <c r="H27636" s="5">
        <v>6930</v>
      </c>
    </row>
    <row r="27637" spans="2:8" ht="15" customHeight="1" x14ac:dyDescent="0.4">
      <c r="B27637" s="3" t="s">
        <v>7</v>
      </c>
      <c r="C27637" s="3" t="s">
        <v>4405</v>
      </c>
      <c r="D27637" s="4">
        <f>DATE(2006,12,26)</f>
        <v>39077</v>
      </c>
      <c r="E27637" s="5">
        <f t="shared" si="468"/>
        <v>2006</v>
      </c>
      <c r="F27637" s="3" t="s">
        <v>4408</v>
      </c>
      <c r="G27637" s="6">
        <v>420</v>
      </c>
      <c r="H27637" s="5">
        <v>7679</v>
      </c>
    </row>
    <row r="27638" spans="2:8" ht="15" customHeight="1" x14ac:dyDescent="0.4">
      <c r="B27638" s="3" t="s">
        <v>7</v>
      </c>
      <c r="C27638" s="3" t="s">
        <v>4405</v>
      </c>
      <c r="D27638" s="4">
        <f>DATE(2007,2,21)</f>
        <v>39134</v>
      </c>
      <c r="E27638" s="5">
        <f t="shared" si="468"/>
        <v>2007</v>
      </c>
      <c r="F27638" s="3" t="s">
        <v>4408</v>
      </c>
      <c r="G27638" s="6">
        <v>25620</v>
      </c>
      <c r="H27638" s="5">
        <v>7944</v>
      </c>
    </row>
    <row r="27639" spans="2:8" ht="15" customHeight="1" x14ac:dyDescent="0.4">
      <c r="B27639" t="s">
        <v>7</v>
      </c>
      <c r="C27639" t="s">
        <v>4409</v>
      </c>
      <c r="D27639" s="7">
        <f>DATE(2010,11,11)</f>
        <v>40493</v>
      </c>
      <c r="E27639" s="8">
        <f t="shared" si="468"/>
        <v>2010</v>
      </c>
      <c r="F27639" t="s">
        <v>4410</v>
      </c>
      <c r="G27639" s="9">
        <v>11575.14</v>
      </c>
      <c r="H27639" s="8">
        <v>10246</v>
      </c>
    </row>
    <row r="27640" spans="2:8" ht="15" customHeight="1" x14ac:dyDescent="0.4">
      <c r="B27640" t="s">
        <v>16</v>
      </c>
      <c r="C27640" t="s">
        <v>4409</v>
      </c>
      <c r="D27640" s="7">
        <f>DATE(2011,1,31)</f>
        <v>40574</v>
      </c>
      <c r="E27640" s="8">
        <f t="shared" si="468"/>
        <v>2011</v>
      </c>
      <c r="F27640" t="s">
        <v>4410</v>
      </c>
      <c r="G27640" s="9">
        <v>1968.94</v>
      </c>
      <c r="H27640" s="8">
        <v>10441</v>
      </c>
    </row>
    <row r="27641" spans="2:8" ht="15" customHeight="1" x14ac:dyDescent="0.4">
      <c r="B27641" s="3" t="s">
        <v>7</v>
      </c>
      <c r="C27641" s="3" t="s">
        <v>4409</v>
      </c>
      <c r="D27641" s="4">
        <f>DATE(2004,7,27)</f>
        <v>38195</v>
      </c>
      <c r="E27641" s="5">
        <f t="shared" si="468"/>
        <v>2004</v>
      </c>
      <c r="F27641" s="3" t="s">
        <v>4410</v>
      </c>
      <c r="G27641" s="6">
        <v>1014.95</v>
      </c>
      <c r="H27641" s="5">
        <v>873</v>
      </c>
    </row>
    <row r="27642" spans="2:8" ht="15" customHeight="1" x14ac:dyDescent="0.4">
      <c r="B27642" t="s">
        <v>7</v>
      </c>
      <c r="C27642" t="s">
        <v>4411</v>
      </c>
      <c r="D27642" s="7">
        <f>DATE(2019,2,21)</f>
        <v>43517</v>
      </c>
      <c r="E27642" s="8">
        <f t="shared" si="468"/>
        <v>2019</v>
      </c>
      <c r="F27642" t="s">
        <v>4412</v>
      </c>
      <c r="G27642" s="9">
        <v>102840.37</v>
      </c>
      <c r="H27642" s="8">
        <v>28216</v>
      </c>
    </row>
    <row r="27643" spans="2:8" ht="15" customHeight="1" x14ac:dyDescent="0.4">
      <c r="B27643" t="s">
        <v>7</v>
      </c>
      <c r="C27643" t="s">
        <v>4411</v>
      </c>
      <c r="D27643" s="7">
        <f>DATE(2019,2,21)</f>
        <v>43517</v>
      </c>
      <c r="E27643" s="8">
        <f t="shared" si="468"/>
        <v>2019</v>
      </c>
      <c r="F27643" t="s">
        <v>4412</v>
      </c>
      <c r="G27643" s="9">
        <v>144084.82</v>
      </c>
      <c r="H27643" s="8">
        <v>28217</v>
      </c>
    </row>
    <row r="27644" spans="2:8" ht="15" customHeight="1" x14ac:dyDescent="0.4">
      <c r="B27644" t="s">
        <v>7</v>
      </c>
      <c r="C27644" t="s">
        <v>4318</v>
      </c>
      <c r="D27644" s="7">
        <f>DATE(2017,4,17)</f>
        <v>42842</v>
      </c>
      <c r="E27644" s="8">
        <f t="shared" si="468"/>
        <v>2017</v>
      </c>
      <c r="F27644" t="s">
        <v>4413</v>
      </c>
      <c r="G27644" s="9">
        <v>29619.57</v>
      </c>
      <c r="H27644" s="8">
        <v>24722</v>
      </c>
    </row>
    <row r="27645" spans="2:8" ht="15" customHeight="1" x14ac:dyDescent="0.4">
      <c r="B27645" s="3" t="s">
        <v>7</v>
      </c>
      <c r="C27645" s="3" t="s">
        <v>4414</v>
      </c>
      <c r="D27645" s="4">
        <f>DATE(2005,12,15)</f>
        <v>38701</v>
      </c>
      <c r="E27645" s="5">
        <f t="shared" si="468"/>
        <v>2005</v>
      </c>
      <c r="F27645" s="3" t="s">
        <v>4415</v>
      </c>
      <c r="G27645" s="6">
        <v>3591.67</v>
      </c>
      <c r="H27645" s="5">
        <v>1330</v>
      </c>
    </row>
    <row r="27646" spans="2:8" ht="15" customHeight="1" x14ac:dyDescent="0.4">
      <c r="B27646" s="3" t="s">
        <v>7</v>
      </c>
      <c r="C27646" s="3" t="s">
        <v>4414</v>
      </c>
      <c r="D27646" s="4">
        <f>DATE(2006,1,20)</f>
        <v>38737</v>
      </c>
      <c r="E27646" s="5">
        <f t="shared" si="468"/>
        <v>2006</v>
      </c>
      <c r="F27646" s="3" t="s">
        <v>4416</v>
      </c>
      <c r="G27646" s="6">
        <v>10868.98</v>
      </c>
      <c r="H27646" s="5">
        <v>1414</v>
      </c>
    </row>
    <row r="27647" spans="2:8" ht="15" customHeight="1" x14ac:dyDescent="0.4">
      <c r="B27647" s="3" t="s">
        <v>7</v>
      </c>
      <c r="C27647" s="3" t="s">
        <v>4414</v>
      </c>
      <c r="D27647" s="4">
        <f>DATE(2006,1,20)</f>
        <v>38737</v>
      </c>
      <c r="E27647" s="5">
        <f t="shared" si="468"/>
        <v>2006</v>
      </c>
      <c r="F27647" s="3" t="s">
        <v>4416</v>
      </c>
      <c r="G27647" s="6">
        <v>4145</v>
      </c>
      <c r="H27647" s="5">
        <v>2074</v>
      </c>
    </row>
    <row r="27648" spans="2:8" ht="15" customHeight="1" x14ac:dyDescent="0.4">
      <c r="B27648" s="3" t="s">
        <v>16</v>
      </c>
      <c r="C27648" s="3" t="s">
        <v>4414</v>
      </c>
      <c r="D27648" s="4">
        <f>DATE(2005,12,15)</f>
        <v>38701</v>
      </c>
      <c r="E27648" s="5">
        <f t="shared" si="468"/>
        <v>2005</v>
      </c>
      <c r="F27648" s="3" t="s">
        <v>4416</v>
      </c>
      <c r="G27648" s="6">
        <v>3591.67</v>
      </c>
      <c r="H27648" s="5">
        <v>2072</v>
      </c>
    </row>
    <row r="27649" spans="2:8" ht="15" customHeight="1" x14ac:dyDescent="0.4">
      <c r="B27649" s="3" t="s">
        <v>16</v>
      </c>
      <c r="C27649" s="3" t="s">
        <v>4414</v>
      </c>
      <c r="D27649" s="4">
        <f>DATE(2006,1,20)</f>
        <v>38737</v>
      </c>
      <c r="E27649" s="5">
        <f t="shared" si="468"/>
        <v>2006</v>
      </c>
      <c r="F27649" s="3" t="s">
        <v>4416</v>
      </c>
      <c r="G27649" s="6">
        <v>10868.98</v>
      </c>
      <c r="H27649" s="5">
        <v>2073</v>
      </c>
    </row>
    <row r="27650" spans="2:8" ht="15" customHeight="1" x14ac:dyDescent="0.4">
      <c r="B27650" t="s">
        <v>7</v>
      </c>
      <c r="C27650" t="s">
        <v>4417</v>
      </c>
      <c r="D27650" s="7">
        <f>DATE(2004,5,11)</f>
        <v>38118</v>
      </c>
      <c r="E27650" s="8">
        <f t="shared" si="468"/>
        <v>2004</v>
      </c>
      <c r="F27650" t="s">
        <v>4418</v>
      </c>
      <c r="G27650" s="9">
        <v>8250</v>
      </c>
      <c r="H27650" s="8">
        <v>1241</v>
      </c>
    </row>
    <row r="27651" spans="2:8" ht="15" customHeight="1" x14ac:dyDescent="0.4">
      <c r="B27651" t="s">
        <v>7</v>
      </c>
      <c r="C27651" t="s">
        <v>4417</v>
      </c>
      <c r="D27651" s="7">
        <f>DATE(2007,3,20)</f>
        <v>39161</v>
      </c>
      <c r="E27651" s="8">
        <f t="shared" ref="E27651:E27714" si="469">YEAR(D27651)</f>
        <v>2007</v>
      </c>
      <c r="F27651" t="s">
        <v>4418</v>
      </c>
      <c r="G27651" s="9">
        <v>9980</v>
      </c>
      <c r="H27651" s="8">
        <v>5458</v>
      </c>
    </row>
    <row r="27652" spans="2:8" ht="15" customHeight="1" x14ac:dyDescent="0.4">
      <c r="B27652" t="s">
        <v>7</v>
      </c>
      <c r="C27652" t="s">
        <v>4417</v>
      </c>
      <c r="D27652" s="7">
        <f>DATE(2007,3,23)</f>
        <v>39164</v>
      </c>
      <c r="E27652" s="8">
        <f t="shared" si="469"/>
        <v>2007</v>
      </c>
      <c r="F27652" t="s">
        <v>4418</v>
      </c>
      <c r="G27652" s="9">
        <v>22980</v>
      </c>
      <c r="H27652" s="8">
        <v>5459</v>
      </c>
    </row>
    <row r="27653" spans="2:8" ht="15" customHeight="1" x14ac:dyDescent="0.4">
      <c r="B27653" t="s">
        <v>7</v>
      </c>
      <c r="C27653" t="s">
        <v>4417</v>
      </c>
      <c r="D27653" s="7">
        <f>DATE(2008,5,22)</f>
        <v>39590</v>
      </c>
      <c r="E27653" s="8">
        <f t="shared" si="469"/>
        <v>2008</v>
      </c>
      <c r="F27653" t="s">
        <v>4418</v>
      </c>
      <c r="G27653" s="9">
        <v>9980</v>
      </c>
      <c r="H27653" s="8">
        <v>7436</v>
      </c>
    </row>
    <row r="27654" spans="2:8" ht="15" customHeight="1" x14ac:dyDescent="0.4">
      <c r="B27654" s="3" t="s">
        <v>7</v>
      </c>
      <c r="C27654" s="3" t="s">
        <v>4417</v>
      </c>
      <c r="D27654" s="4">
        <f>DATE(2010,6,11)</f>
        <v>40340</v>
      </c>
      <c r="E27654" s="5">
        <f t="shared" si="469"/>
        <v>2010</v>
      </c>
      <c r="F27654" s="3" t="s">
        <v>4418</v>
      </c>
      <c r="G27654" s="6">
        <v>121.56</v>
      </c>
      <c r="H27654" s="5">
        <v>14154</v>
      </c>
    </row>
    <row r="27655" spans="2:8" ht="15" customHeight="1" x14ac:dyDescent="0.4">
      <c r="B27655" t="s">
        <v>7</v>
      </c>
      <c r="C27655" t="s">
        <v>4419</v>
      </c>
      <c r="D27655" s="7">
        <f>DATE(2007,4,1)</f>
        <v>39173</v>
      </c>
      <c r="E27655" s="8">
        <f t="shared" si="469"/>
        <v>2007</v>
      </c>
      <c r="F27655" t="s">
        <v>4420</v>
      </c>
      <c r="G27655" s="9">
        <v>1080</v>
      </c>
      <c r="H27655" s="8">
        <v>5780</v>
      </c>
    </row>
    <row r="27656" spans="2:8" ht="15" customHeight="1" x14ac:dyDescent="0.4">
      <c r="B27656" s="3" t="s">
        <v>7</v>
      </c>
      <c r="C27656" s="3" t="s">
        <v>4421</v>
      </c>
      <c r="D27656" s="4">
        <f>DATE(2003,2,26)</f>
        <v>37678</v>
      </c>
      <c r="E27656" s="5">
        <f t="shared" si="469"/>
        <v>2003</v>
      </c>
      <c r="F27656" s="3" t="s">
        <v>4422</v>
      </c>
      <c r="G27656" s="6">
        <v>3752.79</v>
      </c>
      <c r="H27656" s="5">
        <v>349</v>
      </c>
    </row>
    <row r="27657" spans="2:8" ht="15" customHeight="1" x14ac:dyDescent="0.4">
      <c r="B27657" s="3" t="s">
        <v>7</v>
      </c>
      <c r="C27657" s="3" t="s">
        <v>4421</v>
      </c>
      <c r="D27657" s="4">
        <f>DATE(2005,3,2)</f>
        <v>38413</v>
      </c>
      <c r="E27657" s="5">
        <f t="shared" si="469"/>
        <v>2005</v>
      </c>
      <c r="F27657" s="3" t="s">
        <v>4422</v>
      </c>
      <c r="G27657" s="6">
        <v>9516.9500000000007</v>
      </c>
      <c r="H27657" s="5">
        <v>2418</v>
      </c>
    </row>
    <row r="27658" spans="2:8" ht="15" customHeight="1" x14ac:dyDescent="0.4">
      <c r="B27658" s="3" t="s">
        <v>7</v>
      </c>
      <c r="C27658" s="3" t="s">
        <v>4421</v>
      </c>
      <c r="D27658" s="4">
        <f>DATE(2007,5,21)</f>
        <v>39223</v>
      </c>
      <c r="E27658" s="5">
        <f t="shared" si="469"/>
        <v>2007</v>
      </c>
      <c r="F27658" s="3" t="s">
        <v>4422</v>
      </c>
      <c r="G27658" s="6">
        <v>20623</v>
      </c>
      <c r="H27658" s="5">
        <v>8121</v>
      </c>
    </row>
    <row r="27659" spans="2:8" ht="15" customHeight="1" x14ac:dyDescent="0.4">
      <c r="B27659" s="3" t="s">
        <v>7</v>
      </c>
      <c r="C27659" s="3" t="s">
        <v>4421</v>
      </c>
      <c r="D27659" s="4">
        <f>DATE(2011,7,20)</f>
        <v>40744</v>
      </c>
      <c r="E27659" s="5">
        <f t="shared" si="469"/>
        <v>2011</v>
      </c>
      <c r="F27659" s="3" t="s">
        <v>4422</v>
      </c>
      <c r="G27659" s="6">
        <v>7618.84</v>
      </c>
      <c r="H27659" s="5">
        <v>14459</v>
      </c>
    </row>
    <row r="27660" spans="2:8" ht="15" customHeight="1" x14ac:dyDescent="0.4">
      <c r="B27660" s="3" t="s">
        <v>7</v>
      </c>
      <c r="C27660" s="3" t="s">
        <v>4421</v>
      </c>
      <c r="D27660" s="4">
        <f>DATE(2013,2,27)</f>
        <v>41332</v>
      </c>
      <c r="E27660" s="5">
        <f t="shared" si="469"/>
        <v>2013</v>
      </c>
      <c r="F27660" s="3" t="s">
        <v>4422</v>
      </c>
      <c r="G27660" s="6">
        <v>18710.98</v>
      </c>
      <c r="H27660" s="5">
        <v>16688</v>
      </c>
    </row>
    <row r="27661" spans="2:8" ht="15" customHeight="1" x14ac:dyDescent="0.4">
      <c r="B27661" t="s">
        <v>7</v>
      </c>
      <c r="C27661" t="s">
        <v>4423</v>
      </c>
      <c r="D27661" s="7">
        <f>DATE(2008,2,29)</f>
        <v>39507</v>
      </c>
      <c r="E27661" s="8">
        <f t="shared" si="469"/>
        <v>2008</v>
      </c>
      <c r="F27661" t="s">
        <v>4424</v>
      </c>
      <c r="G27661" s="9">
        <v>5087.79</v>
      </c>
      <c r="H27661" s="8">
        <v>7084</v>
      </c>
    </row>
    <row r="27662" spans="2:8" ht="15" customHeight="1" x14ac:dyDescent="0.4">
      <c r="B27662" s="3" t="s">
        <v>7</v>
      </c>
      <c r="C27662" s="3" t="s">
        <v>4425</v>
      </c>
      <c r="D27662" s="4">
        <f>DATE(2012,5,30)</f>
        <v>41059</v>
      </c>
      <c r="E27662" s="5">
        <f t="shared" si="469"/>
        <v>2012</v>
      </c>
      <c r="F27662" s="3" t="s">
        <v>4426</v>
      </c>
      <c r="G27662" s="6">
        <v>13732.36</v>
      </c>
      <c r="H27662" s="5">
        <v>5082</v>
      </c>
    </row>
    <row r="27663" spans="2:8" ht="15" customHeight="1" x14ac:dyDescent="0.4">
      <c r="B27663" t="s">
        <v>7</v>
      </c>
      <c r="C27663" t="s">
        <v>4427</v>
      </c>
      <c r="D27663" s="7">
        <f>DATE(2010,10,14)</f>
        <v>40465</v>
      </c>
      <c r="E27663" s="8">
        <f t="shared" si="469"/>
        <v>2010</v>
      </c>
      <c r="F27663" t="s">
        <v>4428</v>
      </c>
      <c r="G27663" s="9">
        <v>29618.74</v>
      </c>
      <c r="H27663" s="8">
        <v>10173</v>
      </c>
    </row>
    <row r="27664" spans="2:8" ht="15" customHeight="1" x14ac:dyDescent="0.4">
      <c r="B27664" t="s">
        <v>7</v>
      </c>
      <c r="C27664" t="s">
        <v>4427</v>
      </c>
      <c r="D27664" s="7">
        <f>DATE(2011,4,12)</f>
        <v>40645</v>
      </c>
      <c r="E27664" s="8">
        <f t="shared" si="469"/>
        <v>2011</v>
      </c>
      <c r="F27664" t="s">
        <v>4428</v>
      </c>
      <c r="G27664" s="9">
        <v>21445.56</v>
      </c>
      <c r="H27664" s="8">
        <v>10519</v>
      </c>
    </row>
    <row r="27665" spans="2:8" ht="15" customHeight="1" x14ac:dyDescent="0.4">
      <c r="B27665" t="s">
        <v>7</v>
      </c>
      <c r="C27665" t="s">
        <v>4427</v>
      </c>
      <c r="D27665" s="7">
        <f>DATE(2011,4,12)</f>
        <v>40645</v>
      </c>
      <c r="E27665" s="8">
        <f t="shared" si="469"/>
        <v>2011</v>
      </c>
      <c r="F27665" t="s">
        <v>4428</v>
      </c>
      <c r="G27665" s="9">
        <v>30042.560000000001</v>
      </c>
      <c r="H27665" s="8">
        <v>10520</v>
      </c>
    </row>
    <row r="27666" spans="2:8" ht="15" customHeight="1" x14ac:dyDescent="0.4">
      <c r="B27666" t="s">
        <v>7</v>
      </c>
      <c r="C27666" t="s">
        <v>4427</v>
      </c>
      <c r="D27666" s="7">
        <f>DATE(2011,4,12)</f>
        <v>40645</v>
      </c>
      <c r="E27666" s="8">
        <f t="shared" si="469"/>
        <v>2011</v>
      </c>
      <c r="F27666" t="s">
        <v>4428</v>
      </c>
      <c r="G27666" s="9">
        <v>30511.8</v>
      </c>
      <c r="H27666" s="8">
        <v>10518</v>
      </c>
    </row>
    <row r="27667" spans="2:8" ht="15" customHeight="1" x14ac:dyDescent="0.4">
      <c r="B27667" t="s">
        <v>7</v>
      </c>
      <c r="C27667" t="s">
        <v>4429</v>
      </c>
      <c r="D27667" s="7">
        <f>DATE(2018,11,28)</f>
        <v>43432</v>
      </c>
      <c r="E27667" s="8">
        <f t="shared" si="469"/>
        <v>2018</v>
      </c>
      <c r="F27667" t="s">
        <v>4430</v>
      </c>
      <c r="G27667" s="9">
        <v>614</v>
      </c>
      <c r="H27667" s="8">
        <v>27986</v>
      </c>
    </row>
    <row r="27668" spans="2:8" ht="15" customHeight="1" x14ac:dyDescent="0.4">
      <c r="B27668" t="s">
        <v>7</v>
      </c>
      <c r="C27668" t="s">
        <v>4431</v>
      </c>
      <c r="D27668" s="7">
        <f>DATE(2018,7,19)</f>
        <v>43300</v>
      </c>
      <c r="E27668" s="8">
        <f t="shared" si="469"/>
        <v>2018</v>
      </c>
      <c r="F27668" t="s">
        <v>4432</v>
      </c>
      <c r="G27668" s="9">
        <v>123.2</v>
      </c>
      <c r="H27668" s="8">
        <v>27182</v>
      </c>
    </row>
    <row r="27669" spans="2:8" ht="15" customHeight="1" x14ac:dyDescent="0.4">
      <c r="B27669" t="s">
        <v>7</v>
      </c>
      <c r="C27669" t="s">
        <v>4433</v>
      </c>
      <c r="D27669" s="7">
        <f>DATE(2015,1,22)</f>
        <v>42026</v>
      </c>
      <c r="E27669" s="8">
        <f t="shared" si="469"/>
        <v>2015</v>
      </c>
      <c r="F27669" t="s">
        <v>4434</v>
      </c>
      <c r="G27669" s="9">
        <v>16605.75</v>
      </c>
      <c r="H27669" s="8">
        <v>209</v>
      </c>
    </row>
    <row r="27670" spans="2:8" ht="15" customHeight="1" x14ac:dyDescent="0.4">
      <c r="B27670" t="s">
        <v>7</v>
      </c>
      <c r="C27670" t="s">
        <v>4433</v>
      </c>
      <c r="D27670" s="7">
        <f>DATE(2015,3,5)</f>
        <v>42068</v>
      </c>
      <c r="E27670" s="8">
        <f t="shared" si="469"/>
        <v>2015</v>
      </c>
      <c r="F27670" t="s">
        <v>4434</v>
      </c>
      <c r="G27670" s="9">
        <v>3210.75</v>
      </c>
      <c r="H27670" s="8">
        <v>243</v>
      </c>
    </row>
    <row r="27671" spans="2:8" ht="15" customHeight="1" x14ac:dyDescent="0.4">
      <c r="B27671" t="s">
        <v>7</v>
      </c>
      <c r="C27671" t="s">
        <v>4433</v>
      </c>
      <c r="D27671" s="7">
        <f>DATE(2015,3,5)</f>
        <v>42068</v>
      </c>
      <c r="E27671" s="8">
        <f t="shared" si="469"/>
        <v>2015</v>
      </c>
      <c r="F27671" t="s">
        <v>4434</v>
      </c>
      <c r="G27671" s="9">
        <v>14685</v>
      </c>
      <c r="H27671" s="8">
        <v>381</v>
      </c>
    </row>
    <row r="27672" spans="2:8" ht="15" customHeight="1" x14ac:dyDescent="0.4">
      <c r="B27672" t="s">
        <v>7</v>
      </c>
      <c r="C27672" t="s">
        <v>4433</v>
      </c>
      <c r="D27672" s="7">
        <f>DATE(2015,6,26)</f>
        <v>42181</v>
      </c>
      <c r="E27672" s="8">
        <f t="shared" si="469"/>
        <v>2015</v>
      </c>
      <c r="F27672" t="s">
        <v>4434</v>
      </c>
      <c r="G27672" s="9">
        <v>18270.25</v>
      </c>
      <c r="H27672" s="8">
        <v>20247</v>
      </c>
    </row>
    <row r="27673" spans="2:8" ht="15" customHeight="1" x14ac:dyDescent="0.4">
      <c r="B27673" t="s">
        <v>7</v>
      </c>
      <c r="C27673" t="s">
        <v>4433</v>
      </c>
      <c r="D27673" s="7">
        <f>DATE(2015,6,26)</f>
        <v>42181</v>
      </c>
      <c r="E27673" s="8">
        <f t="shared" si="469"/>
        <v>2015</v>
      </c>
      <c r="F27673" t="s">
        <v>4434</v>
      </c>
      <c r="G27673" s="9">
        <v>16870.75</v>
      </c>
      <c r="H27673" s="8">
        <v>20735</v>
      </c>
    </row>
    <row r="27674" spans="2:8" ht="15" customHeight="1" x14ac:dyDescent="0.4">
      <c r="B27674" t="s">
        <v>7</v>
      </c>
      <c r="C27674" t="s">
        <v>4433</v>
      </c>
      <c r="D27674" s="7">
        <f>DATE(2015,11,30)</f>
        <v>42338</v>
      </c>
      <c r="E27674" s="8">
        <f t="shared" si="469"/>
        <v>2015</v>
      </c>
      <c r="F27674" t="s">
        <v>4434</v>
      </c>
      <c r="G27674" s="9">
        <v>16924</v>
      </c>
      <c r="H27674" s="8">
        <v>21562</v>
      </c>
    </row>
    <row r="27675" spans="2:8" ht="15" customHeight="1" x14ac:dyDescent="0.4">
      <c r="B27675" t="s">
        <v>7</v>
      </c>
      <c r="C27675" t="s">
        <v>4433</v>
      </c>
      <c r="D27675" s="7">
        <f>DATE(2016,2,5)</f>
        <v>42405</v>
      </c>
      <c r="E27675" s="8">
        <f t="shared" si="469"/>
        <v>2016</v>
      </c>
      <c r="F27675" t="s">
        <v>4434</v>
      </c>
      <c r="G27675" s="9">
        <v>13895.5</v>
      </c>
      <c r="H27675" s="8">
        <v>21869</v>
      </c>
    </row>
    <row r="27676" spans="2:8" ht="15" customHeight="1" x14ac:dyDescent="0.4">
      <c r="B27676" t="s">
        <v>7</v>
      </c>
      <c r="C27676" t="s">
        <v>4433</v>
      </c>
      <c r="D27676" s="7">
        <f>DATE(2016,6,1)</f>
        <v>42522</v>
      </c>
      <c r="E27676" s="8">
        <f t="shared" si="469"/>
        <v>2016</v>
      </c>
      <c r="F27676" t="s">
        <v>4434</v>
      </c>
      <c r="G27676" s="9">
        <v>15616.75</v>
      </c>
      <c r="H27676" s="8">
        <v>22862</v>
      </c>
    </row>
    <row r="27677" spans="2:8" ht="15" customHeight="1" x14ac:dyDescent="0.4">
      <c r="B27677" t="s">
        <v>7</v>
      </c>
      <c r="C27677" t="s">
        <v>4433</v>
      </c>
      <c r="D27677" s="7">
        <f>DATE(2016,9,16)</f>
        <v>42629</v>
      </c>
      <c r="E27677" s="8">
        <f t="shared" si="469"/>
        <v>2016</v>
      </c>
      <c r="F27677" t="s">
        <v>4434</v>
      </c>
      <c r="G27677" s="9">
        <v>19051.5</v>
      </c>
      <c r="H27677" s="8">
        <v>21872</v>
      </c>
    </row>
    <row r="27678" spans="2:8" ht="15" customHeight="1" x14ac:dyDescent="0.4">
      <c r="B27678" t="s">
        <v>7</v>
      </c>
      <c r="C27678" t="s">
        <v>4433</v>
      </c>
      <c r="D27678" s="7">
        <f>DATE(2016,12,22)</f>
        <v>42726</v>
      </c>
      <c r="E27678" s="8">
        <f t="shared" si="469"/>
        <v>2016</v>
      </c>
      <c r="F27678" t="s">
        <v>4434</v>
      </c>
      <c r="G27678" s="9">
        <v>16958.5</v>
      </c>
      <c r="H27678" s="8">
        <v>23995</v>
      </c>
    </row>
    <row r="27679" spans="2:8" ht="15" customHeight="1" x14ac:dyDescent="0.4">
      <c r="B27679" t="s">
        <v>7</v>
      </c>
      <c r="C27679" t="s">
        <v>4433</v>
      </c>
      <c r="D27679" s="7">
        <f>DATE(2017,5,15)</f>
        <v>42870</v>
      </c>
      <c r="E27679" s="8">
        <f t="shared" si="469"/>
        <v>2017</v>
      </c>
      <c r="F27679" t="s">
        <v>4434</v>
      </c>
      <c r="G27679" s="9">
        <v>19965.5</v>
      </c>
      <c r="H27679" s="8">
        <v>24623</v>
      </c>
    </row>
    <row r="27680" spans="2:8" ht="15" customHeight="1" x14ac:dyDescent="0.4">
      <c r="B27680" t="s">
        <v>7</v>
      </c>
      <c r="C27680" t="s">
        <v>4433</v>
      </c>
      <c r="D27680" s="7">
        <f>DATE(2017,5,24)</f>
        <v>42879</v>
      </c>
      <c r="E27680" s="8">
        <f t="shared" si="469"/>
        <v>2017</v>
      </c>
      <c r="F27680" t="s">
        <v>4434</v>
      </c>
      <c r="G27680" s="9">
        <v>11406.85</v>
      </c>
      <c r="H27680" s="8">
        <v>24810</v>
      </c>
    </row>
    <row r="27681" spans="2:8" ht="15" customHeight="1" x14ac:dyDescent="0.4">
      <c r="B27681" t="s">
        <v>7</v>
      </c>
      <c r="C27681" t="s">
        <v>4433</v>
      </c>
      <c r="D27681" s="7">
        <f>DATE(2017,5,8)</f>
        <v>42863</v>
      </c>
      <c r="E27681" s="8">
        <f t="shared" si="469"/>
        <v>2017</v>
      </c>
      <c r="F27681" t="s">
        <v>4434</v>
      </c>
      <c r="G27681" s="9">
        <v>1748</v>
      </c>
      <c r="H27681" s="8">
        <v>24817</v>
      </c>
    </row>
    <row r="27682" spans="2:8" ht="15" customHeight="1" x14ac:dyDescent="0.4">
      <c r="B27682" t="s">
        <v>7</v>
      </c>
      <c r="C27682" t="s">
        <v>4433</v>
      </c>
      <c r="D27682" s="7">
        <f>DATE(2015,3,12)</f>
        <v>42075</v>
      </c>
      <c r="E27682" s="8">
        <f t="shared" si="469"/>
        <v>2015</v>
      </c>
      <c r="F27682" t="s">
        <v>4434</v>
      </c>
      <c r="G27682" s="9">
        <v>11320.74</v>
      </c>
      <c r="H27682" s="8">
        <v>251</v>
      </c>
    </row>
    <row r="27683" spans="2:8" ht="15" customHeight="1" x14ac:dyDescent="0.4">
      <c r="B27683" s="3" t="s">
        <v>7</v>
      </c>
      <c r="C27683" s="3" t="s">
        <v>4433</v>
      </c>
      <c r="D27683" s="4">
        <f>DATE(2011,5,23)</f>
        <v>40686</v>
      </c>
      <c r="E27683" s="5">
        <f t="shared" si="469"/>
        <v>2011</v>
      </c>
      <c r="F27683" s="3" t="s">
        <v>4434</v>
      </c>
      <c r="G27683" s="6">
        <v>11036.4</v>
      </c>
      <c r="H27683" s="5">
        <v>4428</v>
      </c>
    </row>
    <row r="27684" spans="2:8" ht="15" customHeight="1" x14ac:dyDescent="0.4">
      <c r="B27684" s="3" t="s">
        <v>7</v>
      </c>
      <c r="C27684" s="3" t="s">
        <v>4433</v>
      </c>
      <c r="D27684" s="4">
        <f>DATE(2011,7,28)</f>
        <v>40752</v>
      </c>
      <c r="E27684" s="5">
        <f t="shared" si="469"/>
        <v>2011</v>
      </c>
      <c r="F27684" s="3" t="s">
        <v>4434</v>
      </c>
      <c r="G27684" s="6">
        <v>13380.2</v>
      </c>
      <c r="H27684" s="5">
        <v>4535</v>
      </c>
    </row>
    <row r="27685" spans="2:8" ht="15" customHeight="1" x14ac:dyDescent="0.4">
      <c r="B27685" s="3" t="s">
        <v>7</v>
      </c>
      <c r="C27685" s="3" t="s">
        <v>4433</v>
      </c>
      <c r="D27685" s="4">
        <f>DATE(2012,10,19)</f>
        <v>41201</v>
      </c>
      <c r="E27685" s="5">
        <f t="shared" si="469"/>
        <v>2012</v>
      </c>
      <c r="F27685" s="3" t="s">
        <v>4434</v>
      </c>
      <c r="G27685" s="6">
        <v>7823.35</v>
      </c>
      <c r="H27685" s="5">
        <v>5262</v>
      </c>
    </row>
    <row r="27686" spans="2:8" ht="15" customHeight="1" x14ac:dyDescent="0.4">
      <c r="B27686" s="3" t="s">
        <v>7</v>
      </c>
      <c r="C27686" s="3" t="s">
        <v>4433</v>
      </c>
      <c r="D27686" s="4">
        <f>DATE(2012,11,12)</f>
        <v>41225</v>
      </c>
      <c r="E27686" s="5">
        <f t="shared" si="469"/>
        <v>2012</v>
      </c>
      <c r="F27686" s="3" t="s">
        <v>4434</v>
      </c>
      <c r="G27686" s="6">
        <v>3652</v>
      </c>
      <c r="H27686" s="5">
        <v>5278</v>
      </c>
    </row>
    <row r="27687" spans="2:8" ht="15" customHeight="1" x14ac:dyDescent="0.4">
      <c r="B27687" s="3" t="s">
        <v>7</v>
      </c>
      <c r="C27687" s="3" t="s">
        <v>4433</v>
      </c>
      <c r="D27687" s="4">
        <f>DATE(2013,3,5)</f>
        <v>41338</v>
      </c>
      <c r="E27687" s="5">
        <f t="shared" si="469"/>
        <v>2013</v>
      </c>
      <c r="F27687" s="3" t="s">
        <v>4434</v>
      </c>
      <c r="G27687" s="6">
        <v>22170</v>
      </c>
      <c r="H27687" s="5">
        <v>5425</v>
      </c>
    </row>
    <row r="27688" spans="2:8" ht="15" customHeight="1" x14ac:dyDescent="0.4">
      <c r="B27688" s="3" t="s">
        <v>7</v>
      </c>
      <c r="C27688" s="3" t="s">
        <v>4433</v>
      </c>
      <c r="D27688" s="4">
        <f>DATE(2014,1,24)</f>
        <v>41663</v>
      </c>
      <c r="E27688" s="5">
        <f t="shared" si="469"/>
        <v>2014</v>
      </c>
      <c r="F27688" s="3" t="s">
        <v>4434</v>
      </c>
      <c r="G27688" s="6">
        <v>3868.85</v>
      </c>
      <c r="H27688" s="5">
        <v>5980</v>
      </c>
    </row>
    <row r="27689" spans="2:8" ht="15" customHeight="1" x14ac:dyDescent="0.4">
      <c r="B27689" s="3" t="s">
        <v>7</v>
      </c>
      <c r="C27689" s="3" t="s">
        <v>4433</v>
      </c>
      <c r="D27689" s="4">
        <f>DATE(2014,4,14)</f>
        <v>41743</v>
      </c>
      <c r="E27689" s="5">
        <f t="shared" si="469"/>
        <v>2014</v>
      </c>
      <c r="F27689" s="3" t="s">
        <v>4434</v>
      </c>
      <c r="G27689" s="6">
        <v>3688.7</v>
      </c>
      <c r="H27689" s="5">
        <v>6085</v>
      </c>
    </row>
    <row r="27690" spans="2:8" ht="15" customHeight="1" x14ac:dyDescent="0.4">
      <c r="B27690" s="3" t="s">
        <v>7</v>
      </c>
      <c r="C27690" s="3" t="s">
        <v>4433</v>
      </c>
      <c r="D27690" s="4">
        <f>DATE(2014,4,14)</f>
        <v>41743</v>
      </c>
      <c r="E27690" s="5">
        <f t="shared" si="469"/>
        <v>2014</v>
      </c>
      <c r="F27690" s="3" t="s">
        <v>4434</v>
      </c>
      <c r="G27690" s="6">
        <v>4656.7</v>
      </c>
      <c r="H27690" s="5">
        <v>6077</v>
      </c>
    </row>
    <row r="27691" spans="2:8" ht="15" customHeight="1" x14ac:dyDescent="0.4">
      <c r="B27691" s="3" t="s">
        <v>7</v>
      </c>
      <c r="C27691" s="3" t="s">
        <v>4433</v>
      </c>
      <c r="D27691" s="4">
        <f>DATE(2014,9,5)</f>
        <v>41887</v>
      </c>
      <c r="E27691" s="5">
        <f t="shared" si="469"/>
        <v>2014</v>
      </c>
      <c r="F27691" s="3" t="s">
        <v>4434</v>
      </c>
      <c r="G27691" s="6">
        <v>7398.2</v>
      </c>
      <c r="H27691" s="5">
        <v>6358</v>
      </c>
    </row>
    <row r="27692" spans="2:8" ht="15" customHeight="1" x14ac:dyDescent="0.4">
      <c r="B27692" s="3" t="s">
        <v>7</v>
      </c>
      <c r="C27692" s="3" t="s">
        <v>4433</v>
      </c>
      <c r="D27692" s="4">
        <f>DATE(2014,9,26)</f>
        <v>41908</v>
      </c>
      <c r="E27692" s="5">
        <f t="shared" si="469"/>
        <v>2014</v>
      </c>
      <c r="F27692" s="3" t="s">
        <v>4434</v>
      </c>
      <c r="G27692" s="6">
        <v>14396.47</v>
      </c>
      <c r="H27692" s="5">
        <v>6401</v>
      </c>
    </row>
    <row r="27693" spans="2:8" ht="15" customHeight="1" x14ac:dyDescent="0.4">
      <c r="B27693" s="3" t="s">
        <v>7</v>
      </c>
      <c r="C27693" s="3" t="s">
        <v>4433</v>
      </c>
      <c r="D27693" s="4">
        <f>DATE(2014,12,3)</f>
        <v>41976</v>
      </c>
      <c r="E27693" s="5">
        <f t="shared" si="469"/>
        <v>2014</v>
      </c>
      <c r="F27693" s="3" t="s">
        <v>4434</v>
      </c>
      <c r="G27693" s="6">
        <v>6598.1</v>
      </c>
      <c r="H27693" s="5">
        <v>6472</v>
      </c>
    </row>
    <row r="27694" spans="2:8" ht="15" customHeight="1" x14ac:dyDescent="0.4">
      <c r="B27694" s="3" t="s">
        <v>7</v>
      </c>
      <c r="C27694" s="3" t="s">
        <v>4433</v>
      </c>
      <c r="D27694" s="4">
        <f>DATE(2009,7,6)</f>
        <v>40000</v>
      </c>
      <c r="E27694" s="5">
        <f t="shared" si="469"/>
        <v>2009</v>
      </c>
      <c r="F27694" s="3" t="s">
        <v>4434</v>
      </c>
      <c r="G27694" s="6">
        <v>3046.6</v>
      </c>
      <c r="H27694" s="5">
        <v>3503</v>
      </c>
    </row>
    <row r="27695" spans="2:8" ht="15" customHeight="1" x14ac:dyDescent="0.4">
      <c r="B27695" s="3" t="s">
        <v>7</v>
      </c>
      <c r="C27695" s="3" t="s">
        <v>4433</v>
      </c>
      <c r="D27695" s="4">
        <f>DATE(2009,7,31)</f>
        <v>40025</v>
      </c>
      <c r="E27695" s="5">
        <f t="shared" si="469"/>
        <v>2009</v>
      </c>
      <c r="F27695" s="3" t="s">
        <v>4434</v>
      </c>
      <c r="G27695" s="6">
        <v>34161.660000000003</v>
      </c>
      <c r="H27695" s="5">
        <v>3525</v>
      </c>
    </row>
    <row r="27696" spans="2:8" ht="15" customHeight="1" x14ac:dyDescent="0.4">
      <c r="B27696" s="3" t="s">
        <v>7</v>
      </c>
      <c r="C27696" s="3" t="s">
        <v>4433</v>
      </c>
      <c r="D27696" s="4">
        <f>DATE(2009,8,7)</f>
        <v>40032</v>
      </c>
      <c r="E27696" s="5">
        <f t="shared" si="469"/>
        <v>2009</v>
      </c>
      <c r="F27696" s="3" t="s">
        <v>4434</v>
      </c>
      <c r="G27696" s="6">
        <v>4092.5</v>
      </c>
      <c r="H27696" s="5">
        <v>3542</v>
      </c>
    </row>
    <row r="27697" spans="2:8" ht="15" customHeight="1" x14ac:dyDescent="0.4">
      <c r="B27697" s="3" t="s">
        <v>7</v>
      </c>
      <c r="C27697" s="3" t="s">
        <v>4433</v>
      </c>
      <c r="D27697" s="4">
        <f>DATE(2009,10,9)</f>
        <v>40095</v>
      </c>
      <c r="E27697" s="5">
        <f t="shared" si="469"/>
        <v>2009</v>
      </c>
      <c r="F27697" s="3" t="s">
        <v>4434</v>
      </c>
      <c r="G27697" s="6">
        <v>47204.08</v>
      </c>
      <c r="H27697" s="5">
        <v>3583</v>
      </c>
    </row>
    <row r="27698" spans="2:8" ht="15" customHeight="1" x14ac:dyDescent="0.4">
      <c r="B27698" s="3" t="s">
        <v>7</v>
      </c>
      <c r="C27698" s="3" t="s">
        <v>4433</v>
      </c>
      <c r="D27698" s="4">
        <f>DATE(2009,10,27)</f>
        <v>40113</v>
      </c>
      <c r="E27698" s="5">
        <f t="shared" si="469"/>
        <v>2009</v>
      </c>
      <c r="F27698" s="3" t="s">
        <v>4434</v>
      </c>
      <c r="G27698" s="6">
        <v>28160.5</v>
      </c>
      <c r="H27698" s="5">
        <v>3632</v>
      </c>
    </row>
    <row r="27699" spans="2:8" ht="15" customHeight="1" x14ac:dyDescent="0.4">
      <c r="B27699" s="3" t="s">
        <v>7</v>
      </c>
      <c r="C27699" s="3" t="s">
        <v>4433</v>
      </c>
      <c r="D27699" s="4">
        <f>DATE(2009,12,7)</f>
        <v>40154</v>
      </c>
      <c r="E27699" s="5">
        <f t="shared" si="469"/>
        <v>2009</v>
      </c>
      <c r="F27699" s="3" t="s">
        <v>4434</v>
      </c>
      <c r="G27699" s="6">
        <v>23315.4</v>
      </c>
      <c r="H27699" s="5">
        <v>3665</v>
      </c>
    </row>
    <row r="27700" spans="2:8" ht="15" customHeight="1" x14ac:dyDescent="0.4">
      <c r="B27700" s="3" t="s">
        <v>7</v>
      </c>
      <c r="C27700" s="3" t="s">
        <v>4433</v>
      </c>
      <c r="D27700" s="4">
        <f>DATE(2009,12,21)</f>
        <v>40168</v>
      </c>
      <c r="E27700" s="5">
        <f t="shared" si="469"/>
        <v>2009</v>
      </c>
      <c r="F27700" s="3" t="s">
        <v>4434</v>
      </c>
      <c r="G27700" s="6">
        <v>20809.3</v>
      </c>
      <c r="H27700" s="5">
        <v>3686</v>
      </c>
    </row>
    <row r="27701" spans="2:8" ht="15" customHeight="1" x14ac:dyDescent="0.4">
      <c r="B27701" s="3" t="s">
        <v>7</v>
      </c>
      <c r="C27701" s="3" t="s">
        <v>4433</v>
      </c>
      <c r="D27701" s="4">
        <f>DATE(2009,12,23)</f>
        <v>40170</v>
      </c>
      <c r="E27701" s="5">
        <f t="shared" si="469"/>
        <v>2009</v>
      </c>
      <c r="F27701" s="3" t="s">
        <v>4434</v>
      </c>
      <c r="G27701" s="6">
        <v>17886.7</v>
      </c>
      <c r="H27701" s="5">
        <v>3705</v>
      </c>
    </row>
    <row r="27702" spans="2:8" ht="15" customHeight="1" x14ac:dyDescent="0.4">
      <c r="B27702" s="3" t="s">
        <v>7</v>
      </c>
      <c r="C27702" s="3" t="s">
        <v>4433</v>
      </c>
      <c r="D27702" s="4">
        <f>DATE(2010,2,4)</f>
        <v>40213</v>
      </c>
      <c r="E27702" s="5">
        <f t="shared" si="469"/>
        <v>2010</v>
      </c>
      <c r="F27702" s="3" t="s">
        <v>4434</v>
      </c>
      <c r="G27702" s="6">
        <v>12459.8</v>
      </c>
      <c r="H27702" s="5">
        <v>3732</v>
      </c>
    </row>
    <row r="27703" spans="2:8" ht="15" customHeight="1" x14ac:dyDescent="0.4">
      <c r="B27703" s="3" t="s">
        <v>7</v>
      </c>
      <c r="C27703" s="3" t="s">
        <v>4433</v>
      </c>
      <c r="D27703" s="4">
        <f>DATE(2010,2,11)</f>
        <v>40220</v>
      </c>
      <c r="E27703" s="5">
        <f t="shared" si="469"/>
        <v>2010</v>
      </c>
      <c r="F27703" s="3" t="s">
        <v>4434</v>
      </c>
      <c r="G27703" s="6">
        <v>17384.5</v>
      </c>
      <c r="H27703" s="5">
        <v>3784</v>
      </c>
    </row>
    <row r="27704" spans="2:8" ht="15" customHeight="1" x14ac:dyDescent="0.4">
      <c r="B27704" s="3" t="s">
        <v>7</v>
      </c>
      <c r="C27704" s="3" t="s">
        <v>4433</v>
      </c>
      <c r="D27704" s="4">
        <f>DATE(2010,3,11)</f>
        <v>40248</v>
      </c>
      <c r="E27704" s="5">
        <f t="shared" si="469"/>
        <v>2010</v>
      </c>
      <c r="F27704" s="3" t="s">
        <v>4434</v>
      </c>
      <c r="G27704" s="6">
        <v>8109.6</v>
      </c>
      <c r="H27704" s="5">
        <v>3805</v>
      </c>
    </row>
    <row r="27705" spans="2:8" ht="15" customHeight="1" x14ac:dyDescent="0.4">
      <c r="B27705" s="3" t="s">
        <v>7</v>
      </c>
      <c r="C27705" s="3" t="s">
        <v>4433</v>
      </c>
      <c r="D27705" s="4">
        <f>DATE(2010,5,17)</f>
        <v>40315</v>
      </c>
      <c r="E27705" s="5">
        <f t="shared" si="469"/>
        <v>2010</v>
      </c>
      <c r="F27705" s="3" t="s">
        <v>4434</v>
      </c>
      <c r="G27705" s="6">
        <v>8797</v>
      </c>
      <c r="H27705" s="5">
        <v>3868</v>
      </c>
    </row>
    <row r="27706" spans="2:8" ht="15" customHeight="1" x14ac:dyDescent="0.4">
      <c r="B27706" s="3" t="s">
        <v>7</v>
      </c>
      <c r="C27706" s="3" t="s">
        <v>4433</v>
      </c>
      <c r="D27706" s="4">
        <f>DATE(2010,5,13)</f>
        <v>40311</v>
      </c>
      <c r="E27706" s="5">
        <f t="shared" si="469"/>
        <v>2010</v>
      </c>
      <c r="F27706" s="3" t="s">
        <v>4434</v>
      </c>
      <c r="G27706" s="6">
        <v>8860</v>
      </c>
      <c r="H27706" s="5">
        <v>3940</v>
      </c>
    </row>
    <row r="27707" spans="2:8" ht="15" customHeight="1" x14ac:dyDescent="0.4">
      <c r="B27707" s="3" t="s">
        <v>7</v>
      </c>
      <c r="C27707" s="3" t="s">
        <v>4433</v>
      </c>
      <c r="D27707" s="4">
        <f>DATE(2010,6,29)</f>
        <v>40358</v>
      </c>
      <c r="E27707" s="5">
        <f t="shared" si="469"/>
        <v>2010</v>
      </c>
      <c r="F27707" s="3" t="s">
        <v>4434</v>
      </c>
      <c r="G27707" s="6">
        <v>11032.4</v>
      </c>
      <c r="H27707" s="5">
        <v>3984</v>
      </c>
    </row>
    <row r="27708" spans="2:8" ht="15" customHeight="1" x14ac:dyDescent="0.4">
      <c r="B27708" s="3" t="s">
        <v>7</v>
      </c>
      <c r="C27708" s="3" t="s">
        <v>4433</v>
      </c>
      <c r="D27708" s="4">
        <f>DATE(2010,7,20)</f>
        <v>40379</v>
      </c>
      <c r="E27708" s="5">
        <f t="shared" si="469"/>
        <v>2010</v>
      </c>
      <c r="F27708" s="3" t="s">
        <v>4434</v>
      </c>
      <c r="G27708" s="6">
        <v>7454.5</v>
      </c>
      <c r="H27708" s="5">
        <v>3991</v>
      </c>
    </row>
    <row r="27709" spans="2:8" ht="15" customHeight="1" x14ac:dyDescent="0.4">
      <c r="B27709" s="3" t="s">
        <v>7</v>
      </c>
      <c r="C27709" s="3" t="s">
        <v>4433</v>
      </c>
      <c r="D27709" s="4">
        <f>DATE(2010,8,30)</f>
        <v>40420</v>
      </c>
      <c r="E27709" s="5">
        <f t="shared" si="469"/>
        <v>2010</v>
      </c>
      <c r="F27709" s="3" t="s">
        <v>4434</v>
      </c>
      <c r="G27709" s="6">
        <v>11007.5</v>
      </c>
      <c r="H27709" s="5">
        <v>4050</v>
      </c>
    </row>
    <row r="27710" spans="2:8" ht="15" customHeight="1" x14ac:dyDescent="0.4">
      <c r="B27710" s="3" t="s">
        <v>7</v>
      </c>
      <c r="C27710" s="3" t="s">
        <v>4433</v>
      </c>
      <c r="D27710" s="4">
        <f>DATE(2010,9,2)</f>
        <v>40423</v>
      </c>
      <c r="E27710" s="5">
        <f t="shared" si="469"/>
        <v>2010</v>
      </c>
      <c r="F27710" s="3" t="s">
        <v>4434</v>
      </c>
      <c r="G27710" s="6">
        <v>9404.1</v>
      </c>
      <c r="H27710" s="5">
        <v>4085</v>
      </c>
    </row>
    <row r="27711" spans="2:8" ht="15" customHeight="1" x14ac:dyDescent="0.4">
      <c r="B27711" s="3" t="s">
        <v>7</v>
      </c>
      <c r="C27711" s="3" t="s">
        <v>4433</v>
      </c>
      <c r="D27711" s="4">
        <f>DATE(2010,10,5)</f>
        <v>40456</v>
      </c>
      <c r="E27711" s="5">
        <f t="shared" si="469"/>
        <v>2010</v>
      </c>
      <c r="F27711" s="3" t="s">
        <v>4434</v>
      </c>
      <c r="G27711" s="6">
        <v>6301.6</v>
      </c>
      <c r="H27711" s="5">
        <v>4108</v>
      </c>
    </row>
    <row r="27712" spans="2:8" ht="15" customHeight="1" x14ac:dyDescent="0.4">
      <c r="B27712" s="3" t="s">
        <v>7</v>
      </c>
      <c r="C27712" s="3" t="s">
        <v>4433</v>
      </c>
      <c r="D27712" s="4">
        <f>DATE(2010,10,20)</f>
        <v>40471</v>
      </c>
      <c r="E27712" s="5">
        <f t="shared" si="469"/>
        <v>2010</v>
      </c>
      <c r="F27712" s="3" t="s">
        <v>4434</v>
      </c>
      <c r="G27712" s="6">
        <v>13951</v>
      </c>
      <c r="H27712" s="5">
        <v>4136</v>
      </c>
    </row>
    <row r="27713" spans="2:8" ht="15" customHeight="1" x14ac:dyDescent="0.4">
      <c r="B27713" s="3" t="s">
        <v>7</v>
      </c>
      <c r="C27713" s="3" t="s">
        <v>4433</v>
      </c>
      <c r="D27713" s="4">
        <f>DATE(2010,11,29)</f>
        <v>40511</v>
      </c>
      <c r="E27713" s="5">
        <f t="shared" si="469"/>
        <v>2010</v>
      </c>
      <c r="F27713" s="3" t="s">
        <v>4434</v>
      </c>
      <c r="G27713" s="6">
        <v>9556</v>
      </c>
      <c r="H27713" s="5">
        <v>4199</v>
      </c>
    </row>
    <row r="27714" spans="2:8" ht="15" customHeight="1" x14ac:dyDescent="0.4">
      <c r="B27714" s="3" t="s">
        <v>7</v>
      </c>
      <c r="C27714" s="3" t="s">
        <v>4433</v>
      </c>
      <c r="D27714" s="4">
        <f>DATE(2011,1,14)</f>
        <v>40557</v>
      </c>
      <c r="E27714" s="5">
        <f t="shared" si="469"/>
        <v>2011</v>
      </c>
      <c r="F27714" s="3" t="s">
        <v>4434</v>
      </c>
      <c r="G27714" s="6">
        <v>5687.2</v>
      </c>
      <c r="H27714" s="5">
        <v>4241</v>
      </c>
    </row>
    <row r="27715" spans="2:8" ht="15" customHeight="1" x14ac:dyDescent="0.4">
      <c r="B27715" s="3" t="s">
        <v>7</v>
      </c>
      <c r="C27715" s="3" t="s">
        <v>4433</v>
      </c>
      <c r="D27715" s="4">
        <f>DATE(2011,2,15)</f>
        <v>40589</v>
      </c>
      <c r="E27715" s="5">
        <f t="shared" ref="E27715:E27778" si="470">YEAR(D27715)</f>
        <v>2011</v>
      </c>
      <c r="F27715" s="3" t="s">
        <v>4434</v>
      </c>
      <c r="G27715" s="6">
        <v>9140.9</v>
      </c>
      <c r="H27715" s="5">
        <v>4289</v>
      </c>
    </row>
    <row r="27716" spans="2:8" ht="15" customHeight="1" x14ac:dyDescent="0.4">
      <c r="B27716" s="3" t="s">
        <v>7</v>
      </c>
      <c r="C27716" s="3" t="s">
        <v>4433</v>
      </c>
      <c r="D27716" s="4">
        <f>DATE(2011,3,3)</f>
        <v>40605</v>
      </c>
      <c r="E27716" s="5">
        <f t="shared" si="470"/>
        <v>2011</v>
      </c>
      <c r="F27716" s="3" t="s">
        <v>4434</v>
      </c>
      <c r="G27716" s="6">
        <v>12113.3</v>
      </c>
      <c r="H27716" s="5">
        <v>4330</v>
      </c>
    </row>
    <row r="27717" spans="2:8" ht="15" customHeight="1" x14ac:dyDescent="0.4">
      <c r="B27717" s="3" t="s">
        <v>7</v>
      </c>
      <c r="C27717" s="3" t="s">
        <v>4433</v>
      </c>
      <c r="D27717" s="4">
        <f>DATE(2011,5,27)</f>
        <v>40690</v>
      </c>
      <c r="E27717" s="5">
        <f t="shared" si="470"/>
        <v>2011</v>
      </c>
      <c r="F27717" s="3" t="s">
        <v>4434</v>
      </c>
      <c r="G27717" s="6">
        <v>23004.77</v>
      </c>
      <c r="H27717" s="5">
        <v>4313</v>
      </c>
    </row>
    <row r="27718" spans="2:8" ht="15" customHeight="1" x14ac:dyDescent="0.4">
      <c r="B27718" s="3" t="s">
        <v>7</v>
      </c>
      <c r="C27718" s="3" t="s">
        <v>4433</v>
      </c>
      <c r="D27718" s="4">
        <f>DATE(2011,6,10)</f>
        <v>40704</v>
      </c>
      <c r="E27718" s="5">
        <f t="shared" si="470"/>
        <v>2011</v>
      </c>
      <c r="F27718" s="3" t="s">
        <v>4434</v>
      </c>
      <c r="G27718" s="6">
        <v>8991.2999999999993</v>
      </c>
      <c r="H27718" s="5">
        <v>4468</v>
      </c>
    </row>
    <row r="27719" spans="2:8" ht="15" customHeight="1" x14ac:dyDescent="0.4">
      <c r="B27719" s="3" t="s">
        <v>7</v>
      </c>
      <c r="C27719" s="3" t="s">
        <v>4433</v>
      </c>
      <c r="D27719" s="4">
        <f>DATE(2011,8,11)</f>
        <v>40766</v>
      </c>
      <c r="E27719" s="5">
        <f t="shared" si="470"/>
        <v>2011</v>
      </c>
      <c r="F27719" s="3" t="s">
        <v>4434</v>
      </c>
      <c r="G27719" s="6">
        <v>11589.5</v>
      </c>
      <c r="H27719" s="5">
        <v>4520</v>
      </c>
    </row>
    <row r="27720" spans="2:8" ht="15" customHeight="1" x14ac:dyDescent="0.4">
      <c r="B27720" s="3" t="s">
        <v>7</v>
      </c>
      <c r="C27720" s="3" t="s">
        <v>4433</v>
      </c>
      <c r="D27720" s="4">
        <f>DATE(2011,10,13)</f>
        <v>40829</v>
      </c>
      <c r="E27720" s="5">
        <f t="shared" si="470"/>
        <v>2011</v>
      </c>
      <c r="F27720" s="3" t="s">
        <v>4434</v>
      </c>
      <c r="G27720" s="6">
        <v>12834</v>
      </c>
      <c r="H27720" s="5">
        <v>4628</v>
      </c>
    </row>
    <row r="27721" spans="2:8" ht="15" customHeight="1" x14ac:dyDescent="0.4">
      <c r="B27721" s="3" t="s">
        <v>7</v>
      </c>
      <c r="C27721" s="3" t="s">
        <v>4433</v>
      </c>
      <c r="D27721" s="4">
        <f>DATE(2011,12,7)</f>
        <v>40884</v>
      </c>
      <c r="E27721" s="5">
        <f t="shared" si="470"/>
        <v>2011</v>
      </c>
      <c r="F27721" s="3" t="s">
        <v>4434</v>
      </c>
      <c r="G27721" s="6">
        <v>7330.1</v>
      </c>
      <c r="H27721" s="5">
        <v>4708</v>
      </c>
    </row>
    <row r="27722" spans="2:8" ht="15" customHeight="1" x14ac:dyDescent="0.4">
      <c r="B27722" s="3" t="s">
        <v>7</v>
      </c>
      <c r="C27722" s="3" t="s">
        <v>4433</v>
      </c>
      <c r="D27722" s="4">
        <f>DATE(2012,3,1)</f>
        <v>40969</v>
      </c>
      <c r="E27722" s="5">
        <f t="shared" si="470"/>
        <v>2012</v>
      </c>
      <c r="F27722" s="3" t="s">
        <v>4434</v>
      </c>
      <c r="G27722" s="6">
        <v>8650.2000000000007</v>
      </c>
      <c r="H27722" s="5">
        <v>4757</v>
      </c>
    </row>
    <row r="27723" spans="2:8" ht="15" customHeight="1" x14ac:dyDescent="0.4">
      <c r="B27723" s="3" t="s">
        <v>7</v>
      </c>
      <c r="C27723" s="3" t="s">
        <v>4433</v>
      </c>
      <c r="D27723" s="4">
        <f>DATE(2012,3,5)</f>
        <v>40973</v>
      </c>
      <c r="E27723" s="5">
        <f t="shared" si="470"/>
        <v>2012</v>
      </c>
      <c r="F27723" s="3" t="s">
        <v>4434</v>
      </c>
      <c r="G27723" s="6">
        <v>11879.05</v>
      </c>
      <c r="H27723" s="5">
        <v>4828</v>
      </c>
    </row>
    <row r="27724" spans="2:8" ht="15" customHeight="1" x14ac:dyDescent="0.4">
      <c r="B27724" s="3" t="s">
        <v>7</v>
      </c>
      <c r="C27724" s="3" t="s">
        <v>4433</v>
      </c>
      <c r="D27724" s="4">
        <f>DATE(2012,5,7)</f>
        <v>41036</v>
      </c>
      <c r="E27724" s="5">
        <f t="shared" si="470"/>
        <v>2012</v>
      </c>
      <c r="F27724" s="3" t="s">
        <v>4434</v>
      </c>
      <c r="G27724" s="6">
        <v>7593.5</v>
      </c>
      <c r="H27724" s="5">
        <v>4997</v>
      </c>
    </row>
    <row r="27725" spans="2:8" ht="15" customHeight="1" x14ac:dyDescent="0.4">
      <c r="B27725" s="3" t="s">
        <v>7</v>
      </c>
      <c r="C27725" s="3" t="s">
        <v>4433</v>
      </c>
      <c r="D27725" s="4">
        <f>DATE(2012,5,14)</f>
        <v>41043</v>
      </c>
      <c r="E27725" s="5">
        <f t="shared" si="470"/>
        <v>2012</v>
      </c>
      <c r="F27725" s="3" t="s">
        <v>4434</v>
      </c>
      <c r="G27725" s="6">
        <v>8340.7000000000007</v>
      </c>
      <c r="H27725" s="5">
        <v>4996</v>
      </c>
    </row>
    <row r="27726" spans="2:8" ht="15" customHeight="1" x14ac:dyDescent="0.4">
      <c r="B27726" s="3" t="s">
        <v>7</v>
      </c>
      <c r="C27726" s="3" t="s">
        <v>4433</v>
      </c>
      <c r="D27726" s="4">
        <f>DATE(2012,10,1)</f>
        <v>41183</v>
      </c>
      <c r="E27726" s="5">
        <f t="shared" si="470"/>
        <v>2012</v>
      </c>
      <c r="F27726" s="3" t="s">
        <v>4434</v>
      </c>
      <c r="G27726" s="6">
        <v>8386.39</v>
      </c>
      <c r="H27726" s="5">
        <v>5223</v>
      </c>
    </row>
    <row r="27727" spans="2:8" ht="15" customHeight="1" x14ac:dyDescent="0.4">
      <c r="B27727" s="3" t="s">
        <v>7</v>
      </c>
      <c r="C27727" s="3" t="s">
        <v>4433</v>
      </c>
      <c r="D27727" s="4">
        <f>DATE(2012,10,19)</f>
        <v>41201</v>
      </c>
      <c r="E27727" s="5">
        <f t="shared" si="470"/>
        <v>2012</v>
      </c>
      <c r="F27727" s="3" t="s">
        <v>4434</v>
      </c>
      <c r="G27727" s="6">
        <v>5228.4399999999996</v>
      </c>
      <c r="H27727" s="5">
        <v>5203</v>
      </c>
    </row>
    <row r="27728" spans="2:8" ht="15" customHeight="1" x14ac:dyDescent="0.4">
      <c r="B27728" s="3" t="s">
        <v>7</v>
      </c>
      <c r="C27728" s="3" t="s">
        <v>4433</v>
      </c>
      <c r="D27728" s="4">
        <f>DATE(2012,11,29)</f>
        <v>41242</v>
      </c>
      <c r="E27728" s="5">
        <f t="shared" si="470"/>
        <v>2012</v>
      </c>
      <c r="F27728" s="3" t="s">
        <v>4434</v>
      </c>
      <c r="G27728" s="6">
        <v>29017.200000000001</v>
      </c>
      <c r="H27728" s="5">
        <v>5244</v>
      </c>
    </row>
    <row r="27729" spans="2:8" ht="15" customHeight="1" x14ac:dyDescent="0.4">
      <c r="B27729" s="3" t="s">
        <v>7</v>
      </c>
      <c r="C27729" s="3" t="s">
        <v>4433</v>
      </c>
      <c r="D27729" s="4">
        <f>DATE(2012,12,12)</f>
        <v>41255</v>
      </c>
      <c r="E27729" s="5">
        <f t="shared" si="470"/>
        <v>2012</v>
      </c>
      <c r="F27729" s="3" t="s">
        <v>4434</v>
      </c>
      <c r="G27729" s="6">
        <v>10188.9</v>
      </c>
      <c r="H27729" s="5">
        <v>5337</v>
      </c>
    </row>
    <row r="27730" spans="2:8" ht="15" customHeight="1" x14ac:dyDescent="0.4">
      <c r="B27730" s="3" t="s">
        <v>7</v>
      </c>
      <c r="C27730" s="3" t="s">
        <v>4433</v>
      </c>
      <c r="D27730" s="4">
        <f>DATE(2013,1,28)</f>
        <v>41302</v>
      </c>
      <c r="E27730" s="5">
        <f t="shared" si="470"/>
        <v>2013</v>
      </c>
      <c r="F27730" s="3" t="s">
        <v>4434</v>
      </c>
      <c r="G27730" s="6">
        <v>7727.7</v>
      </c>
      <c r="H27730" s="5">
        <v>5392</v>
      </c>
    </row>
    <row r="27731" spans="2:8" ht="15" customHeight="1" x14ac:dyDescent="0.4">
      <c r="B27731" s="3" t="s">
        <v>7</v>
      </c>
      <c r="C27731" s="3" t="s">
        <v>4433</v>
      </c>
      <c r="D27731" s="4">
        <f>DATE(2013,3,5)</f>
        <v>41338</v>
      </c>
      <c r="E27731" s="5">
        <f t="shared" si="470"/>
        <v>2013</v>
      </c>
      <c r="F27731" s="3" t="s">
        <v>4434</v>
      </c>
      <c r="G27731" s="6">
        <v>8708.7000000000007</v>
      </c>
      <c r="H27731" s="5">
        <v>5451</v>
      </c>
    </row>
    <row r="27732" spans="2:8" ht="15" customHeight="1" x14ac:dyDescent="0.4">
      <c r="B27732" s="3" t="s">
        <v>7</v>
      </c>
      <c r="C27732" s="3" t="s">
        <v>4433</v>
      </c>
      <c r="D27732" s="4">
        <f>DATE(2013,3,13)</f>
        <v>41346</v>
      </c>
      <c r="E27732" s="5">
        <f t="shared" si="470"/>
        <v>2013</v>
      </c>
      <c r="F27732" s="3" t="s">
        <v>4434</v>
      </c>
      <c r="G27732" s="6">
        <v>4961.3</v>
      </c>
      <c r="H27732" s="5">
        <v>5492</v>
      </c>
    </row>
    <row r="27733" spans="2:8" ht="15" customHeight="1" x14ac:dyDescent="0.4">
      <c r="B27733" s="3" t="s">
        <v>7</v>
      </c>
      <c r="C27733" s="3" t="s">
        <v>4433</v>
      </c>
      <c r="D27733" s="4">
        <f>DATE(2013,6,3)</f>
        <v>41428</v>
      </c>
      <c r="E27733" s="5">
        <f t="shared" si="470"/>
        <v>2013</v>
      </c>
      <c r="F27733" s="3" t="s">
        <v>4434</v>
      </c>
      <c r="G27733" s="6">
        <v>7304.5</v>
      </c>
      <c r="H27733" s="5">
        <v>5595</v>
      </c>
    </row>
    <row r="27734" spans="2:8" ht="15" customHeight="1" x14ac:dyDescent="0.4">
      <c r="B27734" s="3" t="s">
        <v>7</v>
      </c>
      <c r="C27734" s="3" t="s">
        <v>4433</v>
      </c>
      <c r="D27734" s="4">
        <f>DATE(2013,6,12)</f>
        <v>41437</v>
      </c>
      <c r="E27734" s="5">
        <f t="shared" si="470"/>
        <v>2013</v>
      </c>
      <c r="F27734" s="3" t="s">
        <v>4434</v>
      </c>
      <c r="G27734" s="6">
        <v>8365</v>
      </c>
      <c r="H27734" s="5">
        <v>5594</v>
      </c>
    </row>
    <row r="27735" spans="2:8" ht="15" customHeight="1" x14ac:dyDescent="0.4">
      <c r="B27735" s="3" t="s">
        <v>7</v>
      </c>
      <c r="C27735" s="3" t="s">
        <v>4433</v>
      </c>
      <c r="D27735" s="4">
        <f>DATE(2013,8,5)</f>
        <v>41491</v>
      </c>
      <c r="E27735" s="5">
        <f t="shared" si="470"/>
        <v>2013</v>
      </c>
      <c r="F27735" s="3" t="s">
        <v>4434</v>
      </c>
      <c r="G27735" s="6">
        <v>18085.400000000001</v>
      </c>
      <c r="H27735" s="5">
        <v>5725</v>
      </c>
    </row>
    <row r="27736" spans="2:8" ht="15" customHeight="1" x14ac:dyDescent="0.4">
      <c r="B27736" s="3" t="s">
        <v>7</v>
      </c>
      <c r="C27736" s="3" t="s">
        <v>4433</v>
      </c>
      <c r="D27736" s="4">
        <f>DATE(2013,8,15)</f>
        <v>41501</v>
      </c>
      <c r="E27736" s="5">
        <f t="shared" si="470"/>
        <v>2013</v>
      </c>
      <c r="F27736" s="3" t="s">
        <v>4434</v>
      </c>
      <c r="G27736" s="6">
        <v>10137.700000000001</v>
      </c>
      <c r="H27736" s="5">
        <v>5766</v>
      </c>
    </row>
    <row r="27737" spans="2:8" ht="15" customHeight="1" x14ac:dyDescent="0.4">
      <c r="B27737" s="3" t="s">
        <v>7</v>
      </c>
      <c r="C27737" s="3" t="s">
        <v>4433</v>
      </c>
      <c r="D27737" s="4">
        <f>DATE(2013,10,1)</f>
        <v>41548</v>
      </c>
      <c r="E27737" s="5">
        <f t="shared" si="470"/>
        <v>2013</v>
      </c>
      <c r="F27737" s="3" t="s">
        <v>4434</v>
      </c>
      <c r="G27737" s="6">
        <v>6031.5</v>
      </c>
      <c r="H27737" s="5">
        <v>5787</v>
      </c>
    </row>
    <row r="27738" spans="2:8" ht="15" customHeight="1" x14ac:dyDescent="0.4">
      <c r="B27738" s="3" t="s">
        <v>7</v>
      </c>
      <c r="C27738" s="3" t="s">
        <v>4433</v>
      </c>
      <c r="D27738" s="4">
        <f>DATE(2014,1,6)</f>
        <v>41645</v>
      </c>
      <c r="E27738" s="5">
        <f t="shared" si="470"/>
        <v>2014</v>
      </c>
      <c r="F27738" s="3" t="s">
        <v>4434</v>
      </c>
      <c r="G27738" s="6">
        <v>20762</v>
      </c>
      <c r="H27738" s="5">
        <v>5937</v>
      </c>
    </row>
    <row r="27739" spans="2:8" ht="15" customHeight="1" x14ac:dyDescent="0.4">
      <c r="B27739" s="3" t="s">
        <v>7</v>
      </c>
      <c r="C27739" s="3" t="s">
        <v>4433</v>
      </c>
      <c r="D27739" s="4">
        <f>DATE(2014,1,28)</f>
        <v>41667</v>
      </c>
      <c r="E27739" s="5">
        <f t="shared" si="470"/>
        <v>2014</v>
      </c>
      <c r="F27739" s="3" t="s">
        <v>4434</v>
      </c>
      <c r="G27739" s="6">
        <v>16485.75</v>
      </c>
      <c r="H27739" s="5">
        <v>5985</v>
      </c>
    </row>
    <row r="27740" spans="2:8" ht="15" customHeight="1" x14ac:dyDescent="0.4">
      <c r="B27740" s="3" t="s">
        <v>7</v>
      </c>
      <c r="C27740" s="3" t="s">
        <v>4433</v>
      </c>
      <c r="D27740" s="4">
        <f>DATE(2014,2,12)</f>
        <v>41682</v>
      </c>
      <c r="E27740" s="5">
        <f t="shared" si="470"/>
        <v>2014</v>
      </c>
      <c r="F27740" s="3" t="s">
        <v>4434</v>
      </c>
      <c r="G27740" s="6">
        <v>7554.5</v>
      </c>
      <c r="H27740" s="5">
        <v>5986</v>
      </c>
    </row>
    <row r="27741" spans="2:8" ht="15" customHeight="1" x14ac:dyDescent="0.4">
      <c r="B27741" s="3" t="s">
        <v>7</v>
      </c>
      <c r="C27741" s="3" t="s">
        <v>4433</v>
      </c>
      <c r="D27741" s="4">
        <f>DATE(2014,4,14)</f>
        <v>41743</v>
      </c>
      <c r="E27741" s="5">
        <f t="shared" si="470"/>
        <v>2014</v>
      </c>
      <c r="F27741" s="3" t="s">
        <v>4434</v>
      </c>
      <c r="G27741" s="6">
        <v>12444.55</v>
      </c>
      <c r="H27741" s="5">
        <v>6107</v>
      </c>
    </row>
    <row r="27742" spans="2:8" ht="15" customHeight="1" x14ac:dyDescent="0.4">
      <c r="B27742" s="3" t="s">
        <v>7</v>
      </c>
      <c r="C27742" s="3" t="s">
        <v>4433</v>
      </c>
      <c r="D27742" s="4">
        <f>DATE(2014,4,22)</f>
        <v>41751</v>
      </c>
      <c r="E27742" s="5">
        <f t="shared" si="470"/>
        <v>2014</v>
      </c>
      <c r="F27742" s="3" t="s">
        <v>4434</v>
      </c>
      <c r="G27742" s="6">
        <v>19960.75</v>
      </c>
      <c r="H27742" s="5">
        <v>6153</v>
      </c>
    </row>
    <row r="27743" spans="2:8" ht="15" customHeight="1" x14ac:dyDescent="0.4">
      <c r="B27743" s="3" t="s">
        <v>7</v>
      </c>
      <c r="C27743" s="3" t="s">
        <v>4433</v>
      </c>
      <c r="D27743" s="4">
        <f>DATE(2014,5,28)</f>
        <v>41787</v>
      </c>
      <c r="E27743" s="5">
        <f t="shared" si="470"/>
        <v>2014</v>
      </c>
      <c r="F27743" s="3" t="s">
        <v>4434</v>
      </c>
      <c r="G27743" s="6">
        <v>15033.25</v>
      </c>
      <c r="H27743" s="5">
        <v>6184</v>
      </c>
    </row>
    <row r="27744" spans="2:8" ht="15" customHeight="1" x14ac:dyDescent="0.4">
      <c r="B27744" s="3" t="s">
        <v>7</v>
      </c>
      <c r="C27744" s="3" t="s">
        <v>4433</v>
      </c>
      <c r="D27744" s="4">
        <f>DATE(2014,9,3)</f>
        <v>41885</v>
      </c>
      <c r="E27744" s="5">
        <f t="shared" si="470"/>
        <v>2014</v>
      </c>
      <c r="F27744" s="3" t="s">
        <v>4434</v>
      </c>
      <c r="G27744" s="6">
        <v>28402.75</v>
      </c>
      <c r="H27744" s="5">
        <v>6231</v>
      </c>
    </row>
    <row r="27745" spans="2:8" ht="15" customHeight="1" x14ac:dyDescent="0.4">
      <c r="B27745" s="3" t="s">
        <v>7</v>
      </c>
      <c r="C27745" s="3" t="s">
        <v>4433</v>
      </c>
      <c r="D27745" s="4">
        <f>DATE(2014,10,30)</f>
        <v>41942</v>
      </c>
      <c r="E27745" s="5">
        <f t="shared" si="470"/>
        <v>2014</v>
      </c>
      <c r="F27745" s="3" t="s">
        <v>4434</v>
      </c>
      <c r="G27745" s="6">
        <v>16007.5</v>
      </c>
      <c r="H27745" s="5">
        <v>6445</v>
      </c>
    </row>
    <row r="27746" spans="2:8" ht="15" customHeight="1" x14ac:dyDescent="0.4">
      <c r="B27746" s="3" t="s">
        <v>7</v>
      </c>
      <c r="C27746" s="3" t="s">
        <v>4433</v>
      </c>
      <c r="D27746" s="4">
        <f>DATE(2014,12,3)</f>
        <v>41976</v>
      </c>
      <c r="E27746" s="5">
        <f t="shared" si="470"/>
        <v>2014</v>
      </c>
      <c r="F27746" s="3" t="s">
        <v>4434</v>
      </c>
      <c r="G27746" s="6">
        <v>15225.25</v>
      </c>
      <c r="H27746" s="5">
        <v>6466</v>
      </c>
    </row>
    <row r="27747" spans="2:8" ht="15" customHeight="1" x14ac:dyDescent="0.4">
      <c r="B27747" s="3" t="s">
        <v>7</v>
      </c>
      <c r="C27747" s="3" t="s">
        <v>4433</v>
      </c>
      <c r="D27747" s="4">
        <f>DATE(2015,1,5)</f>
        <v>42009</v>
      </c>
      <c r="E27747" s="5">
        <f t="shared" si="470"/>
        <v>2015</v>
      </c>
      <c r="F27747" s="3" t="s">
        <v>4434</v>
      </c>
      <c r="G27747" s="6">
        <v>18452.45</v>
      </c>
      <c r="H27747" s="5">
        <v>6527</v>
      </c>
    </row>
    <row r="27748" spans="2:8" ht="15" customHeight="1" x14ac:dyDescent="0.4">
      <c r="B27748" s="3" t="s">
        <v>7</v>
      </c>
      <c r="C27748" s="3" t="s">
        <v>4435</v>
      </c>
      <c r="D27748" s="4">
        <f>DATE(2006,1,26)</f>
        <v>38743</v>
      </c>
      <c r="E27748" s="5">
        <f t="shared" si="470"/>
        <v>2006</v>
      </c>
      <c r="F27748" s="3" t="s">
        <v>4436</v>
      </c>
      <c r="G27748" s="6">
        <v>3936</v>
      </c>
      <c r="H27748" s="5">
        <v>1421</v>
      </c>
    </row>
    <row r="27749" spans="2:8" ht="15" customHeight="1" x14ac:dyDescent="0.4">
      <c r="B27749" t="s">
        <v>7</v>
      </c>
      <c r="C27749" t="s">
        <v>4437</v>
      </c>
      <c r="D27749" s="7">
        <f>DATE(2018,6,1)</f>
        <v>43252</v>
      </c>
      <c r="E27749" s="8">
        <f t="shared" si="470"/>
        <v>2018</v>
      </c>
      <c r="F27749" t="s">
        <v>4438</v>
      </c>
      <c r="G27749" s="9">
        <v>7036.25</v>
      </c>
      <c r="H27749" s="8">
        <v>27015</v>
      </c>
    </row>
    <row r="27750" spans="2:8" ht="15" customHeight="1" x14ac:dyDescent="0.4">
      <c r="B27750" t="s">
        <v>16</v>
      </c>
      <c r="C27750" t="s">
        <v>4437</v>
      </c>
      <c r="D27750" s="7">
        <f>DATE(2018,7,31)</f>
        <v>43312</v>
      </c>
      <c r="E27750" s="8">
        <f t="shared" si="470"/>
        <v>2018</v>
      </c>
      <c r="F27750" t="s">
        <v>4438</v>
      </c>
      <c r="G27750" s="9">
        <v>536.25</v>
      </c>
      <c r="H27750" s="8">
        <v>27423</v>
      </c>
    </row>
    <row r="27751" spans="2:8" ht="15" customHeight="1" x14ac:dyDescent="0.4">
      <c r="B27751" t="s">
        <v>7</v>
      </c>
      <c r="C27751" t="s">
        <v>4439</v>
      </c>
      <c r="D27751" s="7">
        <f>DATE(2015,5,21)</f>
        <v>42145</v>
      </c>
      <c r="E27751" s="8">
        <f t="shared" si="470"/>
        <v>2015</v>
      </c>
      <c r="F27751" t="s">
        <v>4440</v>
      </c>
      <c r="G27751" s="9">
        <v>1730.09</v>
      </c>
      <c r="H27751" s="8">
        <v>20574</v>
      </c>
    </row>
    <row r="27752" spans="2:8" ht="15" customHeight="1" x14ac:dyDescent="0.4">
      <c r="B27752" t="s">
        <v>7</v>
      </c>
      <c r="C27752" t="s">
        <v>4439</v>
      </c>
      <c r="D27752" s="7">
        <f>DATE(2015,6,17)</f>
        <v>42172</v>
      </c>
      <c r="E27752" s="8">
        <f t="shared" si="470"/>
        <v>2015</v>
      </c>
      <c r="F27752" t="s">
        <v>4440</v>
      </c>
      <c r="G27752" s="9">
        <v>142.83000000000001</v>
      </c>
      <c r="H27752" s="8">
        <v>20787</v>
      </c>
    </row>
    <row r="27753" spans="2:8" ht="15" customHeight="1" x14ac:dyDescent="0.4">
      <c r="B27753" t="s">
        <v>7</v>
      </c>
      <c r="C27753" t="s">
        <v>4439</v>
      </c>
      <c r="D27753" s="7">
        <f>DATE(2016,12,6)</f>
        <v>42710</v>
      </c>
      <c r="E27753" s="8">
        <f t="shared" si="470"/>
        <v>2016</v>
      </c>
      <c r="F27753" t="s">
        <v>4440</v>
      </c>
      <c r="G27753" s="9">
        <v>3089.55</v>
      </c>
      <c r="H27753" s="8">
        <v>23908</v>
      </c>
    </row>
    <row r="27754" spans="2:8" ht="15" customHeight="1" x14ac:dyDescent="0.4">
      <c r="B27754" t="s">
        <v>7</v>
      </c>
      <c r="C27754" t="s">
        <v>4439</v>
      </c>
      <c r="D27754" s="7">
        <f>DATE(2018,5,10)</f>
        <v>43230</v>
      </c>
      <c r="E27754" s="8">
        <f t="shared" si="470"/>
        <v>2018</v>
      </c>
      <c r="F27754" t="s">
        <v>4440</v>
      </c>
      <c r="G27754" s="9">
        <v>3437.29</v>
      </c>
      <c r="H27754" s="8">
        <v>27034</v>
      </c>
    </row>
    <row r="27755" spans="2:8" ht="15" customHeight="1" x14ac:dyDescent="0.4">
      <c r="B27755" s="3" t="s">
        <v>7</v>
      </c>
      <c r="C27755" s="3" t="s">
        <v>4439</v>
      </c>
      <c r="D27755" s="4">
        <f>DATE(2014,1,2)</f>
        <v>41641</v>
      </c>
      <c r="E27755" s="5">
        <f t="shared" si="470"/>
        <v>2014</v>
      </c>
      <c r="F27755" s="3" t="s">
        <v>4440</v>
      </c>
      <c r="G27755" s="6">
        <v>16048.74</v>
      </c>
      <c r="H27755" s="5">
        <v>5941</v>
      </c>
    </row>
    <row r="27756" spans="2:8" ht="15" customHeight="1" x14ac:dyDescent="0.4">
      <c r="B27756" s="3" t="s">
        <v>7</v>
      </c>
      <c r="C27756" s="3" t="s">
        <v>4439</v>
      </c>
      <c r="D27756" s="4">
        <f>DATE(2014,5,30)</f>
        <v>41789</v>
      </c>
      <c r="E27756" s="5">
        <f t="shared" si="470"/>
        <v>2014</v>
      </c>
      <c r="F27756" s="3" t="s">
        <v>4440</v>
      </c>
      <c r="G27756" s="6">
        <v>210.93</v>
      </c>
      <c r="H27756" s="5">
        <v>20001</v>
      </c>
    </row>
    <row r="27757" spans="2:8" ht="15" customHeight="1" x14ac:dyDescent="0.4">
      <c r="B27757" t="s">
        <v>7</v>
      </c>
      <c r="C27757" t="s">
        <v>4441</v>
      </c>
      <c r="D27757" s="7">
        <f>DATE(2017,5,11)</f>
        <v>42866</v>
      </c>
      <c r="E27757" s="8">
        <f t="shared" si="470"/>
        <v>2017</v>
      </c>
      <c r="F27757" t="s">
        <v>4442</v>
      </c>
      <c r="G27757" s="9">
        <v>5618.75</v>
      </c>
      <c r="H27757" s="8">
        <v>24775</v>
      </c>
    </row>
    <row r="27758" spans="2:8" ht="15" customHeight="1" x14ac:dyDescent="0.4">
      <c r="B27758" t="s">
        <v>7</v>
      </c>
      <c r="C27758" t="s">
        <v>4441</v>
      </c>
      <c r="D27758" s="7">
        <f>DATE(2019,3,22)</f>
        <v>43546</v>
      </c>
      <c r="E27758" s="8">
        <f t="shared" si="470"/>
        <v>2019</v>
      </c>
      <c r="F27758" t="s">
        <v>4442</v>
      </c>
      <c r="G27758" s="9">
        <v>5490</v>
      </c>
      <c r="H27758" s="8">
        <v>28648</v>
      </c>
    </row>
    <row r="27759" spans="2:8" ht="15" customHeight="1" x14ac:dyDescent="0.4">
      <c r="B27759" t="s">
        <v>7</v>
      </c>
      <c r="C27759" t="s">
        <v>4441</v>
      </c>
      <c r="D27759" s="7">
        <f>DATE(2017,12,18)</f>
        <v>43087</v>
      </c>
      <c r="E27759" s="8">
        <f t="shared" si="470"/>
        <v>2017</v>
      </c>
      <c r="F27759" t="s">
        <v>4442</v>
      </c>
      <c r="G27759" s="9">
        <v>3647.6</v>
      </c>
      <c r="H27759" s="8">
        <v>26019</v>
      </c>
    </row>
    <row r="27760" spans="2:8" ht="15" customHeight="1" x14ac:dyDescent="0.4">
      <c r="B27760" t="s">
        <v>7</v>
      </c>
      <c r="C27760" t="s">
        <v>4441</v>
      </c>
      <c r="D27760" s="7">
        <f>DATE(2019,3,28)</f>
        <v>43552</v>
      </c>
      <c r="E27760" s="8">
        <f t="shared" si="470"/>
        <v>2019</v>
      </c>
      <c r="F27760" t="s">
        <v>4442</v>
      </c>
      <c r="G27760" s="9">
        <v>5700</v>
      </c>
      <c r="H27760" s="8">
        <v>28706</v>
      </c>
    </row>
    <row r="27761" spans="2:8" ht="15" customHeight="1" x14ac:dyDescent="0.4">
      <c r="B27761" s="3" t="s">
        <v>7</v>
      </c>
      <c r="C27761" s="3" t="s">
        <v>4443</v>
      </c>
      <c r="D27761" s="4">
        <f>DATE(2008,7,15)</f>
        <v>39644</v>
      </c>
      <c r="E27761" s="5">
        <f t="shared" si="470"/>
        <v>2008</v>
      </c>
      <c r="F27761" s="3" t="s">
        <v>4444</v>
      </c>
      <c r="G27761" s="6">
        <v>2457.4899999999998</v>
      </c>
      <c r="H27761" s="5">
        <v>10916</v>
      </c>
    </row>
    <row r="27762" spans="2:8" ht="15" customHeight="1" x14ac:dyDescent="0.4">
      <c r="B27762" s="3" t="s">
        <v>7</v>
      </c>
      <c r="C27762" s="3" t="s">
        <v>4443</v>
      </c>
      <c r="D27762" s="4">
        <f>DATE(2012,8,24)</f>
        <v>41145</v>
      </c>
      <c r="E27762" s="5">
        <f t="shared" si="470"/>
        <v>2012</v>
      </c>
      <c r="F27762" s="3" t="s">
        <v>4444</v>
      </c>
      <c r="G27762" s="6">
        <v>961</v>
      </c>
      <c r="H27762" s="5">
        <v>17507</v>
      </c>
    </row>
    <row r="27763" spans="2:8" ht="15" customHeight="1" x14ac:dyDescent="0.4">
      <c r="B27763" t="s">
        <v>7</v>
      </c>
      <c r="C27763" t="s">
        <v>4445</v>
      </c>
      <c r="D27763" s="7">
        <f>DATE(2015,3,6)</f>
        <v>42069</v>
      </c>
      <c r="E27763" s="8">
        <f t="shared" si="470"/>
        <v>2015</v>
      </c>
      <c r="F27763" t="s">
        <v>4446</v>
      </c>
      <c r="G27763" s="9">
        <v>3313</v>
      </c>
      <c r="H27763" s="8">
        <v>39</v>
      </c>
    </row>
    <row r="27764" spans="2:8" ht="15" customHeight="1" x14ac:dyDescent="0.4">
      <c r="B27764" t="s">
        <v>7</v>
      </c>
      <c r="C27764" t="s">
        <v>4445</v>
      </c>
      <c r="D27764" s="7">
        <f>DATE(2015,3,6)</f>
        <v>42069</v>
      </c>
      <c r="E27764" s="8">
        <f t="shared" si="470"/>
        <v>2015</v>
      </c>
      <c r="F27764" t="s">
        <v>4446</v>
      </c>
      <c r="G27764" s="9">
        <v>2588</v>
      </c>
      <c r="H27764" s="8">
        <v>42</v>
      </c>
    </row>
    <row r="27765" spans="2:8" ht="15" customHeight="1" x14ac:dyDescent="0.4">
      <c r="B27765" t="s">
        <v>7</v>
      </c>
      <c r="C27765" t="s">
        <v>4445</v>
      </c>
      <c r="D27765" s="7">
        <f t="shared" ref="D27765:D27771" si="471">DATE(2015,12,28)</f>
        <v>42366</v>
      </c>
      <c r="E27765" s="8">
        <f t="shared" si="470"/>
        <v>2015</v>
      </c>
      <c r="F27765" t="s">
        <v>4446</v>
      </c>
      <c r="G27765" s="9">
        <v>1300.1300000000001</v>
      </c>
      <c r="H27765" s="8">
        <v>21766</v>
      </c>
    </row>
    <row r="27766" spans="2:8" ht="15" customHeight="1" x14ac:dyDescent="0.4">
      <c r="B27766" t="s">
        <v>7</v>
      </c>
      <c r="C27766" t="s">
        <v>4445</v>
      </c>
      <c r="D27766" s="7">
        <f t="shared" si="471"/>
        <v>42366</v>
      </c>
      <c r="E27766" s="8">
        <f t="shared" si="470"/>
        <v>2015</v>
      </c>
      <c r="F27766" t="s">
        <v>4446</v>
      </c>
      <c r="G27766" s="9">
        <v>1300.1300000000001</v>
      </c>
      <c r="H27766" s="8">
        <v>21765</v>
      </c>
    </row>
    <row r="27767" spans="2:8" ht="15" customHeight="1" x14ac:dyDescent="0.4">
      <c r="B27767" t="s">
        <v>7</v>
      </c>
      <c r="C27767" t="s">
        <v>4445</v>
      </c>
      <c r="D27767" s="7">
        <f t="shared" si="471"/>
        <v>42366</v>
      </c>
      <c r="E27767" s="8">
        <f t="shared" si="470"/>
        <v>2015</v>
      </c>
      <c r="F27767" t="s">
        <v>4446</v>
      </c>
      <c r="G27767" s="9">
        <v>1878.27</v>
      </c>
      <c r="H27767" s="8">
        <v>21763</v>
      </c>
    </row>
    <row r="27768" spans="2:8" ht="15" customHeight="1" x14ac:dyDescent="0.4">
      <c r="B27768" t="s">
        <v>7</v>
      </c>
      <c r="C27768" t="s">
        <v>4445</v>
      </c>
      <c r="D27768" s="7">
        <f t="shared" si="471"/>
        <v>42366</v>
      </c>
      <c r="E27768" s="8">
        <f t="shared" si="470"/>
        <v>2015</v>
      </c>
      <c r="F27768" t="s">
        <v>4446</v>
      </c>
      <c r="G27768" s="9">
        <v>1782</v>
      </c>
      <c r="H27768" s="8">
        <v>21760</v>
      </c>
    </row>
    <row r="27769" spans="2:8" ht="15" customHeight="1" x14ac:dyDescent="0.4">
      <c r="B27769" t="s">
        <v>7</v>
      </c>
      <c r="C27769" t="s">
        <v>4445</v>
      </c>
      <c r="D27769" s="7">
        <f t="shared" si="471"/>
        <v>42366</v>
      </c>
      <c r="E27769" s="8">
        <f t="shared" si="470"/>
        <v>2015</v>
      </c>
      <c r="F27769" t="s">
        <v>4446</v>
      </c>
      <c r="G27769" s="9">
        <v>1782</v>
      </c>
      <c r="H27769" s="8">
        <v>21759</v>
      </c>
    </row>
    <row r="27770" spans="2:8" ht="15" customHeight="1" x14ac:dyDescent="0.4">
      <c r="B27770" t="s">
        <v>7</v>
      </c>
      <c r="C27770" t="s">
        <v>4445</v>
      </c>
      <c r="D27770" s="7">
        <f t="shared" si="471"/>
        <v>42366</v>
      </c>
      <c r="E27770" s="8">
        <f t="shared" si="470"/>
        <v>2015</v>
      </c>
      <c r="F27770" t="s">
        <v>4446</v>
      </c>
      <c r="G27770" s="9">
        <v>1782</v>
      </c>
      <c r="H27770" s="8">
        <v>21758</v>
      </c>
    </row>
    <row r="27771" spans="2:8" ht="15" customHeight="1" x14ac:dyDescent="0.4">
      <c r="B27771" t="s">
        <v>7</v>
      </c>
      <c r="C27771" t="s">
        <v>4445</v>
      </c>
      <c r="D27771" s="7">
        <f t="shared" si="471"/>
        <v>42366</v>
      </c>
      <c r="E27771" s="8">
        <f t="shared" si="470"/>
        <v>2015</v>
      </c>
      <c r="F27771" t="s">
        <v>4446</v>
      </c>
      <c r="G27771" s="9">
        <v>1576.87</v>
      </c>
      <c r="H27771" s="8">
        <v>21756</v>
      </c>
    </row>
    <row r="27772" spans="2:8" ht="15" customHeight="1" x14ac:dyDescent="0.4">
      <c r="B27772" t="s">
        <v>7</v>
      </c>
      <c r="C27772" t="s">
        <v>4445</v>
      </c>
      <c r="D27772" s="7">
        <f t="shared" ref="D27772:D27777" si="472">DATE(2016,1,7)</f>
        <v>42376</v>
      </c>
      <c r="E27772" s="8">
        <f t="shared" si="470"/>
        <v>2016</v>
      </c>
      <c r="F27772" t="s">
        <v>4446</v>
      </c>
      <c r="G27772" s="9">
        <v>1153.54</v>
      </c>
      <c r="H27772" s="8">
        <v>21761</v>
      </c>
    </row>
    <row r="27773" spans="2:8" ht="15" customHeight="1" x14ac:dyDescent="0.4">
      <c r="B27773" t="s">
        <v>7</v>
      </c>
      <c r="C27773" t="s">
        <v>4445</v>
      </c>
      <c r="D27773" s="7">
        <f t="shared" si="472"/>
        <v>42376</v>
      </c>
      <c r="E27773" s="8">
        <f t="shared" si="470"/>
        <v>2016</v>
      </c>
      <c r="F27773" t="s">
        <v>4446</v>
      </c>
      <c r="G27773" s="9">
        <v>1300.1300000000001</v>
      </c>
      <c r="H27773" s="8">
        <v>21764</v>
      </c>
    </row>
    <row r="27774" spans="2:8" ht="15" customHeight="1" x14ac:dyDescent="0.4">
      <c r="B27774" t="s">
        <v>7</v>
      </c>
      <c r="C27774" t="s">
        <v>4445</v>
      </c>
      <c r="D27774" s="7">
        <f t="shared" si="472"/>
        <v>42376</v>
      </c>
      <c r="E27774" s="8">
        <f t="shared" si="470"/>
        <v>2016</v>
      </c>
      <c r="F27774" t="s">
        <v>4446</v>
      </c>
      <c r="G27774" s="9">
        <v>1878.27</v>
      </c>
      <c r="H27774" s="8">
        <v>21762</v>
      </c>
    </row>
    <row r="27775" spans="2:8" ht="15" customHeight="1" x14ac:dyDescent="0.4">
      <c r="B27775" t="s">
        <v>7</v>
      </c>
      <c r="C27775" t="s">
        <v>4445</v>
      </c>
      <c r="D27775" s="7">
        <f t="shared" si="472"/>
        <v>42376</v>
      </c>
      <c r="E27775" s="8">
        <f t="shared" si="470"/>
        <v>2016</v>
      </c>
      <c r="F27775" t="s">
        <v>4446</v>
      </c>
      <c r="G27775" s="9">
        <v>1576.87</v>
      </c>
      <c r="H27775" s="8">
        <v>21755</v>
      </c>
    </row>
    <row r="27776" spans="2:8" ht="15" customHeight="1" x14ac:dyDescent="0.4">
      <c r="B27776" t="s">
        <v>7</v>
      </c>
      <c r="C27776" t="s">
        <v>4445</v>
      </c>
      <c r="D27776" s="7">
        <f t="shared" si="472"/>
        <v>42376</v>
      </c>
      <c r="E27776" s="8">
        <f t="shared" si="470"/>
        <v>2016</v>
      </c>
      <c r="F27776" t="s">
        <v>4446</v>
      </c>
      <c r="G27776" s="9">
        <v>5755</v>
      </c>
      <c r="H27776" s="8">
        <v>21770</v>
      </c>
    </row>
    <row r="27777" spans="2:8" ht="15" customHeight="1" x14ac:dyDescent="0.4">
      <c r="B27777" t="s">
        <v>7</v>
      </c>
      <c r="C27777" t="s">
        <v>4445</v>
      </c>
      <c r="D27777" s="7">
        <f t="shared" si="472"/>
        <v>42376</v>
      </c>
      <c r="E27777" s="8">
        <f t="shared" si="470"/>
        <v>2016</v>
      </c>
      <c r="F27777" t="s">
        <v>4446</v>
      </c>
      <c r="G27777" s="9">
        <v>4210</v>
      </c>
      <c r="H27777" s="8">
        <v>21769</v>
      </c>
    </row>
    <row r="27778" spans="2:8" ht="15" customHeight="1" x14ac:dyDescent="0.4">
      <c r="B27778" t="s">
        <v>7</v>
      </c>
      <c r="C27778" t="s">
        <v>4445</v>
      </c>
      <c r="D27778" s="7">
        <f>DATE(2016,12,23)</f>
        <v>42727</v>
      </c>
      <c r="E27778" s="8">
        <f t="shared" si="470"/>
        <v>2016</v>
      </c>
      <c r="F27778" t="s">
        <v>4446</v>
      </c>
      <c r="G27778" s="9">
        <v>6150</v>
      </c>
      <c r="H27778" s="8">
        <v>23914</v>
      </c>
    </row>
    <row r="27779" spans="2:8" ht="15" customHeight="1" x14ac:dyDescent="0.4">
      <c r="B27779" t="s">
        <v>7</v>
      </c>
      <c r="C27779" t="s">
        <v>4445</v>
      </c>
      <c r="D27779" s="7">
        <f>DATE(2016,12,23)</f>
        <v>42727</v>
      </c>
      <c r="E27779" s="8">
        <f t="shared" ref="E27779:E27842" si="473">YEAR(D27779)</f>
        <v>2016</v>
      </c>
      <c r="F27779" t="s">
        <v>4446</v>
      </c>
      <c r="G27779" s="9">
        <v>9000</v>
      </c>
      <c r="H27779" s="8">
        <v>23911</v>
      </c>
    </row>
    <row r="27780" spans="2:8" ht="15" customHeight="1" x14ac:dyDescent="0.4">
      <c r="B27780" t="s">
        <v>7</v>
      </c>
      <c r="C27780" t="s">
        <v>4445</v>
      </c>
      <c r="D27780" s="7">
        <f>DATE(2016,12,23)</f>
        <v>42727</v>
      </c>
      <c r="E27780" s="8">
        <f t="shared" si="473"/>
        <v>2016</v>
      </c>
      <c r="F27780" t="s">
        <v>4446</v>
      </c>
      <c r="G27780" s="9">
        <v>6150</v>
      </c>
      <c r="H27780" s="8">
        <v>23913</v>
      </c>
    </row>
    <row r="27781" spans="2:8" ht="15" customHeight="1" x14ac:dyDescent="0.4">
      <c r="B27781" t="s">
        <v>7</v>
      </c>
      <c r="C27781" t="s">
        <v>4445</v>
      </c>
      <c r="D27781" s="7">
        <f>DATE(2018,2,26)</f>
        <v>43157</v>
      </c>
      <c r="E27781" s="8">
        <f t="shared" si="473"/>
        <v>2018</v>
      </c>
      <c r="F27781" t="s">
        <v>4446</v>
      </c>
      <c r="G27781" s="9">
        <v>6980</v>
      </c>
      <c r="H27781" s="8">
        <v>26361</v>
      </c>
    </row>
    <row r="27782" spans="2:8" ht="15" customHeight="1" x14ac:dyDescent="0.4">
      <c r="B27782" t="s">
        <v>7</v>
      </c>
      <c r="C27782" t="s">
        <v>4445</v>
      </c>
      <c r="D27782" s="7">
        <f>DATE(2018,2,26)</f>
        <v>43157</v>
      </c>
      <c r="E27782" s="8">
        <f t="shared" si="473"/>
        <v>2018</v>
      </c>
      <c r="F27782" t="s">
        <v>4446</v>
      </c>
      <c r="G27782" s="9">
        <v>4890</v>
      </c>
      <c r="H27782" s="8">
        <v>26552</v>
      </c>
    </row>
    <row r="27783" spans="2:8" ht="15" customHeight="1" x14ac:dyDescent="0.4">
      <c r="B27783" t="s">
        <v>7</v>
      </c>
      <c r="C27783" t="s">
        <v>4445</v>
      </c>
      <c r="D27783" s="7">
        <f>DATE(2018,2,26)</f>
        <v>43157</v>
      </c>
      <c r="E27783" s="8">
        <f t="shared" si="473"/>
        <v>2018</v>
      </c>
      <c r="F27783" t="s">
        <v>4446</v>
      </c>
      <c r="G27783" s="9">
        <v>2235</v>
      </c>
      <c r="H27783" s="8">
        <v>26553</v>
      </c>
    </row>
    <row r="27784" spans="2:8" ht="15" customHeight="1" x14ac:dyDescent="0.4">
      <c r="B27784" t="s">
        <v>7</v>
      </c>
      <c r="C27784" t="s">
        <v>4445</v>
      </c>
      <c r="D27784" s="7">
        <f>DATE(2018,2,26)</f>
        <v>43157</v>
      </c>
      <c r="E27784" s="8">
        <f t="shared" si="473"/>
        <v>2018</v>
      </c>
      <c r="F27784" t="s">
        <v>4446</v>
      </c>
      <c r="G27784" s="9">
        <v>3795</v>
      </c>
      <c r="H27784" s="8">
        <v>26554</v>
      </c>
    </row>
    <row r="27785" spans="2:8" ht="15" customHeight="1" x14ac:dyDescent="0.4">
      <c r="B27785" t="s">
        <v>7</v>
      </c>
      <c r="C27785" t="s">
        <v>4445</v>
      </c>
      <c r="D27785" s="7">
        <f t="shared" ref="D27785:D27790" si="474">DATE(2019,2,19)</f>
        <v>43515</v>
      </c>
      <c r="E27785" s="8">
        <f t="shared" si="473"/>
        <v>2019</v>
      </c>
      <c r="F27785" t="s">
        <v>4446</v>
      </c>
      <c r="G27785" s="9">
        <v>7351.66</v>
      </c>
      <c r="H27785" s="8">
        <v>28281</v>
      </c>
    </row>
    <row r="27786" spans="2:8" ht="15" customHeight="1" x14ac:dyDescent="0.4">
      <c r="B27786" t="s">
        <v>7</v>
      </c>
      <c r="C27786" t="s">
        <v>4445</v>
      </c>
      <c r="D27786" s="7">
        <f t="shared" si="474"/>
        <v>43515</v>
      </c>
      <c r="E27786" s="8">
        <f t="shared" si="473"/>
        <v>2019</v>
      </c>
      <c r="F27786" t="s">
        <v>4446</v>
      </c>
      <c r="G27786" s="9">
        <v>7351.66</v>
      </c>
      <c r="H27786" s="8">
        <v>28444</v>
      </c>
    </row>
    <row r="27787" spans="2:8" ht="15" customHeight="1" x14ac:dyDescent="0.4">
      <c r="B27787" t="s">
        <v>7</v>
      </c>
      <c r="C27787" t="s">
        <v>4445</v>
      </c>
      <c r="D27787" s="7">
        <f t="shared" si="474"/>
        <v>43515</v>
      </c>
      <c r="E27787" s="8">
        <f t="shared" si="473"/>
        <v>2019</v>
      </c>
      <c r="F27787" t="s">
        <v>4446</v>
      </c>
      <c r="G27787" s="9">
        <v>6551.67</v>
      </c>
      <c r="H27787" s="8">
        <v>28445</v>
      </c>
    </row>
    <row r="27788" spans="2:8" ht="15" customHeight="1" x14ac:dyDescent="0.4">
      <c r="B27788" t="s">
        <v>7</v>
      </c>
      <c r="C27788" t="s">
        <v>4445</v>
      </c>
      <c r="D27788" s="7">
        <f t="shared" si="474"/>
        <v>43515</v>
      </c>
      <c r="E27788" s="8">
        <f t="shared" si="473"/>
        <v>2019</v>
      </c>
      <c r="F27788" t="s">
        <v>4446</v>
      </c>
      <c r="G27788" s="9">
        <v>1396.67</v>
      </c>
      <c r="H27788" s="8">
        <v>28446</v>
      </c>
    </row>
    <row r="27789" spans="2:8" ht="15" customHeight="1" x14ac:dyDescent="0.4">
      <c r="B27789" t="s">
        <v>7</v>
      </c>
      <c r="C27789" t="s">
        <v>4445</v>
      </c>
      <c r="D27789" s="7">
        <f t="shared" si="474"/>
        <v>43515</v>
      </c>
      <c r="E27789" s="8">
        <f t="shared" si="473"/>
        <v>2019</v>
      </c>
      <c r="F27789" t="s">
        <v>4446</v>
      </c>
      <c r="G27789" s="9">
        <v>4901.67</v>
      </c>
      <c r="H27789" s="8">
        <v>28447</v>
      </c>
    </row>
    <row r="27790" spans="2:8" ht="15" customHeight="1" x14ac:dyDescent="0.4">
      <c r="B27790" t="s">
        <v>7</v>
      </c>
      <c r="C27790" t="s">
        <v>4445</v>
      </c>
      <c r="D27790" s="7">
        <f t="shared" si="474"/>
        <v>43515</v>
      </c>
      <c r="E27790" s="8">
        <f t="shared" si="473"/>
        <v>2019</v>
      </c>
      <c r="F27790" t="s">
        <v>4446</v>
      </c>
      <c r="G27790" s="9">
        <v>2141.67</v>
      </c>
      <c r="H27790" s="8">
        <v>28448</v>
      </c>
    </row>
    <row r="27791" spans="2:8" ht="15" customHeight="1" x14ac:dyDescent="0.4">
      <c r="B27791" t="s">
        <v>7</v>
      </c>
      <c r="C27791" t="s">
        <v>4445</v>
      </c>
      <c r="D27791" s="7">
        <f>DATE(2016,11,11)</f>
        <v>42685</v>
      </c>
      <c r="E27791" s="8">
        <f t="shared" si="473"/>
        <v>2016</v>
      </c>
      <c r="F27791" t="s">
        <v>4446</v>
      </c>
      <c r="G27791" s="9">
        <v>5282.54</v>
      </c>
      <c r="H27791" s="8">
        <v>23490</v>
      </c>
    </row>
    <row r="27792" spans="2:8" ht="15" customHeight="1" x14ac:dyDescent="0.4">
      <c r="B27792" t="s">
        <v>7</v>
      </c>
      <c r="C27792" t="s">
        <v>4445</v>
      </c>
      <c r="D27792" s="7">
        <f>DATE(2017,11,15)</f>
        <v>43054</v>
      </c>
      <c r="E27792" s="8">
        <f t="shared" si="473"/>
        <v>2017</v>
      </c>
      <c r="F27792" t="s">
        <v>4446</v>
      </c>
      <c r="G27792" s="9">
        <v>305.25</v>
      </c>
      <c r="H27792" s="8">
        <v>25787</v>
      </c>
    </row>
    <row r="27793" spans="2:8" ht="15" customHeight="1" x14ac:dyDescent="0.4">
      <c r="B27793" t="s">
        <v>7</v>
      </c>
      <c r="C27793" t="s">
        <v>4445</v>
      </c>
      <c r="D27793" s="7">
        <f>DATE(2018,3,1)</f>
        <v>43160</v>
      </c>
      <c r="E27793" s="8">
        <f t="shared" si="473"/>
        <v>2018</v>
      </c>
      <c r="F27793" t="s">
        <v>4446</v>
      </c>
      <c r="G27793" s="9">
        <v>3181.1</v>
      </c>
      <c r="H27793" s="8">
        <v>26570</v>
      </c>
    </row>
    <row r="27794" spans="2:8" ht="15" customHeight="1" x14ac:dyDescent="0.4">
      <c r="B27794" t="s">
        <v>7</v>
      </c>
      <c r="C27794" t="s">
        <v>4445</v>
      </c>
      <c r="D27794" s="7">
        <f>DATE(2018,10,17)</f>
        <v>43390</v>
      </c>
      <c r="E27794" s="8">
        <f t="shared" si="473"/>
        <v>2018</v>
      </c>
      <c r="F27794" t="s">
        <v>4446</v>
      </c>
      <c r="G27794" s="9">
        <v>3095</v>
      </c>
      <c r="H27794" s="8">
        <v>27755</v>
      </c>
    </row>
    <row r="27795" spans="2:8" ht="15" customHeight="1" x14ac:dyDescent="0.4">
      <c r="B27795" t="s">
        <v>7</v>
      </c>
      <c r="C27795" t="s">
        <v>4445</v>
      </c>
      <c r="D27795" s="7">
        <f>DATE(2018,10,26)</f>
        <v>43399</v>
      </c>
      <c r="E27795" s="8">
        <f t="shared" si="473"/>
        <v>2018</v>
      </c>
      <c r="F27795" t="s">
        <v>4446</v>
      </c>
      <c r="G27795" s="9">
        <v>575.01</v>
      </c>
      <c r="H27795" s="8">
        <v>27864</v>
      </c>
    </row>
    <row r="27796" spans="2:8" ht="15" customHeight="1" x14ac:dyDescent="0.4">
      <c r="B27796" t="s">
        <v>7</v>
      </c>
      <c r="C27796" t="s">
        <v>4445</v>
      </c>
      <c r="D27796" s="7">
        <f>DATE(2018,12,11)</f>
        <v>43445</v>
      </c>
      <c r="E27796" s="8">
        <f t="shared" si="473"/>
        <v>2018</v>
      </c>
      <c r="F27796" t="s">
        <v>4446</v>
      </c>
      <c r="G27796" s="9">
        <v>5517</v>
      </c>
      <c r="H27796" s="8">
        <v>28054</v>
      </c>
    </row>
    <row r="27797" spans="2:8" ht="15" customHeight="1" x14ac:dyDescent="0.4">
      <c r="B27797" t="s">
        <v>7</v>
      </c>
      <c r="C27797" t="s">
        <v>4445</v>
      </c>
      <c r="D27797" s="7">
        <f>DATE(2018,12,24)</f>
        <v>43458</v>
      </c>
      <c r="E27797" s="8">
        <f t="shared" si="473"/>
        <v>2018</v>
      </c>
      <c r="F27797" t="s">
        <v>4446</v>
      </c>
      <c r="G27797" s="9">
        <v>1037</v>
      </c>
      <c r="H27797" s="8">
        <v>28145</v>
      </c>
    </row>
    <row r="27798" spans="2:8" ht="15" customHeight="1" x14ac:dyDescent="0.4">
      <c r="B27798" t="s">
        <v>7</v>
      </c>
      <c r="C27798" t="s">
        <v>4445</v>
      </c>
      <c r="D27798" s="7">
        <f>DATE(2019,2,7)</f>
        <v>43503</v>
      </c>
      <c r="E27798" s="8">
        <f t="shared" si="473"/>
        <v>2019</v>
      </c>
      <c r="F27798" t="s">
        <v>4446</v>
      </c>
      <c r="G27798" s="9">
        <v>3146.18</v>
      </c>
      <c r="H27798" s="8">
        <v>28368</v>
      </c>
    </row>
    <row r="27799" spans="2:8" ht="15" customHeight="1" x14ac:dyDescent="0.4">
      <c r="B27799" t="s">
        <v>7</v>
      </c>
      <c r="C27799" t="s">
        <v>4445</v>
      </c>
      <c r="D27799" s="7">
        <f>DATE(2019,3,14)</f>
        <v>43538</v>
      </c>
      <c r="E27799" s="8">
        <f t="shared" si="473"/>
        <v>2019</v>
      </c>
      <c r="F27799" t="s">
        <v>4446</v>
      </c>
      <c r="G27799" s="9">
        <v>2063</v>
      </c>
      <c r="H27799" s="8">
        <v>28616</v>
      </c>
    </row>
    <row r="27800" spans="2:8" ht="15" customHeight="1" x14ac:dyDescent="0.4">
      <c r="B27800" t="s">
        <v>7</v>
      </c>
      <c r="C27800" t="s">
        <v>4447</v>
      </c>
      <c r="D27800" s="7">
        <f>DATE(2013,12,6)</f>
        <v>41614</v>
      </c>
      <c r="E27800" s="8">
        <f t="shared" si="473"/>
        <v>2013</v>
      </c>
      <c r="F27800" t="s">
        <v>4448</v>
      </c>
      <c r="G27800" s="9">
        <v>3397.03</v>
      </c>
      <c r="H27800" s="8">
        <v>12819</v>
      </c>
    </row>
    <row r="27801" spans="2:8" ht="15" customHeight="1" x14ac:dyDescent="0.4">
      <c r="B27801" t="s">
        <v>7</v>
      </c>
      <c r="C27801" t="s">
        <v>4447</v>
      </c>
      <c r="D27801" s="7">
        <f>DATE(2014,2,18)</f>
        <v>41688</v>
      </c>
      <c r="E27801" s="8">
        <f t="shared" si="473"/>
        <v>2014</v>
      </c>
      <c r="F27801" t="s">
        <v>4448</v>
      </c>
      <c r="G27801" s="9">
        <v>4322.1400000000003</v>
      </c>
      <c r="H27801" s="8">
        <v>12944</v>
      </c>
    </row>
    <row r="27802" spans="2:8" ht="15" customHeight="1" x14ac:dyDescent="0.4">
      <c r="B27802" t="s">
        <v>7</v>
      </c>
      <c r="C27802" t="s">
        <v>4449</v>
      </c>
      <c r="D27802" s="7">
        <f>DATE(2009,4,1)</f>
        <v>39904</v>
      </c>
      <c r="E27802" s="8">
        <f t="shared" si="473"/>
        <v>2009</v>
      </c>
      <c r="F27802" t="s">
        <v>4450</v>
      </c>
      <c r="G27802" s="9">
        <v>4169.29</v>
      </c>
      <c r="H27802" s="8">
        <v>8299</v>
      </c>
    </row>
    <row r="27803" spans="2:8" ht="15" customHeight="1" x14ac:dyDescent="0.4">
      <c r="B27803" s="3" t="s">
        <v>7</v>
      </c>
      <c r="C27803" s="3" t="s">
        <v>4449</v>
      </c>
      <c r="D27803" s="4">
        <f>DATE(2009,2,17)</f>
        <v>39861</v>
      </c>
      <c r="E27803" s="5">
        <f t="shared" si="473"/>
        <v>2009</v>
      </c>
      <c r="F27803" s="3" t="s">
        <v>4450</v>
      </c>
      <c r="G27803" s="6">
        <v>2545.87</v>
      </c>
      <c r="H27803" s="5">
        <v>11993</v>
      </c>
    </row>
    <row r="27804" spans="2:8" ht="15" customHeight="1" x14ac:dyDescent="0.4">
      <c r="B27804" s="3" t="s">
        <v>7</v>
      </c>
      <c r="C27804" s="3" t="s">
        <v>4449</v>
      </c>
      <c r="D27804" s="4">
        <f>DATE(2009,3,11)</f>
        <v>39883</v>
      </c>
      <c r="E27804" s="5">
        <f t="shared" si="473"/>
        <v>2009</v>
      </c>
      <c r="F27804" s="3" t="s">
        <v>4450</v>
      </c>
      <c r="G27804" s="6">
        <v>3232.77</v>
      </c>
      <c r="H27804" s="5">
        <v>12129</v>
      </c>
    </row>
    <row r="27805" spans="2:8" ht="15" customHeight="1" x14ac:dyDescent="0.4">
      <c r="B27805" s="3" t="s">
        <v>7</v>
      </c>
      <c r="C27805" s="3" t="s">
        <v>4449</v>
      </c>
      <c r="D27805" s="4">
        <f>DATE(2009,3,18)</f>
        <v>39890</v>
      </c>
      <c r="E27805" s="5">
        <f t="shared" si="473"/>
        <v>2009</v>
      </c>
      <c r="F27805" s="3" t="s">
        <v>4450</v>
      </c>
      <c r="G27805" s="6">
        <v>1179.23</v>
      </c>
      <c r="H27805" s="5">
        <v>12225</v>
      </c>
    </row>
    <row r="27806" spans="2:8" ht="15" customHeight="1" x14ac:dyDescent="0.4">
      <c r="B27806" s="3" t="s">
        <v>7</v>
      </c>
      <c r="C27806" s="3" t="s">
        <v>4449</v>
      </c>
      <c r="D27806" s="4">
        <f>DATE(2009,4,2)</f>
        <v>39905</v>
      </c>
      <c r="E27806" s="5">
        <f t="shared" si="473"/>
        <v>2009</v>
      </c>
      <c r="F27806" s="3" t="s">
        <v>4450</v>
      </c>
      <c r="G27806" s="6">
        <v>2247.8000000000002</v>
      </c>
      <c r="H27806" s="5">
        <v>11895</v>
      </c>
    </row>
    <row r="27807" spans="2:8" ht="15" customHeight="1" x14ac:dyDescent="0.4">
      <c r="B27807" s="3" t="s">
        <v>16</v>
      </c>
      <c r="C27807" s="3" t="s">
        <v>4449</v>
      </c>
      <c r="D27807" s="4">
        <f>DATE(2009,3,27)</f>
        <v>39899</v>
      </c>
      <c r="E27807" s="5">
        <f t="shared" si="473"/>
        <v>2009</v>
      </c>
      <c r="F27807" s="3" t="s">
        <v>4450</v>
      </c>
      <c r="G27807" s="6">
        <v>1735.5</v>
      </c>
      <c r="H27807" s="5">
        <v>12344</v>
      </c>
    </row>
    <row r="27808" spans="2:8" ht="15" customHeight="1" x14ac:dyDescent="0.4">
      <c r="B27808" t="s">
        <v>7</v>
      </c>
      <c r="C27808" t="s">
        <v>4451</v>
      </c>
      <c r="D27808" s="7">
        <f>DATE(2007,2,23)</f>
        <v>39136</v>
      </c>
      <c r="E27808" s="8">
        <f t="shared" si="473"/>
        <v>2007</v>
      </c>
      <c r="F27808" t="s">
        <v>4452</v>
      </c>
      <c r="G27808" s="9">
        <v>3618.28</v>
      </c>
      <c r="H27808" s="8">
        <v>5584</v>
      </c>
    </row>
    <row r="27809" spans="2:8" ht="15" customHeight="1" x14ac:dyDescent="0.4">
      <c r="B27809" s="3" t="s">
        <v>7</v>
      </c>
      <c r="C27809" s="3" t="s">
        <v>4451</v>
      </c>
      <c r="D27809" s="4">
        <f>DATE(2007,3,1)</f>
        <v>39142</v>
      </c>
      <c r="E27809" s="5">
        <f t="shared" si="473"/>
        <v>2007</v>
      </c>
      <c r="F27809" s="3" t="s">
        <v>4452</v>
      </c>
      <c r="G27809" s="6">
        <v>114</v>
      </c>
      <c r="H27809" s="5">
        <v>8038</v>
      </c>
    </row>
    <row r="27810" spans="2:8" ht="15" customHeight="1" x14ac:dyDescent="0.4">
      <c r="B27810" s="3" t="s">
        <v>7</v>
      </c>
      <c r="C27810" s="3" t="s">
        <v>4451</v>
      </c>
      <c r="D27810" s="4">
        <f>DATE(2007,3,26)</f>
        <v>39167</v>
      </c>
      <c r="E27810" s="5">
        <f t="shared" si="473"/>
        <v>2007</v>
      </c>
      <c r="F27810" s="3" t="s">
        <v>4452</v>
      </c>
      <c r="G27810" s="6">
        <v>104.64</v>
      </c>
      <c r="H27810" s="5">
        <v>8223</v>
      </c>
    </row>
    <row r="27811" spans="2:8" ht="15" customHeight="1" x14ac:dyDescent="0.4">
      <c r="B27811" s="3" t="s">
        <v>7</v>
      </c>
      <c r="C27811" s="3" t="s">
        <v>4453</v>
      </c>
      <c r="D27811" s="4">
        <f>DATE(2009,4,28)</f>
        <v>39931</v>
      </c>
      <c r="E27811" s="5">
        <f t="shared" si="473"/>
        <v>2009</v>
      </c>
      <c r="F27811" s="3" t="s">
        <v>4454</v>
      </c>
      <c r="G27811" s="6">
        <v>1090</v>
      </c>
      <c r="H27811" s="5">
        <v>12410</v>
      </c>
    </row>
    <row r="27812" spans="2:8" ht="15" customHeight="1" x14ac:dyDescent="0.4">
      <c r="B27812" s="3" t="s">
        <v>7</v>
      </c>
      <c r="C27812" s="3" t="s">
        <v>4455</v>
      </c>
      <c r="D27812" s="4">
        <f>DATE(2008,3,1)</f>
        <v>39508</v>
      </c>
      <c r="E27812" s="5">
        <f t="shared" si="473"/>
        <v>2008</v>
      </c>
      <c r="F27812" s="3" t="s">
        <v>4456</v>
      </c>
      <c r="G27812" s="6">
        <v>957.65</v>
      </c>
      <c r="H27812" s="5">
        <v>9878</v>
      </c>
    </row>
    <row r="27813" spans="2:8" ht="15" customHeight="1" x14ac:dyDescent="0.4">
      <c r="B27813" s="3" t="s">
        <v>7</v>
      </c>
      <c r="C27813" s="3" t="s">
        <v>4455</v>
      </c>
      <c r="D27813" s="4">
        <f>DATE(2008,6,12)</f>
        <v>39611</v>
      </c>
      <c r="E27813" s="5">
        <f t="shared" si="473"/>
        <v>2008</v>
      </c>
      <c r="F27813" s="3" t="s">
        <v>4456</v>
      </c>
      <c r="G27813" s="6">
        <v>499</v>
      </c>
      <c r="H27813" s="5">
        <v>10843</v>
      </c>
    </row>
    <row r="27814" spans="2:8" ht="15" customHeight="1" x14ac:dyDescent="0.4">
      <c r="B27814" s="3" t="s">
        <v>7</v>
      </c>
      <c r="C27814" s="3" t="s">
        <v>4455</v>
      </c>
      <c r="D27814" s="4">
        <f>DATE(2008,7,7)</f>
        <v>39636</v>
      </c>
      <c r="E27814" s="5">
        <f t="shared" si="473"/>
        <v>2008</v>
      </c>
      <c r="F27814" s="3" t="s">
        <v>4456</v>
      </c>
      <c r="G27814" s="6">
        <v>499</v>
      </c>
      <c r="H27814" s="5">
        <v>10923</v>
      </c>
    </row>
    <row r="27815" spans="2:8" ht="15" customHeight="1" x14ac:dyDescent="0.4">
      <c r="B27815" t="s">
        <v>7</v>
      </c>
      <c r="C27815" t="s">
        <v>4457</v>
      </c>
      <c r="D27815" s="7">
        <f>DATE(2015,9,15)</f>
        <v>42262</v>
      </c>
      <c r="E27815" s="8">
        <f t="shared" si="473"/>
        <v>2015</v>
      </c>
      <c r="F27815" t="s">
        <v>4458</v>
      </c>
      <c r="G27815" s="9">
        <v>458</v>
      </c>
      <c r="H27815" s="8">
        <v>21215</v>
      </c>
    </row>
    <row r="27816" spans="2:8" ht="15" customHeight="1" x14ac:dyDescent="0.4">
      <c r="B27816" s="3" t="s">
        <v>7</v>
      </c>
      <c r="C27816" s="3" t="s">
        <v>502</v>
      </c>
      <c r="D27816" s="4">
        <f>DATE(2007,8,6)</f>
        <v>39300</v>
      </c>
      <c r="E27816" s="5">
        <f t="shared" si="473"/>
        <v>2007</v>
      </c>
      <c r="F27816" s="3" t="s">
        <v>4459</v>
      </c>
      <c r="G27816" s="6">
        <v>17.04</v>
      </c>
      <c r="H27816" s="5">
        <v>2357</v>
      </c>
    </row>
    <row r="27817" spans="2:8" ht="15" customHeight="1" x14ac:dyDescent="0.4">
      <c r="B27817" s="3" t="s">
        <v>7</v>
      </c>
      <c r="C27817" s="3" t="s">
        <v>502</v>
      </c>
      <c r="D27817" s="4">
        <f>DATE(2009,5,29)</f>
        <v>39962</v>
      </c>
      <c r="E27817" s="5">
        <f t="shared" si="473"/>
        <v>2009</v>
      </c>
      <c r="F27817" s="3" t="s">
        <v>4459</v>
      </c>
      <c r="G27817" s="6">
        <v>5.75</v>
      </c>
      <c r="H27817" s="5">
        <v>3454</v>
      </c>
    </row>
    <row r="27818" spans="2:8" ht="15" customHeight="1" x14ac:dyDescent="0.4">
      <c r="B27818" s="3" t="s">
        <v>7</v>
      </c>
      <c r="C27818" s="3" t="s">
        <v>502</v>
      </c>
      <c r="D27818" s="4">
        <f>DATE(2009,10,15)</f>
        <v>40101</v>
      </c>
      <c r="E27818" s="5">
        <f t="shared" si="473"/>
        <v>2009</v>
      </c>
      <c r="F27818" s="3" t="s">
        <v>4459</v>
      </c>
      <c r="G27818" s="6">
        <v>5.75</v>
      </c>
      <c r="H27818" s="5">
        <v>3611</v>
      </c>
    </row>
    <row r="27819" spans="2:8" ht="15" customHeight="1" x14ac:dyDescent="0.4">
      <c r="B27819" t="s">
        <v>7</v>
      </c>
      <c r="C27819" t="s">
        <v>4433</v>
      </c>
      <c r="D27819" s="7">
        <f>DATE(2017,9,1)</f>
        <v>42979</v>
      </c>
      <c r="E27819" s="8">
        <f t="shared" si="473"/>
        <v>2017</v>
      </c>
      <c r="F27819" t="s">
        <v>4460</v>
      </c>
      <c r="G27819" s="9">
        <v>20893.75</v>
      </c>
      <c r="H27819" s="8">
        <v>25448</v>
      </c>
    </row>
    <row r="27820" spans="2:8" ht="15" customHeight="1" x14ac:dyDescent="0.4">
      <c r="B27820" t="s">
        <v>7</v>
      </c>
      <c r="C27820" t="s">
        <v>4433</v>
      </c>
      <c r="D27820" s="7">
        <f>DATE(2018,1,2)</f>
        <v>43102</v>
      </c>
      <c r="E27820" s="8">
        <f t="shared" si="473"/>
        <v>2018</v>
      </c>
      <c r="F27820" t="s">
        <v>4460</v>
      </c>
      <c r="G27820" s="9">
        <v>23633.25</v>
      </c>
      <c r="H27820" s="8">
        <v>25521</v>
      </c>
    </row>
    <row r="27821" spans="2:8" ht="15" customHeight="1" x14ac:dyDescent="0.4">
      <c r="B27821" t="s">
        <v>7</v>
      </c>
      <c r="C27821" t="s">
        <v>4433</v>
      </c>
      <c r="D27821" s="7">
        <f>DATE(2018,3,14)</f>
        <v>43173</v>
      </c>
      <c r="E27821" s="8">
        <f t="shared" si="473"/>
        <v>2018</v>
      </c>
      <c r="F27821" t="s">
        <v>4460</v>
      </c>
      <c r="G27821" s="9">
        <v>23827.9</v>
      </c>
      <c r="H27821" s="8">
        <v>26130</v>
      </c>
    </row>
    <row r="27822" spans="2:8" ht="15" customHeight="1" x14ac:dyDescent="0.4">
      <c r="B27822" t="s">
        <v>7</v>
      </c>
      <c r="C27822" t="s">
        <v>4433</v>
      </c>
      <c r="D27822" s="7">
        <f>DATE(2018,5,3)</f>
        <v>43223</v>
      </c>
      <c r="E27822" s="8">
        <f t="shared" si="473"/>
        <v>2018</v>
      </c>
      <c r="F27822" t="s">
        <v>4460</v>
      </c>
      <c r="G27822" s="9">
        <v>28065.599999999999</v>
      </c>
      <c r="H27822" s="8">
        <v>26862</v>
      </c>
    </row>
    <row r="27823" spans="2:8" ht="15" customHeight="1" x14ac:dyDescent="0.4">
      <c r="B27823" t="s">
        <v>7</v>
      </c>
      <c r="C27823" t="s">
        <v>4433</v>
      </c>
      <c r="D27823" s="7">
        <f>DATE(2018,9,20)</f>
        <v>43363</v>
      </c>
      <c r="E27823" s="8">
        <f t="shared" si="473"/>
        <v>2018</v>
      </c>
      <c r="F27823" t="s">
        <v>4460</v>
      </c>
      <c r="G27823" s="9">
        <v>22311.18</v>
      </c>
      <c r="H27823" s="8">
        <v>27512</v>
      </c>
    </row>
    <row r="27824" spans="2:8" ht="15" customHeight="1" x14ac:dyDescent="0.4">
      <c r="B27824" t="s">
        <v>7</v>
      </c>
      <c r="C27824" t="s">
        <v>4433</v>
      </c>
      <c r="D27824" s="7">
        <f>DATE(2018,12,10)</f>
        <v>43444</v>
      </c>
      <c r="E27824" s="8">
        <f t="shared" si="473"/>
        <v>2018</v>
      </c>
      <c r="F27824" t="s">
        <v>4460</v>
      </c>
      <c r="G27824" s="9">
        <v>20845.68</v>
      </c>
      <c r="H27824" s="8">
        <v>28051</v>
      </c>
    </row>
    <row r="27825" spans="2:8" ht="15" customHeight="1" x14ac:dyDescent="0.4">
      <c r="B27825" t="s">
        <v>7</v>
      </c>
      <c r="C27825" t="s">
        <v>4433</v>
      </c>
      <c r="D27825" s="7">
        <f>DATE(2019,1,25)</f>
        <v>43490</v>
      </c>
      <c r="E27825" s="8">
        <f t="shared" si="473"/>
        <v>2019</v>
      </c>
      <c r="F27825" t="s">
        <v>4460</v>
      </c>
      <c r="G27825" s="9">
        <v>19551.400000000001</v>
      </c>
      <c r="H27825" s="8">
        <v>28251</v>
      </c>
    </row>
    <row r="27826" spans="2:8" ht="15" customHeight="1" x14ac:dyDescent="0.4">
      <c r="B27826" t="s">
        <v>7</v>
      </c>
      <c r="C27826" t="s">
        <v>4433</v>
      </c>
      <c r="D27826" s="7">
        <f>DATE(2019,3,4)</f>
        <v>43528</v>
      </c>
      <c r="E27826" s="8">
        <f t="shared" si="473"/>
        <v>2019</v>
      </c>
      <c r="F27826" t="s">
        <v>4460</v>
      </c>
      <c r="G27826" s="9">
        <v>19268.900000000001</v>
      </c>
      <c r="H27826" s="8">
        <v>28453</v>
      </c>
    </row>
    <row r="27827" spans="2:8" ht="15" customHeight="1" x14ac:dyDescent="0.4">
      <c r="B27827" t="s">
        <v>7</v>
      </c>
      <c r="C27827" t="s">
        <v>4433</v>
      </c>
      <c r="D27827" s="7">
        <f>DATE(2019,5,6)</f>
        <v>43591</v>
      </c>
      <c r="E27827" s="8">
        <f t="shared" si="473"/>
        <v>2019</v>
      </c>
      <c r="F27827" t="s">
        <v>4460</v>
      </c>
      <c r="G27827" s="9">
        <v>18587.5</v>
      </c>
      <c r="H27827" s="8">
        <v>28932</v>
      </c>
    </row>
    <row r="27828" spans="2:8" ht="15" customHeight="1" x14ac:dyDescent="0.4">
      <c r="B27828" t="s">
        <v>7</v>
      </c>
      <c r="C27828" t="s">
        <v>1771</v>
      </c>
      <c r="D27828" s="7">
        <f>DATE(2018,10,1)</f>
        <v>43374</v>
      </c>
      <c r="E27828" s="8">
        <f t="shared" si="473"/>
        <v>2018</v>
      </c>
      <c r="F27828" t="s">
        <v>4461</v>
      </c>
      <c r="G27828" s="9">
        <v>30082.19</v>
      </c>
      <c r="H27828" s="8">
        <v>27444</v>
      </c>
    </row>
    <row r="27829" spans="2:8" ht="15" customHeight="1" x14ac:dyDescent="0.4">
      <c r="B27829" t="s">
        <v>7</v>
      </c>
      <c r="C27829" t="s">
        <v>1771</v>
      </c>
      <c r="D27829" s="7">
        <f>DATE(2018,10,1)</f>
        <v>43374</v>
      </c>
      <c r="E27829" s="8">
        <f t="shared" si="473"/>
        <v>2018</v>
      </c>
      <c r="F27829" t="s">
        <v>4461</v>
      </c>
      <c r="G27829" s="9">
        <v>14359</v>
      </c>
      <c r="H27829" s="8">
        <v>27445</v>
      </c>
    </row>
    <row r="27830" spans="2:8" ht="15" customHeight="1" x14ac:dyDescent="0.4">
      <c r="B27830" t="s">
        <v>7</v>
      </c>
      <c r="C27830" t="s">
        <v>1771</v>
      </c>
      <c r="D27830" s="7">
        <f>DATE(2017,10,26)</f>
        <v>43034</v>
      </c>
      <c r="E27830" s="8">
        <f t="shared" si="473"/>
        <v>2017</v>
      </c>
      <c r="F27830" t="s">
        <v>4461</v>
      </c>
      <c r="G27830" s="9">
        <v>1030</v>
      </c>
      <c r="H27830" s="8">
        <v>25800</v>
      </c>
    </row>
    <row r="27831" spans="2:8" ht="15" customHeight="1" x14ac:dyDescent="0.4">
      <c r="B27831" t="s">
        <v>7</v>
      </c>
      <c r="C27831" t="s">
        <v>1771</v>
      </c>
      <c r="D27831" s="7">
        <f>DATE(2018,6,15)</f>
        <v>43266</v>
      </c>
      <c r="E27831" s="8">
        <f t="shared" si="473"/>
        <v>2018</v>
      </c>
      <c r="F27831" t="s">
        <v>4461</v>
      </c>
      <c r="G27831" s="9">
        <v>6669.76</v>
      </c>
      <c r="H27831" s="8">
        <v>27091</v>
      </c>
    </row>
    <row r="27832" spans="2:8" ht="15" customHeight="1" x14ac:dyDescent="0.4">
      <c r="B27832" t="s">
        <v>16</v>
      </c>
      <c r="C27832" t="s">
        <v>1771</v>
      </c>
      <c r="D27832" s="7">
        <f>DATE(2019,1,31)</f>
        <v>43496</v>
      </c>
      <c r="E27832" s="8">
        <f t="shared" si="473"/>
        <v>2019</v>
      </c>
      <c r="F27832" t="s">
        <v>4461</v>
      </c>
      <c r="G27832" s="9">
        <v>100.99</v>
      </c>
      <c r="H27832" s="8">
        <v>28347</v>
      </c>
    </row>
    <row r="27833" spans="2:8" ht="15" customHeight="1" x14ac:dyDescent="0.4">
      <c r="B27833" t="s">
        <v>7</v>
      </c>
      <c r="C27833" t="s">
        <v>4462</v>
      </c>
      <c r="D27833" s="7">
        <f>DATE(2008,3,1)</f>
        <v>39508</v>
      </c>
      <c r="E27833" s="8">
        <f t="shared" si="473"/>
        <v>2008</v>
      </c>
      <c r="F27833" t="s">
        <v>4463</v>
      </c>
      <c r="G27833" s="9">
        <v>46600</v>
      </c>
      <c r="H27833" s="8">
        <v>6734</v>
      </c>
    </row>
    <row r="27834" spans="2:8" ht="15" customHeight="1" x14ac:dyDescent="0.4">
      <c r="B27834" t="s">
        <v>7</v>
      </c>
      <c r="C27834" t="s">
        <v>4464</v>
      </c>
      <c r="D27834" s="7">
        <f>DATE(2008,3,1)</f>
        <v>39508</v>
      </c>
      <c r="E27834" s="8">
        <f t="shared" si="473"/>
        <v>2008</v>
      </c>
      <c r="F27834" t="s">
        <v>4465</v>
      </c>
      <c r="G27834" s="9">
        <v>43300</v>
      </c>
      <c r="H27834" s="8">
        <v>6736</v>
      </c>
    </row>
    <row r="27835" spans="2:8" ht="15" customHeight="1" x14ac:dyDescent="0.4">
      <c r="B27835" s="3" t="s">
        <v>7</v>
      </c>
      <c r="C27835" s="3" t="s">
        <v>4464</v>
      </c>
      <c r="D27835" s="4">
        <f>DATE(2008,1,24)</f>
        <v>39471</v>
      </c>
      <c r="E27835" s="5">
        <f t="shared" si="473"/>
        <v>2008</v>
      </c>
      <c r="F27835" s="3" t="s">
        <v>4465</v>
      </c>
      <c r="G27835" s="6">
        <v>979.79</v>
      </c>
      <c r="H27835" s="5">
        <v>9773</v>
      </c>
    </row>
    <row r="27836" spans="2:8" ht="15" customHeight="1" x14ac:dyDescent="0.4">
      <c r="B27836" s="3" t="s">
        <v>7</v>
      </c>
      <c r="C27836" s="3" t="s">
        <v>4464</v>
      </c>
      <c r="D27836" s="4">
        <f>DATE(2012,1,20)</f>
        <v>40928</v>
      </c>
      <c r="E27836" s="5">
        <f t="shared" si="473"/>
        <v>2012</v>
      </c>
      <c r="F27836" s="3" t="s">
        <v>4465</v>
      </c>
      <c r="G27836" s="6">
        <v>322.8</v>
      </c>
      <c r="H27836" s="5">
        <v>16409</v>
      </c>
    </row>
    <row r="27837" spans="2:8" ht="15" customHeight="1" x14ac:dyDescent="0.4">
      <c r="B27837" t="s">
        <v>7</v>
      </c>
      <c r="C27837" t="s">
        <v>4466</v>
      </c>
      <c r="D27837" s="7">
        <f>DATE(2007,11,14)</f>
        <v>39400</v>
      </c>
      <c r="E27837" s="8">
        <f t="shared" si="473"/>
        <v>2007</v>
      </c>
      <c r="F27837" t="s">
        <v>4467</v>
      </c>
      <c r="G27837" s="9">
        <v>15350</v>
      </c>
      <c r="H27837" s="8">
        <v>6571</v>
      </c>
    </row>
    <row r="27838" spans="2:8" ht="15" customHeight="1" x14ac:dyDescent="0.4">
      <c r="B27838" s="3" t="s">
        <v>7</v>
      </c>
      <c r="C27838" s="3" t="s">
        <v>4365</v>
      </c>
      <c r="D27838" s="4">
        <f>DATE(2012,10,3)</f>
        <v>41185</v>
      </c>
      <c r="E27838" s="5">
        <f t="shared" si="473"/>
        <v>2012</v>
      </c>
      <c r="F27838" s="3" t="s">
        <v>4468</v>
      </c>
      <c r="G27838" s="6">
        <v>980</v>
      </c>
      <c r="H27838" s="5">
        <v>17674</v>
      </c>
    </row>
    <row r="27839" spans="2:8" ht="15" customHeight="1" x14ac:dyDescent="0.4">
      <c r="B27839" t="s">
        <v>7</v>
      </c>
      <c r="C27839" t="s">
        <v>4469</v>
      </c>
      <c r="D27839" s="7">
        <f>DATE(2018,6,29)</f>
        <v>43280</v>
      </c>
      <c r="E27839" s="8">
        <f t="shared" si="473"/>
        <v>2018</v>
      </c>
      <c r="F27839" t="s">
        <v>4470</v>
      </c>
      <c r="G27839" s="9">
        <v>1137.96</v>
      </c>
      <c r="H27839" s="8">
        <v>27299</v>
      </c>
    </row>
    <row r="27840" spans="2:8" ht="15" customHeight="1" x14ac:dyDescent="0.4">
      <c r="B27840" t="s">
        <v>7</v>
      </c>
      <c r="C27840" t="s">
        <v>4471</v>
      </c>
      <c r="D27840" s="7">
        <f>DATE(2015,3,27)</f>
        <v>42090</v>
      </c>
      <c r="E27840" s="8">
        <f t="shared" si="473"/>
        <v>2015</v>
      </c>
      <c r="F27840" t="s">
        <v>4472</v>
      </c>
      <c r="G27840" s="9">
        <v>9891.61</v>
      </c>
      <c r="H27840" s="8">
        <v>310</v>
      </c>
    </row>
    <row r="27841" spans="2:8" ht="15" customHeight="1" x14ac:dyDescent="0.4">
      <c r="B27841" t="s">
        <v>7</v>
      </c>
      <c r="C27841" t="s">
        <v>4471</v>
      </c>
      <c r="D27841" s="7">
        <f>DATE(2003,10,28)</f>
        <v>37922</v>
      </c>
      <c r="E27841" s="8">
        <f t="shared" si="473"/>
        <v>2003</v>
      </c>
      <c r="F27841" t="s">
        <v>4472</v>
      </c>
      <c r="G27841" s="9">
        <v>765.96</v>
      </c>
      <c r="H27841" s="8">
        <v>965</v>
      </c>
    </row>
    <row r="27842" spans="2:8" ht="15" customHeight="1" x14ac:dyDescent="0.4">
      <c r="B27842" t="s">
        <v>7</v>
      </c>
      <c r="C27842" t="s">
        <v>4471</v>
      </c>
      <c r="D27842" s="7">
        <f>DATE(2003,12,11)</f>
        <v>37966</v>
      </c>
      <c r="E27842" s="8">
        <f t="shared" si="473"/>
        <v>2003</v>
      </c>
      <c r="F27842" t="s">
        <v>4472</v>
      </c>
      <c r="G27842" s="9">
        <v>297.77999999999997</v>
      </c>
      <c r="H27842" s="8">
        <v>1087</v>
      </c>
    </row>
    <row r="27843" spans="2:8" ht="15" customHeight="1" x14ac:dyDescent="0.4">
      <c r="B27843" t="s">
        <v>7</v>
      </c>
      <c r="C27843" t="s">
        <v>4471</v>
      </c>
      <c r="D27843" s="7">
        <f>DATE(2003,10,6)</f>
        <v>37900</v>
      </c>
      <c r="E27843" s="8">
        <f t="shared" ref="E27843:E27906" si="475">YEAR(D27843)</f>
        <v>2003</v>
      </c>
      <c r="F27843" t="s">
        <v>4472</v>
      </c>
      <c r="G27843" s="9">
        <v>3169.72</v>
      </c>
      <c r="H27843" s="8">
        <v>927</v>
      </c>
    </row>
    <row r="27844" spans="2:8" ht="15" customHeight="1" x14ac:dyDescent="0.4">
      <c r="B27844" t="s">
        <v>7</v>
      </c>
      <c r="C27844" t="s">
        <v>4471</v>
      </c>
      <c r="D27844" s="7">
        <f>DATE(2004,1,29)</f>
        <v>38015</v>
      </c>
      <c r="E27844" s="8">
        <f t="shared" si="475"/>
        <v>2004</v>
      </c>
      <c r="F27844" t="s">
        <v>4472</v>
      </c>
      <c r="G27844" s="9">
        <v>10243.32</v>
      </c>
      <c r="H27844" s="8">
        <v>1183</v>
      </c>
    </row>
    <row r="27845" spans="2:8" ht="15" customHeight="1" x14ac:dyDescent="0.4">
      <c r="B27845" t="s">
        <v>7</v>
      </c>
      <c r="C27845" t="s">
        <v>4471</v>
      </c>
      <c r="D27845" s="7">
        <f>DATE(2011,4,22)</f>
        <v>40655</v>
      </c>
      <c r="E27845" s="8">
        <f t="shared" si="475"/>
        <v>2011</v>
      </c>
      <c r="F27845" t="s">
        <v>4472</v>
      </c>
      <c r="G27845" s="9">
        <v>7578.13</v>
      </c>
      <c r="H27845" s="8">
        <v>10667</v>
      </c>
    </row>
    <row r="27846" spans="2:8" ht="15" customHeight="1" x14ac:dyDescent="0.4">
      <c r="B27846" s="3" t="s">
        <v>7</v>
      </c>
      <c r="C27846" s="3" t="s">
        <v>4471</v>
      </c>
      <c r="D27846" s="4">
        <f>DATE(2005,4,29)</f>
        <v>38471</v>
      </c>
      <c r="E27846" s="5">
        <f t="shared" si="475"/>
        <v>2005</v>
      </c>
      <c r="F27846" s="3" t="s">
        <v>4472</v>
      </c>
      <c r="G27846" s="6">
        <v>790</v>
      </c>
      <c r="H27846" s="5">
        <v>4658</v>
      </c>
    </row>
    <row r="27847" spans="2:8" ht="15" customHeight="1" x14ac:dyDescent="0.4">
      <c r="B27847" s="3" t="s">
        <v>7</v>
      </c>
      <c r="C27847" s="3" t="s">
        <v>4471</v>
      </c>
      <c r="D27847" s="4">
        <f>DATE(2005,5,2)</f>
        <v>38474</v>
      </c>
      <c r="E27847" s="5">
        <f t="shared" si="475"/>
        <v>2005</v>
      </c>
      <c r="F27847" s="3" t="s">
        <v>4472</v>
      </c>
      <c r="G27847" s="6">
        <v>2979.2</v>
      </c>
      <c r="H27847" s="5">
        <v>4658</v>
      </c>
    </row>
    <row r="27848" spans="2:8" ht="15" customHeight="1" x14ac:dyDescent="0.4">
      <c r="B27848" s="3" t="s">
        <v>7</v>
      </c>
      <c r="C27848" s="3" t="s">
        <v>4471</v>
      </c>
      <c r="D27848" s="4">
        <f>DATE(2014,2,24)</f>
        <v>41694</v>
      </c>
      <c r="E27848" s="5">
        <f t="shared" si="475"/>
        <v>2014</v>
      </c>
      <c r="F27848" s="3" t="s">
        <v>4472</v>
      </c>
      <c r="G27848" s="6">
        <v>203.2</v>
      </c>
      <c r="H27848" s="5">
        <v>19586</v>
      </c>
    </row>
    <row r="27849" spans="2:8" ht="15" customHeight="1" x14ac:dyDescent="0.4">
      <c r="B27849" t="s">
        <v>7</v>
      </c>
      <c r="C27849" t="s">
        <v>4473</v>
      </c>
      <c r="D27849" s="7">
        <f>DATE(2018,2,21)</f>
        <v>43152</v>
      </c>
      <c r="E27849" s="8">
        <f t="shared" si="475"/>
        <v>2018</v>
      </c>
      <c r="F27849" t="s">
        <v>4474</v>
      </c>
      <c r="G27849" s="9">
        <v>78249.5</v>
      </c>
      <c r="H27849" s="8">
        <v>26095</v>
      </c>
    </row>
    <row r="27850" spans="2:8" ht="15" customHeight="1" x14ac:dyDescent="0.4">
      <c r="B27850" t="s">
        <v>7</v>
      </c>
      <c r="C27850" t="s">
        <v>4473</v>
      </c>
      <c r="D27850" s="7">
        <f>DATE(2018,2,26)</f>
        <v>43157</v>
      </c>
      <c r="E27850" s="8">
        <f t="shared" si="475"/>
        <v>2018</v>
      </c>
      <c r="F27850" t="s">
        <v>4474</v>
      </c>
      <c r="G27850" s="9">
        <v>57128.160000000003</v>
      </c>
      <c r="H27850" s="8">
        <v>26172</v>
      </c>
    </row>
    <row r="27851" spans="2:8" ht="15" customHeight="1" x14ac:dyDescent="0.4">
      <c r="B27851" t="s">
        <v>7</v>
      </c>
      <c r="C27851" t="s">
        <v>4473</v>
      </c>
      <c r="D27851" s="7">
        <f>DATE(2018,3,6)</f>
        <v>43165</v>
      </c>
      <c r="E27851" s="8">
        <f t="shared" si="475"/>
        <v>2018</v>
      </c>
      <c r="F27851" t="s">
        <v>4474</v>
      </c>
      <c r="G27851" s="9">
        <v>283375.93</v>
      </c>
      <c r="H27851" s="8">
        <v>26075</v>
      </c>
    </row>
    <row r="27852" spans="2:8" ht="15" customHeight="1" x14ac:dyDescent="0.4">
      <c r="B27852" t="s">
        <v>7</v>
      </c>
      <c r="C27852" t="s">
        <v>4473</v>
      </c>
      <c r="D27852" s="7">
        <f>DATE(2018,5,10)</f>
        <v>43230</v>
      </c>
      <c r="E27852" s="8">
        <f t="shared" si="475"/>
        <v>2018</v>
      </c>
      <c r="F27852" t="s">
        <v>4474</v>
      </c>
      <c r="G27852" s="9">
        <v>27544.41</v>
      </c>
      <c r="H27852" s="8">
        <v>26159</v>
      </c>
    </row>
    <row r="27853" spans="2:8" ht="15" customHeight="1" x14ac:dyDescent="0.4">
      <c r="B27853" t="s">
        <v>7</v>
      </c>
      <c r="C27853" t="s">
        <v>4473</v>
      </c>
      <c r="D27853" s="7">
        <f>DATE(2019,1,24)</f>
        <v>43489</v>
      </c>
      <c r="E27853" s="8">
        <f t="shared" si="475"/>
        <v>2019</v>
      </c>
      <c r="F27853" t="s">
        <v>4474</v>
      </c>
      <c r="G27853" s="9">
        <v>20375.990000000002</v>
      </c>
      <c r="H27853" s="8">
        <v>27394</v>
      </c>
    </row>
    <row r="27854" spans="2:8" ht="15" customHeight="1" x14ac:dyDescent="0.4">
      <c r="B27854" t="s">
        <v>7</v>
      </c>
      <c r="C27854" t="s">
        <v>4473</v>
      </c>
      <c r="D27854" s="7">
        <f>DATE(2018,2,16)</f>
        <v>43147</v>
      </c>
      <c r="E27854" s="8">
        <f t="shared" si="475"/>
        <v>2018</v>
      </c>
      <c r="F27854" t="s">
        <v>4474</v>
      </c>
      <c r="G27854" s="9">
        <v>3605.19</v>
      </c>
      <c r="H27854" s="8">
        <v>26188</v>
      </c>
    </row>
    <row r="27855" spans="2:8" ht="15" customHeight="1" x14ac:dyDescent="0.4">
      <c r="B27855" t="s">
        <v>7</v>
      </c>
      <c r="C27855" t="s">
        <v>2798</v>
      </c>
      <c r="D27855" s="7">
        <f>DATE(2017,8,9)</f>
        <v>42956</v>
      </c>
      <c r="E27855" s="8">
        <f t="shared" si="475"/>
        <v>2017</v>
      </c>
      <c r="F27855" t="s">
        <v>4475</v>
      </c>
      <c r="G27855" s="9">
        <v>4908</v>
      </c>
      <c r="H27855" s="8">
        <v>25345</v>
      </c>
    </row>
    <row r="27856" spans="2:8" ht="15" customHeight="1" x14ac:dyDescent="0.4">
      <c r="B27856" t="s">
        <v>7</v>
      </c>
      <c r="C27856" t="s">
        <v>2798</v>
      </c>
      <c r="D27856" s="7">
        <f>DATE(2017,8,9)</f>
        <v>42956</v>
      </c>
      <c r="E27856" s="8">
        <f t="shared" si="475"/>
        <v>2017</v>
      </c>
      <c r="F27856" t="s">
        <v>4475</v>
      </c>
      <c r="G27856" s="9">
        <v>4036</v>
      </c>
      <c r="H27856" s="8">
        <v>25346</v>
      </c>
    </row>
    <row r="27857" spans="2:8" ht="15" customHeight="1" x14ac:dyDescent="0.4">
      <c r="B27857" t="s">
        <v>7</v>
      </c>
      <c r="C27857" t="s">
        <v>2798</v>
      </c>
      <c r="D27857" s="7">
        <f>DATE(2017,8,9)</f>
        <v>42956</v>
      </c>
      <c r="E27857" s="8">
        <f t="shared" si="475"/>
        <v>2017</v>
      </c>
      <c r="F27857" t="s">
        <v>4475</v>
      </c>
      <c r="G27857" s="9">
        <v>6084</v>
      </c>
      <c r="H27857" s="8">
        <v>25347</v>
      </c>
    </row>
    <row r="27858" spans="2:8" ht="15" customHeight="1" x14ac:dyDescent="0.4">
      <c r="B27858" t="s">
        <v>7</v>
      </c>
      <c r="C27858" t="s">
        <v>2798</v>
      </c>
      <c r="D27858" s="7">
        <f>DATE(2017,8,9)</f>
        <v>42956</v>
      </c>
      <c r="E27858" s="8">
        <f t="shared" si="475"/>
        <v>2017</v>
      </c>
      <c r="F27858" t="s">
        <v>4475</v>
      </c>
      <c r="G27858" s="9">
        <v>9540.5</v>
      </c>
      <c r="H27858" s="8">
        <v>25348</v>
      </c>
    </row>
    <row r="27859" spans="2:8" ht="15" customHeight="1" x14ac:dyDescent="0.4">
      <c r="B27859" t="s">
        <v>7</v>
      </c>
      <c r="C27859" t="s">
        <v>2798</v>
      </c>
      <c r="D27859" s="7">
        <f>DATE(2017,8,9)</f>
        <v>42956</v>
      </c>
      <c r="E27859" s="8">
        <f t="shared" si="475"/>
        <v>2017</v>
      </c>
      <c r="F27859" t="s">
        <v>4475</v>
      </c>
      <c r="G27859" s="9">
        <v>4292</v>
      </c>
      <c r="H27859" s="8">
        <v>25358</v>
      </c>
    </row>
    <row r="27860" spans="2:8" ht="15" customHeight="1" x14ac:dyDescent="0.4">
      <c r="B27860" t="s">
        <v>7</v>
      </c>
      <c r="C27860" t="s">
        <v>2798</v>
      </c>
      <c r="D27860" s="7">
        <f>DATE(2017,8,14)</f>
        <v>42961</v>
      </c>
      <c r="E27860" s="8">
        <f t="shared" si="475"/>
        <v>2017</v>
      </c>
      <c r="F27860" t="s">
        <v>4475</v>
      </c>
      <c r="G27860" s="9">
        <v>4438.88</v>
      </c>
      <c r="H27860" s="8">
        <v>25414</v>
      </c>
    </row>
    <row r="27861" spans="2:8" ht="15" customHeight="1" x14ac:dyDescent="0.4">
      <c r="B27861" t="s">
        <v>7</v>
      </c>
      <c r="C27861" t="s">
        <v>2798</v>
      </c>
      <c r="D27861" s="7">
        <f>DATE(2018,5,31)</f>
        <v>43251</v>
      </c>
      <c r="E27861" s="8">
        <f t="shared" si="475"/>
        <v>2018</v>
      </c>
      <c r="F27861" t="s">
        <v>4475</v>
      </c>
      <c r="G27861" s="9">
        <v>84183.26</v>
      </c>
      <c r="H27861" s="8">
        <v>26942</v>
      </c>
    </row>
    <row r="27862" spans="2:8" ht="15" customHeight="1" x14ac:dyDescent="0.4">
      <c r="B27862" t="s">
        <v>7</v>
      </c>
      <c r="C27862" t="s">
        <v>2798</v>
      </c>
      <c r="D27862" s="7">
        <f>DATE(2017,10,24)</f>
        <v>43032</v>
      </c>
      <c r="E27862" s="8">
        <f t="shared" si="475"/>
        <v>2017</v>
      </c>
      <c r="F27862" t="s">
        <v>4475</v>
      </c>
      <c r="G27862" s="9">
        <v>13777.25</v>
      </c>
      <c r="H27862" s="8">
        <v>25545</v>
      </c>
    </row>
    <row r="27863" spans="2:8" ht="15" customHeight="1" x14ac:dyDescent="0.4">
      <c r="B27863" t="s">
        <v>7</v>
      </c>
      <c r="C27863" t="s">
        <v>2798</v>
      </c>
      <c r="D27863" s="7">
        <f>DATE(2017,12,1)</f>
        <v>43070</v>
      </c>
      <c r="E27863" s="8">
        <f t="shared" si="475"/>
        <v>2017</v>
      </c>
      <c r="F27863" t="s">
        <v>4475</v>
      </c>
      <c r="G27863" s="9">
        <v>6270.11</v>
      </c>
      <c r="H27863" s="8">
        <v>25646</v>
      </c>
    </row>
    <row r="27864" spans="2:8" ht="15" customHeight="1" x14ac:dyDescent="0.4">
      <c r="B27864" t="s">
        <v>7</v>
      </c>
      <c r="C27864" t="s">
        <v>2798</v>
      </c>
      <c r="D27864" s="7">
        <f>DATE(2017,10,24)</f>
        <v>43032</v>
      </c>
      <c r="E27864" s="8">
        <f t="shared" si="475"/>
        <v>2017</v>
      </c>
      <c r="F27864" t="s">
        <v>4475</v>
      </c>
      <c r="G27864" s="9">
        <v>14745.06</v>
      </c>
      <c r="H27864" s="8">
        <v>25546</v>
      </c>
    </row>
    <row r="27865" spans="2:8" ht="15" customHeight="1" x14ac:dyDescent="0.4">
      <c r="B27865" t="s">
        <v>7</v>
      </c>
      <c r="C27865" t="s">
        <v>2798</v>
      </c>
      <c r="D27865" s="7">
        <f>DATE(2017,12,1)</f>
        <v>43070</v>
      </c>
      <c r="E27865" s="8">
        <f t="shared" si="475"/>
        <v>2017</v>
      </c>
      <c r="F27865" t="s">
        <v>4475</v>
      </c>
      <c r="G27865" s="9">
        <v>4437.46</v>
      </c>
      <c r="H27865" s="8">
        <v>25648</v>
      </c>
    </row>
    <row r="27866" spans="2:8" ht="15" customHeight="1" x14ac:dyDescent="0.4">
      <c r="B27866" t="s">
        <v>7</v>
      </c>
      <c r="C27866" t="s">
        <v>2798</v>
      </c>
      <c r="D27866" s="7">
        <f>DATE(2017,12,1)</f>
        <v>43070</v>
      </c>
      <c r="E27866" s="8">
        <f t="shared" si="475"/>
        <v>2017</v>
      </c>
      <c r="F27866" t="s">
        <v>4475</v>
      </c>
      <c r="G27866" s="9">
        <v>33963.800000000003</v>
      </c>
      <c r="H27866" s="8">
        <v>25647</v>
      </c>
    </row>
    <row r="27867" spans="2:8" ht="15" customHeight="1" x14ac:dyDescent="0.4">
      <c r="B27867" t="s">
        <v>16</v>
      </c>
      <c r="C27867" t="s">
        <v>2798</v>
      </c>
      <c r="D27867" s="7">
        <f>DATE(2017,10,12)</f>
        <v>43020</v>
      </c>
      <c r="E27867" s="8">
        <f t="shared" si="475"/>
        <v>2017</v>
      </c>
      <c r="F27867" t="s">
        <v>4475</v>
      </c>
      <c r="G27867" s="9">
        <v>7313.27</v>
      </c>
      <c r="H27867" s="8">
        <v>25725</v>
      </c>
    </row>
    <row r="27868" spans="2:8" ht="15" customHeight="1" x14ac:dyDescent="0.4">
      <c r="B27868" t="s">
        <v>16</v>
      </c>
      <c r="C27868" t="s">
        <v>2798</v>
      </c>
      <c r="D27868" s="7">
        <f>DATE(2017,10,12)</f>
        <v>43020</v>
      </c>
      <c r="E27868" s="8">
        <f t="shared" si="475"/>
        <v>2017</v>
      </c>
      <c r="F27868" t="s">
        <v>4475</v>
      </c>
      <c r="G27868" s="9">
        <v>2914.31</v>
      </c>
      <c r="H27868" s="8">
        <v>25726</v>
      </c>
    </row>
    <row r="27869" spans="2:8" ht="15" customHeight="1" x14ac:dyDescent="0.4">
      <c r="B27869" t="s">
        <v>7</v>
      </c>
      <c r="C27869" t="s">
        <v>4476</v>
      </c>
      <c r="D27869" s="7">
        <f>DATE(2018,10,25)</f>
        <v>43398</v>
      </c>
      <c r="E27869" s="8">
        <f t="shared" si="475"/>
        <v>2018</v>
      </c>
      <c r="F27869" t="s">
        <v>4477</v>
      </c>
      <c r="G27869" s="9">
        <v>101396.05</v>
      </c>
      <c r="H27869" s="8">
        <v>26241</v>
      </c>
    </row>
    <row r="27870" spans="2:8" ht="15" customHeight="1" x14ac:dyDescent="0.4">
      <c r="B27870" t="s">
        <v>16</v>
      </c>
      <c r="C27870" t="s">
        <v>4476</v>
      </c>
      <c r="D27870" s="7">
        <f>DATE(2018,11,12)</f>
        <v>43416</v>
      </c>
      <c r="E27870" s="8">
        <f t="shared" si="475"/>
        <v>2018</v>
      </c>
      <c r="F27870" t="s">
        <v>4477</v>
      </c>
      <c r="G27870" s="9">
        <v>2186.3200000000002</v>
      </c>
      <c r="H27870" s="8">
        <v>27967</v>
      </c>
    </row>
    <row r="27871" spans="2:8" ht="15" customHeight="1" x14ac:dyDescent="0.4">
      <c r="B27871" t="s">
        <v>16</v>
      </c>
      <c r="C27871" t="s">
        <v>4476</v>
      </c>
      <c r="D27871" s="7">
        <f>DATE(2018,12,27)</f>
        <v>43461</v>
      </c>
      <c r="E27871" s="8">
        <f t="shared" si="475"/>
        <v>2018</v>
      </c>
      <c r="F27871" t="s">
        <v>4477</v>
      </c>
      <c r="G27871" s="9">
        <v>1878</v>
      </c>
      <c r="H27871" s="8">
        <v>28168</v>
      </c>
    </row>
    <row r="27872" spans="2:8" ht="15" customHeight="1" x14ac:dyDescent="0.4">
      <c r="B27872" t="s">
        <v>7</v>
      </c>
      <c r="C27872" t="s">
        <v>4473</v>
      </c>
      <c r="D27872" s="7">
        <f>DATE(2015,3,16)</f>
        <v>42079</v>
      </c>
      <c r="E27872" s="8">
        <f t="shared" si="475"/>
        <v>2015</v>
      </c>
      <c r="F27872" t="s">
        <v>4478</v>
      </c>
      <c r="G27872" s="9">
        <v>131629.89000000001</v>
      </c>
      <c r="H27872" s="8">
        <v>43</v>
      </c>
    </row>
    <row r="27873" spans="2:8" ht="15" customHeight="1" x14ac:dyDescent="0.4">
      <c r="B27873" t="s">
        <v>7</v>
      </c>
      <c r="C27873" t="s">
        <v>4473</v>
      </c>
      <c r="D27873" s="7">
        <f>DATE(2017,3,27)</f>
        <v>42821</v>
      </c>
      <c r="E27873" s="8">
        <f t="shared" si="475"/>
        <v>2017</v>
      </c>
      <c r="F27873" t="s">
        <v>4478</v>
      </c>
      <c r="G27873" s="9">
        <v>130480.68</v>
      </c>
      <c r="H27873" s="8">
        <v>24323</v>
      </c>
    </row>
    <row r="27874" spans="2:8" ht="15" customHeight="1" x14ac:dyDescent="0.4">
      <c r="B27874" t="s">
        <v>7</v>
      </c>
      <c r="C27874" t="s">
        <v>4473</v>
      </c>
      <c r="D27874" s="7">
        <f>DATE(2015,3,16)</f>
        <v>42079</v>
      </c>
      <c r="E27874" s="8">
        <f t="shared" si="475"/>
        <v>2015</v>
      </c>
      <c r="F27874" t="s">
        <v>4478</v>
      </c>
      <c r="G27874" s="9">
        <v>38558.400000000001</v>
      </c>
      <c r="H27874" s="8">
        <v>45</v>
      </c>
    </row>
    <row r="27875" spans="2:8" ht="15" customHeight="1" x14ac:dyDescent="0.4">
      <c r="B27875" t="s">
        <v>7</v>
      </c>
      <c r="C27875" t="s">
        <v>4473</v>
      </c>
      <c r="D27875" s="7">
        <f>DATE(2015,3,16)</f>
        <v>42079</v>
      </c>
      <c r="E27875" s="8">
        <f t="shared" si="475"/>
        <v>2015</v>
      </c>
      <c r="F27875" t="s">
        <v>4478</v>
      </c>
      <c r="G27875" s="9">
        <v>12474.05</v>
      </c>
      <c r="H27875" s="8">
        <v>44</v>
      </c>
    </row>
    <row r="27876" spans="2:8" ht="15" customHeight="1" x14ac:dyDescent="0.4">
      <c r="B27876" t="s">
        <v>7</v>
      </c>
      <c r="C27876" t="s">
        <v>4473</v>
      </c>
      <c r="D27876" s="7">
        <f>DATE(2015,4,7)</f>
        <v>42101</v>
      </c>
      <c r="E27876" s="8">
        <f t="shared" si="475"/>
        <v>2015</v>
      </c>
      <c r="F27876" t="s">
        <v>4478</v>
      </c>
      <c r="G27876" s="9">
        <v>23087.86</v>
      </c>
      <c r="H27876" s="8">
        <v>20101</v>
      </c>
    </row>
    <row r="27877" spans="2:8" ht="15" customHeight="1" x14ac:dyDescent="0.4">
      <c r="B27877" t="s">
        <v>7</v>
      </c>
      <c r="C27877" t="s">
        <v>4473</v>
      </c>
      <c r="D27877" s="7">
        <f>DATE(2015,12,31)</f>
        <v>42369</v>
      </c>
      <c r="E27877" s="8">
        <f t="shared" si="475"/>
        <v>2015</v>
      </c>
      <c r="F27877" t="s">
        <v>4478</v>
      </c>
      <c r="G27877" s="9">
        <v>53803.519999999997</v>
      </c>
      <c r="H27877" s="8">
        <v>21576</v>
      </c>
    </row>
    <row r="27878" spans="2:8" ht="15" customHeight="1" x14ac:dyDescent="0.4">
      <c r="B27878" t="s">
        <v>7</v>
      </c>
      <c r="C27878" t="s">
        <v>4473</v>
      </c>
      <c r="D27878" s="7">
        <f>DATE(2016,4,1)</f>
        <v>42461</v>
      </c>
      <c r="E27878" s="8">
        <f t="shared" si="475"/>
        <v>2016</v>
      </c>
      <c r="F27878" t="s">
        <v>4478</v>
      </c>
      <c r="G27878" s="9">
        <v>8339.81</v>
      </c>
      <c r="H27878" s="8">
        <v>22399</v>
      </c>
    </row>
    <row r="27879" spans="2:8" ht="15" customHeight="1" x14ac:dyDescent="0.4">
      <c r="B27879" t="s">
        <v>7</v>
      </c>
      <c r="C27879" t="s">
        <v>4473</v>
      </c>
      <c r="D27879" s="7">
        <f>DATE(2016,6,14)</f>
        <v>42535</v>
      </c>
      <c r="E27879" s="8">
        <f t="shared" si="475"/>
        <v>2016</v>
      </c>
      <c r="F27879" t="s">
        <v>4478</v>
      </c>
      <c r="G27879" s="9">
        <v>49714.02</v>
      </c>
      <c r="H27879" s="8">
        <v>22542</v>
      </c>
    </row>
    <row r="27880" spans="2:8" ht="15" customHeight="1" x14ac:dyDescent="0.4">
      <c r="B27880" t="s">
        <v>7</v>
      </c>
      <c r="C27880" t="s">
        <v>4473</v>
      </c>
      <c r="D27880" s="7">
        <f>DATE(2017,3,28)</f>
        <v>42822</v>
      </c>
      <c r="E27880" s="8">
        <f t="shared" si="475"/>
        <v>2017</v>
      </c>
      <c r="F27880" t="s">
        <v>4478</v>
      </c>
      <c r="G27880" s="9">
        <v>53554.6</v>
      </c>
      <c r="H27880" s="8">
        <v>24324</v>
      </c>
    </row>
    <row r="27881" spans="2:8" ht="15" customHeight="1" x14ac:dyDescent="0.4">
      <c r="B27881" t="s">
        <v>7</v>
      </c>
      <c r="C27881" t="s">
        <v>4473</v>
      </c>
      <c r="D27881" s="7">
        <f>DATE(2016,6,14)</f>
        <v>42535</v>
      </c>
      <c r="E27881" s="8">
        <f t="shared" si="475"/>
        <v>2016</v>
      </c>
      <c r="F27881" t="s">
        <v>4478</v>
      </c>
      <c r="G27881" s="9">
        <v>6242.85</v>
      </c>
      <c r="H27881" s="8">
        <v>22924</v>
      </c>
    </row>
    <row r="27882" spans="2:8" ht="15" customHeight="1" x14ac:dyDescent="0.4">
      <c r="B27882" t="s">
        <v>16</v>
      </c>
      <c r="C27882" t="s">
        <v>4473</v>
      </c>
      <c r="D27882" s="7">
        <f>DATE(2015,3,16)</f>
        <v>42079</v>
      </c>
      <c r="E27882" s="8">
        <f t="shared" si="475"/>
        <v>2015</v>
      </c>
      <c r="F27882" t="s">
        <v>4478</v>
      </c>
      <c r="G27882" s="9">
        <v>6600</v>
      </c>
      <c r="H27882" s="8">
        <v>20343</v>
      </c>
    </row>
    <row r="27883" spans="2:8" ht="15" customHeight="1" x14ac:dyDescent="0.4">
      <c r="B27883" s="3" t="s">
        <v>7</v>
      </c>
      <c r="C27883" s="3" t="s">
        <v>4473</v>
      </c>
      <c r="D27883" s="4">
        <f>DATE(2013,11,6)</f>
        <v>41584</v>
      </c>
      <c r="E27883" s="5">
        <f t="shared" si="475"/>
        <v>2013</v>
      </c>
      <c r="F27883" s="3" t="s">
        <v>4478</v>
      </c>
      <c r="G27883" s="6">
        <v>18312.009999999998</v>
      </c>
      <c r="H27883" s="5">
        <v>5788</v>
      </c>
    </row>
    <row r="27884" spans="2:8" ht="15" customHeight="1" x14ac:dyDescent="0.4">
      <c r="B27884" s="3" t="s">
        <v>7</v>
      </c>
      <c r="C27884" s="3" t="s">
        <v>4473</v>
      </c>
      <c r="D27884" s="4">
        <f>DATE(2007,2,7)</f>
        <v>39120</v>
      </c>
      <c r="E27884" s="5">
        <f t="shared" si="475"/>
        <v>2007</v>
      </c>
      <c r="F27884" s="3" t="s">
        <v>4478</v>
      </c>
      <c r="G27884" s="6">
        <v>5993.9</v>
      </c>
      <c r="H27884" s="5">
        <v>2037</v>
      </c>
    </row>
    <row r="27885" spans="2:8" ht="15" customHeight="1" x14ac:dyDescent="0.4">
      <c r="B27885" s="3" t="s">
        <v>7</v>
      </c>
      <c r="C27885" s="3" t="s">
        <v>4473</v>
      </c>
      <c r="D27885" s="4">
        <f>DATE(2008,3,8)</f>
        <v>39515</v>
      </c>
      <c r="E27885" s="5">
        <f t="shared" si="475"/>
        <v>2008</v>
      </c>
      <c r="F27885" s="3" t="s">
        <v>4478</v>
      </c>
      <c r="G27885" s="6">
        <v>36791.1</v>
      </c>
      <c r="H27885" s="5">
        <v>2696</v>
      </c>
    </row>
    <row r="27886" spans="2:8" ht="15" customHeight="1" x14ac:dyDescent="0.4">
      <c r="B27886" s="3" t="s">
        <v>7</v>
      </c>
      <c r="C27886" s="3" t="s">
        <v>4473</v>
      </c>
      <c r="D27886" s="4">
        <f>DATE(2008,3,8)</f>
        <v>39515</v>
      </c>
      <c r="E27886" s="5">
        <f t="shared" si="475"/>
        <v>2008</v>
      </c>
      <c r="F27886" s="3" t="s">
        <v>4478</v>
      </c>
      <c r="G27886" s="6">
        <v>6400</v>
      </c>
      <c r="H27886" s="5">
        <v>2675</v>
      </c>
    </row>
    <row r="27887" spans="2:8" ht="15" customHeight="1" x14ac:dyDescent="0.4">
      <c r="B27887" s="3" t="s">
        <v>7</v>
      </c>
      <c r="C27887" s="3" t="s">
        <v>4473</v>
      </c>
      <c r="D27887" s="4">
        <f>DATE(2008,6,1)</f>
        <v>39600</v>
      </c>
      <c r="E27887" s="5">
        <f t="shared" si="475"/>
        <v>2008</v>
      </c>
      <c r="F27887" s="3" t="s">
        <v>4478</v>
      </c>
      <c r="G27887" s="6">
        <v>19429.599999999999</v>
      </c>
      <c r="H27887" s="5">
        <v>2859</v>
      </c>
    </row>
    <row r="27888" spans="2:8" ht="15" customHeight="1" x14ac:dyDescent="0.4">
      <c r="B27888" s="3" t="s">
        <v>7</v>
      </c>
      <c r="C27888" s="3" t="s">
        <v>4473</v>
      </c>
      <c r="D27888" s="4">
        <f>DATE(2008,7,24)</f>
        <v>39653</v>
      </c>
      <c r="E27888" s="5">
        <f t="shared" si="475"/>
        <v>2008</v>
      </c>
      <c r="F27888" s="3" t="s">
        <v>4478</v>
      </c>
      <c r="G27888" s="6">
        <v>21802.1</v>
      </c>
      <c r="H27888" s="5">
        <v>2935</v>
      </c>
    </row>
    <row r="27889" spans="2:8" ht="15" customHeight="1" x14ac:dyDescent="0.4">
      <c r="B27889" s="3" t="s">
        <v>7</v>
      </c>
      <c r="C27889" s="3" t="s">
        <v>4473</v>
      </c>
      <c r="D27889" s="4">
        <f>DATE(2009,5,20)</f>
        <v>39953</v>
      </c>
      <c r="E27889" s="5">
        <f t="shared" si="475"/>
        <v>2009</v>
      </c>
      <c r="F27889" s="3" t="s">
        <v>4478</v>
      </c>
      <c r="G27889" s="6">
        <v>10689.98</v>
      </c>
      <c r="H27889" s="5">
        <v>3387</v>
      </c>
    </row>
    <row r="27890" spans="2:8" ht="15" customHeight="1" x14ac:dyDescent="0.4">
      <c r="B27890" s="3" t="s">
        <v>7</v>
      </c>
      <c r="C27890" s="3" t="s">
        <v>4473</v>
      </c>
      <c r="D27890" s="4">
        <f>DATE(2010,12,3)</f>
        <v>40515</v>
      </c>
      <c r="E27890" s="5">
        <f t="shared" si="475"/>
        <v>2010</v>
      </c>
      <c r="F27890" s="3" t="s">
        <v>4478</v>
      </c>
      <c r="G27890" s="6">
        <v>27142.93</v>
      </c>
      <c r="H27890" s="5">
        <v>4229</v>
      </c>
    </row>
    <row r="27891" spans="2:8" ht="15" customHeight="1" x14ac:dyDescent="0.4">
      <c r="B27891" s="3" t="s">
        <v>7</v>
      </c>
      <c r="C27891" s="3" t="s">
        <v>4473</v>
      </c>
      <c r="D27891" s="4">
        <f>DATE(2013,11,6)</f>
        <v>41584</v>
      </c>
      <c r="E27891" s="5">
        <f t="shared" si="475"/>
        <v>2013</v>
      </c>
      <c r="F27891" s="3" t="s">
        <v>4478</v>
      </c>
      <c r="G27891" s="6">
        <v>39960.93</v>
      </c>
      <c r="H27891" s="5">
        <v>5771</v>
      </c>
    </row>
    <row r="27892" spans="2:8" ht="15" customHeight="1" x14ac:dyDescent="0.4">
      <c r="B27892" s="3" t="s">
        <v>7</v>
      </c>
      <c r="C27892" s="3" t="s">
        <v>4473</v>
      </c>
      <c r="D27892" s="4">
        <f>DATE(2011,12,9)</f>
        <v>40886</v>
      </c>
      <c r="E27892" s="5">
        <f t="shared" si="475"/>
        <v>2011</v>
      </c>
      <c r="F27892" s="3" t="s">
        <v>4478</v>
      </c>
      <c r="G27892" s="6">
        <v>23051.29</v>
      </c>
      <c r="H27892" s="5">
        <v>4671</v>
      </c>
    </row>
    <row r="27893" spans="2:8" ht="15" customHeight="1" x14ac:dyDescent="0.4">
      <c r="B27893" t="s">
        <v>7</v>
      </c>
      <c r="C27893" t="s">
        <v>4479</v>
      </c>
      <c r="D27893" s="7">
        <f>DATE(2015,12,15)</f>
        <v>42353</v>
      </c>
      <c r="E27893" s="8">
        <f t="shared" si="475"/>
        <v>2015</v>
      </c>
      <c r="F27893" t="s">
        <v>4480</v>
      </c>
      <c r="G27893" s="9">
        <v>2369</v>
      </c>
      <c r="H27893" s="8">
        <v>21847</v>
      </c>
    </row>
    <row r="27894" spans="2:8" ht="15" customHeight="1" x14ac:dyDescent="0.4">
      <c r="B27894" t="s">
        <v>7</v>
      </c>
      <c r="C27894" t="s">
        <v>4479</v>
      </c>
      <c r="D27894" s="7">
        <f>DATE(2015,12,15)</f>
        <v>42353</v>
      </c>
      <c r="E27894" s="8">
        <f t="shared" si="475"/>
        <v>2015</v>
      </c>
      <c r="F27894" t="s">
        <v>4480</v>
      </c>
      <c r="G27894" s="9">
        <v>2012.5</v>
      </c>
      <c r="H27894" s="8">
        <v>21850</v>
      </c>
    </row>
    <row r="27895" spans="2:8" ht="15" customHeight="1" x14ac:dyDescent="0.4">
      <c r="B27895" t="s">
        <v>7</v>
      </c>
      <c r="C27895" t="s">
        <v>4479</v>
      </c>
      <c r="D27895" s="7">
        <f>DATE(2015,12,17)</f>
        <v>42355</v>
      </c>
      <c r="E27895" s="8">
        <f t="shared" si="475"/>
        <v>2015</v>
      </c>
      <c r="F27895" t="s">
        <v>4480</v>
      </c>
      <c r="G27895" s="9">
        <v>869</v>
      </c>
      <c r="H27895" s="8">
        <v>21871</v>
      </c>
    </row>
    <row r="27896" spans="2:8" ht="15" customHeight="1" x14ac:dyDescent="0.4">
      <c r="B27896" t="s">
        <v>7</v>
      </c>
      <c r="C27896" t="s">
        <v>4479</v>
      </c>
      <c r="D27896" s="7">
        <f>DATE(2015,12,17)</f>
        <v>42355</v>
      </c>
      <c r="E27896" s="8">
        <f t="shared" si="475"/>
        <v>2015</v>
      </c>
      <c r="F27896" t="s">
        <v>4480</v>
      </c>
      <c r="G27896" s="9">
        <v>962.5</v>
      </c>
      <c r="H27896" s="8">
        <v>21873</v>
      </c>
    </row>
    <row r="27897" spans="2:8" ht="15" customHeight="1" x14ac:dyDescent="0.4">
      <c r="B27897" t="s">
        <v>7</v>
      </c>
      <c r="C27897" t="s">
        <v>4479</v>
      </c>
      <c r="D27897" s="7">
        <f>DATE(2016,1,4)</f>
        <v>42373</v>
      </c>
      <c r="E27897" s="8">
        <f t="shared" si="475"/>
        <v>2016</v>
      </c>
      <c r="F27897" t="s">
        <v>4480</v>
      </c>
      <c r="G27897" s="9">
        <v>1287.5</v>
      </c>
      <c r="H27897" s="8">
        <v>21906</v>
      </c>
    </row>
    <row r="27898" spans="2:8" ht="15" customHeight="1" x14ac:dyDescent="0.4">
      <c r="B27898" t="s">
        <v>7</v>
      </c>
      <c r="C27898" t="s">
        <v>4479</v>
      </c>
      <c r="D27898" s="7">
        <f>DATE(2016,1,4)</f>
        <v>42373</v>
      </c>
      <c r="E27898" s="8">
        <f t="shared" si="475"/>
        <v>2016</v>
      </c>
      <c r="F27898" t="s">
        <v>4480</v>
      </c>
      <c r="G27898" s="9">
        <v>1543.75</v>
      </c>
      <c r="H27898" s="8">
        <v>21907</v>
      </c>
    </row>
    <row r="27899" spans="2:8" ht="15" customHeight="1" x14ac:dyDescent="0.4">
      <c r="B27899" t="s">
        <v>7</v>
      </c>
      <c r="C27899" t="s">
        <v>4479</v>
      </c>
      <c r="D27899" s="7">
        <f>DATE(2016,2,18)</f>
        <v>42418</v>
      </c>
      <c r="E27899" s="8">
        <f t="shared" si="475"/>
        <v>2016</v>
      </c>
      <c r="F27899" t="s">
        <v>4480</v>
      </c>
      <c r="G27899" s="9">
        <v>4810</v>
      </c>
      <c r="H27899" s="8">
        <v>22241</v>
      </c>
    </row>
    <row r="27900" spans="2:8" ht="15" customHeight="1" x14ac:dyDescent="0.4">
      <c r="B27900" t="s">
        <v>7</v>
      </c>
      <c r="C27900" t="s">
        <v>4479</v>
      </c>
      <c r="D27900" s="7">
        <f>DATE(2016,2,18)</f>
        <v>42418</v>
      </c>
      <c r="E27900" s="8">
        <f t="shared" si="475"/>
        <v>2016</v>
      </c>
      <c r="F27900" t="s">
        <v>4480</v>
      </c>
      <c r="G27900" s="9">
        <v>4025</v>
      </c>
      <c r="H27900" s="8">
        <v>22242</v>
      </c>
    </row>
    <row r="27901" spans="2:8" ht="15" customHeight="1" x14ac:dyDescent="0.4">
      <c r="B27901" t="s">
        <v>7</v>
      </c>
      <c r="C27901" t="s">
        <v>4481</v>
      </c>
      <c r="D27901" s="7">
        <f>DATE(2016,11,29)</f>
        <v>42703</v>
      </c>
      <c r="E27901" s="8">
        <f t="shared" si="475"/>
        <v>2016</v>
      </c>
      <c r="F27901" t="s">
        <v>4482</v>
      </c>
      <c r="G27901" s="9">
        <v>54511.54</v>
      </c>
      <c r="H27901" s="8">
        <v>23520</v>
      </c>
    </row>
    <row r="27902" spans="2:8" ht="15" customHeight="1" x14ac:dyDescent="0.4">
      <c r="B27902" t="s">
        <v>7</v>
      </c>
      <c r="C27902" t="s">
        <v>4483</v>
      </c>
      <c r="D27902" s="7">
        <f>DATE(2019,4,16)</f>
        <v>43571</v>
      </c>
      <c r="E27902" s="8">
        <f t="shared" si="475"/>
        <v>2019</v>
      </c>
      <c r="F27902" t="s">
        <v>4484</v>
      </c>
      <c r="G27902" s="9">
        <v>14689.96</v>
      </c>
      <c r="H27902" s="8">
        <v>28063</v>
      </c>
    </row>
    <row r="27903" spans="2:8" ht="15" customHeight="1" x14ac:dyDescent="0.4">
      <c r="B27903" s="3" t="s">
        <v>7</v>
      </c>
      <c r="C27903" s="3" t="s">
        <v>4081</v>
      </c>
      <c r="D27903" s="4">
        <f>DATE(2005,2,1)</f>
        <v>38384</v>
      </c>
      <c r="E27903" s="5">
        <f t="shared" si="475"/>
        <v>2005</v>
      </c>
      <c r="F27903" s="3" t="s">
        <v>4485</v>
      </c>
      <c r="G27903" s="6">
        <v>5374.6</v>
      </c>
      <c r="H27903" s="5">
        <v>932</v>
      </c>
    </row>
    <row r="27904" spans="2:8" ht="15" customHeight="1" x14ac:dyDescent="0.4">
      <c r="B27904" t="s">
        <v>7</v>
      </c>
      <c r="C27904" t="s">
        <v>4486</v>
      </c>
      <c r="D27904" s="7">
        <f>DATE(2015,4,24)</f>
        <v>42118</v>
      </c>
      <c r="E27904" s="8">
        <f t="shared" si="475"/>
        <v>2015</v>
      </c>
      <c r="F27904" t="s">
        <v>4487</v>
      </c>
      <c r="G27904" s="9">
        <v>35668.800000000003</v>
      </c>
      <c r="H27904" s="8">
        <v>83</v>
      </c>
    </row>
    <row r="27905" spans="2:8" ht="15" customHeight="1" x14ac:dyDescent="0.4">
      <c r="B27905" t="s">
        <v>7</v>
      </c>
      <c r="C27905" t="s">
        <v>4486</v>
      </c>
      <c r="D27905" s="7">
        <f>DATE(2015,4,24)</f>
        <v>42118</v>
      </c>
      <c r="E27905" s="8">
        <f t="shared" si="475"/>
        <v>2015</v>
      </c>
      <c r="F27905" t="s">
        <v>4487</v>
      </c>
      <c r="G27905" s="9">
        <v>4785.79</v>
      </c>
      <c r="H27905" s="8">
        <v>20510</v>
      </c>
    </row>
    <row r="27906" spans="2:8" ht="15" customHeight="1" x14ac:dyDescent="0.4">
      <c r="B27906" t="s">
        <v>7</v>
      </c>
      <c r="C27906" t="s">
        <v>4476</v>
      </c>
      <c r="D27906" s="7">
        <f>DATE(2015,11,3)</f>
        <v>42311</v>
      </c>
      <c r="E27906" s="8">
        <f t="shared" si="475"/>
        <v>2015</v>
      </c>
      <c r="F27906" t="s">
        <v>4488</v>
      </c>
      <c r="G27906" s="9">
        <v>156040.76</v>
      </c>
      <c r="H27906" s="8">
        <v>21322</v>
      </c>
    </row>
    <row r="27907" spans="2:8" ht="15" customHeight="1" x14ac:dyDescent="0.4">
      <c r="B27907" t="s">
        <v>7</v>
      </c>
      <c r="C27907" t="s">
        <v>4476</v>
      </c>
      <c r="D27907" s="7">
        <f>DATE(2015,10,9)</f>
        <v>42286</v>
      </c>
      <c r="E27907" s="8">
        <f t="shared" ref="E27907:E27970" si="476">YEAR(D27907)</f>
        <v>2015</v>
      </c>
      <c r="F27907" t="s">
        <v>4488</v>
      </c>
      <c r="G27907" s="9">
        <v>163923.73000000001</v>
      </c>
      <c r="H27907" s="8">
        <v>21619</v>
      </c>
    </row>
    <row r="27908" spans="2:8" ht="15" customHeight="1" x14ac:dyDescent="0.4">
      <c r="B27908" t="s">
        <v>16</v>
      </c>
      <c r="C27908" t="s">
        <v>4476</v>
      </c>
      <c r="D27908" s="7">
        <f>DATE(2015,11,11)</f>
        <v>42319</v>
      </c>
      <c r="E27908" s="8">
        <f t="shared" si="476"/>
        <v>2015</v>
      </c>
      <c r="F27908" t="s">
        <v>4488</v>
      </c>
      <c r="G27908" s="9">
        <v>156040.76</v>
      </c>
      <c r="H27908" s="8">
        <v>21625</v>
      </c>
    </row>
    <row r="27909" spans="2:8" ht="15" customHeight="1" x14ac:dyDescent="0.4">
      <c r="B27909" t="s">
        <v>7</v>
      </c>
      <c r="C27909" t="s">
        <v>4489</v>
      </c>
      <c r="D27909" s="7">
        <f>DATE(2018,9,27)</f>
        <v>43370</v>
      </c>
      <c r="E27909" s="8">
        <f t="shared" si="476"/>
        <v>2018</v>
      </c>
      <c r="F27909" t="s">
        <v>4490</v>
      </c>
      <c r="G27909" s="9">
        <v>3540</v>
      </c>
      <c r="H27909" s="8">
        <v>27696</v>
      </c>
    </row>
    <row r="27910" spans="2:8" ht="15" customHeight="1" x14ac:dyDescent="0.4">
      <c r="B27910" t="s">
        <v>7</v>
      </c>
      <c r="C27910" t="s">
        <v>4489</v>
      </c>
      <c r="D27910" s="7">
        <f>DATE(2018,4,6)</f>
        <v>43196</v>
      </c>
      <c r="E27910" s="8">
        <f t="shared" si="476"/>
        <v>2018</v>
      </c>
      <c r="F27910" t="s">
        <v>4491</v>
      </c>
      <c r="G27910" s="9">
        <v>1200</v>
      </c>
      <c r="H27910" s="8">
        <v>26820</v>
      </c>
    </row>
    <row r="27911" spans="2:8" ht="15" customHeight="1" x14ac:dyDescent="0.4">
      <c r="B27911" t="s">
        <v>7</v>
      </c>
      <c r="C27911" t="s">
        <v>4492</v>
      </c>
      <c r="D27911" s="7">
        <f>DATE(2018,10,23)</f>
        <v>43396</v>
      </c>
      <c r="E27911" s="8">
        <f t="shared" si="476"/>
        <v>2018</v>
      </c>
      <c r="F27911" t="s">
        <v>4493</v>
      </c>
      <c r="G27911" s="9">
        <v>8534.59</v>
      </c>
      <c r="H27911" s="8">
        <v>27711</v>
      </c>
    </row>
    <row r="27912" spans="2:8" ht="15" customHeight="1" x14ac:dyDescent="0.4">
      <c r="B27912" t="s">
        <v>7</v>
      </c>
      <c r="C27912" t="s">
        <v>4494</v>
      </c>
      <c r="D27912" s="7">
        <f>DATE(2015,8,3)</f>
        <v>42219</v>
      </c>
      <c r="E27912" s="8">
        <f t="shared" si="476"/>
        <v>2015</v>
      </c>
      <c r="F27912" t="s">
        <v>4495</v>
      </c>
      <c r="G27912" s="9">
        <v>4935.82</v>
      </c>
      <c r="H27912" s="8">
        <v>20899</v>
      </c>
    </row>
    <row r="27913" spans="2:8" ht="15" customHeight="1" x14ac:dyDescent="0.4">
      <c r="B27913" t="s">
        <v>7</v>
      </c>
      <c r="C27913" t="s">
        <v>4494</v>
      </c>
      <c r="D27913" s="7">
        <f>DATE(2011,11,16)</f>
        <v>40863</v>
      </c>
      <c r="E27913" s="8">
        <f t="shared" si="476"/>
        <v>2011</v>
      </c>
      <c r="F27913" t="s">
        <v>4495</v>
      </c>
      <c r="G27913" s="9">
        <v>4337.71</v>
      </c>
      <c r="H27913" s="8">
        <v>11125</v>
      </c>
    </row>
    <row r="27914" spans="2:8" ht="15" customHeight="1" x14ac:dyDescent="0.4">
      <c r="B27914" s="3" t="s">
        <v>7</v>
      </c>
      <c r="C27914" s="3" t="s">
        <v>4496</v>
      </c>
      <c r="D27914" s="4">
        <f>DATE(2007,5,23)</f>
        <v>39225</v>
      </c>
      <c r="E27914" s="5">
        <f t="shared" si="476"/>
        <v>2007</v>
      </c>
      <c r="F27914" s="3" t="s">
        <v>4497</v>
      </c>
      <c r="G27914" s="6">
        <v>220.5</v>
      </c>
      <c r="H27914" s="5">
        <v>8636</v>
      </c>
    </row>
    <row r="27915" spans="2:8" ht="15" customHeight="1" x14ac:dyDescent="0.4">
      <c r="B27915" t="s">
        <v>7</v>
      </c>
      <c r="C27915" t="s">
        <v>4498</v>
      </c>
      <c r="D27915" s="7">
        <f>DATE(2011,2,21)</f>
        <v>40595</v>
      </c>
      <c r="E27915" s="8">
        <f t="shared" si="476"/>
        <v>2011</v>
      </c>
      <c r="F27915" t="s">
        <v>4499</v>
      </c>
      <c r="G27915" s="9">
        <v>8319.86</v>
      </c>
      <c r="H27915" s="8">
        <v>10249</v>
      </c>
    </row>
    <row r="27916" spans="2:8" ht="15" customHeight="1" x14ac:dyDescent="0.4">
      <c r="B27916" s="3" t="s">
        <v>7</v>
      </c>
      <c r="C27916" s="3" t="s">
        <v>4498</v>
      </c>
      <c r="D27916" s="4">
        <f>DATE(2010,3,12)</f>
        <v>40249</v>
      </c>
      <c r="E27916" s="5">
        <f t="shared" si="476"/>
        <v>2010</v>
      </c>
      <c r="F27916" s="3" t="s">
        <v>4499</v>
      </c>
      <c r="G27916" s="6">
        <v>389</v>
      </c>
      <c r="H27916" s="5">
        <v>13738</v>
      </c>
    </row>
    <row r="27917" spans="2:8" ht="15" customHeight="1" x14ac:dyDescent="0.4">
      <c r="B27917" s="3" t="s">
        <v>7</v>
      </c>
      <c r="C27917" s="3" t="s">
        <v>4498</v>
      </c>
      <c r="D27917" s="4">
        <f>DATE(2010,3,31)</f>
        <v>40268</v>
      </c>
      <c r="E27917" s="5">
        <f t="shared" si="476"/>
        <v>2010</v>
      </c>
      <c r="F27917" s="3" t="s">
        <v>4499</v>
      </c>
      <c r="G27917" s="6">
        <v>594.87</v>
      </c>
      <c r="H27917" s="5">
        <v>13837</v>
      </c>
    </row>
    <row r="27918" spans="2:8" ht="15" customHeight="1" x14ac:dyDescent="0.4">
      <c r="B27918" t="s">
        <v>7</v>
      </c>
      <c r="C27918" t="s">
        <v>4500</v>
      </c>
      <c r="D27918" s="7">
        <f>DATE(2005,5,27)</f>
        <v>38499</v>
      </c>
      <c r="E27918" s="8">
        <f t="shared" si="476"/>
        <v>2005</v>
      </c>
      <c r="F27918" t="s">
        <v>4501</v>
      </c>
      <c r="G27918" s="9">
        <v>16912.02</v>
      </c>
      <c r="H27918" s="8">
        <v>2735</v>
      </c>
    </row>
    <row r="27919" spans="2:8" ht="15" customHeight="1" x14ac:dyDescent="0.4">
      <c r="B27919" t="s">
        <v>7</v>
      </c>
      <c r="C27919" t="s">
        <v>4500</v>
      </c>
      <c r="D27919" s="7">
        <f>DATE(2005,5,27)</f>
        <v>38499</v>
      </c>
      <c r="E27919" s="8">
        <f t="shared" si="476"/>
        <v>2005</v>
      </c>
      <c r="F27919" t="s">
        <v>4501</v>
      </c>
      <c r="G27919" s="9">
        <v>15867.02</v>
      </c>
      <c r="H27919" s="8">
        <v>3331</v>
      </c>
    </row>
    <row r="27920" spans="2:8" ht="15" customHeight="1" x14ac:dyDescent="0.4">
      <c r="B27920" t="s">
        <v>7</v>
      </c>
      <c r="C27920" t="s">
        <v>4500</v>
      </c>
      <c r="D27920" s="7">
        <f>DATE(2005,5,27)</f>
        <v>38499</v>
      </c>
      <c r="E27920" s="8">
        <f t="shared" si="476"/>
        <v>2005</v>
      </c>
      <c r="F27920" t="s">
        <v>4501</v>
      </c>
      <c r="G27920" s="9">
        <v>1045</v>
      </c>
      <c r="H27920" s="8">
        <v>3332</v>
      </c>
    </row>
    <row r="27921" spans="2:8" ht="15" customHeight="1" x14ac:dyDescent="0.4">
      <c r="B27921" t="s">
        <v>7</v>
      </c>
      <c r="C27921" t="s">
        <v>4500</v>
      </c>
      <c r="D27921" s="7">
        <f>DATE(2005,10,21)</f>
        <v>38646</v>
      </c>
      <c r="E27921" s="8">
        <f t="shared" si="476"/>
        <v>2005</v>
      </c>
      <c r="F27921" t="s">
        <v>4501</v>
      </c>
      <c r="G27921" s="9">
        <v>15791.39</v>
      </c>
      <c r="H27921" s="8">
        <v>3412</v>
      </c>
    </row>
    <row r="27922" spans="2:8" ht="15" customHeight="1" x14ac:dyDescent="0.4">
      <c r="B27922" t="s">
        <v>7</v>
      </c>
      <c r="C27922" t="s">
        <v>4500</v>
      </c>
      <c r="D27922" s="7">
        <f>DATE(2006,5,18)</f>
        <v>38855</v>
      </c>
      <c r="E27922" s="8">
        <f t="shared" si="476"/>
        <v>2006</v>
      </c>
      <c r="F27922" t="s">
        <v>4501</v>
      </c>
      <c r="G27922" s="9">
        <v>13474.78</v>
      </c>
      <c r="H27922" s="8">
        <v>4436</v>
      </c>
    </row>
    <row r="27923" spans="2:8" ht="15" customHeight="1" x14ac:dyDescent="0.4">
      <c r="B27923" t="s">
        <v>7</v>
      </c>
      <c r="C27923" t="s">
        <v>4500</v>
      </c>
      <c r="D27923" s="7">
        <f>DATE(2006,4,28)</f>
        <v>38835</v>
      </c>
      <c r="E27923" s="8">
        <f t="shared" si="476"/>
        <v>2006</v>
      </c>
      <c r="F27923" t="s">
        <v>4501</v>
      </c>
      <c r="G27923" s="9">
        <v>3806.13</v>
      </c>
      <c r="H27923" s="8">
        <v>4517</v>
      </c>
    </row>
    <row r="27924" spans="2:8" ht="15" customHeight="1" x14ac:dyDescent="0.4">
      <c r="B27924" t="s">
        <v>7</v>
      </c>
      <c r="C27924" t="s">
        <v>4500</v>
      </c>
      <c r="D27924" s="7">
        <f>DATE(2006,9,21)</f>
        <v>38981</v>
      </c>
      <c r="E27924" s="8">
        <f t="shared" si="476"/>
        <v>2006</v>
      </c>
      <c r="F27924" t="s">
        <v>4501</v>
      </c>
      <c r="G27924" s="9">
        <v>5044</v>
      </c>
      <c r="H27924" s="8">
        <v>4850</v>
      </c>
    </row>
    <row r="27925" spans="2:8" ht="15" customHeight="1" x14ac:dyDescent="0.4">
      <c r="B27925" t="s">
        <v>7</v>
      </c>
      <c r="C27925" t="s">
        <v>4500</v>
      </c>
      <c r="D27925" s="7">
        <f>DATE(2006,9,23)</f>
        <v>38983</v>
      </c>
      <c r="E27925" s="8">
        <f t="shared" si="476"/>
        <v>2006</v>
      </c>
      <c r="F27925" t="s">
        <v>4501</v>
      </c>
      <c r="G27925" s="9">
        <v>7895.31</v>
      </c>
      <c r="H27925" s="8">
        <v>4960</v>
      </c>
    </row>
    <row r="27926" spans="2:8" ht="15" customHeight="1" x14ac:dyDescent="0.4">
      <c r="B27926" t="s">
        <v>7</v>
      </c>
      <c r="C27926" t="s">
        <v>4500</v>
      </c>
      <c r="D27926" s="7">
        <f>DATE(2007,2,15)</f>
        <v>39128</v>
      </c>
      <c r="E27926" s="8">
        <f t="shared" si="476"/>
        <v>2007</v>
      </c>
      <c r="F27926" t="s">
        <v>4501</v>
      </c>
      <c r="G27926" s="9">
        <v>13515.24</v>
      </c>
      <c r="H27926" s="8">
        <v>5094</v>
      </c>
    </row>
    <row r="27927" spans="2:8" ht="15" customHeight="1" x14ac:dyDescent="0.4">
      <c r="B27927" t="s">
        <v>7</v>
      </c>
      <c r="C27927" t="s">
        <v>4500</v>
      </c>
      <c r="D27927" s="7">
        <f>DATE(2007,9,29)</f>
        <v>39354</v>
      </c>
      <c r="E27927" s="8">
        <f t="shared" si="476"/>
        <v>2007</v>
      </c>
      <c r="F27927" t="s">
        <v>4501</v>
      </c>
      <c r="G27927" s="9">
        <v>7694.76</v>
      </c>
      <c r="H27927" s="8">
        <v>6400</v>
      </c>
    </row>
    <row r="27928" spans="2:8" ht="15" customHeight="1" x14ac:dyDescent="0.4">
      <c r="B27928" t="s">
        <v>7</v>
      </c>
      <c r="C27928" t="s">
        <v>4500</v>
      </c>
      <c r="D27928" s="7">
        <f>DATE(2007,9,29)</f>
        <v>39354</v>
      </c>
      <c r="E27928" s="8">
        <f t="shared" si="476"/>
        <v>2007</v>
      </c>
      <c r="F27928" t="s">
        <v>4501</v>
      </c>
      <c r="G27928" s="9">
        <v>17528.560000000001</v>
      </c>
      <c r="H27928" s="8">
        <v>6061</v>
      </c>
    </row>
    <row r="27929" spans="2:8" ht="15" customHeight="1" x14ac:dyDescent="0.4">
      <c r="B27929" t="s">
        <v>7</v>
      </c>
      <c r="C27929" t="s">
        <v>4500</v>
      </c>
      <c r="D27929" s="7">
        <f>DATE(2007,10,17)</f>
        <v>39372</v>
      </c>
      <c r="E27929" s="8">
        <f t="shared" si="476"/>
        <v>2007</v>
      </c>
      <c r="F27929" t="s">
        <v>4501</v>
      </c>
      <c r="G27929" s="9">
        <v>15082.81</v>
      </c>
      <c r="H27929" s="8">
        <v>6232</v>
      </c>
    </row>
    <row r="27930" spans="2:8" ht="15" customHeight="1" x14ac:dyDescent="0.4">
      <c r="B27930" t="s">
        <v>7</v>
      </c>
      <c r="C27930" t="s">
        <v>4500</v>
      </c>
      <c r="D27930" s="7">
        <f>DATE(2008,2,14)</f>
        <v>39492</v>
      </c>
      <c r="E27930" s="8">
        <f t="shared" si="476"/>
        <v>2008</v>
      </c>
      <c r="F27930" t="s">
        <v>4501</v>
      </c>
      <c r="G27930" s="9">
        <v>22508.87</v>
      </c>
      <c r="H27930" s="8">
        <v>6789</v>
      </c>
    </row>
    <row r="27931" spans="2:8" ht="15" customHeight="1" x14ac:dyDescent="0.4">
      <c r="B27931" t="s">
        <v>7</v>
      </c>
      <c r="C27931" t="s">
        <v>4500</v>
      </c>
      <c r="D27931" s="7">
        <f>DATE(2008,4,8)</f>
        <v>39546</v>
      </c>
      <c r="E27931" s="8">
        <f t="shared" si="476"/>
        <v>2008</v>
      </c>
      <c r="F27931" t="s">
        <v>4501</v>
      </c>
      <c r="G27931" s="9">
        <v>7919.44</v>
      </c>
      <c r="H27931" s="8">
        <v>7153</v>
      </c>
    </row>
    <row r="27932" spans="2:8" ht="15" customHeight="1" x14ac:dyDescent="0.4">
      <c r="B27932" t="s">
        <v>7</v>
      </c>
      <c r="C27932" t="s">
        <v>4500</v>
      </c>
      <c r="D27932" s="7">
        <f>DATE(2008,5,13)</f>
        <v>39581</v>
      </c>
      <c r="E27932" s="8">
        <f t="shared" si="476"/>
        <v>2008</v>
      </c>
      <c r="F27932" t="s">
        <v>4501</v>
      </c>
      <c r="G27932" s="9">
        <v>3953.18</v>
      </c>
      <c r="H27932" s="8">
        <v>7393</v>
      </c>
    </row>
    <row r="27933" spans="2:8" ht="15" customHeight="1" x14ac:dyDescent="0.4">
      <c r="B27933" t="s">
        <v>16</v>
      </c>
      <c r="C27933" t="s">
        <v>4500</v>
      </c>
      <c r="D27933" s="7">
        <f>DATE(2005,6,27)</f>
        <v>38530</v>
      </c>
      <c r="E27933" s="8">
        <f t="shared" si="476"/>
        <v>2005</v>
      </c>
      <c r="F27933" t="s">
        <v>4501</v>
      </c>
      <c r="G27933" s="9">
        <v>16912.02</v>
      </c>
      <c r="H27933" s="8">
        <v>3330</v>
      </c>
    </row>
    <row r="27934" spans="2:8" ht="15" customHeight="1" x14ac:dyDescent="0.4">
      <c r="B27934" s="3" t="s">
        <v>7</v>
      </c>
      <c r="C27934" s="3" t="s">
        <v>4500</v>
      </c>
      <c r="D27934" s="4">
        <f>DATE(2006,1,26)</f>
        <v>38743</v>
      </c>
      <c r="E27934" s="5">
        <f t="shared" si="476"/>
        <v>2006</v>
      </c>
      <c r="F27934" s="3" t="s">
        <v>4501</v>
      </c>
      <c r="G27934" s="6">
        <v>2465.25</v>
      </c>
      <c r="H27934" s="5">
        <v>6524</v>
      </c>
    </row>
    <row r="27935" spans="2:8" ht="15" customHeight="1" x14ac:dyDescent="0.4">
      <c r="B27935" s="3" t="s">
        <v>7</v>
      </c>
      <c r="C27935" s="3" t="s">
        <v>4500</v>
      </c>
      <c r="D27935" s="4">
        <f>DATE(2006,9,7)</f>
        <v>38967</v>
      </c>
      <c r="E27935" s="5">
        <f t="shared" si="476"/>
        <v>2006</v>
      </c>
      <c r="F27935" s="3" t="s">
        <v>4501</v>
      </c>
      <c r="G27935" s="6">
        <v>2131.0100000000002</v>
      </c>
      <c r="H27935" s="5">
        <v>7033</v>
      </c>
    </row>
    <row r="27936" spans="2:8" ht="15" customHeight="1" x14ac:dyDescent="0.4">
      <c r="B27936" s="3" t="s">
        <v>7</v>
      </c>
      <c r="C27936" s="3" t="s">
        <v>4500</v>
      </c>
      <c r="D27936" s="4">
        <f>DATE(2006,12,13)</f>
        <v>39064</v>
      </c>
      <c r="E27936" s="5">
        <f t="shared" si="476"/>
        <v>2006</v>
      </c>
      <c r="F27936" s="3" t="s">
        <v>4501</v>
      </c>
      <c r="G27936" s="6">
        <v>1525.08</v>
      </c>
      <c r="H27936" s="5">
        <v>7408</v>
      </c>
    </row>
    <row r="27937" spans="2:8" ht="15" customHeight="1" x14ac:dyDescent="0.4">
      <c r="B27937" s="3" t="s">
        <v>7</v>
      </c>
      <c r="C27937" s="3" t="s">
        <v>4500</v>
      </c>
      <c r="D27937" s="4">
        <f>DATE(2007,3,12)</f>
        <v>39153</v>
      </c>
      <c r="E27937" s="5">
        <f t="shared" si="476"/>
        <v>2007</v>
      </c>
      <c r="F27937" s="3" t="s">
        <v>4501</v>
      </c>
      <c r="G27937" s="6">
        <v>1828.51</v>
      </c>
      <c r="H27937" s="5">
        <v>7836</v>
      </c>
    </row>
    <row r="27938" spans="2:8" ht="15" customHeight="1" x14ac:dyDescent="0.4">
      <c r="B27938" s="3" t="s">
        <v>7</v>
      </c>
      <c r="C27938" s="3" t="s">
        <v>4500</v>
      </c>
      <c r="D27938" s="4">
        <f>DATE(2008,1,29)</f>
        <v>39476</v>
      </c>
      <c r="E27938" s="5">
        <f t="shared" si="476"/>
        <v>2008</v>
      </c>
      <c r="F27938" s="3" t="s">
        <v>4501</v>
      </c>
      <c r="G27938" s="6">
        <v>1610.55</v>
      </c>
      <c r="H27938" s="5">
        <v>9804</v>
      </c>
    </row>
    <row r="27939" spans="2:8" ht="15" customHeight="1" x14ac:dyDescent="0.4">
      <c r="B27939" s="3" t="s">
        <v>7</v>
      </c>
      <c r="C27939" s="3" t="s">
        <v>4500</v>
      </c>
      <c r="D27939" s="4">
        <f>DATE(2008,2,1)</f>
        <v>39479</v>
      </c>
      <c r="E27939" s="5">
        <f t="shared" si="476"/>
        <v>2008</v>
      </c>
      <c r="F27939" s="3" t="s">
        <v>4501</v>
      </c>
      <c r="G27939" s="6">
        <v>156.35</v>
      </c>
      <c r="H27939" s="5">
        <v>9960</v>
      </c>
    </row>
    <row r="27940" spans="2:8" ht="15" customHeight="1" x14ac:dyDescent="0.4">
      <c r="B27940" s="3" t="s">
        <v>7</v>
      </c>
      <c r="C27940" s="3" t="s">
        <v>4500</v>
      </c>
      <c r="D27940" s="4">
        <f>DATE(2008,3,20)</f>
        <v>39527</v>
      </c>
      <c r="E27940" s="5">
        <f t="shared" si="476"/>
        <v>2008</v>
      </c>
      <c r="F27940" s="3" t="s">
        <v>4501</v>
      </c>
      <c r="G27940" s="6">
        <v>1527.87</v>
      </c>
      <c r="H27940" s="5">
        <v>10212</v>
      </c>
    </row>
    <row r="27941" spans="2:8" ht="15" customHeight="1" x14ac:dyDescent="0.4">
      <c r="B27941" s="3" t="s">
        <v>7</v>
      </c>
      <c r="C27941" s="3" t="s">
        <v>4500</v>
      </c>
      <c r="D27941" s="4">
        <f>DATE(2008,4,4)</f>
        <v>39542</v>
      </c>
      <c r="E27941" s="5">
        <f t="shared" si="476"/>
        <v>2008</v>
      </c>
      <c r="F27941" s="3" t="s">
        <v>4501</v>
      </c>
      <c r="G27941" s="6">
        <v>1660.33</v>
      </c>
      <c r="H27941" s="5">
        <v>10398</v>
      </c>
    </row>
    <row r="27942" spans="2:8" ht="15" customHeight="1" x14ac:dyDescent="0.4">
      <c r="B27942" s="3" t="s">
        <v>7</v>
      </c>
      <c r="C27942" s="3" t="s">
        <v>4500</v>
      </c>
      <c r="D27942" s="4">
        <f>DATE(2008,4,28)</f>
        <v>39566</v>
      </c>
      <c r="E27942" s="5">
        <f t="shared" si="476"/>
        <v>2008</v>
      </c>
      <c r="F27942" s="3" t="s">
        <v>4501</v>
      </c>
      <c r="G27942" s="6">
        <v>1527.11</v>
      </c>
      <c r="H27942" s="5">
        <v>10564</v>
      </c>
    </row>
    <row r="27943" spans="2:8" ht="15" customHeight="1" x14ac:dyDescent="0.4">
      <c r="B27943" s="3" t="s">
        <v>16</v>
      </c>
      <c r="C27943" s="3" t="s">
        <v>4500</v>
      </c>
      <c r="D27943" s="4">
        <f>DATE(2008,9,23)</f>
        <v>39714</v>
      </c>
      <c r="E27943" s="5">
        <f t="shared" si="476"/>
        <v>2008</v>
      </c>
      <c r="F27943" s="3" t="s">
        <v>4501</v>
      </c>
      <c r="G27943" s="6">
        <v>1660.33</v>
      </c>
      <c r="H27943" s="5">
        <v>11309</v>
      </c>
    </row>
    <row r="27944" spans="2:8" ht="15" customHeight="1" x14ac:dyDescent="0.4">
      <c r="B27944" t="s">
        <v>7</v>
      </c>
      <c r="C27944" t="s">
        <v>4502</v>
      </c>
      <c r="D27944" s="7">
        <f>DATE(2015,2,13)</f>
        <v>42048</v>
      </c>
      <c r="E27944" s="8">
        <f t="shared" si="476"/>
        <v>2015</v>
      </c>
      <c r="F27944" t="s">
        <v>4503</v>
      </c>
      <c r="G27944" s="9">
        <v>114.79</v>
      </c>
      <c r="H27944" s="8">
        <v>425</v>
      </c>
    </row>
    <row r="27945" spans="2:8" ht="15" customHeight="1" x14ac:dyDescent="0.4">
      <c r="B27945" t="s">
        <v>7</v>
      </c>
      <c r="C27945" t="s">
        <v>4502</v>
      </c>
      <c r="D27945" s="7">
        <f>DATE(2015,2,20)</f>
        <v>42055</v>
      </c>
      <c r="E27945" s="8">
        <f t="shared" si="476"/>
        <v>2015</v>
      </c>
      <c r="F27945" t="s">
        <v>4503</v>
      </c>
      <c r="G27945" s="9">
        <v>121.19</v>
      </c>
      <c r="H27945" s="8">
        <v>5010</v>
      </c>
    </row>
    <row r="27946" spans="2:8" ht="15" customHeight="1" x14ac:dyDescent="0.4">
      <c r="B27946" t="s">
        <v>7</v>
      </c>
      <c r="C27946" t="s">
        <v>4502</v>
      </c>
      <c r="D27946" s="7">
        <f>DATE(2015,2,26)</f>
        <v>42061</v>
      </c>
      <c r="E27946" s="8">
        <f t="shared" si="476"/>
        <v>2015</v>
      </c>
      <c r="F27946" t="s">
        <v>4503</v>
      </c>
      <c r="G27946" s="9">
        <v>147.54</v>
      </c>
      <c r="H27946" s="8">
        <v>20038</v>
      </c>
    </row>
    <row r="27947" spans="2:8" ht="15" customHeight="1" x14ac:dyDescent="0.4">
      <c r="B27947" t="s">
        <v>7</v>
      </c>
      <c r="C27947" t="s">
        <v>4502</v>
      </c>
      <c r="D27947" s="7">
        <f>DATE(2017,2,15)</f>
        <v>42781</v>
      </c>
      <c r="E27947" s="8">
        <f t="shared" si="476"/>
        <v>2017</v>
      </c>
      <c r="F27947" t="s">
        <v>4503</v>
      </c>
      <c r="G27947" s="9">
        <v>397.7</v>
      </c>
      <c r="H27947" s="8">
        <v>24293</v>
      </c>
    </row>
    <row r="27948" spans="2:8" ht="15" customHeight="1" x14ac:dyDescent="0.4">
      <c r="B27948" t="s">
        <v>7</v>
      </c>
      <c r="C27948" t="s">
        <v>4502</v>
      </c>
      <c r="D27948" s="7">
        <f>DATE(2017,5,15)</f>
        <v>42870</v>
      </c>
      <c r="E27948" s="8">
        <f t="shared" si="476"/>
        <v>2017</v>
      </c>
      <c r="F27948" t="s">
        <v>4503</v>
      </c>
      <c r="G27948" s="9">
        <v>43.46</v>
      </c>
      <c r="H27948" s="8">
        <v>24917</v>
      </c>
    </row>
    <row r="27949" spans="2:8" ht="15" customHeight="1" x14ac:dyDescent="0.4">
      <c r="B27949" t="s">
        <v>7</v>
      </c>
      <c r="C27949" t="s">
        <v>4502</v>
      </c>
      <c r="D27949" s="7">
        <f>DATE(2018,6,12)</f>
        <v>43263</v>
      </c>
      <c r="E27949" s="8">
        <f t="shared" si="476"/>
        <v>2018</v>
      </c>
      <c r="F27949" t="s">
        <v>4503</v>
      </c>
      <c r="G27949" s="9">
        <v>211.5</v>
      </c>
      <c r="H27949" s="8">
        <v>27176</v>
      </c>
    </row>
    <row r="27950" spans="2:8" ht="15" customHeight="1" x14ac:dyDescent="0.4">
      <c r="B27950" s="3" t="s">
        <v>7</v>
      </c>
      <c r="C27950" s="3" t="s">
        <v>4504</v>
      </c>
      <c r="D27950" s="4">
        <f>DATE(2007,9,10)</f>
        <v>39335</v>
      </c>
      <c r="E27950" s="5">
        <f t="shared" si="476"/>
        <v>2007</v>
      </c>
      <c r="F27950" s="3" t="s">
        <v>4505</v>
      </c>
      <c r="G27950" s="6">
        <v>32121.72</v>
      </c>
      <c r="H27950" s="5">
        <v>2389</v>
      </c>
    </row>
    <row r="27951" spans="2:8" ht="15" customHeight="1" x14ac:dyDescent="0.4">
      <c r="B27951" s="3" t="s">
        <v>7</v>
      </c>
      <c r="C27951" s="3" t="s">
        <v>4504</v>
      </c>
      <c r="D27951" s="4">
        <f>DATE(2007,11,16)</f>
        <v>39402</v>
      </c>
      <c r="E27951" s="5">
        <f t="shared" si="476"/>
        <v>2007</v>
      </c>
      <c r="F27951" s="3" t="s">
        <v>4505</v>
      </c>
      <c r="G27951" s="6">
        <v>2470.81</v>
      </c>
      <c r="H27951" s="5">
        <v>2494</v>
      </c>
    </row>
    <row r="27952" spans="2:8" ht="15" customHeight="1" x14ac:dyDescent="0.4">
      <c r="B27952" s="3" t="s">
        <v>7</v>
      </c>
      <c r="C27952" s="3" t="s">
        <v>4504</v>
      </c>
      <c r="D27952" s="4">
        <f>DATE(2010,12,6)</f>
        <v>40518</v>
      </c>
      <c r="E27952" s="5">
        <f t="shared" si="476"/>
        <v>2010</v>
      </c>
      <c r="F27952" s="3" t="s">
        <v>4505</v>
      </c>
      <c r="G27952" s="6">
        <v>6253</v>
      </c>
      <c r="H27952" s="5">
        <v>4202</v>
      </c>
    </row>
    <row r="27953" spans="2:8" ht="15" customHeight="1" x14ac:dyDescent="0.4">
      <c r="B27953" s="3" t="s">
        <v>7</v>
      </c>
      <c r="C27953" s="3" t="s">
        <v>4504</v>
      </c>
      <c r="D27953" s="4">
        <f>DATE(2007,11,1)</f>
        <v>39387</v>
      </c>
      <c r="E27953" s="5">
        <f t="shared" si="476"/>
        <v>2007</v>
      </c>
      <c r="F27953" s="3" t="s">
        <v>4505</v>
      </c>
      <c r="G27953" s="6">
        <v>4000</v>
      </c>
      <c r="H27953" s="5">
        <v>2394</v>
      </c>
    </row>
    <row r="27954" spans="2:8" ht="15" customHeight="1" x14ac:dyDescent="0.4">
      <c r="B27954" t="s">
        <v>7</v>
      </c>
      <c r="C27954" t="s">
        <v>4506</v>
      </c>
      <c r="D27954" s="7">
        <f>DATE(2008,1,15)</f>
        <v>39462</v>
      </c>
      <c r="E27954" s="8">
        <f t="shared" si="476"/>
        <v>2008</v>
      </c>
      <c r="F27954" t="s">
        <v>4507</v>
      </c>
      <c r="G27954" s="9">
        <v>129852.79</v>
      </c>
      <c r="H27954" s="8">
        <v>6727</v>
      </c>
    </row>
    <row r="27955" spans="2:8" ht="15" customHeight="1" x14ac:dyDescent="0.4">
      <c r="B27955" t="s">
        <v>7</v>
      </c>
      <c r="C27955" t="s">
        <v>4506</v>
      </c>
      <c r="D27955" s="7">
        <f>DATE(2008,2,1)</f>
        <v>39479</v>
      </c>
      <c r="E27955" s="8">
        <f t="shared" si="476"/>
        <v>2008</v>
      </c>
      <c r="F27955" t="s">
        <v>4507</v>
      </c>
      <c r="G27955" s="9">
        <v>4132.5</v>
      </c>
      <c r="H27955" s="8">
        <v>7108</v>
      </c>
    </row>
    <row r="27956" spans="2:8" ht="15" customHeight="1" x14ac:dyDescent="0.4">
      <c r="B27956" t="s">
        <v>7</v>
      </c>
      <c r="C27956" t="s">
        <v>4506</v>
      </c>
      <c r="D27956" s="7">
        <f>DATE(2008,2,1)</f>
        <v>39479</v>
      </c>
      <c r="E27956" s="8">
        <f t="shared" si="476"/>
        <v>2008</v>
      </c>
      <c r="F27956" t="s">
        <v>4507</v>
      </c>
      <c r="G27956" s="9">
        <v>111037.34</v>
      </c>
      <c r="H27956" s="8">
        <v>7125</v>
      </c>
    </row>
    <row r="27957" spans="2:8" ht="15" customHeight="1" x14ac:dyDescent="0.4">
      <c r="B27957" t="s">
        <v>7</v>
      </c>
      <c r="C27957" t="s">
        <v>4506</v>
      </c>
      <c r="D27957" s="7">
        <f>DATE(2008,2,1)</f>
        <v>39479</v>
      </c>
      <c r="E27957" s="8">
        <f t="shared" si="476"/>
        <v>2008</v>
      </c>
      <c r="F27957" t="s">
        <v>4507</v>
      </c>
      <c r="G27957" s="9">
        <v>18815.45</v>
      </c>
      <c r="H27957" s="8">
        <v>7126</v>
      </c>
    </row>
    <row r="27958" spans="2:8" ht="15" customHeight="1" x14ac:dyDescent="0.4">
      <c r="B27958" t="s">
        <v>7</v>
      </c>
      <c r="C27958" t="s">
        <v>4506</v>
      </c>
      <c r="D27958" s="7">
        <f>DATE(2010,2,8)</f>
        <v>40217</v>
      </c>
      <c r="E27958" s="8">
        <f t="shared" si="476"/>
        <v>2010</v>
      </c>
      <c r="F27958" t="s">
        <v>4507</v>
      </c>
      <c r="G27958" s="9">
        <v>5858.52</v>
      </c>
      <c r="H27958" s="8">
        <v>9334</v>
      </c>
    </row>
    <row r="27959" spans="2:8" ht="15" customHeight="1" x14ac:dyDescent="0.4">
      <c r="B27959" t="s">
        <v>16</v>
      </c>
      <c r="C27959" t="s">
        <v>4506</v>
      </c>
      <c r="D27959" s="7">
        <f>DATE(2008,2,1)</f>
        <v>39479</v>
      </c>
      <c r="E27959" s="8">
        <f t="shared" si="476"/>
        <v>2008</v>
      </c>
      <c r="F27959" t="s">
        <v>4507</v>
      </c>
      <c r="G27959" s="9">
        <v>129852.79</v>
      </c>
      <c r="H27959" s="8">
        <v>7129</v>
      </c>
    </row>
    <row r="27960" spans="2:8" ht="15" customHeight="1" x14ac:dyDescent="0.4">
      <c r="B27960" t="s">
        <v>16</v>
      </c>
      <c r="C27960" t="s">
        <v>4506</v>
      </c>
      <c r="D27960" s="7">
        <f>DATE(2010,5,1)</f>
        <v>40299</v>
      </c>
      <c r="E27960" s="8">
        <f t="shared" si="476"/>
        <v>2010</v>
      </c>
      <c r="F27960" t="s">
        <v>4507</v>
      </c>
      <c r="G27960" s="9">
        <v>878.78</v>
      </c>
      <c r="H27960" s="8">
        <v>9877</v>
      </c>
    </row>
    <row r="27961" spans="2:8" ht="15" customHeight="1" x14ac:dyDescent="0.4">
      <c r="B27961" s="3" t="s">
        <v>7</v>
      </c>
      <c r="C27961" s="3" t="s">
        <v>4508</v>
      </c>
      <c r="D27961" s="4">
        <f>DATE(2008,8,11)</f>
        <v>39671</v>
      </c>
      <c r="E27961" s="5">
        <f t="shared" si="476"/>
        <v>2008</v>
      </c>
      <c r="F27961" s="3" t="s">
        <v>4509</v>
      </c>
      <c r="G27961" s="6">
        <v>4896.58</v>
      </c>
      <c r="H27961" s="5">
        <v>2970</v>
      </c>
    </row>
    <row r="27962" spans="2:8" ht="15" customHeight="1" x14ac:dyDescent="0.4">
      <c r="B27962" s="3" t="s">
        <v>7</v>
      </c>
      <c r="C27962" s="3" t="s">
        <v>4508</v>
      </c>
      <c r="D27962" s="4">
        <f>DATE(2008,9,1)</f>
        <v>39692</v>
      </c>
      <c r="E27962" s="5">
        <f t="shared" si="476"/>
        <v>2008</v>
      </c>
      <c r="F27962" s="3" t="s">
        <v>4509</v>
      </c>
      <c r="G27962" s="6">
        <v>5203.8900000000003</v>
      </c>
      <c r="H27962" s="5">
        <v>2988</v>
      </c>
    </row>
    <row r="27963" spans="2:8" ht="15" customHeight="1" x14ac:dyDescent="0.4">
      <c r="B27963" t="s">
        <v>7</v>
      </c>
      <c r="C27963" t="s">
        <v>792</v>
      </c>
      <c r="D27963" s="7">
        <f>DATE(2018,4,23)</f>
        <v>43213</v>
      </c>
      <c r="E27963" s="8">
        <f t="shared" si="476"/>
        <v>2018</v>
      </c>
      <c r="F27963" t="s">
        <v>4510</v>
      </c>
      <c r="G27963" s="9">
        <v>67020.259999999995</v>
      </c>
      <c r="H27963" s="8">
        <v>26843</v>
      </c>
    </row>
    <row r="27964" spans="2:8" ht="15" customHeight="1" x14ac:dyDescent="0.4">
      <c r="B27964" t="s">
        <v>7</v>
      </c>
      <c r="C27964" t="s">
        <v>1358</v>
      </c>
      <c r="D27964" s="7">
        <f>DATE(2018,4,18)</f>
        <v>43208</v>
      </c>
      <c r="E27964" s="8">
        <f t="shared" si="476"/>
        <v>2018</v>
      </c>
      <c r="F27964" t="s">
        <v>4511</v>
      </c>
      <c r="G27964" s="9">
        <v>7943.5</v>
      </c>
      <c r="H27964" s="8">
        <v>26246</v>
      </c>
    </row>
    <row r="27965" spans="2:8" ht="15" customHeight="1" x14ac:dyDescent="0.4">
      <c r="B27965" t="s">
        <v>7</v>
      </c>
      <c r="C27965" t="s">
        <v>1358</v>
      </c>
      <c r="D27965" s="7">
        <f>DATE(2018,9,26)</f>
        <v>43369</v>
      </c>
      <c r="E27965" s="8">
        <f t="shared" si="476"/>
        <v>2018</v>
      </c>
      <c r="F27965" t="s">
        <v>4511</v>
      </c>
      <c r="G27965" s="9">
        <v>5852</v>
      </c>
      <c r="H27965" s="8">
        <v>27309</v>
      </c>
    </row>
    <row r="27966" spans="2:8" ht="15" customHeight="1" x14ac:dyDescent="0.4">
      <c r="B27966" t="s">
        <v>7</v>
      </c>
      <c r="C27966" t="s">
        <v>1358</v>
      </c>
      <c r="D27966" s="7">
        <f>DATE(2019,4,16)</f>
        <v>43571</v>
      </c>
      <c r="E27966" s="8">
        <f t="shared" si="476"/>
        <v>2019</v>
      </c>
      <c r="F27966" t="s">
        <v>4511</v>
      </c>
      <c r="G27966" s="9">
        <v>7352.25</v>
      </c>
      <c r="H27966" s="8">
        <v>28268</v>
      </c>
    </row>
    <row r="27967" spans="2:8" ht="15" customHeight="1" x14ac:dyDescent="0.4">
      <c r="B27967" t="s">
        <v>7</v>
      </c>
      <c r="C27967" t="s">
        <v>4512</v>
      </c>
      <c r="D27967" s="7">
        <f>DATE(2015,6,12)</f>
        <v>42167</v>
      </c>
      <c r="E27967" s="8">
        <f t="shared" si="476"/>
        <v>2015</v>
      </c>
      <c r="F27967" t="s">
        <v>4513</v>
      </c>
      <c r="G27967" s="9">
        <v>4461</v>
      </c>
      <c r="H27967" s="8">
        <v>20541</v>
      </c>
    </row>
    <row r="27968" spans="2:8" ht="15" customHeight="1" x14ac:dyDescent="0.4">
      <c r="B27968" s="3" t="s">
        <v>7</v>
      </c>
      <c r="C27968" s="3" t="s">
        <v>4514</v>
      </c>
      <c r="D27968" s="4">
        <f>DATE(2009,6,18)</f>
        <v>39982</v>
      </c>
      <c r="E27968" s="5">
        <f t="shared" si="476"/>
        <v>2009</v>
      </c>
      <c r="F27968" s="3" t="s">
        <v>4515</v>
      </c>
      <c r="G27968" s="6">
        <v>1776.21</v>
      </c>
      <c r="H27968" s="5">
        <v>3480</v>
      </c>
    </row>
    <row r="27969" spans="2:8" ht="15" customHeight="1" x14ac:dyDescent="0.4">
      <c r="B27969" t="s">
        <v>7</v>
      </c>
      <c r="C27969" t="s">
        <v>3414</v>
      </c>
      <c r="D27969" s="7">
        <f>DATE(2008,2,9)</f>
        <v>39487</v>
      </c>
      <c r="E27969" s="8">
        <f t="shared" si="476"/>
        <v>2008</v>
      </c>
      <c r="F27969" t="s">
        <v>4516</v>
      </c>
      <c r="G27969" s="9">
        <v>17900</v>
      </c>
      <c r="H27969" s="8">
        <v>6798</v>
      </c>
    </row>
    <row r="27970" spans="2:8" ht="15" customHeight="1" x14ac:dyDescent="0.4">
      <c r="B27970" t="s">
        <v>7</v>
      </c>
      <c r="C27970" t="s">
        <v>3414</v>
      </c>
      <c r="D27970" s="7">
        <f>DATE(2008,4,8)</f>
        <v>39546</v>
      </c>
      <c r="E27970" s="8">
        <f t="shared" si="476"/>
        <v>2008</v>
      </c>
      <c r="F27970" t="s">
        <v>4517</v>
      </c>
      <c r="G27970" s="9">
        <v>3467.32</v>
      </c>
      <c r="H27970" s="8">
        <v>7287</v>
      </c>
    </row>
    <row r="27971" spans="2:8" ht="15" customHeight="1" x14ac:dyDescent="0.4">
      <c r="B27971" t="s">
        <v>7</v>
      </c>
      <c r="C27971" t="s">
        <v>3414</v>
      </c>
      <c r="D27971" s="7">
        <f>DATE(2008,10,10)</f>
        <v>39731</v>
      </c>
      <c r="E27971" s="8">
        <f t="shared" ref="E27971:E28034" si="477">YEAR(D27971)</f>
        <v>2008</v>
      </c>
      <c r="F27971" t="s">
        <v>4517</v>
      </c>
      <c r="G27971" s="9">
        <v>310062</v>
      </c>
      <c r="H27971" s="8">
        <v>7713</v>
      </c>
    </row>
    <row r="27972" spans="2:8" ht="15" customHeight="1" x14ac:dyDescent="0.4">
      <c r="B27972" t="s">
        <v>7</v>
      </c>
      <c r="C27972" t="s">
        <v>3414</v>
      </c>
      <c r="D27972" s="7">
        <f>DATE(2008,12,24)</f>
        <v>39806</v>
      </c>
      <c r="E27972" s="8">
        <f t="shared" si="477"/>
        <v>2008</v>
      </c>
      <c r="F27972" t="s">
        <v>4517</v>
      </c>
      <c r="G27972" s="9">
        <v>120291.95</v>
      </c>
      <c r="H27972" s="8">
        <v>7713</v>
      </c>
    </row>
    <row r="27973" spans="2:8" ht="15" customHeight="1" x14ac:dyDescent="0.4">
      <c r="B27973" t="s">
        <v>7</v>
      </c>
      <c r="C27973" t="s">
        <v>3414</v>
      </c>
      <c r="D27973" s="7">
        <f>DATE(2009,3,31)</f>
        <v>39903</v>
      </c>
      <c r="E27973" s="8">
        <f t="shared" si="477"/>
        <v>2009</v>
      </c>
      <c r="F27973" t="s">
        <v>4517</v>
      </c>
      <c r="G27973" s="9">
        <v>7490</v>
      </c>
      <c r="H27973" s="8">
        <v>8328</v>
      </c>
    </row>
    <row r="27974" spans="2:8" ht="15" customHeight="1" x14ac:dyDescent="0.4">
      <c r="B27974" t="s">
        <v>7</v>
      </c>
      <c r="C27974" t="s">
        <v>3414</v>
      </c>
      <c r="D27974" s="7">
        <f>DATE(2009,10,28)</f>
        <v>40114</v>
      </c>
      <c r="E27974" s="8">
        <f t="shared" si="477"/>
        <v>2009</v>
      </c>
      <c r="F27974" t="s">
        <v>4517</v>
      </c>
      <c r="G27974" s="9">
        <v>5100</v>
      </c>
      <c r="H27974" s="8">
        <v>9073</v>
      </c>
    </row>
    <row r="27975" spans="2:8" ht="15" customHeight="1" x14ac:dyDescent="0.4">
      <c r="B27975" t="s">
        <v>7</v>
      </c>
      <c r="C27975" t="s">
        <v>3414</v>
      </c>
      <c r="D27975" s="7">
        <f>DATE(2010,3,17)</f>
        <v>40254</v>
      </c>
      <c r="E27975" s="8">
        <f t="shared" si="477"/>
        <v>2010</v>
      </c>
      <c r="F27975" t="s">
        <v>4517</v>
      </c>
      <c r="G27975" s="9">
        <v>13000</v>
      </c>
      <c r="H27975" s="8">
        <v>9409</v>
      </c>
    </row>
    <row r="27976" spans="2:8" ht="15" customHeight="1" x14ac:dyDescent="0.4">
      <c r="B27976" t="s">
        <v>7</v>
      </c>
      <c r="C27976" t="s">
        <v>3414</v>
      </c>
      <c r="D27976" s="7">
        <f>DATE(2010,10,1)</f>
        <v>40452</v>
      </c>
      <c r="E27976" s="8">
        <f t="shared" si="477"/>
        <v>2010</v>
      </c>
      <c r="F27976" t="s">
        <v>4517</v>
      </c>
      <c r="G27976" s="9">
        <v>12625</v>
      </c>
      <c r="H27976" s="8">
        <v>10102</v>
      </c>
    </row>
    <row r="27977" spans="2:8" ht="15" customHeight="1" x14ac:dyDescent="0.4">
      <c r="B27977" t="s">
        <v>7</v>
      </c>
      <c r="C27977" t="s">
        <v>3414</v>
      </c>
      <c r="D27977" s="7">
        <f>DATE(2011,7,18)</f>
        <v>40742</v>
      </c>
      <c r="E27977" s="8">
        <f t="shared" si="477"/>
        <v>2011</v>
      </c>
      <c r="F27977" t="s">
        <v>4517</v>
      </c>
      <c r="G27977" s="9">
        <v>18349.3</v>
      </c>
      <c r="H27977" s="8">
        <v>10846</v>
      </c>
    </row>
    <row r="27978" spans="2:8" ht="15" customHeight="1" x14ac:dyDescent="0.4">
      <c r="B27978" t="s">
        <v>7</v>
      </c>
      <c r="C27978" t="s">
        <v>3414</v>
      </c>
      <c r="D27978" s="7">
        <f>DATE(2011,12,19)</f>
        <v>40896</v>
      </c>
      <c r="E27978" s="8">
        <f t="shared" si="477"/>
        <v>2011</v>
      </c>
      <c r="F27978" t="s">
        <v>4517</v>
      </c>
      <c r="G27978" s="9">
        <v>14500</v>
      </c>
      <c r="H27978" s="8">
        <v>11053</v>
      </c>
    </row>
    <row r="27979" spans="2:8" ht="15" customHeight="1" x14ac:dyDescent="0.4">
      <c r="B27979" t="s">
        <v>7</v>
      </c>
      <c r="C27979" t="s">
        <v>3414</v>
      </c>
      <c r="D27979" s="7">
        <f>DATE(2012,11,14)</f>
        <v>41227</v>
      </c>
      <c r="E27979" s="8">
        <f t="shared" si="477"/>
        <v>2012</v>
      </c>
      <c r="F27979" t="s">
        <v>4517</v>
      </c>
      <c r="G27979" s="9">
        <v>15500</v>
      </c>
      <c r="H27979" s="8">
        <v>11880</v>
      </c>
    </row>
    <row r="27980" spans="2:8" ht="15" customHeight="1" x14ac:dyDescent="0.4">
      <c r="B27980" t="s">
        <v>7</v>
      </c>
      <c r="C27980" t="s">
        <v>3414</v>
      </c>
      <c r="D27980" s="7">
        <f>DATE(2013,12,16)</f>
        <v>41624</v>
      </c>
      <c r="E27980" s="8">
        <f t="shared" si="477"/>
        <v>2013</v>
      </c>
      <c r="F27980" t="s">
        <v>4517</v>
      </c>
      <c r="G27980" s="9">
        <v>17286.849999999999</v>
      </c>
      <c r="H27980" s="8">
        <v>12761</v>
      </c>
    </row>
    <row r="27981" spans="2:8" ht="15" customHeight="1" x14ac:dyDescent="0.4">
      <c r="B27981" t="s">
        <v>7</v>
      </c>
      <c r="C27981" t="s">
        <v>3414</v>
      </c>
      <c r="D27981" s="7">
        <f>DATE(2010,6,1)</f>
        <v>40330</v>
      </c>
      <c r="E27981" s="8">
        <f t="shared" si="477"/>
        <v>2010</v>
      </c>
      <c r="F27981" t="s">
        <v>4517</v>
      </c>
      <c r="G27981" s="9">
        <v>3919.45</v>
      </c>
      <c r="H27981" s="8">
        <v>9872</v>
      </c>
    </row>
    <row r="27982" spans="2:8" ht="15" customHeight="1" x14ac:dyDescent="0.4">
      <c r="B27982" s="3" t="s">
        <v>7</v>
      </c>
      <c r="C27982" s="3" t="s">
        <v>3414</v>
      </c>
      <c r="D27982" s="4">
        <f>DATE(2008,7,30)</f>
        <v>39659</v>
      </c>
      <c r="E27982" s="5">
        <f t="shared" si="477"/>
        <v>2008</v>
      </c>
      <c r="F27982" s="3" t="s">
        <v>4517</v>
      </c>
      <c r="G27982" s="6">
        <v>371.66</v>
      </c>
      <c r="H27982" s="5">
        <v>10980</v>
      </c>
    </row>
    <row r="27983" spans="2:8" ht="15" customHeight="1" x14ac:dyDescent="0.4">
      <c r="B27983" s="3" t="s">
        <v>7</v>
      </c>
      <c r="C27983" s="3" t="s">
        <v>3414</v>
      </c>
      <c r="D27983" s="4">
        <f>DATE(2009,4,2)</f>
        <v>39905</v>
      </c>
      <c r="E27983" s="5">
        <f t="shared" si="477"/>
        <v>2009</v>
      </c>
      <c r="F27983" s="3" t="s">
        <v>4517</v>
      </c>
      <c r="G27983" s="6">
        <v>1252.8</v>
      </c>
      <c r="H27983" s="5">
        <v>11939</v>
      </c>
    </row>
    <row r="27984" spans="2:8" ht="15" customHeight="1" x14ac:dyDescent="0.4">
      <c r="B27984" t="s">
        <v>7</v>
      </c>
      <c r="C27984" t="s">
        <v>1358</v>
      </c>
      <c r="D27984" s="7">
        <f>DATE(2016,11,3)</f>
        <v>42677</v>
      </c>
      <c r="E27984" s="8">
        <f t="shared" si="477"/>
        <v>2016</v>
      </c>
      <c r="F27984" t="s">
        <v>4518</v>
      </c>
      <c r="G27984" s="9">
        <v>6772.25</v>
      </c>
      <c r="H27984" s="8">
        <v>23457</v>
      </c>
    </row>
    <row r="27985" spans="2:8" ht="15" customHeight="1" x14ac:dyDescent="0.4">
      <c r="B27985" t="s">
        <v>7</v>
      </c>
      <c r="C27985" t="s">
        <v>1358</v>
      </c>
      <c r="D27985" s="7">
        <f>DATE(2017,7,25)</f>
        <v>42941</v>
      </c>
      <c r="E27985" s="8">
        <f t="shared" si="477"/>
        <v>2017</v>
      </c>
      <c r="F27985" t="s">
        <v>4518</v>
      </c>
      <c r="G27985" s="9">
        <v>6893.5</v>
      </c>
      <c r="H27985" s="8">
        <v>24877</v>
      </c>
    </row>
    <row r="27986" spans="2:8" ht="15" customHeight="1" x14ac:dyDescent="0.4">
      <c r="B27986" t="s">
        <v>7</v>
      </c>
      <c r="C27986" t="s">
        <v>4519</v>
      </c>
      <c r="D27986" s="7">
        <f>DATE(2004,4,10)</f>
        <v>38087</v>
      </c>
      <c r="E27986" s="8">
        <f t="shared" si="477"/>
        <v>2004</v>
      </c>
      <c r="F27986" t="s">
        <v>4520</v>
      </c>
      <c r="G27986" s="9">
        <v>44087.98</v>
      </c>
      <c r="H27986" s="8">
        <v>1354</v>
      </c>
    </row>
    <row r="27987" spans="2:8" ht="15" customHeight="1" x14ac:dyDescent="0.4">
      <c r="B27987" t="s">
        <v>7</v>
      </c>
      <c r="C27987" t="s">
        <v>4519</v>
      </c>
      <c r="D27987" s="7">
        <f>DATE(2005,10,29)</f>
        <v>38654</v>
      </c>
      <c r="E27987" s="8">
        <f t="shared" si="477"/>
        <v>2005</v>
      </c>
      <c r="F27987" t="s">
        <v>4520</v>
      </c>
      <c r="G27987" s="9">
        <v>48015.98</v>
      </c>
      <c r="H27987" s="8">
        <v>3138</v>
      </c>
    </row>
    <row r="27988" spans="2:8" ht="15" customHeight="1" x14ac:dyDescent="0.4">
      <c r="B27988" t="s">
        <v>7</v>
      </c>
      <c r="C27988" t="s">
        <v>4519</v>
      </c>
      <c r="D27988" s="7">
        <f>DATE(2007,5,20)</f>
        <v>39222</v>
      </c>
      <c r="E27988" s="8">
        <f t="shared" si="477"/>
        <v>2007</v>
      </c>
      <c r="F27988" t="s">
        <v>4520</v>
      </c>
      <c r="G27988" s="9">
        <v>45410.62</v>
      </c>
      <c r="H27988" s="8">
        <v>5493</v>
      </c>
    </row>
    <row r="27989" spans="2:8" ht="15" customHeight="1" x14ac:dyDescent="0.4">
      <c r="B27989" t="s">
        <v>7</v>
      </c>
      <c r="C27989" t="s">
        <v>4519</v>
      </c>
      <c r="D27989" s="7">
        <f>DATE(2008,4,3)</f>
        <v>39541</v>
      </c>
      <c r="E27989" s="8">
        <f t="shared" si="477"/>
        <v>2008</v>
      </c>
      <c r="F27989" t="s">
        <v>4520</v>
      </c>
      <c r="G27989" s="9">
        <v>22291.86</v>
      </c>
      <c r="H27989" s="8">
        <v>7258</v>
      </c>
    </row>
    <row r="27990" spans="2:8" ht="15" customHeight="1" x14ac:dyDescent="0.4">
      <c r="B27990" t="s">
        <v>7</v>
      </c>
      <c r="C27990" t="s">
        <v>4519</v>
      </c>
      <c r="D27990" s="7">
        <f>DATE(2008,10,24)</f>
        <v>39745</v>
      </c>
      <c r="E27990" s="8">
        <f t="shared" si="477"/>
        <v>2008</v>
      </c>
      <c r="F27990" t="s">
        <v>4520</v>
      </c>
      <c r="G27990" s="9">
        <v>55280.19</v>
      </c>
      <c r="H27990" s="8">
        <v>7651</v>
      </c>
    </row>
    <row r="27991" spans="2:8" ht="15" customHeight="1" x14ac:dyDescent="0.4">
      <c r="B27991" t="s">
        <v>7</v>
      </c>
      <c r="C27991" t="s">
        <v>4519</v>
      </c>
      <c r="D27991" s="7">
        <f>DATE(2009,6,11)</f>
        <v>39975</v>
      </c>
      <c r="E27991" s="8">
        <f t="shared" si="477"/>
        <v>2009</v>
      </c>
      <c r="F27991" t="s">
        <v>4520</v>
      </c>
      <c r="G27991" s="9">
        <v>12546.61</v>
      </c>
      <c r="H27991" s="8">
        <v>8759</v>
      </c>
    </row>
    <row r="27992" spans="2:8" ht="15" customHeight="1" x14ac:dyDescent="0.4">
      <c r="B27992" t="s">
        <v>7</v>
      </c>
      <c r="C27992" t="s">
        <v>4519</v>
      </c>
      <c r="D27992" s="7">
        <f>DATE(2009,9,25)</f>
        <v>40081</v>
      </c>
      <c r="E27992" s="8">
        <f t="shared" si="477"/>
        <v>2009</v>
      </c>
      <c r="F27992" t="s">
        <v>4520</v>
      </c>
      <c r="G27992" s="9">
        <v>11136.68</v>
      </c>
      <c r="H27992" s="8">
        <v>9076</v>
      </c>
    </row>
    <row r="27993" spans="2:8" ht="15" customHeight="1" x14ac:dyDescent="0.4">
      <c r="B27993" t="s">
        <v>7</v>
      </c>
      <c r="C27993" t="s">
        <v>4519</v>
      </c>
      <c r="D27993" s="7">
        <f>DATE(2010,6,16)</f>
        <v>40345</v>
      </c>
      <c r="E27993" s="8">
        <f t="shared" si="477"/>
        <v>2010</v>
      </c>
      <c r="F27993" t="s">
        <v>4520</v>
      </c>
      <c r="G27993" s="9">
        <v>69112.13</v>
      </c>
      <c r="H27993" s="8">
        <v>8945</v>
      </c>
    </row>
    <row r="27994" spans="2:8" ht="15" customHeight="1" x14ac:dyDescent="0.4">
      <c r="B27994" t="s">
        <v>7</v>
      </c>
      <c r="C27994" t="s">
        <v>4519</v>
      </c>
      <c r="D27994" s="7">
        <f>DATE(2012,5,9)</f>
        <v>41038</v>
      </c>
      <c r="E27994" s="8">
        <f t="shared" si="477"/>
        <v>2012</v>
      </c>
      <c r="F27994" t="s">
        <v>4520</v>
      </c>
      <c r="G27994" s="9">
        <v>100096.01</v>
      </c>
      <c r="H27994" s="8">
        <v>11575</v>
      </c>
    </row>
    <row r="27995" spans="2:8" ht="15" customHeight="1" x14ac:dyDescent="0.4">
      <c r="B27995" t="s">
        <v>7</v>
      </c>
      <c r="C27995" t="s">
        <v>4519</v>
      </c>
      <c r="D27995" s="7">
        <f>DATE(2012,4,12)</f>
        <v>41011</v>
      </c>
      <c r="E27995" s="8">
        <f t="shared" si="477"/>
        <v>2012</v>
      </c>
      <c r="F27995" t="s">
        <v>4520</v>
      </c>
      <c r="G27995" s="9">
        <v>7152.65</v>
      </c>
      <c r="H27995" s="8">
        <v>11531</v>
      </c>
    </row>
    <row r="27996" spans="2:8" ht="15" customHeight="1" x14ac:dyDescent="0.4">
      <c r="B27996" t="s">
        <v>7</v>
      </c>
      <c r="C27996" t="s">
        <v>4519</v>
      </c>
      <c r="D27996" s="7">
        <f>DATE(2012,4,17)</f>
        <v>41016</v>
      </c>
      <c r="E27996" s="8">
        <f t="shared" si="477"/>
        <v>2012</v>
      </c>
      <c r="F27996" t="s">
        <v>4520</v>
      </c>
      <c r="G27996" s="9">
        <v>19122.169999999998</v>
      </c>
      <c r="H27996" s="8">
        <v>11551</v>
      </c>
    </row>
    <row r="27997" spans="2:8" ht="15" customHeight="1" x14ac:dyDescent="0.4">
      <c r="B27997" t="s">
        <v>7</v>
      </c>
      <c r="C27997" t="s">
        <v>4519</v>
      </c>
      <c r="D27997" s="7">
        <f>DATE(2013,8,8)</f>
        <v>41494</v>
      </c>
      <c r="E27997" s="8">
        <f t="shared" si="477"/>
        <v>2013</v>
      </c>
      <c r="F27997" t="s">
        <v>4520</v>
      </c>
      <c r="G27997" s="9">
        <v>5469.2</v>
      </c>
      <c r="H27997" s="8">
        <v>12599</v>
      </c>
    </row>
    <row r="27998" spans="2:8" ht="15" customHeight="1" x14ac:dyDescent="0.4">
      <c r="B27998" t="s">
        <v>7</v>
      </c>
      <c r="C27998" t="s">
        <v>4519</v>
      </c>
      <c r="D27998" s="7">
        <f>DATE(2014,8,5)</f>
        <v>41856</v>
      </c>
      <c r="E27998" s="8">
        <f t="shared" si="477"/>
        <v>2014</v>
      </c>
      <c r="F27998" t="s">
        <v>4520</v>
      </c>
      <c r="G27998" s="9">
        <v>10443.11</v>
      </c>
      <c r="H27998" s="8">
        <v>13276</v>
      </c>
    </row>
    <row r="27999" spans="2:8" ht="15" customHeight="1" x14ac:dyDescent="0.4">
      <c r="B27999" t="s">
        <v>7</v>
      </c>
      <c r="C27999" t="s">
        <v>4519</v>
      </c>
      <c r="D27999" s="7">
        <f>DATE(2014,10,17)</f>
        <v>41929</v>
      </c>
      <c r="E27999" s="8">
        <f t="shared" si="477"/>
        <v>2014</v>
      </c>
      <c r="F27999" t="s">
        <v>4520</v>
      </c>
      <c r="G27999" s="9">
        <v>6804.38</v>
      </c>
      <c r="H27999" s="8">
        <v>13503</v>
      </c>
    </row>
    <row r="28000" spans="2:8" ht="15" customHeight="1" x14ac:dyDescent="0.4">
      <c r="B28000" s="3" t="s">
        <v>7</v>
      </c>
      <c r="C28000" s="3" t="s">
        <v>4521</v>
      </c>
      <c r="D28000" s="4">
        <f>DATE(2006,3,6)</f>
        <v>38782</v>
      </c>
      <c r="E28000" s="5">
        <f t="shared" si="477"/>
        <v>2006</v>
      </c>
      <c r="F28000" s="3" t="s">
        <v>4522</v>
      </c>
      <c r="G28000" s="6">
        <v>491.7</v>
      </c>
      <c r="H28000" s="5">
        <v>6165</v>
      </c>
    </row>
    <row r="28001" spans="2:8" ht="15" customHeight="1" x14ac:dyDescent="0.4">
      <c r="B28001" s="3" t="s">
        <v>7</v>
      </c>
      <c r="C28001" s="3" t="s">
        <v>4521</v>
      </c>
      <c r="D28001" s="4">
        <f>DATE(2006,3,20)</f>
        <v>38796</v>
      </c>
      <c r="E28001" s="5">
        <f t="shared" si="477"/>
        <v>2006</v>
      </c>
      <c r="F28001" s="3" t="s">
        <v>4522</v>
      </c>
      <c r="G28001" s="6">
        <v>557.58000000000004</v>
      </c>
      <c r="H28001" s="5">
        <v>6340</v>
      </c>
    </row>
    <row r="28002" spans="2:8" ht="15" customHeight="1" x14ac:dyDescent="0.4">
      <c r="B28002" t="s">
        <v>7</v>
      </c>
      <c r="C28002" t="s">
        <v>4523</v>
      </c>
      <c r="D28002" s="7">
        <f>DATE(2015,11,2)</f>
        <v>42310</v>
      </c>
      <c r="E28002" s="8">
        <f t="shared" si="477"/>
        <v>2015</v>
      </c>
      <c r="F28002" t="s">
        <v>4524</v>
      </c>
      <c r="G28002" s="9">
        <v>16704</v>
      </c>
      <c r="H28002" s="8">
        <v>21431</v>
      </c>
    </row>
    <row r="28003" spans="2:8" ht="15" customHeight="1" x14ac:dyDescent="0.4">
      <c r="B28003" t="s">
        <v>7</v>
      </c>
      <c r="C28003" t="s">
        <v>4523</v>
      </c>
      <c r="D28003" s="7">
        <f>DATE(2015,11,9)</f>
        <v>42317</v>
      </c>
      <c r="E28003" s="8">
        <f t="shared" si="477"/>
        <v>2015</v>
      </c>
      <c r="F28003" t="s">
        <v>4524</v>
      </c>
      <c r="G28003" s="9">
        <v>16704</v>
      </c>
      <c r="H28003" s="8">
        <v>21538</v>
      </c>
    </row>
    <row r="28004" spans="2:8" ht="15" customHeight="1" x14ac:dyDescent="0.4">
      <c r="B28004" t="s">
        <v>7</v>
      </c>
      <c r="C28004" t="s">
        <v>4525</v>
      </c>
      <c r="D28004" s="7">
        <f>DATE(2015,9,24)</f>
        <v>42271</v>
      </c>
      <c r="E28004" s="8">
        <f t="shared" si="477"/>
        <v>2015</v>
      </c>
      <c r="F28004" t="s">
        <v>4526</v>
      </c>
      <c r="G28004" s="9">
        <v>28453.05</v>
      </c>
      <c r="H28004" s="8">
        <v>21133</v>
      </c>
    </row>
    <row r="28005" spans="2:8" ht="15" customHeight="1" x14ac:dyDescent="0.4">
      <c r="B28005" t="s">
        <v>7</v>
      </c>
      <c r="C28005" t="s">
        <v>4525</v>
      </c>
      <c r="D28005" s="7">
        <f>DATE(2016,3,9)</f>
        <v>42438</v>
      </c>
      <c r="E28005" s="8">
        <f t="shared" si="477"/>
        <v>2016</v>
      </c>
      <c r="F28005" t="s">
        <v>4526</v>
      </c>
      <c r="G28005" s="9">
        <v>148050.93</v>
      </c>
      <c r="H28005" s="8">
        <v>21960</v>
      </c>
    </row>
    <row r="28006" spans="2:8" ht="15" customHeight="1" x14ac:dyDescent="0.4">
      <c r="B28006" t="s">
        <v>7</v>
      </c>
      <c r="C28006" t="s">
        <v>4525</v>
      </c>
      <c r="D28006" s="7">
        <f>DATE(2016,4,13)</f>
        <v>42473</v>
      </c>
      <c r="E28006" s="8">
        <f t="shared" si="477"/>
        <v>2016</v>
      </c>
      <c r="F28006" t="s">
        <v>4526</v>
      </c>
      <c r="G28006" s="9">
        <v>6257.43</v>
      </c>
      <c r="H28006" s="8">
        <v>22626</v>
      </c>
    </row>
    <row r="28007" spans="2:8" ht="15" customHeight="1" x14ac:dyDescent="0.4">
      <c r="B28007" t="s">
        <v>7</v>
      </c>
      <c r="C28007" t="s">
        <v>4527</v>
      </c>
      <c r="D28007" s="7">
        <f>DATE(2006,3,2)</f>
        <v>38778</v>
      </c>
      <c r="E28007" s="8">
        <f t="shared" si="477"/>
        <v>2006</v>
      </c>
      <c r="F28007" t="s">
        <v>4528</v>
      </c>
      <c r="G28007" s="9">
        <v>3409.43</v>
      </c>
      <c r="H28007" s="8">
        <v>4202</v>
      </c>
    </row>
    <row r="28008" spans="2:8" ht="15" customHeight="1" x14ac:dyDescent="0.4">
      <c r="B28008" t="s">
        <v>7</v>
      </c>
      <c r="C28008" t="s">
        <v>4527</v>
      </c>
      <c r="D28008" s="7">
        <f>DATE(2006,4,21)</f>
        <v>38828</v>
      </c>
      <c r="E28008" s="8">
        <f t="shared" si="477"/>
        <v>2006</v>
      </c>
      <c r="F28008" t="s">
        <v>4528</v>
      </c>
      <c r="G28008" s="9">
        <v>9220.64</v>
      </c>
      <c r="H28008" s="8">
        <v>4115</v>
      </c>
    </row>
    <row r="28009" spans="2:8" ht="15" customHeight="1" x14ac:dyDescent="0.4">
      <c r="B28009" t="s">
        <v>7</v>
      </c>
      <c r="C28009" t="s">
        <v>4527</v>
      </c>
      <c r="D28009" s="7">
        <f>DATE(2006,4,22)</f>
        <v>38829</v>
      </c>
      <c r="E28009" s="8">
        <f t="shared" si="477"/>
        <v>2006</v>
      </c>
      <c r="F28009" t="s">
        <v>4528</v>
      </c>
      <c r="G28009" s="9">
        <v>4736.25</v>
      </c>
      <c r="H28009" s="8">
        <v>3886</v>
      </c>
    </row>
    <row r="28010" spans="2:8" ht="15" customHeight="1" x14ac:dyDescent="0.4">
      <c r="B28010" t="s">
        <v>7</v>
      </c>
      <c r="C28010" t="s">
        <v>4527</v>
      </c>
      <c r="D28010" s="7">
        <f>DATE(2006,4,28)</f>
        <v>38835</v>
      </c>
      <c r="E28010" s="8">
        <f t="shared" si="477"/>
        <v>2006</v>
      </c>
      <c r="F28010" t="s">
        <v>4528</v>
      </c>
      <c r="G28010" s="9">
        <v>7875.24</v>
      </c>
      <c r="H28010" s="8">
        <v>4540</v>
      </c>
    </row>
    <row r="28011" spans="2:8" ht="15" customHeight="1" x14ac:dyDescent="0.4">
      <c r="B28011" t="s">
        <v>7</v>
      </c>
      <c r="C28011" t="s">
        <v>4527</v>
      </c>
      <c r="D28011" s="7">
        <f>DATE(2007,2,14)</f>
        <v>39127</v>
      </c>
      <c r="E28011" s="8">
        <f t="shared" si="477"/>
        <v>2007</v>
      </c>
      <c r="F28011" t="s">
        <v>4528</v>
      </c>
      <c r="G28011" s="9">
        <v>1318.7</v>
      </c>
      <c r="H28011" s="8">
        <v>5247</v>
      </c>
    </row>
    <row r="28012" spans="2:8" ht="15" customHeight="1" x14ac:dyDescent="0.4">
      <c r="B28012" t="s">
        <v>7</v>
      </c>
      <c r="C28012" t="s">
        <v>4527</v>
      </c>
      <c r="D28012" s="7">
        <f>DATE(2007,2,15)</f>
        <v>39128</v>
      </c>
      <c r="E28012" s="8">
        <f t="shared" si="477"/>
        <v>2007</v>
      </c>
      <c r="F28012" t="s">
        <v>4528</v>
      </c>
      <c r="G28012" s="9">
        <v>1921.75</v>
      </c>
      <c r="H28012" s="8">
        <v>5248</v>
      </c>
    </row>
    <row r="28013" spans="2:8" ht="15" customHeight="1" x14ac:dyDescent="0.4">
      <c r="B28013" t="s">
        <v>7</v>
      </c>
      <c r="C28013" t="s">
        <v>4527</v>
      </c>
      <c r="D28013" s="7">
        <f>DATE(2007,2,16)</f>
        <v>39129</v>
      </c>
      <c r="E28013" s="8">
        <f t="shared" si="477"/>
        <v>2007</v>
      </c>
      <c r="F28013" t="s">
        <v>4528</v>
      </c>
      <c r="G28013" s="9">
        <v>8500</v>
      </c>
      <c r="H28013" s="8">
        <v>5488</v>
      </c>
    </row>
    <row r="28014" spans="2:8" ht="15" customHeight="1" x14ac:dyDescent="0.4">
      <c r="B28014" s="3" t="s">
        <v>7</v>
      </c>
      <c r="C28014" s="3" t="s">
        <v>4527</v>
      </c>
      <c r="D28014" s="4">
        <f>DATE(2006,4,24)</f>
        <v>38831</v>
      </c>
      <c r="E28014" s="5">
        <f t="shared" si="477"/>
        <v>2006</v>
      </c>
      <c r="F28014" s="3" t="s">
        <v>4528</v>
      </c>
      <c r="G28014" s="6">
        <v>2763.92</v>
      </c>
      <c r="H28014" s="5">
        <v>6610</v>
      </c>
    </row>
    <row r="28015" spans="2:8" ht="15" customHeight="1" x14ac:dyDescent="0.4">
      <c r="B28015" s="3" t="s">
        <v>7</v>
      </c>
      <c r="C28015" s="3" t="s">
        <v>4527</v>
      </c>
      <c r="D28015" s="4">
        <f>DATE(2006,4,25)</f>
        <v>38832</v>
      </c>
      <c r="E28015" s="5">
        <f t="shared" si="477"/>
        <v>2006</v>
      </c>
      <c r="F28015" s="3" t="s">
        <v>4528</v>
      </c>
      <c r="G28015" s="6">
        <v>701.81</v>
      </c>
      <c r="H28015" s="5">
        <v>6611</v>
      </c>
    </row>
    <row r="28016" spans="2:8" ht="15" customHeight="1" x14ac:dyDescent="0.4">
      <c r="B28016" s="3" t="s">
        <v>7</v>
      </c>
      <c r="C28016" s="3" t="s">
        <v>4527</v>
      </c>
      <c r="D28016" s="4">
        <f>DATE(2006,4,27)</f>
        <v>38834</v>
      </c>
      <c r="E28016" s="5">
        <f t="shared" si="477"/>
        <v>2006</v>
      </c>
      <c r="F28016" s="3" t="s">
        <v>4528</v>
      </c>
      <c r="G28016" s="6">
        <v>1384.61</v>
      </c>
      <c r="H28016" s="5">
        <v>6630</v>
      </c>
    </row>
    <row r="28017" spans="2:8" ht="15" customHeight="1" x14ac:dyDescent="0.4">
      <c r="B28017" t="s">
        <v>7</v>
      </c>
      <c r="C28017" t="s">
        <v>4527</v>
      </c>
      <c r="D28017" s="7">
        <f>DATE(2017,8,30)</f>
        <v>42977</v>
      </c>
      <c r="E28017" s="8">
        <f t="shared" si="477"/>
        <v>2017</v>
      </c>
      <c r="F28017" t="s">
        <v>4529</v>
      </c>
      <c r="G28017" s="9">
        <v>14146.95</v>
      </c>
      <c r="H28017" s="8">
        <v>25139</v>
      </c>
    </row>
    <row r="28018" spans="2:8" ht="15" customHeight="1" x14ac:dyDescent="0.4">
      <c r="B28018" t="s">
        <v>7</v>
      </c>
      <c r="C28018" t="s">
        <v>4527</v>
      </c>
      <c r="D28018" s="7">
        <f>DATE(2019,3,12)</f>
        <v>43536</v>
      </c>
      <c r="E28018" s="8">
        <f t="shared" si="477"/>
        <v>2019</v>
      </c>
      <c r="F28018" t="s">
        <v>4529</v>
      </c>
      <c r="G28018" s="9">
        <v>13055</v>
      </c>
      <c r="H28018" s="8">
        <v>28190</v>
      </c>
    </row>
    <row r="28019" spans="2:8" ht="15" customHeight="1" x14ac:dyDescent="0.4">
      <c r="B28019" t="s">
        <v>7</v>
      </c>
      <c r="C28019" t="s">
        <v>4527</v>
      </c>
      <c r="D28019" s="7">
        <f>DATE(2017,8,30)</f>
        <v>42977</v>
      </c>
      <c r="E28019" s="8">
        <f t="shared" si="477"/>
        <v>2017</v>
      </c>
      <c r="F28019" t="s">
        <v>4529</v>
      </c>
      <c r="G28019" s="9">
        <v>4895</v>
      </c>
      <c r="H28019" s="8">
        <v>25140</v>
      </c>
    </row>
    <row r="28020" spans="2:8" ht="15" customHeight="1" x14ac:dyDescent="0.4">
      <c r="B28020" t="s">
        <v>7</v>
      </c>
      <c r="C28020" t="s">
        <v>4527</v>
      </c>
      <c r="D28020" s="7">
        <f>DATE(2019,3,13)</f>
        <v>43537</v>
      </c>
      <c r="E28020" s="8">
        <f t="shared" si="477"/>
        <v>2019</v>
      </c>
      <c r="F28020" t="s">
        <v>4529</v>
      </c>
      <c r="G28020" s="9">
        <v>5430</v>
      </c>
      <c r="H28020" s="8">
        <v>28191</v>
      </c>
    </row>
    <row r="28021" spans="2:8" ht="15" customHeight="1" x14ac:dyDescent="0.4">
      <c r="B28021" t="s">
        <v>7</v>
      </c>
      <c r="C28021" t="s">
        <v>4527</v>
      </c>
      <c r="D28021" s="7">
        <f>DATE(2016,5,18)</f>
        <v>42508</v>
      </c>
      <c r="E28021" s="8">
        <f t="shared" si="477"/>
        <v>2016</v>
      </c>
      <c r="F28021" t="s">
        <v>4529</v>
      </c>
      <c r="G28021" s="9">
        <v>1385.5</v>
      </c>
      <c r="H28021" s="8">
        <v>22773</v>
      </c>
    </row>
    <row r="28022" spans="2:8" ht="15" customHeight="1" x14ac:dyDescent="0.4">
      <c r="B28022" t="s">
        <v>7</v>
      </c>
      <c r="C28022" t="s">
        <v>4527</v>
      </c>
      <c r="D28022" s="7">
        <f>DATE(2012,1,30)</f>
        <v>40938</v>
      </c>
      <c r="E28022" s="8">
        <f t="shared" si="477"/>
        <v>2012</v>
      </c>
      <c r="F28022" t="s">
        <v>4529</v>
      </c>
      <c r="G28022" s="9">
        <v>4886</v>
      </c>
      <c r="H28022" s="8">
        <v>11227</v>
      </c>
    </row>
    <row r="28023" spans="2:8" ht="15" customHeight="1" x14ac:dyDescent="0.4">
      <c r="B28023" t="s">
        <v>7</v>
      </c>
      <c r="C28023" t="s">
        <v>4527</v>
      </c>
      <c r="D28023" s="7">
        <f>DATE(2010,4,27)</f>
        <v>40295</v>
      </c>
      <c r="E28023" s="8">
        <f t="shared" si="477"/>
        <v>2010</v>
      </c>
      <c r="F28023" t="s">
        <v>4529</v>
      </c>
      <c r="G28023" s="9">
        <v>9593</v>
      </c>
      <c r="H28023" s="8">
        <v>9483</v>
      </c>
    </row>
    <row r="28024" spans="2:8" ht="15" customHeight="1" x14ac:dyDescent="0.4">
      <c r="B28024" t="s">
        <v>7</v>
      </c>
      <c r="C28024" t="s">
        <v>4527</v>
      </c>
      <c r="D28024" s="7">
        <f>DATE(2012,1,30)</f>
        <v>40938</v>
      </c>
      <c r="E28024" s="8">
        <f t="shared" si="477"/>
        <v>2012</v>
      </c>
      <c r="F28024" t="s">
        <v>4529</v>
      </c>
      <c r="G28024" s="9">
        <v>9974</v>
      </c>
      <c r="H28024" s="8">
        <v>11226</v>
      </c>
    </row>
    <row r="28025" spans="2:8" ht="15" customHeight="1" x14ac:dyDescent="0.4">
      <c r="B28025" s="3" t="s">
        <v>7</v>
      </c>
      <c r="C28025" s="3" t="s">
        <v>4527</v>
      </c>
      <c r="D28025" s="4">
        <f>DATE(2012,2,2)</f>
        <v>40941</v>
      </c>
      <c r="E28025" s="5">
        <f t="shared" si="477"/>
        <v>2012</v>
      </c>
      <c r="F28025" s="3" t="s">
        <v>4529</v>
      </c>
      <c r="G28025" s="6">
        <v>5413.97</v>
      </c>
      <c r="H28025" s="5">
        <v>4784</v>
      </c>
    </row>
    <row r="28026" spans="2:8" ht="15" customHeight="1" x14ac:dyDescent="0.4">
      <c r="B28026" t="s">
        <v>7</v>
      </c>
      <c r="C28026" t="s">
        <v>4530</v>
      </c>
      <c r="D28026" s="7">
        <f>DATE(2016,10,31)</f>
        <v>42674</v>
      </c>
      <c r="E28026" s="8">
        <f t="shared" si="477"/>
        <v>2016</v>
      </c>
      <c r="F28026" t="s">
        <v>4531</v>
      </c>
      <c r="G28026" s="9">
        <v>18391.349999999999</v>
      </c>
      <c r="H28026" s="8">
        <v>23483</v>
      </c>
    </row>
    <row r="28027" spans="2:8" ht="15" customHeight="1" x14ac:dyDescent="0.4">
      <c r="B28027" t="s">
        <v>7</v>
      </c>
      <c r="C28027" t="s">
        <v>4530</v>
      </c>
      <c r="D28027" s="7">
        <f>DATE(2017,9,21)</f>
        <v>42999</v>
      </c>
      <c r="E28027" s="8">
        <f t="shared" si="477"/>
        <v>2017</v>
      </c>
      <c r="F28027" t="s">
        <v>4531</v>
      </c>
      <c r="G28027" s="9">
        <v>18062.27</v>
      </c>
      <c r="H28027" s="8">
        <v>25590</v>
      </c>
    </row>
    <row r="28028" spans="2:8" ht="15" customHeight="1" x14ac:dyDescent="0.4">
      <c r="B28028" t="s">
        <v>7</v>
      </c>
      <c r="C28028" t="s">
        <v>4530</v>
      </c>
      <c r="D28028" s="7">
        <f>DATE(2019,3,15)</f>
        <v>43539</v>
      </c>
      <c r="E28028" s="8">
        <f t="shared" si="477"/>
        <v>2019</v>
      </c>
      <c r="F28028" t="s">
        <v>4531</v>
      </c>
      <c r="G28028" s="9">
        <v>18116.87</v>
      </c>
      <c r="H28028" s="8">
        <v>28576</v>
      </c>
    </row>
    <row r="28029" spans="2:8" ht="15" customHeight="1" x14ac:dyDescent="0.4">
      <c r="B28029" t="s">
        <v>7</v>
      </c>
      <c r="C28029" t="s">
        <v>4530</v>
      </c>
      <c r="D28029" s="7">
        <f>DATE(2015,9,29)</f>
        <v>42276</v>
      </c>
      <c r="E28029" s="8">
        <f t="shared" si="477"/>
        <v>2015</v>
      </c>
      <c r="F28029" t="s">
        <v>4531</v>
      </c>
      <c r="G28029" s="9">
        <v>359.22</v>
      </c>
      <c r="H28029" s="8">
        <v>21282</v>
      </c>
    </row>
    <row r="28030" spans="2:8" ht="15" customHeight="1" x14ac:dyDescent="0.4">
      <c r="B28030" t="s">
        <v>7</v>
      </c>
      <c r="C28030" t="s">
        <v>4530</v>
      </c>
      <c r="D28030" s="7">
        <f>DATE(2018,7,25)</f>
        <v>43306</v>
      </c>
      <c r="E28030" s="8">
        <f t="shared" si="477"/>
        <v>2018</v>
      </c>
      <c r="F28030" t="s">
        <v>4531</v>
      </c>
      <c r="G28030" s="9">
        <v>10361.459999999999</v>
      </c>
      <c r="H28030" s="8">
        <v>27370</v>
      </c>
    </row>
    <row r="28031" spans="2:8" ht="15" customHeight="1" x14ac:dyDescent="0.4">
      <c r="B28031" t="s">
        <v>7</v>
      </c>
      <c r="C28031" t="s">
        <v>4530</v>
      </c>
      <c r="D28031" s="7">
        <f>DATE(2015,10,9)</f>
        <v>42286</v>
      </c>
      <c r="E28031" s="8">
        <f t="shared" si="477"/>
        <v>2015</v>
      </c>
      <c r="F28031" t="s">
        <v>4531</v>
      </c>
      <c r="G28031" s="9">
        <v>42007.73</v>
      </c>
      <c r="H28031" s="8">
        <v>21302</v>
      </c>
    </row>
    <row r="28032" spans="2:8" ht="15" customHeight="1" x14ac:dyDescent="0.4">
      <c r="B28032" t="s">
        <v>7</v>
      </c>
      <c r="C28032" t="s">
        <v>4530</v>
      </c>
      <c r="D28032" s="7">
        <f>DATE(2010,1,25)</f>
        <v>40203</v>
      </c>
      <c r="E28032" s="8">
        <f t="shared" si="477"/>
        <v>2010</v>
      </c>
      <c r="F28032" t="s">
        <v>4531</v>
      </c>
      <c r="G28032" s="9">
        <v>17759.53</v>
      </c>
      <c r="H28032" s="8">
        <v>9333</v>
      </c>
    </row>
    <row r="28033" spans="2:8" ht="15" customHeight="1" x14ac:dyDescent="0.4">
      <c r="B28033" t="s">
        <v>7</v>
      </c>
      <c r="C28033" t="s">
        <v>4530</v>
      </c>
      <c r="D28033" s="7">
        <f>DATE(2010,5,17)</f>
        <v>40315</v>
      </c>
      <c r="E28033" s="8">
        <f t="shared" si="477"/>
        <v>2010</v>
      </c>
      <c r="F28033" t="s">
        <v>4531</v>
      </c>
      <c r="G28033" s="9">
        <v>20021.71</v>
      </c>
      <c r="H28033" s="8">
        <v>9833</v>
      </c>
    </row>
    <row r="28034" spans="2:8" ht="15" customHeight="1" x14ac:dyDescent="0.4">
      <c r="B28034" t="s">
        <v>7</v>
      </c>
      <c r="C28034" t="s">
        <v>4530</v>
      </c>
      <c r="D28034" s="7">
        <f>DATE(2010,10,28)</f>
        <v>40479</v>
      </c>
      <c r="E28034" s="8">
        <f t="shared" si="477"/>
        <v>2010</v>
      </c>
      <c r="F28034" t="s">
        <v>4531</v>
      </c>
      <c r="G28034" s="9">
        <v>19498.07</v>
      </c>
      <c r="H28034" s="8">
        <v>10122</v>
      </c>
    </row>
    <row r="28035" spans="2:8" ht="15" customHeight="1" x14ac:dyDescent="0.4">
      <c r="B28035" t="s">
        <v>7</v>
      </c>
      <c r="C28035" t="s">
        <v>4530</v>
      </c>
      <c r="D28035" s="7">
        <f>DATE(2011,3,9)</f>
        <v>40611</v>
      </c>
      <c r="E28035" s="8">
        <f t="shared" ref="E28035:E28098" si="478">YEAR(D28035)</f>
        <v>2011</v>
      </c>
      <c r="F28035" t="s">
        <v>4531</v>
      </c>
      <c r="G28035" s="9">
        <v>18505.54</v>
      </c>
      <c r="H28035" s="8">
        <v>10532</v>
      </c>
    </row>
    <row r="28036" spans="2:8" ht="15" customHeight="1" x14ac:dyDescent="0.4">
      <c r="B28036" t="s">
        <v>7</v>
      </c>
      <c r="C28036" t="s">
        <v>4530</v>
      </c>
      <c r="D28036" s="7">
        <f>DATE(2011,11,11)</f>
        <v>40858</v>
      </c>
      <c r="E28036" s="8">
        <f t="shared" si="478"/>
        <v>2011</v>
      </c>
      <c r="F28036" t="s">
        <v>4531</v>
      </c>
      <c r="G28036" s="9">
        <v>18553.7</v>
      </c>
      <c r="H28036" s="8">
        <v>11046</v>
      </c>
    </row>
    <row r="28037" spans="2:8" ht="15" customHeight="1" x14ac:dyDescent="0.4">
      <c r="B28037" t="s">
        <v>7</v>
      </c>
      <c r="C28037" t="s">
        <v>4530</v>
      </c>
      <c r="D28037" s="7">
        <f>DATE(2014,2,24)</f>
        <v>41694</v>
      </c>
      <c r="E28037" s="8">
        <f t="shared" si="478"/>
        <v>2014</v>
      </c>
      <c r="F28037" t="s">
        <v>4531</v>
      </c>
      <c r="G28037" s="9">
        <v>6360.98</v>
      </c>
      <c r="H28037" s="8">
        <v>12958</v>
      </c>
    </row>
    <row r="28038" spans="2:8" ht="15" customHeight="1" x14ac:dyDescent="0.4">
      <c r="B28038" t="s">
        <v>7</v>
      </c>
      <c r="C28038" t="s">
        <v>4532</v>
      </c>
      <c r="D28038" s="7">
        <f>DATE(2015,2,26)</f>
        <v>42061</v>
      </c>
      <c r="E28038" s="8">
        <f t="shared" si="478"/>
        <v>2015</v>
      </c>
      <c r="F28038" t="s">
        <v>4533</v>
      </c>
      <c r="G28038" s="9">
        <v>2775.44</v>
      </c>
      <c r="H28038" s="8">
        <v>20046</v>
      </c>
    </row>
    <row r="28039" spans="2:8" ht="15" customHeight="1" x14ac:dyDescent="0.4">
      <c r="B28039" t="s">
        <v>7</v>
      </c>
      <c r="C28039" t="s">
        <v>4532</v>
      </c>
      <c r="D28039" s="7">
        <f>DATE(2015,3,3)</f>
        <v>42066</v>
      </c>
      <c r="E28039" s="8">
        <f t="shared" si="478"/>
        <v>2015</v>
      </c>
      <c r="F28039" t="s">
        <v>4533</v>
      </c>
      <c r="G28039" s="9">
        <v>3683.79</v>
      </c>
      <c r="H28039" s="8">
        <v>20075</v>
      </c>
    </row>
    <row r="28040" spans="2:8" ht="15" customHeight="1" x14ac:dyDescent="0.4">
      <c r="B28040" t="s">
        <v>7</v>
      </c>
      <c r="C28040" t="s">
        <v>4532</v>
      </c>
      <c r="D28040" s="7">
        <f>DATE(2015,8,3)</f>
        <v>42219</v>
      </c>
      <c r="E28040" s="8">
        <f t="shared" si="478"/>
        <v>2015</v>
      </c>
      <c r="F28040" t="s">
        <v>4533</v>
      </c>
      <c r="G28040" s="9">
        <v>950.68</v>
      </c>
      <c r="H28040" s="8">
        <v>21037</v>
      </c>
    </row>
    <row r="28041" spans="2:8" ht="15" customHeight="1" x14ac:dyDescent="0.4">
      <c r="B28041" t="s">
        <v>7</v>
      </c>
      <c r="C28041" t="s">
        <v>4532</v>
      </c>
      <c r="D28041" s="7">
        <f>DATE(2016,3,30)</f>
        <v>42459</v>
      </c>
      <c r="E28041" s="8">
        <f t="shared" si="478"/>
        <v>2016</v>
      </c>
      <c r="F28041" t="s">
        <v>4533</v>
      </c>
      <c r="G28041" s="9">
        <v>2985</v>
      </c>
      <c r="H28041" s="8">
        <v>22494</v>
      </c>
    </row>
    <row r="28042" spans="2:8" ht="15" customHeight="1" x14ac:dyDescent="0.4">
      <c r="B28042" t="s">
        <v>7</v>
      </c>
      <c r="C28042" t="s">
        <v>4532</v>
      </c>
      <c r="D28042" s="7">
        <f>DATE(2018,11,8)</f>
        <v>43412</v>
      </c>
      <c r="E28042" s="8">
        <f t="shared" si="478"/>
        <v>2018</v>
      </c>
      <c r="F28042" t="s">
        <v>4533</v>
      </c>
      <c r="G28042" s="9">
        <v>188</v>
      </c>
      <c r="H28042" s="8">
        <v>27951</v>
      </c>
    </row>
    <row r="28043" spans="2:8" ht="15" customHeight="1" x14ac:dyDescent="0.4">
      <c r="B28043" t="s">
        <v>7</v>
      </c>
      <c r="C28043" t="s">
        <v>4532</v>
      </c>
      <c r="D28043" s="7">
        <f>DATE(2018,11,9)</f>
        <v>43413</v>
      </c>
      <c r="E28043" s="8">
        <f t="shared" si="478"/>
        <v>2018</v>
      </c>
      <c r="F28043" t="s">
        <v>4533</v>
      </c>
      <c r="G28043" s="9">
        <v>188</v>
      </c>
      <c r="H28043" s="8">
        <v>27959</v>
      </c>
    </row>
    <row r="28044" spans="2:8" ht="15" customHeight="1" x14ac:dyDescent="0.4">
      <c r="B28044" t="s">
        <v>7</v>
      </c>
      <c r="C28044" t="s">
        <v>4534</v>
      </c>
      <c r="D28044" s="7">
        <f>DATE(2015,8,31)</f>
        <v>42247</v>
      </c>
      <c r="E28044" s="8">
        <f t="shared" si="478"/>
        <v>2015</v>
      </c>
      <c r="F28044" t="s">
        <v>4535</v>
      </c>
      <c r="G28044" s="9">
        <v>31954</v>
      </c>
      <c r="H28044" s="8">
        <v>40</v>
      </c>
    </row>
    <row r="28045" spans="2:8" ht="15" customHeight="1" x14ac:dyDescent="0.4">
      <c r="B28045" t="s">
        <v>7</v>
      </c>
      <c r="C28045" t="s">
        <v>4534</v>
      </c>
      <c r="D28045" s="7">
        <f>DATE(2016,11,11)</f>
        <v>42685</v>
      </c>
      <c r="E28045" s="8">
        <f t="shared" si="478"/>
        <v>2016</v>
      </c>
      <c r="F28045" t="s">
        <v>4535</v>
      </c>
      <c r="G28045" s="9">
        <v>53600</v>
      </c>
      <c r="H28045" s="8">
        <v>22221</v>
      </c>
    </row>
    <row r="28046" spans="2:8" ht="15" customHeight="1" x14ac:dyDescent="0.4">
      <c r="B28046" s="3" t="s">
        <v>7</v>
      </c>
      <c r="C28046" s="3" t="s">
        <v>4534</v>
      </c>
      <c r="D28046" s="4">
        <f>DATE(2004,1,9)</f>
        <v>37995</v>
      </c>
      <c r="E28046" s="5">
        <f t="shared" si="478"/>
        <v>2004</v>
      </c>
      <c r="F28046" s="3" t="s">
        <v>4535</v>
      </c>
      <c r="G28046" s="6">
        <v>22401.25</v>
      </c>
      <c r="H28046" s="5">
        <v>1373</v>
      </c>
    </row>
    <row r="28047" spans="2:8" ht="15" customHeight="1" x14ac:dyDescent="0.4">
      <c r="B28047" s="3" t="s">
        <v>7</v>
      </c>
      <c r="C28047" s="3" t="s">
        <v>4534</v>
      </c>
      <c r="D28047" s="4">
        <f>DATE(2004,12,2)</f>
        <v>38323</v>
      </c>
      <c r="E28047" s="5">
        <f t="shared" si="478"/>
        <v>2004</v>
      </c>
      <c r="F28047" s="3" t="s">
        <v>4535</v>
      </c>
      <c r="G28047" s="6">
        <v>14160.26</v>
      </c>
      <c r="H28047" s="5">
        <v>3499</v>
      </c>
    </row>
    <row r="28048" spans="2:8" ht="15" customHeight="1" x14ac:dyDescent="0.4">
      <c r="B28048" s="3" t="s">
        <v>7</v>
      </c>
      <c r="C28048" s="3" t="s">
        <v>4534</v>
      </c>
      <c r="D28048" s="4">
        <f>DATE(2005,5,24)</f>
        <v>38496</v>
      </c>
      <c r="E28048" s="5">
        <f t="shared" si="478"/>
        <v>2005</v>
      </c>
      <c r="F28048" s="3" t="s">
        <v>4535</v>
      </c>
      <c r="G28048" s="6">
        <v>21605.06</v>
      </c>
      <c r="H28048" s="5">
        <v>3863</v>
      </c>
    </row>
    <row r="28049" spans="2:8" ht="15" customHeight="1" x14ac:dyDescent="0.4">
      <c r="B28049" s="3" t="s">
        <v>7</v>
      </c>
      <c r="C28049" s="3" t="s">
        <v>4534</v>
      </c>
      <c r="D28049" s="4">
        <f>DATE(2006,6,14)</f>
        <v>38882</v>
      </c>
      <c r="E28049" s="5">
        <f t="shared" si="478"/>
        <v>2006</v>
      </c>
      <c r="F28049" s="3" t="s">
        <v>4535</v>
      </c>
      <c r="G28049" s="6">
        <v>31032</v>
      </c>
      <c r="H28049" s="5">
        <v>6686</v>
      </c>
    </row>
    <row r="28050" spans="2:8" ht="15" customHeight="1" x14ac:dyDescent="0.4">
      <c r="B28050" s="3" t="s">
        <v>7</v>
      </c>
      <c r="C28050" s="3" t="s">
        <v>4534</v>
      </c>
      <c r="D28050" s="4">
        <f>DATE(2006,11,28)</f>
        <v>39049</v>
      </c>
      <c r="E28050" s="5">
        <f t="shared" si="478"/>
        <v>2006</v>
      </c>
      <c r="F28050" s="3" t="s">
        <v>4535</v>
      </c>
      <c r="G28050" s="6">
        <v>15012.45</v>
      </c>
      <c r="H28050" s="5">
        <v>6769</v>
      </c>
    </row>
    <row r="28051" spans="2:8" ht="15" customHeight="1" x14ac:dyDescent="0.4">
      <c r="B28051" s="3" t="s">
        <v>7</v>
      </c>
      <c r="C28051" s="3" t="s">
        <v>4534</v>
      </c>
      <c r="D28051" s="4">
        <f>DATE(2007,12,28)</f>
        <v>39444</v>
      </c>
      <c r="E28051" s="5">
        <f t="shared" si="478"/>
        <v>2007</v>
      </c>
      <c r="F28051" s="3" t="s">
        <v>4535</v>
      </c>
      <c r="G28051" s="6">
        <v>25200</v>
      </c>
      <c r="H28051" s="5">
        <v>8638</v>
      </c>
    </row>
    <row r="28052" spans="2:8" ht="15" customHeight="1" x14ac:dyDescent="0.4">
      <c r="B28052" s="3" t="s">
        <v>7</v>
      </c>
      <c r="C28052" s="3" t="s">
        <v>4534</v>
      </c>
      <c r="D28052" s="4">
        <f>DATE(2009,6,1)</f>
        <v>39965</v>
      </c>
      <c r="E28052" s="5">
        <f t="shared" si="478"/>
        <v>2009</v>
      </c>
      <c r="F28052" s="3" t="s">
        <v>4535</v>
      </c>
      <c r="G28052" s="6">
        <v>25900</v>
      </c>
      <c r="H28052" s="5">
        <v>12240</v>
      </c>
    </row>
    <row r="28053" spans="2:8" ht="15" customHeight="1" x14ac:dyDescent="0.4">
      <c r="B28053" s="3" t="s">
        <v>7</v>
      </c>
      <c r="C28053" s="3" t="s">
        <v>4534</v>
      </c>
      <c r="D28053" s="4">
        <f>DATE(2009,11,3)</f>
        <v>40120</v>
      </c>
      <c r="E28053" s="5">
        <f t="shared" si="478"/>
        <v>2009</v>
      </c>
      <c r="F28053" s="3" t="s">
        <v>4535</v>
      </c>
      <c r="G28053" s="6">
        <v>34815</v>
      </c>
      <c r="H28053" s="5">
        <v>12571</v>
      </c>
    </row>
    <row r="28054" spans="2:8" ht="15" customHeight="1" x14ac:dyDescent="0.4">
      <c r="B28054" s="3" t="s">
        <v>7</v>
      </c>
      <c r="C28054" s="3" t="s">
        <v>4534</v>
      </c>
      <c r="D28054" s="4">
        <f>DATE(2011,3,31)</f>
        <v>40633</v>
      </c>
      <c r="E28054" s="5">
        <f t="shared" si="478"/>
        <v>2011</v>
      </c>
      <c r="F28054" s="3" t="s">
        <v>4535</v>
      </c>
      <c r="G28054" s="6">
        <v>26800</v>
      </c>
      <c r="H28054" s="5">
        <v>14437</v>
      </c>
    </row>
    <row r="28055" spans="2:8" ht="15" customHeight="1" x14ac:dyDescent="0.4">
      <c r="B28055" s="3" t="s">
        <v>7</v>
      </c>
      <c r="C28055" s="3" t="s">
        <v>4534</v>
      </c>
      <c r="D28055" s="4">
        <f>DATE(2011,8,18)</f>
        <v>40773</v>
      </c>
      <c r="E28055" s="5">
        <f t="shared" si="478"/>
        <v>2011</v>
      </c>
      <c r="F28055" s="3" t="s">
        <v>4535</v>
      </c>
      <c r="G28055" s="6">
        <v>14797.86</v>
      </c>
      <c r="H28055" s="5">
        <v>14697</v>
      </c>
    </row>
    <row r="28056" spans="2:8" ht="15" customHeight="1" x14ac:dyDescent="0.4">
      <c r="B28056" s="3" t="s">
        <v>7</v>
      </c>
      <c r="C28056" s="3" t="s">
        <v>4534</v>
      </c>
      <c r="D28056" s="4">
        <f>DATE(2011,10,6)</f>
        <v>40822</v>
      </c>
      <c r="E28056" s="5">
        <f t="shared" si="478"/>
        <v>2011</v>
      </c>
      <c r="F28056" s="3" t="s">
        <v>4535</v>
      </c>
      <c r="G28056" s="6">
        <v>27300</v>
      </c>
      <c r="H28056" s="5">
        <v>15565</v>
      </c>
    </row>
    <row r="28057" spans="2:8" ht="15" customHeight="1" x14ac:dyDescent="0.4">
      <c r="B28057" s="3" t="s">
        <v>7</v>
      </c>
      <c r="C28057" s="3" t="s">
        <v>4534</v>
      </c>
      <c r="D28057" s="4">
        <f>DATE(2013,6,5)</f>
        <v>41430</v>
      </c>
      <c r="E28057" s="5">
        <f t="shared" si="478"/>
        <v>2013</v>
      </c>
      <c r="F28057" s="3" t="s">
        <v>4535</v>
      </c>
      <c r="G28057" s="6">
        <v>27300</v>
      </c>
      <c r="H28057" s="5">
        <v>17900</v>
      </c>
    </row>
    <row r="28058" spans="2:8" ht="15" customHeight="1" x14ac:dyDescent="0.4">
      <c r="B28058" s="3" t="s">
        <v>7</v>
      </c>
      <c r="C28058" s="3" t="s">
        <v>4534</v>
      </c>
      <c r="D28058" s="4">
        <f>DATE(2014,2,7)</f>
        <v>41677</v>
      </c>
      <c r="E28058" s="5">
        <f t="shared" si="478"/>
        <v>2014</v>
      </c>
      <c r="F28058" s="3" t="s">
        <v>4535</v>
      </c>
      <c r="G28058" s="6">
        <v>27500</v>
      </c>
      <c r="H28058" s="5">
        <v>18409</v>
      </c>
    </row>
    <row r="28059" spans="2:8" ht="15" customHeight="1" x14ac:dyDescent="0.4">
      <c r="B28059" s="3" t="s">
        <v>7</v>
      </c>
      <c r="C28059" s="3" t="s">
        <v>4534</v>
      </c>
      <c r="D28059" s="4">
        <f>DATE(2014,9,30)</f>
        <v>41912</v>
      </c>
      <c r="E28059" s="5">
        <f t="shared" si="478"/>
        <v>2014</v>
      </c>
      <c r="F28059" s="3" t="s">
        <v>4535</v>
      </c>
      <c r="G28059" s="6">
        <v>18800</v>
      </c>
      <c r="H28059" s="5">
        <v>19584</v>
      </c>
    </row>
    <row r="28060" spans="2:8" ht="15" customHeight="1" x14ac:dyDescent="0.4">
      <c r="B28060" t="s">
        <v>7</v>
      </c>
      <c r="C28060" t="s">
        <v>4536</v>
      </c>
      <c r="D28060" s="7">
        <f>DATE(2016,3,18)</f>
        <v>42447</v>
      </c>
      <c r="E28060" s="8">
        <f t="shared" si="478"/>
        <v>2016</v>
      </c>
      <c r="F28060" t="s">
        <v>4537</v>
      </c>
      <c r="G28060" s="9">
        <v>10802.43</v>
      </c>
      <c r="H28060" s="8">
        <v>22257</v>
      </c>
    </row>
    <row r="28061" spans="2:8" ht="15" customHeight="1" x14ac:dyDescent="0.4">
      <c r="B28061" t="s">
        <v>7</v>
      </c>
      <c r="C28061" t="s">
        <v>4536</v>
      </c>
      <c r="D28061" s="7">
        <f>DATE(2017,2,3)</f>
        <v>42769</v>
      </c>
      <c r="E28061" s="8">
        <f t="shared" si="478"/>
        <v>2017</v>
      </c>
      <c r="F28061" t="s">
        <v>4537</v>
      </c>
      <c r="G28061" s="9">
        <v>15033.14</v>
      </c>
      <c r="H28061" s="8">
        <v>24154</v>
      </c>
    </row>
    <row r="28062" spans="2:8" ht="15" customHeight="1" x14ac:dyDescent="0.4">
      <c r="B28062" t="s">
        <v>7</v>
      </c>
      <c r="C28062" t="s">
        <v>4536</v>
      </c>
      <c r="D28062" s="7">
        <f>DATE(2018,2,7)</f>
        <v>43138</v>
      </c>
      <c r="E28062" s="8">
        <f t="shared" si="478"/>
        <v>2018</v>
      </c>
      <c r="F28062" t="s">
        <v>4537</v>
      </c>
      <c r="G28062" s="9">
        <v>14804.64</v>
      </c>
      <c r="H28062" s="8">
        <v>26321</v>
      </c>
    </row>
    <row r="28063" spans="2:8" ht="15" customHeight="1" x14ac:dyDescent="0.4">
      <c r="B28063" t="s">
        <v>7</v>
      </c>
      <c r="C28063" t="s">
        <v>4536</v>
      </c>
      <c r="D28063" s="7">
        <f>DATE(2018,9,19)</f>
        <v>43362</v>
      </c>
      <c r="E28063" s="8">
        <f t="shared" si="478"/>
        <v>2018</v>
      </c>
      <c r="F28063" t="s">
        <v>4537</v>
      </c>
      <c r="G28063" s="9">
        <v>8063.62</v>
      </c>
      <c r="H28063" s="8">
        <v>27449</v>
      </c>
    </row>
    <row r="28064" spans="2:8" ht="15" customHeight="1" x14ac:dyDescent="0.4">
      <c r="B28064" t="s">
        <v>7</v>
      </c>
      <c r="C28064" t="s">
        <v>4536</v>
      </c>
      <c r="D28064" s="7">
        <f>DATE(2013,2,21)</f>
        <v>41326</v>
      </c>
      <c r="E28064" s="8">
        <f t="shared" si="478"/>
        <v>2013</v>
      </c>
      <c r="F28064" t="s">
        <v>4537</v>
      </c>
      <c r="G28064" s="9">
        <v>10321.01</v>
      </c>
      <c r="H28064" s="8">
        <v>12197</v>
      </c>
    </row>
    <row r="28065" spans="2:8" ht="15" customHeight="1" x14ac:dyDescent="0.4">
      <c r="B28065" t="s">
        <v>7</v>
      </c>
      <c r="C28065" t="s">
        <v>4536</v>
      </c>
      <c r="D28065" s="7">
        <f>DATE(2013,4,12)</f>
        <v>41376</v>
      </c>
      <c r="E28065" s="8">
        <f t="shared" si="478"/>
        <v>2013</v>
      </c>
      <c r="F28065" t="s">
        <v>4537</v>
      </c>
      <c r="G28065" s="9">
        <v>12544.99</v>
      </c>
      <c r="H28065" s="8">
        <v>12254</v>
      </c>
    </row>
    <row r="28066" spans="2:8" ht="15" customHeight="1" x14ac:dyDescent="0.4">
      <c r="B28066" t="s">
        <v>7</v>
      </c>
      <c r="C28066" t="s">
        <v>4536</v>
      </c>
      <c r="D28066" s="7">
        <f>DATE(2013,5,31)</f>
        <v>41425</v>
      </c>
      <c r="E28066" s="8">
        <f t="shared" si="478"/>
        <v>2013</v>
      </c>
      <c r="F28066" t="s">
        <v>4537</v>
      </c>
      <c r="G28066" s="9">
        <v>11009.23</v>
      </c>
      <c r="H28066" s="8">
        <v>12489</v>
      </c>
    </row>
    <row r="28067" spans="2:8" ht="15" customHeight="1" x14ac:dyDescent="0.4">
      <c r="B28067" t="s">
        <v>7</v>
      </c>
      <c r="C28067" t="s">
        <v>4536</v>
      </c>
      <c r="D28067" s="7">
        <f>DATE(2014,3,12)</f>
        <v>41710</v>
      </c>
      <c r="E28067" s="8">
        <f t="shared" si="478"/>
        <v>2014</v>
      </c>
      <c r="F28067" t="s">
        <v>4537</v>
      </c>
      <c r="G28067" s="9">
        <v>8262.33</v>
      </c>
      <c r="H28067" s="8">
        <v>12961</v>
      </c>
    </row>
    <row r="28068" spans="2:8" ht="15" customHeight="1" x14ac:dyDescent="0.4">
      <c r="B28068" t="s">
        <v>7</v>
      </c>
      <c r="C28068" t="s">
        <v>4536</v>
      </c>
      <c r="D28068" s="7">
        <f>DATE(2014,6,26)</f>
        <v>41816</v>
      </c>
      <c r="E28068" s="8">
        <f t="shared" si="478"/>
        <v>2014</v>
      </c>
      <c r="F28068" t="s">
        <v>4537</v>
      </c>
      <c r="G28068" s="9">
        <v>6569</v>
      </c>
      <c r="H28068" s="8">
        <v>13286</v>
      </c>
    </row>
    <row r="28069" spans="2:8" ht="15" customHeight="1" x14ac:dyDescent="0.4">
      <c r="B28069" t="s">
        <v>7</v>
      </c>
      <c r="C28069" t="s">
        <v>4538</v>
      </c>
      <c r="D28069" s="7">
        <f>DATE(2004,12,23)</f>
        <v>38344</v>
      </c>
      <c r="E28069" s="8">
        <f t="shared" si="478"/>
        <v>2004</v>
      </c>
      <c r="F28069" t="s">
        <v>4539</v>
      </c>
      <c r="G28069" s="9">
        <v>3737.84</v>
      </c>
      <c r="H28069" s="8">
        <v>2476</v>
      </c>
    </row>
    <row r="28070" spans="2:8" ht="15" customHeight="1" x14ac:dyDescent="0.4">
      <c r="B28070" t="s">
        <v>7</v>
      </c>
      <c r="C28070" t="s">
        <v>4540</v>
      </c>
      <c r="D28070" s="7">
        <f>DATE(2017,9,8)</f>
        <v>42986</v>
      </c>
      <c r="E28070" s="8">
        <f t="shared" si="478"/>
        <v>2017</v>
      </c>
      <c r="F28070" t="s">
        <v>4541</v>
      </c>
      <c r="G28070" s="9">
        <v>9602.7000000000007</v>
      </c>
      <c r="H28070" s="8">
        <v>25399</v>
      </c>
    </row>
    <row r="28071" spans="2:8" ht="15" customHeight="1" x14ac:dyDescent="0.4">
      <c r="B28071" t="s">
        <v>7</v>
      </c>
      <c r="C28071" t="s">
        <v>4540</v>
      </c>
      <c r="D28071" s="7">
        <f>DATE(2017,6,12)</f>
        <v>42898</v>
      </c>
      <c r="E28071" s="8">
        <f t="shared" si="478"/>
        <v>2017</v>
      </c>
      <c r="F28071" t="s">
        <v>4541</v>
      </c>
      <c r="G28071" s="9">
        <v>10451.83</v>
      </c>
      <c r="H28071" s="8">
        <v>25040</v>
      </c>
    </row>
    <row r="28072" spans="2:8" ht="15" customHeight="1" x14ac:dyDescent="0.4">
      <c r="B28072" t="s">
        <v>7</v>
      </c>
      <c r="C28072" t="s">
        <v>4540</v>
      </c>
      <c r="D28072" s="7">
        <f>DATE(2017,6,16)</f>
        <v>42902</v>
      </c>
      <c r="E28072" s="8">
        <f t="shared" si="478"/>
        <v>2017</v>
      </c>
      <c r="F28072" t="s">
        <v>4541</v>
      </c>
      <c r="G28072" s="9">
        <v>7303.57</v>
      </c>
      <c r="H28072" s="8">
        <v>25086</v>
      </c>
    </row>
    <row r="28073" spans="2:8" ht="15" customHeight="1" x14ac:dyDescent="0.4">
      <c r="B28073" t="s">
        <v>7</v>
      </c>
      <c r="C28073" t="s">
        <v>4540</v>
      </c>
      <c r="D28073" s="7">
        <f>DATE(2016,3,24)</f>
        <v>42453</v>
      </c>
      <c r="E28073" s="8">
        <f t="shared" si="478"/>
        <v>2016</v>
      </c>
      <c r="F28073" t="s">
        <v>4541</v>
      </c>
      <c r="G28073" s="9">
        <v>76779.12</v>
      </c>
      <c r="H28073" s="8">
        <v>22077</v>
      </c>
    </row>
    <row r="28074" spans="2:8" ht="15" customHeight="1" x14ac:dyDescent="0.4">
      <c r="B28074" t="s">
        <v>7</v>
      </c>
      <c r="C28074" t="s">
        <v>4540</v>
      </c>
      <c r="D28074" s="7">
        <f>DATE(2014,10,9)</f>
        <v>41921</v>
      </c>
      <c r="E28074" s="8">
        <f t="shared" si="478"/>
        <v>2014</v>
      </c>
      <c r="F28074" t="s">
        <v>4541</v>
      </c>
      <c r="G28074" s="9">
        <v>299000</v>
      </c>
      <c r="H28074" s="8">
        <v>13403</v>
      </c>
    </row>
    <row r="28075" spans="2:8" ht="15" customHeight="1" x14ac:dyDescent="0.4">
      <c r="B28075" s="3" t="s">
        <v>7</v>
      </c>
      <c r="C28075" s="3" t="s">
        <v>4542</v>
      </c>
      <c r="D28075" s="4">
        <f>DATE(2008,4,4)</f>
        <v>39542</v>
      </c>
      <c r="E28075" s="5">
        <f t="shared" si="478"/>
        <v>2008</v>
      </c>
      <c r="F28075" s="3" t="s">
        <v>4543</v>
      </c>
      <c r="G28075" s="6">
        <v>1295.06</v>
      </c>
      <c r="H28075" s="5">
        <v>10397</v>
      </c>
    </row>
    <row r="28076" spans="2:8" ht="15" customHeight="1" x14ac:dyDescent="0.4">
      <c r="B28076" t="s">
        <v>7</v>
      </c>
      <c r="C28076" t="s">
        <v>4544</v>
      </c>
      <c r="D28076" s="7">
        <f>DATE(2007,4,20)</f>
        <v>39192</v>
      </c>
      <c r="E28076" s="8">
        <f t="shared" si="478"/>
        <v>2007</v>
      </c>
      <c r="F28076" t="s">
        <v>4545</v>
      </c>
      <c r="G28076" s="9">
        <v>358</v>
      </c>
      <c r="H28076" s="8">
        <v>5887</v>
      </c>
    </row>
    <row r="28077" spans="2:8" ht="15" customHeight="1" x14ac:dyDescent="0.4">
      <c r="B28077" s="3" t="s">
        <v>7</v>
      </c>
      <c r="C28077" s="3" t="s">
        <v>4546</v>
      </c>
      <c r="D28077" s="4">
        <f>DATE(2006,8,22)</f>
        <v>38951</v>
      </c>
      <c r="E28077" s="5">
        <f t="shared" si="478"/>
        <v>2006</v>
      </c>
      <c r="F28077" s="3" t="s">
        <v>4547</v>
      </c>
      <c r="G28077" s="6">
        <v>1400</v>
      </c>
      <c r="H28077" s="5">
        <v>1749</v>
      </c>
    </row>
    <row r="28078" spans="2:8" ht="15" customHeight="1" x14ac:dyDescent="0.4">
      <c r="B28078" t="s">
        <v>7</v>
      </c>
      <c r="C28078" t="s">
        <v>4548</v>
      </c>
      <c r="D28078" s="7">
        <f>DATE(2015,8,25)</f>
        <v>42241</v>
      </c>
      <c r="E28078" s="8">
        <f t="shared" si="478"/>
        <v>2015</v>
      </c>
      <c r="F28078" t="s">
        <v>4549</v>
      </c>
      <c r="G28078" s="9">
        <v>13486.08</v>
      </c>
      <c r="H28078" s="8">
        <v>21019</v>
      </c>
    </row>
    <row r="28079" spans="2:8" ht="15" customHeight="1" x14ac:dyDescent="0.4">
      <c r="B28079" t="s">
        <v>7</v>
      </c>
      <c r="C28079" t="s">
        <v>4548</v>
      </c>
      <c r="D28079" s="7">
        <f>DATE(2015,8,5)</f>
        <v>42221</v>
      </c>
      <c r="E28079" s="8">
        <f t="shared" si="478"/>
        <v>2015</v>
      </c>
      <c r="F28079" t="s">
        <v>4549</v>
      </c>
      <c r="G28079" s="9">
        <v>14694.6</v>
      </c>
      <c r="H28079" s="8">
        <v>21021</v>
      </c>
    </row>
    <row r="28080" spans="2:8" ht="15" customHeight="1" x14ac:dyDescent="0.4">
      <c r="B28080" t="s">
        <v>16</v>
      </c>
      <c r="C28080" t="s">
        <v>4548</v>
      </c>
      <c r="D28080" s="7">
        <f>DATE(2016,2,1)</f>
        <v>42401</v>
      </c>
      <c r="E28080" s="8">
        <f t="shared" si="478"/>
        <v>2016</v>
      </c>
      <c r="F28080" t="s">
        <v>4549</v>
      </c>
      <c r="G28080" s="9">
        <v>1336</v>
      </c>
      <c r="H28080" s="8">
        <v>22115</v>
      </c>
    </row>
    <row r="28081" spans="2:8" ht="15" customHeight="1" x14ac:dyDescent="0.4">
      <c r="B28081" t="s">
        <v>7</v>
      </c>
      <c r="C28081" t="s">
        <v>4548</v>
      </c>
      <c r="D28081" s="7">
        <f>DATE(2007,11,30)</f>
        <v>39416</v>
      </c>
      <c r="E28081" s="8">
        <f t="shared" si="478"/>
        <v>2007</v>
      </c>
      <c r="F28081" t="s">
        <v>4549</v>
      </c>
      <c r="G28081" s="9">
        <v>16799.87</v>
      </c>
      <c r="H28081" s="8">
        <v>6566</v>
      </c>
    </row>
    <row r="28082" spans="2:8" ht="15" customHeight="1" x14ac:dyDescent="0.4">
      <c r="B28082" t="s">
        <v>7</v>
      </c>
      <c r="C28082" t="s">
        <v>4548</v>
      </c>
      <c r="D28082" s="7">
        <f>DATE(2008,9,30)</f>
        <v>39721</v>
      </c>
      <c r="E28082" s="8">
        <f t="shared" si="478"/>
        <v>2008</v>
      </c>
      <c r="F28082" t="s">
        <v>4549</v>
      </c>
      <c r="G28082" s="9">
        <v>13902</v>
      </c>
      <c r="H28082" s="8">
        <v>7690</v>
      </c>
    </row>
    <row r="28083" spans="2:8" ht="15" customHeight="1" x14ac:dyDescent="0.4">
      <c r="B28083" t="s">
        <v>7</v>
      </c>
      <c r="C28083" t="s">
        <v>4548</v>
      </c>
      <c r="D28083" s="7">
        <f>DATE(2008,9,30)</f>
        <v>39721</v>
      </c>
      <c r="E28083" s="8">
        <f t="shared" si="478"/>
        <v>2008</v>
      </c>
      <c r="F28083" t="s">
        <v>4549</v>
      </c>
      <c r="G28083" s="9">
        <v>29836.51</v>
      </c>
      <c r="H28083" s="8">
        <v>7708</v>
      </c>
    </row>
    <row r="28084" spans="2:8" ht="15" customHeight="1" x14ac:dyDescent="0.4">
      <c r="B28084" s="3" t="s">
        <v>7</v>
      </c>
      <c r="C28084" s="3" t="s">
        <v>4548</v>
      </c>
      <c r="D28084" s="4">
        <f>DATE(2012,12,18)</f>
        <v>41261</v>
      </c>
      <c r="E28084" s="5">
        <f t="shared" si="478"/>
        <v>2012</v>
      </c>
      <c r="F28084" s="3" t="s">
        <v>4549</v>
      </c>
      <c r="G28084" s="6">
        <v>639.16999999999996</v>
      </c>
      <c r="H28084" s="5">
        <v>17893</v>
      </c>
    </row>
    <row r="28085" spans="2:8" ht="15" customHeight="1" x14ac:dyDescent="0.4">
      <c r="B28085" s="3" t="s">
        <v>7</v>
      </c>
      <c r="C28085" s="3" t="s">
        <v>4548</v>
      </c>
      <c r="D28085" s="4">
        <f>DATE(2013,1,25)</f>
        <v>41299</v>
      </c>
      <c r="E28085" s="5">
        <f t="shared" si="478"/>
        <v>2013</v>
      </c>
      <c r="F28085" s="3" t="s">
        <v>4549</v>
      </c>
      <c r="G28085" s="6">
        <v>838</v>
      </c>
      <c r="H28085" s="5">
        <v>18005</v>
      </c>
    </row>
    <row r="28086" spans="2:8" ht="15" customHeight="1" x14ac:dyDescent="0.4">
      <c r="B28086" s="3" t="s">
        <v>7</v>
      </c>
      <c r="C28086" s="3" t="s">
        <v>4548</v>
      </c>
      <c r="D28086" s="4">
        <f>DATE(2013,8,19)</f>
        <v>41505</v>
      </c>
      <c r="E28086" s="5">
        <f t="shared" si="478"/>
        <v>2013</v>
      </c>
      <c r="F28086" s="3" t="s">
        <v>4549</v>
      </c>
      <c r="G28086" s="6">
        <v>157.5</v>
      </c>
      <c r="H28086" s="5">
        <v>18889</v>
      </c>
    </row>
    <row r="28087" spans="2:8" ht="15" customHeight="1" x14ac:dyDescent="0.4">
      <c r="B28087" s="3" t="s">
        <v>16</v>
      </c>
      <c r="C28087" s="3" t="s">
        <v>4548</v>
      </c>
      <c r="D28087" s="4">
        <f>DATE(2013,1,22)</f>
        <v>41296</v>
      </c>
      <c r="E28087" s="5">
        <f t="shared" si="478"/>
        <v>2013</v>
      </c>
      <c r="F28087" s="3" t="s">
        <v>4549</v>
      </c>
      <c r="G28087" s="6">
        <v>491</v>
      </c>
      <c r="H28087" s="5">
        <v>18038</v>
      </c>
    </row>
    <row r="28088" spans="2:8" ht="15" customHeight="1" x14ac:dyDescent="0.4">
      <c r="B28088" t="s">
        <v>7</v>
      </c>
      <c r="C28088" t="s">
        <v>4550</v>
      </c>
      <c r="D28088" s="7">
        <f>DATE(2003,1,27)</f>
        <v>37648</v>
      </c>
      <c r="E28088" s="8">
        <f t="shared" si="478"/>
        <v>2003</v>
      </c>
      <c r="F28088" t="s">
        <v>4551</v>
      </c>
      <c r="G28088" s="9">
        <v>6815.79</v>
      </c>
      <c r="H28088" s="8">
        <v>120</v>
      </c>
    </row>
    <row r="28089" spans="2:8" ht="15" customHeight="1" x14ac:dyDescent="0.4">
      <c r="B28089" t="s">
        <v>7</v>
      </c>
      <c r="C28089" t="s">
        <v>4550</v>
      </c>
      <c r="D28089" s="7">
        <f>DATE(2003,2,13)</f>
        <v>37665</v>
      </c>
      <c r="E28089" s="8">
        <f t="shared" si="478"/>
        <v>2003</v>
      </c>
      <c r="F28089" t="s">
        <v>4551</v>
      </c>
      <c r="G28089" s="9">
        <v>41779.5</v>
      </c>
      <c r="H28089" s="8">
        <v>105</v>
      </c>
    </row>
    <row r="28090" spans="2:8" ht="15" customHeight="1" x14ac:dyDescent="0.4">
      <c r="B28090" t="s">
        <v>7</v>
      </c>
      <c r="C28090" t="s">
        <v>4550</v>
      </c>
      <c r="D28090" s="7">
        <f>DATE(2003,4,27)</f>
        <v>37738</v>
      </c>
      <c r="E28090" s="8">
        <f t="shared" si="478"/>
        <v>2003</v>
      </c>
      <c r="F28090" t="s">
        <v>4551</v>
      </c>
      <c r="G28090" s="9">
        <v>1226.75</v>
      </c>
      <c r="H28090" s="8">
        <v>548</v>
      </c>
    </row>
    <row r="28091" spans="2:8" ht="15" customHeight="1" x14ac:dyDescent="0.4">
      <c r="B28091" t="s">
        <v>7</v>
      </c>
      <c r="C28091" t="s">
        <v>4550</v>
      </c>
      <c r="D28091" s="7">
        <f>DATE(2007,2,25)</f>
        <v>39138</v>
      </c>
      <c r="E28091" s="8">
        <f t="shared" si="478"/>
        <v>2007</v>
      </c>
      <c r="F28091" t="s">
        <v>4551</v>
      </c>
      <c r="G28091" s="9">
        <v>4401.41</v>
      </c>
      <c r="H28091" s="8">
        <v>5608</v>
      </c>
    </row>
    <row r="28092" spans="2:8" ht="15" customHeight="1" x14ac:dyDescent="0.4">
      <c r="B28092" t="s">
        <v>7</v>
      </c>
      <c r="C28092" t="s">
        <v>4550</v>
      </c>
      <c r="D28092" s="7">
        <f>DATE(2007,2,28)</f>
        <v>39141</v>
      </c>
      <c r="E28092" s="8">
        <f t="shared" si="478"/>
        <v>2007</v>
      </c>
      <c r="F28092" t="s">
        <v>4551</v>
      </c>
      <c r="G28092" s="9">
        <v>1323.8</v>
      </c>
      <c r="H28092" s="8">
        <v>5626</v>
      </c>
    </row>
    <row r="28093" spans="2:8" ht="15" customHeight="1" x14ac:dyDescent="0.4">
      <c r="B28093" s="3" t="s">
        <v>7</v>
      </c>
      <c r="C28093" s="3" t="s">
        <v>4550</v>
      </c>
      <c r="D28093" s="4">
        <f>DATE(2003,2,7)</f>
        <v>37659</v>
      </c>
      <c r="E28093" s="5">
        <f t="shared" si="478"/>
        <v>2003</v>
      </c>
      <c r="F28093" s="3" t="s">
        <v>4551</v>
      </c>
      <c r="G28093" s="6">
        <v>1322.5</v>
      </c>
      <c r="H28093" s="5">
        <v>202</v>
      </c>
    </row>
    <row r="28094" spans="2:8" ht="15" customHeight="1" x14ac:dyDescent="0.4">
      <c r="B28094" s="3" t="s">
        <v>7</v>
      </c>
      <c r="C28094" s="3" t="s">
        <v>4550</v>
      </c>
      <c r="D28094" s="4">
        <f>DATE(2003,5,6)</f>
        <v>37747</v>
      </c>
      <c r="E28094" s="5">
        <f t="shared" si="478"/>
        <v>2003</v>
      </c>
      <c r="F28094" s="3" t="s">
        <v>4551</v>
      </c>
      <c r="G28094" s="6">
        <v>34.5</v>
      </c>
      <c r="H28094" s="5">
        <v>895</v>
      </c>
    </row>
    <row r="28095" spans="2:8" ht="15" customHeight="1" x14ac:dyDescent="0.4">
      <c r="B28095" s="3" t="s">
        <v>7</v>
      </c>
      <c r="C28095" s="3" t="s">
        <v>4550</v>
      </c>
      <c r="D28095" s="4">
        <f>DATE(2003,5,13)</f>
        <v>37754</v>
      </c>
      <c r="E28095" s="5">
        <f t="shared" si="478"/>
        <v>2003</v>
      </c>
      <c r="F28095" s="3" t="s">
        <v>4551</v>
      </c>
      <c r="G28095" s="6">
        <v>10230</v>
      </c>
      <c r="H28095" s="5">
        <v>898</v>
      </c>
    </row>
    <row r="28096" spans="2:8" ht="15" customHeight="1" x14ac:dyDescent="0.4">
      <c r="B28096" s="3" t="s">
        <v>7</v>
      </c>
      <c r="C28096" s="3" t="s">
        <v>4550</v>
      </c>
      <c r="D28096" s="4">
        <f>DATE(2003,6,18)</f>
        <v>37790</v>
      </c>
      <c r="E28096" s="5">
        <f t="shared" si="478"/>
        <v>2003</v>
      </c>
      <c r="F28096" s="3" t="s">
        <v>4551</v>
      </c>
      <c r="G28096" s="6">
        <v>10230</v>
      </c>
      <c r="H28096" s="5">
        <v>1124</v>
      </c>
    </row>
    <row r="28097" spans="2:8" ht="15" customHeight="1" x14ac:dyDescent="0.4">
      <c r="B28097" s="3" t="s">
        <v>7</v>
      </c>
      <c r="C28097" s="3" t="s">
        <v>4550</v>
      </c>
      <c r="D28097" s="4">
        <f>DATE(2003,12,31)</f>
        <v>37986</v>
      </c>
      <c r="E28097" s="5">
        <f t="shared" si="478"/>
        <v>2003</v>
      </c>
      <c r="F28097" s="3" t="s">
        <v>4551</v>
      </c>
      <c r="G28097" s="6">
        <v>930</v>
      </c>
      <c r="H28097" s="5">
        <v>1933</v>
      </c>
    </row>
    <row r="28098" spans="2:8" ht="15" customHeight="1" x14ac:dyDescent="0.4">
      <c r="B28098" s="3" t="s">
        <v>7</v>
      </c>
      <c r="C28098" s="3" t="s">
        <v>4550</v>
      </c>
      <c r="D28098" s="4">
        <f>DATE(2004,3,17)</f>
        <v>38063</v>
      </c>
      <c r="E28098" s="5">
        <f t="shared" si="478"/>
        <v>2004</v>
      </c>
      <c r="F28098" s="3" t="s">
        <v>4551</v>
      </c>
      <c r="G28098" s="6">
        <v>775</v>
      </c>
      <c r="H28098" s="5">
        <v>2417</v>
      </c>
    </row>
    <row r="28099" spans="2:8" ht="15" customHeight="1" x14ac:dyDescent="0.4">
      <c r="B28099" s="3" t="s">
        <v>7</v>
      </c>
      <c r="C28099" s="3" t="s">
        <v>4550</v>
      </c>
      <c r="D28099" s="4">
        <f>DATE(2004,4,2)</f>
        <v>38079</v>
      </c>
      <c r="E28099" s="5">
        <f t="shared" ref="E28099:E28162" si="479">YEAR(D28099)</f>
        <v>2004</v>
      </c>
      <c r="F28099" s="3" t="s">
        <v>4551</v>
      </c>
      <c r="G28099" s="6">
        <v>12400</v>
      </c>
      <c r="H28099" s="5">
        <v>2582</v>
      </c>
    </row>
    <row r="28100" spans="2:8" ht="15" customHeight="1" x14ac:dyDescent="0.4">
      <c r="B28100" s="3" t="s">
        <v>7</v>
      </c>
      <c r="C28100" s="3" t="s">
        <v>4550</v>
      </c>
      <c r="D28100" s="4">
        <f>DATE(2004,4,6)</f>
        <v>38083</v>
      </c>
      <c r="E28100" s="5">
        <f t="shared" si="479"/>
        <v>2004</v>
      </c>
      <c r="F28100" s="3" t="s">
        <v>4551</v>
      </c>
      <c r="G28100" s="6">
        <v>11780</v>
      </c>
      <c r="H28100" s="5">
        <v>2584</v>
      </c>
    </row>
    <row r="28101" spans="2:8" ht="15" customHeight="1" x14ac:dyDescent="0.4">
      <c r="B28101" s="3" t="s">
        <v>7</v>
      </c>
      <c r="C28101" s="3" t="s">
        <v>4550</v>
      </c>
      <c r="D28101" s="4">
        <f>DATE(2004,4,7)</f>
        <v>38084</v>
      </c>
      <c r="E28101" s="5">
        <f t="shared" si="479"/>
        <v>2004</v>
      </c>
      <c r="F28101" s="3" t="s">
        <v>4551</v>
      </c>
      <c r="G28101" s="6">
        <v>1510</v>
      </c>
      <c r="H28101" s="5">
        <v>2610</v>
      </c>
    </row>
    <row r="28102" spans="2:8" ht="15" customHeight="1" x14ac:dyDescent="0.4">
      <c r="B28102" s="3" t="s">
        <v>7</v>
      </c>
      <c r="C28102" s="3" t="s">
        <v>4550</v>
      </c>
      <c r="D28102" s="4">
        <f>DATE(2004,5,10)</f>
        <v>38117</v>
      </c>
      <c r="E28102" s="5">
        <f t="shared" si="479"/>
        <v>2004</v>
      </c>
      <c r="F28102" s="3" t="s">
        <v>4551</v>
      </c>
      <c r="G28102" s="6">
        <v>930</v>
      </c>
      <c r="H28102" s="5">
        <v>2633</v>
      </c>
    </row>
    <row r="28103" spans="2:8" ht="15" customHeight="1" x14ac:dyDescent="0.4">
      <c r="B28103" s="3" t="s">
        <v>7</v>
      </c>
      <c r="C28103" s="3" t="s">
        <v>4550</v>
      </c>
      <c r="D28103" s="4">
        <f>DATE(2004,5,12)</f>
        <v>38119</v>
      </c>
      <c r="E28103" s="5">
        <f t="shared" si="479"/>
        <v>2004</v>
      </c>
      <c r="F28103" s="3" t="s">
        <v>4551</v>
      </c>
      <c r="G28103" s="6">
        <v>650</v>
      </c>
      <c r="H28103" s="5">
        <v>2875</v>
      </c>
    </row>
    <row r="28104" spans="2:8" ht="15" customHeight="1" x14ac:dyDescent="0.4">
      <c r="B28104" s="3" t="s">
        <v>7</v>
      </c>
      <c r="C28104" s="3" t="s">
        <v>4550</v>
      </c>
      <c r="D28104" s="4">
        <f>DATE(2004,5,21)</f>
        <v>38128</v>
      </c>
      <c r="E28104" s="5">
        <f t="shared" si="479"/>
        <v>2004</v>
      </c>
      <c r="F28104" s="3" t="s">
        <v>4551</v>
      </c>
      <c r="G28104" s="6">
        <v>9300</v>
      </c>
      <c r="H28104" s="5">
        <v>2753</v>
      </c>
    </row>
    <row r="28105" spans="2:8" ht="15" customHeight="1" x14ac:dyDescent="0.4">
      <c r="B28105" s="3" t="s">
        <v>7</v>
      </c>
      <c r="C28105" s="3" t="s">
        <v>4550</v>
      </c>
      <c r="D28105" s="4">
        <f>DATE(2005,3,9)</f>
        <v>38420</v>
      </c>
      <c r="E28105" s="5">
        <f t="shared" si="479"/>
        <v>2005</v>
      </c>
      <c r="F28105" s="3" t="s">
        <v>4551</v>
      </c>
      <c r="G28105" s="6">
        <v>1550</v>
      </c>
      <c r="H28105" s="5">
        <v>4293</v>
      </c>
    </row>
    <row r="28106" spans="2:8" ht="15" customHeight="1" x14ac:dyDescent="0.4">
      <c r="B28106" s="3" t="s">
        <v>7</v>
      </c>
      <c r="C28106" s="3" t="s">
        <v>4550</v>
      </c>
      <c r="D28106" s="4">
        <f>DATE(2005,5,10)</f>
        <v>38482</v>
      </c>
      <c r="E28106" s="5">
        <f t="shared" si="479"/>
        <v>2005</v>
      </c>
      <c r="F28106" s="3" t="s">
        <v>4551</v>
      </c>
      <c r="G28106" s="6">
        <v>1860</v>
      </c>
      <c r="H28106" s="5">
        <v>4712</v>
      </c>
    </row>
    <row r="28107" spans="2:8" ht="15" customHeight="1" x14ac:dyDescent="0.4">
      <c r="B28107" s="3" t="s">
        <v>7</v>
      </c>
      <c r="C28107" s="3" t="s">
        <v>4550</v>
      </c>
      <c r="D28107" s="4">
        <f>DATE(2005,5,20)</f>
        <v>38492</v>
      </c>
      <c r="E28107" s="5">
        <f t="shared" si="479"/>
        <v>2005</v>
      </c>
      <c r="F28107" s="3" t="s">
        <v>4551</v>
      </c>
      <c r="G28107" s="6">
        <v>930</v>
      </c>
      <c r="H28107" s="5">
        <v>4758</v>
      </c>
    </row>
    <row r="28108" spans="2:8" ht="15" customHeight="1" x14ac:dyDescent="0.4">
      <c r="B28108" s="3" t="s">
        <v>7</v>
      </c>
      <c r="C28108" s="3" t="s">
        <v>4550</v>
      </c>
      <c r="D28108" s="4">
        <f>DATE(2005,9,7)</f>
        <v>38602</v>
      </c>
      <c r="E28108" s="5">
        <f t="shared" si="479"/>
        <v>2005</v>
      </c>
      <c r="F28108" s="3" t="s">
        <v>4551</v>
      </c>
      <c r="G28108" s="6">
        <v>447</v>
      </c>
      <c r="H28108" s="5">
        <v>5223</v>
      </c>
    </row>
    <row r="28109" spans="2:8" ht="15" customHeight="1" x14ac:dyDescent="0.4">
      <c r="B28109" s="3" t="s">
        <v>7</v>
      </c>
      <c r="C28109" s="3" t="s">
        <v>4550</v>
      </c>
      <c r="D28109" s="4">
        <f>DATE(2006,2,16)</f>
        <v>38764</v>
      </c>
      <c r="E28109" s="5">
        <f t="shared" si="479"/>
        <v>2006</v>
      </c>
      <c r="F28109" s="3" t="s">
        <v>4551</v>
      </c>
      <c r="G28109" s="6">
        <v>9300</v>
      </c>
      <c r="H28109" s="5">
        <v>6077</v>
      </c>
    </row>
    <row r="28110" spans="2:8" ht="15" customHeight="1" x14ac:dyDescent="0.4">
      <c r="B28110" s="3" t="s">
        <v>7</v>
      </c>
      <c r="C28110" s="3" t="s">
        <v>4550</v>
      </c>
      <c r="D28110" s="4">
        <f>DATE(2006,12,12)</f>
        <v>39063</v>
      </c>
      <c r="E28110" s="5">
        <f t="shared" si="479"/>
        <v>2006</v>
      </c>
      <c r="F28110" s="3" t="s">
        <v>4551</v>
      </c>
      <c r="G28110" s="6">
        <v>1340</v>
      </c>
      <c r="H28110" s="5">
        <v>7640</v>
      </c>
    </row>
    <row r="28111" spans="2:8" ht="15" customHeight="1" x14ac:dyDescent="0.4">
      <c r="B28111" s="3" t="s">
        <v>7</v>
      </c>
      <c r="C28111" s="3" t="s">
        <v>4550</v>
      </c>
      <c r="D28111" s="4">
        <f>DATE(2007,4,17)</f>
        <v>39189</v>
      </c>
      <c r="E28111" s="5">
        <f t="shared" si="479"/>
        <v>2007</v>
      </c>
      <c r="F28111" s="3" t="s">
        <v>4551</v>
      </c>
      <c r="G28111" s="6">
        <v>3138</v>
      </c>
      <c r="H28111" s="5">
        <v>8393</v>
      </c>
    </row>
    <row r="28112" spans="2:8" ht="15" customHeight="1" x14ac:dyDescent="0.4">
      <c r="B28112" s="3" t="s">
        <v>7</v>
      </c>
      <c r="C28112" s="3" t="s">
        <v>4550</v>
      </c>
      <c r="D28112" s="4">
        <f>DATE(2009,3,18)</f>
        <v>39890</v>
      </c>
      <c r="E28112" s="5">
        <f t="shared" si="479"/>
        <v>2009</v>
      </c>
      <c r="F28112" s="3" t="s">
        <v>4551</v>
      </c>
      <c r="G28112" s="6">
        <v>950</v>
      </c>
      <c r="H28112" s="5">
        <v>12148</v>
      </c>
    </row>
    <row r="28113" spans="2:8" ht="15" customHeight="1" x14ac:dyDescent="0.4">
      <c r="B28113" s="3" t="s">
        <v>7</v>
      </c>
      <c r="C28113" s="3" t="s">
        <v>4550</v>
      </c>
      <c r="D28113" s="4">
        <f>DATE(2009,9,18)</f>
        <v>40074</v>
      </c>
      <c r="E28113" s="5">
        <f t="shared" si="479"/>
        <v>2009</v>
      </c>
      <c r="F28113" s="3" t="s">
        <v>4551</v>
      </c>
      <c r="G28113" s="6">
        <v>950</v>
      </c>
      <c r="H28113" s="5">
        <v>13035</v>
      </c>
    </row>
    <row r="28114" spans="2:8" ht="15" customHeight="1" x14ac:dyDescent="0.4">
      <c r="B28114" s="3" t="s">
        <v>7</v>
      </c>
      <c r="C28114" s="3" t="s">
        <v>4550</v>
      </c>
      <c r="D28114" s="4">
        <f>DATE(2012,3,7)</f>
        <v>40975</v>
      </c>
      <c r="E28114" s="5">
        <f t="shared" si="479"/>
        <v>2012</v>
      </c>
      <c r="F28114" s="3" t="s">
        <v>4551</v>
      </c>
      <c r="G28114" s="6">
        <v>1625.8</v>
      </c>
      <c r="H28114" s="5">
        <v>16628</v>
      </c>
    </row>
    <row r="28115" spans="2:8" ht="15" customHeight="1" x14ac:dyDescent="0.4">
      <c r="B28115" s="3" t="s">
        <v>7</v>
      </c>
      <c r="C28115" s="3" t="s">
        <v>4550</v>
      </c>
      <c r="D28115" s="4">
        <f>DATE(2014,5,21)</f>
        <v>41780</v>
      </c>
      <c r="E28115" s="5">
        <f t="shared" si="479"/>
        <v>2014</v>
      </c>
      <c r="F28115" s="3" t="s">
        <v>4551</v>
      </c>
      <c r="G28115" s="6">
        <v>469</v>
      </c>
      <c r="H28115" s="5">
        <v>19977</v>
      </c>
    </row>
    <row r="28116" spans="2:8" ht="15" customHeight="1" x14ac:dyDescent="0.4">
      <c r="B28116" s="3" t="s">
        <v>16</v>
      </c>
      <c r="C28116" s="3" t="s">
        <v>4550</v>
      </c>
      <c r="D28116" s="4">
        <f>DATE(2003,6,11)</f>
        <v>37783</v>
      </c>
      <c r="E28116" s="5">
        <f t="shared" si="479"/>
        <v>2003</v>
      </c>
      <c r="F28116" s="3" t="s">
        <v>4551</v>
      </c>
      <c r="G28116" s="6">
        <v>34.5</v>
      </c>
      <c r="H28116" s="5">
        <v>988</v>
      </c>
    </row>
    <row r="28117" spans="2:8" ht="15" customHeight="1" x14ac:dyDescent="0.4">
      <c r="B28117" t="s">
        <v>7</v>
      </c>
      <c r="C28117" t="s">
        <v>4552</v>
      </c>
      <c r="D28117" s="7">
        <f>DATE(2010,7,23)</f>
        <v>40382</v>
      </c>
      <c r="E28117" s="8">
        <f t="shared" si="479"/>
        <v>2010</v>
      </c>
      <c r="F28117" t="s">
        <v>4553</v>
      </c>
      <c r="G28117" s="9">
        <v>11078</v>
      </c>
      <c r="H28117" s="8">
        <v>9926</v>
      </c>
    </row>
    <row r="28118" spans="2:8" ht="15" customHeight="1" x14ac:dyDescent="0.4">
      <c r="B28118" s="3" t="s">
        <v>7</v>
      </c>
      <c r="C28118" s="3" t="s">
        <v>4554</v>
      </c>
      <c r="D28118" s="4">
        <f>DATE(2011,11,10)</f>
        <v>40857</v>
      </c>
      <c r="E28118" s="5">
        <f t="shared" si="479"/>
        <v>2011</v>
      </c>
      <c r="F28118" s="3" t="s">
        <v>4555</v>
      </c>
      <c r="G28118" s="6">
        <v>156889</v>
      </c>
      <c r="H28118" s="5">
        <v>4675</v>
      </c>
    </row>
    <row r="28119" spans="2:8" ht="15" customHeight="1" x14ac:dyDescent="0.4">
      <c r="B28119" s="3" t="s">
        <v>7</v>
      </c>
      <c r="C28119" s="3" t="s">
        <v>4556</v>
      </c>
      <c r="D28119" s="4">
        <f>DATE(2003,11,11)</f>
        <v>37936</v>
      </c>
      <c r="E28119" s="5">
        <f t="shared" si="479"/>
        <v>2003</v>
      </c>
      <c r="F28119" s="3" t="s">
        <v>4557</v>
      </c>
      <c r="G28119" s="6">
        <v>235</v>
      </c>
      <c r="H28119" s="5">
        <v>1769</v>
      </c>
    </row>
    <row r="28120" spans="2:8" ht="15" customHeight="1" x14ac:dyDescent="0.4">
      <c r="B28120" t="s">
        <v>7</v>
      </c>
      <c r="C28120" t="s">
        <v>4558</v>
      </c>
      <c r="D28120" s="7">
        <f>DATE(2009,4,24)</f>
        <v>39927</v>
      </c>
      <c r="E28120" s="8">
        <f t="shared" si="479"/>
        <v>2009</v>
      </c>
      <c r="F28120" t="s">
        <v>4559</v>
      </c>
      <c r="G28120" s="9">
        <v>12953</v>
      </c>
      <c r="H28120" s="8">
        <v>8532</v>
      </c>
    </row>
    <row r="28121" spans="2:8" ht="15" customHeight="1" x14ac:dyDescent="0.4">
      <c r="B28121" t="s">
        <v>7</v>
      </c>
      <c r="C28121" t="s">
        <v>1022</v>
      </c>
      <c r="D28121" s="7">
        <f>DATE(2015,3,25)</f>
        <v>42088</v>
      </c>
      <c r="E28121" s="8">
        <f t="shared" si="479"/>
        <v>2015</v>
      </c>
      <c r="F28121" t="s">
        <v>4560</v>
      </c>
      <c r="G28121" s="9">
        <v>11359.62</v>
      </c>
      <c r="H28121" s="8">
        <v>325</v>
      </c>
    </row>
    <row r="28122" spans="2:8" ht="15" customHeight="1" x14ac:dyDescent="0.4">
      <c r="B28122" t="s">
        <v>7</v>
      </c>
      <c r="C28122" t="s">
        <v>1022</v>
      </c>
      <c r="D28122" s="7">
        <f>DATE(2015,5,5)</f>
        <v>42129</v>
      </c>
      <c r="E28122" s="8">
        <f t="shared" si="479"/>
        <v>2015</v>
      </c>
      <c r="F28122" t="s">
        <v>4560</v>
      </c>
      <c r="G28122" s="9">
        <v>11350.74</v>
      </c>
      <c r="H28122" s="8">
        <v>20388</v>
      </c>
    </row>
    <row r="28123" spans="2:8" ht="15" customHeight="1" x14ac:dyDescent="0.4">
      <c r="B28123" t="s">
        <v>7</v>
      </c>
      <c r="C28123" t="s">
        <v>1022</v>
      </c>
      <c r="D28123" s="7">
        <f>DATE(2015,6,1)</f>
        <v>42156</v>
      </c>
      <c r="E28123" s="8">
        <f t="shared" si="479"/>
        <v>2015</v>
      </c>
      <c r="F28123" t="s">
        <v>4560</v>
      </c>
      <c r="G28123" s="9">
        <v>12690</v>
      </c>
      <c r="H28123" s="8">
        <v>20459</v>
      </c>
    </row>
    <row r="28124" spans="2:8" ht="15" customHeight="1" x14ac:dyDescent="0.4">
      <c r="B28124" t="s">
        <v>7</v>
      </c>
      <c r="C28124" t="s">
        <v>1022</v>
      </c>
      <c r="D28124" s="7">
        <f>DATE(2017,4,11)</f>
        <v>42836</v>
      </c>
      <c r="E28124" s="8">
        <f t="shared" si="479"/>
        <v>2017</v>
      </c>
      <c r="F28124" t="s">
        <v>4560</v>
      </c>
      <c r="G28124" s="9">
        <v>12100</v>
      </c>
      <c r="H28124" s="8">
        <v>24675</v>
      </c>
    </row>
    <row r="28125" spans="2:8" ht="15" customHeight="1" x14ac:dyDescent="0.4">
      <c r="B28125" t="s">
        <v>7</v>
      </c>
      <c r="C28125" t="s">
        <v>1022</v>
      </c>
      <c r="D28125" s="7">
        <f>DATE(2018,3,19)</f>
        <v>43178</v>
      </c>
      <c r="E28125" s="8">
        <f t="shared" si="479"/>
        <v>2018</v>
      </c>
      <c r="F28125" t="s">
        <v>4560</v>
      </c>
      <c r="G28125" s="9">
        <v>14948.69</v>
      </c>
      <c r="H28125" s="8">
        <v>26443</v>
      </c>
    </row>
    <row r="28126" spans="2:8" ht="15" customHeight="1" x14ac:dyDescent="0.4">
      <c r="B28126" t="s">
        <v>7</v>
      </c>
      <c r="C28126" t="s">
        <v>1022</v>
      </c>
      <c r="D28126" s="7">
        <f>DATE(2019,4,10)</f>
        <v>43565</v>
      </c>
      <c r="E28126" s="8">
        <f t="shared" si="479"/>
        <v>2019</v>
      </c>
      <c r="F28126" t="s">
        <v>4560</v>
      </c>
      <c r="G28126" s="9">
        <v>15832.69</v>
      </c>
      <c r="H28126" s="8">
        <v>28663</v>
      </c>
    </row>
    <row r="28127" spans="2:8" ht="15" customHeight="1" x14ac:dyDescent="0.4">
      <c r="B28127" t="s">
        <v>7</v>
      </c>
      <c r="C28127" t="s">
        <v>1022</v>
      </c>
      <c r="D28127" s="7">
        <f>DATE(2016,5,31)</f>
        <v>42521</v>
      </c>
      <c r="E28127" s="8">
        <f t="shared" si="479"/>
        <v>2016</v>
      </c>
      <c r="F28127" t="s">
        <v>4560</v>
      </c>
      <c r="G28127" s="9">
        <v>82191.289999999994</v>
      </c>
      <c r="H28127" s="8">
        <v>22613</v>
      </c>
    </row>
    <row r="28128" spans="2:8" ht="15" customHeight="1" x14ac:dyDescent="0.4">
      <c r="B28128" t="s">
        <v>7</v>
      </c>
      <c r="C28128" t="s">
        <v>1022</v>
      </c>
      <c r="D28128" s="7">
        <f>DATE(2015,6,5)</f>
        <v>42160</v>
      </c>
      <c r="E28128" s="8">
        <f t="shared" si="479"/>
        <v>2015</v>
      </c>
      <c r="F28128" t="s">
        <v>4560</v>
      </c>
      <c r="G28128" s="9">
        <v>10400</v>
      </c>
      <c r="H28128" s="8">
        <v>20452</v>
      </c>
    </row>
    <row r="28129" spans="2:8" ht="15" customHeight="1" x14ac:dyDescent="0.4">
      <c r="B28129" t="s">
        <v>7</v>
      </c>
      <c r="C28129" t="s">
        <v>1022</v>
      </c>
      <c r="D28129" s="7">
        <f>DATE(2017,2,17)</f>
        <v>42783</v>
      </c>
      <c r="E28129" s="8">
        <f t="shared" si="479"/>
        <v>2017</v>
      </c>
      <c r="F28129" t="s">
        <v>4560</v>
      </c>
      <c r="G28129" s="9">
        <v>1200</v>
      </c>
      <c r="H28129" s="8">
        <v>24294</v>
      </c>
    </row>
    <row r="28130" spans="2:8" ht="15" customHeight="1" x14ac:dyDescent="0.4">
      <c r="B28130" t="s">
        <v>7</v>
      </c>
      <c r="C28130" t="s">
        <v>1022</v>
      </c>
      <c r="D28130" s="7">
        <f>DATE(2019,1,30)</f>
        <v>43495</v>
      </c>
      <c r="E28130" s="8">
        <f t="shared" si="479"/>
        <v>2019</v>
      </c>
      <c r="F28130" t="s">
        <v>4560</v>
      </c>
      <c r="G28130" s="9">
        <v>1140</v>
      </c>
      <c r="H28130" s="8">
        <v>28045</v>
      </c>
    </row>
    <row r="28131" spans="2:8" ht="15" customHeight="1" x14ac:dyDescent="0.4">
      <c r="B28131" t="s">
        <v>7</v>
      </c>
      <c r="C28131" t="s">
        <v>1022</v>
      </c>
      <c r="D28131" s="7">
        <f>DATE(2015,3,3)</f>
        <v>42066</v>
      </c>
      <c r="E28131" s="8">
        <f t="shared" si="479"/>
        <v>2015</v>
      </c>
      <c r="F28131" t="s">
        <v>4560</v>
      </c>
      <c r="G28131" s="9">
        <v>2515.73</v>
      </c>
      <c r="H28131" s="8">
        <v>20018</v>
      </c>
    </row>
    <row r="28132" spans="2:8" ht="15" customHeight="1" x14ac:dyDescent="0.4">
      <c r="B28132" t="s">
        <v>7</v>
      </c>
      <c r="C28132" t="s">
        <v>1022</v>
      </c>
      <c r="D28132" s="7">
        <f>DATE(2015,3,12)</f>
        <v>42075</v>
      </c>
      <c r="E28132" s="8">
        <f t="shared" si="479"/>
        <v>2015</v>
      </c>
      <c r="F28132" t="s">
        <v>4560</v>
      </c>
      <c r="G28132" s="9">
        <v>8125.27</v>
      </c>
      <c r="H28132" s="8">
        <v>20104</v>
      </c>
    </row>
    <row r="28133" spans="2:8" ht="15" customHeight="1" x14ac:dyDescent="0.4">
      <c r="B28133" t="s">
        <v>7</v>
      </c>
      <c r="C28133" t="s">
        <v>1022</v>
      </c>
      <c r="D28133" s="7">
        <f>DATE(2006,1,22)</f>
        <v>38739</v>
      </c>
      <c r="E28133" s="8">
        <f t="shared" si="479"/>
        <v>2006</v>
      </c>
      <c r="F28133" t="s">
        <v>4560</v>
      </c>
      <c r="G28133" s="9">
        <v>15126.88</v>
      </c>
      <c r="H28133" s="8">
        <v>3964</v>
      </c>
    </row>
    <row r="28134" spans="2:8" ht="15" customHeight="1" x14ac:dyDescent="0.4">
      <c r="B28134" t="s">
        <v>7</v>
      </c>
      <c r="C28134" t="s">
        <v>1022</v>
      </c>
      <c r="D28134" s="7">
        <f>DATE(2006,5,30)</f>
        <v>38867</v>
      </c>
      <c r="E28134" s="8">
        <f t="shared" si="479"/>
        <v>2006</v>
      </c>
      <c r="F28134" t="s">
        <v>4560</v>
      </c>
      <c r="G28134" s="9">
        <v>2247.0500000000002</v>
      </c>
      <c r="H28134" s="8">
        <v>4657</v>
      </c>
    </row>
    <row r="28135" spans="2:8" ht="15" customHeight="1" x14ac:dyDescent="0.4">
      <c r="B28135" t="s">
        <v>7</v>
      </c>
      <c r="C28135" t="s">
        <v>1022</v>
      </c>
      <c r="D28135" s="7">
        <f>DATE(2007,5,1)</f>
        <v>39203</v>
      </c>
      <c r="E28135" s="8">
        <f t="shared" si="479"/>
        <v>2007</v>
      </c>
      <c r="F28135" t="s">
        <v>4560</v>
      </c>
      <c r="G28135" s="9">
        <v>11527</v>
      </c>
      <c r="H28135" s="8">
        <v>5627</v>
      </c>
    </row>
    <row r="28136" spans="2:8" ht="15" customHeight="1" x14ac:dyDescent="0.4">
      <c r="B28136" t="s">
        <v>7</v>
      </c>
      <c r="C28136" t="s">
        <v>1022</v>
      </c>
      <c r="D28136" s="7">
        <f>DATE(2008,4,24)</f>
        <v>39562</v>
      </c>
      <c r="E28136" s="8">
        <f t="shared" si="479"/>
        <v>2008</v>
      </c>
      <c r="F28136" t="s">
        <v>4560</v>
      </c>
      <c r="G28136" s="9">
        <v>11727</v>
      </c>
      <c r="H28136" s="8">
        <v>7050</v>
      </c>
    </row>
    <row r="28137" spans="2:8" ht="15" customHeight="1" x14ac:dyDescent="0.4">
      <c r="B28137" t="s">
        <v>7</v>
      </c>
      <c r="C28137" t="s">
        <v>1022</v>
      </c>
      <c r="D28137" s="7">
        <f>DATE(2009,5,12)</f>
        <v>39945</v>
      </c>
      <c r="E28137" s="8">
        <f t="shared" si="479"/>
        <v>2009</v>
      </c>
      <c r="F28137" t="s">
        <v>4560</v>
      </c>
      <c r="G28137" s="9">
        <v>12037</v>
      </c>
      <c r="H28137" s="8">
        <v>8406</v>
      </c>
    </row>
    <row r="28138" spans="2:8" ht="15" customHeight="1" x14ac:dyDescent="0.4">
      <c r="B28138" t="s">
        <v>7</v>
      </c>
      <c r="C28138" t="s">
        <v>1022</v>
      </c>
      <c r="D28138" s="7">
        <f>DATE(2010,5,4)</f>
        <v>40302</v>
      </c>
      <c r="E28138" s="8">
        <f t="shared" si="479"/>
        <v>2010</v>
      </c>
      <c r="F28138" t="s">
        <v>4560</v>
      </c>
      <c r="G28138" s="9">
        <v>12169</v>
      </c>
      <c r="H28138" s="8">
        <v>9462</v>
      </c>
    </row>
    <row r="28139" spans="2:8" ht="15" customHeight="1" x14ac:dyDescent="0.4">
      <c r="B28139" t="s">
        <v>7</v>
      </c>
      <c r="C28139" t="s">
        <v>1022</v>
      </c>
      <c r="D28139" s="7">
        <f>DATE(2011,7,28)</f>
        <v>40752</v>
      </c>
      <c r="E28139" s="8">
        <f t="shared" si="479"/>
        <v>2011</v>
      </c>
      <c r="F28139" t="s">
        <v>4560</v>
      </c>
      <c r="G28139" s="9">
        <v>10950.34</v>
      </c>
      <c r="H28139" s="8">
        <v>10915</v>
      </c>
    </row>
    <row r="28140" spans="2:8" ht="15" customHeight="1" x14ac:dyDescent="0.4">
      <c r="B28140" t="s">
        <v>7</v>
      </c>
      <c r="C28140" t="s">
        <v>1022</v>
      </c>
      <c r="D28140" s="7">
        <f>DATE(2011,8,2)</f>
        <v>40757</v>
      </c>
      <c r="E28140" s="8">
        <f t="shared" si="479"/>
        <v>2011</v>
      </c>
      <c r="F28140" t="s">
        <v>4560</v>
      </c>
      <c r="G28140" s="9">
        <v>9861.16</v>
      </c>
      <c r="H28140" s="8">
        <v>10917</v>
      </c>
    </row>
    <row r="28141" spans="2:8" ht="15" customHeight="1" x14ac:dyDescent="0.4">
      <c r="B28141" t="s">
        <v>7</v>
      </c>
      <c r="C28141" t="s">
        <v>1022</v>
      </c>
      <c r="D28141" s="7">
        <f>DATE(2011,8,12)</f>
        <v>40767</v>
      </c>
      <c r="E28141" s="8">
        <f t="shared" si="479"/>
        <v>2011</v>
      </c>
      <c r="F28141" t="s">
        <v>4560</v>
      </c>
      <c r="G28141" s="9">
        <v>16675.71</v>
      </c>
      <c r="H28141" s="8">
        <v>10893</v>
      </c>
    </row>
    <row r="28142" spans="2:8" ht="15" customHeight="1" x14ac:dyDescent="0.4">
      <c r="B28142" t="s">
        <v>7</v>
      </c>
      <c r="C28142" t="s">
        <v>1022</v>
      </c>
      <c r="D28142" s="7">
        <f>DATE(2013,5,14)</f>
        <v>41408</v>
      </c>
      <c r="E28142" s="8">
        <f t="shared" si="479"/>
        <v>2013</v>
      </c>
      <c r="F28142" t="s">
        <v>4560</v>
      </c>
      <c r="G28142" s="9">
        <v>12395.42</v>
      </c>
      <c r="H28142" s="8">
        <v>12313</v>
      </c>
    </row>
    <row r="28143" spans="2:8" ht="15" customHeight="1" x14ac:dyDescent="0.4">
      <c r="B28143" t="s">
        <v>7</v>
      </c>
      <c r="C28143" t="s">
        <v>1022</v>
      </c>
      <c r="D28143" s="7">
        <f>DATE(2014,4,8)</f>
        <v>41737</v>
      </c>
      <c r="E28143" s="8">
        <f t="shared" si="479"/>
        <v>2014</v>
      </c>
      <c r="F28143" t="s">
        <v>4560</v>
      </c>
      <c r="G28143" s="9">
        <v>12399.64</v>
      </c>
      <c r="H28143" s="8">
        <v>13054</v>
      </c>
    </row>
    <row r="28144" spans="2:8" ht="15" customHeight="1" x14ac:dyDescent="0.4">
      <c r="B28144" t="s">
        <v>7</v>
      </c>
      <c r="C28144" t="s">
        <v>1022</v>
      </c>
      <c r="D28144" s="7">
        <f>DATE(2010,12,13)</f>
        <v>40525</v>
      </c>
      <c r="E28144" s="8">
        <f t="shared" si="479"/>
        <v>2010</v>
      </c>
      <c r="F28144" t="s">
        <v>4560</v>
      </c>
      <c r="G28144" s="9">
        <v>6447.73</v>
      </c>
      <c r="H28144" s="8">
        <v>10305</v>
      </c>
    </row>
    <row r="28145" spans="2:8" ht="15" customHeight="1" x14ac:dyDescent="0.4">
      <c r="B28145" t="s">
        <v>7</v>
      </c>
      <c r="C28145" t="s">
        <v>1022</v>
      </c>
      <c r="D28145" s="7">
        <f>DATE(2010,12,16)</f>
        <v>40528</v>
      </c>
      <c r="E28145" s="8">
        <f t="shared" si="479"/>
        <v>2010</v>
      </c>
      <c r="F28145" t="s">
        <v>4560</v>
      </c>
      <c r="G28145" s="9">
        <v>3165.77</v>
      </c>
      <c r="H28145" s="8">
        <v>10318</v>
      </c>
    </row>
    <row r="28146" spans="2:8" ht="15" customHeight="1" x14ac:dyDescent="0.4">
      <c r="B28146" t="s">
        <v>7</v>
      </c>
      <c r="C28146" t="s">
        <v>1022</v>
      </c>
      <c r="D28146" s="7">
        <f>DATE(2014,8,6)</f>
        <v>41857</v>
      </c>
      <c r="E28146" s="8">
        <f t="shared" si="479"/>
        <v>2014</v>
      </c>
      <c r="F28146" t="s">
        <v>4560</v>
      </c>
      <c r="G28146" s="9">
        <v>3858.97</v>
      </c>
      <c r="H28146" s="8">
        <v>13388</v>
      </c>
    </row>
    <row r="28147" spans="2:8" ht="15" customHeight="1" x14ac:dyDescent="0.4">
      <c r="B28147" t="s">
        <v>7</v>
      </c>
      <c r="C28147" t="s">
        <v>1022</v>
      </c>
      <c r="D28147" s="7">
        <f>DATE(2014,8,15)</f>
        <v>41866</v>
      </c>
      <c r="E28147" s="8">
        <f t="shared" si="479"/>
        <v>2014</v>
      </c>
      <c r="F28147" t="s">
        <v>4560</v>
      </c>
      <c r="G28147" s="9">
        <v>2209.64</v>
      </c>
      <c r="H28147" s="8">
        <v>13404</v>
      </c>
    </row>
    <row r="28148" spans="2:8" ht="15" customHeight="1" x14ac:dyDescent="0.4">
      <c r="B28148" s="3" t="s">
        <v>7</v>
      </c>
      <c r="C28148" s="3" t="s">
        <v>1022</v>
      </c>
      <c r="D28148" s="4">
        <f>DATE(2003,1,16)</f>
        <v>37637</v>
      </c>
      <c r="E28148" s="5">
        <f t="shared" si="479"/>
        <v>2003</v>
      </c>
      <c r="F28148" s="3" t="s">
        <v>4560</v>
      </c>
      <c r="G28148" s="6">
        <v>5782.65</v>
      </c>
      <c r="H28148" s="5">
        <v>54</v>
      </c>
    </row>
    <row r="28149" spans="2:8" ht="15" customHeight="1" x14ac:dyDescent="0.4">
      <c r="B28149" s="3" t="s">
        <v>7</v>
      </c>
      <c r="C28149" s="3" t="s">
        <v>1022</v>
      </c>
      <c r="D28149" s="4">
        <f>DATE(2003,6,11)</f>
        <v>37783</v>
      </c>
      <c r="E28149" s="5">
        <f t="shared" si="479"/>
        <v>2003</v>
      </c>
      <c r="F28149" s="3" t="s">
        <v>4560</v>
      </c>
      <c r="G28149" s="6">
        <v>9225</v>
      </c>
      <c r="H28149" s="5">
        <v>1073</v>
      </c>
    </row>
    <row r="28150" spans="2:8" ht="15" customHeight="1" x14ac:dyDescent="0.4">
      <c r="B28150" s="3" t="s">
        <v>7</v>
      </c>
      <c r="C28150" s="3" t="s">
        <v>1022</v>
      </c>
      <c r="D28150" s="4">
        <f>DATE(2003,12,4)</f>
        <v>37959</v>
      </c>
      <c r="E28150" s="5">
        <f t="shared" si="479"/>
        <v>2003</v>
      </c>
      <c r="F28150" s="3" t="s">
        <v>4560</v>
      </c>
      <c r="G28150" s="6">
        <v>4375</v>
      </c>
      <c r="H28150" s="5">
        <v>1868</v>
      </c>
    </row>
    <row r="28151" spans="2:8" ht="15" customHeight="1" x14ac:dyDescent="0.4">
      <c r="B28151" s="3" t="s">
        <v>7</v>
      </c>
      <c r="C28151" s="3" t="s">
        <v>1022</v>
      </c>
      <c r="D28151" s="4">
        <f>DATE(2004,1,30)</f>
        <v>38016</v>
      </c>
      <c r="E28151" s="5">
        <f t="shared" si="479"/>
        <v>2004</v>
      </c>
      <c r="F28151" s="3" t="s">
        <v>4560</v>
      </c>
      <c r="G28151" s="6">
        <v>2375</v>
      </c>
      <c r="H28151" s="5">
        <v>2059</v>
      </c>
    </row>
    <row r="28152" spans="2:8" ht="15" customHeight="1" x14ac:dyDescent="0.4">
      <c r="B28152" s="3" t="s">
        <v>7</v>
      </c>
      <c r="C28152" s="3" t="s">
        <v>1022</v>
      </c>
      <c r="D28152" s="4">
        <f>DATE(2004,3,31)</f>
        <v>38077</v>
      </c>
      <c r="E28152" s="5">
        <f t="shared" si="479"/>
        <v>2004</v>
      </c>
      <c r="F28152" s="3" t="s">
        <v>4560</v>
      </c>
      <c r="G28152" s="6">
        <v>5850</v>
      </c>
      <c r="H28152" s="5">
        <v>2520</v>
      </c>
    </row>
    <row r="28153" spans="2:8" ht="15" customHeight="1" x14ac:dyDescent="0.4">
      <c r="B28153" s="3" t="s">
        <v>7</v>
      </c>
      <c r="C28153" s="3" t="s">
        <v>1022</v>
      </c>
      <c r="D28153" s="4">
        <f>DATE(2004,3,31)</f>
        <v>38077</v>
      </c>
      <c r="E28153" s="5">
        <f t="shared" si="479"/>
        <v>2004</v>
      </c>
      <c r="F28153" s="3" t="s">
        <v>4560</v>
      </c>
      <c r="G28153" s="6">
        <v>5064</v>
      </c>
      <c r="H28153" s="5">
        <v>2518</v>
      </c>
    </row>
    <row r="28154" spans="2:8" ht="15" customHeight="1" x14ac:dyDescent="0.4">
      <c r="B28154" s="3" t="s">
        <v>7</v>
      </c>
      <c r="C28154" s="3" t="s">
        <v>1022</v>
      </c>
      <c r="D28154" s="4">
        <f>DATE(2004,4,28)</f>
        <v>38105</v>
      </c>
      <c r="E28154" s="5">
        <f t="shared" si="479"/>
        <v>2004</v>
      </c>
      <c r="F28154" s="3" t="s">
        <v>4560</v>
      </c>
      <c r="G28154" s="6">
        <v>1033.75</v>
      </c>
      <c r="H28154" s="5">
        <v>2545</v>
      </c>
    </row>
    <row r="28155" spans="2:8" ht="15" customHeight="1" x14ac:dyDescent="0.4">
      <c r="B28155" s="3" t="s">
        <v>7</v>
      </c>
      <c r="C28155" s="3" t="s">
        <v>1022</v>
      </c>
      <c r="D28155" s="4">
        <f>DATE(2004,5,5)</f>
        <v>38112</v>
      </c>
      <c r="E28155" s="5">
        <f t="shared" si="479"/>
        <v>2004</v>
      </c>
      <c r="F28155" s="3" t="s">
        <v>4560</v>
      </c>
      <c r="G28155" s="6">
        <v>4075</v>
      </c>
      <c r="H28155" s="5">
        <v>2811</v>
      </c>
    </row>
    <row r="28156" spans="2:8" ht="15" customHeight="1" x14ac:dyDescent="0.4">
      <c r="B28156" s="3" t="s">
        <v>7</v>
      </c>
      <c r="C28156" s="3" t="s">
        <v>1022</v>
      </c>
      <c r="D28156" s="4">
        <f>DATE(2004,11,17)</f>
        <v>38308</v>
      </c>
      <c r="E28156" s="5">
        <f t="shared" si="479"/>
        <v>2004</v>
      </c>
      <c r="F28156" s="3" t="s">
        <v>4560</v>
      </c>
      <c r="G28156" s="6">
        <v>724</v>
      </c>
      <c r="H28156" s="5">
        <v>3729</v>
      </c>
    </row>
    <row r="28157" spans="2:8" ht="15" customHeight="1" x14ac:dyDescent="0.4">
      <c r="B28157" s="3" t="s">
        <v>7</v>
      </c>
      <c r="C28157" s="3" t="s">
        <v>1022</v>
      </c>
      <c r="D28157" s="4">
        <f>DATE(2004,11,19)</f>
        <v>38310</v>
      </c>
      <c r="E28157" s="5">
        <f t="shared" si="479"/>
        <v>2004</v>
      </c>
      <c r="F28157" s="3" t="s">
        <v>4560</v>
      </c>
      <c r="G28157" s="6">
        <v>1323.6</v>
      </c>
      <c r="H28157" s="5">
        <v>3729</v>
      </c>
    </row>
    <row r="28158" spans="2:8" ht="15" customHeight="1" x14ac:dyDescent="0.4">
      <c r="B28158" s="3" t="s">
        <v>7</v>
      </c>
      <c r="C28158" s="3" t="s">
        <v>1022</v>
      </c>
      <c r="D28158" s="4">
        <f>DATE(2005,1,21)</f>
        <v>38373</v>
      </c>
      <c r="E28158" s="5">
        <f t="shared" si="479"/>
        <v>2005</v>
      </c>
      <c r="F28158" s="3" t="s">
        <v>4560</v>
      </c>
      <c r="G28158" s="6">
        <v>1787</v>
      </c>
      <c r="H28158" s="5">
        <v>4003</v>
      </c>
    </row>
    <row r="28159" spans="2:8" ht="15" customHeight="1" x14ac:dyDescent="0.4">
      <c r="B28159" s="3" t="s">
        <v>7</v>
      </c>
      <c r="C28159" s="3" t="s">
        <v>1022</v>
      </c>
      <c r="D28159" s="4">
        <f>DATE(2005,6,6)</f>
        <v>38509</v>
      </c>
      <c r="E28159" s="5">
        <f t="shared" si="479"/>
        <v>2005</v>
      </c>
      <c r="F28159" s="3" t="s">
        <v>4560</v>
      </c>
      <c r="G28159" s="6">
        <v>5918</v>
      </c>
      <c r="H28159" s="5">
        <v>4844</v>
      </c>
    </row>
    <row r="28160" spans="2:8" ht="15" customHeight="1" x14ac:dyDescent="0.4">
      <c r="B28160" s="3" t="s">
        <v>7</v>
      </c>
      <c r="C28160" s="3" t="s">
        <v>1022</v>
      </c>
      <c r="D28160" s="4">
        <f>DATE(2006,5,12)</f>
        <v>38849</v>
      </c>
      <c r="E28160" s="5">
        <f t="shared" si="479"/>
        <v>2006</v>
      </c>
      <c r="F28160" s="3" t="s">
        <v>4560</v>
      </c>
      <c r="G28160" s="6">
        <v>211.5</v>
      </c>
      <c r="H28160" s="5">
        <v>6720</v>
      </c>
    </row>
    <row r="28161" spans="2:8" ht="15" customHeight="1" x14ac:dyDescent="0.4">
      <c r="B28161" s="3" t="s">
        <v>7</v>
      </c>
      <c r="C28161" s="3" t="s">
        <v>1022</v>
      </c>
      <c r="D28161" s="4">
        <f>DATE(2007,3,9)</f>
        <v>39150</v>
      </c>
      <c r="E28161" s="5">
        <f t="shared" si="479"/>
        <v>2007</v>
      </c>
      <c r="F28161" s="3" t="s">
        <v>4560</v>
      </c>
      <c r="G28161" s="6">
        <v>2400</v>
      </c>
      <c r="H28161" s="5">
        <v>8095</v>
      </c>
    </row>
    <row r="28162" spans="2:8" ht="15" customHeight="1" x14ac:dyDescent="0.4">
      <c r="B28162" s="3" t="s">
        <v>7</v>
      </c>
      <c r="C28162" s="3" t="s">
        <v>1022</v>
      </c>
      <c r="D28162" s="4">
        <f>DATE(2007,6,20)</f>
        <v>39253</v>
      </c>
      <c r="E28162" s="5">
        <f t="shared" si="479"/>
        <v>2007</v>
      </c>
      <c r="F28162" s="3" t="s">
        <v>4560</v>
      </c>
      <c r="G28162" s="6">
        <v>4000</v>
      </c>
      <c r="H28162" s="5">
        <v>8765</v>
      </c>
    </row>
    <row r="28163" spans="2:8" ht="15" customHeight="1" x14ac:dyDescent="0.4">
      <c r="B28163" s="3" t="s">
        <v>7</v>
      </c>
      <c r="C28163" s="3" t="s">
        <v>1022</v>
      </c>
      <c r="D28163" s="4">
        <f>DATE(2008,1,15)</f>
        <v>39462</v>
      </c>
      <c r="E28163" s="5">
        <f t="shared" ref="E28163:E28226" si="480">YEAR(D28163)</f>
        <v>2008</v>
      </c>
      <c r="F28163" s="3" t="s">
        <v>4560</v>
      </c>
      <c r="G28163" s="6">
        <v>4500</v>
      </c>
      <c r="H28163" s="5">
        <v>9671</v>
      </c>
    </row>
    <row r="28164" spans="2:8" ht="15" customHeight="1" x14ac:dyDescent="0.4">
      <c r="B28164" s="3" t="s">
        <v>7</v>
      </c>
      <c r="C28164" s="3" t="s">
        <v>1022</v>
      </c>
      <c r="D28164" s="4">
        <f>DATE(2008,6,13)</f>
        <v>39612</v>
      </c>
      <c r="E28164" s="5">
        <f t="shared" si="480"/>
        <v>2008</v>
      </c>
      <c r="F28164" s="3" t="s">
        <v>4560</v>
      </c>
      <c r="G28164" s="6">
        <v>3600</v>
      </c>
      <c r="H28164" s="5">
        <v>10841</v>
      </c>
    </row>
    <row r="28165" spans="2:8" ht="15" customHeight="1" x14ac:dyDescent="0.4">
      <c r="B28165" s="3" t="s">
        <v>7</v>
      </c>
      <c r="C28165" s="3" t="s">
        <v>1022</v>
      </c>
      <c r="D28165" s="4">
        <f>DATE(2009,6,24)</f>
        <v>39988</v>
      </c>
      <c r="E28165" s="5">
        <f t="shared" si="480"/>
        <v>2009</v>
      </c>
      <c r="F28165" s="3" t="s">
        <v>4560</v>
      </c>
      <c r="G28165" s="6">
        <v>11710</v>
      </c>
      <c r="H28165" s="5">
        <v>12679</v>
      </c>
    </row>
    <row r="28166" spans="2:8" ht="15" customHeight="1" x14ac:dyDescent="0.4">
      <c r="B28166" s="3" t="s">
        <v>7</v>
      </c>
      <c r="C28166" s="3" t="s">
        <v>1022</v>
      </c>
      <c r="D28166" s="4">
        <f>DATE(2010,6,4)</f>
        <v>40333</v>
      </c>
      <c r="E28166" s="5">
        <f t="shared" si="480"/>
        <v>2010</v>
      </c>
      <c r="F28166" s="3" t="s">
        <v>4560</v>
      </c>
      <c r="G28166" s="6">
        <v>6840</v>
      </c>
      <c r="H28166" s="5">
        <v>14107</v>
      </c>
    </row>
    <row r="28167" spans="2:8" ht="15" customHeight="1" x14ac:dyDescent="0.4">
      <c r="B28167" s="3" t="s">
        <v>7</v>
      </c>
      <c r="C28167" s="3" t="s">
        <v>1022</v>
      </c>
      <c r="D28167" s="4">
        <f>DATE(2011,1,21)</f>
        <v>40564</v>
      </c>
      <c r="E28167" s="5">
        <f t="shared" si="480"/>
        <v>2011</v>
      </c>
      <c r="F28167" s="3" t="s">
        <v>4560</v>
      </c>
      <c r="G28167" s="6">
        <v>3200</v>
      </c>
      <c r="H28167" s="5">
        <v>14941</v>
      </c>
    </row>
    <row r="28168" spans="2:8" ht="15" customHeight="1" x14ac:dyDescent="0.4">
      <c r="B28168" s="3" t="s">
        <v>7</v>
      </c>
      <c r="C28168" s="3" t="s">
        <v>1022</v>
      </c>
      <c r="D28168" s="4">
        <f>DATE(2011,6,28)</f>
        <v>40722</v>
      </c>
      <c r="E28168" s="5">
        <f t="shared" si="480"/>
        <v>2011</v>
      </c>
      <c r="F28168" s="3" t="s">
        <v>4560</v>
      </c>
      <c r="G28168" s="6">
        <v>3600</v>
      </c>
      <c r="H28168" s="5">
        <v>15705</v>
      </c>
    </row>
    <row r="28169" spans="2:8" ht="15" customHeight="1" x14ac:dyDescent="0.4">
      <c r="B28169" s="3" t="s">
        <v>7</v>
      </c>
      <c r="C28169" s="3" t="s">
        <v>1022</v>
      </c>
      <c r="D28169" s="4">
        <f>DATE(2011,7,25)</f>
        <v>40749</v>
      </c>
      <c r="E28169" s="5">
        <f t="shared" si="480"/>
        <v>2011</v>
      </c>
      <c r="F28169" s="3" t="s">
        <v>4560</v>
      </c>
      <c r="G28169" s="6">
        <v>2800</v>
      </c>
      <c r="H28169" s="5">
        <v>15795</v>
      </c>
    </row>
    <row r="28170" spans="2:8" ht="15" customHeight="1" x14ac:dyDescent="0.4">
      <c r="B28170" s="3" t="s">
        <v>7</v>
      </c>
      <c r="C28170" s="3" t="s">
        <v>1022</v>
      </c>
      <c r="D28170" s="4">
        <f>DATE(2011,11,23)</f>
        <v>40870</v>
      </c>
      <c r="E28170" s="5">
        <f t="shared" si="480"/>
        <v>2011</v>
      </c>
      <c r="F28170" s="3" t="s">
        <v>4560</v>
      </c>
      <c r="G28170" s="6">
        <v>3995</v>
      </c>
      <c r="H28170" s="5">
        <v>16236</v>
      </c>
    </row>
    <row r="28171" spans="2:8" ht="15" customHeight="1" x14ac:dyDescent="0.4">
      <c r="B28171" s="3" t="s">
        <v>7</v>
      </c>
      <c r="C28171" s="3" t="s">
        <v>1022</v>
      </c>
      <c r="D28171" s="4">
        <f>DATE(2012,7,11)</f>
        <v>41101</v>
      </c>
      <c r="E28171" s="5">
        <f t="shared" si="480"/>
        <v>2012</v>
      </c>
      <c r="F28171" s="3" t="s">
        <v>4560</v>
      </c>
      <c r="G28171" s="6">
        <v>7200</v>
      </c>
      <c r="H28171" s="5">
        <v>17319</v>
      </c>
    </row>
    <row r="28172" spans="2:8" ht="15" customHeight="1" x14ac:dyDescent="0.4">
      <c r="B28172" s="3" t="s">
        <v>7</v>
      </c>
      <c r="C28172" s="3" t="s">
        <v>1022</v>
      </c>
      <c r="D28172" s="4">
        <f>DATE(2014,7,1)</f>
        <v>41821</v>
      </c>
      <c r="E28172" s="5">
        <f t="shared" si="480"/>
        <v>2014</v>
      </c>
      <c r="F28172" s="3" t="s">
        <v>4560</v>
      </c>
      <c r="G28172" s="6">
        <v>5320</v>
      </c>
      <c r="H28172" s="5">
        <v>20129</v>
      </c>
    </row>
    <row r="28173" spans="2:8" ht="15" customHeight="1" x14ac:dyDescent="0.4">
      <c r="B28173" s="3" t="s">
        <v>7</v>
      </c>
      <c r="C28173" s="3" t="s">
        <v>4561</v>
      </c>
      <c r="D28173" s="4">
        <f>DATE(2012,2,29)</f>
        <v>40968</v>
      </c>
      <c r="E28173" s="5">
        <f t="shared" si="480"/>
        <v>2012</v>
      </c>
      <c r="F28173" s="3" t="s">
        <v>4562</v>
      </c>
      <c r="G28173" s="6">
        <v>59057.38</v>
      </c>
      <c r="H28173" s="5">
        <v>4806</v>
      </c>
    </row>
    <row r="28174" spans="2:8" ht="15" customHeight="1" x14ac:dyDescent="0.4">
      <c r="B28174" t="s">
        <v>7</v>
      </c>
      <c r="C28174" t="s">
        <v>4563</v>
      </c>
      <c r="D28174" s="7">
        <f>DATE(2015,3,13)</f>
        <v>42076</v>
      </c>
      <c r="E28174" s="8">
        <f t="shared" si="480"/>
        <v>2015</v>
      </c>
      <c r="F28174" t="s">
        <v>4564</v>
      </c>
      <c r="G28174" s="9">
        <v>2777.78</v>
      </c>
      <c r="H28174" s="8">
        <v>5011</v>
      </c>
    </row>
    <row r="28175" spans="2:8" ht="15" customHeight="1" x14ac:dyDescent="0.4">
      <c r="B28175" t="s">
        <v>7</v>
      </c>
      <c r="C28175" t="s">
        <v>4563</v>
      </c>
      <c r="D28175" s="7">
        <f>DATE(2015,6,25)</f>
        <v>42180</v>
      </c>
      <c r="E28175" s="8">
        <f t="shared" si="480"/>
        <v>2015</v>
      </c>
      <c r="F28175" t="s">
        <v>4564</v>
      </c>
      <c r="G28175" s="9">
        <v>6751.93</v>
      </c>
      <c r="H28175" s="8">
        <v>20734</v>
      </c>
    </row>
    <row r="28176" spans="2:8" ht="15" customHeight="1" x14ac:dyDescent="0.4">
      <c r="B28176" t="s">
        <v>7</v>
      </c>
      <c r="C28176" t="s">
        <v>4563</v>
      </c>
      <c r="D28176" s="7">
        <f>DATE(2015,8,12)</f>
        <v>42228</v>
      </c>
      <c r="E28176" s="8">
        <f t="shared" si="480"/>
        <v>2015</v>
      </c>
      <c r="F28176" t="s">
        <v>4564</v>
      </c>
      <c r="G28176" s="9">
        <v>9401.11</v>
      </c>
      <c r="H28176" s="8">
        <v>20937</v>
      </c>
    </row>
    <row r="28177" spans="2:8" ht="15" customHeight="1" x14ac:dyDescent="0.4">
      <c r="B28177" t="s">
        <v>7</v>
      </c>
      <c r="C28177" t="s">
        <v>4563</v>
      </c>
      <c r="D28177" s="7">
        <f>DATE(2015,10,6)</f>
        <v>42283</v>
      </c>
      <c r="E28177" s="8">
        <f t="shared" si="480"/>
        <v>2015</v>
      </c>
      <c r="F28177" t="s">
        <v>4564</v>
      </c>
      <c r="G28177" s="9">
        <v>6452.72</v>
      </c>
      <c r="H28177" s="8">
        <v>21289</v>
      </c>
    </row>
    <row r="28178" spans="2:8" ht="15" customHeight="1" x14ac:dyDescent="0.4">
      <c r="B28178" t="s">
        <v>7</v>
      </c>
      <c r="C28178" t="s">
        <v>4563</v>
      </c>
      <c r="D28178" s="7">
        <f>DATE(2016,3,23)</f>
        <v>42452</v>
      </c>
      <c r="E28178" s="8">
        <f t="shared" si="480"/>
        <v>2016</v>
      </c>
      <c r="F28178" t="s">
        <v>4564</v>
      </c>
      <c r="G28178" s="9">
        <v>6453.05</v>
      </c>
      <c r="H28178" s="8">
        <v>22475</v>
      </c>
    </row>
    <row r="28179" spans="2:8" ht="15" customHeight="1" x14ac:dyDescent="0.4">
      <c r="B28179" t="s">
        <v>7</v>
      </c>
      <c r="C28179" t="s">
        <v>4563</v>
      </c>
      <c r="D28179" s="7">
        <f>DATE(2016,5,31)</f>
        <v>42521</v>
      </c>
      <c r="E28179" s="8">
        <f t="shared" si="480"/>
        <v>2016</v>
      </c>
      <c r="F28179" t="s">
        <v>4564</v>
      </c>
      <c r="G28179" s="9">
        <v>1058.01</v>
      </c>
      <c r="H28179" s="8">
        <v>22842</v>
      </c>
    </row>
    <row r="28180" spans="2:8" ht="15" customHeight="1" x14ac:dyDescent="0.4">
      <c r="B28180" t="s">
        <v>7</v>
      </c>
      <c r="C28180" t="s">
        <v>4563</v>
      </c>
      <c r="D28180" s="7">
        <f>DATE(2016,7,20)</f>
        <v>42571</v>
      </c>
      <c r="E28180" s="8">
        <f t="shared" si="480"/>
        <v>2016</v>
      </c>
      <c r="F28180" t="s">
        <v>4564</v>
      </c>
      <c r="G28180" s="9">
        <v>6482.81</v>
      </c>
      <c r="H28180" s="8">
        <v>23094</v>
      </c>
    </row>
    <row r="28181" spans="2:8" ht="15" customHeight="1" x14ac:dyDescent="0.4">
      <c r="B28181" t="s">
        <v>7</v>
      </c>
      <c r="C28181" t="s">
        <v>4563</v>
      </c>
      <c r="D28181" s="7">
        <f>DATE(2016,10,21)</f>
        <v>42664</v>
      </c>
      <c r="E28181" s="8">
        <f t="shared" si="480"/>
        <v>2016</v>
      </c>
      <c r="F28181" t="s">
        <v>4564</v>
      </c>
      <c r="G28181" s="9">
        <v>6773.45</v>
      </c>
      <c r="H28181" s="8">
        <v>23648</v>
      </c>
    </row>
    <row r="28182" spans="2:8" ht="15" customHeight="1" x14ac:dyDescent="0.4">
      <c r="B28182" t="s">
        <v>7</v>
      </c>
      <c r="C28182" t="s">
        <v>4563</v>
      </c>
      <c r="D28182" s="7">
        <f>DATE(2017,2,28)</f>
        <v>42794</v>
      </c>
      <c r="E28182" s="8">
        <f t="shared" si="480"/>
        <v>2017</v>
      </c>
      <c r="F28182" t="s">
        <v>4564</v>
      </c>
      <c r="G28182" s="9">
        <v>8253.76</v>
      </c>
      <c r="H28182" s="8">
        <v>24363</v>
      </c>
    </row>
    <row r="28183" spans="2:8" ht="15" customHeight="1" x14ac:dyDescent="0.4">
      <c r="B28183" t="s">
        <v>7</v>
      </c>
      <c r="C28183" t="s">
        <v>4563</v>
      </c>
      <c r="D28183" s="7">
        <f>DATE(2017,9,8)</f>
        <v>42986</v>
      </c>
      <c r="E28183" s="8">
        <f t="shared" si="480"/>
        <v>2017</v>
      </c>
      <c r="F28183" t="s">
        <v>4564</v>
      </c>
      <c r="G28183" s="9">
        <v>5478.78</v>
      </c>
      <c r="H28183" s="8">
        <v>25477</v>
      </c>
    </row>
    <row r="28184" spans="2:8" ht="15" customHeight="1" x14ac:dyDescent="0.4">
      <c r="B28184" t="s">
        <v>7</v>
      </c>
      <c r="C28184" t="s">
        <v>4563</v>
      </c>
      <c r="D28184" s="7">
        <f>DATE(2017,11,28)</f>
        <v>43067</v>
      </c>
      <c r="E28184" s="8">
        <f t="shared" si="480"/>
        <v>2017</v>
      </c>
      <c r="F28184" t="s">
        <v>4564</v>
      </c>
      <c r="G28184" s="9">
        <v>4146.9399999999996</v>
      </c>
      <c r="H28184" s="8">
        <v>25951</v>
      </c>
    </row>
    <row r="28185" spans="2:8" ht="15" customHeight="1" x14ac:dyDescent="0.4">
      <c r="B28185" t="s">
        <v>7</v>
      </c>
      <c r="C28185" t="s">
        <v>4563</v>
      </c>
      <c r="D28185" s="7">
        <f>DATE(2018,3,9)</f>
        <v>43168</v>
      </c>
      <c r="E28185" s="8">
        <f t="shared" si="480"/>
        <v>2018</v>
      </c>
      <c r="F28185" t="s">
        <v>4564</v>
      </c>
      <c r="G28185" s="9">
        <v>6810.89</v>
      </c>
      <c r="H28185" s="8">
        <v>26621</v>
      </c>
    </row>
    <row r="28186" spans="2:8" ht="15" customHeight="1" x14ac:dyDescent="0.4">
      <c r="B28186" t="s">
        <v>7</v>
      </c>
      <c r="C28186" t="s">
        <v>4563</v>
      </c>
      <c r="D28186" s="7">
        <f>DATE(2018,7,17)</f>
        <v>43298</v>
      </c>
      <c r="E28186" s="8">
        <f t="shared" si="480"/>
        <v>2018</v>
      </c>
      <c r="F28186" t="s">
        <v>4564</v>
      </c>
      <c r="G28186" s="9">
        <v>6833.42</v>
      </c>
      <c r="H28186" s="8">
        <v>27360</v>
      </c>
    </row>
    <row r="28187" spans="2:8" ht="15" customHeight="1" x14ac:dyDescent="0.4">
      <c r="B28187" t="s">
        <v>7</v>
      </c>
      <c r="C28187" t="s">
        <v>4563</v>
      </c>
      <c r="D28187" s="7">
        <f>DATE(2018,8,22)</f>
        <v>43334</v>
      </c>
      <c r="E28187" s="8">
        <f t="shared" si="480"/>
        <v>2018</v>
      </c>
      <c r="F28187" t="s">
        <v>4564</v>
      </c>
      <c r="G28187" s="9">
        <v>266.47000000000003</v>
      </c>
      <c r="H28187" s="8">
        <v>27461</v>
      </c>
    </row>
    <row r="28188" spans="2:8" ht="15" customHeight="1" x14ac:dyDescent="0.4">
      <c r="B28188" t="s">
        <v>7</v>
      </c>
      <c r="C28188" t="s">
        <v>4563</v>
      </c>
      <c r="D28188" s="7">
        <f>DATE(2019,1,18)</f>
        <v>43483</v>
      </c>
      <c r="E28188" s="8">
        <f t="shared" si="480"/>
        <v>2019</v>
      </c>
      <c r="F28188" t="s">
        <v>4564</v>
      </c>
      <c r="G28188" s="9">
        <v>13961.64</v>
      </c>
      <c r="H28188" s="8">
        <v>28202</v>
      </c>
    </row>
    <row r="28189" spans="2:8" ht="15" customHeight="1" x14ac:dyDescent="0.4">
      <c r="B28189" t="s">
        <v>7</v>
      </c>
      <c r="C28189" t="s">
        <v>4563</v>
      </c>
      <c r="D28189" s="7">
        <f>DATE(2019,1,23)</f>
        <v>43488</v>
      </c>
      <c r="E28189" s="8">
        <f t="shared" si="480"/>
        <v>2019</v>
      </c>
      <c r="F28189" t="s">
        <v>4564</v>
      </c>
      <c r="G28189" s="9">
        <v>5207.49</v>
      </c>
      <c r="H28189" s="8">
        <v>28294</v>
      </c>
    </row>
    <row r="28190" spans="2:8" ht="15" customHeight="1" x14ac:dyDescent="0.4">
      <c r="B28190" t="s">
        <v>7</v>
      </c>
      <c r="C28190" t="s">
        <v>4563</v>
      </c>
      <c r="D28190" s="7">
        <f>DATE(2016,9,7)</f>
        <v>42620</v>
      </c>
      <c r="E28190" s="8">
        <f t="shared" si="480"/>
        <v>2016</v>
      </c>
      <c r="F28190" t="s">
        <v>4564</v>
      </c>
      <c r="G28190" s="9">
        <v>3895.11</v>
      </c>
      <c r="H28190" s="8">
        <v>23425</v>
      </c>
    </row>
    <row r="28191" spans="2:8" ht="15" customHeight="1" x14ac:dyDescent="0.4">
      <c r="B28191" t="s">
        <v>7</v>
      </c>
      <c r="C28191" t="s">
        <v>4563</v>
      </c>
      <c r="D28191" s="7">
        <f>DATE(2008,4,1)</f>
        <v>39539</v>
      </c>
      <c r="E28191" s="8">
        <f t="shared" si="480"/>
        <v>2008</v>
      </c>
      <c r="F28191" t="s">
        <v>4564</v>
      </c>
      <c r="G28191" s="9">
        <v>29204.36</v>
      </c>
      <c r="H28191" s="8">
        <v>6945</v>
      </c>
    </row>
    <row r="28192" spans="2:8" ht="15" customHeight="1" x14ac:dyDescent="0.4">
      <c r="B28192" t="s">
        <v>7</v>
      </c>
      <c r="C28192" t="s">
        <v>4563</v>
      </c>
      <c r="D28192" s="7">
        <f>DATE(2014,4,3)</f>
        <v>41732</v>
      </c>
      <c r="E28192" s="8">
        <f t="shared" si="480"/>
        <v>2014</v>
      </c>
      <c r="F28192" t="s">
        <v>4564</v>
      </c>
      <c r="G28192" s="9">
        <v>31261.5</v>
      </c>
      <c r="H28192" s="8">
        <v>12979</v>
      </c>
    </row>
    <row r="28193" spans="2:8" ht="15" customHeight="1" x14ac:dyDescent="0.4">
      <c r="B28193" t="s">
        <v>7</v>
      </c>
      <c r="C28193" t="s">
        <v>4563</v>
      </c>
      <c r="D28193" s="7">
        <f>DATE(2004,7,3)</f>
        <v>38171</v>
      </c>
      <c r="E28193" s="8">
        <f t="shared" si="480"/>
        <v>2004</v>
      </c>
      <c r="F28193" t="s">
        <v>4564</v>
      </c>
      <c r="G28193" s="9">
        <v>4676.13</v>
      </c>
      <c r="H28193" s="8">
        <v>1834</v>
      </c>
    </row>
    <row r="28194" spans="2:8" ht="15" customHeight="1" x14ac:dyDescent="0.4">
      <c r="B28194" t="s">
        <v>7</v>
      </c>
      <c r="C28194" t="s">
        <v>4563</v>
      </c>
      <c r="D28194" s="7">
        <f>DATE(2006,6,30)</f>
        <v>38898</v>
      </c>
      <c r="E28194" s="8">
        <f t="shared" si="480"/>
        <v>2006</v>
      </c>
      <c r="F28194" t="s">
        <v>4564</v>
      </c>
      <c r="G28194" s="9">
        <v>22140.29</v>
      </c>
      <c r="H28194" s="8">
        <v>4716</v>
      </c>
    </row>
    <row r="28195" spans="2:8" ht="15" customHeight="1" x14ac:dyDescent="0.4">
      <c r="B28195" t="s">
        <v>7</v>
      </c>
      <c r="C28195" t="s">
        <v>4563</v>
      </c>
      <c r="D28195" s="7">
        <f>DATE(2007,2,8)</f>
        <v>39121</v>
      </c>
      <c r="E28195" s="8">
        <f t="shared" si="480"/>
        <v>2007</v>
      </c>
      <c r="F28195" t="s">
        <v>4564</v>
      </c>
      <c r="G28195" s="9">
        <v>6374.46</v>
      </c>
      <c r="H28195" s="8">
        <v>5539</v>
      </c>
    </row>
    <row r="28196" spans="2:8" ht="15" customHeight="1" x14ac:dyDescent="0.4">
      <c r="B28196" t="s">
        <v>7</v>
      </c>
      <c r="C28196" t="s">
        <v>4563</v>
      </c>
      <c r="D28196" s="7">
        <f>DATE(2007,3,8)</f>
        <v>39149</v>
      </c>
      <c r="E28196" s="8">
        <f t="shared" si="480"/>
        <v>2007</v>
      </c>
      <c r="F28196" t="s">
        <v>4564</v>
      </c>
      <c r="G28196" s="9">
        <v>7349.48</v>
      </c>
      <c r="H28196" s="8">
        <v>5668</v>
      </c>
    </row>
    <row r="28197" spans="2:8" ht="15" customHeight="1" x14ac:dyDescent="0.4">
      <c r="B28197" t="s">
        <v>7</v>
      </c>
      <c r="C28197" t="s">
        <v>4563</v>
      </c>
      <c r="D28197" s="7">
        <f>DATE(2007,12,15)</f>
        <v>39431</v>
      </c>
      <c r="E28197" s="8">
        <f t="shared" si="480"/>
        <v>2007</v>
      </c>
      <c r="F28197" t="s">
        <v>4564</v>
      </c>
      <c r="G28197" s="9">
        <v>6351.81</v>
      </c>
      <c r="H28197" s="8">
        <v>6671</v>
      </c>
    </row>
    <row r="28198" spans="2:8" ht="15" customHeight="1" x14ac:dyDescent="0.4">
      <c r="B28198" t="s">
        <v>7</v>
      </c>
      <c r="C28198" t="s">
        <v>4563</v>
      </c>
      <c r="D28198" s="7">
        <f>DATE(2008,1,30)</f>
        <v>39477</v>
      </c>
      <c r="E28198" s="8">
        <f t="shared" si="480"/>
        <v>2008</v>
      </c>
      <c r="F28198" t="s">
        <v>4564</v>
      </c>
      <c r="G28198" s="9">
        <v>29294.01</v>
      </c>
      <c r="H28198" s="8">
        <v>6667</v>
      </c>
    </row>
    <row r="28199" spans="2:8" ht="15" customHeight="1" x14ac:dyDescent="0.4">
      <c r="B28199" t="s">
        <v>7</v>
      </c>
      <c r="C28199" t="s">
        <v>4563</v>
      </c>
      <c r="D28199" s="7">
        <f>DATE(2009,3,24)</f>
        <v>39896</v>
      </c>
      <c r="E28199" s="8">
        <f t="shared" si="480"/>
        <v>2009</v>
      </c>
      <c r="F28199" t="s">
        <v>4564</v>
      </c>
      <c r="G28199" s="9">
        <v>4070.2</v>
      </c>
      <c r="H28199" s="8">
        <v>8362</v>
      </c>
    </row>
    <row r="28200" spans="2:8" ht="15" customHeight="1" x14ac:dyDescent="0.4">
      <c r="B28200" t="s">
        <v>7</v>
      </c>
      <c r="C28200" t="s">
        <v>4563</v>
      </c>
      <c r="D28200" s="7">
        <f>DATE(2010,5,4)</f>
        <v>40302</v>
      </c>
      <c r="E28200" s="8">
        <f t="shared" si="480"/>
        <v>2010</v>
      </c>
      <c r="F28200" t="s">
        <v>4564</v>
      </c>
      <c r="G28200" s="9">
        <v>6790.26</v>
      </c>
      <c r="H28200" s="8">
        <v>9812</v>
      </c>
    </row>
    <row r="28201" spans="2:8" ht="15" customHeight="1" x14ac:dyDescent="0.4">
      <c r="B28201" t="s">
        <v>7</v>
      </c>
      <c r="C28201" t="s">
        <v>4563</v>
      </c>
      <c r="D28201" s="7">
        <f>DATE(2011,5,11)</f>
        <v>40674</v>
      </c>
      <c r="E28201" s="8">
        <f t="shared" si="480"/>
        <v>2011</v>
      </c>
      <c r="F28201" t="s">
        <v>4564</v>
      </c>
      <c r="G28201" s="9">
        <v>5802.37</v>
      </c>
      <c r="H28201" s="8">
        <v>10679</v>
      </c>
    </row>
    <row r="28202" spans="2:8" ht="15" customHeight="1" x14ac:dyDescent="0.4">
      <c r="B28202" t="s">
        <v>7</v>
      </c>
      <c r="C28202" t="s">
        <v>4563</v>
      </c>
      <c r="D28202" s="7">
        <f>DATE(2014,6,13)</f>
        <v>41803</v>
      </c>
      <c r="E28202" s="8">
        <f t="shared" si="480"/>
        <v>2014</v>
      </c>
      <c r="F28202" t="s">
        <v>4564</v>
      </c>
      <c r="G28202" s="9">
        <v>3266.79</v>
      </c>
      <c r="H28202" s="8">
        <v>13231</v>
      </c>
    </row>
    <row r="28203" spans="2:8" ht="15" customHeight="1" x14ac:dyDescent="0.4">
      <c r="B28203" s="3" t="s">
        <v>7</v>
      </c>
      <c r="C28203" s="3" t="s">
        <v>4563</v>
      </c>
      <c r="D28203" s="4">
        <f>DATE(2003,5,20)</f>
        <v>37761</v>
      </c>
      <c r="E28203" s="5">
        <f t="shared" si="480"/>
        <v>2003</v>
      </c>
      <c r="F28203" s="3" t="s">
        <v>4564</v>
      </c>
      <c r="G28203" s="6">
        <v>14096.4</v>
      </c>
      <c r="H28203" s="5">
        <v>933</v>
      </c>
    </row>
    <row r="28204" spans="2:8" ht="15" customHeight="1" x14ac:dyDescent="0.4">
      <c r="B28204" s="3" t="s">
        <v>7</v>
      </c>
      <c r="C28204" s="3" t="s">
        <v>4563</v>
      </c>
      <c r="D28204" s="4">
        <f>DATE(2004,4,9)</f>
        <v>38086</v>
      </c>
      <c r="E28204" s="5">
        <f t="shared" si="480"/>
        <v>2004</v>
      </c>
      <c r="F28204" s="3" t="s">
        <v>4564</v>
      </c>
      <c r="G28204" s="6">
        <v>5587.3</v>
      </c>
      <c r="H28204" s="5">
        <v>2396</v>
      </c>
    </row>
    <row r="28205" spans="2:8" ht="15" customHeight="1" x14ac:dyDescent="0.4">
      <c r="B28205" s="3" t="s">
        <v>7</v>
      </c>
      <c r="C28205" s="3" t="s">
        <v>4563</v>
      </c>
      <c r="D28205" s="4">
        <f>DATE(2004,6,21)</f>
        <v>38159</v>
      </c>
      <c r="E28205" s="5">
        <f t="shared" si="480"/>
        <v>2004</v>
      </c>
      <c r="F28205" s="3" t="s">
        <v>4564</v>
      </c>
      <c r="G28205" s="6">
        <v>672.6</v>
      </c>
      <c r="H28205" s="5">
        <v>3014</v>
      </c>
    </row>
    <row r="28206" spans="2:8" ht="15" customHeight="1" x14ac:dyDescent="0.4">
      <c r="B28206" s="3" t="s">
        <v>7</v>
      </c>
      <c r="C28206" s="3" t="s">
        <v>4563</v>
      </c>
      <c r="D28206" s="4">
        <f>DATE(2004,6,21)</f>
        <v>38159</v>
      </c>
      <c r="E28206" s="5">
        <f t="shared" si="480"/>
        <v>2004</v>
      </c>
      <c r="F28206" s="3" t="s">
        <v>4564</v>
      </c>
      <c r="G28206" s="6">
        <v>4790.1000000000004</v>
      </c>
      <c r="H28206" s="5">
        <v>2878</v>
      </c>
    </row>
    <row r="28207" spans="2:8" ht="15" customHeight="1" x14ac:dyDescent="0.4">
      <c r="B28207" s="3" t="s">
        <v>7</v>
      </c>
      <c r="C28207" s="3" t="s">
        <v>4563</v>
      </c>
      <c r="D28207" s="4">
        <f>DATE(2004,7,9)</f>
        <v>38177</v>
      </c>
      <c r="E28207" s="5">
        <f t="shared" si="480"/>
        <v>2004</v>
      </c>
      <c r="F28207" s="3" t="s">
        <v>4564</v>
      </c>
      <c r="G28207" s="6">
        <v>31963</v>
      </c>
      <c r="H28207" s="5">
        <v>3116</v>
      </c>
    </row>
    <row r="28208" spans="2:8" ht="15" customHeight="1" x14ac:dyDescent="0.4">
      <c r="B28208" s="3" t="s">
        <v>7</v>
      </c>
      <c r="C28208" s="3" t="s">
        <v>4563</v>
      </c>
      <c r="D28208" s="4">
        <f>DATE(2004,7,28)</f>
        <v>38196</v>
      </c>
      <c r="E28208" s="5">
        <f t="shared" si="480"/>
        <v>2004</v>
      </c>
      <c r="F28208" s="3" t="s">
        <v>4564</v>
      </c>
      <c r="G28208" s="6">
        <v>5131.2</v>
      </c>
      <c r="H28208" s="5">
        <v>3195</v>
      </c>
    </row>
    <row r="28209" spans="2:8" ht="15" customHeight="1" x14ac:dyDescent="0.4">
      <c r="B28209" s="3" t="s">
        <v>7</v>
      </c>
      <c r="C28209" s="3" t="s">
        <v>4563</v>
      </c>
      <c r="D28209" s="4">
        <f>DATE(2004,9,14)</f>
        <v>38244</v>
      </c>
      <c r="E28209" s="5">
        <f t="shared" si="480"/>
        <v>2004</v>
      </c>
      <c r="F28209" s="3" t="s">
        <v>4564</v>
      </c>
      <c r="G28209" s="6">
        <v>7446.5</v>
      </c>
      <c r="H28209" s="5">
        <v>3354</v>
      </c>
    </row>
    <row r="28210" spans="2:8" ht="15" customHeight="1" x14ac:dyDescent="0.4">
      <c r="B28210" s="3" t="s">
        <v>7</v>
      </c>
      <c r="C28210" s="3" t="s">
        <v>4563</v>
      </c>
      <c r="D28210" s="4">
        <f>DATE(2004,9,22)</f>
        <v>38252</v>
      </c>
      <c r="E28210" s="5">
        <f t="shared" si="480"/>
        <v>2004</v>
      </c>
      <c r="F28210" s="3" t="s">
        <v>4564</v>
      </c>
      <c r="G28210" s="6">
        <v>2881.5</v>
      </c>
      <c r="H28210" s="5">
        <v>3435</v>
      </c>
    </row>
    <row r="28211" spans="2:8" ht="15" customHeight="1" x14ac:dyDescent="0.4">
      <c r="B28211" s="3" t="s">
        <v>7</v>
      </c>
      <c r="C28211" s="3" t="s">
        <v>4563</v>
      </c>
      <c r="D28211" s="4">
        <f>DATE(2004,10,1)</f>
        <v>38261</v>
      </c>
      <c r="E28211" s="5">
        <f t="shared" si="480"/>
        <v>2004</v>
      </c>
      <c r="F28211" s="3" t="s">
        <v>4564</v>
      </c>
      <c r="G28211" s="6">
        <v>25105.5</v>
      </c>
      <c r="H28211" s="5">
        <v>3248</v>
      </c>
    </row>
    <row r="28212" spans="2:8" ht="15" customHeight="1" x14ac:dyDescent="0.4">
      <c r="B28212" s="3" t="s">
        <v>7</v>
      </c>
      <c r="C28212" s="3" t="s">
        <v>4563</v>
      </c>
      <c r="D28212" s="4">
        <f>DATE(2004,10,4)</f>
        <v>38264</v>
      </c>
      <c r="E28212" s="5">
        <f t="shared" si="480"/>
        <v>2004</v>
      </c>
      <c r="F28212" s="3" t="s">
        <v>4564</v>
      </c>
      <c r="G28212" s="6">
        <v>1349.3</v>
      </c>
      <c r="H28212" s="5">
        <v>3514</v>
      </c>
    </row>
    <row r="28213" spans="2:8" ht="15" customHeight="1" x14ac:dyDescent="0.4">
      <c r="B28213" s="3" t="s">
        <v>7</v>
      </c>
      <c r="C28213" s="3" t="s">
        <v>4563</v>
      </c>
      <c r="D28213" s="4">
        <f>DATE(2004,10,6)</f>
        <v>38266</v>
      </c>
      <c r="E28213" s="5">
        <f t="shared" si="480"/>
        <v>2004</v>
      </c>
      <c r="F28213" s="3" t="s">
        <v>4564</v>
      </c>
      <c r="G28213" s="6">
        <v>586</v>
      </c>
      <c r="H28213" s="5">
        <v>3522</v>
      </c>
    </row>
    <row r="28214" spans="2:8" ht="15" customHeight="1" x14ac:dyDescent="0.4">
      <c r="B28214" s="3" t="s">
        <v>7</v>
      </c>
      <c r="C28214" s="3" t="s">
        <v>4563</v>
      </c>
      <c r="D28214" s="4">
        <f>DATE(2004,10,25)</f>
        <v>38285</v>
      </c>
      <c r="E28214" s="5">
        <f t="shared" si="480"/>
        <v>2004</v>
      </c>
      <c r="F28214" s="3" t="s">
        <v>4564</v>
      </c>
      <c r="G28214" s="6">
        <v>5205.6000000000004</v>
      </c>
      <c r="H28214" s="5">
        <v>3605</v>
      </c>
    </row>
    <row r="28215" spans="2:8" ht="15" customHeight="1" x14ac:dyDescent="0.4">
      <c r="B28215" s="3" t="s">
        <v>7</v>
      </c>
      <c r="C28215" s="3" t="s">
        <v>4563</v>
      </c>
      <c r="D28215" s="4">
        <f>DATE(2005,5,27)</f>
        <v>38499</v>
      </c>
      <c r="E28215" s="5">
        <f t="shared" si="480"/>
        <v>2005</v>
      </c>
      <c r="F28215" s="3" t="s">
        <v>4564</v>
      </c>
      <c r="G28215" s="6">
        <v>5642.7</v>
      </c>
      <c r="H28215" s="5">
        <v>4797</v>
      </c>
    </row>
    <row r="28216" spans="2:8" ht="15" customHeight="1" x14ac:dyDescent="0.4">
      <c r="B28216" s="3" t="s">
        <v>7</v>
      </c>
      <c r="C28216" s="3" t="s">
        <v>4563</v>
      </c>
      <c r="D28216" s="4">
        <f>DATE(2005,6,21)</f>
        <v>38524</v>
      </c>
      <c r="E28216" s="5">
        <f t="shared" si="480"/>
        <v>2005</v>
      </c>
      <c r="F28216" s="3" t="s">
        <v>4564</v>
      </c>
      <c r="G28216" s="6">
        <v>5100.96</v>
      </c>
      <c r="H28216" s="5">
        <v>4908</v>
      </c>
    </row>
    <row r="28217" spans="2:8" ht="15" customHeight="1" x14ac:dyDescent="0.4">
      <c r="B28217" s="3" t="s">
        <v>7</v>
      </c>
      <c r="C28217" s="3" t="s">
        <v>4563</v>
      </c>
      <c r="D28217" s="4">
        <f>DATE(2005,10,7)</f>
        <v>38632</v>
      </c>
      <c r="E28217" s="5">
        <f t="shared" si="480"/>
        <v>2005</v>
      </c>
      <c r="F28217" s="3" t="s">
        <v>4564</v>
      </c>
      <c r="G28217" s="6">
        <v>7615.8</v>
      </c>
      <c r="H28217" s="5">
        <v>5302</v>
      </c>
    </row>
    <row r="28218" spans="2:8" ht="15" customHeight="1" x14ac:dyDescent="0.4">
      <c r="B28218" s="3" t="s">
        <v>7</v>
      </c>
      <c r="C28218" s="3" t="s">
        <v>4563</v>
      </c>
      <c r="D28218" s="4">
        <f>DATE(2005,12,27)</f>
        <v>38713</v>
      </c>
      <c r="E28218" s="5">
        <f t="shared" si="480"/>
        <v>2005</v>
      </c>
      <c r="F28218" s="3" t="s">
        <v>4564</v>
      </c>
      <c r="G28218" s="6">
        <v>10233.6</v>
      </c>
      <c r="H28218" s="5">
        <v>5624</v>
      </c>
    </row>
    <row r="28219" spans="2:8" ht="15" customHeight="1" x14ac:dyDescent="0.4">
      <c r="B28219" s="3" t="s">
        <v>7</v>
      </c>
      <c r="C28219" s="3" t="s">
        <v>4563</v>
      </c>
      <c r="D28219" s="4">
        <f>DATE(2006,1,9)</f>
        <v>38726</v>
      </c>
      <c r="E28219" s="5">
        <f t="shared" si="480"/>
        <v>2006</v>
      </c>
      <c r="F28219" s="3" t="s">
        <v>4564</v>
      </c>
      <c r="G28219" s="6">
        <v>8448</v>
      </c>
      <c r="H28219" s="5">
        <v>5811</v>
      </c>
    </row>
    <row r="28220" spans="2:8" ht="15" customHeight="1" x14ac:dyDescent="0.4">
      <c r="B28220" s="3" t="s">
        <v>7</v>
      </c>
      <c r="C28220" s="3" t="s">
        <v>4563</v>
      </c>
      <c r="D28220" s="4">
        <f>DATE(2006,2,2)</f>
        <v>38750</v>
      </c>
      <c r="E28220" s="5">
        <f t="shared" si="480"/>
        <v>2006</v>
      </c>
      <c r="F28220" s="3" t="s">
        <v>4564</v>
      </c>
      <c r="G28220" s="6">
        <v>1034.93</v>
      </c>
      <c r="H28220" s="5">
        <v>5894</v>
      </c>
    </row>
    <row r="28221" spans="2:8" ht="15" customHeight="1" x14ac:dyDescent="0.4">
      <c r="B28221" s="3" t="s">
        <v>7</v>
      </c>
      <c r="C28221" s="3" t="s">
        <v>4563</v>
      </c>
      <c r="D28221" s="4">
        <f>DATE(2006,3,10)</f>
        <v>38786</v>
      </c>
      <c r="E28221" s="5">
        <f t="shared" si="480"/>
        <v>2006</v>
      </c>
      <c r="F28221" s="3" t="s">
        <v>4564</v>
      </c>
      <c r="G28221" s="6">
        <v>17010.3</v>
      </c>
      <c r="H28221" s="5">
        <v>5763</v>
      </c>
    </row>
    <row r="28222" spans="2:8" ht="15" customHeight="1" x14ac:dyDescent="0.4">
      <c r="B28222" s="3" t="s">
        <v>7</v>
      </c>
      <c r="C28222" s="3" t="s">
        <v>4563</v>
      </c>
      <c r="D28222" s="4">
        <f>DATE(2006,4,11)</f>
        <v>38818</v>
      </c>
      <c r="E28222" s="5">
        <f t="shared" si="480"/>
        <v>2006</v>
      </c>
      <c r="F28222" s="3" t="s">
        <v>4564</v>
      </c>
      <c r="G28222" s="6">
        <v>5543.43</v>
      </c>
      <c r="H28222" s="5">
        <v>6389</v>
      </c>
    </row>
    <row r="28223" spans="2:8" ht="15" customHeight="1" x14ac:dyDescent="0.4">
      <c r="B28223" s="3" t="s">
        <v>7</v>
      </c>
      <c r="C28223" s="3" t="s">
        <v>4563</v>
      </c>
      <c r="D28223" s="4">
        <f>DATE(2006,4,13)</f>
        <v>38820</v>
      </c>
      <c r="E28223" s="5">
        <f t="shared" si="480"/>
        <v>2006</v>
      </c>
      <c r="F28223" s="3" t="s">
        <v>4564</v>
      </c>
      <c r="G28223" s="6">
        <v>6347.29</v>
      </c>
      <c r="H28223" s="5">
        <v>6492</v>
      </c>
    </row>
    <row r="28224" spans="2:8" ht="15" customHeight="1" x14ac:dyDescent="0.4">
      <c r="B28224" s="3" t="s">
        <v>7</v>
      </c>
      <c r="C28224" s="3" t="s">
        <v>4563</v>
      </c>
      <c r="D28224" s="4">
        <f>DATE(2006,4,19)</f>
        <v>38826</v>
      </c>
      <c r="E28224" s="5">
        <f t="shared" si="480"/>
        <v>2006</v>
      </c>
      <c r="F28224" s="3" t="s">
        <v>4564</v>
      </c>
      <c r="G28224" s="6">
        <v>5907.08</v>
      </c>
      <c r="H28224" s="5">
        <v>6532</v>
      </c>
    </row>
    <row r="28225" spans="2:8" ht="15" customHeight="1" x14ac:dyDescent="0.4">
      <c r="B28225" s="3" t="s">
        <v>7</v>
      </c>
      <c r="C28225" s="3" t="s">
        <v>4563</v>
      </c>
      <c r="D28225" s="4">
        <f>DATE(2006,5,12)</f>
        <v>38849</v>
      </c>
      <c r="E28225" s="5">
        <f t="shared" si="480"/>
        <v>2006</v>
      </c>
      <c r="F28225" s="3" t="s">
        <v>4564</v>
      </c>
      <c r="G28225" s="6">
        <v>656.93</v>
      </c>
      <c r="H28225" s="5">
        <v>6677</v>
      </c>
    </row>
    <row r="28226" spans="2:8" ht="15" customHeight="1" x14ac:dyDescent="0.4">
      <c r="B28226" s="3" t="s">
        <v>7</v>
      </c>
      <c r="C28226" s="3" t="s">
        <v>4563</v>
      </c>
      <c r="D28226" s="4">
        <f>DATE(2006,6,28)</f>
        <v>38896</v>
      </c>
      <c r="E28226" s="5">
        <f t="shared" si="480"/>
        <v>2006</v>
      </c>
      <c r="F28226" s="3" t="s">
        <v>4564</v>
      </c>
      <c r="G28226" s="6">
        <v>7784.64</v>
      </c>
      <c r="H28226" s="5">
        <v>6895</v>
      </c>
    </row>
    <row r="28227" spans="2:8" ht="15" customHeight="1" x14ac:dyDescent="0.4">
      <c r="B28227" s="3" t="s">
        <v>7</v>
      </c>
      <c r="C28227" s="3" t="s">
        <v>4563</v>
      </c>
      <c r="D28227" s="4">
        <f>DATE(2006,10,13)</f>
        <v>39003</v>
      </c>
      <c r="E28227" s="5">
        <f t="shared" ref="E28227:E28290" si="481">YEAR(D28227)</f>
        <v>2006</v>
      </c>
      <c r="F28227" s="3" t="s">
        <v>4564</v>
      </c>
      <c r="G28227" s="6">
        <v>3351.51</v>
      </c>
      <c r="H28227" s="5">
        <v>7379</v>
      </c>
    </row>
    <row r="28228" spans="2:8" ht="15" customHeight="1" x14ac:dyDescent="0.4">
      <c r="B28228" s="3" t="s">
        <v>7</v>
      </c>
      <c r="C28228" s="3" t="s">
        <v>4563</v>
      </c>
      <c r="D28228" s="4">
        <f>DATE(2007,2,16)</f>
        <v>39129</v>
      </c>
      <c r="E28228" s="5">
        <f t="shared" si="481"/>
        <v>2007</v>
      </c>
      <c r="F28228" s="3" t="s">
        <v>4564</v>
      </c>
      <c r="G28228" s="6">
        <v>6486.85</v>
      </c>
      <c r="H28228" s="5">
        <v>7880</v>
      </c>
    </row>
    <row r="28229" spans="2:8" ht="15" customHeight="1" x14ac:dyDescent="0.4">
      <c r="B28229" s="3" t="s">
        <v>7</v>
      </c>
      <c r="C28229" s="3" t="s">
        <v>4563</v>
      </c>
      <c r="D28229" s="4">
        <f>DATE(2007,2,21)</f>
        <v>39134</v>
      </c>
      <c r="E28229" s="5">
        <f t="shared" si="481"/>
        <v>2007</v>
      </c>
      <c r="F28229" s="3" t="s">
        <v>4564</v>
      </c>
      <c r="G28229" s="6">
        <v>8514.7000000000007</v>
      </c>
      <c r="H28229" s="5">
        <v>7967</v>
      </c>
    </row>
    <row r="28230" spans="2:8" ht="15" customHeight="1" x14ac:dyDescent="0.4">
      <c r="B28230" s="3" t="s">
        <v>7</v>
      </c>
      <c r="C28230" s="3" t="s">
        <v>4563</v>
      </c>
      <c r="D28230" s="4">
        <f>DATE(2007,3,30)</f>
        <v>39171</v>
      </c>
      <c r="E28230" s="5">
        <f t="shared" si="481"/>
        <v>2007</v>
      </c>
      <c r="F28230" s="3" t="s">
        <v>4564</v>
      </c>
      <c r="G28230" s="6">
        <v>7759.08</v>
      </c>
      <c r="H28230" s="5">
        <v>8190</v>
      </c>
    </row>
    <row r="28231" spans="2:8" ht="15" customHeight="1" x14ac:dyDescent="0.4">
      <c r="B28231" s="3" t="s">
        <v>7</v>
      </c>
      <c r="C28231" s="3" t="s">
        <v>4563</v>
      </c>
      <c r="D28231" s="4">
        <f>DATE(2007,10,4)</f>
        <v>39359</v>
      </c>
      <c r="E28231" s="5">
        <f t="shared" si="481"/>
        <v>2007</v>
      </c>
      <c r="F28231" s="3" t="s">
        <v>4564</v>
      </c>
      <c r="G28231" s="6">
        <v>9157.4599999999991</v>
      </c>
      <c r="H28231" s="5">
        <v>9240</v>
      </c>
    </row>
    <row r="28232" spans="2:8" ht="15" customHeight="1" x14ac:dyDescent="0.4">
      <c r="B28232" s="3" t="s">
        <v>7</v>
      </c>
      <c r="C28232" s="3" t="s">
        <v>4563</v>
      </c>
      <c r="D28232" s="4">
        <f>DATE(2007,11,7)</f>
        <v>39393</v>
      </c>
      <c r="E28232" s="5">
        <f t="shared" si="481"/>
        <v>2007</v>
      </c>
      <c r="F28232" s="3" t="s">
        <v>4564</v>
      </c>
      <c r="G28232" s="6">
        <v>5474.43</v>
      </c>
      <c r="H28232" s="5">
        <v>9297</v>
      </c>
    </row>
    <row r="28233" spans="2:8" ht="15" customHeight="1" x14ac:dyDescent="0.4">
      <c r="B28233" s="3" t="s">
        <v>7</v>
      </c>
      <c r="C28233" s="3" t="s">
        <v>4563</v>
      </c>
      <c r="D28233" s="4">
        <f>DATE(2008,1,16)</f>
        <v>39463</v>
      </c>
      <c r="E28233" s="5">
        <f t="shared" si="481"/>
        <v>2008</v>
      </c>
      <c r="F28233" s="3" t="s">
        <v>4564</v>
      </c>
      <c r="G28233" s="6">
        <v>105.02</v>
      </c>
      <c r="H28233" s="5">
        <v>9679</v>
      </c>
    </row>
    <row r="28234" spans="2:8" ht="15" customHeight="1" x14ac:dyDescent="0.4">
      <c r="B28234" s="3" t="s">
        <v>7</v>
      </c>
      <c r="C28234" s="3" t="s">
        <v>4563</v>
      </c>
      <c r="D28234" s="4">
        <f>DATE(2008,1,22)</f>
        <v>39469</v>
      </c>
      <c r="E28234" s="5">
        <f t="shared" si="481"/>
        <v>2008</v>
      </c>
      <c r="F28234" s="3" t="s">
        <v>4564</v>
      </c>
      <c r="G28234" s="6">
        <v>800.39</v>
      </c>
      <c r="H28234" s="5">
        <v>9670</v>
      </c>
    </row>
    <row r="28235" spans="2:8" ht="15" customHeight="1" x14ac:dyDescent="0.4">
      <c r="B28235" s="3" t="s">
        <v>7</v>
      </c>
      <c r="C28235" s="3" t="s">
        <v>4563</v>
      </c>
      <c r="D28235" s="4">
        <f>DATE(2008,1,22)</f>
        <v>39469</v>
      </c>
      <c r="E28235" s="5">
        <f t="shared" si="481"/>
        <v>2008</v>
      </c>
      <c r="F28235" s="3" t="s">
        <v>4564</v>
      </c>
      <c r="G28235" s="6">
        <v>1897</v>
      </c>
      <c r="H28235" s="5">
        <v>9740</v>
      </c>
    </row>
    <row r="28236" spans="2:8" ht="15" customHeight="1" x14ac:dyDescent="0.4">
      <c r="B28236" s="3" t="s">
        <v>7</v>
      </c>
      <c r="C28236" s="3" t="s">
        <v>4563</v>
      </c>
      <c r="D28236" s="4">
        <f>DATE(2008,7,22)</f>
        <v>39651</v>
      </c>
      <c r="E28236" s="5">
        <f t="shared" si="481"/>
        <v>2008</v>
      </c>
      <c r="F28236" s="3" t="s">
        <v>4564</v>
      </c>
      <c r="G28236" s="6">
        <v>9060.65</v>
      </c>
      <c r="H28236" s="5">
        <v>10940</v>
      </c>
    </row>
    <row r="28237" spans="2:8" ht="15" customHeight="1" x14ac:dyDescent="0.4">
      <c r="B28237" s="3" t="s">
        <v>7</v>
      </c>
      <c r="C28237" s="3" t="s">
        <v>4563</v>
      </c>
      <c r="D28237" s="4">
        <f>DATE(2008,8,15)</f>
        <v>39675</v>
      </c>
      <c r="E28237" s="5">
        <f t="shared" si="481"/>
        <v>2008</v>
      </c>
      <c r="F28237" s="3" t="s">
        <v>4564</v>
      </c>
      <c r="G28237" s="6">
        <v>3980.82</v>
      </c>
      <c r="H28237" s="5">
        <v>11059</v>
      </c>
    </row>
    <row r="28238" spans="2:8" ht="15" customHeight="1" x14ac:dyDescent="0.4">
      <c r="B28238" s="3" t="s">
        <v>7</v>
      </c>
      <c r="C28238" s="3" t="s">
        <v>4563</v>
      </c>
      <c r="D28238" s="4">
        <f>DATE(2009,10,22)</f>
        <v>40108</v>
      </c>
      <c r="E28238" s="5">
        <f t="shared" si="481"/>
        <v>2009</v>
      </c>
      <c r="F28238" s="3" t="s">
        <v>4564</v>
      </c>
      <c r="G28238" s="6">
        <v>4840.58</v>
      </c>
      <c r="H28238" s="5">
        <v>13177</v>
      </c>
    </row>
    <row r="28239" spans="2:8" ht="15" customHeight="1" x14ac:dyDescent="0.4">
      <c r="B28239" s="3" t="s">
        <v>7</v>
      </c>
      <c r="C28239" s="3" t="s">
        <v>4563</v>
      </c>
      <c r="D28239" s="4">
        <f>DATE(2009,10,22)</f>
        <v>40108</v>
      </c>
      <c r="E28239" s="5">
        <f t="shared" si="481"/>
        <v>2009</v>
      </c>
      <c r="F28239" s="3" t="s">
        <v>4564</v>
      </c>
      <c r="G28239" s="6">
        <v>1381.33</v>
      </c>
      <c r="H28239" s="5">
        <v>13187</v>
      </c>
    </row>
    <row r="28240" spans="2:8" ht="15" customHeight="1" x14ac:dyDescent="0.4">
      <c r="B28240" s="3" t="s">
        <v>7</v>
      </c>
      <c r="C28240" s="3" t="s">
        <v>4563</v>
      </c>
      <c r="D28240" s="4">
        <f>DATE(2010,1,29)</f>
        <v>40207</v>
      </c>
      <c r="E28240" s="5">
        <f t="shared" si="481"/>
        <v>2010</v>
      </c>
      <c r="F28240" s="3" t="s">
        <v>4564</v>
      </c>
      <c r="G28240" s="6">
        <v>3960.8</v>
      </c>
      <c r="H28240" s="5">
        <v>13477</v>
      </c>
    </row>
    <row r="28241" spans="2:8" ht="15" customHeight="1" x14ac:dyDescent="0.4">
      <c r="B28241" s="3" t="s">
        <v>7</v>
      </c>
      <c r="C28241" s="3" t="s">
        <v>4563</v>
      </c>
      <c r="D28241" s="4">
        <f>DATE(2010,3,31)</f>
        <v>40268</v>
      </c>
      <c r="E28241" s="5">
        <f t="shared" si="481"/>
        <v>2010</v>
      </c>
      <c r="F28241" s="3" t="s">
        <v>4564</v>
      </c>
      <c r="G28241" s="6">
        <v>3944.37</v>
      </c>
      <c r="H28241" s="5">
        <v>13673</v>
      </c>
    </row>
    <row r="28242" spans="2:8" ht="15" customHeight="1" x14ac:dyDescent="0.4">
      <c r="B28242" s="3" t="s">
        <v>7</v>
      </c>
      <c r="C28242" s="3" t="s">
        <v>4563</v>
      </c>
      <c r="D28242" s="4">
        <f>DATE(2010,5,13)</f>
        <v>40311</v>
      </c>
      <c r="E28242" s="5">
        <f t="shared" si="481"/>
        <v>2010</v>
      </c>
      <c r="F28242" s="3" t="s">
        <v>4564</v>
      </c>
      <c r="G28242" s="6">
        <v>253.13</v>
      </c>
      <c r="H28242" s="5">
        <v>14026</v>
      </c>
    </row>
    <row r="28243" spans="2:8" ht="15" customHeight="1" x14ac:dyDescent="0.4">
      <c r="B28243" s="3" t="s">
        <v>7</v>
      </c>
      <c r="C28243" s="3" t="s">
        <v>4563</v>
      </c>
      <c r="D28243" s="4">
        <f>DATE(2010,12,16)</f>
        <v>40528</v>
      </c>
      <c r="E28243" s="5">
        <f t="shared" si="481"/>
        <v>2010</v>
      </c>
      <c r="F28243" s="3" t="s">
        <v>4564</v>
      </c>
      <c r="G28243" s="6">
        <v>5232.74</v>
      </c>
      <c r="H28243" s="5">
        <v>14716</v>
      </c>
    </row>
    <row r="28244" spans="2:8" ht="15" customHeight="1" x14ac:dyDescent="0.4">
      <c r="B28244" s="3" t="s">
        <v>7</v>
      </c>
      <c r="C28244" s="3" t="s">
        <v>4563</v>
      </c>
      <c r="D28244" s="4">
        <f>DATE(2011,1,14)</f>
        <v>40557</v>
      </c>
      <c r="E28244" s="5">
        <f t="shared" si="481"/>
        <v>2011</v>
      </c>
      <c r="F28244" s="3" t="s">
        <v>4564</v>
      </c>
      <c r="G28244" s="6">
        <v>8310.27</v>
      </c>
      <c r="H28244" s="5">
        <v>14843</v>
      </c>
    </row>
    <row r="28245" spans="2:8" ht="15" customHeight="1" x14ac:dyDescent="0.4">
      <c r="B28245" s="3" t="s">
        <v>7</v>
      </c>
      <c r="C28245" s="3" t="s">
        <v>4563</v>
      </c>
      <c r="D28245" s="4">
        <f>DATE(2011,1,14)</f>
        <v>40557</v>
      </c>
      <c r="E28245" s="5">
        <f t="shared" si="481"/>
        <v>2011</v>
      </c>
      <c r="F28245" s="3" t="s">
        <v>4564</v>
      </c>
      <c r="G28245" s="6">
        <v>64.28</v>
      </c>
      <c r="H28245" s="5">
        <v>14854</v>
      </c>
    </row>
    <row r="28246" spans="2:8" ht="15" customHeight="1" x14ac:dyDescent="0.4">
      <c r="B28246" s="3" t="s">
        <v>7</v>
      </c>
      <c r="C28246" s="3" t="s">
        <v>4563</v>
      </c>
      <c r="D28246" s="4">
        <f>DATE(2011,6,6)</f>
        <v>40700</v>
      </c>
      <c r="E28246" s="5">
        <f t="shared" si="481"/>
        <v>2011</v>
      </c>
      <c r="F28246" s="3" t="s">
        <v>4564</v>
      </c>
      <c r="G28246" s="6">
        <v>3965.87</v>
      </c>
      <c r="H28246" s="5">
        <v>15559</v>
      </c>
    </row>
    <row r="28247" spans="2:8" ht="15" customHeight="1" x14ac:dyDescent="0.4">
      <c r="B28247" s="3" t="s">
        <v>7</v>
      </c>
      <c r="C28247" s="3" t="s">
        <v>4563</v>
      </c>
      <c r="D28247" s="4">
        <f>DATE(2012,2,24)</f>
        <v>40963</v>
      </c>
      <c r="E28247" s="5">
        <f t="shared" si="481"/>
        <v>2012</v>
      </c>
      <c r="F28247" s="3" t="s">
        <v>4564</v>
      </c>
      <c r="G28247" s="6">
        <v>6419.04</v>
      </c>
      <c r="H28247" s="5">
        <v>16490</v>
      </c>
    </row>
    <row r="28248" spans="2:8" ht="15" customHeight="1" x14ac:dyDescent="0.4">
      <c r="B28248" s="3" t="s">
        <v>7</v>
      </c>
      <c r="C28248" s="3" t="s">
        <v>4563</v>
      </c>
      <c r="D28248" s="4">
        <f>DATE(2012,7,18)</f>
        <v>41108</v>
      </c>
      <c r="E28248" s="5">
        <f t="shared" si="481"/>
        <v>2012</v>
      </c>
      <c r="F28248" s="3" t="s">
        <v>4564</v>
      </c>
      <c r="G28248" s="6">
        <v>92</v>
      </c>
      <c r="H28248" s="5">
        <v>17321</v>
      </c>
    </row>
    <row r="28249" spans="2:8" ht="15" customHeight="1" x14ac:dyDescent="0.4">
      <c r="B28249" s="3" t="s">
        <v>7</v>
      </c>
      <c r="C28249" s="3" t="s">
        <v>4563</v>
      </c>
      <c r="D28249" s="4">
        <f>DATE(2012,8,7)</f>
        <v>41128</v>
      </c>
      <c r="E28249" s="5">
        <f t="shared" si="481"/>
        <v>2012</v>
      </c>
      <c r="F28249" s="3" t="s">
        <v>4564</v>
      </c>
      <c r="G28249" s="6">
        <v>185.08</v>
      </c>
      <c r="H28249" s="5">
        <v>17433</v>
      </c>
    </row>
    <row r="28250" spans="2:8" ht="15" customHeight="1" x14ac:dyDescent="0.4">
      <c r="B28250" s="3" t="s">
        <v>7</v>
      </c>
      <c r="C28250" s="3" t="s">
        <v>4563</v>
      </c>
      <c r="D28250" s="4">
        <f>DATE(2012,9,12)</f>
        <v>41164</v>
      </c>
      <c r="E28250" s="5">
        <f t="shared" si="481"/>
        <v>2012</v>
      </c>
      <c r="F28250" s="3" t="s">
        <v>4564</v>
      </c>
      <c r="G28250" s="6">
        <v>12262.48</v>
      </c>
      <c r="H28250" s="5">
        <v>17502</v>
      </c>
    </row>
    <row r="28251" spans="2:8" ht="15" customHeight="1" x14ac:dyDescent="0.4">
      <c r="B28251" s="3" t="s">
        <v>7</v>
      </c>
      <c r="C28251" s="3" t="s">
        <v>4563</v>
      </c>
      <c r="D28251" s="4">
        <f>DATE(2013,1,16)</f>
        <v>41290</v>
      </c>
      <c r="E28251" s="5">
        <f t="shared" si="481"/>
        <v>2013</v>
      </c>
      <c r="F28251" s="3" t="s">
        <v>4564</v>
      </c>
      <c r="G28251" s="6">
        <v>4010.11</v>
      </c>
      <c r="H28251" s="5">
        <v>17958</v>
      </c>
    </row>
    <row r="28252" spans="2:8" ht="15" customHeight="1" x14ac:dyDescent="0.4">
      <c r="B28252" s="3" t="s">
        <v>7</v>
      </c>
      <c r="C28252" s="3" t="s">
        <v>4563</v>
      </c>
      <c r="D28252" s="4">
        <f>DATE(2013,2,8)</f>
        <v>41313</v>
      </c>
      <c r="E28252" s="5">
        <f t="shared" si="481"/>
        <v>2013</v>
      </c>
      <c r="F28252" s="3" t="s">
        <v>4564</v>
      </c>
      <c r="G28252" s="6">
        <v>226.83</v>
      </c>
      <c r="H28252" s="5">
        <v>18084</v>
      </c>
    </row>
    <row r="28253" spans="2:8" ht="15" customHeight="1" x14ac:dyDescent="0.4">
      <c r="B28253" s="3" t="s">
        <v>7</v>
      </c>
      <c r="C28253" s="3" t="s">
        <v>4563</v>
      </c>
      <c r="D28253" s="4">
        <f>DATE(2013,2,14)</f>
        <v>41319</v>
      </c>
      <c r="E28253" s="5">
        <f t="shared" si="481"/>
        <v>2013</v>
      </c>
      <c r="F28253" s="3" t="s">
        <v>4564</v>
      </c>
      <c r="G28253" s="6">
        <v>6410.11</v>
      </c>
      <c r="H28253" s="5">
        <v>18054</v>
      </c>
    </row>
    <row r="28254" spans="2:8" ht="15" customHeight="1" x14ac:dyDescent="0.4">
      <c r="B28254" s="3" t="s">
        <v>7</v>
      </c>
      <c r="C28254" s="3" t="s">
        <v>4563</v>
      </c>
      <c r="D28254" s="4">
        <f>DATE(2013,2,14)</f>
        <v>41319</v>
      </c>
      <c r="E28254" s="5">
        <f t="shared" si="481"/>
        <v>2013</v>
      </c>
      <c r="F28254" s="3" t="s">
        <v>4564</v>
      </c>
      <c r="G28254" s="6">
        <v>1404.75</v>
      </c>
      <c r="H28254" s="5">
        <v>18160</v>
      </c>
    </row>
    <row r="28255" spans="2:8" ht="15" customHeight="1" x14ac:dyDescent="0.4">
      <c r="B28255" s="3" t="s">
        <v>7</v>
      </c>
      <c r="C28255" s="3" t="s">
        <v>4563</v>
      </c>
      <c r="D28255" s="4">
        <f>DATE(2013,2,19)</f>
        <v>41324</v>
      </c>
      <c r="E28255" s="5">
        <f t="shared" si="481"/>
        <v>2013</v>
      </c>
      <c r="F28255" s="3" t="s">
        <v>4564</v>
      </c>
      <c r="G28255" s="6">
        <v>2159.13</v>
      </c>
      <c r="H28255" s="5">
        <v>18150</v>
      </c>
    </row>
    <row r="28256" spans="2:8" ht="15" customHeight="1" x14ac:dyDescent="0.4">
      <c r="B28256" s="3" t="s">
        <v>7</v>
      </c>
      <c r="C28256" s="3" t="s">
        <v>4563</v>
      </c>
      <c r="D28256" s="4">
        <f>DATE(2013,9,9)</f>
        <v>41526</v>
      </c>
      <c r="E28256" s="5">
        <f t="shared" si="481"/>
        <v>2013</v>
      </c>
      <c r="F28256" s="3" t="s">
        <v>4564</v>
      </c>
      <c r="G28256" s="6">
        <v>6697.13</v>
      </c>
      <c r="H28256" s="5">
        <v>18908</v>
      </c>
    </row>
    <row r="28257" spans="2:8" ht="15" customHeight="1" x14ac:dyDescent="0.4">
      <c r="B28257" s="3" t="s">
        <v>7</v>
      </c>
      <c r="C28257" s="3" t="s">
        <v>4563</v>
      </c>
      <c r="D28257" s="4">
        <f>DATE(2013,12,2)</f>
        <v>41610</v>
      </c>
      <c r="E28257" s="5">
        <f t="shared" si="481"/>
        <v>2013</v>
      </c>
      <c r="F28257" s="3" t="s">
        <v>4564</v>
      </c>
      <c r="G28257" s="6">
        <v>8018.81</v>
      </c>
      <c r="H28257" s="5">
        <v>19233</v>
      </c>
    </row>
    <row r="28258" spans="2:8" ht="15" customHeight="1" x14ac:dyDescent="0.4">
      <c r="B28258" t="s">
        <v>7</v>
      </c>
      <c r="C28258" t="s">
        <v>4565</v>
      </c>
      <c r="D28258" s="7">
        <f>DATE(2018,11,7)</f>
        <v>43411</v>
      </c>
      <c r="E28258" s="8">
        <f t="shared" si="481"/>
        <v>2018</v>
      </c>
      <c r="F28258" t="s">
        <v>4566</v>
      </c>
      <c r="G28258" s="9">
        <v>1793.64</v>
      </c>
      <c r="H28258" s="8">
        <v>27952</v>
      </c>
    </row>
    <row r="28259" spans="2:8" ht="15" customHeight="1" x14ac:dyDescent="0.4">
      <c r="B28259" t="s">
        <v>7</v>
      </c>
      <c r="C28259" t="s">
        <v>4567</v>
      </c>
      <c r="D28259" s="7">
        <f>DATE(2013,1,25)</f>
        <v>41299</v>
      </c>
      <c r="E28259" s="8">
        <f t="shared" si="481"/>
        <v>2013</v>
      </c>
      <c r="F28259" t="s">
        <v>4568</v>
      </c>
      <c r="G28259" s="9">
        <v>2225.96</v>
      </c>
      <c r="H28259" s="8">
        <v>12127</v>
      </c>
    </row>
    <row r="28260" spans="2:8" ht="15" customHeight="1" x14ac:dyDescent="0.4">
      <c r="B28260" t="s">
        <v>7</v>
      </c>
      <c r="C28260" t="s">
        <v>4569</v>
      </c>
      <c r="D28260" s="7">
        <f>DATE(2017,12,8)</f>
        <v>43077</v>
      </c>
      <c r="E28260" s="8">
        <f t="shared" si="481"/>
        <v>2017</v>
      </c>
      <c r="F28260" t="s">
        <v>4570</v>
      </c>
      <c r="G28260" s="9">
        <v>18748.669999999998</v>
      </c>
      <c r="H28260" s="8">
        <v>25883</v>
      </c>
    </row>
    <row r="28261" spans="2:8" ht="15" customHeight="1" x14ac:dyDescent="0.4">
      <c r="B28261" t="s">
        <v>7</v>
      </c>
      <c r="C28261" t="s">
        <v>4569</v>
      </c>
      <c r="D28261" s="7">
        <f>DATE(2018,6,7)</f>
        <v>43258</v>
      </c>
      <c r="E28261" s="8">
        <f t="shared" si="481"/>
        <v>2018</v>
      </c>
      <c r="F28261" t="s">
        <v>4570</v>
      </c>
      <c r="G28261" s="9">
        <v>33124.36</v>
      </c>
      <c r="H28261" s="8">
        <v>26764</v>
      </c>
    </row>
    <row r="28262" spans="2:8" ht="15" customHeight="1" x14ac:dyDescent="0.4">
      <c r="B28262" t="s">
        <v>7</v>
      </c>
      <c r="C28262" t="s">
        <v>4569</v>
      </c>
      <c r="D28262" s="7">
        <f>DATE(2015,5,8)</f>
        <v>42132</v>
      </c>
      <c r="E28262" s="8">
        <f t="shared" si="481"/>
        <v>2015</v>
      </c>
      <c r="F28262" t="s">
        <v>4570</v>
      </c>
      <c r="G28262" s="9">
        <v>14029.4</v>
      </c>
      <c r="H28262" s="8">
        <v>20177</v>
      </c>
    </row>
    <row r="28263" spans="2:8" ht="15" customHeight="1" x14ac:dyDescent="0.4">
      <c r="B28263" t="s">
        <v>7</v>
      </c>
      <c r="C28263" t="s">
        <v>4569</v>
      </c>
      <c r="D28263" s="7">
        <f>DATE(2015,5,8)</f>
        <v>42132</v>
      </c>
      <c r="E28263" s="8">
        <f t="shared" si="481"/>
        <v>2015</v>
      </c>
      <c r="F28263" t="s">
        <v>4570</v>
      </c>
      <c r="G28263" s="9">
        <v>4493.5</v>
      </c>
      <c r="H28263" s="8">
        <v>20178</v>
      </c>
    </row>
    <row r="28264" spans="2:8" ht="15" customHeight="1" x14ac:dyDescent="0.4">
      <c r="B28264" t="s">
        <v>7</v>
      </c>
      <c r="C28264" t="s">
        <v>4569</v>
      </c>
      <c r="D28264" s="7">
        <f>DATE(2017,5,8)</f>
        <v>42863</v>
      </c>
      <c r="E28264" s="8">
        <f t="shared" si="481"/>
        <v>2017</v>
      </c>
      <c r="F28264" t="s">
        <v>4570</v>
      </c>
      <c r="G28264" s="9">
        <v>25700</v>
      </c>
      <c r="H28264" s="8">
        <v>24654</v>
      </c>
    </row>
    <row r="28265" spans="2:8" ht="15" customHeight="1" x14ac:dyDescent="0.4">
      <c r="B28265" t="s">
        <v>16</v>
      </c>
      <c r="C28265" t="s">
        <v>4569</v>
      </c>
      <c r="D28265" s="7">
        <f>DATE(2015,5,8)</f>
        <v>42132</v>
      </c>
      <c r="E28265" s="8">
        <f t="shared" si="481"/>
        <v>2015</v>
      </c>
      <c r="F28265" t="s">
        <v>4570</v>
      </c>
      <c r="G28265" s="9">
        <v>594.58000000000004</v>
      </c>
      <c r="H28265" s="8">
        <v>20676</v>
      </c>
    </row>
    <row r="28266" spans="2:8" ht="15" customHeight="1" x14ac:dyDescent="0.4">
      <c r="B28266" t="s">
        <v>16</v>
      </c>
      <c r="C28266" t="s">
        <v>4569</v>
      </c>
      <c r="D28266" s="7">
        <f>DATE(2015,5,8)</f>
        <v>42132</v>
      </c>
      <c r="E28266" s="8">
        <f t="shared" si="481"/>
        <v>2015</v>
      </c>
      <c r="F28266" t="s">
        <v>4570</v>
      </c>
      <c r="G28266" s="9">
        <v>1856.4</v>
      </c>
      <c r="H28266" s="8">
        <v>20678</v>
      </c>
    </row>
    <row r="28267" spans="2:8" ht="15" customHeight="1" x14ac:dyDescent="0.4">
      <c r="B28267" t="s">
        <v>7</v>
      </c>
      <c r="C28267" t="s">
        <v>4569</v>
      </c>
      <c r="D28267" s="7">
        <f>DATE(2010,6,18)</f>
        <v>40347</v>
      </c>
      <c r="E28267" s="8">
        <f t="shared" si="481"/>
        <v>2010</v>
      </c>
      <c r="F28267" t="s">
        <v>4570</v>
      </c>
      <c r="G28267" s="9">
        <v>5566</v>
      </c>
      <c r="H28267" s="8">
        <v>9837</v>
      </c>
    </row>
    <row r="28268" spans="2:8" ht="15" customHeight="1" x14ac:dyDescent="0.4">
      <c r="B28268" t="s">
        <v>7</v>
      </c>
      <c r="C28268" t="s">
        <v>4569</v>
      </c>
      <c r="D28268" s="7">
        <f>DATE(2007,12,4)</f>
        <v>39420</v>
      </c>
      <c r="E28268" s="8">
        <f t="shared" si="481"/>
        <v>2007</v>
      </c>
      <c r="F28268" t="s">
        <v>4570</v>
      </c>
      <c r="G28268" s="9">
        <v>12094.37</v>
      </c>
      <c r="H28268" s="8">
        <v>6575</v>
      </c>
    </row>
    <row r="28269" spans="2:8" ht="15" customHeight="1" x14ac:dyDescent="0.4">
      <c r="B28269" t="s">
        <v>7</v>
      </c>
      <c r="C28269" t="s">
        <v>4569</v>
      </c>
      <c r="D28269" s="7">
        <f>DATE(2008,5,16)</f>
        <v>39584</v>
      </c>
      <c r="E28269" s="8">
        <f t="shared" si="481"/>
        <v>2008</v>
      </c>
      <c r="F28269" t="s">
        <v>4570</v>
      </c>
      <c r="G28269" s="9">
        <v>17899</v>
      </c>
      <c r="H28269" s="8">
        <v>6955</v>
      </c>
    </row>
    <row r="28270" spans="2:8" ht="15" customHeight="1" x14ac:dyDescent="0.4">
      <c r="B28270" t="s">
        <v>7</v>
      </c>
      <c r="C28270" t="s">
        <v>4569</v>
      </c>
      <c r="D28270" s="7">
        <f>DATE(2010,6,18)</f>
        <v>40347</v>
      </c>
      <c r="E28270" s="8">
        <f t="shared" si="481"/>
        <v>2010</v>
      </c>
      <c r="F28270" t="s">
        <v>4570</v>
      </c>
      <c r="G28270" s="9">
        <v>35225.040000000001</v>
      </c>
      <c r="H28270" s="8">
        <v>9493</v>
      </c>
    </row>
    <row r="28271" spans="2:8" ht="15" customHeight="1" x14ac:dyDescent="0.4">
      <c r="B28271" t="s">
        <v>7</v>
      </c>
      <c r="C28271" t="s">
        <v>1056</v>
      </c>
      <c r="D28271" s="7">
        <f>DATE(2018,5,17)</f>
        <v>43237</v>
      </c>
      <c r="E28271" s="8">
        <f t="shared" si="481"/>
        <v>2018</v>
      </c>
      <c r="F28271" t="s">
        <v>4571</v>
      </c>
      <c r="G28271" s="9">
        <v>38335.57</v>
      </c>
      <c r="H28271" s="8">
        <v>26919</v>
      </c>
    </row>
    <row r="28272" spans="2:8" ht="15" customHeight="1" x14ac:dyDescent="0.4">
      <c r="B28272" t="s">
        <v>7</v>
      </c>
      <c r="C28272" t="s">
        <v>1056</v>
      </c>
      <c r="D28272" s="7">
        <f>DATE(2017,11,15)</f>
        <v>43054</v>
      </c>
      <c r="E28272" s="8">
        <f t="shared" si="481"/>
        <v>2017</v>
      </c>
      <c r="F28272" t="s">
        <v>4571</v>
      </c>
      <c r="G28272" s="9">
        <v>32882</v>
      </c>
      <c r="H28272" s="8">
        <v>25567</v>
      </c>
    </row>
    <row r="28273" spans="2:8" ht="15" customHeight="1" x14ac:dyDescent="0.4">
      <c r="B28273" t="s">
        <v>7</v>
      </c>
      <c r="C28273" t="s">
        <v>1056</v>
      </c>
      <c r="D28273" s="7">
        <f>DATE(2018,5,24)</f>
        <v>43244</v>
      </c>
      <c r="E28273" s="8">
        <f t="shared" si="481"/>
        <v>2018</v>
      </c>
      <c r="F28273" t="s">
        <v>4571</v>
      </c>
      <c r="G28273" s="9">
        <v>114783.08</v>
      </c>
      <c r="H28273" s="8">
        <v>26836</v>
      </c>
    </row>
    <row r="28274" spans="2:8" ht="15" customHeight="1" x14ac:dyDescent="0.4">
      <c r="B28274" t="s">
        <v>7</v>
      </c>
      <c r="C28274" t="s">
        <v>1056</v>
      </c>
      <c r="D28274" s="7">
        <f>DATE(2015,10,20)</f>
        <v>42297</v>
      </c>
      <c r="E28274" s="8">
        <f t="shared" si="481"/>
        <v>2015</v>
      </c>
      <c r="F28274" t="s">
        <v>4571</v>
      </c>
      <c r="G28274" s="9">
        <v>25940.07</v>
      </c>
      <c r="H28274" s="8">
        <v>21300</v>
      </c>
    </row>
    <row r="28275" spans="2:8" ht="15" customHeight="1" x14ac:dyDescent="0.4">
      <c r="B28275" t="s">
        <v>7</v>
      </c>
      <c r="C28275" t="s">
        <v>1056</v>
      </c>
      <c r="D28275" s="7">
        <f>DATE(2015,10,20)</f>
        <v>42297</v>
      </c>
      <c r="E28275" s="8">
        <f t="shared" si="481"/>
        <v>2015</v>
      </c>
      <c r="F28275" t="s">
        <v>4571</v>
      </c>
      <c r="G28275" s="9">
        <v>25944.58</v>
      </c>
      <c r="H28275" s="8">
        <v>21300</v>
      </c>
    </row>
    <row r="28276" spans="2:8" ht="15" customHeight="1" x14ac:dyDescent="0.4">
      <c r="B28276" t="s">
        <v>7</v>
      </c>
      <c r="C28276" t="s">
        <v>1056</v>
      </c>
      <c r="D28276" s="7">
        <f>DATE(2015,11,11)</f>
        <v>42319</v>
      </c>
      <c r="E28276" s="8">
        <f t="shared" si="481"/>
        <v>2015</v>
      </c>
      <c r="F28276" t="s">
        <v>4571</v>
      </c>
      <c r="G28276" s="9">
        <v>1447.49</v>
      </c>
      <c r="H28276" s="8">
        <v>21471</v>
      </c>
    </row>
    <row r="28277" spans="2:8" ht="15" customHeight="1" x14ac:dyDescent="0.4">
      <c r="B28277" t="s">
        <v>7</v>
      </c>
      <c r="C28277" t="s">
        <v>1056</v>
      </c>
      <c r="D28277" s="7">
        <f>DATE(2015,11,11)</f>
        <v>42319</v>
      </c>
      <c r="E28277" s="8">
        <f t="shared" si="481"/>
        <v>2015</v>
      </c>
      <c r="F28277" t="s">
        <v>4571</v>
      </c>
      <c r="G28277" s="9">
        <v>3271</v>
      </c>
      <c r="H28277" s="8">
        <v>21471</v>
      </c>
    </row>
    <row r="28278" spans="2:8" ht="15" customHeight="1" x14ac:dyDescent="0.4">
      <c r="B28278" t="s">
        <v>7</v>
      </c>
      <c r="C28278" t="s">
        <v>1056</v>
      </c>
      <c r="D28278" s="7">
        <f>DATE(2019,2,12)</f>
        <v>43508</v>
      </c>
      <c r="E28278" s="8">
        <f t="shared" si="481"/>
        <v>2019</v>
      </c>
      <c r="F28278" t="s">
        <v>4571</v>
      </c>
      <c r="G28278" s="9">
        <v>8751.94</v>
      </c>
      <c r="H28278" s="8">
        <v>27998</v>
      </c>
    </row>
    <row r="28279" spans="2:8" ht="15" customHeight="1" x14ac:dyDescent="0.4">
      <c r="B28279" t="s">
        <v>7</v>
      </c>
      <c r="C28279" t="s">
        <v>1056</v>
      </c>
      <c r="D28279" s="7">
        <f>DATE(2014,5,27)</f>
        <v>41786</v>
      </c>
      <c r="E28279" s="8">
        <f t="shared" si="481"/>
        <v>2014</v>
      </c>
      <c r="F28279" t="s">
        <v>4571</v>
      </c>
      <c r="G28279" s="9">
        <v>32630.04</v>
      </c>
      <c r="H28279" s="8">
        <v>13117</v>
      </c>
    </row>
    <row r="28280" spans="2:8" ht="15" customHeight="1" x14ac:dyDescent="0.4">
      <c r="B28280" t="s">
        <v>7</v>
      </c>
      <c r="C28280" t="s">
        <v>1056</v>
      </c>
      <c r="D28280" s="7">
        <f>DATE(2010,9,30)</f>
        <v>40451</v>
      </c>
      <c r="E28280" s="8">
        <f t="shared" si="481"/>
        <v>2010</v>
      </c>
      <c r="F28280" t="s">
        <v>4571</v>
      </c>
      <c r="G28280" s="9">
        <v>38391.75</v>
      </c>
      <c r="H28280" s="8">
        <v>10120</v>
      </c>
    </row>
    <row r="28281" spans="2:8" ht="15" customHeight="1" x14ac:dyDescent="0.4">
      <c r="B28281" t="s">
        <v>7</v>
      </c>
      <c r="C28281" t="s">
        <v>1056</v>
      </c>
      <c r="D28281" s="7">
        <f>DATE(2012,7,3)</f>
        <v>41093</v>
      </c>
      <c r="E28281" s="8">
        <f t="shared" si="481"/>
        <v>2012</v>
      </c>
      <c r="F28281" t="s">
        <v>4571</v>
      </c>
      <c r="G28281" s="9">
        <v>35614.31</v>
      </c>
      <c r="H28281" s="8">
        <v>11712</v>
      </c>
    </row>
    <row r="28282" spans="2:8" ht="15" customHeight="1" x14ac:dyDescent="0.4">
      <c r="B28282" t="s">
        <v>7</v>
      </c>
      <c r="C28282" t="s">
        <v>1056</v>
      </c>
      <c r="D28282" s="7">
        <f>DATE(2012,8,24)</f>
        <v>41145</v>
      </c>
      <c r="E28282" s="8">
        <f t="shared" si="481"/>
        <v>2012</v>
      </c>
      <c r="F28282" t="s">
        <v>4571</v>
      </c>
      <c r="G28282" s="9">
        <v>50476.51</v>
      </c>
      <c r="H28282" s="8">
        <v>11800</v>
      </c>
    </row>
    <row r="28283" spans="2:8" ht="15" customHeight="1" x14ac:dyDescent="0.4">
      <c r="B28283" t="s">
        <v>7</v>
      </c>
      <c r="C28283" t="s">
        <v>1056</v>
      </c>
      <c r="D28283" s="7">
        <f>DATE(2013,5,24)</f>
        <v>41418</v>
      </c>
      <c r="E28283" s="8">
        <f t="shared" si="481"/>
        <v>2013</v>
      </c>
      <c r="F28283" t="s">
        <v>4571</v>
      </c>
      <c r="G28283" s="9">
        <v>55468.19</v>
      </c>
      <c r="H28283" s="8">
        <v>12304</v>
      </c>
    </row>
    <row r="28284" spans="2:8" ht="15" customHeight="1" x14ac:dyDescent="0.4">
      <c r="B28284" t="s">
        <v>7</v>
      </c>
      <c r="C28284" t="s">
        <v>1056</v>
      </c>
      <c r="D28284" s="7">
        <f>DATE(2013,6,14)</f>
        <v>41439</v>
      </c>
      <c r="E28284" s="8">
        <f t="shared" si="481"/>
        <v>2013</v>
      </c>
      <c r="F28284" t="s">
        <v>4571</v>
      </c>
      <c r="G28284" s="9">
        <v>14909.88</v>
      </c>
      <c r="H28284" s="8">
        <v>12491</v>
      </c>
    </row>
    <row r="28285" spans="2:8" ht="15" customHeight="1" x14ac:dyDescent="0.4">
      <c r="B28285" t="s">
        <v>7</v>
      </c>
      <c r="C28285" t="s">
        <v>1056</v>
      </c>
      <c r="D28285" s="7">
        <f>DATE(2013,6,14)</f>
        <v>41439</v>
      </c>
      <c r="E28285" s="8">
        <f t="shared" si="481"/>
        <v>2013</v>
      </c>
      <c r="F28285" t="s">
        <v>4571</v>
      </c>
      <c r="G28285" s="9">
        <v>12933.45</v>
      </c>
      <c r="H28285" s="8">
        <v>12511</v>
      </c>
    </row>
    <row r="28286" spans="2:8" ht="15" customHeight="1" x14ac:dyDescent="0.4">
      <c r="B28286" t="s">
        <v>7</v>
      </c>
      <c r="C28286" t="s">
        <v>1056</v>
      </c>
      <c r="D28286" s="7">
        <f>DATE(2014,6,9)</f>
        <v>41799</v>
      </c>
      <c r="E28286" s="8">
        <f t="shared" si="481"/>
        <v>2014</v>
      </c>
      <c r="F28286" t="s">
        <v>4571</v>
      </c>
      <c r="G28286" s="9">
        <v>94113.19</v>
      </c>
      <c r="H28286" s="8">
        <v>13200</v>
      </c>
    </row>
    <row r="28287" spans="2:8" ht="15" customHeight="1" x14ac:dyDescent="0.4">
      <c r="B28287" t="s">
        <v>7</v>
      </c>
      <c r="C28287" t="s">
        <v>1056</v>
      </c>
      <c r="D28287" s="7">
        <f>DATE(2010,7,8)</f>
        <v>40367</v>
      </c>
      <c r="E28287" s="8">
        <f t="shared" si="481"/>
        <v>2010</v>
      </c>
      <c r="F28287" t="s">
        <v>4571</v>
      </c>
      <c r="G28287" s="9">
        <v>10675.41</v>
      </c>
      <c r="H28287" s="8">
        <v>9940</v>
      </c>
    </row>
    <row r="28288" spans="2:8" ht="15" customHeight="1" x14ac:dyDescent="0.4">
      <c r="B28288" t="s">
        <v>7</v>
      </c>
      <c r="C28288" t="s">
        <v>1056</v>
      </c>
      <c r="D28288" s="7">
        <f>DATE(2012,4,25)</f>
        <v>41024</v>
      </c>
      <c r="E28288" s="8">
        <f t="shared" si="481"/>
        <v>2012</v>
      </c>
      <c r="F28288" t="s">
        <v>4571</v>
      </c>
      <c r="G28288" s="9">
        <v>12204.05</v>
      </c>
      <c r="H28288" s="8">
        <v>11495</v>
      </c>
    </row>
    <row r="28289" spans="2:8" ht="15" customHeight="1" x14ac:dyDescent="0.4">
      <c r="B28289" t="s">
        <v>7</v>
      </c>
      <c r="C28289" t="s">
        <v>1056</v>
      </c>
      <c r="D28289" s="7">
        <f>DATE(2013,1,10)</f>
        <v>41284</v>
      </c>
      <c r="E28289" s="8">
        <f t="shared" si="481"/>
        <v>2013</v>
      </c>
      <c r="F28289" t="s">
        <v>4571</v>
      </c>
      <c r="G28289" s="9">
        <v>11560.72</v>
      </c>
      <c r="H28289" s="8">
        <v>12060</v>
      </c>
    </row>
    <row r="28290" spans="2:8" ht="15" customHeight="1" x14ac:dyDescent="0.4">
      <c r="B28290" t="s">
        <v>7</v>
      </c>
      <c r="C28290" t="s">
        <v>1056</v>
      </c>
      <c r="D28290" s="7">
        <f>DATE(2014,6,27)</f>
        <v>41817</v>
      </c>
      <c r="E28290" s="8">
        <f t="shared" si="481"/>
        <v>2014</v>
      </c>
      <c r="F28290" t="s">
        <v>4571</v>
      </c>
      <c r="G28290" s="9">
        <v>14808.72</v>
      </c>
      <c r="H28290" s="8">
        <v>13225</v>
      </c>
    </row>
    <row r="28291" spans="2:8" ht="15" customHeight="1" x14ac:dyDescent="0.4">
      <c r="B28291" t="s">
        <v>7</v>
      </c>
      <c r="C28291" t="s">
        <v>1056</v>
      </c>
      <c r="D28291" s="7">
        <f>DATE(2014,8,26)</f>
        <v>41877</v>
      </c>
      <c r="E28291" s="8">
        <f t="shared" ref="E28291:E28354" si="482">YEAR(D28291)</f>
        <v>2014</v>
      </c>
      <c r="F28291" t="s">
        <v>4571</v>
      </c>
      <c r="G28291" s="9">
        <v>4272.33</v>
      </c>
      <c r="H28291" s="8">
        <v>13366</v>
      </c>
    </row>
    <row r="28292" spans="2:8" ht="15" customHeight="1" x14ac:dyDescent="0.4">
      <c r="B28292" s="3" t="s">
        <v>7</v>
      </c>
      <c r="C28292" s="3" t="s">
        <v>1056</v>
      </c>
      <c r="D28292" s="4">
        <f>DATE(2010,11,17)</f>
        <v>40499</v>
      </c>
      <c r="E28292" s="5">
        <f t="shared" si="482"/>
        <v>2010</v>
      </c>
      <c r="F28292" s="3" t="s">
        <v>4571</v>
      </c>
      <c r="G28292" s="6">
        <v>1178.1199999999999</v>
      </c>
      <c r="H28292" s="5">
        <v>14737</v>
      </c>
    </row>
    <row r="28293" spans="2:8" ht="15" customHeight="1" x14ac:dyDescent="0.4">
      <c r="B28293" s="3" t="s">
        <v>7</v>
      </c>
      <c r="C28293" s="3" t="s">
        <v>4572</v>
      </c>
      <c r="D28293" s="4">
        <f>DATE(2009,12,8)</f>
        <v>40155</v>
      </c>
      <c r="E28293" s="5">
        <f t="shared" si="482"/>
        <v>2009</v>
      </c>
      <c r="F28293" s="3" t="s">
        <v>4573</v>
      </c>
      <c r="G28293" s="6">
        <v>1528.82</v>
      </c>
      <c r="H28293" s="5">
        <v>3698</v>
      </c>
    </row>
    <row r="28294" spans="2:8" ht="15" customHeight="1" x14ac:dyDescent="0.4">
      <c r="B28294" s="3" t="s">
        <v>7</v>
      </c>
      <c r="C28294" s="3" t="s">
        <v>4572</v>
      </c>
      <c r="D28294" s="4">
        <f>DATE(2009,12,16)</f>
        <v>40163</v>
      </c>
      <c r="E28294" s="5">
        <f t="shared" si="482"/>
        <v>2009</v>
      </c>
      <c r="F28294" s="3" t="s">
        <v>4573</v>
      </c>
      <c r="G28294" s="6">
        <v>2114.94</v>
      </c>
      <c r="H28294" s="5">
        <v>3702</v>
      </c>
    </row>
    <row r="28295" spans="2:8" ht="15" customHeight="1" x14ac:dyDescent="0.4">
      <c r="B28295" s="3" t="s">
        <v>7</v>
      </c>
      <c r="C28295" s="3" t="s">
        <v>4572</v>
      </c>
      <c r="D28295" s="4">
        <f>DATE(2009,12,22)</f>
        <v>40169</v>
      </c>
      <c r="E28295" s="5">
        <f t="shared" si="482"/>
        <v>2009</v>
      </c>
      <c r="F28295" s="3" t="s">
        <v>4573</v>
      </c>
      <c r="G28295" s="6">
        <v>1729.62</v>
      </c>
      <c r="H28295" s="5">
        <v>3721</v>
      </c>
    </row>
    <row r="28296" spans="2:8" ht="15" customHeight="1" x14ac:dyDescent="0.4">
      <c r="B28296" s="3" t="s">
        <v>7</v>
      </c>
      <c r="C28296" s="3" t="s">
        <v>4572</v>
      </c>
      <c r="D28296" s="4">
        <f>DATE(2010,1,18)</f>
        <v>40196</v>
      </c>
      <c r="E28296" s="5">
        <f t="shared" si="482"/>
        <v>2010</v>
      </c>
      <c r="F28296" s="3" t="s">
        <v>4573</v>
      </c>
      <c r="G28296" s="6">
        <v>1986.23</v>
      </c>
      <c r="H28296" s="5">
        <v>3755</v>
      </c>
    </row>
    <row r="28297" spans="2:8" ht="15" customHeight="1" x14ac:dyDescent="0.4">
      <c r="B28297" t="s">
        <v>7</v>
      </c>
      <c r="C28297" t="s">
        <v>4574</v>
      </c>
      <c r="D28297" s="7">
        <f>DATE(2015,5,1)</f>
        <v>42125</v>
      </c>
      <c r="E28297" s="8">
        <f t="shared" si="482"/>
        <v>2015</v>
      </c>
      <c r="F28297" t="s">
        <v>4575</v>
      </c>
      <c r="G28297" s="9">
        <v>3800</v>
      </c>
      <c r="H28297" s="8">
        <v>20324</v>
      </c>
    </row>
    <row r="28298" spans="2:8" ht="15" customHeight="1" x14ac:dyDescent="0.4">
      <c r="B28298" t="s">
        <v>7</v>
      </c>
      <c r="C28298" t="s">
        <v>4574</v>
      </c>
      <c r="D28298" s="7">
        <f>DATE(2019,3,29)</f>
        <v>43553</v>
      </c>
      <c r="E28298" s="8">
        <f t="shared" si="482"/>
        <v>2019</v>
      </c>
      <c r="F28298" t="s">
        <v>4575</v>
      </c>
      <c r="G28298" s="9">
        <v>5745</v>
      </c>
      <c r="H28298" s="8">
        <v>28423</v>
      </c>
    </row>
    <row r="28299" spans="2:8" ht="15" customHeight="1" x14ac:dyDescent="0.4">
      <c r="B28299" t="s">
        <v>7</v>
      </c>
      <c r="C28299" t="s">
        <v>4574</v>
      </c>
      <c r="D28299" s="7">
        <f>DATE(2015,5,1)</f>
        <v>42125</v>
      </c>
      <c r="E28299" s="8">
        <f t="shared" si="482"/>
        <v>2015</v>
      </c>
      <c r="F28299" t="s">
        <v>4575</v>
      </c>
      <c r="G28299" s="9">
        <v>3972</v>
      </c>
      <c r="H28299" s="8">
        <v>20325</v>
      </c>
    </row>
    <row r="28300" spans="2:8" ht="15" customHeight="1" x14ac:dyDescent="0.4">
      <c r="B28300" t="s">
        <v>7</v>
      </c>
      <c r="C28300" t="s">
        <v>4574</v>
      </c>
      <c r="D28300" s="7">
        <f>DATE(2015,7,2)</f>
        <v>42187</v>
      </c>
      <c r="E28300" s="8">
        <f t="shared" si="482"/>
        <v>2015</v>
      </c>
      <c r="F28300" t="s">
        <v>4575</v>
      </c>
      <c r="G28300" s="9">
        <v>8095.41</v>
      </c>
      <c r="H28300" s="8">
        <v>20810</v>
      </c>
    </row>
    <row r="28301" spans="2:8" ht="15" customHeight="1" x14ac:dyDescent="0.4">
      <c r="B28301" t="s">
        <v>7</v>
      </c>
      <c r="C28301" t="s">
        <v>4574</v>
      </c>
      <c r="D28301" s="7">
        <f>DATE(2015,7,30)</f>
        <v>42215</v>
      </c>
      <c r="E28301" s="8">
        <f t="shared" si="482"/>
        <v>2015</v>
      </c>
      <c r="F28301" t="s">
        <v>4575</v>
      </c>
      <c r="G28301" s="9">
        <v>13265.73</v>
      </c>
      <c r="H28301" s="8">
        <v>20981</v>
      </c>
    </row>
    <row r="28302" spans="2:8" ht="15" customHeight="1" x14ac:dyDescent="0.4">
      <c r="B28302" t="s">
        <v>7</v>
      </c>
      <c r="C28302" t="s">
        <v>4574</v>
      </c>
      <c r="D28302" s="7">
        <f>DATE(2016,3,18)</f>
        <v>42447</v>
      </c>
      <c r="E28302" s="8">
        <f t="shared" si="482"/>
        <v>2016</v>
      </c>
      <c r="F28302" t="s">
        <v>4575</v>
      </c>
      <c r="G28302" s="9">
        <v>15512.77</v>
      </c>
      <c r="H28302" s="8">
        <v>22364</v>
      </c>
    </row>
    <row r="28303" spans="2:8" ht="15" customHeight="1" x14ac:dyDescent="0.4">
      <c r="B28303" t="s">
        <v>7</v>
      </c>
      <c r="C28303" t="s">
        <v>4574</v>
      </c>
      <c r="D28303" s="7">
        <f>DATE(2017,2,16)</f>
        <v>42782</v>
      </c>
      <c r="E28303" s="8">
        <f t="shared" si="482"/>
        <v>2017</v>
      </c>
      <c r="F28303" t="s">
        <v>4575</v>
      </c>
      <c r="G28303" s="9">
        <v>17209.240000000002</v>
      </c>
      <c r="H28303" s="8">
        <v>24274</v>
      </c>
    </row>
    <row r="28304" spans="2:8" ht="15" customHeight="1" x14ac:dyDescent="0.4">
      <c r="B28304" t="s">
        <v>7</v>
      </c>
      <c r="C28304" t="s">
        <v>4574</v>
      </c>
      <c r="D28304" s="7">
        <f>DATE(2015,1,5)</f>
        <v>42009</v>
      </c>
      <c r="E28304" s="8">
        <f t="shared" si="482"/>
        <v>2015</v>
      </c>
      <c r="F28304" t="s">
        <v>4575</v>
      </c>
      <c r="G28304" s="9">
        <v>9718.32</v>
      </c>
      <c r="H28304" s="8">
        <v>13652</v>
      </c>
    </row>
    <row r="28305" spans="2:8" ht="15" customHeight="1" x14ac:dyDescent="0.4">
      <c r="B28305" t="s">
        <v>7</v>
      </c>
      <c r="C28305" t="s">
        <v>4576</v>
      </c>
      <c r="D28305" s="7">
        <f>DATE(2018,2,22)</f>
        <v>43153</v>
      </c>
      <c r="E28305" s="8">
        <f t="shared" si="482"/>
        <v>2018</v>
      </c>
      <c r="F28305" t="s">
        <v>4577</v>
      </c>
      <c r="G28305" s="9">
        <v>2856.19</v>
      </c>
      <c r="H28305" s="8">
        <v>26371</v>
      </c>
    </row>
    <row r="28306" spans="2:8" ht="15" customHeight="1" x14ac:dyDescent="0.4">
      <c r="B28306" t="s">
        <v>7</v>
      </c>
      <c r="C28306" t="s">
        <v>4576</v>
      </c>
      <c r="D28306" s="7">
        <f>DATE(2015,8,28)</f>
        <v>42244</v>
      </c>
      <c r="E28306" s="8">
        <f t="shared" si="482"/>
        <v>2015</v>
      </c>
      <c r="F28306" t="s">
        <v>4577</v>
      </c>
      <c r="G28306" s="9">
        <v>4299.1899999999996</v>
      </c>
      <c r="H28306" s="8">
        <v>21012</v>
      </c>
    </row>
    <row r="28307" spans="2:8" ht="15" customHeight="1" x14ac:dyDescent="0.4">
      <c r="B28307" t="s">
        <v>7</v>
      </c>
      <c r="C28307" t="s">
        <v>4576</v>
      </c>
      <c r="D28307" s="7">
        <f>DATE(2011,2,16)</f>
        <v>40590</v>
      </c>
      <c r="E28307" s="8">
        <f t="shared" si="482"/>
        <v>2011</v>
      </c>
      <c r="F28307" t="s">
        <v>4577</v>
      </c>
      <c r="G28307" s="9">
        <v>5235.63</v>
      </c>
      <c r="H28307" s="8">
        <v>10413</v>
      </c>
    </row>
    <row r="28308" spans="2:8" ht="15" customHeight="1" x14ac:dyDescent="0.4">
      <c r="B28308" t="s">
        <v>7</v>
      </c>
      <c r="C28308" t="s">
        <v>4576</v>
      </c>
      <c r="D28308" s="7">
        <f>DATE(2011,2,16)</f>
        <v>40590</v>
      </c>
      <c r="E28308" s="8">
        <f t="shared" si="482"/>
        <v>2011</v>
      </c>
      <c r="F28308" t="s">
        <v>4577</v>
      </c>
      <c r="G28308" s="9">
        <v>3451.12</v>
      </c>
      <c r="H28308" s="8">
        <v>10398</v>
      </c>
    </row>
    <row r="28309" spans="2:8" ht="15" customHeight="1" x14ac:dyDescent="0.4">
      <c r="B28309" t="s">
        <v>7</v>
      </c>
      <c r="C28309" t="s">
        <v>4576</v>
      </c>
      <c r="D28309" s="7">
        <f>DATE(2013,9,11)</f>
        <v>41528</v>
      </c>
      <c r="E28309" s="8">
        <f t="shared" si="482"/>
        <v>2013</v>
      </c>
      <c r="F28309" t="s">
        <v>4577</v>
      </c>
      <c r="G28309" s="9">
        <v>2657.47</v>
      </c>
      <c r="H28309" s="8">
        <v>12654</v>
      </c>
    </row>
    <row r="28310" spans="2:8" ht="15" customHeight="1" x14ac:dyDescent="0.4">
      <c r="B28310" t="s">
        <v>7</v>
      </c>
      <c r="C28310" t="s">
        <v>4576</v>
      </c>
      <c r="D28310" s="7">
        <f>DATE(2004,3,16)</f>
        <v>38062</v>
      </c>
      <c r="E28310" s="8">
        <f t="shared" si="482"/>
        <v>2004</v>
      </c>
      <c r="F28310" t="s">
        <v>4578</v>
      </c>
      <c r="G28310" s="9">
        <v>2132.5700000000002</v>
      </c>
      <c r="H28310" s="8">
        <v>1515</v>
      </c>
    </row>
    <row r="28311" spans="2:8" ht="15" customHeight="1" x14ac:dyDescent="0.4">
      <c r="B28311" t="s">
        <v>7</v>
      </c>
      <c r="C28311" t="s">
        <v>4576</v>
      </c>
      <c r="D28311" s="7">
        <f>DATE(2004,7,14)</f>
        <v>38182</v>
      </c>
      <c r="E28311" s="8">
        <f t="shared" si="482"/>
        <v>2004</v>
      </c>
      <c r="F28311" t="s">
        <v>4578</v>
      </c>
      <c r="G28311" s="9">
        <v>1843.18</v>
      </c>
      <c r="H28311" s="8">
        <v>1955</v>
      </c>
    </row>
    <row r="28312" spans="2:8" ht="15" customHeight="1" x14ac:dyDescent="0.4">
      <c r="B28312" t="s">
        <v>7</v>
      </c>
      <c r="C28312" t="s">
        <v>4576</v>
      </c>
      <c r="D28312" s="7">
        <f>DATE(2007,1,1)</f>
        <v>39083</v>
      </c>
      <c r="E28312" s="8">
        <f t="shared" si="482"/>
        <v>2007</v>
      </c>
      <c r="F28312" t="s">
        <v>4578</v>
      </c>
      <c r="G28312" s="9">
        <v>2269.5700000000002</v>
      </c>
      <c r="H28312" s="8">
        <v>5245</v>
      </c>
    </row>
    <row r="28313" spans="2:8" ht="15" customHeight="1" x14ac:dyDescent="0.4">
      <c r="B28313" t="s">
        <v>7</v>
      </c>
      <c r="C28313" t="s">
        <v>4576</v>
      </c>
      <c r="D28313" s="7">
        <f>DATE(2007,1,1)</f>
        <v>39083</v>
      </c>
      <c r="E28313" s="8">
        <f t="shared" si="482"/>
        <v>2007</v>
      </c>
      <c r="F28313" t="s">
        <v>4578</v>
      </c>
      <c r="G28313" s="9">
        <v>2366.8000000000002</v>
      </c>
      <c r="H28313" s="8">
        <v>5250</v>
      </c>
    </row>
    <row r="28314" spans="2:8" ht="15" customHeight="1" x14ac:dyDescent="0.4">
      <c r="B28314" t="s">
        <v>7</v>
      </c>
      <c r="C28314" t="s">
        <v>4576</v>
      </c>
      <c r="D28314" s="7">
        <f>DATE(2003,5,20)</f>
        <v>37761</v>
      </c>
      <c r="E28314" s="8">
        <f t="shared" si="482"/>
        <v>2003</v>
      </c>
      <c r="F28314" t="s">
        <v>4579</v>
      </c>
      <c r="G28314" s="9">
        <v>3344.54</v>
      </c>
      <c r="H28314" s="8">
        <v>617</v>
      </c>
    </row>
    <row r="28315" spans="2:8" ht="15" customHeight="1" x14ac:dyDescent="0.4">
      <c r="B28315" t="s">
        <v>7</v>
      </c>
      <c r="C28315" t="s">
        <v>4580</v>
      </c>
      <c r="D28315" s="7">
        <f>DATE(2007,6,26)</f>
        <v>39259</v>
      </c>
      <c r="E28315" s="8">
        <f t="shared" si="482"/>
        <v>2007</v>
      </c>
      <c r="F28315" t="s">
        <v>4581</v>
      </c>
      <c r="G28315" s="9">
        <v>7244.62</v>
      </c>
      <c r="H28315" s="8">
        <v>6125</v>
      </c>
    </row>
    <row r="28316" spans="2:8" ht="15" customHeight="1" x14ac:dyDescent="0.4">
      <c r="B28316" t="s">
        <v>7</v>
      </c>
      <c r="C28316" t="s">
        <v>4580</v>
      </c>
      <c r="D28316" s="7">
        <f>DATE(2007,9,21)</f>
        <v>39346</v>
      </c>
      <c r="E28316" s="8">
        <f t="shared" si="482"/>
        <v>2007</v>
      </c>
      <c r="F28316" t="s">
        <v>4581</v>
      </c>
      <c r="G28316" s="9">
        <v>36797</v>
      </c>
      <c r="H28316" s="8">
        <v>6278</v>
      </c>
    </row>
    <row r="28317" spans="2:8" ht="15" customHeight="1" x14ac:dyDescent="0.4">
      <c r="B28317" t="s">
        <v>7</v>
      </c>
      <c r="C28317" t="s">
        <v>4580</v>
      </c>
      <c r="D28317" s="7">
        <f>DATE(2007,10,12)</f>
        <v>39367</v>
      </c>
      <c r="E28317" s="8">
        <f t="shared" si="482"/>
        <v>2007</v>
      </c>
      <c r="F28317" t="s">
        <v>4581</v>
      </c>
      <c r="G28317" s="9">
        <v>20044.900000000001</v>
      </c>
      <c r="H28317" s="8">
        <v>6281</v>
      </c>
    </row>
    <row r="28318" spans="2:8" ht="15" customHeight="1" x14ac:dyDescent="0.4">
      <c r="B28318" s="3" t="s">
        <v>7</v>
      </c>
      <c r="C28318" s="3" t="s">
        <v>4580</v>
      </c>
      <c r="D28318" s="4">
        <f>DATE(2007,9,21)</f>
        <v>39346</v>
      </c>
      <c r="E28318" s="5">
        <f t="shared" si="482"/>
        <v>2007</v>
      </c>
      <c r="F28318" s="3" t="s">
        <v>4581</v>
      </c>
      <c r="G28318" s="6">
        <v>14025</v>
      </c>
      <c r="H28318" s="5">
        <v>9020</v>
      </c>
    </row>
    <row r="28319" spans="2:8" ht="15" customHeight="1" x14ac:dyDescent="0.4">
      <c r="B28319" t="s">
        <v>7</v>
      </c>
      <c r="C28319" t="s">
        <v>4580</v>
      </c>
      <c r="D28319" s="7">
        <f>DATE(2015,7,2)</f>
        <v>42187</v>
      </c>
      <c r="E28319" s="8">
        <f t="shared" si="482"/>
        <v>2015</v>
      </c>
      <c r="F28319" t="s">
        <v>4582</v>
      </c>
      <c r="G28319" s="9">
        <v>7605.91</v>
      </c>
      <c r="H28319" s="8">
        <v>20831</v>
      </c>
    </row>
    <row r="28320" spans="2:8" ht="15" customHeight="1" x14ac:dyDescent="0.4">
      <c r="B28320" t="s">
        <v>7</v>
      </c>
      <c r="C28320" t="s">
        <v>4580</v>
      </c>
      <c r="D28320" s="7">
        <f>DATE(2015,10,8)</f>
        <v>42285</v>
      </c>
      <c r="E28320" s="8">
        <f t="shared" si="482"/>
        <v>2015</v>
      </c>
      <c r="F28320" t="s">
        <v>4582</v>
      </c>
      <c r="G28320" s="9">
        <v>7204.46</v>
      </c>
      <c r="H28320" s="8">
        <v>21301</v>
      </c>
    </row>
    <row r="28321" spans="2:8" ht="15" customHeight="1" x14ac:dyDescent="0.4">
      <c r="B28321" t="s">
        <v>7</v>
      </c>
      <c r="C28321" t="s">
        <v>4580</v>
      </c>
      <c r="D28321" s="7">
        <f>DATE(2016,2,17)</f>
        <v>42417</v>
      </c>
      <c r="E28321" s="8">
        <f t="shared" si="482"/>
        <v>2016</v>
      </c>
      <c r="F28321" t="s">
        <v>4582</v>
      </c>
      <c r="G28321" s="9">
        <v>8570.48</v>
      </c>
      <c r="H28321" s="8">
        <v>22113</v>
      </c>
    </row>
    <row r="28322" spans="2:8" ht="15" customHeight="1" x14ac:dyDescent="0.4">
      <c r="B28322" t="s">
        <v>7</v>
      </c>
      <c r="C28322" t="s">
        <v>4580</v>
      </c>
      <c r="D28322" s="7">
        <f>DATE(2017,5,2)</f>
        <v>42857</v>
      </c>
      <c r="E28322" s="8">
        <f t="shared" si="482"/>
        <v>2017</v>
      </c>
      <c r="F28322" t="s">
        <v>4582</v>
      </c>
      <c r="G28322" s="9">
        <v>6496.9</v>
      </c>
      <c r="H28322" s="8">
        <v>24801</v>
      </c>
    </row>
    <row r="28323" spans="2:8" ht="15" customHeight="1" x14ac:dyDescent="0.4">
      <c r="B28323" t="s">
        <v>7</v>
      </c>
      <c r="C28323" t="s">
        <v>4580</v>
      </c>
      <c r="D28323" s="7">
        <f>DATE(2013,6,27)</f>
        <v>41452</v>
      </c>
      <c r="E28323" s="8">
        <f t="shared" si="482"/>
        <v>2013</v>
      </c>
      <c r="F28323" t="s">
        <v>4582</v>
      </c>
      <c r="G28323" s="9">
        <v>11472.57</v>
      </c>
      <c r="H28323" s="8">
        <v>12516</v>
      </c>
    </row>
    <row r="28324" spans="2:8" ht="15" customHeight="1" x14ac:dyDescent="0.4">
      <c r="B28324" t="s">
        <v>7</v>
      </c>
      <c r="C28324" t="s">
        <v>4580</v>
      </c>
      <c r="D28324" s="7">
        <f>DATE(2003,2,2)</f>
        <v>37654</v>
      </c>
      <c r="E28324" s="8">
        <f t="shared" si="482"/>
        <v>2003</v>
      </c>
      <c r="F28324" t="s">
        <v>4582</v>
      </c>
      <c r="G28324" s="9">
        <v>14999.2</v>
      </c>
      <c r="H28324" s="8">
        <v>106</v>
      </c>
    </row>
    <row r="28325" spans="2:8" ht="15" customHeight="1" x14ac:dyDescent="0.4">
      <c r="B28325" t="s">
        <v>7</v>
      </c>
      <c r="C28325" t="s">
        <v>4580</v>
      </c>
      <c r="D28325" s="7">
        <f>DATE(2003,3,17)</f>
        <v>37697</v>
      </c>
      <c r="E28325" s="8">
        <f t="shared" si="482"/>
        <v>2003</v>
      </c>
      <c r="F28325" t="s">
        <v>4582</v>
      </c>
      <c r="G28325" s="9">
        <v>14445.5</v>
      </c>
      <c r="H28325" s="8">
        <v>234</v>
      </c>
    </row>
    <row r="28326" spans="2:8" ht="15" customHeight="1" x14ac:dyDescent="0.4">
      <c r="B28326" t="s">
        <v>7</v>
      </c>
      <c r="C28326" t="s">
        <v>4580</v>
      </c>
      <c r="D28326" s="7">
        <f>DATE(2003,4,23)</f>
        <v>37734</v>
      </c>
      <c r="E28326" s="8">
        <f t="shared" si="482"/>
        <v>2003</v>
      </c>
      <c r="F28326" t="s">
        <v>4582</v>
      </c>
      <c r="G28326" s="9">
        <v>14760</v>
      </c>
      <c r="H28326" s="8">
        <v>406</v>
      </c>
    </row>
    <row r="28327" spans="2:8" ht="15" customHeight="1" x14ac:dyDescent="0.4">
      <c r="B28327" t="s">
        <v>7</v>
      </c>
      <c r="C28327" t="s">
        <v>4580</v>
      </c>
      <c r="D28327" s="7">
        <f>DATE(2004,3,10)</f>
        <v>38056</v>
      </c>
      <c r="E28327" s="8">
        <f t="shared" si="482"/>
        <v>2004</v>
      </c>
      <c r="F28327" t="s">
        <v>4582</v>
      </c>
      <c r="G28327" s="9">
        <v>11500</v>
      </c>
      <c r="H28327" s="8">
        <v>1357</v>
      </c>
    </row>
    <row r="28328" spans="2:8" ht="15" customHeight="1" x14ac:dyDescent="0.4">
      <c r="B28328" t="s">
        <v>7</v>
      </c>
      <c r="C28328" t="s">
        <v>4580</v>
      </c>
      <c r="D28328" s="7">
        <f>DATE(2004,3,24)</f>
        <v>38070</v>
      </c>
      <c r="E28328" s="8">
        <f t="shared" si="482"/>
        <v>2004</v>
      </c>
      <c r="F28328" t="s">
        <v>4582</v>
      </c>
      <c r="G28328" s="9">
        <v>21530.87</v>
      </c>
      <c r="H28328" s="8">
        <v>1359</v>
      </c>
    </row>
    <row r="28329" spans="2:8" ht="15" customHeight="1" x14ac:dyDescent="0.4">
      <c r="B28329" t="s">
        <v>7</v>
      </c>
      <c r="C28329" t="s">
        <v>4580</v>
      </c>
      <c r="D28329" s="7">
        <f>DATE(2004,4,11)</f>
        <v>38088</v>
      </c>
      <c r="E28329" s="8">
        <f t="shared" si="482"/>
        <v>2004</v>
      </c>
      <c r="F28329" t="s">
        <v>4582</v>
      </c>
      <c r="G28329" s="9">
        <v>13787</v>
      </c>
      <c r="H28329" s="8">
        <v>1654</v>
      </c>
    </row>
    <row r="28330" spans="2:8" ht="15" customHeight="1" x14ac:dyDescent="0.4">
      <c r="B28330" t="s">
        <v>7</v>
      </c>
      <c r="C28330" t="s">
        <v>4580</v>
      </c>
      <c r="D28330" s="7">
        <f>DATE(2004,4,20)</f>
        <v>38097</v>
      </c>
      <c r="E28330" s="8">
        <f t="shared" si="482"/>
        <v>2004</v>
      </c>
      <c r="F28330" t="s">
        <v>4582</v>
      </c>
      <c r="G28330" s="9">
        <v>15620</v>
      </c>
      <c r="H28330" s="8">
        <v>1662</v>
      </c>
    </row>
    <row r="28331" spans="2:8" ht="15" customHeight="1" x14ac:dyDescent="0.4">
      <c r="B28331" t="s">
        <v>7</v>
      </c>
      <c r="C28331" t="s">
        <v>4580</v>
      </c>
      <c r="D28331" s="7">
        <f>DATE(2004,4,20)</f>
        <v>38097</v>
      </c>
      <c r="E28331" s="8">
        <f t="shared" si="482"/>
        <v>2004</v>
      </c>
      <c r="F28331" t="s">
        <v>4582</v>
      </c>
      <c r="G28331" s="9">
        <v>8200</v>
      </c>
      <c r="H28331" s="8">
        <v>1664</v>
      </c>
    </row>
    <row r="28332" spans="2:8" ht="15" customHeight="1" x14ac:dyDescent="0.4">
      <c r="B28332" t="s">
        <v>7</v>
      </c>
      <c r="C28332" t="s">
        <v>4580</v>
      </c>
      <c r="D28332" s="7">
        <f>DATE(2004,5,25)</f>
        <v>38132</v>
      </c>
      <c r="E28332" s="8">
        <f t="shared" si="482"/>
        <v>2004</v>
      </c>
      <c r="F28332" t="s">
        <v>4582</v>
      </c>
      <c r="G28332" s="9">
        <v>9171.01</v>
      </c>
      <c r="H28332" s="8">
        <v>1823</v>
      </c>
    </row>
    <row r="28333" spans="2:8" ht="15" customHeight="1" x14ac:dyDescent="0.4">
      <c r="B28333" t="s">
        <v>7</v>
      </c>
      <c r="C28333" t="s">
        <v>4580</v>
      </c>
      <c r="D28333" s="7">
        <f>DATE(2004,8,11)</f>
        <v>38210</v>
      </c>
      <c r="E28333" s="8">
        <f t="shared" si="482"/>
        <v>2004</v>
      </c>
      <c r="F28333" t="s">
        <v>4582</v>
      </c>
      <c r="G28333" s="9">
        <v>22000</v>
      </c>
      <c r="H28333" s="8">
        <v>1963</v>
      </c>
    </row>
    <row r="28334" spans="2:8" ht="15" customHeight="1" x14ac:dyDescent="0.4">
      <c r="B28334" t="s">
        <v>7</v>
      </c>
      <c r="C28334" t="s">
        <v>4580</v>
      </c>
      <c r="D28334" s="7">
        <f>DATE(2004,9,12)</f>
        <v>38242</v>
      </c>
      <c r="E28334" s="8">
        <f t="shared" si="482"/>
        <v>2004</v>
      </c>
      <c r="F28334" t="s">
        <v>4582</v>
      </c>
      <c r="G28334" s="9">
        <v>9085</v>
      </c>
      <c r="H28334" s="8">
        <v>2148</v>
      </c>
    </row>
    <row r="28335" spans="2:8" ht="15" customHeight="1" x14ac:dyDescent="0.4">
      <c r="B28335" t="s">
        <v>7</v>
      </c>
      <c r="C28335" t="s">
        <v>4580</v>
      </c>
      <c r="D28335" s="7">
        <f>DATE(2005,3,31)</f>
        <v>38442</v>
      </c>
      <c r="E28335" s="8">
        <f t="shared" si="482"/>
        <v>2005</v>
      </c>
      <c r="F28335" t="s">
        <v>4582</v>
      </c>
      <c r="G28335" s="9">
        <v>9700</v>
      </c>
      <c r="H28335" s="8">
        <v>2390</v>
      </c>
    </row>
    <row r="28336" spans="2:8" ht="15" customHeight="1" x14ac:dyDescent="0.4">
      <c r="B28336" t="s">
        <v>7</v>
      </c>
      <c r="C28336" t="s">
        <v>4580</v>
      </c>
      <c r="D28336" s="7">
        <f>DATE(2005,4,30)</f>
        <v>38472</v>
      </c>
      <c r="E28336" s="8">
        <f t="shared" si="482"/>
        <v>2005</v>
      </c>
      <c r="F28336" t="s">
        <v>4582</v>
      </c>
      <c r="G28336" s="9">
        <v>10125</v>
      </c>
      <c r="H28336" s="8">
        <v>3140</v>
      </c>
    </row>
    <row r="28337" spans="2:8" ht="15" customHeight="1" x14ac:dyDescent="0.4">
      <c r="B28337" t="s">
        <v>7</v>
      </c>
      <c r="C28337" t="s">
        <v>4580</v>
      </c>
      <c r="D28337" s="7">
        <f>DATE(2005,5,30)</f>
        <v>38502</v>
      </c>
      <c r="E28337" s="8">
        <f t="shared" si="482"/>
        <v>2005</v>
      </c>
      <c r="F28337" t="s">
        <v>4582</v>
      </c>
      <c r="G28337" s="9">
        <v>10380</v>
      </c>
      <c r="H28337" s="8">
        <v>3221</v>
      </c>
    </row>
    <row r="28338" spans="2:8" ht="15" customHeight="1" x14ac:dyDescent="0.4">
      <c r="B28338" t="s">
        <v>7</v>
      </c>
      <c r="C28338" t="s">
        <v>4580</v>
      </c>
      <c r="D28338" s="7">
        <f>DATE(2005,6,9)</f>
        <v>38512</v>
      </c>
      <c r="E28338" s="8">
        <f t="shared" si="482"/>
        <v>2005</v>
      </c>
      <c r="F28338" t="s">
        <v>4582</v>
      </c>
      <c r="G28338" s="9">
        <v>15260</v>
      </c>
      <c r="H28338" s="8">
        <v>3219</v>
      </c>
    </row>
    <row r="28339" spans="2:8" ht="15" customHeight="1" x14ac:dyDescent="0.4">
      <c r="B28339" t="s">
        <v>7</v>
      </c>
      <c r="C28339" t="s">
        <v>4580</v>
      </c>
      <c r="D28339" s="7">
        <f>DATE(2005,6,25)</f>
        <v>38528</v>
      </c>
      <c r="E28339" s="8">
        <f t="shared" si="482"/>
        <v>2005</v>
      </c>
      <c r="F28339" t="s">
        <v>4582</v>
      </c>
      <c r="G28339" s="9">
        <v>13660</v>
      </c>
      <c r="H28339" s="8">
        <v>3284</v>
      </c>
    </row>
    <row r="28340" spans="2:8" ht="15" customHeight="1" x14ac:dyDescent="0.4">
      <c r="B28340" t="s">
        <v>7</v>
      </c>
      <c r="C28340" t="s">
        <v>4580</v>
      </c>
      <c r="D28340" s="7">
        <f>DATE(2005,7,11)</f>
        <v>38544</v>
      </c>
      <c r="E28340" s="8">
        <f t="shared" si="482"/>
        <v>2005</v>
      </c>
      <c r="F28340" t="s">
        <v>4582</v>
      </c>
      <c r="G28340" s="9">
        <v>11700</v>
      </c>
      <c r="H28340" s="8">
        <v>3359</v>
      </c>
    </row>
    <row r="28341" spans="2:8" ht="15" customHeight="1" x14ac:dyDescent="0.4">
      <c r="B28341" t="s">
        <v>7</v>
      </c>
      <c r="C28341" t="s">
        <v>4580</v>
      </c>
      <c r="D28341" s="7">
        <f>DATE(2005,7,4)</f>
        <v>38537</v>
      </c>
      <c r="E28341" s="8">
        <f t="shared" si="482"/>
        <v>2005</v>
      </c>
      <c r="F28341" t="s">
        <v>4582</v>
      </c>
      <c r="G28341" s="9">
        <v>42000</v>
      </c>
      <c r="H28341" s="8">
        <v>3352</v>
      </c>
    </row>
    <row r="28342" spans="2:8" ht="15" customHeight="1" x14ac:dyDescent="0.4">
      <c r="B28342" t="s">
        <v>7</v>
      </c>
      <c r="C28342" t="s">
        <v>4580</v>
      </c>
      <c r="D28342" s="7">
        <f>DATE(2005,7,17)</f>
        <v>38550</v>
      </c>
      <c r="E28342" s="8">
        <f t="shared" si="482"/>
        <v>2005</v>
      </c>
      <c r="F28342" t="s">
        <v>4582</v>
      </c>
      <c r="G28342" s="9">
        <v>11700</v>
      </c>
      <c r="H28342" s="8">
        <v>3377</v>
      </c>
    </row>
    <row r="28343" spans="2:8" ht="15" customHeight="1" x14ac:dyDescent="0.4">
      <c r="B28343" t="s">
        <v>7</v>
      </c>
      <c r="C28343" t="s">
        <v>4580</v>
      </c>
      <c r="D28343" s="7">
        <f>DATE(2005,7,30)</f>
        <v>38563</v>
      </c>
      <c r="E28343" s="8">
        <f t="shared" si="482"/>
        <v>2005</v>
      </c>
      <c r="F28343" t="s">
        <v>4582</v>
      </c>
      <c r="G28343" s="9">
        <v>7593.35</v>
      </c>
      <c r="H28343" s="8">
        <v>3424</v>
      </c>
    </row>
    <row r="28344" spans="2:8" ht="15" customHeight="1" x14ac:dyDescent="0.4">
      <c r="B28344" t="s">
        <v>7</v>
      </c>
      <c r="C28344" t="s">
        <v>4580</v>
      </c>
      <c r="D28344" s="7">
        <f>DATE(2005,8,10)</f>
        <v>38574</v>
      </c>
      <c r="E28344" s="8">
        <f t="shared" si="482"/>
        <v>2005</v>
      </c>
      <c r="F28344" t="s">
        <v>4582</v>
      </c>
      <c r="G28344" s="9">
        <v>11700</v>
      </c>
      <c r="H28344" s="8">
        <v>3451</v>
      </c>
    </row>
    <row r="28345" spans="2:8" ht="15" customHeight="1" x14ac:dyDescent="0.4">
      <c r="B28345" t="s">
        <v>7</v>
      </c>
      <c r="C28345" t="s">
        <v>4580</v>
      </c>
      <c r="D28345" s="7">
        <f>DATE(2005,9,3)</f>
        <v>38598</v>
      </c>
      <c r="E28345" s="8">
        <f t="shared" si="482"/>
        <v>2005</v>
      </c>
      <c r="F28345" t="s">
        <v>4582</v>
      </c>
      <c r="G28345" s="9">
        <v>28693</v>
      </c>
      <c r="H28345" s="8">
        <v>3542</v>
      </c>
    </row>
    <row r="28346" spans="2:8" ht="15" customHeight="1" x14ac:dyDescent="0.4">
      <c r="B28346" t="s">
        <v>7</v>
      </c>
      <c r="C28346" t="s">
        <v>4580</v>
      </c>
      <c r="D28346" s="7">
        <f>DATE(2005,9,18)</f>
        <v>38613</v>
      </c>
      <c r="E28346" s="8">
        <f t="shared" si="482"/>
        <v>2005</v>
      </c>
      <c r="F28346" t="s">
        <v>4582</v>
      </c>
      <c r="G28346" s="9">
        <v>11375</v>
      </c>
      <c r="H28346" s="8">
        <v>3595</v>
      </c>
    </row>
    <row r="28347" spans="2:8" ht="15" customHeight="1" x14ac:dyDescent="0.4">
      <c r="B28347" t="s">
        <v>7</v>
      </c>
      <c r="C28347" t="s">
        <v>4580</v>
      </c>
      <c r="D28347" s="7">
        <f>DATE(2005,10,7)</f>
        <v>38632</v>
      </c>
      <c r="E28347" s="8">
        <f t="shared" si="482"/>
        <v>2005</v>
      </c>
      <c r="F28347" t="s">
        <v>4582</v>
      </c>
      <c r="G28347" s="9">
        <v>19132</v>
      </c>
      <c r="H28347" s="8">
        <v>3607</v>
      </c>
    </row>
    <row r="28348" spans="2:8" ht="15" customHeight="1" x14ac:dyDescent="0.4">
      <c r="B28348" t="s">
        <v>7</v>
      </c>
      <c r="C28348" t="s">
        <v>4580</v>
      </c>
      <c r="D28348" s="7">
        <f>DATE(2005,10,19)</f>
        <v>38644</v>
      </c>
      <c r="E28348" s="8">
        <f t="shared" si="482"/>
        <v>2005</v>
      </c>
      <c r="F28348" t="s">
        <v>4582</v>
      </c>
      <c r="G28348" s="9">
        <v>31500</v>
      </c>
      <c r="H28348" s="8">
        <v>3675</v>
      </c>
    </row>
    <row r="28349" spans="2:8" ht="15" customHeight="1" x14ac:dyDescent="0.4">
      <c r="B28349" t="s">
        <v>7</v>
      </c>
      <c r="C28349" t="s">
        <v>4580</v>
      </c>
      <c r="D28349" s="7">
        <f>DATE(2005,12,14)</f>
        <v>38700</v>
      </c>
      <c r="E28349" s="8">
        <f t="shared" si="482"/>
        <v>2005</v>
      </c>
      <c r="F28349" t="s">
        <v>4582</v>
      </c>
      <c r="G28349" s="9">
        <v>5902.16</v>
      </c>
      <c r="H28349" s="8">
        <v>3834</v>
      </c>
    </row>
    <row r="28350" spans="2:8" ht="15" customHeight="1" x14ac:dyDescent="0.4">
      <c r="B28350" t="s">
        <v>7</v>
      </c>
      <c r="C28350" t="s">
        <v>4580</v>
      </c>
      <c r="D28350" s="7">
        <f>DATE(2006,1,5)</f>
        <v>38722</v>
      </c>
      <c r="E28350" s="8">
        <f t="shared" si="482"/>
        <v>2006</v>
      </c>
      <c r="F28350" t="s">
        <v>4582</v>
      </c>
      <c r="G28350" s="9">
        <v>5982.86</v>
      </c>
      <c r="H28350" s="8">
        <v>3897</v>
      </c>
    </row>
    <row r="28351" spans="2:8" ht="15" customHeight="1" x14ac:dyDescent="0.4">
      <c r="B28351" t="s">
        <v>7</v>
      </c>
      <c r="C28351" t="s">
        <v>4580</v>
      </c>
      <c r="D28351" s="7">
        <f>DATE(2006,2,27)</f>
        <v>38775</v>
      </c>
      <c r="E28351" s="8">
        <f t="shared" si="482"/>
        <v>2006</v>
      </c>
      <c r="F28351" t="s">
        <v>4582</v>
      </c>
      <c r="G28351" s="9">
        <v>7498.35</v>
      </c>
      <c r="H28351" s="8">
        <v>4236</v>
      </c>
    </row>
    <row r="28352" spans="2:8" ht="15" customHeight="1" x14ac:dyDescent="0.4">
      <c r="B28352" t="s">
        <v>7</v>
      </c>
      <c r="C28352" t="s">
        <v>4580</v>
      </c>
      <c r="D28352" s="7">
        <f>DATE(2006,2,28)</f>
        <v>38776</v>
      </c>
      <c r="E28352" s="8">
        <f t="shared" si="482"/>
        <v>2006</v>
      </c>
      <c r="F28352" t="s">
        <v>4582</v>
      </c>
      <c r="G28352" s="9">
        <v>18410.75</v>
      </c>
      <c r="H28352" s="8">
        <v>4021</v>
      </c>
    </row>
    <row r="28353" spans="2:8" ht="15" customHeight="1" x14ac:dyDescent="0.4">
      <c r="B28353" t="s">
        <v>7</v>
      </c>
      <c r="C28353" t="s">
        <v>4580</v>
      </c>
      <c r="D28353" s="7">
        <f>DATE(2006,3,14)</f>
        <v>38790</v>
      </c>
      <c r="E28353" s="8">
        <f t="shared" si="482"/>
        <v>2006</v>
      </c>
      <c r="F28353" t="s">
        <v>4582</v>
      </c>
      <c r="G28353" s="9">
        <v>18929</v>
      </c>
      <c r="H28353" s="8">
        <v>4311</v>
      </c>
    </row>
    <row r="28354" spans="2:8" ht="15" customHeight="1" x14ac:dyDescent="0.4">
      <c r="B28354" t="s">
        <v>7</v>
      </c>
      <c r="C28354" t="s">
        <v>4580</v>
      </c>
      <c r="D28354" s="7">
        <f>DATE(2006,4,28)</f>
        <v>38835</v>
      </c>
      <c r="E28354" s="8">
        <f t="shared" si="482"/>
        <v>2006</v>
      </c>
      <c r="F28354" t="s">
        <v>4582</v>
      </c>
      <c r="G28354" s="9">
        <v>5825.66</v>
      </c>
      <c r="H28354" s="8">
        <v>4555</v>
      </c>
    </row>
    <row r="28355" spans="2:8" ht="15" customHeight="1" x14ac:dyDescent="0.4">
      <c r="B28355" t="s">
        <v>7</v>
      </c>
      <c r="C28355" t="s">
        <v>4580</v>
      </c>
      <c r="D28355" s="7">
        <f>DATE(2006,6,11)</f>
        <v>38879</v>
      </c>
      <c r="E28355" s="8">
        <f t="shared" ref="E28355:E28418" si="483">YEAR(D28355)</f>
        <v>2006</v>
      </c>
      <c r="F28355" t="s">
        <v>4582</v>
      </c>
      <c r="G28355" s="9">
        <v>23980</v>
      </c>
      <c r="H28355" s="8">
        <v>4674</v>
      </c>
    </row>
    <row r="28356" spans="2:8" ht="15" customHeight="1" x14ac:dyDescent="0.4">
      <c r="B28356" t="s">
        <v>7</v>
      </c>
      <c r="C28356" t="s">
        <v>4580</v>
      </c>
      <c r="D28356" s="7">
        <f>DATE(2006,7,10)</f>
        <v>38908</v>
      </c>
      <c r="E28356" s="8">
        <f t="shared" si="483"/>
        <v>2006</v>
      </c>
      <c r="F28356" t="s">
        <v>4582</v>
      </c>
      <c r="G28356" s="9">
        <v>22240</v>
      </c>
      <c r="H28356" s="8">
        <v>4776</v>
      </c>
    </row>
    <row r="28357" spans="2:8" ht="15" customHeight="1" x14ac:dyDescent="0.4">
      <c r="B28357" t="s">
        <v>7</v>
      </c>
      <c r="C28357" t="s">
        <v>4580</v>
      </c>
      <c r="D28357" s="7">
        <f>DATE(2006,8,15)</f>
        <v>38944</v>
      </c>
      <c r="E28357" s="8">
        <f t="shared" si="483"/>
        <v>2006</v>
      </c>
      <c r="F28357" t="s">
        <v>4582</v>
      </c>
      <c r="G28357" s="9">
        <v>5976.66</v>
      </c>
      <c r="H28357" s="8">
        <v>4902</v>
      </c>
    </row>
    <row r="28358" spans="2:8" ht="15" customHeight="1" x14ac:dyDescent="0.4">
      <c r="B28358" t="s">
        <v>7</v>
      </c>
      <c r="C28358" t="s">
        <v>4580</v>
      </c>
      <c r="D28358" s="7">
        <f>DATE(2006,9,27)</f>
        <v>38987</v>
      </c>
      <c r="E28358" s="8">
        <f t="shared" si="483"/>
        <v>2006</v>
      </c>
      <c r="F28358" t="s">
        <v>4582</v>
      </c>
      <c r="G28358" s="9">
        <v>18519.66</v>
      </c>
      <c r="H28358" s="8">
        <v>4951</v>
      </c>
    </row>
    <row r="28359" spans="2:8" ht="15" customHeight="1" x14ac:dyDescent="0.4">
      <c r="B28359" t="s">
        <v>7</v>
      </c>
      <c r="C28359" t="s">
        <v>4580</v>
      </c>
      <c r="D28359" s="7">
        <f>DATE(2006,12,19)</f>
        <v>39070</v>
      </c>
      <c r="E28359" s="8">
        <f t="shared" si="483"/>
        <v>2006</v>
      </c>
      <c r="F28359" t="s">
        <v>4582</v>
      </c>
      <c r="G28359" s="9">
        <v>8323.64</v>
      </c>
      <c r="H28359" s="8">
        <v>5287</v>
      </c>
    </row>
    <row r="28360" spans="2:8" ht="15" customHeight="1" x14ac:dyDescent="0.4">
      <c r="B28360" t="s">
        <v>7</v>
      </c>
      <c r="C28360" t="s">
        <v>4580</v>
      </c>
      <c r="D28360" s="7">
        <f>DATE(2006,12,29)</f>
        <v>39080</v>
      </c>
      <c r="E28360" s="8">
        <f t="shared" si="483"/>
        <v>2006</v>
      </c>
      <c r="F28360" t="s">
        <v>4582</v>
      </c>
      <c r="G28360" s="9">
        <v>6366.48</v>
      </c>
      <c r="H28360" s="8">
        <v>5310</v>
      </c>
    </row>
    <row r="28361" spans="2:8" ht="15" customHeight="1" x14ac:dyDescent="0.4">
      <c r="B28361" t="s">
        <v>7</v>
      </c>
      <c r="C28361" t="s">
        <v>4580</v>
      </c>
      <c r="D28361" s="7">
        <f>DATE(2007,3,8)</f>
        <v>39149</v>
      </c>
      <c r="E28361" s="8">
        <f t="shared" si="483"/>
        <v>2007</v>
      </c>
      <c r="F28361" t="s">
        <v>4582</v>
      </c>
      <c r="G28361" s="9">
        <v>19044.900000000001</v>
      </c>
      <c r="H28361" s="8">
        <v>5637</v>
      </c>
    </row>
    <row r="28362" spans="2:8" ht="15" customHeight="1" x14ac:dyDescent="0.4">
      <c r="B28362" t="s">
        <v>7</v>
      </c>
      <c r="C28362" t="s">
        <v>4580</v>
      </c>
      <c r="D28362" s="7">
        <f>DATE(2007,3,20)</f>
        <v>39161</v>
      </c>
      <c r="E28362" s="8">
        <f t="shared" si="483"/>
        <v>2007</v>
      </c>
      <c r="F28362" t="s">
        <v>4582</v>
      </c>
      <c r="G28362" s="9">
        <v>3451.64</v>
      </c>
      <c r="H28362" s="8">
        <v>5735</v>
      </c>
    </row>
    <row r="28363" spans="2:8" ht="15" customHeight="1" x14ac:dyDescent="0.4">
      <c r="B28363" t="s">
        <v>7</v>
      </c>
      <c r="C28363" t="s">
        <v>4580</v>
      </c>
      <c r="D28363" s="7">
        <f>DATE(2007,4,19)</f>
        <v>39191</v>
      </c>
      <c r="E28363" s="8">
        <f t="shared" si="483"/>
        <v>2007</v>
      </c>
      <c r="F28363" t="s">
        <v>4582</v>
      </c>
      <c r="G28363" s="9">
        <v>6027.46</v>
      </c>
      <c r="H28363" s="8">
        <v>5857</v>
      </c>
    </row>
    <row r="28364" spans="2:8" ht="15" customHeight="1" x14ac:dyDescent="0.4">
      <c r="B28364" t="s">
        <v>7</v>
      </c>
      <c r="C28364" t="s">
        <v>4580</v>
      </c>
      <c r="D28364" s="7">
        <f>DATE(2007,11,29)</f>
        <v>39415</v>
      </c>
      <c r="E28364" s="8">
        <f t="shared" si="483"/>
        <v>2007</v>
      </c>
      <c r="F28364" t="s">
        <v>4582</v>
      </c>
      <c r="G28364" s="9">
        <v>6073.02</v>
      </c>
      <c r="H28364" s="8">
        <v>6594</v>
      </c>
    </row>
    <row r="28365" spans="2:8" ht="15" customHeight="1" x14ac:dyDescent="0.4">
      <c r="B28365" t="s">
        <v>7</v>
      </c>
      <c r="C28365" t="s">
        <v>4580</v>
      </c>
      <c r="D28365" s="7">
        <f>DATE(2008,1,20)</f>
        <v>39467</v>
      </c>
      <c r="E28365" s="8">
        <f t="shared" si="483"/>
        <v>2008</v>
      </c>
      <c r="F28365" t="s">
        <v>4582</v>
      </c>
      <c r="G28365" s="9">
        <v>6838.83</v>
      </c>
      <c r="H28365" s="8">
        <v>6842</v>
      </c>
    </row>
    <row r="28366" spans="2:8" ht="15" customHeight="1" x14ac:dyDescent="0.4">
      <c r="B28366" t="s">
        <v>7</v>
      </c>
      <c r="C28366" t="s">
        <v>4580</v>
      </c>
      <c r="D28366" s="7">
        <f>DATE(2008,2,4)</f>
        <v>39482</v>
      </c>
      <c r="E28366" s="8">
        <f t="shared" si="483"/>
        <v>2008</v>
      </c>
      <c r="F28366" t="s">
        <v>4582</v>
      </c>
      <c r="G28366" s="9">
        <v>6827.08</v>
      </c>
      <c r="H28366" s="8">
        <v>6934</v>
      </c>
    </row>
    <row r="28367" spans="2:8" ht="15" customHeight="1" x14ac:dyDescent="0.4">
      <c r="B28367" t="s">
        <v>7</v>
      </c>
      <c r="C28367" t="s">
        <v>4580</v>
      </c>
      <c r="D28367" s="7">
        <f>DATE(2008,2,26)</f>
        <v>39504</v>
      </c>
      <c r="E28367" s="8">
        <f t="shared" si="483"/>
        <v>2008</v>
      </c>
      <c r="F28367" t="s">
        <v>4582</v>
      </c>
      <c r="G28367" s="9">
        <v>35239.440000000002</v>
      </c>
      <c r="H28367" s="8">
        <v>6822</v>
      </c>
    </row>
    <row r="28368" spans="2:8" ht="15" customHeight="1" x14ac:dyDescent="0.4">
      <c r="B28368" t="s">
        <v>7</v>
      </c>
      <c r="C28368" t="s">
        <v>4580</v>
      </c>
      <c r="D28368" s="7">
        <f>DATE(2008,4,30)</f>
        <v>39568</v>
      </c>
      <c r="E28368" s="8">
        <f t="shared" si="483"/>
        <v>2008</v>
      </c>
      <c r="F28368" t="s">
        <v>4582</v>
      </c>
      <c r="G28368" s="9">
        <v>19735</v>
      </c>
      <c r="H28368" s="8">
        <v>6978</v>
      </c>
    </row>
    <row r="28369" spans="2:8" ht="15" customHeight="1" x14ac:dyDescent="0.4">
      <c r="B28369" t="s">
        <v>7</v>
      </c>
      <c r="C28369" t="s">
        <v>4580</v>
      </c>
      <c r="D28369" s="7">
        <f>DATE(2008,5,5)</f>
        <v>39573</v>
      </c>
      <c r="E28369" s="8">
        <f t="shared" si="483"/>
        <v>2008</v>
      </c>
      <c r="F28369" t="s">
        <v>4582</v>
      </c>
      <c r="G28369" s="9">
        <v>3754.43</v>
      </c>
      <c r="H28369" s="8">
        <v>7373</v>
      </c>
    </row>
    <row r="28370" spans="2:8" ht="15" customHeight="1" x14ac:dyDescent="0.4">
      <c r="B28370" t="s">
        <v>7</v>
      </c>
      <c r="C28370" t="s">
        <v>4580</v>
      </c>
      <c r="D28370" s="7">
        <f>DATE(2008,6,21)</f>
        <v>39620</v>
      </c>
      <c r="E28370" s="8">
        <f t="shared" si="483"/>
        <v>2008</v>
      </c>
      <c r="F28370" t="s">
        <v>4582</v>
      </c>
      <c r="G28370" s="9">
        <v>19735</v>
      </c>
      <c r="H28370" s="8">
        <v>6979</v>
      </c>
    </row>
    <row r="28371" spans="2:8" ht="15" customHeight="1" x14ac:dyDescent="0.4">
      <c r="B28371" t="s">
        <v>7</v>
      </c>
      <c r="C28371" t="s">
        <v>4580</v>
      </c>
      <c r="D28371" s="7">
        <f>DATE(2008,6,4)</f>
        <v>39603</v>
      </c>
      <c r="E28371" s="8">
        <f t="shared" si="483"/>
        <v>2008</v>
      </c>
      <c r="F28371" t="s">
        <v>4582</v>
      </c>
      <c r="G28371" s="9">
        <v>5232.6400000000003</v>
      </c>
      <c r="H28371" s="8">
        <v>7484</v>
      </c>
    </row>
    <row r="28372" spans="2:8" ht="15" customHeight="1" x14ac:dyDescent="0.4">
      <c r="B28372" t="s">
        <v>7</v>
      </c>
      <c r="C28372" t="s">
        <v>4580</v>
      </c>
      <c r="D28372" s="7">
        <f>DATE(2008,9,25)</f>
        <v>39716</v>
      </c>
      <c r="E28372" s="8">
        <f t="shared" si="483"/>
        <v>2008</v>
      </c>
      <c r="F28372" t="s">
        <v>4582</v>
      </c>
      <c r="G28372" s="9">
        <v>12614</v>
      </c>
      <c r="H28372" s="8">
        <v>7624</v>
      </c>
    </row>
    <row r="28373" spans="2:8" ht="15" customHeight="1" x14ac:dyDescent="0.4">
      <c r="B28373" t="s">
        <v>7</v>
      </c>
      <c r="C28373" t="s">
        <v>4580</v>
      </c>
      <c r="D28373" s="7">
        <f>DATE(2008,12,6)</f>
        <v>39788</v>
      </c>
      <c r="E28373" s="8">
        <f t="shared" si="483"/>
        <v>2008</v>
      </c>
      <c r="F28373" t="s">
        <v>4582</v>
      </c>
      <c r="G28373" s="9">
        <v>33062</v>
      </c>
      <c r="H28373" s="8">
        <v>6918</v>
      </c>
    </row>
    <row r="28374" spans="2:8" ht="15" customHeight="1" x14ac:dyDescent="0.4">
      <c r="B28374" t="s">
        <v>7</v>
      </c>
      <c r="C28374" t="s">
        <v>4580</v>
      </c>
      <c r="D28374" s="7">
        <f>DATE(2009,11,3)</f>
        <v>40120</v>
      </c>
      <c r="E28374" s="8">
        <f t="shared" si="483"/>
        <v>2009</v>
      </c>
      <c r="F28374" t="s">
        <v>4582</v>
      </c>
      <c r="G28374" s="9">
        <v>21246.48</v>
      </c>
      <c r="H28374" s="8">
        <v>8902</v>
      </c>
    </row>
    <row r="28375" spans="2:8" ht="15" customHeight="1" x14ac:dyDescent="0.4">
      <c r="B28375" t="s">
        <v>7</v>
      </c>
      <c r="C28375" t="s">
        <v>4580</v>
      </c>
      <c r="D28375" s="7">
        <f>DATE(2010,1,13)</f>
        <v>40191</v>
      </c>
      <c r="E28375" s="8">
        <f t="shared" si="483"/>
        <v>2010</v>
      </c>
      <c r="F28375" t="s">
        <v>4582</v>
      </c>
      <c r="G28375" s="9">
        <v>9541.6200000000008</v>
      </c>
      <c r="H28375" s="8">
        <v>9314</v>
      </c>
    </row>
    <row r="28376" spans="2:8" ht="15" customHeight="1" x14ac:dyDescent="0.4">
      <c r="B28376" t="s">
        <v>7</v>
      </c>
      <c r="C28376" t="s">
        <v>4580</v>
      </c>
      <c r="D28376" s="7">
        <f>DATE(2010,2,19)</f>
        <v>40228</v>
      </c>
      <c r="E28376" s="8">
        <f t="shared" si="483"/>
        <v>2010</v>
      </c>
      <c r="F28376" t="s">
        <v>4582</v>
      </c>
      <c r="G28376" s="9">
        <v>7149.27</v>
      </c>
      <c r="H28376" s="8">
        <v>9517</v>
      </c>
    </row>
    <row r="28377" spans="2:8" ht="15" customHeight="1" x14ac:dyDescent="0.4">
      <c r="B28377" t="s">
        <v>7</v>
      </c>
      <c r="C28377" t="s">
        <v>4580</v>
      </c>
      <c r="D28377" s="7">
        <f>DATE(2010,4,23)</f>
        <v>40291</v>
      </c>
      <c r="E28377" s="8">
        <f t="shared" si="483"/>
        <v>2010</v>
      </c>
      <c r="F28377" t="s">
        <v>4582</v>
      </c>
      <c r="G28377" s="9">
        <v>22869.52</v>
      </c>
      <c r="H28377" s="8">
        <v>9613</v>
      </c>
    </row>
    <row r="28378" spans="2:8" ht="15" customHeight="1" x14ac:dyDescent="0.4">
      <c r="B28378" t="s">
        <v>7</v>
      </c>
      <c r="C28378" t="s">
        <v>4580</v>
      </c>
      <c r="D28378" s="7">
        <f>DATE(2010,8,4)</f>
        <v>40394</v>
      </c>
      <c r="E28378" s="8">
        <f t="shared" si="483"/>
        <v>2010</v>
      </c>
      <c r="F28378" t="s">
        <v>4582</v>
      </c>
      <c r="G28378" s="9">
        <v>39679</v>
      </c>
      <c r="H28378" s="8">
        <v>10016</v>
      </c>
    </row>
    <row r="28379" spans="2:8" ht="15" customHeight="1" x14ac:dyDescent="0.4">
      <c r="B28379" t="s">
        <v>7</v>
      </c>
      <c r="C28379" t="s">
        <v>4580</v>
      </c>
      <c r="D28379" s="7">
        <f>DATE(2010,11,16)</f>
        <v>40498</v>
      </c>
      <c r="E28379" s="8">
        <f t="shared" si="483"/>
        <v>2010</v>
      </c>
      <c r="F28379" t="s">
        <v>4582</v>
      </c>
      <c r="G28379" s="9">
        <v>20046.5</v>
      </c>
      <c r="H28379" s="8">
        <v>10175</v>
      </c>
    </row>
    <row r="28380" spans="2:8" ht="15" customHeight="1" x14ac:dyDescent="0.4">
      <c r="B28380" t="s">
        <v>7</v>
      </c>
      <c r="C28380" t="s">
        <v>4580</v>
      </c>
      <c r="D28380" s="7">
        <f>DATE(2011,5,11)</f>
        <v>40674</v>
      </c>
      <c r="E28380" s="8">
        <f t="shared" si="483"/>
        <v>2011</v>
      </c>
      <c r="F28380" t="s">
        <v>4582</v>
      </c>
      <c r="G28380" s="9">
        <v>46792.57</v>
      </c>
      <c r="H28380" s="8">
        <v>10494</v>
      </c>
    </row>
    <row r="28381" spans="2:8" ht="15" customHeight="1" x14ac:dyDescent="0.4">
      <c r="B28381" t="s">
        <v>7</v>
      </c>
      <c r="C28381" t="s">
        <v>4580</v>
      </c>
      <c r="D28381" s="7">
        <f>DATE(2011,7,6)</f>
        <v>40730</v>
      </c>
      <c r="E28381" s="8">
        <f t="shared" si="483"/>
        <v>2011</v>
      </c>
      <c r="F28381" t="s">
        <v>4582</v>
      </c>
      <c r="G28381" s="9">
        <v>37430</v>
      </c>
      <c r="H28381" s="8">
        <v>10814</v>
      </c>
    </row>
    <row r="28382" spans="2:8" ht="15" customHeight="1" x14ac:dyDescent="0.4">
      <c r="B28382" t="s">
        <v>7</v>
      </c>
      <c r="C28382" t="s">
        <v>4580</v>
      </c>
      <c r="D28382" s="7">
        <f>DATE(2011,7,18)</f>
        <v>40742</v>
      </c>
      <c r="E28382" s="8">
        <f t="shared" si="483"/>
        <v>2011</v>
      </c>
      <c r="F28382" t="s">
        <v>4582</v>
      </c>
      <c r="G28382" s="9">
        <v>698.6</v>
      </c>
      <c r="H28382" s="8">
        <v>10875</v>
      </c>
    </row>
    <row r="28383" spans="2:8" ht="15" customHeight="1" x14ac:dyDescent="0.4">
      <c r="B28383" t="s">
        <v>7</v>
      </c>
      <c r="C28383" t="s">
        <v>4580</v>
      </c>
      <c r="D28383" s="7">
        <f>DATE(2011,10,19)</f>
        <v>40835</v>
      </c>
      <c r="E28383" s="8">
        <f t="shared" si="483"/>
        <v>2011</v>
      </c>
      <c r="F28383" t="s">
        <v>4582</v>
      </c>
      <c r="G28383" s="9">
        <v>23000</v>
      </c>
      <c r="H28383" s="8">
        <v>11015</v>
      </c>
    </row>
    <row r="28384" spans="2:8" ht="15" customHeight="1" x14ac:dyDescent="0.4">
      <c r="B28384" t="s">
        <v>7</v>
      </c>
      <c r="C28384" t="s">
        <v>4580</v>
      </c>
      <c r="D28384" s="7">
        <f>DATE(2013,4,3)</f>
        <v>41367</v>
      </c>
      <c r="E28384" s="8">
        <f t="shared" si="483"/>
        <v>2013</v>
      </c>
      <c r="F28384" t="s">
        <v>4582</v>
      </c>
      <c r="G28384" s="9">
        <v>13783.27</v>
      </c>
      <c r="H28384" s="8">
        <v>12234</v>
      </c>
    </row>
    <row r="28385" spans="2:8" ht="15" customHeight="1" x14ac:dyDescent="0.4">
      <c r="B28385" t="s">
        <v>7</v>
      </c>
      <c r="C28385" t="s">
        <v>4580</v>
      </c>
      <c r="D28385" s="7">
        <f>DATE(2013,10,1)</f>
        <v>41548</v>
      </c>
      <c r="E28385" s="8">
        <f t="shared" si="483"/>
        <v>2013</v>
      </c>
      <c r="F28385" t="s">
        <v>4582</v>
      </c>
      <c r="G28385" s="9">
        <v>9264.7999999999993</v>
      </c>
      <c r="H28385" s="8">
        <v>12675</v>
      </c>
    </row>
    <row r="28386" spans="2:8" ht="15" customHeight="1" x14ac:dyDescent="0.4">
      <c r="B28386" s="3" t="s">
        <v>7</v>
      </c>
      <c r="C28386" s="3" t="s">
        <v>4580</v>
      </c>
      <c r="D28386" s="4">
        <f>DATE(2004,9,7)</f>
        <v>38237</v>
      </c>
      <c r="E28386" s="5">
        <f t="shared" si="483"/>
        <v>2004</v>
      </c>
      <c r="F28386" s="3" t="s">
        <v>4582</v>
      </c>
      <c r="G28386" s="6">
        <v>5760</v>
      </c>
      <c r="H28386" s="5">
        <v>3346</v>
      </c>
    </row>
    <row r="28387" spans="2:8" ht="15" customHeight="1" x14ac:dyDescent="0.4">
      <c r="B28387" s="3" t="s">
        <v>7</v>
      </c>
      <c r="C28387" s="3" t="s">
        <v>4580</v>
      </c>
      <c r="D28387" s="4">
        <f>DATE(2005,4,28)</f>
        <v>38470</v>
      </c>
      <c r="E28387" s="5">
        <f t="shared" si="483"/>
        <v>2005</v>
      </c>
      <c r="F28387" s="3" t="s">
        <v>4582</v>
      </c>
      <c r="G28387" s="6">
        <v>6460</v>
      </c>
      <c r="H28387" s="5">
        <v>4640</v>
      </c>
    </row>
    <row r="28388" spans="2:8" ht="15" customHeight="1" x14ac:dyDescent="0.4">
      <c r="B28388" s="3" t="s">
        <v>7</v>
      </c>
      <c r="C28388" s="3" t="s">
        <v>4580</v>
      </c>
      <c r="D28388" s="4">
        <f>DATE(2005,6,6)</f>
        <v>38509</v>
      </c>
      <c r="E28388" s="5">
        <f t="shared" si="483"/>
        <v>2005</v>
      </c>
      <c r="F28388" s="3" t="s">
        <v>4582</v>
      </c>
      <c r="G28388" s="6">
        <v>11400</v>
      </c>
      <c r="H28388" s="5">
        <v>4849</v>
      </c>
    </row>
    <row r="28389" spans="2:8" ht="15" customHeight="1" x14ac:dyDescent="0.4">
      <c r="B28389" s="3" t="s">
        <v>7</v>
      </c>
      <c r="C28389" s="3" t="s">
        <v>4580</v>
      </c>
      <c r="D28389" s="4">
        <f>DATE(2005,6,25)</f>
        <v>38528</v>
      </c>
      <c r="E28389" s="5">
        <f t="shared" si="483"/>
        <v>2005</v>
      </c>
      <c r="F28389" s="3" t="s">
        <v>4582</v>
      </c>
      <c r="G28389" s="6">
        <v>18000</v>
      </c>
      <c r="H28389" s="5">
        <v>4973</v>
      </c>
    </row>
    <row r="28390" spans="2:8" ht="15" customHeight="1" x14ac:dyDescent="0.4">
      <c r="B28390" s="3" t="s">
        <v>7</v>
      </c>
      <c r="C28390" s="3" t="s">
        <v>4580</v>
      </c>
      <c r="D28390" s="4">
        <f>DATE(2005,7,9)</f>
        <v>38542</v>
      </c>
      <c r="E28390" s="5">
        <f t="shared" si="483"/>
        <v>2005</v>
      </c>
      <c r="F28390" s="3" t="s">
        <v>4582</v>
      </c>
      <c r="G28390" s="6">
        <v>3800</v>
      </c>
      <c r="H28390" s="5">
        <v>4948</v>
      </c>
    </row>
    <row r="28391" spans="2:8" ht="15" customHeight="1" x14ac:dyDescent="0.4">
      <c r="B28391" s="3" t="s">
        <v>7</v>
      </c>
      <c r="C28391" s="3" t="s">
        <v>4580</v>
      </c>
      <c r="D28391" s="4">
        <f>DATE(2005,7,15)</f>
        <v>38548</v>
      </c>
      <c r="E28391" s="5">
        <f t="shared" si="483"/>
        <v>2005</v>
      </c>
      <c r="F28391" s="3" t="s">
        <v>4582</v>
      </c>
      <c r="G28391" s="6">
        <v>3800</v>
      </c>
      <c r="H28391" s="5">
        <v>4974</v>
      </c>
    </row>
    <row r="28392" spans="2:8" ht="15" customHeight="1" x14ac:dyDescent="0.4">
      <c r="B28392" s="3" t="s">
        <v>7</v>
      </c>
      <c r="C28392" s="3" t="s">
        <v>4580</v>
      </c>
      <c r="D28392" s="4">
        <f>DATE(2005,8,8)</f>
        <v>38572</v>
      </c>
      <c r="E28392" s="5">
        <f t="shared" si="483"/>
        <v>2005</v>
      </c>
      <c r="F28392" s="3" t="s">
        <v>4582</v>
      </c>
      <c r="G28392" s="6">
        <v>3800</v>
      </c>
      <c r="H28392" s="5">
        <v>5072</v>
      </c>
    </row>
    <row r="28393" spans="2:8" ht="15" customHeight="1" x14ac:dyDescent="0.4">
      <c r="B28393" s="3" t="s">
        <v>7</v>
      </c>
      <c r="C28393" s="3" t="s">
        <v>4580</v>
      </c>
      <c r="D28393" s="4">
        <f>DATE(2005,9,1)</f>
        <v>38596</v>
      </c>
      <c r="E28393" s="5">
        <f t="shared" si="483"/>
        <v>2005</v>
      </c>
      <c r="F28393" s="3" t="s">
        <v>4582</v>
      </c>
      <c r="G28393" s="6">
        <v>7600</v>
      </c>
      <c r="H28393" s="5">
        <v>5205</v>
      </c>
    </row>
    <row r="28394" spans="2:8" ht="15" customHeight="1" x14ac:dyDescent="0.4">
      <c r="B28394" s="3" t="s">
        <v>7</v>
      </c>
      <c r="C28394" s="3" t="s">
        <v>4580</v>
      </c>
      <c r="D28394" s="4">
        <f>DATE(2005,9,1)</f>
        <v>38596</v>
      </c>
      <c r="E28394" s="5">
        <f t="shared" si="483"/>
        <v>2005</v>
      </c>
      <c r="F28394" s="3" t="s">
        <v>4582</v>
      </c>
      <c r="G28394" s="6">
        <v>7600</v>
      </c>
      <c r="H28394" s="5">
        <v>5206</v>
      </c>
    </row>
    <row r="28395" spans="2:8" ht="15" customHeight="1" x14ac:dyDescent="0.4">
      <c r="B28395" s="3" t="s">
        <v>7</v>
      </c>
      <c r="C28395" s="3" t="s">
        <v>4580</v>
      </c>
      <c r="D28395" s="4">
        <f>DATE(2005,9,15)</f>
        <v>38610</v>
      </c>
      <c r="E28395" s="5">
        <f t="shared" si="483"/>
        <v>2005</v>
      </c>
      <c r="F28395" s="3" t="s">
        <v>4582</v>
      </c>
      <c r="G28395" s="6">
        <v>3800</v>
      </c>
      <c r="H28395" s="5">
        <v>5274</v>
      </c>
    </row>
    <row r="28396" spans="2:8" ht="15" customHeight="1" x14ac:dyDescent="0.4">
      <c r="B28396" s="3" t="s">
        <v>7</v>
      </c>
      <c r="C28396" s="3" t="s">
        <v>4580</v>
      </c>
      <c r="D28396" s="4">
        <f>DATE(2005,10,4)</f>
        <v>38629</v>
      </c>
      <c r="E28396" s="5">
        <f t="shared" si="483"/>
        <v>2005</v>
      </c>
      <c r="F28396" s="3" t="s">
        <v>4582</v>
      </c>
      <c r="G28396" s="6">
        <v>6600</v>
      </c>
      <c r="H28396" s="5">
        <v>5354</v>
      </c>
    </row>
    <row r="28397" spans="2:8" ht="15" customHeight="1" x14ac:dyDescent="0.4">
      <c r="B28397" s="3" t="s">
        <v>7</v>
      </c>
      <c r="C28397" s="3" t="s">
        <v>4580</v>
      </c>
      <c r="D28397" s="4">
        <f>DATE(2005,10,15)</f>
        <v>38640</v>
      </c>
      <c r="E28397" s="5">
        <f t="shared" si="483"/>
        <v>2005</v>
      </c>
      <c r="F28397" s="3" t="s">
        <v>4582</v>
      </c>
      <c r="G28397" s="6">
        <v>13249.5</v>
      </c>
      <c r="H28397" s="5">
        <v>5411</v>
      </c>
    </row>
    <row r="28398" spans="2:8" ht="15" customHeight="1" x14ac:dyDescent="0.4">
      <c r="B28398" s="3" t="s">
        <v>7</v>
      </c>
      <c r="C28398" s="3" t="s">
        <v>4580</v>
      </c>
      <c r="D28398" s="4">
        <f>DATE(2006,3,3)</f>
        <v>38779</v>
      </c>
      <c r="E28398" s="5">
        <f t="shared" si="483"/>
        <v>2006</v>
      </c>
      <c r="F28398" s="3" t="s">
        <v>4582</v>
      </c>
      <c r="G28398" s="6">
        <v>6607.6</v>
      </c>
      <c r="H28398" s="5">
        <v>6044</v>
      </c>
    </row>
    <row r="28399" spans="2:8" ht="15" customHeight="1" x14ac:dyDescent="0.4">
      <c r="B28399" s="3" t="s">
        <v>7</v>
      </c>
      <c r="C28399" s="3" t="s">
        <v>4580</v>
      </c>
      <c r="D28399" s="4">
        <f>DATE(2006,3,9)</f>
        <v>38785</v>
      </c>
      <c r="E28399" s="5">
        <f t="shared" si="483"/>
        <v>2006</v>
      </c>
      <c r="F28399" s="3" t="s">
        <v>4582</v>
      </c>
      <c r="G28399" s="6">
        <v>8250</v>
      </c>
      <c r="H28399" s="5">
        <v>6252</v>
      </c>
    </row>
    <row r="28400" spans="2:8" ht="15" customHeight="1" x14ac:dyDescent="0.4">
      <c r="B28400" s="3" t="s">
        <v>7</v>
      </c>
      <c r="C28400" s="3" t="s">
        <v>4580</v>
      </c>
      <c r="D28400" s="4">
        <f>DATE(2006,6,10)</f>
        <v>38878</v>
      </c>
      <c r="E28400" s="5">
        <f t="shared" si="483"/>
        <v>2006</v>
      </c>
      <c r="F28400" s="3" t="s">
        <v>4582</v>
      </c>
      <c r="G28400" s="6">
        <v>8250</v>
      </c>
      <c r="H28400" s="5">
        <v>6809</v>
      </c>
    </row>
    <row r="28401" spans="2:8" ht="15" customHeight="1" x14ac:dyDescent="0.4">
      <c r="B28401" s="3" t="s">
        <v>7</v>
      </c>
      <c r="C28401" s="3" t="s">
        <v>4580</v>
      </c>
      <c r="D28401" s="4">
        <f>DATE(2006,7,7)</f>
        <v>38905</v>
      </c>
      <c r="E28401" s="5">
        <f t="shared" si="483"/>
        <v>2006</v>
      </c>
      <c r="F28401" s="3" t="s">
        <v>4582</v>
      </c>
      <c r="G28401" s="6">
        <v>7600</v>
      </c>
      <c r="H28401" s="5">
        <v>6934</v>
      </c>
    </row>
    <row r="28402" spans="2:8" ht="15" customHeight="1" x14ac:dyDescent="0.4">
      <c r="B28402" s="3" t="s">
        <v>7</v>
      </c>
      <c r="C28402" s="3" t="s">
        <v>4580</v>
      </c>
      <c r="D28402" s="4">
        <f>DATE(2006,9,22)</f>
        <v>38982</v>
      </c>
      <c r="E28402" s="5">
        <f t="shared" si="483"/>
        <v>2006</v>
      </c>
      <c r="F28402" s="3" t="s">
        <v>4582</v>
      </c>
      <c r="G28402" s="6">
        <v>8250</v>
      </c>
      <c r="H28402" s="5">
        <v>7156</v>
      </c>
    </row>
    <row r="28403" spans="2:8" ht="15" customHeight="1" x14ac:dyDescent="0.4">
      <c r="B28403" s="3" t="s">
        <v>7</v>
      </c>
      <c r="C28403" s="3" t="s">
        <v>4580</v>
      </c>
      <c r="D28403" s="4">
        <f>DATE(2007,3,4)</f>
        <v>39145</v>
      </c>
      <c r="E28403" s="5">
        <f t="shared" si="483"/>
        <v>2007</v>
      </c>
      <c r="F28403" s="3" t="s">
        <v>4582</v>
      </c>
      <c r="G28403" s="6">
        <v>8250</v>
      </c>
      <c r="H28403" s="5">
        <v>8036</v>
      </c>
    </row>
    <row r="28404" spans="2:8" ht="15" customHeight="1" x14ac:dyDescent="0.4">
      <c r="B28404" s="3" t="s">
        <v>7</v>
      </c>
      <c r="C28404" s="3" t="s">
        <v>4580</v>
      </c>
      <c r="D28404" s="4">
        <f>DATE(2007,10,12)</f>
        <v>39367</v>
      </c>
      <c r="E28404" s="5">
        <f t="shared" si="483"/>
        <v>2007</v>
      </c>
      <c r="F28404" s="3" t="s">
        <v>4582</v>
      </c>
      <c r="G28404" s="6">
        <v>8250</v>
      </c>
      <c r="H28404" s="5">
        <v>9032</v>
      </c>
    </row>
    <row r="28405" spans="2:8" ht="15" customHeight="1" x14ac:dyDescent="0.4">
      <c r="B28405" s="3" t="s">
        <v>7</v>
      </c>
      <c r="C28405" s="3" t="s">
        <v>4580</v>
      </c>
      <c r="D28405" s="4">
        <f>DATE(2008,2,26)</f>
        <v>39504</v>
      </c>
      <c r="E28405" s="5">
        <f t="shared" si="483"/>
        <v>2008</v>
      </c>
      <c r="F28405" s="3" t="s">
        <v>4582</v>
      </c>
      <c r="G28405" s="6">
        <v>6600</v>
      </c>
      <c r="H28405" s="5">
        <v>9744</v>
      </c>
    </row>
    <row r="28406" spans="2:8" ht="15" customHeight="1" x14ac:dyDescent="0.4">
      <c r="B28406" s="3" t="s">
        <v>7</v>
      </c>
      <c r="C28406" s="3" t="s">
        <v>4580</v>
      </c>
      <c r="D28406" s="4">
        <f>DATE(2008,4,30)</f>
        <v>39568</v>
      </c>
      <c r="E28406" s="5">
        <f t="shared" si="483"/>
        <v>2008</v>
      </c>
      <c r="F28406" s="3" t="s">
        <v>4582</v>
      </c>
      <c r="G28406" s="6">
        <v>6600</v>
      </c>
      <c r="H28406" s="5">
        <v>9902</v>
      </c>
    </row>
    <row r="28407" spans="2:8" ht="15" customHeight="1" x14ac:dyDescent="0.4">
      <c r="B28407" s="3" t="s">
        <v>7</v>
      </c>
      <c r="C28407" s="3" t="s">
        <v>4580</v>
      </c>
      <c r="D28407" s="4">
        <f>DATE(2008,6,16)</f>
        <v>39615</v>
      </c>
      <c r="E28407" s="5">
        <f t="shared" si="483"/>
        <v>2008</v>
      </c>
      <c r="F28407" s="3" t="s">
        <v>4582</v>
      </c>
      <c r="G28407" s="6">
        <v>6600</v>
      </c>
      <c r="H28407" s="5">
        <v>9903</v>
      </c>
    </row>
    <row r="28408" spans="2:8" ht="15" customHeight="1" x14ac:dyDescent="0.4">
      <c r="B28408" s="3" t="s">
        <v>7</v>
      </c>
      <c r="C28408" s="3" t="s">
        <v>4580</v>
      </c>
      <c r="D28408" s="4">
        <f>DATE(2008,9,25)</f>
        <v>39716</v>
      </c>
      <c r="E28408" s="5">
        <f t="shared" si="483"/>
        <v>2008</v>
      </c>
      <c r="F28408" s="3" t="s">
        <v>4582</v>
      </c>
      <c r="G28408" s="6">
        <v>3560</v>
      </c>
      <c r="H28408" s="5">
        <v>10966</v>
      </c>
    </row>
    <row r="28409" spans="2:8" ht="15" customHeight="1" x14ac:dyDescent="0.4">
      <c r="B28409" s="3" t="s">
        <v>7</v>
      </c>
      <c r="C28409" s="3" t="s">
        <v>4580</v>
      </c>
      <c r="D28409" s="4">
        <f>DATE(2008,12,6)</f>
        <v>39788</v>
      </c>
      <c r="E28409" s="5">
        <f t="shared" si="483"/>
        <v>2008</v>
      </c>
      <c r="F28409" s="3" t="s">
        <v>4582</v>
      </c>
      <c r="G28409" s="6">
        <v>13282.5</v>
      </c>
      <c r="H28409" s="5">
        <v>9852</v>
      </c>
    </row>
    <row r="28410" spans="2:8" ht="15" customHeight="1" x14ac:dyDescent="0.4">
      <c r="B28410" s="3" t="s">
        <v>7</v>
      </c>
      <c r="C28410" s="3" t="s">
        <v>4580</v>
      </c>
      <c r="D28410" s="4">
        <f>DATE(2009,11,3)</f>
        <v>40120</v>
      </c>
      <c r="E28410" s="5">
        <f t="shared" si="483"/>
        <v>2009</v>
      </c>
      <c r="F28410" s="3" t="s">
        <v>4582</v>
      </c>
      <c r="G28410" s="6">
        <v>8424.5</v>
      </c>
      <c r="H28410" s="5">
        <v>12819</v>
      </c>
    </row>
    <row r="28411" spans="2:8" ht="15" customHeight="1" x14ac:dyDescent="0.4">
      <c r="B28411" s="3" t="s">
        <v>7</v>
      </c>
      <c r="C28411" s="3" t="s">
        <v>4580</v>
      </c>
      <c r="D28411" s="4">
        <f>DATE(2010,4,23)</f>
        <v>40291</v>
      </c>
      <c r="E28411" s="5">
        <f t="shared" si="483"/>
        <v>2010</v>
      </c>
      <c r="F28411" s="3" t="s">
        <v>4582</v>
      </c>
      <c r="G28411" s="6">
        <v>8783.4</v>
      </c>
      <c r="H28411" s="5">
        <v>13709</v>
      </c>
    </row>
    <row r="28412" spans="2:8" ht="15" customHeight="1" x14ac:dyDescent="0.4">
      <c r="B28412" s="3" t="s">
        <v>7</v>
      </c>
      <c r="C28412" s="3" t="s">
        <v>4580</v>
      </c>
      <c r="D28412" s="4">
        <f>DATE(2010,11,15)</f>
        <v>40497</v>
      </c>
      <c r="E28412" s="5">
        <f t="shared" si="483"/>
        <v>2010</v>
      </c>
      <c r="F28412" s="3" t="s">
        <v>4582</v>
      </c>
      <c r="G28412" s="6">
        <v>8250</v>
      </c>
      <c r="H28412" s="5">
        <v>14523</v>
      </c>
    </row>
    <row r="28413" spans="2:8" ht="15" customHeight="1" x14ac:dyDescent="0.4">
      <c r="B28413" s="3" t="s">
        <v>7</v>
      </c>
      <c r="C28413" s="3" t="s">
        <v>4580</v>
      </c>
      <c r="D28413" s="4">
        <f>DATE(2011,4,21)</f>
        <v>40654</v>
      </c>
      <c r="E28413" s="5">
        <f t="shared" si="483"/>
        <v>2011</v>
      </c>
      <c r="F28413" s="3" t="s">
        <v>4582</v>
      </c>
      <c r="G28413" s="6">
        <v>16500</v>
      </c>
      <c r="H28413" s="5">
        <v>15055</v>
      </c>
    </row>
    <row r="28414" spans="2:8" ht="15" customHeight="1" x14ac:dyDescent="0.4">
      <c r="B28414" s="3" t="s">
        <v>7</v>
      </c>
      <c r="C28414" s="3" t="s">
        <v>4580</v>
      </c>
      <c r="D28414" s="4">
        <f>DATE(2011,4,27)</f>
        <v>40660</v>
      </c>
      <c r="E28414" s="5">
        <f t="shared" si="483"/>
        <v>2011</v>
      </c>
      <c r="F28414" s="3" t="s">
        <v>4582</v>
      </c>
      <c r="G28414" s="6">
        <v>214.3</v>
      </c>
      <c r="H28414" s="5">
        <v>15502</v>
      </c>
    </row>
    <row r="28415" spans="2:8" ht="15" customHeight="1" x14ac:dyDescent="0.4">
      <c r="B28415" s="3" t="s">
        <v>7</v>
      </c>
      <c r="C28415" s="3" t="s">
        <v>4580</v>
      </c>
      <c r="D28415" s="4">
        <f>DATE(2011,10,24)</f>
        <v>40840</v>
      </c>
      <c r="E28415" s="5">
        <f t="shared" si="483"/>
        <v>2011</v>
      </c>
      <c r="F28415" s="3" t="s">
        <v>4582</v>
      </c>
      <c r="G28415" s="6">
        <v>8250</v>
      </c>
      <c r="H28415" s="5">
        <v>15958</v>
      </c>
    </row>
    <row r="28416" spans="2:8" ht="15" customHeight="1" x14ac:dyDescent="0.4">
      <c r="B28416" s="3" t="s">
        <v>7</v>
      </c>
      <c r="C28416" s="3" t="s">
        <v>4580</v>
      </c>
      <c r="D28416" s="4">
        <f>DATE(2013,8,22)</f>
        <v>41508</v>
      </c>
      <c r="E28416" s="5">
        <f t="shared" si="483"/>
        <v>2013</v>
      </c>
      <c r="F28416" s="3" t="s">
        <v>4582</v>
      </c>
      <c r="G28416" s="6">
        <v>6000</v>
      </c>
      <c r="H28416" s="5">
        <v>18878</v>
      </c>
    </row>
    <row r="28417" spans="2:8" ht="15" customHeight="1" x14ac:dyDescent="0.4">
      <c r="B28417" s="3" t="s">
        <v>7</v>
      </c>
      <c r="C28417" s="3" t="s">
        <v>4583</v>
      </c>
      <c r="D28417" s="4">
        <f>DATE(2008,9,30)</f>
        <v>39721</v>
      </c>
      <c r="E28417" s="5">
        <f t="shared" si="483"/>
        <v>2008</v>
      </c>
      <c r="F28417" s="3" t="s">
        <v>4584</v>
      </c>
      <c r="G28417" s="6">
        <v>234051.56</v>
      </c>
      <c r="H28417" s="5">
        <v>2993</v>
      </c>
    </row>
    <row r="28418" spans="2:8" ht="15" customHeight="1" x14ac:dyDescent="0.4">
      <c r="B28418" t="s">
        <v>7</v>
      </c>
      <c r="C28418" t="s">
        <v>4585</v>
      </c>
      <c r="D28418" s="7">
        <f>DATE(2017,9,21)</f>
        <v>42999</v>
      </c>
      <c r="E28418" s="8">
        <f t="shared" si="483"/>
        <v>2017</v>
      </c>
      <c r="F28418" t="s">
        <v>4586</v>
      </c>
      <c r="G28418" s="9">
        <v>4192.34</v>
      </c>
      <c r="H28418" s="8">
        <v>25529</v>
      </c>
    </row>
    <row r="28419" spans="2:8" ht="15" customHeight="1" x14ac:dyDescent="0.4">
      <c r="B28419" t="s">
        <v>7</v>
      </c>
      <c r="C28419" t="s">
        <v>4585</v>
      </c>
      <c r="D28419" s="7">
        <f>DATE(2018,4,6)</f>
        <v>43196</v>
      </c>
      <c r="E28419" s="8">
        <f t="shared" ref="E28419:E28482" si="484">YEAR(D28419)</f>
        <v>2018</v>
      </c>
      <c r="F28419" t="s">
        <v>4586</v>
      </c>
      <c r="G28419" s="9">
        <v>2518.83</v>
      </c>
      <c r="H28419" s="8">
        <v>26455</v>
      </c>
    </row>
    <row r="28420" spans="2:8" ht="15" customHeight="1" x14ac:dyDescent="0.4">
      <c r="B28420" t="s">
        <v>7</v>
      </c>
      <c r="C28420" t="s">
        <v>4585</v>
      </c>
      <c r="D28420" s="7">
        <f>DATE(2017,9,11)</f>
        <v>42989</v>
      </c>
      <c r="E28420" s="8">
        <f t="shared" si="484"/>
        <v>2017</v>
      </c>
      <c r="F28420" t="s">
        <v>4586</v>
      </c>
      <c r="G28420" s="9">
        <v>3745.79</v>
      </c>
      <c r="H28420" s="8">
        <v>25540</v>
      </c>
    </row>
    <row r="28421" spans="2:8" ht="15" customHeight="1" x14ac:dyDescent="0.4">
      <c r="B28421" s="3" t="s">
        <v>7</v>
      </c>
      <c r="C28421" s="3" t="s">
        <v>4587</v>
      </c>
      <c r="D28421" s="4">
        <f>DATE(2011,8,24)</f>
        <v>40779</v>
      </c>
      <c r="E28421" s="5">
        <f t="shared" si="484"/>
        <v>2011</v>
      </c>
      <c r="F28421" s="3" t="s">
        <v>4588</v>
      </c>
      <c r="G28421" s="6">
        <v>7830</v>
      </c>
      <c r="H28421" s="5">
        <v>4576</v>
      </c>
    </row>
    <row r="28422" spans="2:8" ht="15" customHeight="1" x14ac:dyDescent="0.4">
      <c r="B28422" s="3" t="s">
        <v>7</v>
      </c>
      <c r="C28422" s="3" t="s">
        <v>4587</v>
      </c>
      <c r="D28422" s="4">
        <f>DATE(2011,8,24)</f>
        <v>40779</v>
      </c>
      <c r="E28422" s="5">
        <f t="shared" si="484"/>
        <v>2011</v>
      </c>
      <c r="F28422" s="3" t="s">
        <v>4588</v>
      </c>
      <c r="G28422" s="6">
        <v>10242.07</v>
      </c>
      <c r="H28422" s="5">
        <v>4533</v>
      </c>
    </row>
    <row r="28423" spans="2:8" ht="15" customHeight="1" x14ac:dyDescent="0.4">
      <c r="B28423" s="3" t="s">
        <v>7</v>
      </c>
      <c r="C28423" s="3" t="s">
        <v>4589</v>
      </c>
      <c r="D28423" s="4">
        <f>DATE(2013,8,19)</f>
        <v>41505</v>
      </c>
      <c r="E28423" s="5">
        <f t="shared" si="484"/>
        <v>2013</v>
      </c>
      <c r="F28423" s="3" t="s">
        <v>4590</v>
      </c>
      <c r="G28423" s="6">
        <v>696</v>
      </c>
      <c r="H28423" s="5">
        <v>5768</v>
      </c>
    </row>
    <row r="28424" spans="2:8" ht="15" customHeight="1" x14ac:dyDescent="0.4">
      <c r="B28424" s="3" t="s">
        <v>7</v>
      </c>
      <c r="C28424" s="3" t="s">
        <v>4589</v>
      </c>
      <c r="D28424" s="4">
        <f>DATE(2010,7,22)</f>
        <v>40381</v>
      </c>
      <c r="E28424" s="5">
        <f t="shared" si="484"/>
        <v>2010</v>
      </c>
      <c r="F28424" s="3" t="s">
        <v>4590</v>
      </c>
      <c r="G28424" s="6">
        <v>706</v>
      </c>
      <c r="H28424" s="5">
        <v>14290</v>
      </c>
    </row>
    <row r="28425" spans="2:8" ht="15" customHeight="1" x14ac:dyDescent="0.4">
      <c r="B28425" s="3" t="s">
        <v>7</v>
      </c>
      <c r="C28425" s="3" t="s">
        <v>4589</v>
      </c>
      <c r="D28425" s="4">
        <f>DATE(2011,6,6)</f>
        <v>40700</v>
      </c>
      <c r="E28425" s="5">
        <f t="shared" si="484"/>
        <v>2011</v>
      </c>
      <c r="F28425" s="3" t="s">
        <v>4590</v>
      </c>
      <c r="G28425" s="6">
        <v>269.16000000000003</v>
      </c>
      <c r="H28425" s="5">
        <v>15658</v>
      </c>
    </row>
    <row r="28426" spans="2:8" ht="15" customHeight="1" x14ac:dyDescent="0.4">
      <c r="B28426" s="3" t="s">
        <v>7</v>
      </c>
      <c r="C28426" s="3" t="s">
        <v>4589</v>
      </c>
      <c r="D28426" s="4">
        <f>DATE(2013,5,23)</f>
        <v>41417</v>
      </c>
      <c r="E28426" s="5">
        <f t="shared" si="484"/>
        <v>2013</v>
      </c>
      <c r="F28426" s="3" t="s">
        <v>4590</v>
      </c>
      <c r="G28426" s="6">
        <v>888</v>
      </c>
      <c r="H28426" s="5">
        <v>18598</v>
      </c>
    </row>
    <row r="28427" spans="2:8" ht="15" customHeight="1" x14ac:dyDescent="0.4">
      <c r="B28427" s="3" t="s">
        <v>7</v>
      </c>
      <c r="C28427" s="3" t="s">
        <v>4589</v>
      </c>
      <c r="D28427" s="4">
        <f>DATE(2013,7,18)</f>
        <v>41473</v>
      </c>
      <c r="E28427" s="5">
        <f t="shared" si="484"/>
        <v>2013</v>
      </c>
      <c r="F28427" s="3" t="s">
        <v>4590</v>
      </c>
      <c r="G28427" s="6">
        <v>450</v>
      </c>
      <c r="H28427" s="5">
        <v>18744</v>
      </c>
    </row>
    <row r="28428" spans="2:8" ht="15" customHeight="1" x14ac:dyDescent="0.4">
      <c r="B28428" t="s">
        <v>7</v>
      </c>
      <c r="C28428" t="s">
        <v>4591</v>
      </c>
      <c r="D28428" s="7">
        <f>DATE(2010,12,7)</f>
        <v>40519</v>
      </c>
      <c r="E28428" s="8">
        <f t="shared" si="484"/>
        <v>2010</v>
      </c>
      <c r="F28428" t="s">
        <v>4592</v>
      </c>
      <c r="G28428" s="9">
        <v>43432.33</v>
      </c>
      <c r="H28428" s="8">
        <v>10266</v>
      </c>
    </row>
    <row r="28429" spans="2:8" ht="15" customHeight="1" x14ac:dyDescent="0.4">
      <c r="B28429" t="s">
        <v>7</v>
      </c>
      <c r="C28429" t="s">
        <v>4591</v>
      </c>
      <c r="D28429" s="7">
        <f>DATE(2010,12,7)</f>
        <v>40519</v>
      </c>
      <c r="E28429" s="8">
        <f t="shared" si="484"/>
        <v>2010</v>
      </c>
      <c r="F28429" t="s">
        <v>4592</v>
      </c>
      <c r="G28429" s="9">
        <v>56652.88</v>
      </c>
      <c r="H28429" s="8">
        <v>10267</v>
      </c>
    </row>
    <row r="28430" spans="2:8" ht="15" customHeight="1" x14ac:dyDescent="0.4">
      <c r="B28430" t="s">
        <v>7</v>
      </c>
      <c r="C28430" t="s">
        <v>4593</v>
      </c>
      <c r="D28430" s="7">
        <f>DATE(2017,11,13)</f>
        <v>43052</v>
      </c>
      <c r="E28430" s="8">
        <f t="shared" si="484"/>
        <v>2017</v>
      </c>
      <c r="F28430" t="s">
        <v>4594</v>
      </c>
      <c r="G28430" s="9">
        <v>30670.48</v>
      </c>
      <c r="H28430" s="8">
        <v>25368</v>
      </c>
    </row>
    <row r="28431" spans="2:8" ht="15" customHeight="1" x14ac:dyDescent="0.4">
      <c r="B28431" t="s">
        <v>7</v>
      </c>
      <c r="C28431" t="s">
        <v>4593</v>
      </c>
      <c r="D28431" s="7">
        <f>DATE(2018,3,28)</f>
        <v>43187</v>
      </c>
      <c r="E28431" s="8">
        <f t="shared" si="484"/>
        <v>2018</v>
      </c>
      <c r="F28431" t="s">
        <v>4594</v>
      </c>
      <c r="G28431" s="9">
        <v>32061</v>
      </c>
      <c r="H28431" s="8">
        <v>26080</v>
      </c>
    </row>
    <row r="28432" spans="2:8" ht="15" customHeight="1" x14ac:dyDescent="0.4">
      <c r="B28432" t="s">
        <v>7</v>
      </c>
      <c r="C28432" t="s">
        <v>4593</v>
      </c>
      <c r="D28432" s="7">
        <f>DATE(2017,6,12)</f>
        <v>42898</v>
      </c>
      <c r="E28432" s="8">
        <f t="shared" si="484"/>
        <v>2017</v>
      </c>
      <c r="F28432" t="s">
        <v>4594</v>
      </c>
      <c r="G28432" s="9">
        <v>9700</v>
      </c>
      <c r="H28432" s="8">
        <v>25081</v>
      </c>
    </row>
    <row r="28433" spans="2:8" ht="15" customHeight="1" x14ac:dyDescent="0.4">
      <c r="B28433" t="s">
        <v>7</v>
      </c>
      <c r="C28433" t="s">
        <v>4593</v>
      </c>
      <c r="D28433" s="7">
        <f>DATE(2017,11,1)</f>
        <v>43040</v>
      </c>
      <c r="E28433" s="8">
        <f t="shared" si="484"/>
        <v>2017</v>
      </c>
      <c r="F28433" t="s">
        <v>4594</v>
      </c>
      <c r="G28433" s="9">
        <v>4228.3500000000004</v>
      </c>
      <c r="H28433" s="8">
        <v>25742</v>
      </c>
    </row>
    <row r="28434" spans="2:8" ht="15" customHeight="1" x14ac:dyDescent="0.4">
      <c r="B28434" t="s">
        <v>7</v>
      </c>
      <c r="C28434" t="s">
        <v>4593</v>
      </c>
      <c r="D28434" s="7">
        <f>DATE(2017,11,14)</f>
        <v>43053</v>
      </c>
      <c r="E28434" s="8">
        <f t="shared" si="484"/>
        <v>2017</v>
      </c>
      <c r="F28434" t="s">
        <v>4594</v>
      </c>
      <c r="G28434" s="9">
        <v>653.89</v>
      </c>
      <c r="H28434" s="8">
        <v>25907</v>
      </c>
    </row>
    <row r="28435" spans="2:8" ht="15" customHeight="1" x14ac:dyDescent="0.4">
      <c r="B28435" t="s">
        <v>7</v>
      </c>
      <c r="C28435" t="s">
        <v>4593</v>
      </c>
      <c r="D28435" s="7">
        <f>DATE(2017,11,1)</f>
        <v>43040</v>
      </c>
      <c r="E28435" s="8">
        <f t="shared" si="484"/>
        <v>2017</v>
      </c>
      <c r="F28435" t="s">
        <v>4594</v>
      </c>
      <c r="G28435" s="9">
        <v>23802.32</v>
      </c>
      <c r="H28435" s="8">
        <v>25591</v>
      </c>
    </row>
    <row r="28436" spans="2:8" ht="15" customHeight="1" x14ac:dyDescent="0.4">
      <c r="B28436" t="s">
        <v>7</v>
      </c>
      <c r="C28436" t="s">
        <v>4593</v>
      </c>
      <c r="D28436" s="7">
        <f>DATE(2014,10,9)</f>
        <v>41921</v>
      </c>
      <c r="E28436" s="8">
        <f t="shared" si="484"/>
        <v>2014</v>
      </c>
      <c r="F28436" t="s">
        <v>4594</v>
      </c>
      <c r="G28436" s="9">
        <v>11375</v>
      </c>
      <c r="H28436" s="8">
        <v>13408</v>
      </c>
    </row>
    <row r="28437" spans="2:8" ht="15" customHeight="1" x14ac:dyDescent="0.4">
      <c r="B28437" t="s">
        <v>7</v>
      </c>
      <c r="C28437" t="s">
        <v>4593</v>
      </c>
      <c r="D28437" s="7">
        <f>DATE(2014,11,6)</f>
        <v>41949</v>
      </c>
      <c r="E28437" s="8">
        <f t="shared" si="484"/>
        <v>2014</v>
      </c>
      <c r="F28437" t="s">
        <v>4594</v>
      </c>
      <c r="G28437" s="9">
        <v>10997</v>
      </c>
      <c r="H28437" s="8">
        <v>13406</v>
      </c>
    </row>
    <row r="28438" spans="2:8" ht="15" customHeight="1" x14ac:dyDescent="0.4">
      <c r="B28438" t="s">
        <v>7</v>
      </c>
      <c r="C28438" t="s">
        <v>4593</v>
      </c>
      <c r="D28438" s="7">
        <f>DATE(2014,11,12)</f>
        <v>41955</v>
      </c>
      <c r="E28438" s="8">
        <f t="shared" si="484"/>
        <v>2014</v>
      </c>
      <c r="F28438" t="s">
        <v>4594</v>
      </c>
      <c r="G28438" s="9">
        <v>10997</v>
      </c>
      <c r="H28438" s="8">
        <v>13606</v>
      </c>
    </row>
    <row r="28439" spans="2:8" ht="15" customHeight="1" x14ac:dyDescent="0.4">
      <c r="B28439" t="s">
        <v>7</v>
      </c>
      <c r="C28439" t="s">
        <v>4593</v>
      </c>
      <c r="D28439" s="7">
        <f>DATE(2006,11,7)</f>
        <v>39028</v>
      </c>
      <c r="E28439" s="8">
        <f t="shared" si="484"/>
        <v>2006</v>
      </c>
      <c r="F28439" t="s">
        <v>4594</v>
      </c>
      <c r="G28439" s="9">
        <v>19367</v>
      </c>
      <c r="H28439" s="8">
        <v>4775</v>
      </c>
    </row>
    <row r="28440" spans="2:8" ht="15" customHeight="1" x14ac:dyDescent="0.4">
      <c r="B28440" t="s">
        <v>7</v>
      </c>
      <c r="C28440" t="s">
        <v>4593</v>
      </c>
      <c r="D28440" s="7">
        <f>DATE(2007,5,12)</f>
        <v>39214</v>
      </c>
      <c r="E28440" s="8">
        <f t="shared" si="484"/>
        <v>2007</v>
      </c>
      <c r="F28440" t="s">
        <v>4594</v>
      </c>
      <c r="G28440" s="9">
        <v>20894</v>
      </c>
      <c r="H28440" s="8">
        <v>5338</v>
      </c>
    </row>
    <row r="28441" spans="2:8" ht="15" customHeight="1" x14ac:dyDescent="0.4">
      <c r="B28441" t="s">
        <v>7</v>
      </c>
      <c r="C28441" t="s">
        <v>4593</v>
      </c>
      <c r="D28441" s="7">
        <f>DATE(2012,4,16)</f>
        <v>41015</v>
      </c>
      <c r="E28441" s="8">
        <f t="shared" si="484"/>
        <v>2012</v>
      </c>
      <c r="F28441" t="s">
        <v>4594</v>
      </c>
      <c r="G28441" s="9">
        <v>28421.24</v>
      </c>
      <c r="H28441" s="8">
        <v>11368</v>
      </c>
    </row>
    <row r="28442" spans="2:8" ht="15" customHeight="1" x14ac:dyDescent="0.4">
      <c r="B28442" t="s">
        <v>7</v>
      </c>
      <c r="C28442" t="s">
        <v>4593</v>
      </c>
      <c r="D28442" s="7">
        <f>DATE(2014,10,9)</f>
        <v>41921</v>
      </c>
      <c r="E28442" s="8">
        <f t="shared" si="484"/>
        <v>2014</v>
      </c>
      <c r="F28442" t="s">
        <v>4594</v>
      </c>
      <c r="G28442" s="9">
        <v>29482.19</v>
      </c>
      <c r="H28442" s="8">
        <v>13407</v>
      </c>
    </row>
    <row r="28443" spans="2:8" ht="15" customHeight="1" x14ac:dyDescent="0.4">
      <c r="B28443" t="s">
        <v>7</v>
      </c>
      <c r="C28443" t="s">
        <v>4593</v>
      </c>
      <c r="D28443" s="7">
        <f>DATE(2014,11,3)</f>
        <v>41946</v>
      </c>
      <c r="E28443" s="8">
        <f t="shared" si="484"/>
        <v>2014</v>
      </c>
      <c r="F28443" t="s">
        <v>4594</v>
      </c>
      <c r="G28443" s="9">
        <v>27996.19</v>
      </c>
      <c r="H28443" s="8">
        <v>13570</v>
      </c>
    </row>
    <row r="28444" spans="2:8" ht="15" customHeight="1" x14ac:dyDescent="0.4">
      <c r="B28444" t="s">
        <v>7</v>
      </c>
      <c r="C28444" t="s">
        <v>4593</v>
      </c>
      <c r="D28444" s="7">
        <f>DATE(2014,11,6)</f>
        <v>41949</v>
      </c>
      <c r="E28444" s="8">
        <f t="shared" si="484"/>
        <v>2014</v>
      </c>
      <c r="F28444" t="s">
        <v>4594</v>
      </c>
      <c r="G28444" s="9">
        <v>27996.19</v>
      </c>
      <c r="H28444" s="8">
        <v>13405</v>
      </c>
    </row>
    <row r="28445" spans="2:8" ht="15" customHeight="1" x14ac:dyDescent="0.4">
      <c r="B28445" t="s">
        <v>16</v>
      </c>
      <c r="C28445" t="s">
        <v>4593</v>
      </c>
      <c r="D28445" s="7">
        <f>DATE(2014,11,1)</f>
        <v>41944</v>
      </c>
      <c r="E28445" s="8">
        <f t="shared" si="484"/>
        <v>2014</v>
      </c>
      <c r="F28445" t="s">
        <v>4594</v>
      </c>
      <c r="G28445" s="9">
        <v>11375</v>
      </c>
      <c r="H28445" s="8">
        <v>13605</v>
      </c>
    </row>
    <row r="28446" spans="2:8" ht="15" customHeight="1" x14ac:dyDescent="0.4">
      <c r="B28446" t="s">
        <v>16</v>
      </c>
      <c r="C28446" t="s">
        <v>4593</v>
      </c>
      <c r="D28446" s="7">
        <f>DATE(2014,10,1)</f>
        <v>41913</v>
      </c>
      <c r="E28446" s="8">
        <f t="shared" si="484"/>
        <v>2014</v>
      </c>
      <c r="F28446" t="s">
        <v>4594</v>
      </c>
      <c r="G28446" s="9">
        <v>29482.19</v>
      </c>
      <c r="H28446" s="8">
        <v>13571</v>
      </c>
    </row>
    <row r="28447" spans="2:8" ht="15" customHeight="1" x14ac:dyDescent="0.4">
      <c r="B28447" s="3" t="s">
        <v>7</v>
      </c>
      <c r="C28447" s="3" t="s">
        <v>4593</v>
      </c>
      <c r="D28447" s="4">
        <f>DATE(2004,4,9)</f>
        <v>38086</v>
      </c>
      <c r="E28447" s="5">
        <f t="shared" si="484"/>
        <v>2004</v>
      </c>
      <c r="F28447" s="3" t="s">
        <v>4594</v>
      </c>
      <c r="G28447" s="6">
        <v>144</v>
      </c>
      <c r="H28447" s="5">
        <v>2625</v>
      </c>
    </row>
    <row r="28448" spans="2:8" ht="15" customHeight="1" x14ac:dyDescent="0.4">
      <c r="B28448" s="3" t="s">
        <v>7</v>
      </c>
      <c r="C28448" s="3" t="s">
        <v>4593</v>
      </c>
      <c r="D28448" s="4">
        <f>DATE(2008,4,17)</f>
        <v>39555</v>
      </c>
      <c r="E28448" s="5">
        <f t="shared" si="484"/>
        <v>2008</v>
      </c>
      <c r="F28448" s="3" t="s">
        <v>4594</v>
      </c>
      <c r="G28448" s="6">
        <v>1059</v>
      </c>
      <c r="H28448" s="5">
        <v>10496</v>
      </c>
    </row>
    <row r="28449" spans="2:8" ht="15" customHeight="1" x14ac:dyDescent="0.4">
      <c r="B28449" t="s">
        <v>7</v>
      </c>
      <c r="C28449" t="s">
        <v>4595</v>
      </c>
      <c r="D28449" s="7">
        <f>DATE(2015,4,15)</f>
        <v>42109</v>
      </c>
      <c r="E28449" s="8">
        <f t="shared" si="484"/>
        <v>2015</v>
      </c>
      <c r="F28449" t="s">
        <v>4596</v>
      </c>
      <c r="G28449" s="9">
        <v>41407.22</v>
      </c>
      <c r="H28449" s="8">
        <v>20128</v>
      </c>
    </row>
    <row r="28450" spans="2:8" ht="15" customHeight="1" x14ac:dyDescent="0.4">
      <c r="B28450" t="s">
        <v>7</v>
      </c>
      <c r="C28450" t="s">
        <v>4595</v>
      </c>
      <c r="D28450" s="7">
        <f>DATE(2015,6,18)</f>
        <v>42173</v>
      </c>
      <c r="E28450" s="8">
        <f t="shared" si="484"/>
        <v>2015</v>
      </c>
      <c r="F28450" t="s">
        <v>4596</v>
      </c>
      <c r="G28450" s="9">
        <v>26907.51</v>
      </c>
      <c r="H28450" s="8">
        <v>20308</v>
      </c>
    </row>
    <row r="28451" spans="2:8" ht="15" customHeight="1" x14ac:dyDescent="0.4">
      <c r="B28451" t="s">
        <v>7</v>
      </c>
      <c r="C28451" t="s">
        <v>4595</v>
      </c>
      <c r="D28451" s="7">
        <f>DATE(2016,4,14)</f>
        <v>42474</v>
      </c>
      <c r="E28451" s="8">
        <f t="shared" si="484"/>
        <v>2016</v>
      </c>
      <c r="F28451" t="s">
        <v>4596</v>
      </c>
      <c r="G28451" s="9">
        <v>21000</v>
      </c>
      <c r="H28451" s="8">
        <v>22225</v>
      </c>
    </row>
    <row r="28452" spans="2:8" ht="15" customHeight="1" x14ac:dyDescent="0.4">
      <c r="B28452" t="s">
        <v>7</v>
      </c>
      <c r="C28452" t="s">
        <v>4595</v>
      </c>
      <c r="D28452" s="7">
        <f>DATE(2016,4,14)</f>
        <v>42474</v>
      </c>
      <c r="E28452" s="8">
        <f t="shared" si="484"/>
        <v>2016</v>
      </c>
      <c r="F28452" t="s">
        <v>4596</v>
      </c>
      <c r="G28452" s="9">
        <v>21000</v>
      </c>
      <c r="H28452" s="8">
        <v>22420</v>
      </c>
    </row>
    <row r="28453" spans="2:8" ht="15" customHeight="1" x14ac:dyDescent="0.4">
      <c r="B28453" t="s">
        <v>7</v>
      </c>
      <c r="C28453" t="s">
        <v>4595</v>
      </c>
      <c r="D28453" s="7">
        <f>DATE(2017,3,27)</f>
        <v>42821</v>
      </c>
      <c r="E28453" s="8">
        <f t="shared" si="484"/>
        <v>2017</v>
      </c>
      <c r="F28453" t="s">
        <v>4596</v>
      </c>
      <c r="G28453" s="9">
        <v>34075.03</v>
      </c>
      <c r="H28453" s="8">
        <v>24462</v>
      </c>
    </row>
    <row r="28454" spans="2:8" ht="15" customHeight="1" x14ac:dyDescent="0.4">
      <c r="B28454" t="s">
        <v>7</v>
      </c>
      <c r="C28454" t="s">
        <v>4595</v>
      </c>
      <c r="D28454" s="7">
        <f>DATE(2017,3,27)</f>
        <v>42821</v>
      </c>
      <c r="E28454" s="8">
        <f t="shared" si="484"/>
        <v>2017</v>
      </c>
      <c r="F28454" t="s">
        <v>4596</v>
      </c>
      <c r="G28454" s="9">
        <v>39337.26</v>
      </c>
      <c r="H28454" s="8">
        <v>24464</v>
      </c>
    </row>
    <row r="28455" spans="2:8" ht="15" customHeight="1" x14ac:dyDescent="0.4">
      <c r="B28455" t="s">
        <v>7</v>
      </c>
      <c r="C28455" t="s">
        <v>4595</v>
      </c>
      <c r="D28455" s="7">
        <f>DATE(2018,2,16)</f>
        <v>43147</v>
      </c>
      <c r="E28455" s="8">
        <f t="shared" si="484"/>
        <v>2018</v>
      </c>
      <c r="F28455" t="s">
        <v>4596</v>
      </c>
      <c r="G28455" s="9">
        <v>23217.25</v>
      </c>
      <c r="H28455" s="8">
        <v>26365</v>
      </c>
    </row>
    <row r="28456" spans="2:8" ht="15" customHeight="1" x14ac:dyDescent="0.4">
      <c r="B28456" t="s">
        <v>7</v>
      </c>
      <c r="C28456" t="s">
        <v>4595</v>
      </c>
      <c r="D28456" s="7">
        <f>DATE(2018,4,9)</f>
        <v>43199</v>
      </c>
      <c r="E28456" s="8">
        <f t="shared" si="484"/>
        <v>2018</v>
      </c>
      <c r="F28456" t="s">
        <v>4596</v>
      </c>
      <c r="G28456" s="9">
        <v>34693.06</v>
      </c>
      <c r="H28456" s="8">
        <v>26618</v>
      </c>
    </row>
    <row r="28457" spans="2:8" ht="15" customHeight="1" x14ac:dyDescent="0.4">
      <c r="B28457" t="s">
        <v>7</v>
      </c>
      <c r="C28457" t="s">
        <v>4595</v>
      </c>
      <c r="D28457" s="7">
        <f>DATE(2019,4,8)</f>
        <v>43563</v>
      </c>
      <c r="E28457" s="8">
        <f t="shared" si="484"/>
        <v>2019</v>
      </c>
      <c r="F28457" t="s">
        <v>4596</v>
      </c>
      <c r="G28457" s="9">
        <v>42404.89</v>
      </c>
      <c r="H28457" s="8">
        <v>28336</v>
      </c>
    </row>
    <row r="28458" spans="2:8" ht="15" customHeight="1" x14ac:dyDescent="0.4">
      <c r="B28458" t="s">
        <v>16</v>
      </c>
      <c r="C28458" t="s">
        <v>4595</v>
      </c>
      <c r="D28458" s="7">
        <f>DATE(2018,2,28)</f>
        <v>43159</v>
      </c>
      <c r="E28458" s="8">
        <f t="shared" si="484"/>
        <v>2018</v>
      </c>
      <c r="F28458" t="s">
        <v>4596</v>
      </c>
      <c r="G28458" s="9">
        <v>1356</v>
      </c>
      <c r="H28458" s="8">
        <v>26591</v>
      </c>
    </row>
    <row r="28459" spans="2:8" ht="15" customHeight="1" x14ac:dyDescent="0.4">
      <c r="B28459" t="s">
        <v>7</v>
      </c>
      <c r="C28459" t="s">
        <v>4595</v>
      </c>
      <c r="D28459" s="7">
        <f>DATE(2006,11,15)</f>
        <v>39036</v>
      </c>
      <c r="E28459" s="8">
        <f t="shared" si="484"/>
        <v>2006</v>
      </c>
      <c r="F28459" t="s">
        <v>4596</v>
      </c>
      <c r="G28459" s="9">
        <v>13250</v>
      </c>
      <c r="H28459" s="8">
        <v>5154</v>
      </c>
    </row>
    <row r="28460" spans="2:8" ht="15" customHeight="1" x14ac:dyDescent="0.4">
      <c r="B28460" t="s">
        <v>7</v>
      </c>
      <c r="C28460" t="s">
        <v>4595</v>
      </c>
      <c r="D28460" s="7">
        <f>DATE(2006,11,16)</f>
        <v>39037</v>
      </c>
      <c r="E28460" s="8">
        <f t="shared" si="484"/>
        <v>2006</v>
      </c>
      <c r="F28460" t="s">
        <v>4596</v>
      </c>
      <c r="G28460" s="9">
        <v>8823.09</v>
      </c>
      <c r="H28460" s="8">
        <v>5175</v>
      </c>
    </row>
    <row r="28461" spans="2:8" ht="15" customHeight="1" x14ac:dyDescent="0.4">
      <c r="B28461" t="s">
        <v>7</v>
      </c>
      <c r="C28461" t="s">
        <v>4595</v>
      </c>
      <c r="D28461" s="7">
        <f>DATE(2010,5,14)</f>
        <v>40312</v>
      </c>
      <c r="E28461" s="8">
        <f t="shared" si="484"/>
        <v>2010</v>
      </c>
      <c r="F28461" t="s">
        <v>4596</v>
      </c>
      <c r="G28461" s="9">
        <v>24168.560000000001</v>
      </c>
      <c r="H28461" s="8">
        <v>9796</v>
      </c>
    </row>
    <row r="28462" spans="2:8" ht="15" customHeight="1" x14ac:dyDescent="0.4">
      <c r="B28462" t="s">
        <v>7</v>
      </c>
      <c r="C28462" t="s">
        <v>4595</v>
      </c>
      <c r="D28462" s="7">
        <f>DATE(2010,5,14)</f>
        <v>40312</v>
      </c>
      <c r="E28462" s="8">
        <f t="shared" si="484"/>
        <v>2010</v>
      </c>
      <c r="F28462" t="s">
        <v>4596</v>
      </c>
      <c r="G28462" s="9">
        <v>18912</v>
      </c>
      <c r="H28462" s="8">
        <v>9820</v>
      </c>
    </row>
    <row r="28463" spans="2:8" ht="15" customHeight="1" x14ac:dyDescent="0.4">
      <c r="B28463" t="s">
        <v>7</v>
      </c>
      <c r="C28463" t="s">
        <v>4595</v>
      </c>
      <c r="D28463" s="7">
        <f>DATE(2011,3,4)</f>
        <v>40606</v>
      </c>
      <c r="E28463" s="8">
        <f t="shared" si="484"/>
        <v>2011</v>
      </c>
      <c r="F28463" t="s">
        <v>4596</v>
      </c>
      <c r="G28463" s="9">
        <v>24958.240000000002</v>
      </c>
      <c r="H28463" s="8">
        <v>10412</v>
      </c>
    </row>
    <row r="28464" spans="2:8" ht="15" customHeight="1" x14ac:dyDescent="0.4">
      <c r="B28464" t="s">
        <v>7</v>
      </c>
      <c r="C28464" t="s">
        <v>4595</v>
      </c>
      <c r="D28464" s="7">
        <f>DATE(2011,4,12)</f>
        <v>40645</v>
      </c>
      <c r="E28464" s="8">
        <f t="shared" si="484"/>
        <v>2011</v>
      </c>
      <c r="F28464" t="s">
        <v>4596</v>
      </c>
      <c r="G28464" s="9">
        <v>22549.03</v>
      </c>
      <c r="H28464" s="8">
        <v>10581</v>
      </c>
    </row>
    <row r="28465" spans="2:8" ht="15" customHeight="1" x14ac:dyDescent="0.4">
      <c r="B28465" t="s">
        <v>7</v>
      </c>
      <c r="C28465" t="s">
        <v>4595</v>
      </c>
      <c r="D28465" s="7">
        <f>DATE(2011,4,12)</f>
        <v>40645</v>
      </c>
      <c r="E28465" s="8">
        <f t="shared" si="484"/>
        <v>2011</v>
      </c>
      <c r="F28465" t="s">
        <v>4596</v>
      </c>
      <c r="G28465" s="9">
        <v>20004</v>
      </c>
      <c r="H28465" s="8">
        <v>10807</v>
      </c>
    </row>
    <row r="28466" spans="2:8" ht="15" customHeight="1" x14ac:dyDescent="0.4">
      <c r="B28466" t="s">
        <v>7</v>
      </c>
      <c r="C28466" t="s">
        <v>4595</v>
      </c>
      <c r="D28466" s="7">
        <f>DATE(2012,9,4)</f>
        <v>41156</v>
      </c>
      <c r="E28466" s="8">
        <f t="shared" si="484"/>
        <v>2012</v>
      </c>
      <c r="F28466" t="s">
        <v>4596</v>
      </c>
      <c r="G28466" s="9">
        <v>20952.54</v>
      </c>
      <c r="H28466" s="8">
        <v>11826</v>
      </c>
    </row>
    <row r="28467" spans="2:8" ht="15" customHeight="1" x14ac:dyDescent="0.4">
      <c r="B28467" t="s">
        <v>7</v>
      </c>
      <c r="C28467" t="s">
        <v>4595</v>
      </c>
      <c r="D28467" s="7">
        <f>DATE(2012,9,7)</f>
        <v>41159</v>
      </c>
      <c r="E28467" s="8">
        <f t="shared" si="484"/>
        <v>2012</v>
      </c>
      <c r="F28467" t="s">
        <v>4596</v>
      </c>
      <c r="G28467" s="9">
        <v>40690.86</v>
      </c>
      <c r="H28467" s="8">
        <v>11825</v>
      </c>
    </row>
    <row r="28468" spans="2:8" ht="15" customHeight="1" x14ac:dyDescent="0.4">
      <c r="B28468" t="s">
        <v>7</v>
      </c>
      <c r="C28468" t="s">
        <v>4595</v>
      </c>
      <c r="D28468" s="7">
        <f>DATE(2013,3,19)</f>
        <v>41352</v>
      </c>
      <c r="E28468" s="8">
        <f t="shared" si="484"/>
        <v>2013</v>
      </c>
      <c r="F28468" t="s">
        <v>4596</v>
      </c>
      <c r="G28468" s="9">
        <v>26141.94</v>
      </c>
      <c r="H28468" s="8">
        <v>12232</v>
      </c>
    </row>
    <row r="28469" spans="2:8" ht="15" customHeight="1" x14ac:dyDescent="0.4">
      <c r="B28469" t="s">
        <v>7</v>
      </c>
      <c r="C28469" t="s">
        <v>4595</v>
      </c>
      <c r="D28469" s="7">
        <f>DATE(2013,5,23)</f>
        <v>41417</v>
      </c>
      <c r="E28469" s="8">
        <f t="shared" si="484"/>
        <v>2013</v>
      </c>
      <c r="F28469" t="s">
        <v>4596</v>
      </c>
      <c r="G28469" s="9">
        <v>26141.94</v>
      </c>
      <c r="H28469" s="8">
        <v>12231</v>
      </c>
    </row>
    <row r="28470" spans="2:8" ht="15" customHeight="1" x14ac:dyDescent="0.4">
      <c r="B28470" t="s">
        <v>7</v>
      </c>
      <c r="C28470" t="s">
        <v>4595</v>
      </c>
      <c r="D28470" s="7">
        <f>DATE(2014,4,10)</f>
        <v>41739</v>
      </c>
      <c r="E28470" s="8">
        <f t="shared" si="484"/>
        <v>2014</v>
      </c>
      <c r="F28470" t="s">
        <v>4596</v>
      </c>
      <c r="G28470" s="9">
        <v>22116.05</v>
      </c>
      <c r="H28470" s="8">
        <v>13013</v>
      </c>
    </row>
    <row r="28471" spans="2:8" ht="15" customHeight="1" x14ac:dyDescent="0.4">
      <c r="B28471" t="s">
        <v>7</v>
      </c>
      <c r="C28471" t="s">
        <v>4595</v>
      </c>
      <c r="D28471" s="7">
        <f>DATE(2014,4,10)</f>
        <v>41739</v>
      </c>
      <c r="E28471" s="8">
        <f t="shared" si="484"/>
        <v>2014</v>
      </c>
      <c r="F28471" t="s">
        <v>4596</v>
      </c>
      <c r="G28471" s="9">
        <v>21916.05</v>
      </c>
      <c r="H28471" s="8">
        <v>13148</v>
      </c>
    </row>
    <row r="28472" spans="2:8" ht="15" customHeight="1" x14ac:dyDescent="0.4">
      <c r="B28472" t="s">
        <v>7</v>
      </c>
      <c r="C28472" t="s">
        <v>4595</v>
      </c>
      <c r="D28472" s="7">
        <f>DATE(2014,11,24)</f>
        <v>41967</v>
      </c>
      <c r="E28472" s="8">
        <f t="shared" si="484"/>
        <v>2014</v>
      </c>
      <c r="F28472" t="s">
        <v>4596</v>
      </c>
      <c r="G28472" s="9">
        <v>27569.25</v>
      </c>
      <c r="H28472" s="8">
        <v>13484</v>
      </c>
    </row>
    <row r="28473" spans="2:8" ht="15" customHeight="1" x14ac:dyDescent="0.4">
      <c r="B28473" t="s">
        <v>16</v>
      </c>
      <c r="C28473" t="s">
        <v>4595</v>
      </c>
      <c r="D28473" s="7">
        <f>DATE(2011,4,12)</f>
        <v>40645</v>
      </c>
      <c r="E28473" s="8">
        <f t="shared" si="484"/>
        <v>2011</v>
      </c>
      <c r="F28473" t="s">
        <v>4596</v>
      </c>
      <c r="G28473" s="9">
        <v>22549.03</v>
      </c>
      <c r="H28473" s="8">
        <v>10809</v>
      </c>
    </row>
    <row r="28474" spans="2:8" ht="15" customHeight="1" x14ac:dyDescent="0.4">
      <c r="B28474" t="s">
        <v>7</v>
      </c>
      <c r="C28474" t="s">
        <v>4595</v>
      </c>
      <c r="D28474" s="7">
        <f>DATE(2005,2,19)</f>
        <v>38402</v>
      </c>
      <c r="E28474" s="8">
        <f t="shared" si="484"/>
        <v>2005</v>
      </c>
      <c r="F28474" t="s">
        <v>4597</v>
      </c>
      <c r="G28474" s="9">
        <v>12000</v>
      </c>
      <c r="H28474" s="8">
        <v>2749</v>
      </c>
    </row>
    <row r="28475" spans="2:8" ht="15" customHeight="1" x14ac:dyDescent="0.4">
      <c r="B28475" t="s">
        <v>7</v>
      </c>
      <c r="C28475" t="s">
        <v>4595</v>
      </c>
      <c r="D28475" s="7">
        <f>DATE(2005,2,18)</f>
        <v>38401</v>
      </c>
      <c r="E28475" s="8">
        <f t="shared" si="484"/>
        <v>2005</v>
      </c>
      <c r="F28475" t="s">
        <v>4597</v>
      </c>
      <c r="G28475" s="9">
        <v>11000</v>
      </c>
      <c r="H28475" s="8">
        <v>2807</v>
      </c>
    </row>
    <row r="28476" spans="2:8" ht="15" customHeight="1" x14ac:dyDescent="0.4">
      <c r="B28476" t="s">
        <v>7</v>
      </c>
      <c r="C28476" t="s">
        <v>4595</v>
      </c>
      <c r="D28476" s="7">
        <f>DATE(2006,4,17)</f>
        <v>38824</v>
      </c>
      <c r="E28476" s="8">
        <f t="shared" si="484"/>
        <v>2006</v>
      </c>
      <c r="F28476" t="s">
        <v>4597</v>
      </c>
      <c r="G28476" s="9">
        <v>12334.5</v>
      </c>
      <c r="H28476" s="8">
        <v>4254</v>
      </c>
    </row>
    <row r="28477" spans="2:8" ht="15" customHeight="1" x14ac:dyDescent="0.4">
      <c r="B28477" t="s">
        <v>7</v>
      </c>
      <c r="C28477" t="s">
        <v>4595</v>
      </c>
      <c r="D28477" s="7">
        <f>DATE(2006,4,13)</f>
        <v>38820</v>
      </c>
      <c r="E28477" s="8">
        <f t="shared" si="484"/>
        <v>2006</v>
      </c>
      <c r="F28477" t="s">
        <v>4597</v>
      </c>
      <c r="G28477" s="9">
        <v>13519.57</v>
      </c>
      <c r="H28477" s="8">
        <v>4383</v>
      </c>
    </row>
    <row r="28478" spans="2:8" ht="15" customHeight="1" x14ac:dyDescent="0.4">
      <c r="B28478" t="s">
        <v>7</v>
      </c>
      <c r="C28478" t="s">
        <v>4595</v>
      </c>
      <c r="D28478" s="7">
        <f>DATE(2006,8,8)</f>
        <v>38937</v>
      </c>
      <c r="E28478" s="8">
        <f t="shared" si="484"/>
        <v>2006</v>
      </c>
      <c r="F28478" t="s">
        <v>4598</v>
      </c>
      <c r="G28478" s="9">
        <v>13888.45</v>
      </c>
      <c r="H28478" s="8">
        <v>4858</v>
      </c>
    </row>
    <row r="28479" spans="2:8" ht="15" customHeight="1" x14ac:dyDescent="0.4">
      <c r="B28479" t="s">
        <v>7</v>
      </c>
      <c r="C28479" t="s">
        <v>4599</v>
      </c>
      <c r="D28479" s="7">
        <f>DATE(2003,3,28)</f>
        <v>37708</v>
      </c>
      <c r="E28479" s="8">
        <f t="shared" si="484"/>
        <v>2003</v>
      </c>
      <c r="F28479" t="s">
        <v>4600</v>
      </c>
      <c r="G28479" s="9">
        <v>4565.6400000000003</v>
      </c>
      <c r="H28479" s="8">
        <v>419</v>
      </c>
    </row>
    <row r="28480" spans="2:8" ht="15" customHeight="1" x14ac:dyDescent="0.4">
      <c r="B28480" t="s">
        <v>7</v>
      </c>
      <c r="C28480" t="s">
        <v>4599</v>
      </c>
      <c r="D28480" s="7">
        <f>DATE(2005,5,23)</f>
        <v>38495</v>
      </c>
      <c r="E28480" s="8">
        <f t="shared" si="484"/>
        <v>2005</v>
      </c>
      <c r="F28480" t="s">
        <v>4600</v>
      </c>
      <c r="G28480" s="9">
        <v>25489.34</v>
      </c>
      <c r="H28480" s="8">
        <v>3147</v>
      </c>
    </row>
    <row r="28481" spans="2:8" ht="15" customHeight="1" x14ac:dyDescent="0.4">
      <c r="B28481" t="s">
        <v>7</v>
      </c>
      <c r="C28481" t="s">
        <v>4599</v>
      </c>
      <c r="D28481" s="7">
        <f>DATE(2006,4,13)</f>
        <v>38820</v>
      </c>
      <c r="E28481" s="8">
        <f t="shared" si="484"/>
        <v>2006</v>
      </c>
      <c r="F28481" t="s">
        <v>4600</v>
      </c>
      <c r="G28481" s="9">
        <v>164001.5</v>
      </c>
      <c r="H28481" s="8">
        <v>4075</v>
      </c>
    </row>
    <row r="28482" spans="2:8" ht="15" customHeight="1" x14ac:dyDescent="0.4">
      <c r="B28482" t="s">
        <v>7</v>
      </c>
      <c r="C28482" t="s">
        <v>4599</v>
      </c>
      <c r="D28482" s="7">
        <f>DATE(2006,4,13)</f>
        <v>38820</v>
      </c>
      <c r="E28482" s="8">
        <f t="shared" si="484"/>
        <v>2006</v>
      </c>
      <c r="F28482" t="s">
        <v>4601</v>
      </c>
      <c r="G28482" s="9">
        <v>181481.5</v>
      </c>
      <c r="H28482" s="8">
        <v>4733</v>
      </c>
    </row>
    <row r="28483" spans="2:8" ht="15" customHeight="1" x14ac:dyDescent="0.4">
      <c r="B28483" t="s">
        <v>7</v>
      </c>
      <c r="C28483" t="s">
        <v>4599</v>
      </c>
      <c r="D28483" s="7">
        <f>DATE(2006,4,13)</f>
        <v>38820</v>
      </c>
      <c r="E28483" s="8">
        <f t="shared" ref="E28483:E28546" si="485">YEAR(D28483)</f>
        <v>2006</v>
      </c>
      <c r="F28483" t="s">
        <v>4601</v>
      </c>
      <c r="G28483" s="9">
        <v>164001.5</v>
      </c>
      <c r="H28483" s="8">
        <v>4883</v>
      </c>
    </row>
    <row r="28484" spans="2:8" ht="15" customHeight="1" x14ac:dyDescent="0.4">
      <c r="B28484" t="s">
        <v>7</v>
      </c>
      <c r="C28484" t="s">
        <v>4599</v>
      </c>
      <c r="D28484" s="7">
        <f>DATE(2006,8,19)</f>
        <v>38948</v>
      </c>
      <c r="E28484" s="8">
        <f t="shared" si="485"/>
        <v>2006</v>
      </c>
      <c r="F28484" t="s">
        <v>4601</v>
      </c>
      <c r="G28484" s="9">
        <v>56449.86</v>
      </c>
      <c r="H28484" s="8">
        <v>4907</v>
      </c>
    </row>
    <row r="28485" spans="2:8" ht="15" customHeight="1" x14ac:dyDescent="0.4">
      <c r="B28485" t="s">
        <v>7</v>
      </c>
      <c r="C28485" t="s">
        <v>4599</v>
      </c>
      <c r="D28485" s="7">
        <f>DATE(2006,11,1)</f>
        <v>39022</v>
      </c>
      <c r="E28485" s="8">
        <f t="shared" si="485"/>
        <v>2006</v>
      </c>
      <c r="F28485" t="s">
        <v>4601</v>
      </c>
      <c r="G28485" s="9">
        <v>119932</v>
      </c>
      <c r="H28485" s="8">
        <v>5099</v>
      </c>
    </row>
    <row r="28486" spans="2:8" ht="15" customHeight="1" x14ac:dyDescent="0.4">
      <c r="B28486" t="s">
        <v>7</v>
      </c>
      <c r="C28486" t="s">
        <v>4599</v>
      </c>
      <c r="D28486" s="7">
        <f>DATE(2006,12,12)</f>
        <v>39063</v>
      </c>
      <c r="E28486" s="8">
        <f t="shared" si="485"/>
        <v>2006</v>
      </c>
      <c r="F28486" t="s">
        <v>4601</v>
      </c>
      <c r="G28486" s="9">
        <v>95975.67</v>
      </c>
      <c r="H28486" s="8">
        <v>5188</v>
      </c>
    </row>
    <row r="28487" spans="2:8" ht="15" customHeight="1" x14ac:dyDescent="0.4">
      <c r="B28487" t="s">
        <v>7</v>
      </c>
      <c r="C28487" t="s">
        <v>4599</v>
      </c>
      <c r="D28487" s="7">
        <f>DATE(2007,5,31)</f>
        <v>39233</v>
      </c>
      <c r="E28487" s="8">
        <f t="shared" si="485"/>
        <v>2007</v>
      </c>
      <c r="F28487" t="s">
        <v>4601</v>
      </c>
      <c r="G28487" s="9">
        <v>211531</v>
      </c>
      <c r="H28487" s="8">
        <v>5546</v>
      </c>
    </row>
    <row r="28488" spans="2:8" ht="15" customHeight="1" x14ac:dyDescent="0.4">
      <c r="B28488" t="s">
        <v>7</v>
      </c>
      <c r="C28488" t="s">
        <v>4599</v>
      </c>
      <c r="D28488" s="7">
        <f>DATE(2008,6,7)</f>
        <v>39606</v>
      </c>
      <c r="E28488" s="8">
        <f t="shared" si="485"/>
        <v>2008</v>
      </c>
      <c r="F28488" t="s">
        <v>4601</v>
      </c>
      <c r="G28488" s="9">
        <v>205324.2</v>
      </c>
      <c r="H28488" s="8">
        <v>7166</v>
      </c>
    </row>
    <row r="28489" spans="2:8" ht="15" customHeight="1" x14ac:dyDescent="0.4">
      <c r="B28489" t="s">
        <v>16</v>
      </c>
      <c r="C28489" t="s">
        <v>4599</v>
      </c>
      <c r="D28489" s="7">
        <f>DATE(2006,4,13)</f>
        <v>38820</v>
      </c>
      <c r="E28489" s="8">
        <f t="shared" si="485"/>
        <v>2006</v>
      </c>
      <c r="F28489" t="s">
        <v>4601</v>
      </c>
      <c r="G28489" s="9">
        <v>164001.5</v>
      </c>
      <c r="H28489" s="8">
        <v>4731</v>
      </c>
    </row>
    <row r="28490" spans="2:8" ht="15" customHeight="1" x14ac:dyDescent="0.4">
      <c r="B28490" t="s">
        <v>16</v>
      </c>
      <c r="C28490" t="s">
        <v>4599</v>
      </c>
      <c r="D28490" s="7">
        <f>DATE(2006,4,13)</f>
        <v>38820</v>
      </c>
      <c r="E28490" s="8">
        <f t="shared" si="485"/>
        <v>2006</v>
      </c>
      <c r="F28490" t="s">
        <v>4601</v>
      </c>
      <c r="G28490" s="9">
        <v>181481.5</v>
      </c>
      <c r="H28490" s="8">
        <v>4895</v>
      </c>
    </row>
    <row r="28491" spans="2:8" ht="15" customHeight="1" x14ac:dyDescent="0.4">
      <c r="B28491" t="s">
        <v>7</v>
      </c>
      <c r="C28491" t="s">
        <v>4599</v>
      </c>
      <c r="D28491" s="7">
        <f>DATE(2009,6,23)</f>
        <v>39987</v>
      </c>
      <c r="E28491" s="8">
        <f t="shared" si="485"/>
        <v>2009</v>
      </c>
      <c r="F28491" t="s">
        <v>4602</v>
      </c>
      <c r="G28491" s="9">
        <v>200545</v>
      </c>
      <c r="H28491" s="8">
        <v>8432</v>
      </c>
    </row>
    <row r="28492" spans="2:8" ht="15" customHeight="1" x14ac:dyDescent="0.4">
      <c r="B28492" t="s">
        <v>7</v>
      </c>
      <c r="C28492" t="s">
        <v>4599</v>
      </c>
      <c r="D28492" s="7">
        <f>DATE(2010,6,21)</f>
        <v>40350</v>
      </c>
      <c r="E28492" s="8">
        <f t="shared" si="485"/>
        <v>2010</v>
      </c>
      <c r="F28492" t="s">
        <v>4602</v>
      </c>
      <c r="G28492" s="9">
        <v>243434.28</v>
      </c>
      <c r="H28492" s="8">
        <v>9418</v>
      </c>
    </row>
    <row r="28493" spans="2:8" ht="15" customHeight="1" x14ac:dyDescent="0.4">
      <c r="B28493" t="s">
        <v>7</v>
      </c>
      <c r="C28493" t="s">
        <v>4599</v>
      </c>
      <c r="D28493" s="7">
        <f>DATE(2014,2,14)</f>
        <v>41684</v>
      </c>
      <c r="E28493" s="8">
        <f t="shared" si="485"/>
        <v>2014</v>
      </c>
      <c r="F28493" t="s">
        <v>4602</v>
      </c>
      <c r="G28493" s="9">
        <v>11279.95</v>
      </c>
      <c r="H28493" s="8">
        <v>12910</v>
      </c>
    </row>
    <row r="28494" spans="2:8" ht="15" customHeight="1" x14ac:dyDescent="0.4">
      <c r="B28494" t="s">
        <v>7</v>
      </c>
      <c r="C28494" t="s">
        <v>4599</v>
      </c>
      <c r="D28494" s="7">
        <f>DATE(2014,5,12)</f>
        <v>41771</v>
      </c>
      <c r="E28494" s="8">
        <f t="shared" si="485"/>
        <v>2014</v>
      </c>
      <c r="F28494" t="s">
        <v>4602</v>
      </c>
      <c r="G28494" s="9">
        <v>14095.08</v>
      </c>
      <c r="H28494" s="8">
        <v>13135</v>
      </c>
    </row>
    <row r="28495" spans="2:8" ht="15" customHeight="1" x14ac:dyDescent="0.4">
      <c r="B28495" t="s">
        <v>7</v>
      </c>
      <c r="C28495" t="s">
        <v>4603</v>
      </c>
      <c r="D28495" s="7">
        <f>DATE(2008,5,15)</f>
        <v>39583</v>
      </c>
      <c r="E28495" s="8">
        <f t="shared" si="485"/>
        <v>2008</v>
      </c>
      <c r="F28495" t="s">
        <v>4604</v>
      </c>
      <c r="G28495" s="9">
        <v>13325</v>
      </c>
      <c r="H28495" s="8">
        <v>7071</v>
      </c>
    </row>
    <row r="28496" spans="2:8" ht="15" customHeight="1" x14ac:dyDescent="0.4">
      <c r="B28496" t="s">
        <v>7</v>
      </c>
      <c r="C28496" t="s">
        <v>4603</v>
      </c>
      <c r="D28496" s="7">
        <f>DATE(2008,9,10)</f>
        <v>39701</v>
      </c>
      <c r="E28496" s="8">
        <f t="shared" si="485"/>
        <v>2008</v>
      </c>
      <c r="F28496" t="s">
        <v>4604</v>
      </c>
      <c r="G28496" s="9">
        <v>4636.12</v>
      </c>
      <c r="H28496" s="8">
        <v>7784</v>
      </c>
    </row>
    <row r="28497" spans="2:8" ht="15" customHeight="1" x14ac:dyDescent="0.4">
      <c r="B28497" s="3" t="s">
        <v>7</v>
      </c>
      <c r="C28497" s="3" t="s">
        <v>4603</v>
      </c>
      <c r="D28497" s="4">
        <f>DATE(2006,3,21)</f>
        <v>38797</v>
      </c>
      <c r="E28497" s="5">
        <f t="shared" si="485"/>
        <v>2006</v>
      </c>
      <c r="F28497" s="3" t="s">
        <v>4604</v>
      </c>
      <c r="G28497" s="6">
        <v>5384.6</v>
      </c>
      <c r="H28497" s="5">
        <v>6356</v>
      </c>
    </row>
    <row r="28498" spans="2:8" ht="15" customHeight="1" x14ac:dyDescent="0.4">
      <c r="B28498" s="3" t="s">
        <v>7</v>
      </c>
      <c r="C28498" s="3" t="s">
        <v>4603</v>
      </c>
      <c r="D28498" s="4">
        <f>DATE(2008,5,12)</f>
        <v>39580</v>
      </c>
      <c r="E28498" s="5">
        <f t="shared" si="485"/>
        <v>2008</v>
      </c>
      <c r="F28498" s="3" t="s">
        <v>4604</v>
      </c>
      <c r="G28498" s="6">
        <v>6319</v>
      </c>
      <c r="H28498" s="5">
        <v>9986</v>
      </c>
    </row>
    <row r="28499" spans="2:8" ht="15" customHeight="1" x14ac:dyDescent="0.4">
      <c r="B28499" t="s">
        <v>7</v>
      </c>
      <c r="C28499" t="s">
        <v>4603</v>
      </c>
      <c r="D28499" s="7">
        <f>DATE(2006,3,24)</f>
        <v>38800</v>
      </c>
      <c r="E28499" s="8">
        <f t="shared" si="485"/>
        <v>2006</v>
      </c>
      <c r="F28499" t="s">
        <v>4605</v>
      </c>
      <c r="G28499" s="9">
        <v>11633</v>
      </c>
      <c r="H28499" s="8">
        <v>4374</v>
      </c>
    </row>
    <row r="28500" spans="2:8" ht="15" customHeight="1" x14ac:dyDescent="0.4">
      <c r="B28500" s="3" t="s">
        <v>7</v>
      </c>
      <c r="C28500" s="3" t="s">
        <v>4606</v>
      </c>
      <c r="D28500" s="4">
        <f>DATE(2003,2,25)</f>
        <v>37677</v>
      </c>
      <c r="E28500" s="5">
        <f t="shared" si="485"/>
        <v>2003</v>
      </c>
      <c r="F28500" s="3" t="s">
        <v>4607</v>
      </c>
      <c r="G28500" s="6">
        <v>785</v>
      </c>
      <c r="H28500" s="5">
        <v>356</v>
      </c>
    </row>
    <row r="28501" spans="2:8" ht="15" customHeight="1" x14ac:dyDescent="0.4">
      <c r="B28501" s="3" t="s">
        <v>7</v>
      </c>
      <c r="C28501" s="3" t="s">
        <v>4606</v>
      </c>
      <c r="D28501" s="4">
        <f>DATE(2003,3,28)</f>
        <v>37708</v>
      </c>
      <c r="E28501" s="5">
        <f t="shared" si="485"/>
        <v>2003</v>
      </c>
      <c r="F28501" s="3" t="s">
        <v>4607</v>
      </c>
      <c r="G28501" s="6">
        <v>2350</v>
      </c>
      <c r="H28501" s="5">
        <v>603</v>
      </c>
    </row>
    <row r="28502" spans="2:8" ht="15" customHeight="1" x14ac:dyDescent="0.4">
      <c r="B28502" t="s">
        <v>7</v>
      </c>
      <c r="C28502" t="s">
        <v>4608</v>
      </c>
      <c r="D28502" s="7">
        <f>DATE(2018,10,19)</f>
        <v>43392</v>
      </c>
      <c r="E28502" s="8">
        <f t="shared" si="485"/>
        <v>2018</v>
      </c>
      <c r="F28502" t="s">
        <v>4609</v>
      </c>
      <c r="G28502" s="9">
        <v>112.12</v>
      </c>
      <c r="H28502" s="8">
        <v>27851</v>
      </c>
    </row>
    <row r="28503" spans="2:8" ht="15" customHeight="1" x14ac:dyDescent="0.4">
      <c r="B28503" t="s">
        <v>7</v>
      </c>
      <c r="C28503" t="s">
        <v>4610</v>
      </c>
      <c r="D28503" s="7">
        <f>DATE(2018,7,16)</f>
        <v>43297</v>
      </c>
      <c r="E28503" s="8">
        <f t="shared" si="485"/>
        <v>2018</v>
      </c>
      <c r="F28503" t="s">
        <v>4611</v>
      </c>
      <c r="G28503" s="9">
        <v>400</v>
      </c>
      <c r="H28503" s="8">
        <v>27340</v>
      </c>
    </row>
    <row r="28504" spans="2:8" ht="15" customHeight="1" x14ac:dyDescent="0.4">
      <c r="B28504" t="s">
        <v>7</v>
      </c>
      <c r="C28504" t="s">
        <v>4610</v>
      </c>
      <c r="D28504" s="7">
        <f>DATE(2018,8,8)</f>
        <v>43320</v>
      </c>
      <c r="E28504" s="8">
        <f t="shared" si="485"/>
        <v>2018</v>
      </c>
      <c r="F28504" t="s">
        <v>4611</v>
      </c>
      <c r="G28504" s="9">
        <v>400</v>
      </c>
      <c r="H28504" s="8">
        <v>27455</v>
      </c>
    </row>
    <row r="28505" spans="2:8" ht="15" customHeight="1" x14ac:dyDescent="0.4">
      <c r="B28505" t="s">
        <v>7</v>
      </c>
      <c r="C28505" t="s">
        <v>4610</v>
      </c>
      <c r="D28505" s="7">
        <f>DATE(2018,10,3)</f>
        <v>43376</v>
      </c>
      <c r="E28505" s="8">
        <f t="shared" si="485"/>
        <v>2018</v>
      </c>
      <c r="F28505" t="s">
        <v>4611</v>
      </c>
      <c r="G28505" s="9">
        <v>800</v>
      </c>
      <c r="H28505" s="8">
        <v>27735</v>
      </c>
    </row>
    <row r="28506" spans="2:8" ht="15" customHeight="1" x14ac:dyDescent="0.4">
      <c r="B28506" t="s">
        <v>7</v>
      </c>
      <c r="C28506" t="s">
        <v>4610</v>
      </c>
      <c r="D28506" s="7">
        <f>DATE(2019,3,8)</f>
        <v>43532</v>
      </c>
      <c r="E28506" s="8">
        <f t="shared" si="485"/>
        <v>2019</v>
      </c>
      <c r="F28506" t="s">
        <v>4611</v>
      </c>
      <c r="G28506" s="9">
        <v>400</v>
      </c>
      <c r="H28506" s="8">
        <v>28559</v>
      </c>
    </row>
    <row r="28507" spans="2:8" ht="15" customHeight="1" x14ac:dyDescent="0.4">
      <c r="B28507" t="s">
        <v>7</v>
      </c>
      <c r="C28507" t="s">
        <v>4610</v>
      </c>
      <c r="D28507" s="7">
        <f>DATE(2019,3,19)</f>
        <v>43543</v>
      </c>
      <c r="E28507" s="8">
        <f t="shared" si="485"/>
        <v>2019</v>
      </c>
      <c r="F28507" t="s">
        <v>4611</v>
      </c>
      <c r="G28507" s="9">
        <v>2000</v>
      </c>
      <c r="H28507" s="8">
        <v>28612</v>
      </c>
    </row>
    <row r="28508" spans="2:8" ht="15" customHeight="1" x14ac:dyDescent="0.4">
      <c r="B28508" t="s">
        <v>7</v>
      </c>
      <c r="C28508" t="s">
        <v>4610</v>
      </c>
      <c r="D28508" s="7">
        <f>DATE(2016,3,30)</f>
        <v>42459</v>
      </c>
      <c r="E28508" s="8">
        <f t="shared" si="485"/>
        <v>2016</v>
      </c>
      <c r="F28508" t="s">
        <v>4611</v>
      </c>
      <c r="G28508" s="9">
        <v>12791.66</v>
      </c>
      <c r="H28508" s="8">
        <v>22486</v>
      </c>
    </row>
    <row r="28509" spans="2:8" ht="15" customHeight="1" x14ac:dyDescent="0.4">
      <c r="B28509" t="s">
        <v>7</v>
      </c>
      <c r="C28509" t="s">
        <v>4610</v>
      </c>
      <c r="D28509" s="7">
        <f>DATE(2016,4,26)</f>
        <v>42486</v>
      </c>
      <c r="E28509" s="8">
        <f t="shared" si="485"/>
        <v>2016</v>
      </c>
      <c r="F28509" t="s">
        <v>4611</v>
      </c>
      <c r="G28509" s="9">
        <v>11818.12</v>
      </c>
      <c r="H28509" s="8">
        <v>22194</v>
      </c>
    </row>
    <row r="28510" spans="2:8" ht="15" customHeight="1" x14ac:dyDescent="0.4">
      <c r="B28510" t="s">
        <v>7</v>
      </c>
      <c r="C28510" t="s">
        <v>4610</v>
      </c>
      <c r="D28510" s="7">
        <f>DATE(2016,9,13)</f>
        <v>42626</v>
      </c>
      <c r="E28510" s="8">
        <f t="shared" si="485"/>
        <v>2016</v>
      </c>
      <c r="F28510" t="s">
        <v>4611</v>
      </c>
      <c r="G28510" s="9">
        <v>1777</v>
      </c>
      <c r="H28510" s="8">
        <v>23236</v>
      </c>
    </row>
    <row r="28511" spans="2:8" ht="15" customHeight="1" x14ac:dyDescent="0.4">
      <c r="B28511" t="s">
        <v>7</v>
      </c>
      <c r="C28511" t="s">
        <v>4610</v>
      </c>
      <c r="D28511" s="7">
        <f>DATE(2016,11,9)</f>
        <v>42683</v>
      </c>
      <c r="E28511" s="8">
        <f t="shared" si="485"/>
        <v>2016</v>
      </c>
      <c r="F28511" t="s">
        <v>4611</v>
      </c>
      <c r="G28511" s="9">
        <v>1670</v>
      </c>
      <c r="H28511" s="8">
        <v>23641</v>
      </c>
    </row>
    <row r="28512" spans="2:8" ht="15" customHeight="1" x14ac:dyDescent="0.4">
      <c r="B28512" t="s">
        <v>7</v>
      </c>
      <c r="C28512" t="s">
        <v>4610</v>
      </c>
      <c r="D28512" s="7">
        <f>DATE(2007,4,23)</f>
        <v>39195</v>
      </c>
      <c r="E28512" s="8">
        <f t="shared" si="485"/>
        <v>2007</v>
      </c>
      <c r="F28512" t="s">
        <v>4611</v>
      </c>
      <c r="G28512" s="9">
        <v>737.5</v>
      </c>
      <c r="H28512" s="8">
        <v>5699</v>
      </c>
    </row>
    <row r="28513" spans="2:8" ht="15" customHeight="1" x14ac:dyDescent="0.4">
      <c r="B28513" t="s">
        <v>7</v>
      </c>
      <c r="C28513" t="s">
        <v>4610</v>
      </c>
      <c r="D28513" s="7">
        <f>DATE(2003,7,29)</f>
        <v>37831</v>
      </c>
      <c r="E28513" s="8">
        <f t="shared" si="485"/>
        <v>2003</v>
      </c>
      <c r="F28513" t="s">
        <v>4611</v>
      </c>
      <c r="G28513" s="9">
        <v>951</v>
      </c>
      <c r="H28513" s="8">
        <v>769</v>
      </c>
    </row>
    <row r="28514" spans="2:8" ht="15" customHeight="1" x14ac:dyDescent="0.4">
      <c r="B28514" t="s">
        <v>7</v>
      </c>
      <c r="C28514" t="s">
        <v>4610</v>
      </c>
      <c r="D28514" s="7">
        <f>DATE(2006,3,3)</f>
        <v>38779</v>
      </c>
      <c r="E28514" s="8">
        <f t="shared" si="485"/>
        <v>2006</v>
      </c>
      <c r="F28514" t="s">
        <v>4611</v>
      </c>
      <c r="G28514" s="9">
        <v>12107.8</v>
      </c>
      <c r="H28514" s="8">
        <v>4240</v>
      </c>
    </row>
    <row r="28515" spans="2:8" ht="15" customHeight="1" x14ac:dyDescent="0.4">
      <c r="B28515" t="s">
        <v>7</v>
      </c>
      <c r="C28515" t="s">
        <v>4610</v>
      </c>
      <c r="D28515" s="7">
        <f>DATE(2006,6,6)</f>
        <v>38874</v>
      </c>
      <c r="E28515" s="8">
        <f t="shared" si="485"/>
        <v>2006</v>
      </c>
      <c r="F28515" t="s">
        <v>4611</v>
      </c>
      <c r="G28515" s="9">
        <v>33496.5</v>
      </c>
      <c r="H28515" s="8">
        <v>4663</v>
      </c>
    </row>
    <row r="28516" spans="2:8" ht="15" customHeight="1" x14ac:dyDescent="0.4">
      <c r="B28516" t="s">
        <v>7</v>
      </c>
      <c r="C28516" t="s">
        <v>4610</v>
      </c>
      <c r="D28516" s="7">
        <f>DATE(2008,3,1)</f>
        <v>39508</v>
      </c>
      <c r="E28516" s="8">
        <f t="shared" si="485"/>
        <v>2008</v>
      </c>
      <c r="F28516" t="s">
        <v>4611</v>
      </c>
      <c r="G28516" s="9">
        <v>64200</v>
      </c>
      <c r="H28516" s="8">
        <v>6089</v>
      </c>
    </row>
    <row r="28517" spans="2:8" ht="15" customHeight="1" x14ac:dyDescent="0.4">
      <c r="B28517" t="s">
        <v>7</v>
      </c>
      <c r="C28517" t="s">
        <v>4610</v>
      </c>
      <c r="D28517" s="7">
        <f>DATE(2008,8,16)</f>
        <v>39676</v>
      </c>
      <c r="E28517" s="8">
        <f t="shared" si="485"/>
        <v>2008</v>
      </c>
      <c r="F28517" t="s">
        <v>4611</v>
      </c>
      <c r="G28517" s="9">
        <v>6300.69</v>
      </c>
      <c r="H28517" s="8">
        <v>7720</v>
      </c>
    </row>
    <row r="28518" spans="2:8" ht="15" customHeight="1" x14ac:dyDescent="0.4">
      <c r="B28518" t="s">
        <v>7</v>
      </c>
      <c r="C28518" t="s">
        <v>4610</v>
      </c>
      <c r="D28518" s="7">
        <f>DATE(2009,4,2)</f>
        <v>39905</v>
      </c>
      <c r="E28518" s="8">
        <f t="shared" si="485"/>
        <v>2009</v>
      </c>
      <c r="F28518" t="s">
        <v>4611</v>
      </c>
      <c r="G28518" s="9">
        <v>12990.6</v>
      </c>
      <c r="H28518" s="8">
        <v>8475</v>
      </c>
    </row>
    <row r="28519" spans="2:8" ht="15" customHeight="1" x14ac:dyDescent="0.4">
      <c r="B28519" t="s">
        <v>7</v>
      </c>
      <c r="C28519" t="s">
        <v>4610</v>
      </c>
      <c r="D28519" s="7">
        <f>DATE(2009,10,7)</f>
        <v>40093</v>
      </c>
      <c r="E28519" s="8">
        <f t="shared" si="485"/>
        <v>2009</v>
      </c>
      <c r="F28519" t="s">
        <v>4611</v>
      </c>
      <c r="G28519" s="9">
        <v>61525</v>
      </c>
      <c r="H28519" s="8">
        <v>8841</v>
      </c>
    </row>
    <row r="28520" spans="2:8" ht="15" customHeight="1" x14ac:dyDescent="0.4">
      <c r="B28520" t="s">
        <v>7</v>
      </c>
      <c r="C28520" t="s">
        <v>4610</v>
      </c>
      <c r="D28520" s="7">
        <f>DATE(2011,6,3)</f>
        <v>40697</v>
      </c>
      <c r="E28520" s="8">
        <f t="shared" si="485"/>
        <v>2011</v>
      </c>
      <c r="F28520" t="s">
        <v>4611</v>
      </c>
      <c r="G28520" s="9">
        <v>93977.8</v>
      </c>
      <c r="H28520" s="8">
        <v>10501</v>
      </c>
    </row>
    <row r="28521" spans="2:8" ht="15" customHeight="1" x14ac:dyDescent="0.4">
      <c r="B28521" t="s">
        <v>7</v>
      </c>
      <c r="C28521" t="s">
        <v>4610</v>
      </c>
      <c r="D28521" s="7">
        <f>DATE(2011,6,3)</f>
        <v>40697</v>
      </c>
      <c r="E28521" s="8">
        <f t="shared" si="485"/>
        <v>2011</v>
      </c>
      <c r="F28521" t="s">
        <v>4611</v>
      </c>
      <c r="G28521" s="9">
        <v>38622.71</v>
      </c>
      <c r="H28521" s="8">
        <v>10502</v>
      </c>
    </row>
    <row r="28522" spans="2:8" ht="15" customHeight="1" x14ac:dyDescent="0.4">
      <c r="B28522" s="3" t="s">
        <v>7</v>
      </c>
      <c r="C28522" s="3" t="s">
        <v>4610</v>
      </c>
      <c r="D28522" s="4">
        <f>DATE(2004,9,22)</f>
        <v>38252</v>
      </c>
      <c r="E28522" s="5">
        <f t="shared" si="485"/>
        <v>2004</v>
      </c>
      <c r="F28522" s="3" t="s">
        <v>4611</v>
      </c>
      <c r="G28522" s="6">
        <v>140</v>
      </c>
      <c r="H28522" s="5">
        <v>3434</v>
      </c>
    </row>
    <row r="28523" spans="2:8" ht="15" customHeight="1" x14ac:dyDescent="0.4">
      <c r="B28523" s="3" t="s">
        <v>7</v>
      </c>
      <c r="C28523" s="3" t="s">
        <v>4610</v>
      </c>
      <c r="D28523" s="4">
        <f>DATE(2006,2,28)</f>
        <v>38776</v>
      </c>
      <c r="E28523" s="5">
        <f t="shared" si="485"/>
        <v>2006</v>
      </c>
      <c r="F28523" s="3" t="s">
        <v>4611</v>
      </c>
      <c r="G28523" s="6">
        <v>630</v>
      </c>
      <c r="H28523" s="5">
        <v>6178</v>
      </c>
    </row>
    <row r="28524" spans="2:8" ht="15" customHeight="1" x14ac:dyDescent="0.4">
      <c r="B28524" s="3" t="s">
        <v>7</v>
      </c>
      <c r="C28524" s="3" t="s">
        <v>4610</v>
      </c>
      <c r="D28524" s="4">
        <f>DATE(2008,2,20)</f>
        <v>39498</v>
      </c>
      <c r="E28524" s="5">
        <f t="shared" si="485"/>
        <v>2008</v>
      </c>
      <c r="F28524" s="3" t="s">
        <v>4611</v>
      </c>
      <c r="G28524" s="6">
        <v>9000</v>
      </c>
      <c r="H28524" s="5">
        <v>10000</v>
      </c>
    </row>
    <row r="28525" spans="2:8" ht="15" customHeight="1" x14ac:dyDescent="0.4">
      <c r="B28525" s="3" t="s">
        <v>7</v>
      </c>
      <c r="C28525" s="3" t="s">
        <v>4610</v>
      </c>
      <c r="D28525" s="4">
        <f>DATE(2008,2,21)</f>
        <v>39499</v>
      </c>
      <c r="E28525" s="5">
        <f t="shared" si="485"/>
        <v>2008</v>
      </c>
      <c r="F28525" s="3" t="s">
        <v>4611</v>
      </c>
      <c r="G28525" s="6">
        <v>9000</v>
      </c>
      <c r="H28525" s="5">
        <v>10000</v>
      </c>
    </row>
    <row r="28526" spans="2:8" ht="15" customHeight="1" x14ac:dyDescent="0.4">
      <c r="B28526" s="3" t="s">
        <v>7</v>
      </c>
      <c r="C28526" s="3" t="s">
        <v>4610</v>
      </c>
      <c r="D28526" s="4">
        <f>DATE(2008,11,11)</f>
        <v>39763</v>
      </c>
      <c r="E28526" s="5">
        <f t="shared" si="485"/>
        <v>2008</v>
      </c>
      <c r="F28526" s="3" t="s">
        <v>4611</v>
      </c>
      <c r="G28526" s="6">
        <v>2225</v>
      </c>
      <c r="H28526" s="5">
        <v>11569</v>
      </c>
    </row>
    <row r="28527" spans="2:8" ht="15" customHeight="1" x14ac:dyDescent="0.4">
      <c r="B28527" s="3" t="s">
        <v>7</v>
      </c>
      <c r="C28527" s="3" t="s">
        <v>4610</v>
      </c>
      <c r="D28527" s="4">
        <f>DATE(2009,3,10)</f>
        <v>39882</v>
      </c>
      <c r="E28527" s="5">
        <f t="shared" si="485"/>
        <v>2009</v>
      </c>
      <c r="F28527" s="3" t="s">
        <v>4611</v>
      </c>
      <c r="G28527" s="6">
        <v>3800</v>
      </c>
      <c r="H28527" s="5">
        <v>12152</v>
      </c>
    </row>
    <row r="28528" spans="2:8" ht="15" customHeight="1" x14ac:dyDescent="0.4">
      <c r="B28528" t="s">
        <v>7</v>
      </c>
      <c r="C28528" t="s">
        <v>4612</v>
      </c>
      <c r="D28528" s="7">
        <f>DATE(2017,2,8)</f>
        <v>42774</v>
      </c>
      <c r="E28528" s="8">
        <f t="shared" si="485"/>
        <v>2017</v>
      </c>
      <c r="F28528" t="s">
        <v>4613</v>
      </c>
      <c r="G28528" s="9">
        <v>8669.1</v>
      </c>
      <c r="H28528" s="8">
        <v>24255</v>
      </c>
    </row>
    <row r="28529" spans="2:8" ht="15" customHeight="1" x14ac:dyDescent="0.4">
      <c r="B28529" t="s">
        <v>7</v>
      </c>
      <c r="C28529" t="s">
        <v>4612</v>
      </c>
      <c r="D28529" s="7">
        <f>DATE(2014,11,11)</f>
        <v>41954</v>
      </c>
      <c r="E28529" s="8">
        <f t="shared" si="485"/>
        <v>2014</v>
      </c>
      <c r="F28529" t="s">
        <v>4613</v>
      </c>
      <c r="G28529" s="9">
        <v>2999</v>
      </c>
      <c r="H28529" s="8">
        <v>13554</v>
      </c>
    </row>
    <row r="28530" spans="2:8" ht="15" customHeight="1" x14ac:dyDescent="0.4">
      <c r="B28530" t="s">
        <v>7</v>
      </c>
      <c r="C28530" t="s">
        <v>4612</v>
      </c>
      <c r="D28530" s="7">
        <f>DATE(2003,1,22)</f>
        <v>37643</v>
      </c>
      <c r="E28530" s="8">
        <f t="shared" si="485"/>
        <v>2003</v>
      </c>
      <c r="F28530" t="s">
        <v>4613</v>
      </c>
      <c r="G28530" s="9">
        <v>4925.76</v>
      </c>
      <c r="H28530" s="8">
        <v>48</v>
      </c>
    </row>
    <row r="28531" spans="2:8" ht="15" customHeight="1" x14ac:dyDescent="0.4">
      <c r="B28531" t="s">
        <v>7</v>
      </c>
      <c r="C28531" t="s">
        <v>4612</v>
      </c>
      <c r="D28531" s="7">
        <f>DATE(2003,1,22)</f>
        <v>37643</v>
      </c>
      <c r="E28531" s="8">
        <f t="shared" si="485"/>
        <v>2003</v>
      </c>
      <c r="F28531" t="s">
        <v>4613</v>
      </c>
      <c r="G28531" s="9">
        <v>7141.18</v>
      </c>
      <c r="H28531" s="8">
        <v>49</v>
      </c>
    </row>
    <row r="28532" spans="2:8" ht="15" customHeight="1" x14ac:dyDescent="0.4">
      <c r="B28532" t="s">
        <v>7</v>
      </c>
      <c r="C28532" t="s">
        <v>4612</v>
      </c>
      <c r="D28532" s="7">
        <f>DATE(2003,1,31)</f>
        <v>37652</v>
      </c>
      <c r="E28532" s="8">
        <f t="shared" si="485"/>
        <v>2003</v>
      </c>
      <c r="F28532" t="s">
        <v>4613</v>
      </c>
      <c r="G28532" s="9">
        <v>4789.1400000000003</v>
      </c>
      <c r="H28532" s="8">
        <v>110</v>
      </c>
    </row>
    <row r="28533" spans="2:8" ht="15" customHeight="1" x14ac:dyDescent="0.4">
      <c r="B28533" t="s">
        <v>7</v>
      </c>
      <c r="C28533" t="s">
        <v>4612</v>
      </c>
      <c r="D28533" s="7">
        <f>DATE(2003,1,31)</f>
        <v>37652</v>
      </c>
      <c r="E28533" s="8">
        <f t="shared" si="485"/>
        <v>2003</v>
      </c>
      <c r="F28533" t="s">
        <v>4613</v>
      </c>
      <c r="G28533" s="9">
        <v>3508.9</v>
      </c>
      <c r="H28533" s="8">
        <v>112</v>
      </c>
    </row>
    <row r="28534" spans="2:8" ht="15" customHeight="1" x14ac:dyDescent="0.4">
      <c r="B28534" t="s">
        <v>7</v>
      </c>
      <c r="C28534" t="s">
        <v>4612</v>
      </c>
      <c r="D28534" s="7">
        <f>DATE(2004,10,16)</f>
        <v>38276</v>
      </c>
      <c r="E28534" s="8">
        <f t="shared" si="485"/>
        <v>2004</v>
      </c>
      <c r="F28534" t="s">
        <v>4613</v>
      </c>
      <c r="G28534" s="9">
        <v>2841.92</v>
      </c>
      <c r="H28534" s="8">
        <v>2291</v>
      </c>
    </row>
    <row r="28535" spans="2:8" ht="15" customHeight="1" x14ac:dyDescent="0.4">
      <c r="B28535" t="s">
        <v>7</v>
      </c>
      <c r="C28535" t="s">
        <v>4612</v>
      </c>
      <c r="D28535" s="7">
        <f>DATE(2004,10,22)</f>
        <v>38282</v>
      </c>
      <c r="E28535" s="8">
        <f t="shared" si="485"/>
        <v>2004</v>
      </c>
      <c r="F28535" t="s">
        <v>4613</v>
      </c>
      <c r="G28535" s="9">
        <v>6465.63</v>
      </c>
      <c r="H28535" s="8">
        <v>2301</v>
      </c>
    </row>
    <row r="28536" spans="2:8" ht="15" customHeight="1" x14ac:dyDescent="0.4">
      <c r="B28536" t="s">
        <v>7</v>
      </c>
      <c r="C28536" t="s">
        <v>4612</v>
      </c>
      <c r="D28536" s="7">
        <f>DATE(2006,11,1)</f>
        <v>39022</v>
      </c>
      <c r="E28536" s="8">
        <f t="shared" si="485"/>
        <v>2006</v>
      </c>
      <c r="F28536" t="s">
        <v>4613</v>
      </c>
      <c r="G28536" s="9">
        <v>8959.14</v>
      </c>
      <c r="H28536" s="8">
        <v>5031</v>
      </c>
    </row>
    <row r="28537" spans="2:8" ht="15" customHeight="1" x14ac:dyDescent="0.4">
      <c r="B28537" t="s">
        <v>7</v>
      </c>
      <c r="C28537" t="s">
        <v>4612</v>
      </c>
      <c r="D28537" s="7">
        <f>DATE(2006,11,1)</f>
        <v>39022</v>
      </c>
      <c r="E28537" s="8">
        <f t="shared" si="485"/>
        <v>2006</v>
      </c>
      <c r="F28537" t="s">
        <v>4613</v>
      </c>
      <c r="G28537" s="9">
        <v>11213.38</v>
      </c>
      <c r="H28537" s="8">
        <v>5084</v>
      </c>
    </row>
    <row r="28538" spans="2:8" ht="15" customHeight="1" x14ac:dyDescent="0.4">
      <c r="B28538" t="s">
        <v>7</v>
      </c>
      <c r="C28538" t="s">
        <v>4612</v>
      </c>
      <c r="D28538" s="7">
        <f>DATE(2007,4,7)</f>
        <v>39179</v>
      </c>
      <c r="E28538" s="8">
        <f t="shared" si="485"/>
        <v>2007</v>
      </c>
      <c r="F28538" t="s">
        <v>4613</v>
      </c>
      <c r="G28538" s="9">
        <v>13700</v>
      </c>
      <c r="H28538" s="8">
        <v>5766</v>
      </c>
    </row>
    <row r="28539" spans="2:8" ht="15" customHeight="1" x14ac:dyDescent="0.4">
      <c r="B28539" t="s">
        <v>7</v>
      </c>
      <c r="C28539" t="s">
        <v>4612</v>
      </c>
      <c r="D28539" s="7">
        <f>DATE(2007,5,1)</f>
        <v>39203</v>
      </c>
      <c r="E28539" s="8">
        <f t="shared" si="485"/>
        <v>2007</v>
      </c>
      <c r="F28539" t="s">
        <v>4613</v>
      </c>
      <c r="G28539" s="9">
        <v>15300</v>
      </c>
      <c r="H28539" s="8">
        <v>5705</v>
      </c>
    </row>
    <row r="28540" spans="2:8" ht="15" customHeight="1" x14ac:dyDescent="0.4">
      <c r="B28540" t="s">
        <v>7</v>
      </c>
      <c r="C28540" t="s">
        <v>4612</v>
      </c>
      <c r="D28540" s="7">
        <f>DATE(2008,1,24)</f>
        <v>39471</v>
      </c>
      <c r="E28540" s="8">
        <f t="shared" si="485"/>
        <v>2008</v>
      </c>
      <c r="F28540" t="s">
        <v>4613</v>
      </c>
      <c r="G28540" s="9">
        <v>10182.06</v>
      </c>
      <c r="H28540" s="8">
        <v>6825</v>
      </c>
    </row>
    <row r="28541" spans="2:8" ht="15" customHeight="1" x14ac:dyDescent="0.4">
      <c r="B28541" t="s">
        <v>7</v>
      </c>
      <c r="C28541" t="s">
        <v>4612</v>
      </c>
      <c r="D28541" s="7">
        <f>DATE(2008,1,25)</f>
        <v>39472</v>
      </c>
      <c r="E28541" s="8">
        <f t="shared" si="485"/>
        <v>2008</v>
      </c>
      <c r="F28541" t="s">
        <v>4613</v>
      </c>
      <c r="G28541" s="9">
        <v>9679.83</v>
      </c>
      <c r="H28541" s="8">
        <v>6859</v>
      </c>
    </row>
    <row r="28542" spans="2:8" ht="15" customHeight="1" x14ac:dyDescent="0.4">
      <c r="B28542" t="s">
        <v>7</v>
      </c>
      <c r="C28542" t="s">
        <v>4612</v>
      </c>
      <c r="D28542" s="7">
        <f>DATE(2008,5,1)</f>
        <v>39569</v>
      </c>
      <c r="E28542" s="8">
        <f t="shared" si="485"/>
        <v>2008</v>
      </c>
      <c r="F28542" t="s">
        <v>4613</v>
      </c>
      <c r="G28542" s="9">
        <v>16784.66</v>
      </c>
      <c r="H28542" s="8">
        <v>7170</v>
      </c>
    </row>
    <row r="28543" spans="2:8" ht="15" customHeight="1" x14ac:dyDescent="0.4">
      <c r="B28543" t="s">
        <v>7</v>
      </c>
      <c r="C28543" t="s">
        <v>4612</v>
      </c>
      <c r="D28543" s="7">
        <f>DATE(2008,5,15)</f>
        <v>39583</v>
      </c>
      <c r="E28543" s="8">
        <f t="shared" si="485"/>
        <v>2008</v>
      </c>
      <c r="F28543" t="s">
        <v>4613</v>
      </c>
      <c r="G28543" s="9">
        <v>2872.75</v>
      </c>
      <c r="H28543" s="8">
        <v>7432</v>
      </c>
    </row>
    <row r="28544" spans="2:8" ht="15" customHeight="1" x14ac:dyDescent="0.4">
      <c r="B28544" t="s">
        <v>7</v>
      </c>
      <c r="C28544" t="s">
        <v>4612</v>
      </c>
      <c r="D28544" s="7">
        <f>DATE(2014,11,11)</f>
        <v>41954</v>
      </c>
      <c r="E28544" s="8">
        <f t="shared" si="485"/>
        <v>2014</v>
      </c>
      <c r="F28544" t="s">
        <v>4613</v>
      </c>
      <c r="G28544" s="9">
        <v>7257.06</v>
      </c>
      <c r="H28544" s="8">
        <v>13553</v>
      </c>
    </row>
    <row r="28545" spans="2:8" ht="15" customHeight="1" x14ac:dyDescent="0.4">
      <c r="B28545" s="3" t="s">
        <v>7</v>
      </c>
      <c r="C28545" s="3" t="s">
        <v>4612</v>
      </c>
      <c r="D28545" s="4">
        <f>DATE(2007,4,16)</f>
        <v>39188</v>
      </c>
      <c r="E28545" s="5">
        <f t="shared" si="485"/>
        <v>2007</v>
      </c>
      <c r="F28545" s="3" t="s">
        <v>4613</v>
      </c>
      <c r="G28545" s="6">
        <v>3750</v>
      </c>
      <c r="H28545" s="5">
        <v>8342</v>
      </c>
    </row>
    <row r="28546" spans="2:8" ht="15" customHeight="1" x14ac:dyDescent="0.4">
      <c r="B28546" s="3" t="s">
        <v>7</v>
      </c>
      <c r="C28546" s="3" t="s">
        <v>4612</v>
      </c>
      <c r="D28546" s="4">
        <f>DATE(2008,5,15)</f>
        <v>39583</v>
      </c>
      <c r="E28546" s="5">
        <f t="shared" si="485"/>
        <v>2008</v>
      </c>
      <c r="F28546" s="3" t="s">
        <v>4613</v>
      </c>
      <c r="G28546" s="6">
        <v>5700</v>
      </c>
      <c r="H28546" s="5">
        <v>10589</v>
      </c>
    </row>
    <row r="28547" spans="2:8" ht="15" customHeight="1" x14ac:dyDescent="0.4">
      <c r="B28547" s="3" t="s">
        <v>7</v>
      </c>
      <c r="C28547" s="3" t="s">
        <v>4612</v>
      </c>
      <c r="D28547" s="4">
        <f>DATE(2013,4,16)</f>
        <v>41380</v>
      </c>
      <c r="E28547" s="5">
        <f t="shared" ref="E28547:E28610" si="486">YEAR(D28547)</f>
        <v>2013</v>
      </c>
      <c r="F28547" s="3" t="s">
        <v>4613</v>
      </c>
      <c r="G28547" s="6">
        <v>6080</v>
      </c>
      <c r="H28547" s="5">
        <v>18094</v>
      </c>
    </row>
    <row r="28548" spans="2:8" ht="15" customHeight="1" x14ac:dyDescent="0.4">
      <c r="B28548" s="3" t="s">
        <v>7</v>
      </c>
      <c r="C28548" s="3" t="s">
        <v>4612</v>
      </c>
      <c r="D28548" s="4">
        <f>DATE(2013,5,3)</f>
        <v>41397</v>
      </c>
      <c r="E28548" s="5">
        <f t="shared" si="486"/>
        <v>2013</v>
      </c>
      <c r="F28548" s="3" t="s">
        <v>4613</v>
      </c>
      <c r="G28548" s="6">
        <v>7173.58</v>
      </c>
      <c r="H28548" s="5">
        <v>18095</v>
      </c>
    </row>
    <row r="28549" spans="2:8" ht="15" customHeight="1" x14ac:dyDescent="0.4">
      <c r="B28549" t="s">
        <v>7</v>
      </c>
      <c r="C28549" t="s">
        <v>4612</v>
      </c>
      <c r="D28549" s="7">
        <f>DATE(2015,3,18)</f>
        <v>42081</v>
      </c>
      <c r="E28549" s="8">
        <f t="shared" si="486"/>
        <v>2015</v>
      </c>
      <c r="F28549" t="s">
        <v>4613</v>
      </c>
      <c r="G28549" s="9">
        <v>43104.75</v>
      </c>
      <c r="H28549" s="8">
        <v>502</v>
      </c>
    </row>
    <row r="28550" spans="2:8" ht="15" customHeight="1" x14ac:dyDescent="0.4">
      <c r="B28550" t="s">
        <v>7</v>
      </c>
      <c r="C28550" t="s">
        <v>4612</v>
      </c>
      <c r="D28550" s="7">
        <f>DATE(2003,4,30)</f>
        <v>37741</v>
      </c>
      <c r="E28550" s="8">
        <f t="shared" si="486"/>
        <v>2003</v>
      </c>
      <c r="F28550" t="s">
        <v>4613</v>
      </c>
      <c r="G28550" s="9">
        <v>27329.54</v>
      </c>
      <c r="H28550" s="8">
        <v>6</v>
      </c>
    </row>
    <row r="28551" spans="2:8" ht="15" customHeight="1" x14ac:dyDescent="0.4">
      <c r="B28551" t="s">
        <v>7</v>
      </c>
      <c r="C28551" t="s">
        <v>4612</v>
      </c>
      <c r="D28551" s="7">
        <f>DATE(2003,4,30)</f>
        <v>37741</v>
      </c>
      <c r="E28551" s="8">
        <f t="shared" si="486"/>
        <v>2003</v>
      </c>
      <c r="F28551" t="s">
        <v>4613</v>
      </c>
      <c r="G28551" s="9">
        <v>28175.81</v>
      </c>
      <c r="H28551" s="8">
        <v>7</v>
      </c>
    </row>
    <row r="28552" spans="2:8" ht="15" customHeight="1" x14ac:dyDescent="0.4">
      <c r="B28552" t="s">
        <v>7</v>
      </c>
      <c r="C28552" t="s">
        <v>4612</v>
      </c>
      <c r="D28552" s="7">
        <f>DATE(2003,5,13)</f>
        <v>37754</v>
      </c>
      <c r="E28552" s="8">
        <f t="shared" si="486"/>
        <v>2003</v>
      </c>
      <c r="F28552" t="s">
        <v>4613</v>
      </c>
      <c r="G28552" s="9">
        <v>17554.59</v>
      </c>
      <c r="H28552" s="8">
        <v>9</v>
      </c>
    </row>
    <row r="28553" spans="2:8" ht="15" customHeight="1" x14ac:dyDescent="0.4">
      <c r="B28553" t="s">
        <v>7</v>
      </c>
      <c r="C28553" t="s">
        <v>4612</v>
      </c>
      <c r="D28553" s="7">
        <f>DATE(2004,4,5)</f>
        <v>38082</v>
      </c>
      <c r="E28553" s="8">
        <f t="shared" si="486"/>
        <v>2004</v>
      </c>
      <c r="F28553" t="s">
        <v>4613</v>
      </c>
      <c r="G28553" s="9">
        <v>18756.080000000002</v>
      </c>
      <c r="H28553" s="8">
        <v>22</v>
      </c>
    </row>
    <row r="28554" spans="2:8" ht="15" customHeight="1" x14ac:dyDescent="0.4">
      <c r="B28554" t="s">
        <v>7</v>
      </c>
      <c r="C28554" t="s">
        <v>4612</v>
      </c>
      <c r="D28554" s="7">
        <f>DATE(2004,4,6)</f>
        <v>38083</v>
      </c>
      <c r="E28554" s="8">
        <f t="shared" si="486"/>
        <v>2004</v>
      </c>
      <c r="F28554" t="s">
        <v>4613</v>
      </c>
      <c r="G28554" s="9">
        <v>4392.1000000000004</v>
      </c>
      <c r="H28554" s="8">
        <v>28</v>
      </c>
    </row>
    <row r="28555" spans="2:8" ht="15" customHeight="1" x14ac:dyDescent="0.4">
      <c r="B28555" t="s">
        <v>7</v>
      </c>
      <c r="C28555" t="s">
        <v>4612</v>
      </c>
      <c r="D28555" s="7">
        <f>DATE(2004,4,5)</f>
        <v>38082</v>
      </c>
      <c r="E28555" s="8">
        <f t="shared" si="486"/>
        <v>2004</v>
      </c>
      <c r="F28555" t="s">
        <v>4613</v>
      </c>
      <c r="G28555" s="9">
        <v>20857.189999999999</v>
      </c>
      <c r="H28555" s="8">
        <v>39</v>
      </c>
    </row>
    <row r="28556" spans="2:8" ht="15" customHeight="1" x14ac:dyDescent="0.4">
      <c r="B28556" t="s">
        <v>7</v>
      </c>
      <c r="C28556" t="s">
        <v>4612</v>
      </c>
      <c r="D28556" s="7">
        <f>DATE(2004,4,19)</f>
        <v>38096</v>
      </c>
      <c r="E28556" s="8">
        <f t="shared" si="486"/>
        <v>2004</v>
      </c>
      <c r="F28556" t="s">
        <v>4613</v>
      </c>
      <c r="G28556" s="9">
        <v>20713.36</v>
      </c>
      <c r="H28556" s="8">
        <v>31</v>
      </c>
    </row>
    <row r="28557" spans="2:8" ht="15" customHeight="1" x14ac:dyDescent="0.4">
      <c r="B28557" t="s">
        <v>7</v>
      </c>
      <c r="C28557" t="s">
        <v>4612</v>
      </c>
      <c r="D28557" s="7">
        <f>DATE(2004,4,22)</f>
        <v>38099</v>
      </c>
      <c r="E28557" s="8">
        <f t="shared" si="486"/>
        <v>2004</v>
      </c>
      <c r="F28557" t="s">
        <v>4613</v>
      </c>
      <c r="G28557" s="9">
        <v>7932.26</v>
      </c>
      <c r="H28557" s="8">
        <v>30</v>
      </c>
    </row>
    <row r="28558" spans="2:8" ht="15" customHeight="1" x14ac:dyDescent="0.4">
      <c r="B28558" t="s">
        <v>7</v>
      </c>
      <c r="C28558" t="s">
        <v>4612</v>
      </c>
      <c r="D28558" s="7">
        <f>DATE(2004,5,12)</f>
        <v>38119</v>
      </c>
      <c r="E28558" s="8">
        <f t="shared" si="486"/>
        <v>2004</v>
      </c>
      <c r="F28558" t="s">
        <v>4613</v>
      </c>
      <c r="G28558" s="9">
        <v>12188.52</v>
      </c>
      <c r="H28558" s="8">
        <v>40</v>
      </c>
    </row>
    <row r="28559" spans="2:8" ht="15" customHeight="1" x14ac:dyDescent="0.4">
      <c r="B28559" t="s">
        <v>7</v>
      </c>
      <c r="C28559" t="s">
        <v>4612</v>
      </c>
      <c r="D28559" s="7">
        <f>DATE(2004,5,11)</f>
        <v>38118</v>
      </c>
      <c r="E28559" s="8">
        <f t="shared" si="486"/>
        <v>2004</v>
      </c>
      <c r="F28559" t="s">
        <v>4613</v>
      </c>
      <c r="G28559" s="9">
        <v>3749.7</v>
      </c>
      <c r="H28559" s="8">
        <v>42</v>
      </c>
    </row>
    <row r="28560" spans="2:8" ht="15" customHeight="1" x14ac:dyDescent="0.4">
      <c r="B28560" t="s">
        <v>7</v>
      </c>
      <c r="C28560" t="s">
        <v>4612</v>
      </c>
      <c r="D28560" s="7">
        <f>DATE(2005,3,26)</f>
        <v>38437</v>
      </c>
      <c r="E28560" s="8">
        <f t="shared" si="486"/>
        <v>2005</v>
      </c>
      <c r="F28560" t="s">
        <v>4613</v>
      </c>
      <c r="G28560" s="9">
        <v>9581.1</v>
      </c>
      <c r="H28560" s="8">
        <v>62</v>
      </c>
    </row>
    <row r="28561" spans="2:8" ht="15" customHeight="1" x14ac:dyDescent="0.4">
      <c r="B28561" t="s">
        <v>7</v>
      </c>
      <c r="C28561" t="s">
        <v>4612</v>
      </c>
      <c r="D28561" s="7">
        <f>DATE(2005,3,27)</f>
        <v>38438</v>
      </c>
      <c r="E28561" s="8">
        <f t="shared" si="486"/>
        <v>2005</v>
      </c>
      <c r="F28561" t="s">
        <v>4613</v>
      </c>
      <c r="G28561" s="9">
        <v>23907.33</v>
      </c>
      <c r="H28561" s="8">
        <v>61</v>
      </c>
    </row>
    <row r="28562" spans="2:8" ht="15" customHeight="1" x14ac:dyDescent="0.4">
      <c r="B28562" t="s">
        <v>7</v>
      </c>
      <c r="C28562" t="s">
        <v>4612</v>
      </c>
      <c r="D28562" s="7">
        <f>DATE(2005,4,21)</f>
        <v>38463</v>
      </c>
      <c r="E28562" s="8">
        <f t="shared" si="486"/>
        <v>2005</v>
      </c>
      <c r="F28562" t="s">
        <v>4613</v>
      </c>
      <c r="G28562" s="9">
        <v>19583.490000000002</v>
      </c>
      <c r="H28562" s="8">
        <v>70</v>
      </c>
    </row>
    <row r="28563" spans="2:8" ht="15" customHeight="1" x14ac:dyDescent="0.4">
      <c r="B28563" t="s">
        <v>7</v>
      </c>
      <c r="C28563" t="s">
        <v>4612</v>
      </c>
      <c r="D28563" s="7">
        <f>DATE(2005,4,24)</f>
        <v>38466</v>
      </c>
      <c r="E28563" s="8">
        <f t="shared" si="486"/>
        <v>2005</v>
      </c>
      <c r="F28563" t="s">
        <v>4613</v>
      </c>
      <c r="G28563" s="9">
        <v>9470.6200000000008</v>
      </c>
      <c r="H28563" s="8">
        <v>78</v>
      </c>
    </row>
    <row r="28564" spans="2:8" ht="15" customHeight="1" x14ac:dyDescent="0.4">
      <c r="B28564" t="s">
        <v>7</v>
      </c>
      <c r="C28564" t="s">
        <v>4612</v>
      </c>
      <c r="D28564" s="7">
        <f>DATE(2005,5,6)</f>
        <v>38478</v>
      </c>
      <c r="E28564" s="8">
        <f t="shared" si="486"/>
        <v>2005</v>
      </c>
      <c r="F28564" t="s">
        <v>4613</v>
      </c>
      <c r="G28564" s="9">
        <v>13124.68</v>
      </c>
      <c r="H28564" s="8">
        <v>73</v>
      </c>
    </row>
    <row r="28565" spans="2:8" ht="15" customHeight="1" x14ac:dyDescent="0.4">
      <c r="B28565" t="s">
        <v>7</v>
      </c>
      <c r="C28565" t="s">
        <v>4612</v>
      </c>
      <c r="D28565" s="7">
        <f>DATE(2005,5,6)</f>
        <v>38478</v>
      </c>
      <c r="E28565" s="8">
        <f t="shared" si="486"/>
        <v>2005</v>
      </c>
      <c r="F28565" t="s">
        <v>4613</v>
      </c>
      <c r="G28565" s="9">
        <v>8703.7199999999993</v>
      </c>
      <c r="H28565" s="8">
        <v>79</v>
      </c>
    </row>
    <row r="28566" spans="2:8" ht="15" customHeight="1" x14ac:dyDescent="0.4">
      <c r="B28566" t="s">
        <v>7</v>
      </c>
      <c r="C28566" t="s">
        <v>4612</v>
      </c>
      <c r="D28566" s="7">
        <f>DATE(2007,4,4)</f>
        <v>39176</v>
      </c>
      <c r="E28566" s="8">
        <f t="shared" si="486"/>
        <v>2007</v>
      </c>
      <c r="F28566" t="s">
        <v>4613</v>
      </c>
      <c r="G28566" s="9">
        <v>24606.94</v>
      </c>
      <c r="H28566" s="8">
        <v>125</v>
      </c>
    </row>
    <row r="28567" spans="2:8" ht="15" customHeight="1" x14ac:dyDescent="0.4">
      <c r="B28567" t="s">
        <v>7</v>
      </c>
      <c r="C28567" t="s">
        <v>4612</v>
      </c>
      <c r="D28567" s="7">
        <f>DATE(2007,4,19)</f>
        <v>39191</v>
      </c>
      <c r="E28567" s="8">
        <f t="shared" si="486"/>
        <v>2007</v>
      </c>
      <c r="F28567" t="s">
        <v>4613</v>
      </c>
      <c r="G28567" s="9">
        <v>5259.52</v>
      </c>
      <c r="H28567" s="8">
        <v>132</v>
      </c>
    </row>
    <row r="28568" spans="2:8" ht="15" customHeight="1" x14ac:dyDescent="0.4">
      <c r="B28568" t="s">
        <v>7</v>
      </c>
      <c r="C28568" t="s">
        <v>4612</v>
      </c>
      <c r="D28568" s="7">
        <f>DATE(2007,4,20)</f>
        <v>39192</v>
      </c>
      <c r="E28568" s="8">
        <f t="shared" si="486"/>
        <v>2007</v>
      </c>
      <c r="F28568" t="s">
        <v>4613</v>
      </c>
      <c r="G28568" s="9">
        <v>24390.26</v>
      </c>
      <c r="H28568" s="8">
        <v>130</v>
      </c>
    </row>
    <row r="28569" spans="2:8" ht="15" customHeight="1" x14ac:dyDescent="0.4">
      <c r="B28569" t="s">
        <v>7</v>
      </c>
      <c r="C28569" t="s">
        <v>4612</v>
      </c>
      <c r="D28569" s="7">
        <f>DATE(2008,4,3)</f>
        <v>39541</v>
      </c>
      <c r="E28569" s="8">
        <f t="shared" si="486"/>
        <v>2008</v>
      </c>
      <c r="F28569" t="s">
        <v>4613</v>
      </c>
      <c r="G28569" s="9">
        <v>34375.82</v>
      </c>
      <c r="H28569" s="8">
        <v>154</v>
      </c>
    </row>
    <row r="28570" spans="2:8" ht="15" customHeight="1" x14ac:dyDescent="0.4">
      <c r="B28570" t="s">
        <v>7</v>
      </c>
      <c r="C28570" t="s">
        <v>4612</v>
      </c>
      <c r="D28570" s="7">
        <f>DATE(2008,4,3)</f>
        <v>39541</v>
      </c>
      <c r="E28570" s="8">
        <f t="shared" si="486"/>
        <v>2008</v>
      </c>
      <c r="F28570" t="s">
        <v>4613</v>
      </c>
      <c r="G28570" s="9">
        <v>15521.56</v>
      </c>
      <c r="H28570" s="8">
        <v>164</v>
      </c>
    </row>
    <row r="28571" spans="2:8" ht="15" customHeight="1" x14ac:dyDescent="0.4">
      <c r="B28571" t="s">
        <v>7</v>
      </c>
      <c r="C28571" t="s">
        <v>4612</v>
      </c>
      <c r="D28571" s="7">
        <f>DATE(2008,5,15)</f>
        <v>39583</v>
      </c>
      <c r="E28571" s="8">
        <f t="shared" si="486"/>
        <v>2008</v>
      </c>
      <c r="F28571" t="s">
        <v>4613</v>
      </c>
      <c r="G28571" s="9">
        <v>28242.799999999999</v>
      </c>
      <c r="H28571" s="8">
        <v>172</v>
      </c>
    </row>
    <row r="28572" spans="2:8" ht="15" customHeight="1" x14ac:dyDescent="0.4">
      <c r="B28572" t="s">
        <v>7</v>
      </c>
      <c r="C28572" t="s">
        <v>4612</v>
      </c>
      <c r="D28572" s="7">
        <f>DATE(2009,4,2)</f>
        <v>39905</v>
      </c>
      <c r="E28572" s="8">
        <f t="shared" si="486"/>
        <v>2009</v>
      </c>
      <c r="F28572" t="s">
        <v>4613</v>
      </c>
      <c r="G28572" s="9">
        <v>42759.42</v>
      </c>
      <c r="H28572" s="8">
        <v>202</v>
      </c>
    </row>
    <row r="28573" spans="2:8" ht="15" customHeight="1" x14ac:dyDescent="0.4">
      <c r="B28573" t="s">
        <v>7</v>
      </c>
      <c r="C28573" t="s">
        <v>4612</v>
      </c>
      <c r="D28573" s="7">
        <f>DATE(2010,3,18)</f>
        <v>40255</v>
      </c>
      <c r="E28573" s="8">
        <f t="shared" si="486"/>
        <v>2010</v>
      </c>
      <c r="F28573" t="s">
        <v>4613</v>
      </c>
      <c r="G28573" s="9">
        <v>38640.42</v>
      </c>
      <c r="H28573" s="8">
        <v>249</v>
      </c>
    </row>
    <row r="28574" spans="2:8" ht="15" customHeight="1" x14ac:dyDescent="0.4">
      <c r="B28574" t="s">
        <v>7</v>
      </c>
      <c r="C28574" t="s">
        <v>4612</v>
      </c>
      <c r="D28574" s="7">
        <f>DATE(2010,4,19)</f>
        <v>40287</v>
      </c>
      <c r="E28574" s="8">
        <f t="shared" si="486"/>
        <v>2010</v>
      </c>
      <c r="F28574" t="s">
        <v>4613</v>
      </c>
      <c r="G28574" s="9">
        <v>40992.86</v>
      </c>
      <c r="H28574" s="8">
        <v>253</v>
      </c>
    </row>
    <row r="28575" spans="2:8" ht="15" customHeight="1" x14ac:dyDescent="0.4">
      <c r="B28575" t="s">
        <v>7</v>
      </c>
      <c r="C28575" t="s">
        <v>4612</v>
      </c>
      <c r="D28575" s="7">
        <f>DATE(2012,5,3)</f>
        <v>41032</v>
      </c>
      <c r="E28575" s="8">
        <f t="shared" si="486"/>
        <v>2012</v>
      </c>
      <c r="F28575" t="s">
        <v>4613</v>
      </c>
      <c r="G28575" s="9">
        <v>43420.91</v>
      </c>
      <c r="H28575" s="8">
        <v>292</v>
      </c>
    </row>
    <row r="28576" spans="2:8" ht="15" customHeight="1" x14ac:dyDescent="0.4">
      <c r="B28576" t="s">
        <v>7</v>
      </c>
      <c r="C28576" t="s">
        <v>4612</v>
      </c>
      <c r="D28576" s="7">
        <f>DATE(2012,6,6)</f>
        <v>41066</v>
      </c>
      <c r="E28576" s="8">
        <f t="shared" si="486"/>
        <v>2012</v>
      </c>
      <c r="F28576" t="s">
        <v>4613</v>
      </c>
      <c r="G28576" s="9">
        <v>41656.33</v>
      </c>
      <c r="H28576" s="8">
        <v>293</v>
      </c>
    </row>
    <row r="28577" spans="2:8" ht="15" customHeight="1" x14ac:dyDescent="0.4">
      <c r="B28577" t="s">
        <v>7</v>
      </c>
      <c r="C28577" t="s">
        <v>4612</v>
      </c>
      <c r="D28577" s="7">
        <f>DATE(2013,4,24)</f>
        <v>41388</v>
      </c>
      <c r="E28577" s="8">
        <f t="shared" si="486"/>
        <v>2013</v>
      </c>
      <c r="F28577" t="s">
        <v>4613</v>
      </c>
      <c r="G28577" s="9">
        <v>28662.9</v>
      </c>
      <c r="H28577" s="8">
        <v>308</v>
      </c>
    </row>
    <row r="28578" spans="2:8" ht="15" customHeight="1" x14ac:dyDescent="0.4">
      <c r="B28578" t="s">
        <v>7</v>
      </c>
      <c r="C28578" t="s">
        <v>4612</v>
      </c>
      <c r="D28578" s="7">
        <f>DATE(2013,5,2)</f>
        <v>41396</v>
      </c>
      <c r="E28578" s="8">
        <f t="shared" si="486"/>
        <v>2013</v>
      </c>
      <c r="F28578" t="s">
        <v>4613</v>
      </c>
      <c r="G28578" s="9">
        <v>29340.03</v>
      </c>
      <c r="H28578" s="8">
        <v>307</v>
      </c>
    </row>
    <row r="28579" spans="2:8" ht="15" customHeight="1" x14ac:dyDescent="0.4">
      <c r="B28579" t="s">
        <v>7</v>
      </c>
      <c r="C28579" t="s">
        <v>4612</v>
      </c>
      <c r="D28579" s="7">
        <f>DATE(2014,10,17)</f>
        <v>41929</v>
      </c>
      <c r="E28579" s="8">
        <f t="shared" si="486"/>
        <v>2014</v>
      </c>
      <c r="F28579" t="s">
        <v>4613</v>
      </c>
      <c r="G28579" s="9">
        <v>48786.720000000001</v>
      </c>
      <c r="H28579" s="8">
        <v>321</v>
      </c>
    </row>
    <row r="28580" spans="2:8" ht="15" customHeight="1" x14ac:dyDescent="0.4">
      <c r="B28580" t="s">
        <v>16</v>
      </c>
      <c r="C28580" t="s">
        <v>4612</v>
      </c>
      <c r="D28580" s="7">
        <f>DATE(2004,4,5)</f>
        <v>38082</v>
      </c>
      <c r="E28580" s="8">
        <f t="shared" si="486"/>
        <v>2004</v>
      </c>
      <c r="F28580" t="s">
        <v>4613</v>
      </c>
      <c r="G28580" s="9">
        <v>18756.080000000002</v>
      </c>
      <c r="H28580" s="8">
        <v>38</v>
      </c>
    </row>
    <row r="28581" spans="2:8" ht="15" customHeight="1" x14ac:dyDescent="0.4">
      <c r="B28581" s="3" t="s">
        <v>7</v>
      </c>
      <c r="C28581" s="3" t="s">
        <v>4614</v>
      </c>
      <c r="D28581" s="4">
        <f>DATE(2003,4,3)</f>
        <v>37714</v>
      </c>
      <c r="E28581" s="5">
        <f t="shared" si="486"/>
        <v>2003</v>
      </c>
      <c r="F28581" s="3" t="s">
        <v>4615</v>
      </c>
      <c r="G28581" s="6">
        <v>45</v>
      </c>
      <c r="H28581" s="5">
        <v>652</v>
      </c>
    </row>
    <row r="28582" spans="2:8" ht="15" customHeight="1" x14ac:dyDescent="0.4">
      <c r="B28582" t="s">
        <v>7</v>
      </c>
      <c r="C28582" t="s">
        <v>4616</v>
      </c>
      <c r="D28582" s="7">
        <f>DATE(2015,12,3)</f>
        <v>42341</v>
      </c>
      <c r="E28582" s="8">
        <f t="shared" si="486"/>
        <v>2015</v>
      </c>
      <c r="F28582" t="s">
        <v>4617</v>
      </c>
      <c r="G28582" s="9">
        <v>43600.27</v>
      </c>
      <c r="H28582" s="8">
        <v>21446</v>
      </c>
    </row>
    <row r="28583" spans="2:8" ht="15" customHeight="1" x14ac:dyDescent="0.4">
      <c r="B28583" t="s">
        <v>7</v>
      </c>
      <c r="C28583" t="s">
        <v>4616</v>
      </c>
      <c r="D28583" s="7">
        <f>DATE(2015,10,23)</f>
        <v>42300</v>
      </c>
      <c r="E28583" s="8">
        <f t="shared" si="486"/>
        <v>2015</v>
      </c>
      <c r="F28583" t="s">
        <v>4617</v>
      </c>
      <c r="G28583" s="9">
        <v>575</v>
      </c>
      <c r="H28583" s="8">
        <v>21276</v>
      </c>
    </row>
    <row r="28584" spans="2:8" ht="15" customHeight="1" x14ac:dyDescent="0.4">
      <c r="B28584" t="s">
        <v>7</v>
      </c>
      <c r="C28584" t="s">
        <v>4616</v>
      </c>
      <c r="D28584" s="7">
        <f>DATE(2013,12,18)</f>
        <v>41626</v>
      </c>
      <c r="E28584" s="8">
        <f t="shared" si="486"/>
        <v>2013</v>
      </c>
      <c r="F28584" t="s">
        <v>4617</v>
      </c>
      <c r="G28584" s="9">
        <v>29650</v>
      </c>
      <c r="H28584" s="8">
        <v>12827</v>
      </c>
    </row>
    <row r="28585" spans="2:8" ht="15" customHeight="1" x14ac:dyDescent="0.4">
      <c r="B28585" t="s">
        <v>7</v>
      </c>
      <c r="C28585" t="s">
        <v>4616</v>
      </c>
      <c r="D28585" s="7">
        <f>DATE(2014,2,21)</f>
        <v>41691</v>
      </c>
      <c r="E28585" s="8">
        <f t="shared" si="486"/>
        <v>2014</v>
      </c>
      <c r="F28585" t="s">
        <v>4617</v>
      </c>
      <c r="G28585" s="9">
        <v>7300</v>
      </c>
      <c r="H28585" s="8">
        <v>12843</v>
      </c>
    </row>
    <row r="28586" spans="2:8" ht="15" customHeight="1" x14ac:dyDescent="0.4">
      <c r="B28586" t="s">
        <v>7</v>
      </c>
      <c r="C28586" t="s">
        <v>4616</v>
      </c>
      <c r="D28586" s="7">
        <f>DATE(2003,3,14)</f>
        <v>37694</v>
      </c>
      <c r="E28586" s="8">
        <f t="shared" si="486"/>
        <v>2003</v>
      </c>
      <c r="F28586" t="s">
        <v>4617</v>
      </c>
      <c r="G28586" s="9">
        <v>13494.67</v>
      </c>
      <c r="H28586" s="8">
        <v>343</v>
      </c>
    </row>
    <row r="28587" spans="2:8" ht="15" customHeight="1" x14ac:dyDescent="0.4">
      <c r="B28587" t="s">
        <v>7</v>
      </c>
      <c r="C28587" t="s">
        <v>4616</v>
      </c>
      <c r="D28587" s="7">
        <f>DATE(2006,10,8)</f>
        <v>38998</v>
      </c>
      <c r="E28587" s="8">
        <f t="shared" si="486"/>
        <v>2006</v>
      </c>
      <c r="F28587" t="s">
        <v>4617</v>
      </c>
      <c r="G28587" s="9">
        <v>9139.92</v>
      </c>
      <c r="H28587" s="8">
        <v>5067</v>
      </c>
    </row>
    <row r="28588" spans="2:8" ht="15" customHeight="1" x14ac:dyDescent="0.4">
      <c r="B28588" t="s">
        <v>7</v>
      </c>
      <c r="C28588" t="s">
        <v>4616</v>
      </c>
      <c r="D28588" s="7">
        <f>DATE(2008,2,18)</f>
        <v>39496</v>
      </c>
      <c r="E28588" s="8">
        <f t="shared" si="486"/>
        <v>2008</v>
      </c>
      <c r="F28588" t="s">
        <v>4617</v>
      </c>
      <c r="G28588" s="9">
        <v>164914.49</v>
      </c>
      <c r="H28588" s="8">
        <v>6455</v>
      </c>
    </row>
    <row r="28589" spans="2:8" ht="15" customHeight="1" x14ac:dyDescent="0.4">
      <c r="B28589" s="3" t="s">
        <v>7</v>
      </c>
      <c r="C28589" s="3" t="s">
        <v>4616</v>
      </c>
      <c r="D28589" s="4">
        <f>DATE(2003,3,17)</f>
        <v>37697</v>
      </c>
      <c r="E28589" s="5">
        <f t="shared" si="486"/>
        <v>2003</v>
      </c>
      <c r="F28589" s="3" t="s">
        <v>4617</v>
      </c>
      <c r="G28589" s="6">
        <v>5400</v>
      </c>
      <c r="H28589" s="5">
        <v>544</v>
      </c>
    </row>
    <row r="28590" spans="2:8" ht="15" customHeight="1" x14ac:dyDescent="0.4">
      <c r="B28590" s="3" t="s">
        <v>7</v>
      </c>
      <c r="C28590" s="3" t="s">
        <v>4616</v>
      </c>
      <c r="D28590" s="4">
        <f>DATE(2006,11,27)</f>
        <v>39048</v>
      </c>
      <c r="E28590" s="5">
        <f t="shared" si="486"/>
        <v>2006</v>
      </c>
      <c r="F28590" s="3" t="s">
        <v>4617</v>
      </c>
      <c r="G28590" s="6">
        <v>938</v>
      </c>
      <c r="H28590" s="5">
        <v>7583</v>
      </c>
    </row>
    <row r="28591" spans="2:8" ht="15" customHeight="1" x14ac:dyDescent="0.4">
      <c r="B28591" s="3" t="s">
        <v>7</v>
      </c>
      <c r="C28591" s="3" t="s">
        <v>4616</v>
      </c>
      <c r="D28591" s="4">
        <f>DATE(2006,11,27)</f>
        <v>39048</v>
      </c>
      <c r="E28591" s="5">
        <f t="shared" si="486"/>
        <v>2006</v>
      </c>
      <c r="F28591" s="3" t="s">
        <v>4617</v>
      </c>
      <c r="G28591" s="6">
        <v>1407</v>
      </c>
      <c r="H28591" s="5">
        <v>7586</v>
      </c>
    </row>
    <row r="28592" spans="2:8" ht="15" customHeight="1" x14ac:dyDescent="0.4">
      <c r="B28592" s="3" t="s">
        <v>7</v>
      </c>
      <c r="C28592" s="3" t="s">
        <v>4616</v>
      </c>
      <c r="D28592" s="4">
        <f>DATE(2007,2,21)</f>
        <v>39134</v>
      </c>
      <c r="E28592" s="5">
        <f t="shared" si="486"/>
        <v>2007</v>
      </c>
      <c r="F28592" s="3" t="s">
        <v>4617</v>
      </c>
      <c r="G28592" s="6">
        <v>284.5</v>
      </c>
      <c r="H28592" s="5">
        <v>7987</v>
      </c>
    </row>
    <row r="28593" spans="2:8" ht="15" customHeight="1" x14ac:dyDescent="0.4">
      <c r="B28593" s="3" t="s">
        <v>7</v>
      </c>
      <c r="C28593" s="3" t="s">
        <v>4616</v>
      </c>
      <c r="D28593" s="4">
        <f>DATE(2007,9,27)</f>
        <v>39352</v>
      </c>
      <c r="E28593" s="5">
        <f t="shared" si="486"/>
        <v>2007</v>
      </c>
      <c r="F28593" s="3" t="s">
        <v>4617</v>
      </c>
      <c r="G28593" s="6">
        <v>1150</v>
      </c>
      <c r="H28593" s="5">
        <v>9019</v>
      </c>
    </row>
    <row r="28594" spans="2:8" ht="15" customHeight="1" x14ac:dyDescent="0.4">
      <c r="B28594" s="3" t="s">
        <v>7</v>
      </c>
      <c r="C28594" s="3" t="s">
        <v>4616</v>
      </c>
      <c r="D28594" s="4">
        <f>DATE(2007,9,24)</f>
        <v>39349</v>
      </c>
      <c r="E28594" s="5">
        <f t="shared" si="486"/>
        <v>2007</v>
      </c>
      <c r="F28594" s="3" t="s">
        <v>4617</v>
      </c>
      <c r="G28594" s="6">
        <v>355.52</v>
      </c>
      <c r="H28594" s="5">
        <v>9295</v>
      </c>
    </row>
    <row r="28595" spans="2:8" ht="15" customHeight="1" x14ac:dyDescent="0.4">
      <c r="B28595" s="3" t="s">
        <v>7</v>
      </c>
      <c r="C28595" s="3" t="s">
        <v>4616</v>
      </c>
      <c r="D28595" s="4">
        <f>DATE(2009,3,11)</f>
        <v>39883</v>
      </c>
      <c r="E28595" s="5">
        <f t="shared" si="486"/>
        <v>2009</v>
      </c>
      <c r="F28595" s="3" t="s">
        <v>4617</v>
      </c>
      <c r="G28595" s="6">
        <v>78.599999999999994</v>
      </c>
      <c r="H28595" s="5">
        <v>12127</v>
      </c>
    </row>
    <row r="28596" spans="2:8" ht="15" customHeight="1" x14ac:dyDescent="0.4">
      <c r="B28596" t="s">
        <v>7</v>
      </c>
      <c r="C28596" t="s">
        <v>4618</v>
      </c>
      <c r="D28596" s="7">
        <f>DATE(2015,2,19)</f>
        <v>42054</v>
      </c>
      <c r="E28596" s="8">
        <f t="shared" si="486"/>
        <v>2015</v>
      </c>
      <c r="F28596" t="s">
        <v>4619</v>
      </c>
      <c r="G28596" s="9">
        <v>24.22</v>
      </c>
      <c r="H28596" s="8">
        <v>5013</v>
      </c>
    </row>
    <row r="28597" spans="2:8" ht="15" customHeight="1" x14ac:dyDescent="0.4">
      <c r="B28597" t="s">
        <v>7</v>
      </c>
      <c r="C28597" t="s">
        <v>4618</v>
      </c>
      <c r="D28597" s="7">
        <f>DATE(2015,3,26)</f>
        <v>42089</v>
      </c>
      <c r="E28597" s="8">
        <f t="shared" si="486"/>
        <v>2015</v>
      </c>
      <c r="F28597" t="s">
        <v>4619</v>
      </c>
      <c r="G28597" s="9">
        <v>86.5</v>
      </c>
      <c r="H28597" s="8">
        <v>20218</v>
      </c>
    </row>
    <row r="28598" spans="2:8" ht="15" customHeight="1" x14ac:dyDescent="0.4">
      <c r="B28598" t="s">
        <v>7</v>
      </c>
      <c r="C28598" t="s">
        <v>4618</v>
      </c>
      <c r="D28598" s="7">
        <f>DATE(2019,5,13)</f>
        <v>43598</v>
      </c>
      <c r="E28598" s="8">
        <f t="shared" si="486"/>
        <v>2019</v>
      </c>
      <c r="F28598" t="s">
        <v>4619</v>
      </c>
      <c r="G28598" s="9">
        <v>9440</v>
      </c>
      <c r="H28598" s="8">
        <v>28954</v>
      </c>
    </row>
    <row r="28599" spans="2:8" ht="15" customHeight="1" x14ac:dyDescent="0.4">
      <c r="B28599" s="3" t="s">
        <v>7</v>
      </c>
      <c r="C28599" s="3" t="s">
        <v>4618</v>
      </c>
      <c r="D28599" s="4">
        <f>DATE(2012,1,3)</f>
        <v>40911</v>
      </c>
      <c r="E28599" s="5">
        <f t="shared" si="486"/>
        <v>2012</v>
      </c>
      <c r="F28599" s="3" t="s">
        <v>4619</v>
      </c>
      <c r="G28599" s="6">
        <v>50.17</v>
      </c>
      <c r="H28599" s="5">
        <v>16333</v>
      </c>
    </row>
    <row r="28600" spans="2:8" ht="15" customHeight="1" x14ac:dyDescent="0.4">
      <c r="B28600" s="3" t="s">
        <v>7</v>
      </c>
      <c r="C28600" s="3" t="s">
        <v>4618</v>
      </c>
      <c r="D28600" s="4">
        <f>DATE(2013,3,13)</f>
        <v>41346</v>
      </c>
      <c r="E28600" s="5">
        <f t="shared" si="486"/>
        <v>2013</v>
      </c>
      <c r="F28600" s="3" t="s">
        <v>4619</v>
      </c>
      <c r="G28600" s="6">
        <v>1322.5</v>
      </c>
      <c r="H28600" s="5">
        <v>18292</v>
      </c>
    </row>
    <row r="28601" spans="2:8" ht="15" customHeight="1" x14ac:dyDescent="0.4">
      <c r="B28601" s="3" t="s">
        <v>7</v>
      </c>
      <c r="C28601" s="3" t="s">
        <v>4618</v>
      </c>
      <c r="D28601" s="4">
        <f>DATE(2013,4,18)</f>
        <v>41382</v>
      </c>
      <c r="E28601" s="5">
        <f t="shared" si="486"/>
        <v>2013</v>
      </c>
      <c r="F28601" s="3" t="s">
        <v>4619</v>
      </c>
      <c r="G28601" s="6">
        <v>2768</v>
      </c>
      <c r="H28601" s="5">
        <v>18457</v>
      </c>
    </row>
    <row r="28602" spans="2:8" ht="15" customHeight="1" x14ac:dyDescent="0.4">
      <c r="B28602" s="3" t="s">
        <v>7</v>
      </c>
      <c r="C28602" s="3" t="s">
        <v>4618</v>
      </c>
      <c r="D28602" s="4">
        <f>DATE(2014,2,24)</f>
        <v>41694</v>
      </c>
      <c r="E28602" s="5">
        <f t="shared" si="486"/>
        <v>2014</v>
      </c>
      <c r="F28602" s="3" t="s">
        <v>4619</v>
      </c>
      <c r="G28602" s="6">
        <v>262.2</v>
      </c>
      <c r="H28602" s="5">
        <v>19456</v>
      </c>
    </row>
    <row r="28603" spans="2:8" ht="15" customHeight="1" x14ac:dyDescent="0.4">
      <c r="B28603" s="3" t="s">
        <v>7</v>
      </c>
      <c r="C28603" s="3" t="s">
        <v>4618</v>
      </c>
      <c r="D28603" s="4">
        <f>DATE(2014,11,3)</f>
        <v>41946</v>
      </c>
      <c r="E28603" s="5">
        <f t="shared" si="486"/>
        <v>2014</v>
      </c>
      <c r="F28603" s="3" t="s">
        <v>4619</v>
      </c>
      <c r="G28603" s="6">
        <v>34.6</v>
      </c>
      <c r="H28603" s="5">
        <v>20540</v>
      </c>
    </row>
    <row r="28604" spans="2:8" ht="15" customHeight="1" x14ac:dyDescent="0.4">
      <c r="B28604" s="3" t="s">
        <v>7</v>
      </c>
      <c r="C28604" s="3" t="s">
        <v>4618</v>
      </c>
      <c r="D28604" s="4">
        <f>DATE(2014,11,6)</f>
        <v>41949</v>
      </c>
      <c r="E28604" s="5">
        <f t="shared" si="486"/>
        <v>2014</v>
      </c>
      <c r="F28604" s="3" t="s">
        <v>4619</v>
      </c>
      <c r="G28604" s="6">
        <v>5.19</v>
      </c>
      <c r="H28604" s="5">
        <v>20610</v>
      </c>
    </row>
    <row r="28605" spans="2:8" ht="15" customHeight="1" x14ac:dyDescent="0.4">
      <c r="B28605" s="3" t="s">
        <v>16</v>
      </c>
      <c r="C28605" s="3" t="s">
        <v>4618</v>
      </c>
      <c r="D28605" s="4">
        <f>DATE(2014,9,4)</f>
        <v>41886</v>
      </c>
      <c r="E28605" s="5">
        <f t="shared" si="486"/>
        <v>2014</v>
      </c>
      <c r="F28605" s="3" t="s">
        <v>4619</v>
      </c>
      <c r="G28605" s="6">
        <v>262.2</v>
      </c>
      <c r="H28605" s="5">
        <v>20385</v>
      </c>
    </row>
    <row r="28606" spans="2:8" ht="15" customHeight="1" x14ac:dyDescent="0.4">
      <c r="B28606" t="s">
        <v>7</v>
      </c>
      <c r="C28606" t="s">
        <v>4620</v>
      </c>
      <c r="D28606" s="7">
        <f>DATE(2015,5,12)</f>
        <v>42136</v>
      </c>
      <c r="E28606" s="8">
        <f t="shared" si="486"/>
        <v>2015</v>
      </c>
      <c r="F28606" t="s">
        <v>4621</v>
      </c>
      <c r="G28606" s="9">
        <v>34960</v>
      </c>
      <c r="H28606" s="8">
        <v>20296</v>
      </c>
    </row>
    <row r="28607" spans="2:8" ht="15" customHeight="1" x14ac:dyDescent="0.4">
      <c r="B28607" t="s">
        <v>7</v>
      </c>
      <c r="C28607" t="s">
        <v>4620</v>
      </c>
      <c r="D28607" s="7">
        <f>DATE(2015,5,12)</f>
        <v>42136</v>
      </c>
      <c r="E28607" s="8">
        <f t="shared" si="486"/>
        <v>2015</v>
      </c>
      <c r="F28607" t="s">
        <v>4621</v>
      </c>
      <c r="G28607" s="9">
        <v>34960</v>
      </c>
      <c r="H28607" s="8">
        <v>20296</v>
      </c>
    </row>
    <row r="28608" spans="2:8" ht="15" customHeight="1" x14ac:dyDescent="0.4">
      <c r="B28608" t="s">
        <v>7</v>
      </c>
      <c r="C28608" t="s">
        <v>4622</v>
      </c>
      <c r="D28608" s="7">
        <f>DATE(2015,6,17)</f>
        <v>42172</v>
      </c>
      <c r="E28608" s="8">
        <f t="shared" si="486"/>
        <v>2015</v>
      </c>
      <c r="F28608" t="s">
        <v>4621</v>
      </c>
      <c r="G28608" s="9">
        <v>20700</v>
      </c>
      <c r="H28608" s="8">
        <v>20757</v>
      </c>
    </row>
    <row r="28609" spans="2:8" ht="15" customHeight="1" x14ac:dyDescent="0.4">
      <c r="B28609" t="s">
        <v>7</v>
      </c>
      <c r="C28609" t="s">
        <v>4620</v>
      </c>
      <c r="D28609" s="7">
        <f>DATE(2015,6,17)</f>
        <v>42172</v>
      </c>
      <c r="E28609" s="8">
        <f t="shared" si="486"/>
        <v>2015</v>
      </c>
      <c r="F28609" t="s">
        <v>4621</v>
      </c>
      <c r="G28609" s="9">
        <v>3540</v>
      </c>
      <c r="H28609" s="8">
        <v>20754</v>
      </c>
    </row>
    <row r="28610" spans="2:8" ht="15" customHeight="1" x14ac:dyDescent="0.4">
      <c r="B28610" t="s">
        <v>7</v>
      </c>
      <c r="C28610" t="s">
        <v>4620</v>
      </c>
      <c r="D28610" s="7">
        <f>DATE(2015,8,21)</f>
        <v>42237</v>
      </c>
      <c r="E28610" s="8">
        <f t="shared" si="486"/>
        <v>2015</v>
      </c>
      <c r="F28610" t="s">
        <v>4621</v>
      </c>
      <c r="G28610" s="9">
        <v>1686.75</v>
      </c>
      <c r="H28610" s="8">
        <v>21096</v>
      </c>
    </row>
    <row r="28611" spans="2:8" ht="15" customHeight="1" x14ac:dyDescent="0.4">
      <c r="B28611" t="s">
        <v>7</v>
      </c>
      <c r="C28611" t="s">
        <v>4620</v>
      </c>
      <c r="D28611" s="7">
        <f>DATE(2015,9,18)</f>
        <v>42265</v>
      </c>
      <c r="E28611" s="8">
        <f t="shared" ref="E28611:E28674" si="487">YEAR(D28611)</f>
        <v>2015</v>
      </c>
      <c r="F28611" t="s">
        <v>4621</v>
      </c>
      <c r="G28611" s="9">
        <v>3068</v>
      </c>
      <c r="H28611" s="8">
        <v>21248</v>
      </c>
    </row>
    <row r="28612" spans="2:8" ht="15" customHeight="1" x14ac:dyDescent="0.4">
      <c r="B28612" t="s">
        <v>7</v>
      </c>
      <c r="C28612" t="s">
        <v>4620</v>
      </c>
      <c r="D28612" s="7">
        <f>DATE(2016,4,6)</f>
        <v>42466</v>
      </c>
      <c r="E28612" s="8">
        <f t="shared" si="487"/>
        <v>2016</v>
      </c>
      <c r="F28612" t="s">
        <v>4621</v>
      </c>
      <c r="G28612" s="9">
        <v>312.8</v>
      </c>
      <c r="H28612" s="8">
        <v>22540</v>
      </c>
    </row>
    <row r="28613" spans="2:8" ht="15" customHeight="1" x14ac:dyDescent="0.4">
      <c r="B28613" t="s">
        <v>7</v>
      </c>
      <c r="C28613" t="s">
        <v>4620</v>
      </c>
      <c r="D28613" s="7">
        <f>DATE(2016,5,31)</f>
        <v>42521</v>
      </c>
      <c r="E28613" s="8">
        <f t="shared" si="487"/>
        <v>2016</v>
      </c>
      <c r="F28613" t="s">
        <v>4621</v>
      </c>
      <c r="G28613" s="9">
        <v>700.65</v>
      </c>
      <c r="H28613" s="8">
        <v>22915</v>
      </c>
    </row>
    <row r="28614" spans="2:8" ht="15" customHeight="1" x14ac:dyDescent="0.4">
      <c r="B28614" t="s">
        <v>7</v>
      </c>
      <c r="C28614" t="s">
        <v>4620</v>
      </c>
      <c r="D28614" s="7">
        <f>DATE(2016,6,7)</f>
        <v>42528</v>
      </c>
      <c r="E28614" s="8">
        <f t="shared" si="487"/>
        <v>2016</v>
      </c>
      <c r="F28614" t="s">
        <v>4621</v>
      </c>
      <c r="G28614" s="9">
        <v>605.5</v>
      </c>
      <c r="H28614" s="8">
        <v>22950</v>
      </c>
    </row>
    <row r="28615" spans="2:8" ht="15" customHeight="1" x14ac:dyDescent="0.4">
      <c r="B28615" t="s">
        <v>7</v>
      </c>
      <c r="C28615" t="s">
        <v>4622</v>
      </c>
      <c r="D28615" s="7">
        <f>DATE(2016,6,29)</f>
        <v>42550</v>
      </c>
      <c r="E28615" s="8">
        <f t="shared" si="487"/>
        <v>2016</v>
      </c>
      <c r="F28615" t="s">
        <v>4621</v>
      </c>
      <c r="G28615" s="9">
        <v>672.75</v>
      </c>
      <c r="H28615" s="8">
        <v>23075</v>
      </c>
    </row>
    <row r="28616" spans="2:8" ht="15" customHeight="1" x14ac:dyDescent="0.4">
      <c r="B28616" t="s">
        <v>7</v>
      </c>
      <c r="C28616" t="s">
        <v>4622</v>
      </c>
      <c r="D28616" s="7">
        <f>DATE(2016,9,22)</f>
        <v>42635</v>
      </c>
      <c r="E28616" s="8">
        <f t="shared" si="487"/>
        <v>2016</v>
      </c>
      <c r="F28616" t="s">
        <v>4621</v>
      </c>
      <c r="G28616" s="9">
        <v>5394.87</v>
      </c>
      <c r="H28616" s="8">
        <v>23458</v>
      </c>
    </row>
    <row r="28617" spans="2:8" ht="15" customHeight="1" x14ac:dyDescent="0.4">
      <c r="B28617" t="s">
        <v>7</v>
      </c>
      <c r="C28617" t="s">
        <v>4620</v>
      </c>
      <c r="D28617" s="7">
        <f>DATE(2016,9,27)</f>
        <v>42640</v>
      </c>
      <c r="E28617" s="8">
        <f t="shared" si="487"/>
        <v>2016</v>
      </c>
      <c r="F28617" t="s">
        <v>4621</v>
      </c>
      <c r="G28617" s="9">
        <v>2595</v>
      </c>
      <c r="H28617" s="8">
        <v>23477</v>
      </c>
    </row>
    <row r="28618" spans="2:8" ht="15" customHeight="1" x14ac:dyDescent="0.4">
      <c r="B28618" t="s">
        <v>7</v>
      </c>
      <c r="C28618" t="s">
        <v>4620</v>
      </c>
      <c r="D28618" s="7">
        <f>DATE(2016,11,18)</f>
        <v>42692</v>
      </c>
      <c r="E28618" s="8">
        <f t="shared" si="487"/>
        <v>2016</v>
      </c>
      <c r="F28618" t="s">
        <v>4621</v>
      </c>
      <c r="G28618" s="9">
        <v>6555</v>
      </c>
      <c r="H28618" s="8">
        <v>23851</v>
      </c>
    </row>
    <row r="28619" spans="2:8" ht="15" customHeight="1" x14ac:dyDescent="0.4">
      <c r="B28619" t="s">
        <v>7</v>
      </c>
      <c r="C28619" t="s">
        <v>4620</v>
      </c>
      <c r="D28619" s="7">
        <f>DATE(2016,11,29)</f>
        <v>42703</v>
      </c>
      <c r="E28619" s="8">
        <f t="shared" si="487"/>
        <v>2016</v>
      </c>
      <c r="F28619" t="s">
        <v>4621</v>
      </c>
      <c r="G28619" s="9">
        <v>2820</v>
      </c>
      <c r="H28619" s="8">
        <v>23880</v>
      </c>
    </row>
    <row r="28620" spans="2:8" ht="15" customHeight="1" x14ac:dyDescent="0.4">
      <c r="B28620" t="s">
        <v>7</v>
      </c>
      <c r="C28620" t="s">
        <v>4620</v>
      </c>
      <c r="D28620" s="7">
        <f>DATE(2016,12,6)</f>
        <v>42710</v>
      </c>
      <c r="E28620" s="8">
        <f t="shared" si="487"/>
        <v>2016</v>
      </c>
      <c r="F28620" t="s">
        <v>4621</v>
      </c>
      <c r="G28620" s="9">
        <v>2832</v>
      </c>
      <c r="H28620" s="8">
        <v>23912</v>
      </c>
    </row>
    <row r="28621" spans="2:8" ht="15" customHeight="1" x14ac:dyDescent="0.4">
      <c r="B28621" t="s">
        <v>7</v>
      </c>
      <c r="C28621" t="s">
        <v>4620</v>
      </c>
      <c r="D28621" s="7">
        <f>DATE(2016,12,15)</f>
        <v>42719</v>
      </c>
      <c r="E28621" s="8">
        <f t="shared" si="487"/>
        <v>2016</v>
      </c>
      <c r="F28621" t="s">
        <v>4621</v>
      </c>
      <c r="G28621" s="9">
        <v>1132.8</v>
      </c>
      <c r="H28621" s="8">
        <v>23952</v>
      </c>
    </row>
    <row r="28622" spans="2:8" ht="15" customHeight="1" x14ac:dyDescent="0.4">
      <c r="B28622" t="s">
        <v>7</v>
      </c>
      <c r="C28622" t="s">
        <v>4620</v>
      </c>
      <c r="D28622" s="7">
        <f>DATE(2016,12,23)</f>
        <v>42727</v>
      </c>
      <c r="E28622" s="8">
        <f t="shared" si="487"/>
        <v>2016</v>
      </c>
      <c r="F28622" t="s">
        <v>4621</v>
      </c>
      <c r="G28622" s="9">
        <v>4248</v>
      </c>
      <c r="H28622" s="8">
        <v>24034</v>
      </c>
    </row>
    <row r="28623" spans="2:8" ht="15" customHeight="1" x14ac:dyDescent="0.4">
      <c r="B28623" t="s">
        <v>7</v>
      </c>
      <c r="C28623" t="s">
        <v>4620</v>
      </c>
      <c r="D28623" s="7">
        <f>DATE(2017,2,10)</f>
        <v>42776</v>
      </c>
      <c r="E28623" s="8">
        <f t="shared" si="487"/>
        <v>2017</v>
      </c>
      <c r="F28623" t="s">
        <v>4621</v>
      </c>
      <c r="G28623" s="9">
        <v>460</v>
      </c>
      <c r="H28623" s="8">
        <v>24176</v>
      </c>
    </row>
    <row r="28624" spans="2:8" ht="15" customHeight="1" x14ac:dyDescent="0.4">
      <c r="B28624" t="s">
        <v>7</v>
      </c>
      <c r="C28624" t="s">
        <v>4620</v>
      </c>
      <c r="D28624" s="7">
        <f>DATE(2017,4,10)</f>
        <v>42835</v>
      </c>
      <c r="E28624" s="8">
        <f t="shared" si="487"/>
        <v>2017</v>
      </c>
      <c r="F28624" t="s">
        <v>4621</v>
      </c>
      <c r="G28624" s="9">
        <v>460</v>
      </c>
      <c r="H28624" s="8">
        <v>24704</v>
      </c>
    </row>
    <row r="28625" spans="2:8" ht="15" customHeight="1" x14ac:dyDescent="0.4">
      <c r="B28625" t="s">
        <v>7</v>
      </c>
      <c r="C28625" t="s">
        <v>4620</v>
      </c>
      <c r="D28625" s="7">
        <f>DATE(2017,7,13)</f>
        <v>42929</v>
      </c>
      <c r="E28625" s="8">
        <f t="shared" si="487"/>
        <v>2017</v>
      </c>
      <c r="F28625" t="s">
        <v>4621</v>
      </c>
      <c r="G28625" s="9">
        <v>2119.25</v>
      </c>
      <c r="H28625" s="8">
        <v>25121</v>
      </c>
    </row>
    <row r="28626" spans="2:8" ht="15" customHeight="1" x14ac:dyDescent="0.4">
      <c r="B28626" t="s">
        <v>7</v>
      </c>
      <c r="C28626" t="s">
        <v>4620</v>
      </c>
      <c r="D28626" s="7">
        <f>DATE(2017,7,31)</f>
        <v>42947</v>
      </c>
      <c r="E28626" s="8">
        <f t="shared" si="487"/>
        <v>2017</v>
      </c>
      <c r="F28626" t="s">
        <v>4621</v>
      </c>
      <c r="G28626" s="9">
        <v>2076</v>
      </c>
      <c r="H28626" s="8">
        <v>25293</v>
      </c>
    </row>
    <row r="28627" spans="2:8" ht="15" customHeight="1" x14ac:dyDescent="0.4">
      <c r="B28627" t="s">
        <v>7</v>
      </c>
      <c r="C28627" t="s">
        <v>4620</v>
      </c>
      <c r="D28627" s="7">
        <f>DATE(2017,11,1)</f>
        <v>43040</v>
      </c>
      <c r="E28627" s="8">
        <f t="shared" si="487"/>
        <v>2017</v>
      </c>
      <c r="F28627" t="s">
        <v>4621</v>
      </c>
      <c r="G28627" s="9">
        <v>3128</v>
      </c>
      <c r="H28627" s="8">
        <v>25748</v>
      </c>
    </row>
    <row r="28628" spans="2:8" ht="15" customHeight="1" x14ac:dyDescent="0.4">
      <c r="B28628" t="s">
        <v>7</v>
      </c>
      <c r="C28628" t="s">
        <v>4620</v>
      </c>
      <c r="D28628" s="7">
        <f>DATE(2017,11,30)</f>
        <v>43069</v>
      </c>
      <c r="E28628" s="8">
        <f t="shared" si="487"/>
        <v>2017</v>
      </c>
      <c r="F28628" t="s">
        <v>4621</v>
      </c>
      <c r="G28628" s="9">
        <v>1380</v>
      </c>
      <c r="H28628" s="8">
        <v>25864</v>
      </c>
    </row>
    <row r="28629" spans="2:8" ht="15" customHeight="1" x14ac:dyDescent="0.4">
      <c r="B28629" t="s">
        <v>7</v>
      </c>
      <c r="C28629" t="s">
        <v>4620</v>
      </c>
      <c r="D28629" s="7">
        <f>DATE(2018,1,16)</f>
        <v>43116</v>
      </c>
      <c r="E28629" s="8">
        <f t="shared" si="487"/>
        <v>2018</v>
      </c>
      <c r="F28629" t="s">
        <v>4621</v>
      </c>
      <c r="G28629" s="9">
        <v>4844</v>
      </c>
      <c r="H28629" s="8">
        <v>26212</v>
      </c>
    </row>
    <row r="28630" spans="2:8" ht="15" customHeight="1" x14ac:dyDescent="0.4">
      <c r="B28630" t="s">
        <v>7</v>
      </c>
      <c r="C28630" t="s">
        <v>4620</v>
      </c>
      <c r="D28630" s="7">
        <f>DATE(2018,5,16)</f>
        <v>43236</v>
      </c>
      <c r="E28630" s="8">
        <f t="shared" si="487"/>
        <v>2018</v>
      </c>
      <c r="F28630" t="s">
        <v>4621</v>
      </c>
      <c r="G28630" s="9">
        <v>164.4</v>
      </c>
      <c r="H28630" s="8">
        <v>27036</v>
      </c>
    </row>
    <row r="28631" spans="2:8" ht="15" customHeight="1" x14ac:dyDescent="0.4">
      <c r="B28631" t="s">
        <v>7</v>
      </c>
      <c r="C28631" t="s">
        <v>4620</v>
      </c>
      <c r="D28631" s="7">
        <f>DATE(2018,6,5)</f>
        <v>43256</v>
      </c>
      <c r="E28631" s="8">
        <f t="shared" si="487"/>
        <v>2018</v>
      </c>
      <c r="F28631" t="s">
        <v>4621</v>
      </c>
      <c r="G28631" s="9">
        <v>2681.5</v>
      </c>
      <c r="H28631" s="8">
        <v>27162</v>
      </c>
    </row>
    <row r="28632" spans="2:8" ht="15" customHeight="1" x14ac:dyDescent="0.4">
      <c r="B28632" t="s">
        <v>7</v>
      </c>
      <c r="C28632" t="s">
        <v>4620</v>
      </c>
      <c r="D28632" s="7">
        <f>DATE(2018,10,2)</f>
        <v>43375</v>
      </c>
      <c r="E28632" s="8">
        <f t="shared" si="487"/>
        <v>2018</v>
      </c>
      <c r="F28632" t="s">
        <v>4621</v>
      </c>
      <c r="G28632" s="9">
        <v>692</v>
      </c>
      <c r="H28632" s="8">
        <v>27720</v>
      </c>
    </row>
    <row r="28633" spans="2:8" ht="15" customHeight="1" x14ac:dyDescent="0.4">
      <c r="B28633" t="s">
        <v>7</v>
      </c>
      <c r="C28633" t="s">
        <v>4620</v>
      </c>
      <c r="D28633" s="7">
        <f>DATE(2019,1,16)</f>
        <v>43481</v>
      </c>
      <c r="E28633" s="8">
        <f t="shared" si="487"/>
        <v>2019</v>
      </c>
      <c r="F28633" t="s">
        <v>4621</v>
      </c>
      <c r="G28633" s="9">
        <v>109.25</v>
      </c>
      <c r="H28633" s="8">
        <v>28180</v>
      </c>
    </row>
    <row r="28634" spans="2:8" ht="15" customHeight="1" x14ac:dyDescent="0.4">
      <c r="B28634" t="s">
        <v>7</v>
      </c>
      <c r="C28634" t="s">
        <v>4620</v>
      </c>
      <c r="D28634" s="7">
        <f>DATE(2019,1,25)</f>
        <v>43490</v>
      </c>
      <c r="E28634" s="8">
        <f t="shared" si="487"/>
        <v>2019</v>
      </c>
      <c r="F28634" t="s">
        <v>4621</v>
      </c>
      <c r="G28634" s="9">
        <v>2768</v>
      </c>
      <c r="H28634" s="8">
        <v>28299</v>
      </c>
    </row>
    <row r="28635" spans="2:8" ht="15" customHeight="1" x14ac:dyDescent="0.4">
      <c r="B28635" t="s">
        <v>7</v>
      </c>
      <c r="C28635" t="s">
        <v>4620</v>
      </c>
      <c r="D28635" s="7">
        <f>DATE(2019,2,18)</f>
        <v>43514</v>
      </c>
      <c r="E28635" s="8">
        <f t="shared" si="487"/>
        <v>2019</v>
      </c>
      <c r="F28635" t="s">
        <v>4621</v>
      </c>
      <c r="G28635" s="9">
        <v>134.32</v>
      </c>
      <c r="H28635" s="8">
        <v>28407</v>
      </c>
    </row>
    <row r="28636" spans="2:8" ht="15" customHeight="1" x14ac:dyDescent="0.4">
      <c r="B28636" t="s">
        <v>7</v>
      </c>
      <c r="C28636" t="s">
        <v>4620</v>
      </c>
      <c r="D28636" s="7">
        <f>DATE(2016,9,1)</f>
        <v>42614</v>
      </c>
      <c r="E28636" s="8">
        <f t="shared" si="487"/>
        <v>2016</v>
      </c>
      <c r="F28636" t="s">
        <v>4621</v>
      </c>
      <c r="G28636" s="9">
        <v>34425</v>
      </c>
      <c r="H28636" s="8">
        <v>23151</v>
      </c>
    </row>
    <row r="28637" spans="2:8" ht="15" customHeight="1" x14ac:dyDescent="0.4">
      <c r="B28637" t="s">
        <v>16</v>
      </c>
      <c r="C28637" t="s">
        <v>4620</v>
      </c>
      <c r="D28637" s="7">
        <f>DATE(2016,4,20)</f>
        <v>42480</v>
      </c>
      <c r="E28637" s="8">
        <f t="shared" si="487"/>
        <v>2016</v>
      </c>
      <c r="F28637" t="s">
        <v>4621</v>
      </c>
      <c r="G28637" s="9">
        <v>17480</v>
      </c>
      <c r="H28637" s="8">
        <v>21883</v>
      </c>
    </row>
    <row r="28638" spans="2:8" ht="15" customHeight="1" x14ac:dyDescent="0.4">
      <c r="B28638" s="3" t="s">
        <v>7</v>
      </c>
      <c r="C28638" s="3" t="s">
        <v>4620</v>
      </c>
      <c r="D28638" s="4">
        <f>DATE(2007,10,11)</f>
        <v>39366</v>
      </c>
      <c r="E28638" s="5">
        <f t="shared" si="487"/>
        <v>2007</v>
      </c>
      <c r="F28638" s="3" t="s">
        <v>4621</v>
      </c>
      <c r="G28638" s="6">
        <v>532.5</v>
      </c>
      <c r="H28638" s="5">
        <v>9311</v>
      </c>
    </row>
    <row r="28639" spans="2:8" ht="15" customHeight="1" x14ac:dyDescent="0.4">
      <c r="B28639" s="3" t="s">
        <v>7</v>
      </c>
      <c r="C28639" s="3" t="s">
        <v>4620</v>
      </c>
      <c r="D28639" s="4">
        <f>DATE(2007,10,15)</f>
        <v>39370</v>
      </c>
      <c r="E28639" s="5">
        <f t="shared" si="487"/>
        <v>2007</v>
      </c>
      <c r="F28639" s="3" t="s">
        <v>4621</v>
      </c>
      <c r="G28639" s="6">
        <v>605.5</v>
      </c>
      <c r="H28639" s="5">
        <v>9333</v>
      </c>
    </row>
    <row r="28640" spans="2:8" ht="15" customHeight="1" x14ac:dyDescent="0.4">
      <c r="B28640" s="3" t="s">
        <v>7</v>
      </c>
      <c r="C28640" s="3" t="s">
        <v>4620</v>
      </c>
      <c r="D28640" s="4">
        <f>DATE(2007,10,18)</f>
        <v>39373</v>
      </c>
      <c r="E28640" s="5">
        <f t="shared" si="487"/>
        <v>2007</v>
      </c>
      <c r="F28640" s="3" t="s">
        <v>4621</v>
      </c>
      <c r="G28640" s="6">
        <v>525</v>
      </c>
      <c r="H28640" s="5">
        <v>9352</v>
      </c>
    </row>
    <row r="28641" spans="2:8" ht="15" customHeight="1" x14ac:dyDescent="0.4">
      <c r="B28641" s="3" t="s">
        <v>7</v>
      </c>
      <c r="C28641" s="3" t="s">
        <v>4620</v>
      </c>
      <c r="D28641" s="4">
        <f>DATE(2007,11,13)</f>
        <v>39399</v>
      </c>
      <c r="E28641" s="5">
        <f t="shared" si="487"/>
        <v>2007</v>
      </c>
      <c r="F28641" s="3" t="s">
        <v>4621</v>
      </c>
      <c r="G28641" s="6">
        <v>1095.8800000000001</v>
      </c>
      <c r="H28641" s="5">
        <v>9470</v>
      </c>
    </row>
    <row r="28642" spans="2:8" ht="15" customHeight="1" x14ac:dyDescent="0.4">
      <c r="B28642" s="3" t="s">
        <v>7</v>
      </c>
      <c r="C28642" s="3" t="s">
        <v>4620</v>
      </c>
      <c r="D28642" s="4">
        <f>DATE(2008,3,3)</f>
        <v>39510</v>
      </c>
      <c r="E28642" s="5">
        <f t="shared" si="487"/>
        <v>2008</v>
      </c>
      <c r="F28642" s="3" t="s">
        <v>4621</v>
      </c>
      <c r="G28642" s="6">
        <v>195</v>
      </c>
      <c r="H28642" s="5">
        <v>10110</v>
      </c>
    </row>
    <row r="28643" spans="2:8" ht="15" customHeight="1" x14ac:dyDescent="0.4">
      <c r="B28643" s="3" t="s">
        <v>7</v>
      </c>
      <c r="C28643" s="3" t="s">
        <v>4620</v>
      </c>
      <c r="D28643" s="4">
        <f>DATE(2009,2,24)</f>
        <v>39868</v>
      </c>
      <c r="E28643" s="5">
        <f t="shared" si="487"/>
        <v>2009</v>
      </c>
      <c r="F28643" s="3" t="s">
        <v>4621</v>
      </c>
      <c r="G28643" s="6">
        <v>299</v>
      </c>
      <c r="H28643" s="5">
        <v>12064</v>
      </c>
    </row>
    <row r="28644" spans="2:8" ht="15" customHeight="1" x14ac:dyDescent="0.4">
      <c r="B28644" s="3" t="s">
        <v>7</v>
      </c>
      <c r="C28644" s="3" t="s">
        <v>4620</v>
      </c>
      <c r="D28644" s="4">
        <f>DATE(2009,11,16)</f>
        <v>40133</v>
      </c>
      <c r="E28644" s="5">
        <f t="shared" si="487"/>
        <v>2009</v>
      </c>
      <c r="F28644" s="3" t="s">
        <v>4621</v>
      </c>
      <c r="G28644" s="6">
        <v>692</v>
      </c>
      <c r="H28644" s="5">
        <v>13267</v>
      </c>
    </row>
    <row r="28645" spans="2:8" ht="15" customHeight="1" x14ac:dyDescent="0.4">
      <c r="B28645" s="3" t="s">
        <v>7</v>
      </c>
      <c r="C28645" s="3" t="s">
        <v>4620</v>
      </c>
      <c r="D28645" s="4">
        <f>DATE(2009,11,20)</f>
        <v>40137</v>
      </c>
      <c r="E28645" s="5">
        <f t="shared" si="487"/>
        <v>2009</v>
      </c>
      <c r="F28645" s="3" t="s">
        <v>4621</v>
      </c>
      <c r="G28645" s="6">
        <v>519</v>
      </c>
      <c r="H28645" s="5">
        <v>13281</v>
      </c>
    </row>
    <row r="28646" spans="2:8" ht="15" customHeight="1" x14ac:dyDescent="0.4">
      <c r="B28646" s="3" t="s">
        <v>7</v>
      </c>
      <c r="C28646" s="3" t="s">
        <v>4620</v>
      </c>
      <c r="D28646" s="4">
        <f>DATE(2010,9,13)</f>
        <v>40434</v>
      </c>
      <c r="E28646" s="5">
        <f t="shared" si="487"/>
        <v>2010</v>
      </c>
      <c r="F28646" s="3" t="s">
        <v>4621</v>
      </c>
      <c r="G28646" s="6">
        <v>1211</v>
      </c>
      <c r="H28646" s="5">
        <v>14502</v>
      </c>
    </row>
    <row r="28647" spans="2:8" ht="15" customHeight="1" x14ac:dyDescent="0.4">
      <c r="B28647" s="3" t="s">
        <v>7</v>
      </c>
      <c r="C28647" s="3" t="s">
        <v>4620</v>
      </c>
      <c r="D28647" s="4">
        <f>DATE(2010,9,20)</f>
        <v>40441</v>
      </c>
      <c r="E28647" s="5">
        <f t="shared" si="487"/>
        <v>2010</v>
      </c>
      <c r="F28647" s="3" t="s">
        <v>4621</v>
      </c>
      <c r="G28647" s="6">
        <v>1557</v>
      </c>
      <c r="H28647" s="5">
        <v>14531</v>
      </c>
    </row>
    <row r="28648" spans="2:8" ht="15" customHeight="1" x14ac:dyDescent="0.4">
      <c r="B28648" s="3" t="s">
        <v>7</v>
      </c>
      <c r="C28648" s="3" t="s">
        <v>4620</v>
      </c>
      <c r="D28648" s="4">
        <f>DATE(2010,9,23)</f>
        <v>40444</v>
      </c>
      <c r="E28648" s="5">
        <f t="shared" si="487"/>
        <v>2010</v>
      </c>
      <c r="F28648" s="3" t="s">
        <v>4621</v>
      </c>
      <c r="G28648" s="6">
        <v>747.5</v>
      </c>
      <c r="H28648" s="5">
        <v>14547</v>
      </c>
    </row>
    <row r="28649" spans="2:8" ht="15" customHeight="1" x14ac:dyDescent="0.4">
      <c r="B28649" s="3" t="s">
        <v>7</v>
      </c>
      <c r="C28649" s="3" t="s">
        <v>4620</v>
      </c>
      <c r="D28649" s="4">
        <f>DATE(2010,12,9)</f>
        <v>40521</v>
      </c>
      <c r="E28649" s="5">
        <f t="shared" si="487"/>
        <v>2010</v>
      </c>
      <c r="F28649" s="3" t="s">
        <v>4621</v>
      </c>
      <c r="G28649" s="6">
        <v>700.65</v>
      </c>
      <c r="H28649" s="5">
        <v>14800</v>
      </c>
    </row>
    <row r="28650" spans="2:8" ht="15" customHeight="1" x14ac:dyDescent="0.4">
      <c r="B28650" s="3" t="s">
        <v>7</v>
      </c>
      <c r="C28650" s="3" t="s">
        <v>4620</v>
      </c>
      <c r="D28650" s="4">
        <f>DATE(2011,4,29)</f>
        <v>40662</v>
      </c>
      <c r="E28650" s="5">
        <f t="shared" si="487"/>
        <v>2011</v>
      </c>
      <c r="F28650" s="3" t="s">
        <v>4621</v>
      </c>
      <c r="G28650" s="6">
        <v>747.5</v>
      </c>
      <c r="H28650" s="5">
        <v>15506</v>
      </c>
    </row>
    <row r="28651" spans="2:8" ht="15" customHeight="1" x14ac:dyDescent="0.4">
      <c r="B28651" s="3" t="s">
        <v>7</v>
      </c>
      <c r="C28651" s="3" t="s">
        <v>4620</v>
      </c>
      <c r="D28651" s="4">
        <f>DATE(2011,5,3)</f>
        <v>40666</v>
      </c>
      <c r="E28651" s="5">
        <f t="shared" si="487"/>
        <v>2011</v>
      </c>
      <c r="F28651" s="3" t="s">
        <v>4621</v>
      </c>
      <c r="G28651" s="6">
        <v>448.5</v>
      </c>
      <c r="H28651" s="5">
        <v>15518</v>
      </c>
    </row>
    <row r="28652" spans="2:8" ht="15" customHeight="1" x14ac:dyDescent="0.4">
      <c r="B28652" s="3" t="s">
        <v>7</v>
      </c>
      <c r="C28652" s="3" t="s">
        <v>4620</v>
      </c>
      <c r="D28652" s="4">
        <f>DATE(2012,9,26)</f>
        <v>41178</v>
      </c>
      <c r="E28652" s="5">
        <f t="shared" si="487"/>
        <v>2012</v>
      </c>
      <c r="F28652" s="3" t="s">
        <v>4621</v>
      </c>
      <c r="G28652" s="6">
        <v>224.25</v>
      </c>
      <c r="H28652" s="5">
        <v>17644</v>
      </c>
    </row>
    <row r="28653" spans="2:8" ht="15" customHeight="1" x14ac:dyDescent="0.4">
      <c r="B28653" s="3" t="s">
        <v>7</v>
      </c>
      <c r="C28653" s="3" t="s">
        <v>4620</v>
      </c>
      <c r="D28653" s="4">
        <f>DATE(2013,1,23)</f>
        <v>41297</v>
      </c>
      <c r="E28653" s="5">
        <f t="shared" si="487"/>
        <v>2013</v>
      </c>
      <c r="F28653" s="3" t="s">
        <v>4621</v>
      </c>
      <c r="G28653" s="6">
        <v>2190.1799999999998</v>
      </c>
      <c r="H28653" s="5">
        <v>18030</v>
      </c>
    </row>
    <row r="28654" spans="2:8" ht="15" customHeight="1" x14ac:dyDescent="0.4">
      <c r="B28654" s="3" t="s">
        <v>7</v>
      </c>
      <c r="C28654" s="3" t="s">
        <v>4620</v>
      </c>
      <c r="D28654" s="4">
        <f>DATE(2013,4,1)</f>
        <v>41365</v>
      </c>
      <c r="E28654" s="5">
        <f t="shared" si="487"/>
        <v>2013</v>
      </c>
      <c r="F28654" s="3" t="s">
        <v>4621</v>
      </c>
      <c r="G28654" s="6">
        <v>157.6</v>
      </c>
      <c r="H28654" s="5">
        <v>18386</v>
      </c>
    </row>
    <row r="28655" spans="2:8" ht="15" customHeight="1" x14ac:dyDescent="0.4">
      <c r="B28655" s="3" t="s">
        <v>7</v>
      </c>
      <c r="C28655" s="3" t="s">
        <v>4620</v>
      </c>
      <c r="D28655" s="4">
        <f>DATE(2013,11,21)</f>
        <v>41599</v>
      </c>
      <c r="E28655" s="5">
        <f t="shared" si="487"/>
        <v>2013</v>
      </c>
      <c r="F28655" s="3" t="s">
        <v>4621</v>
      </c>
      <c r="G28655" s="6">
        <v>1293.5</v>
      </c>
      <c r="H28655" s="5">
        <v>19241</v>
      </c>
    </row>
    <row r="28656" spans="2:8" ht="15" customHeight="1" x14ac:dyDescent="0.4">
      <c r="B28656" s="3" t="s">
        <v>7</v>
      </c>
      <c r="C28656" s="3" t="s">
        <v>4620</v>
      </c>
      <c r="D28656" s="4">
        <f>DATE(2014,1,14)</f>
        <v>41653</v>
      </c>
      <c r="E28656" s="5">
        <f t="shared" si="487"/>
        <v>2014</v>
      </c>
      <c r="F28656" s="3" t="s">
        <v>4621</v>
      </c>
      <c r="G28656" s="6">
        <v>2162.5</v>
      </c>
      <c r="H28656" s="5">
        <v>19356</v>
      </c>
    </row>
    <row r="28657" spans="2:8" ht="15" customHeight="1" x14ac:dyDescent="0.4">
      <c r="B28657" s="3" t="s">
        <v>7</v>
      </c>
      <c r="C28657" s="3" t="s">
        <v>4620</v>
      </c>
      <c r="D28657" s="4">
        <f>DATE(2014,1,27)</f>
        <v>41666</v>
      </c>
      <c r="E28657" s="5">
        <f t="shared" si="487"/>
        <v>2014</v>
      </c>
      <c r="F28657" s="3" t="s">
        <v>4621</v>
      </c>
      <c r="G28657" s="6">
        <v>2595</v>
      </c>
      <c r="H28657" s="5">
        <v>19403</v>
      </c>
    </row>
    <row r="28658" spans="2:8" ht="15" customHeight="1" x14ac:dyDescent="0.4">
      <c r="B28658" s="3" t="s">
        <v>7</v>
      </c>
      <c r="C28658" s="3" t="s">
        <v>4623</v>
      </c>
      <c r="D28658" s="4">
        <f>DATE(2004,4,21)</f>
        <v>38098</v>
      </c>
      <c r="E28658" s="5">
        <f t="shared" si="487"/>
        <v>2004</v>
      </c>
      <c r="F28658" s="3" t="s">
        <v>4624</v>
      </c>
      <c r="G28658" s="6">
        <v>1719.33</v>
      </c>
      <c r="H28658" s="5">
        <v>622</v>
      </c>
    </row>
    <row r="28659" spans="2:8" ht="15" customHeight="1" x14ac:dyDescent="0.4">
      <c r="B28659" s="3" t="s">
        <v>7</v>
      </c>
      <c r="C28659" s="3" t="s">
        <v>4625</v>
      </c>
      <c r="D28659" s="4">
        <f>DATE(2011,9,28)</f>
        <v>40814</v>
      </c>
      <c r="E28659" s="5">
        <f t="shared" si="487"/>
        <v>2011</v>
      </c>
      <c r="F28659" s="3" t="s">
        <v>4626</v>
      </c>
      <c r="G28659" s="6">
        <v>448.5</v>
      </c>
      <c r="H28659" s="5">
        <v>16029</v>
      </c>
    </row>
    <row r="28660" spans="2:8" ht="15" customHeight="1" x14ac:dyDescent="0.4">
      <c r="B28660" s="3" t="s">
        <v>7</v>
      </c>
      <c r="C28660" s="3" t="s">
        <v>4625</v>
      </c>
      <c r="D28660" s="4">
        <f>DATE(2011,11,14)</f>
        <v>40861</v>
      </c>
      <c r="E28660" s="5">
        <f t="shared" si="487"/>
        <v>2011</v>
      </c>
      <c r="F28660" s="3" t="s">
        <v>4626</v>
      </c>
      <c r="G28660" s="6">
        <v>1124.5</v>
      </c>
      <c r="H28660" s="5">
        <v>16204</v>
      </c>
    </row>
    <row r="28661" spans="2:8" ht="15" customHeight="1" x14ac:dyDescent="0.4">
      <c r="B28661" s="3" t="s">
        <v>7</v>
      </c>
      <c r="C28661" s="3" t="s">
        <v>4625</v>
      </c>
      <c r="D28661" s="4">
        <f>DATE(2013,9,25)</f>
        <v>41542</v>
      </c>
      <c r="E28661" s="5">
        <f t="shared" si="487"/>
        <v>2013</v>
      </c>
      <c r="F28661" s="3" t="s">
        <v>4626</v>
      </c>
      <c r="G28661" s="6">
        <v>3633</v>
      </c>
      <c r="H28661" s="5">
        <v>19008</v>
      </c>
    </row>
    <row r="28662" spans="2:8" ht="15" customHeight="1" x14ac:dyDescent="0.4">
      <c r="B28662" s="3" t="s">
        <v>7</v>
      </c>
      <c r="C28662" s="3" t="s">
        <v>4625</v>
      </c>
      <c r="D28662" s="4">
        <f>DATE(2013,10,9)</f>
        <v>41556</v>
      </c>
      <c r="E28662" s="5">
        <f t="shared" si="487"/>
        <v>2013</v>
      </c>
      <c r="F28662" s="3" t="s">
        <v>4626</v>
      </c>
      <c r="G28662" s="6">
        <v>778.5</v>
      </c>
      <c r="H28662" s="5">
        <v>19058</v>
      </c>
    </row>
    <row r="28663" spans="2:8" ht="15" customHeight="1" x14ac:dyDescent="0.4">
      <c r="B28663" s="3" t="s">
        <v>7</v>
      </c>
      <c r="C28663" s="3" t="s">
        <v>4625</v>
      </c>
      <c r="D28663" s="4">
        <f>DATE(2014,2,13)</f>
        <v>41683</v>
      </c>
      <c r="E28663" s="5">
        <f t="shared" si="487"/>
        <v>2014</v>
      </c>
      <c r="F28663" s="3" t="s">
        <v>4626</v>
      </c>
      <c r="G28663" s="6">
        <v>2595</v>
      </c>
      <c r="H28663" s="5">
        <v>19498</v>
      </c>
    </row>
    <row r="28664" spans="2:8" ht="15" customHeight="1" x14ac:dyDescent="0.4">
      <c r="B28664" t="s">
        <v>7</v>
      </c>
      <c r="C28664" t="s">
        <v>4627</v>
      </c>
      <c r="D28664" s="7">
        <f>DATE(2016,3,23)</f>
        <v>42452</v>
      </c>
      <c r="E28664" s="8">
        <f t="shared" si="487"/>
        <v>2016</v>
      </c>
      <c r="F28664" t="s">
        <v>4628</v>
      </c>
      <c r="G28664" s="9">
        <v>770</v>
      </c>
      <c r="H28664" s="8">
        <v>22439</v>
      </c>
    </row>
    <row r="28665" spans="2:8" ht="15" customHeight="1" x14ac:dyDescent="0.4">
      <c r="B28665" t="s">
        <v>7</v>
      </c>
      <c r="C28665" t="s">
        <v>4627</v>
      </c>
      <c r="D28665" s="7">
        <f>DATE(2017,2,10)</f>
        <v>42776</v>
      </c>
      <c r="E28665" s="8">
        <f t="shared" si="487"/>
        <v>2017</v>
      </c>
      <c r="F28665" t="s">
        <v>4628</v>
      </c>
      <c r="G28665" s="9">
        <v>3900</v>
      </c>
      <c r="H28665" s="8">
        <v>24200</v>
      </c>
    </row>
    <row r="28666" spans="2:8" ht="15" customHeight="1" x14ac:dyDescent="0.4">
      <c r="B28666" t="s">
        <v>7</v>
      </c>
      <c r="C28666" t="s">
        <v>4627</v>
      </c>
      <c r="D28666" s="7">
        <f>DATE(2018,12,7)</f>
        <v>43441</v>
      </c>
      <c r="E28666" s="8">
        <f t="shared" si="487"/>
        <v>2018</v>
      </c>
      <c r="F28666" t="s">
        <v>4628</v>
      </c>
      <c r="G28666" s="9">
        <v>880</v>
      </c>
      <c r="H28666" s="8">
        <v>28013</v>
      </c>
    </row>
    <row r="28667" spans="2:8" ht="15" customHeight="1" x14ac:dyDescent="0.4">
      <c r="B28667" t="s">
        <v>7</v>
      </c>
      <c r="C28667" t="s">
        <v>4629</v>
      </c>
      <c r="D28667" s="7">
        <f>DATE(2016,6,1)</f>
        <v>42522</v>
      </c>
      <c r="E28667" s="8">
        <f t="shared" si="487"/>
        <v>2016</v>
      </c>
      <c r="F28667" t="s">
        <v>4630</v>
      </c>
      <c r="G28667" s="9">
        <v>11227.14</v>
      </c>
      <c r="H28667" s="8">
        <v>22904</v>
      </c>
    </row>
    <row r="28668" spans="2:8" ht="15" customHeight="1" x14ac:dyDescent="0.4">
      <c r="B28668" t="s">
        <v>7</v>
      </c>
      <c r="C28668" t="s">
        <v>4629</v>
      </c>
      <c r="D28668" s="7">
        <f>DATE(2010,4,19)</f>
        <v>40287</v>
      </c>
      <c r="E28668" s="8">
        <f t="shared" si="487"/>
        <v>2010</v>
      </c>
      <c r="F28668" t="s">
        <v>4630</v>
      </c>
      <c r="G28668" s="9">
        <v>6954.7</v>
      </c>
      <c r="H28668" s="8">
        <v>9712</v>
      </c>
    </row>
    <row r="28669" spans="2:8" ht="15" customHeight="1" x14ac:dyDescent="0.4">
      <c r="B28669" t="s">
        <v>7</v>
      </c>
      <c r="C28669" t="s">
        <v>4629</v>
      </c>
      <c r="D28669" s="7">
        <f>DATE(2010,5,3)</f>
        <v>40301</v>
      </c>
      <c r="E28669" s="8">
        <f t="shared" si="487"/>
        <v>2010</v>
      </c>
      <c r="F28669" t="s">
        <v>4630</v>
      </c>
      <c r="G28669" s="9">
        <v>4703.8900000000003</v>
      </c>
      <c r="H28669" s="8">
        <v>9739</v>
      </c>
    </row>
    <row r="28670" spans="2:8" ht="15" customHeight="1" x14ac:dyDescent="0.4">
      <c r="B28670" t="s">
        <v>7</v>
      </c>
      <c r="C28670" t="s">
        <v>4629</v>
      </c>
      <c r="D28670" s="7">
        <f>DATE(2010,6,4)</f>
        <v>40333</v>
      </c>
      <c r="E28670" s="8">
        <f t="shared" si="487"/>
        <v>2010</v>
      </c>
      <c r="F28670" t="s">
        <v>4630</v>
      </c>
      <c r="G28670" s="9">
        <v>6148.13</v>
      </c>
      <c r="H28670" s="8">
        <v>9874</v>
      </c>
    </row>
    <row r="28671" spans="2:8" ht="15" customHeight="1" x14ac:dyDescent="0.4">
      <c r="B28671" t="s">
        <v>7</v>
      </c>
      <c r="C28671" t="s">
        <v>4629</v>
      </c>
      <c r="D28671" s="7">
        <f>DATE(2011,1,12)</f>
        <v>40555</v>
      </c>
      <c r="E28671" s="8">
        <f t="shared" si="487"/>
        <v>2011</v>
      </c>
      <c r="F28671" t="s">
        <v>4630</v>
      </c>
      <c r="G28671" s="9">
        <v>5211.83</v>
      </c>
      <c r="H28671" s="8">
        <v>10324</v>
      </c>
    </row>
    <row r="28672" spans="2:8" ht="15" customHeight="1" x14ac:dyDescent="0.4">
      <c r="B28672" t="s">
        <v>7</v>
      </c>
      <c r="C28672" t="s">
        <v>4629</v>
      </c>
      <c r="D28672" s="7">
        <f>DATE(2011,6,22)</f>
        <v>40716</v>
      </c>
      <c r="E28672" s="8">
        <f t="shared" si="487"/>
        <v>2011</v>
      </c>
      <c r="F28672" t="s">
        <v>4630</v>
      </c>
      <c r="G28672" s="9">
        <v>6754.93</v>
      </c>
      <c r="H28672" s="8">
        <v>10805</v>
      </c>
    </row>
    <row r="28673" spans="2:8" ht="15" customHeight="1" x14ac:dyDescent="0.4">
      <c r="B28673" t="s">
        <v>7</v>
      </c>
      <c r="C28673" t="s">
        <v>4629</v>
      </c>
      <c r="D28673" s="7">
        <f>DATE(2011,7,21)</f>
        <v>40745</v>
      </c>
      <c r="E28673" s="8">
        <f t="shared" si="487"/>
        <v>2011</v>
      </c>
      <c r="F28673" t="s">
        <v>4630</v>
      </c>
      <c r="G28673" s="9">
        <v>5453.44</v>
      </c>
      <c r="H28673" s="8">
        <v>10868</v>
      </c>
    </row>
    <row r="28674" spans="2:8" ht="15" customHeight="1" x14ac:dyDescent="0.4">
      <c r="B28674" t="s">
        <v>7</v>
      </c>
      <c r="C28674" t="s">
        <v>4629</v>
      </c>
      <c r="D28674" s="7">
        <f>DATE(2011,7,27)</f>
        <v>40751</v>
      </c>
      <c r="E28674" s="8">
        <f t="shared" si="487"/>
        <v>2011</v>
      </c>
      <c r="F28674" t="s">
        <v>4630</v>
      </c>
      <c r="G28674" s="9">
        <v>9598.66</v>
      </c>
      <c r="H28674" s="8">
        <v>10902</v>
      </c>
    </row>
    <row r="28675" spans="2:8" ht="15" customHeight="1" x14ac:dyDescent="0.4">
      <c r="B28675" t="s">
        <v>7</v>
      </c>
      <c r="C28675" t="s">
        <v>4631</v>
      </c>
      <c r="D28675" s="7">
        <f>DATE(2015,4,13)</f>
        <v>42107</v>
      </c>
      <c r="E28675" s="8">
        <f t="shared" ref="E28675:E28738" si="488">YEAR(D28675)</f>
        <v>2015</v>
      </c>
      <c r="F28675" t="s">
        <v>4632</v>
      </c>
      <c r="G28675" s="9">
        <v>3885.61</v>
      </c>
      <c r="H28675" s="8">
        <v>20320</v>
      </c>
    </row>
    <row r="28676" spans="2:8" ht="15" customHeight="1" x14ac:dyDescent="0.4">
      <c r="B28676" t="s">
        <v>7</v>
      </c>
      <c r="C28676" t="s">
        <v>4633</v>
      </c>
      <c r="D28676" s="7">
        <f>DATE(2015,2,23)</f>
        <v>42058</v>
      </c>
      <c r="E28676" s="8">
        <f t="shared" si="488"/>
        <v>2015</v>
      </c>
      <c r="F28676" t="s">
        <v>4634</v>
      </c>
      <c r="G28676" s="9">
        <v>16872.89</v>
      </c>
      <c r="H28676" s="8">
        <v>151</v>
      </c>
    </row>
    <row r="28677" spans="2:8" ht="15" customHeight="1" x14ac:dyDescent="0.4">
      <c r="B28677" t="s">
        <v>7</v>
      </c>
      <c r="C28677" t="s">
        <v>4633</v>
      </c>
      <c r="D28677" s="7">
        <f>DATE(2015,2,24)</f>
        <v>42059</v>
      </c>
      <c r="E28677" s="8">
        <f t="shared" si="488"/>
        <v>2015</v>
      </c>
      <c r="F28677" t="s">
        <v>4634</v>
      </c>
      <c r="G28677" s="9">
        <v>17838.810000000001</v>
      </c>
      <c r="H28677" s="8">
        <v>153</v>
      </c>
    </row>
    <row r="28678" spans="2:8" ht="15" customHeight="1" x14ac:dyDescent="0.4">
      <c r="B28678" t="s">
        <v>7</v>
      </c>
      <c r="C28678" t="s">
        <v>4633</v>
      </c>
      <c r="D28678" s="7">
        <f>DATE(2015,4,16)</f>
        <v>42110</v>
      </c>
      <c r="E28678" s="8">
        <f t="shared" si="488"/>
        <v>2015</v>
      </c>
      <c r="F28678" t="s">
        <v>4634</v>
      </c>
      <c r="G28678" s="9">
        <v>22203.84</v>
      </c>
      <c r="H28678" s="8">
        <v>150</v>
      </c>
    </row>
    <row r="28679" spans="2:8" ht="15" customHeight="1" x14ac:dyDescent="0.4">
      <c r="B28679" t="s">
        <v>7</v>
      </c>
      <c r="C28679" t="s">
        <v>4633</v>
      </c>
      <c r="D28679" s="7">
        <f>DATE(2015,4,10)</f>
        <v>42104</v>
      </c>
      <c r="E28679" s="8">
        <f t="shared" si="488"/>
        <v>2015</v>
      </c>
      <c r="F28679" t="s">
        <v>4634</v>
      </c>
      <c r="G28679" s="9">
        <v>50813.23</v>
      </c>
      <c r="H28679" s="8">
        <v>154</v>
      </c>
    </row>
    <row r="28680" spans="2:8" ht="15" customHeight="1" x14ac:dyDescent="0.4">
      <c r="B28680" t="s">
        <v>7</v>
      </c>
      <c r="C28680" t="s">
        <v>4633</v>
      </c>
      <c r="D28680" s="7">
        <f>DATE(2015,12,7)</f>
        <v>42345</v>
      </c>
      <c r="E28680" s="8">
        <f t="shared" si="488"/>
        <v>2015</v>
      </c>
      <c r="F28680" t="s">
        <v>4634</v>
      </c>
      <c r="G28680" s="9">
        <v>19648.599999999999</v>
      </c>
      <c r="H28680" s="8">
        <v>21255</v>
      </c>
    </row>
    <row r="28681" spans="2:8" ht="15" customHeight="1" x14ac:dyDescent="0.4">
      <c r="B28681" t="s">
        <v>7</v>
      </c>
      <c r="C28681" t="s">
        <v>4633</v>
      </c>
      <c r="D28681" s="7">
        <f>DATE(2016,2,4)</f>
        <v>42404</v>
      </c>
      <c r="E28681" s="8">
        <f t="shared" si="488"/>
        <v>2016</v>
      </c>
      <c r="F28681" t="s">
        <v>4634</v>
      </c>
      <c r="G28681" s="9">
        <v>16396.53</v>
      </c>
      <c r="H28681" s="8">
        <v>21317</v>
      </c>
    </row>
    <row r="28682" spans="2:8" ht="15" customHeight="1" x14ac:dyDescent="0.4">
      <c r="B28682" t="s">
        <v>7</v>
      </c>
      <c r="C28682" t="s">
        <v>4633</v>
      </c>
      <c r="D28682" s="7">
        <f>DATE(2016,2,24)</f>
        <v>42424</v>
      </c>
      <c r="E28682" s="8">
        <f t="shared" si="488"/>
        <v>2016</v>
      </c>
      <c r="F28682" t="s">
        <v>4634</v>
      </c>
      <c r="G28682" s="9">
        <v>38644.19</v>
      </c>
      <c r="H28682" s="8">
        <v>21328</v>
      </c>
    </row>
    <row r="28683" spans="2:8" ht="15" customHeight="1" x14ac:dyDescent="0.4">
      <c r="B28683" t="s">
        <v>7</v>
      </c>
      <c r="C28683" t="s">
        <v>4633</v>
      </c>
      <c r="D28683" s="7">
        <f>DATE(2016,3,4)</f>
        <v>42433</v>
      </c>
      <c r="E28683" s="8">
        <f t="shared" si="488"/>
        <v>2016</v>
      </c>
      <c r="F28683" t="s">
        <v>4634</v>
      </c>
      <c r="G28683" s="9">
        <v>17022.89</v>
      </c>
      <c r="H28683" s="8">
        <v>21316</v>
      </c>
    </row>
    <row r="28684" spans="2:8" ht="15" customHeight="1" x14ac:dyDescent="0.4">
      <c r="B28684" t="s">
        <v>7</v>
      </c>
      <c r="C28684" t="s">
        <v>4633</v>
      </c>
      <c r="D28684" s="7">
        <f>DATE(2016,3,9)</f>
        <v>42438</v>
      </c>
      <c r="E28684" s="8">
        <f t="shared" si="488"/>
        <v>2016</v>
      </c>
      <c r="F28684" t="s">
        <v>4634</v>
      </c>
      <c r="G28684" s="9">
        <v>14179.03</v>
      </c>
      <c r="H28684" s="8">
        <v>21318</v>
      </c>
    </row>
    <row r="28685" spans="2:8" ht="15" customHeight="1" x14ac:dyDescent="0.4">
      <c r="B28685" t="s">
        <v>7</v>
      </c>
      <c r="C28685" t="s">
        <v>4633</v>
      </c>
      <c r="D28685" s="7">
        <f>DATE(2016,12,7)</f>
        <v>42711</v>
      </c>
      <c r="E28685" s="8">
        <f t="shared" si="488"/>
        <v>2016</v>
      </c>
      <c r="F28685" t="s">
        <v>4634</v>
      </c>
      <c r="G28685" s="9">
        <v>17620</v>
      </c>
      <c r="H28685" s="8">
        <v>22493</v>
      </c>
    </row>
    <row r="28686" spans="2:8" ht="15" customHeight="1" x14ac:dyDescent="0.4">
      <c r="B28686" t="s">
        <v>7</v>
      </c>
      <c r="C28686" t="s">
        <v>4633</v>
      </c>
      <c r="D28686" s="7">
        <f>DATE(2017,3,10)</f>
        <v>42804</v>
      </c>
      <c r="E28686" s="8">
        <f t="shared" si="488"/>
        <v>2017</v>
      </c>
      <c r="F28686" t="s">
        <v>4634</v>
      </c>
      <c r="G28686" s="9">
        <v>23776.97</v>
      </c>
      <c r="H28686" s="8">
        <v>23817</v>
      </c>
    </row>
    <row r="28687" spans="2:8" ht="15" customHeight="1" x14ac:dyDescent="0.4">
      <c r="B28687" t="s">
        <v>7</v>
      </c>
      <c r="C28687" t="s">
        <v>4633</v>
      </c>
      <c r="D28687" s="7">
        <f>DATE(2017,3,10)</f>
        <v>42804</v>
      </c>
      <c r="E28687" s="8">
        <f t="shared" si="488"/>
        <v>2017</v>
      </c>
      <c r="F28687" t="s">
        <v>4634</v>
      </c>
      <c r="G28687" s="9">
        <v>34332.370000000003</v>
      </c>
      <c r="H28687" s="8">
        <v>23818</v>
      </c>
    </row>
    <row r="28688" spans="2:8" ht="15" customHeight="1" x14ac:dyDescent="0.4">
      <c r="B28688" t="s">
        <v>7</v>
      </c>
      <c r="C28688" t="s">
        <v>4633</v>
      </c>
      <c r="D28688" s="7">
        <f>DATE(2017,3,23)</f>
        <v>42817</v>
      </c>
      <c r="E28688" s="8">
        <f t="shared" si="488"/>
        <v>2017</v>
      </c>
      <c r="F28688" t="s">
        <v>4634</v>
      </c>
      <c r="G28688" s="9">
        <v>17300</v>
      </c>
      <c r="H28688" s="8">
        <v>23820</v>
      </c>
    </row>
    <row r="28689" spans="2:8" ht="15" customHeight="1" x14ac:dyDescent="0.4">
      <c r="B28689" t="s">
        <v>7</v>
      </c>
      <c r="C28689" t="s">
        <v>4633</v>
      </c>
      <c r="D28689" s="7">
        <f>DATE(2017,4,17)</f>
        <v>42842</v>
      </c>
      <c r="E28689" s="8">
        <f t="shared" si="488"/>
        <v>2017</v>
      </c>
      <c r="F28689" t="s">
        <v>4634</v>
      </c>
      <c r="G28689" s="9">
        <v>16075</v>
      </c>
      <c r="H28689" s="8">
        <v>23819</v>
      </c>
    </row>
    <row r="28690" spans="2:8" ht="15" customHeight="1" x14ac:dyDescent="0.4">
      <c r="B28690" t="s">
        <v>7</v>
      </c>
      <c r="C28690" t="s">
        <v>4633</v>
      </c>
      <c r="D28690" s="7">
        <f>DATE(2017,11,13)</f>
        <v>43052</v>
      </c>
      <c r="E28690" s="8">
        <f t="shared" si="488"/>
        <v>2017</v>
      </c>
      <c r="F28690" t="s">
        <v>4634</v>
      </c>
      <c r="G28690" s="9">
        <v>18450</v>
      </c>
      <c r="H28690" s="8">
        <v>25555</v>
      </c>
    </row>
    <row r="28691" spans="2:8" ht="15" customHeight="1" x14ac:dyDescent="0.4">
      <c r="B28691" t="s">
        <v>7</v>
      </c>
      <c r="C28691" t="s">
        <v>4633</v>
      </c>
      <c r="D28691" s="7">
        <f>DATE(2018,1,12)</f>
        <v>43112</v>
      </c>
      <c r="E28691" s="8">
        <f t="shared" si="488"/>
        <v>2018</v>
      </c>
      <c r="F28691" t="s">
        <v>4634</v>
      </c>
      <c r="G28691" s="9">
        <v>19500</v>
      </c>
      <c r="H28691" s="8">
        <v>26179</v>
      </c>
    </row>
    <row r="28692" spans="2:8" ht="15" customHeight="1" x14ac:dyDescent="0.4">
      <c r="B28692" t="s">
        <v>7</v>
      </c>
      <c r="C28692" t="s">
        <v>4633</v>
      </c>
      <c r="D28692" s="7">
        <f>DATE(2018,2,14)</f>
        <v>43145</v>
      </c>
      <c r="E28692" s="8">
        <f t="shared" si="488"/>
        <v>2018</v>
      </c>
      <c r="F28692" t="s">
        <v>4634</v>
      </c>
      <c r="G28692" s="9">
        <v>26519.83</v>
      </c>
      <c r="H28692" s="8">
        <v>26182</v>
      </c>
    </row>
    <row r="28693" spans="2:8" ht="15" customHeight="1" x14ac:dyDescent="0.4">
      <c r="B28693" t="s">
        <v>7</v>
      </c>
      <c r="C28693" t="s">
        <v>4633</v>
      </c>
      <c r="D28693" s="7">
        <f>DATE(2018,2,14)</f>
        <v>43145</v>
      </c>
      <c r="E28693" s="8">
        <f t="shared" si="488"/>
        <v>2018</v>
      </c>
      <c r="F28693" t="s">
        <v>4634</v>
      </c>
      <c r="G28693" s="9">
        <v>16500</v>
      </c>
      <c r="H28693" s="8">
        <v>26299</v>
      </c>
    </row>
    <row r="28694" spans="2:8" ht="15" customHeight="1" x14ac:dyDescent="0.4">
      <c r="B28694" t="s">
        <v>7</v>
      </c>
      <c r="C28694" t="s">
        <v>4633</v>
      </c>
      <c r="D28694" s="7">
        <f>DATE(2018,3,30)</f>
        <v>43189</v>
      </c>
      <c r="E28694" s="8">
        <f t="shared" si="488"/>
        <v>2018</v>
      </c>
      <c r="F28694" t="s">
        <v>4634</v>
      </c>
      <c r="G28694" s="9">
        <v>13500</v>
      </c>
      <c r="H28694" s="8">
        <v>26392</v>
      </c>
    </row>
    <row r="28695" spans="2:8" ht="15" customHeight="1" x14ac:dyDescent="0.4">
      <c r="B28695" t="s">
        <v>7</v>
      </c>
      <c r="C28695" t="s">
        <v>4633</v>
      </c>
      <c r="D28695" s="7">
        <f>DATE(2018,10,31)</f>
        <v>43404</v>
      </c>
      <c r="E28695" s="8">
        <f t="shared" si="488"/>
        <v>2018</v>
      </c>
      <c r="F28695" t="s">
        <v>4634</v>
      </c>
      <c r="G28695" s="9">
        <v>16722</v>
      </c>
      <c r="H28695" s="8">
        <v>27432</v>
      </c>
    </row>
    <row r="28696" spans="2:8" ht="15" customHeight="1" x14ac:dyDescent="0.4">
      <c r="B28696" t="s">
        <v>7</v>
      </c>
      <c r="C28696" t="s">
        <v>4633</v>
      </c>
      <c r="D28696" s="7">
        <f>DATE(2019,1,23)</f>
        <v>43488</v>
      </c>
      <c r="E28696" s="8">
        <f t="shared" si="488"/>
        <v>2019</v>
      </c>
      <c r="F28696" t="s">
        <v>4634</v>
      </c>
      <c r="G28696" s="9">
        <v>16246</v>
      </c>
      <c r="H28696" s="8">
        <v>27654</v>
      </c>
    </row>
    <row r="28697" spans="2:8" ht="15" customHeight="1" x14ac:dyDescent="0.4">
      <c r="B28697" t="s">
        <v>7</v>
      </c>
      <c r="C28697" t="s">
        <v>4633</v>
      </c>
      <c r="D28697" s="7">
        <f>DATE(2019,2,26)</f>
        <v>43522</v>
      </c>
      <c r="E28697" s="8">
        <f t="shared" si="488"/>
        <v>2019</v>
      </c>
      <c r="F28697" t="s">
        <v>4634</v>
      </c>
      <c r="G28697" s="9">
        <v>27546.74</v>
      </c>
      <c r="H28697" s="8">
        <v>27910</v>
      </c>
    </row>
    <row r="28698" spans="2:8" ht="15" customHeight="1" x14ac:dyDescent="0.4">
      <c r="B28698" t="s">
        <v>7</v>
      </c>
      <c r="C28698" t="s">
        <v>4633</v>
      </c>
      <c r="D28698" s="7">
        <f>DATE(2019,2,26)</f>
        <v>43522</v>
      </c>
      <c r="E28698" s="8">
        <f t="shared" si="488"/>
        <v>2019</v>
      </c>
      <c r="F28698" t="s">
        <v>4634</v>
      </c>
      <c r="G28698" s="9">
        <v>18000</v>
      </c>
      <c r="H28698" s="8">
        <v>27912</v>
      </c>
    </row>
    <row r="28699" spans="2:8" ht="15" customHeight="1" x14ac:dyDescent="0.4">
      <c r="B28699" t="s">
        <v>7</v>
      </c>
      <c r="C28699" t="s">
        <v>4633</v>
      </c>
      <c r="D28699" s="7">
        <f>DATE(2019,2,25)</f>
        <v>43521</v>
      </c>
      <c r="E28699" s="8">
        <f t="shared" si="488"/>
        <v>2019</v>
      </c>
      <c r="F28699" t="s">
        <v>4634</v>
      </c>
      <c r="G28699" s="9">
        <v>14000</v>
      </c>
      <c r="H28699" s="8">
        <v>27919</v>
      </c>
    </row>
    <row r="28700" spans="2:8" ht="15" customHeight="1" x14ac:dyDescent="0.4">
      <c r="B28700" t="s">
        <v>7</v>
      </c>
      <c r="C28700" t="s">
        <v>4633</v>
      </c>
      <c r="D28700" s="7">
        <f>DATE(2017,8,10)</f>
        <v>42957</v>
      </c>
      <c r="E28700" s="8">
        <f t="shared" si="488"/>
        <v>2017</v>
      </c>
      <c r="F28700" t="s">
        <v>4634</v>
      </c>
      <c r="G28700" s="9">
        <v>6489.94</v>
      </c>
      <c r="H28700" s="8">
        <v>25337</v>
      </c>
    </row>
    <row r="28701" spans="2:8" ht="15" customHeight="1" x14ac:dyDescent="0.4">
      <c r="B28701" t="s">
        <v>7</v>
      </c>
      <c r="C28701" t="s">
        <v>4633</v>
      </c>
      <c r="D28701" s="7">
        <f>DATE(2018,6,15)</f>
        <v>43266</v>
      </c>
      <c r="E28701" s="8">
        <f t="shared" si="488"/>
        <v>2018</v>
      </c>
      <c r="F28701" t="s">
        <v>4634</v>
      </c>
      <c r="G28701" s="9">
        <v>13968.19</v>
      </c>
      <c r="H28701" s="8">
        <v>27206</v>
      </c>
    </row>
    <row r="28702" spans="2:8" ht="15" customHeight="1" x14ac:dyDescent="0.4">
      <c r="B28702" t="s">
        <v>7</v>
      </c>
      <c r="C28702" t="s">
        <v>4633</v>
      </c>
      <c r="D28702" s="7">
        <f>DATE(2004,10,30)</f>
        <v>38290</v>
      </c>
      <c r="E28702" s="8">
        <f t="shared" si="488"/>
        <v>2004</v>
      </c>
      <c r="F28702" t="s">
        <v>4634</v>
      </c>
      <c r="G28702" s="9">
        <v>2500</v>
      </c>
      <c r="H28702" s="8">
        <v>2332</v>
      </c>
    </row>
    <row r="28703" spans="2:8" ht="15" customHeight="1" x14ac:dyDescent="0.4">
      <c r="B28703" t="s">
        <v>7</v>
      </c>
      <c r="C28703" t="s">
        <v>4633</v>
      </c>
      <c r="D28703" s="7">
        <f>DATE(2005,2,28)</f>
        <v>38411</v>
      </c>
      <c r="E28703" s="8">
        <f t="shared" si="488"/>
        <v>2005</v>
      </c>
      <c r="F28703" t="s">
        <v>4634</v>
      </c>
      <c r="G28703" s="9">
        <v>4379.8</v>
      </c>
      <c r="H28703" s="8">
        <v>2767</v>
      </c>
    </row>
    <row r="28704" spans="2:8" ht="15" customHeight="1" x14ac:dyDescent="0.4">
      <c r="B28704" t="s">
        <v>7</v>
      </c>
      <c r="C28704" t="s">
        <v>4633</v>
      </c>
      <c r="D28704" s="7">
        <f>DATE(2005,4,23)</f>
        <v>38465</v>
      </c>
      <c r="E28704" s="8">
        <f t="shared" si="488"/>
        <v>2005</v>
      </c>
      <c r="F28704" t="s">
        <v>4634</v>
      </c>
      <c r="G28704" s="9">
        <v>4055.25</v>
      </c>
      <c r="H28704" s="8">
        <v>3096</v>
      </c>
    </row>
    <row r="28705" spans="2:8" ht="15" customHeight="1" x14ac:dyDescent="0.4">
      <c r="B28705" t="s">
        <v>7</v>
      </c>
      <c r="C28705" t="s">
        <v>4633</v>
      </c>
      <c r="D28705" s="7">
        <f>DATE(2010,4,27)</f>
        <v>40295</v>
      </c>
      <c r="E28705" s="8">
        <f t="shared" si="488"/>
        <v>2010</v>
      </c>
      <c r="F28705" t="s">
        <v>4634</v>
      </c>
      <c r="G28705" s="9">
        <v>9921.2999999999993</v>
      </c>
      <c r="H28705" s="8">
        <v>9510</v>
      </c>
    </row>
    <row r="28706" spans="2:8" ht="15" customHeight="1" x14ac:dyDescent="0.4">
      <c r="B28706" t="s">
        <v>7</v>
      </c>
      <c r="C28706" t="s">
        <v>4633</v>
      </c>
      <c r="D28706" s="7">
        <f>DATE(2011,1,26)</f>
        <v>40569</v>
      </c>
      <c r="E28706" s="8">
        <f t="shared" si="488"/>
        <v>2011</v>
      </c>
      <c r="F28706" t="s">
        <v>4634</v>
      </c>
      <c r="G28706" s="9">
        <v>40284.93</v>
      </c>
      <c r="H28706" s="8">
        <v>10298</v>
      </c>
    </row>
    <row r="28707" spans="2:8" ht="15" customHeight="1" x14ac:dyDescent="0.4">
      <c r="B28707" t="s">
        <v>7</v>
      </c>
      <c r="C28707" t="s">
        <v>4633</v>
      </c>
      <c r="D28707" s="7">
        <f>DATE(2011,3,24)</f>
        <v>40626</v>
      </c>
      <c r="E28707" s="8">
        <f t="shared" si="488"/>
        <v>2011</v>
      </c>
      <c r="F28707" t="s">
        <v>4634</v>
      </c>
      <c r="G28707" s="9">
        <v>14465.7</v>
      </c>
      <c r="H28707" s="8">
        <v>10291</v>
      </c>
    </row>
    <row r="28708" spans="2:8" ht="15" customHeight="1" x14ac:dyDescent="0.4">
      <c r="B28708" t="s">
        <v>7</v>
      </c>
      <c r="C28708" t="s">
        <v>4633</v>
      </c>
      <c r="D28708" s="7">
        <f>DATE(2011,3,24)</f>
        <v>40626</v>
      </c>
      <c r="E28708" s="8">
        <f t="shared" si="488"/>
        <v>2011</v>
      </c>
      <c r="F28708" t="s">
        <v>4634</v>
      </c>
      <c r="G28708" s="9">
        <v>17381.72</v>
      </c>
      <c r="H28708" s="8">
        <v>10294</v>
      </c>
    </row>
    <row r="28709" spans="2:8" ht="15" customHeight="1" x14ac:dyDescent="0.4">
      <c r="B28709" t="s">
        <v>7</v>
      </c>
      <c r="C28709" t="s">
        <v>4633</v>
      </c>
      <c r="D28709" s="7">
        <f>DATE(2011,3,24)</f>
        <v>40626</v>
      </c>
      <c r="E28709" s="8">
        <f t="shared" si="488"/>
        <v>2011</v>
      </c>
      <c r="F28709" t="s">
        <v>4634</v>
      </c>
      <c r="G28709" s="9">
        <v>18230.72</v>
      </c>
      <c r="H28709" s="8">
        <v>10085</v>
      </c>
    </row>
    <row r="28710" spans="2:8" ht="15" customHeight="1" x14ac:dyDescent="0.4">
      <c r="B28710" t="s">
        <v>7</v>
      </c>
      <c r="C28710" t="s">
        <v>4633</v>
      </c>
      <c r="D28710" s="7">
        <f>DATE(2012,3,12)</f>
        <v>40980</v>
      </c>
      <c r="E28710" s="8">
        <f t="shared" si="488"/>
        <v>2012</v>
      </c>
      <c r="F28710" t="s">
        <v>4634</v>
      </c>
      <c r="G28710" s="9">
        <v>23212.22</v>
      </c>
      <c r="H28710" s="8">
        <v>11224</v>
      </c>
    </row>
    <row r="28711" spans="2:8" ht="15" customHeight="1" x14ac:dyDescent="0.4">
      <c r="B28711" t="s">
        <v>7</v>
      </c>
      <c r="C28711" t="s">
        <v>4633</v>
      </c>
      <c r="D28711" s="7">
        <f>DATE(2012,7,2)</f>
        <v>41092</v>
      </c>
      <c r="E28711" s="8">
        <f t="shared" si="488"/>
        <v>2012</v>
      </c>
      <c r="F28711" t="s">
        <v>4634</v>
      </c>
      <c r="G28711" s="9">
        <v>38629.21</v>
      </c>
      <c r="H28711" s="8">
        <v>11696</v>
      </c>
    </row>
    <row r="28712" spans="2:8" ht="15" customHeight="1" x14ac:dyDescent="0.4">
      <c r="B28712" t="s">
        <v>7</v>
      </c>
      <c r="C28712" t="s">
        <v>4633</v>
      </c>
      <c r="D28712" s="7">
        <f>DATE(2012,11,7)</f>
        <v>41220</v>
      </c>
      <c r="E28712" s="8">
        <f t="shared" si="488"/>
        <v>2012</v>
      </c>
      <c r="F28712" t="s">
        <v>4634</v>
      </c>
      <c r="G28712" s="9">
        <v>15085.97</v>
      </c>
      <c r="H28712" s="8">
        <v>11940</v>
      </c>
    </row>
    <row r="28713" spans="2:8" ht="15" customHeight="1" x14ac:dyDescent="0.4">
      <c r="B28713" t="s">
        <v>7</v>
      </c>
      <c r="C28713" t="s">
        <v>4633</v>
      </c>
      <c r="D28713" s="7">
        <f>DATE(2013,1,14)</f>
        <v>41288</v>
      </c>
      <c r="E28713" s="8">
        <f t="shared" si="488"/>
        <v>2013</v>
      </c>
      <c r="F28713" t="s">
        <v>4634</v>
      </c>
      <c r="G28713" s="9">
        <v>14876.28</v>
      </c>
      <c r="H28713" s="8">
        <v>12000</v>
      </c>
    </row>
    <row r="28714" spans="2:8" ht="15" customHeight="1" x14ac:dyDescent="0.4">
      <c r="B28714" t="s">
        <v>7</v>
      </c>
      <c r="C28714" t="s">
        <v>4633</v>
      </c>
      <c r="D28714" s="7">
        <f>DATE(2013,2,21)</f>
        <v>41326</v>
      </c>
      <c r="E28714" s="8">
        <f t="shared" si="488"/>
        <v>2013</v>
      </c>
      <c r="F28714" t="s">
        <v>4634</v>
      </c>
      <c r="G28714" s="9">
        <v>47921.31</v>
      </c>
      <c r="H28714" s="8">
        <v>12002</v>
      </c>
    </row>
    <row r="28715" spans="2:8" ht="15" customHeight="1" x14ac:dyDescent="0.4">
      <c r="B28715" t="s">
        <v>7</v>
      </c>
      <c r="C28715" t="s">
        <v>4633</v>
      </c>
      <c r="D28715" s="7">
        <f>DATE(2013,3,14)</f>
        <v>41347</v>
      </c>
      <c r="E28715" s="8">
        <f t="shared" si="488"/>
        <v>2013</v>
      </c>
      <c r="F28715" t="s">
        <v>4634</v>
      </c>
      <c r="G28715" s="9">
        <v>14876.28</v>
      </c>
      <c r="H28715" s="8">
        <v>11999</v>
      </c>
    </row>
    <row r="28716" spans="2:8" ht="15" customHeight="1" x14ac:dyDescent="0.4">
      <c r="B28716" t="s">
        <v>7</v>
      </c>
      <c r="C28716" t="s">
        <v>4633</v>
      </c>
      <c r="D28716" s="7">
        <f>DATE(2013,4,8)</f>
        <v>41372</v>
      </c>
      <c r="E28716" s="8">
        <f t="shared" si="488"/>
        <v>2013</v>
      </c>
      <c r="F28716" t="s">
        <v>4634</v>
      </c>
      <c r="G28716" s="9">
        <v>14078.24</v>
      </c>
      <c r="H28716" s="8">
        <v>11980</v>
      </c>
    </row>
    <row r="28717" spans="2:8" ht="15" customHeight="1" x14ac:dyDescent="0.4">
      <c r="B28717" t="s">
        <v>7</v>
      </c>
      <c r="C28717" t="s">
        <v>4633</v>
      </c>
      <c r="D28717" s="7">
        <f>DATE(2013,5,7)</f>
        <v>41401</v>
      </c>
      <c r="E28717" s="8">
        <f t="shared" si="488"/>
        <v>2013</v>
      </c>
      <c r="F28717" t="s">
        <v>4634</v>
      </c>
      <c r="G28717" s="9">
        <v>15482.99</v>
      </c>
      <c r="H28717" s="8">
        <v>12109</v>
      </c>
    </row>
    <row r="28718" spans="2:8" ht="15" customHeight="1" x14ac:dyDescent="0.4">
      <c r="B28718" t="s">
        <v>7</v>
      </c>
      <c r="C28718" t="s">
        <v>4633</v>
      </c>
      <c r="D28718" s="7">
        <f>DATE(2014,1,27)</f>
        <v>41666</v>
      </c>
      <c r="E28718" s="8">
        <f t="shared" si="488"/>
        <v>2014</v>
      </c>
      <c r="F28718" t="s">
        <v>4634</v>
      </c>
      <c r="G28718" s="9">
        <v>15872.89</v>
      </c>
      <c r="H28718" s="8">
        <v>12727</v>
      </c>
    </row>
    <row r="28719" spans="2:8" ht="15" customHeight="1" x14ac:dyDescent="0.4">
      <c r="B28719" t="s">
        <v>7</v>
      </c>
      <c r="C28719" t="s">
        <v>4633</v>
      </c>
      <c r="D28719" s="7">
        <f>DATE(2014,2,25)</f>
        <v>41695</v>
      </c>
      <c r="E28719" s="8">
        <f t="shared" si="488"/>
        <v>2014</v>
      </c>
      <c r="F28719" t="s">
        <v>4634</v>
      </c>
      <c r="G28719" s="9">
        <v>15872.89</v>
      </c>
      <c r="H28719" s="8">
        <v>12728</v>
      </c>
    </row>
    <row r="28720" spans="2:8" ht="15" customHeight="1" x14ac:dyDescent="0.4">
      <c r="B28720" t="s">
        <v>7</v>
      </c>
      <c r="C28720" t="s">
        <v>4633</v>
      </c>
      <c r="D28720" s="7">
        <f>DATE(2014,4,1)</f>
        <v>41730</v>
      </c>
      <c r="E28720" s="8">
        <f t="shared" si="488"/>
        <v>2014</v>
      </c>
      <c r="F28720" t="s">
        <v>4634</v>
      </c>
      <c r="G28720" s="9">
        <v>19215.400000000001</v>
      </c>
      <c r="H28720" s="8">
        <v>12729</v>
      </c>
    </row>
    <row r="28721" spans="2:8" ht="15" customHeight="1" x14ac:dyDescent="0.4">
      <c r="B28721" t="s">
        <v>7</v>
      </c>
      <c r="C28721" t="s">
        <v>4633</v>
      </c>
      <c r="D28721" s="7">
        <f>DATE(2014,4,4)</f>
        <v>41733</v>
      </c>
      <c r="E28721" s="8">
        <f t="shared" si="488"/>
        <v>2014</v>
      </c>
      <c r="F28721" t="s">
        <v>4634</v>
      </c>
      <c r="G28721" s="9">
        <v>14337.06</v>
      </c>
      <c r="H28721" s="8">
        <v>12731</v>
      </c>
    </row>
    <row r="28722" spans="2:8" ht="15" customHeight="1" x14ac:dyDescent="0.4">
      <c r="B28722" t="s">
        <v>7</v>
      </c>
      <c r="C28722" t="s">
        <v>4633</v>
      </c>
      <c r="D28722" s="7">
        <f>DATE(2014,4,28)</f>
        <v>41757</v>
      </c>
      <c r="E28722" s="8">
        <f t="shared" si="488"/>
        <v>2014</v>
      </c>
      <c r="F28722" t="s">
        <v>4634</v>
      </c>
      <c r="G28722" s="9">
        <v>42806.57</v>
      </c>
      <c r="H28722" s="8">
        <v>12732</v>
      </c>
    </row>
    <row r="28723" spans="2:8" ht="15" customHeight="1" x14ac:dyDescent="0.4">
      <c r="B28723" t="s">
        <v>7</v>
      </c>
      <c r="C28723" t="s">
        <v>4633</v>
      </c>
      <c r="D28723" s="7">
        <f>DATE(2014,11,25)</f>
        <v>41968</v>
      </c>
      <c r="E28723" s="8">
        <f t="shared" si="488"/>
        <v>2014</v>
      </c>
      <c r="F28723" t="s">
        <v>4634</v>
      </c>
      <c r="G28723" s="9">
        <v>19955.009999999998</v>
      </c>
      <c r="H28723" s="8">
        <v>13515</v>
      </c>
    </row>
    <row r="28724" spans="2:8" ht="15" customHeight="1" x14ac:dyDescent="0.4">
      <c r="B28724" s="3" t="s">
        <v>7</v>
      </c>
      <c r="C28724" s="3" t="s">
        <v>4635</v>
      </c>
      <c r="D28724" s="4">
        <f>DATE(2007,8,16)</f>
        <v>39310</v>
      </c>
      <c r="E28724" s="5">
        <f t="shared" si="488"/>
        <v>2007</v>
      </c>
      <c r="F28724" s="3" t="s">
        <v>4636</v>
      </c>
      <c r="G28724" s="6">
        <v>141.18</v>
      </c>
      <c r="H28724" s="5">
        <v>9043</v>
      </c>
    </row>
    <row r="28725" spans="2:8" ht="15" customHeight="1" x14ac:dyDescent="0.4">
      <c r="B28725" t="s">
        <v>7</v>
      </c>
      <c r="C28725" t="s">
        <v>4637</v>
      </c>
      <c r="D28725" s="7">
        <f>DATE(2015,2,3)</f>
        <v>42038</v>
      </c>
      <c r="E28725" s="8">
        <f t="shared" si="488"/>
        <v>2015</v>
      </c>
      <c r="F28725" t="s">
        <v>4638</v>
      </c>
      <c r="G28725" s="9">
        <v>550</v>
      </c>
      <c r="H28725" s="8">
        <v>307</v>
      </c>
    </row>
    <row r="28726" spans="2:8" ht="15" customHeight="1" x14ac:dyDescent="0.4">
      <c r="B28726" t="s">
        <v>7</v>
      </c>
      <c r="C28726" t="s">
        <v>4639</v>
      </c>
      <c r="D28726" s="7">
        <f>DATE(2006,8,29)</f>
        <v>38958</v>
      </c>
      <c r="E28726" s="8">
        <f t="shared" si="488"/>
        <v>2006</v>
      </c>
      <c r="F28726" t="s">
        <v>4640</v>
      </c>
      <c r="G28726" s="9">
        <v>2560.83</v>
      </c>
      <c r="H28726" s="8">
        <v>4966</v>
      </c>
    </row>
    <row r="28727" spans="2:8" ht="15" customHeight="1" x14ac:dyDescent="0.4">
      <c r="B28727" t="s">
        <v>7</v>
      </c>
      <c r="C28727" t="s">
        <v>4639</v>
      </c>
      <c r="D28727" s="7">
        <f>DATE(2008,5,28)</f>
        <v>39596</v>
      </c>
      <c r="E28727" s="8">
        <f t="shared" si="488"/>
        <v>2008</v>
      </c>
      <c r="F28727" t="s">
        <v>4640</v>
      </c>
      <c r="G28727" s="9">
        <v>2909.5</v>
      </c>
      <c r="H28727" s="8">
        <v>7470</v>
      </c>
    </row>
    <row r="28728" spans="2:8" ht="15" customHeight="1" x14ac:dyDescent="0.4">
      <c r="B28728" t="s">
        <v>7</v>
      </c>
      <c r="C28728" t="s">
        <v>4639</v>
      </c>
      <c r="D28728" s="7">
        <f>DATE(2009,11,3)</f>
        <v>40120</v>
      </c>
      <c r="E28728" s="8">
        <f t="shared" si="488"/>
        <v>2009</v>
      </c>
      <c r="F28728" t="s">
        <v>4641</v>
      </c>
      <c r="G28728" s="9">
        <v>12961</v>
      </c>
      <c r="H28728" s="8">
        <v>8995</v>
      </c>
    </row>
    <row r="28729" spans="2:8" ht="15" customHeight="1" x14ac:dyDescent="0.4">
      <c r="B28729" t="s">
        <v>7</v>
      </c>
      <c r="C28729" t="s">
        <v>4639</v>
      </c>
      <c r="D28729" s="7">
        <f>DATE(2009,11,3)</f>
        <v>40120</v>
      </c>
      <c r="E28729" s="8">
        <f t="shared" si="488"/>
        <v>2009</v>
      </c>
      <c r="F28729" t="s">
        <v>4641</v>
      </c>
      <c r="G28729" s="9">
        <v>6184.64</v>
      </c>
      <c r="H28729" s="8">
        <v>8994</v>
      </c>
    </row>
    <row r="28730" spans="2:8" ht="15" customHeight="1" x14ac:dyDescent="0.4">
      <c r="B28730" t="s">
        <v>7</v>
      </c>
      <c r="C28730" t="s">
        <v>4642</v>
      </c>
      <c r="D28730" s="7">
        <f>DATE(2006,4,5)</f>
        <v>38812</v>
      </c>
      <c r="E28730" s="8">
        <f t="shared" si="488"/>
        <v>2006</v>
      </c>
      <c r="F28730" t="s">
        <v>4643</v>
      </c>
      <c r="G28730" s="9">
        <v>3572.88</v>
      </c>
      <c r="H28730" s="8">
        <v>4439</v>
      </c>
    </row>
    <row r="28731" spans="2:8" ht="15" customHeight="1" x14ac:dyDescent="0.4">
      <c r="B28731" t="s">
        <v>7</v>
      </c>
      <c r="C28731" t="s">
        <v>4644</v>
      </c>
      <c r="D28731" s="7">
        <f>DATE(2016,1,4)</f>
        <v>42373</v>
      </c>
      <c r="E28731" s="8">
        <f t="shared" si="488"/>
        <v>2016</v>
      </c>
      <c r="F28731" t="s">
        <v>4645</v>
      </c>
      <c r="G28731" s="9">
        <v>11120</v>
      </c>
      <c r="H28731" s="8">
        <v>21750</v>
      </c>
    </row>
    <row r="28732" spans="2:8" ht="15" customHeight="1" x14ac:dyDescent="0.4">
      <c r="B28732" t="s">
        <v>7</v>
      </c>
      <c r="C28732" t="s">
        <v>4644</v>
      </c>
      <c r="D28732" s="7">
        <f>DATE(2016,1,11)</f>
        <v>42380</v>
      </c>
      <c r="E28732" s="8">
        <f t="shared" si="488"/>
        <v>2016</v>
      </c>
      <c r="F28732" t="s">
        <v>4645</v>
      </c>
      <c r="G28732" s="9">
        <v>11689.9</v>
      </c>
      <c r="H28732" s="8">
        <v>21959</v>
      </c>
    </row>
    <row r="28733" spans="2:8" ht="15" customHeight="1" x14ac:dyDescent="0.4">
      <c r="B28733" t="s">
        <v>7</v>
      </c>
      <c r="C28733" t="s">
        <v>4644</v>
      </c>
      <c r="D28733" s="7">
        <f>DATE(2016,4,1)</f>
        <v>42461</v>
      </c>
      <c r="E28733" s="8">
        <f t="shared" si="488"/>
        <v>2016</v>
      </c>
      <c r="F28733" t="s">
        <v>4645</v>
      </c>
      <c r="G28733" s="9">
        <v>32087.96</v>
      </c>
      <c r="H28733" s="8">
        <v>22470</v>
      </c>
    </row>
    <row r="28734" spans="2:8" ht="15" customHeight="1" x14ac:dyDescent="0.4">
      <c r="B28734" t="s">
        <v>7</v>
      </c>
      <c r="C28734" t="s">
        <v>4644</v>
      </c>
      <c r="D28734" s="7">
        <f>DATE(2016,4,19)</f>
        <v>42479</v>
      </c>
      <c r="E28734" s="8">
        <f t="shared" si="488"/>
        <v>2016</v>
      </c>
      <c r="F28734" t="s">
        <v>4645</v>
      </c>
      <c r="G28734" s="9">
        <v>26008.07</v>
      </c>
      <c r="H28734" s="8">
        <v>22578</v>
      </c>
    </row>
    <row r="28735" spans="2:8" ht="15" customHeight="1" x14ac:dyDescent="0.4">
      <c r="B28735" t="s">
        <v>16</v>
      </c>
      <c r="C28735" t="s">
        <v>4644</v>
      </c>
      <c r="D28735" s="7">
        <f>DATE(2016,1,11)</f>
        <v>42380</v>
      </c>
      <c r="E28735" s="8">
        <f t="shared" si="488"/>
        <v>2016</v>
      </c>
      <c r="F28735" t="s">
        <v>4645</v>
      </c>
      <c r="G28735" s="9">
        <v>11120</v>
      </c>
      <c r="H28735" s="8">
        <v>21957</v>
      </c>
    </row>
    <row r="28736" spans="2:8" ht="15" customHeight="1" x14ac:dyDescent="0.4">
      <c r="B28736" s="3" t="s">
        <v>7</v>
      </c>
      <c r="C28736" s="3" t="s">
        <v>4646</v>
      </c>
      <c r="D28736" s="4">
        <f>DATE(2003,7,16)</f>
        <v>37818</v>
      </c>
      <c r="E28736" s="5">
        <f t="shared" si="488"/>
        <v>2003</v>
      </c>
      <c r="F28736" s="3" t="s">
        <v>4647</v>
      </c>
      <c r="G28736" s="6">
        <v>104.8</v>
      </c>
      <c r="H28736" s="5">
        <v>1216</v>
      </c>
    </row>
    <row r="28737" spans="2:8" ht="15" customHeight="1" x14ac:dyDescent="0.4">
      <c r="B28737" s="3" t="s">
        <v>7</v>
      </c>
      <c r="C28737" s="3" t="s">
        <v>4648</v>
      </c>
      <c r="D28737" s="4">
        <f>DATE(2005,6,30)</f>
        <v>38533</v>
      </c>
      <c r="E28737" s="5">
        <f t="shared" si="488"/>
        <v>2005</v>
      </c>
      <c r="F28737" s="3" t="s">
        <v>4649</v>
      </c>
      <c r="G28737" s="6">
        <v>49681.5</v>
      </c>
      <c r="H28737" s="5">
        <v>1119</v>
      </c>
    </row>
    <row r="28738" spans="2:8" ht="15" customHeight="1" x14ac:dyDescent="0.4">
      <c r="B28738" s="3" t="s">
        <v>7</v>
      </c>
      <c r="C28738" s="3" t="s">
        <v>4648</v>
      </c>
      <c r="D28738" s="4">
        <f>DATE(2006,4,14)</f>
        <v>38821</v>
      </c>
      <c r="E28738" s="5">
        <f t="shared" si="488"/>
        <v>2006</v>
      </c>
      <c r="F28738" s="3" t="s">
        <v>4649</v>
      </c>
      <c r="G28738" s="6">
        <v>8044.05</v>
      </c>
      <c r="H28738" s="5">
        <v>1474</v>
      </c>
    </row>
    <row r="28739" spans="2:8" ht="15" customHeight="1" x14ac:dyDescent="0.4">
      <c r="B28739" s="3" t="s">
        <v>7</v>
      </c>
      <c r="C28739" s="3" t="s">
        <v>4648</v>
      </c>
      <c r="D28739" s="4">
        <f>DATE(2007,5,1)</f>
        <v>39203</v>
      </c>
      <c r="E28739" s="5">
        <f t="shared" ref="E28739:E28802" si="489">YEAR(D28739)</f>
        <v>2007</v>
      </c>
      <c r="F28739" s="3" t="s">
        <v>4649</v>
      </c>
      <c r="G28739" s="6">
        <v>163801.1</v>
      </c>
      <c r="H28739" s="5">
        <v>2143</v>
      </c>
    </row>
    <row r="28740" spans="2:8" ht="15" customHeight="1" x14ac:dyDescent="0.4">
      <c r="B28740" s="3" t="s">
        <v>7</v>
      </c>
      <c r="C28740" s="3" t="s">
        <v>4648</v>
      </c>
      <c r="D28740" s="4">
        <f>DATE(2007,12,1)</f>
        <v>39417</v>
      </c>
      <c r="E28740" s="5">
        <f t="shared" si="489"/>
        <v>2007</v>
      </c>
      <c r="F28740" s="3" t="s">
        <v>4649</v>
      </c>
      <c r="G28740" s="6">
        <v>9979.93</v>
      </c>
      <c r="H28740" s="5">
        <v>2493</v>
      </c>
    </row>
    <row r="28741" spans="2:8" ht="15" customHeight="1" x14ac:dyDescent="0.4">
      <c r="B28741" s="3" t="s">
        <v>7</v>
      </c>
      <c r="C28741" s="3" t="s">
        <v>4648</v>
      </c>
      <c r="D28741" s="4">
        <f>DATE(2009,1,5)</f>
        <v>39818</v>
      </c>
      <c r="E28741" s="5">
        <f t="shared" si="489"/>
        <v>2009</v>
      </c>
      <c r="F28741" s="3" t="s">
        <v>4649</v>
      </c>
      <c r="G28741" s="6">
        <v>63356.68</v>
      </c>
      <c r="H28741" s="5">
        <v>3189</v>
      </c>
    </row>
    <row r="28742" spans="2:8" ht="15" customHeight="1" x14ac:dyDescent="0.4">
      <c r="B28742" s="3" t="s">
        <v>7</v>
      </c>
      <c r="C28742" s="3" t="s">
        <v>4648</v>
      </c>
      <c r="D28742" s="4">
        <f>DATE(2009,4,24)</f>
        <v>39927</v>
      </c>
      <c r="E28742" s="5">
        <f t="shared" si="489"/>
        <v>2009</v>
      </c>
      <c r="F28742" s="3" t="s">
        <v>4649</v>
      </c>
      <c r="G28742" s="6">
        <v>61872.18</v>
      </c>
      <c r="H28742" s="5">
        <v>3343</v>
      </c>
    </row>
    <row r="28743" spans="2:8" ht="15" customHeight="1" x14ac:dyDescent="0.4">
      <c r="B28743" s="3" t="s">
        <v>7</v>
      </c>
      <c r="C28743" s="3" t="s">
        <v>4648</v>
      </c>
      <c r="D28743" s="4">
        <f>DATE(2009,5,28)</f>
        <v>39961</v>
      </c>
      <c r="E28743" s="5">
        <f t="shared" si="489"/>
        <v>2009</v>
      </c>
      <c r="F28743" s="3" t="s">
        <v>4649</v>
      </c>
      <c r="G28743" s="6">
        <v>56389.17</v>
      </c>
      <c r="H28743" s="5">
        <v>3447</v>
      </c>
    </row>
    <row r="28744" spans="2:8" ht="15" customHeight="1" x14ac:dyDescent="0.4">
      <c r="B28744" s="3" t="s">
        <v>7</v>
      </c>
      <c r="C28744" s="3" t="s">
        <v>4648</v>
      </c>
      <c r="D28744" s="4">
        <f>DATE(2009,6,9)</f>
        <v>39973</v>
      </c>
      <c r="E28744" s="5">
        <f t="shared" si="489"/>
        <v>2009</v>
      </c>
      <c r="F28744" s="3" t="s">
        <v>4649</v>
      </c>
      <c r="G28744" s="6">
        <v>855</v>
      </c>
      <c r="H28744" s="5">
        <v>3481</v>
      </c>
    </row>
    <row r="28745" spans="2:8" ht="15" customHeight="1" x14ac:dyDescent="0.4">
      <c r="B28745" s="3" t="s">
        <v>7</v>
      </c>
      <c r="C28745" s="3" t="s">
        <v>4648</v>
      </c>
      <c r="D28745" s="4">
        <f>DATE(2012,5,7)</f>
        <v>41036</v>
      </c>
      <c r="E28745" s="5">
        <f t="shared" si="489"/>
        <v>2012</v>
      </c>
      <c r="F28745" s="3" t="s">
        <v>4649</v>
      </c>
      <c r="G28745" s="6">
        <v>8543.9</v>
      </c>
      <c r="H28745" s="5">
        <v>4983</v>
      </c>
    </row>
    <row r="28746" spans="2:8" ht="15" customHeight="1" x14ac:dyDescent="0.4">
      <c r="B28746" t="s">
        <v>7</v>
      </c>
      <c r="C28746" t="s">
        <v>301</v>
      </c>
      <c r="D28746" s="7">
        <f>DATE(2018,6,20)</f>
        <v>43271</v>
      </c>
      <c r="E28746" s="8">
        <f t="shared" si="489"/>
        <v>2018</v>
      </c>
      <c r="F28746" t="s">
        <v>4650</v>
      </c>
      <c r="G28746" s="9">
        <v>17098</v>
      </c>
      <c r="H28746" s="8">
        <v>27065</v>
      </c>
    </row>
    <row r="28747" spans="2:8" ht="15" customHeight="1" x14ac:dyDescent="0.4">
      <c r="B28747" t="s">
        <v>7</v>
      </c>
      <c r="C28747" t="s">
        <v>301</v>
      </c>
      <c r="D28747" s="7">
        <f>DATE(2018,6,26)</f>
        <v>43277</v>
      </c>
      <c r="E28747" s="8">
        <f t="shared" si="489"/>
        <v>2018</v>
      </c>
      <c r="F28747" t="s">
        <v>4650</v>
      </c>
      <c r="G28747" s="9">
        <v>41593</v>
      </c>
      <c r="H28747" s="8">
        <v>27044</v>
      </c>
    </row>
    <row r="28748" spans="2:8" ht="15" customHeight="1" x14ac:dyDescent="0.4">
      <c r="B28748" t="s">
        <v>7</v>
      </c>
      <c r="C28748" t="s">
        <v>301</v>
      </c>
      <c r="D28748" s="7">
        <f>DATE(2018,9,28)</f>
        <v>43371</v>
      </c>
      <c r="E28748" s="8">
        <f t="shared" si="489"/>
        <v>2018</v>
      </c>
      <c r="F28748" t="s">
        <v>4650</v>
      </c>
      <c r="G28748" s="9">
        <v>19964</v>
      </c>
      <c r="H28748" s="8">
        <v>27046</v>
      </c>
    </row>
    <row r="28749" spans="2:8" ht="15" customHeight="1" x14ac:dyDescent="0.4">
      <c r="B28749" t="s">
        <v>7</v>
      </c>
      <c r="C28749" t="s">
        <v>301</v>
      </c>
      <c r="D28749" s="7">
        <f>DATE(2018,9,28)</f>
        <v>43371</v>
      </c>
      <c r="E28749" s="8">
        <f t="shared" si="489"/>
        <v>2018</v>
      </c>
      <c r="F28749" t="s">
        <v>4650</v>
      </c>
      <c r="G28749" s="9">
        <v>19964</v>
      </c>
      <c r="H28749" s="8">
        <v>27390</v>
      </c>
    </row>
    <row r="28750" spans="2:8" ht="15" customHeight="1" x14ac:dyDescent="0.4">
      <c r="B28750" t="s">
        <v>7</v>
      </c>
      <c r="C28750" t="s">
        <v>301</v>
      </c>
      <c r="D28750" s="7">
        <f>DATE(2018,10,24)</f>
        <v>43397</v>
      </c>
      <c r="E28750" s="8">
        <f t="shared" si="489"/>
        <v>2018</v>
      </c>
      <c r="F28750" t="s">
        <v>4650</v>
      </c>
      <c r="G28750" s="9">
        <v>14299.61</v>
      </c>
      <c r="H28750" s="8">
        <v>27728</v>
      </c>
    </row>
    <row r="28751" spans="2:8" ht="15" customHeight="1" x14ac:dyDescent="0.4">
      <c r="B28751" t="s">
        <v>7</v>
      </c>
      <c r="C28751" t="s">
        <v>301</v>
      </c>
      <c r="D28751" s="7">
        <f>DATE(2019,3,12)</f>
        <v>43536</v>
      </c>
      <c r="E28751" s="8">
        <f t="shared" si="489"/>
        <v>2019</v>
      </c>
      <c r="F28751" t="s">
        <v>4650</v>
      </c>
      <c r="G28751" s="9">
        <v>12836.34</v>
      </c>
      <c r="H28751" s="8">
        <v>28515</v>
      </c>
    </row>
    <row r="28752" spans="2:8" ht="15" customHeight="1" x14ac:dyDescent="0.4">
      <c r="B28752" t="s">
        <v>7</v>
      </c>
      <c r="C28752" t="s">
        <v>301</v>
      </c>
      <c r="D28752" s="7">
        <f>DATE(2019,3,12)</f>
        <v>43536</v>
      </c>
      <c r="E28752" s="8">
        <f t="shared" si="489"/>
        <v>2019</v>
      </c>
      <c r="F28752" t="s">
        <v>4650</v>
      </c>
      <c r="G28752" s="9">
        <v>6737.94</v>
      </c>
      <c r="H28752" s="8">
        <v>28516</v>
      </c>
    </row>
    <row r="28753" spans="2:8" ht="15" customHeight="1" x14ac:dyDescent="0.4">
      <c r="B28753" t="s">
        <v>7</v>
      </c>
      <c r="C28753" t="s">
        <v>301</v>
      </c>
      <c r="D28753" s="7">
        <f>DATE(2019,3,12)</f>
        <v>43536</v>
      </c>
      <c r="E28753" s="8">
        <f t="shared" si="489"/>
        <v>2019</v>
      </c>
      <c r="F28753" t="s">
        <v>4650</v>
      </c>
      <c r="G28753" s="9">
        <v>15266.08</v>
      </c>
      <c r="H28753" s="8">
        <v>28283</v>
      </c>
    </row>
    <row r="28754" spans="2:8" ht="15" customHeight="1" x14ac:dyDescent="0.4">
      <c r="B28754" t="s">
        <v>7</v>
      </c>
      <c r="C28754" t="s">
        <v>301</v>
      </c>
      <c r="D28754" s="7">
        <f t="shared" ref="D28754:D28761" si="490">DATE(2019,2,28)</f>
        <v>43524</v>
      </c>
      <c r="E28754" s="8">
        <f t="shared" si="489"/>
        <v>2019</v>
      </c>
      <c r="F28754" t="s">
        <v>4650</v>
      </c>
      <c r="G28754" s="9">
        <v>6953.74</v>
      </c>
      <c r="H28754" s="8">
        <v>28525</v>
      </c>
    </row>
    <row r="28755" spans="2:8" ht="15" customHeight="1" x14ac:dyDescent="0.4">
      <c r="B28755" t="s">
        <v>7</v>
      </c>
      <c r="C28755" t="s">
        <v>301</v>
      </c>
      <c r="D28755" s="7">
        <f t="shared" si="490"/>
        <v>43524</v>
      </c>
      <c r="E28755" s="8">
        <f t="shared" si="489"/>
        <v>2019</v>
      </c>
      <c r="F28755" t="s">
        <v>4650</v>
      </c>
      <c r="G28755" s="9">
        <v>13837.93</v>
      </c>
      <c r="H28755" s="8">
        <v>28118</v>
      </c>
    </row>
    <row r="28756" spans="2:8" ht="15" customHeight="1" x14ac:dyDescent="0.4">
      <c r="B28756" t="s">
        <v>7</v>
      </c>
      <c r="C28756" t="s">
        <v>301</v>
      </c>
      <c r="D28756" s="7">
        <f t="shared" si="490"/>
        <v>43524</v>
      </c>
      <c r="E28756" s="8">
        <f t="shared" si="489"/>
        <v>2019</v>
      </c>
      <c r="F28756" t="s">
        <v>4650</v>
      </c>
      <c r="G28756" s="9">
        <v>3064.72</v>
      </c>
      <c r="H28756" s="8">
        <v>28522</v>
      </c>
    </row>
    <row r="28757" spans="2:8" ht="15" customHeight="1" x14ac:dyDescent="0.4">
      <c r="B28757" t="s">
        <v>7</v>
      </c>
      <c r="C28757" t="s">
        <v>301</v>
      </c>
      <c r="D28757" s="7">
        <f t="shared" si="490"/>
        <v>43524</v>
      </c>
      <c r="E28757" s="8">
        <f t="shared" si="489"/>
        <v>2019</v>
      </c>
      <c r="F28757" t="s">
        <v>4650</v>
      </c>
      <c r="G28757" s="9">
        <v>3208.72</v>
      </c>
      <c r="H28757" s="8">
        <v>28523</v>
      </c>
    </row>
    <row r="28758" spans="2:8" ht="15" customHeight="1" x14ac:dyDescent="0.4">
      <c r="B28758" t="s">
        <v>7</v>
      </c>
      <c r="C28758" t="s">
        <v>301</v>
      </c>
      <c r="D28758" s="7">
        <f t="shared" si="490"/>
        <v>43524</v>
      </c>
      <c r="E28758" s="8">
        <f t="shared" si="489"/>
        <v>2019</v>
      </c>
      <c r="F28758" t="s">
        <v>4650</v>
      </c>
      <c r="G28758" s="9">
        <v>3276.85</v>
      </c>
      <c r="H28758" s="8">
        <v>28132</v>
      </c>
    </row>
    <row r="28759" spans="2:8" ht="15" customHeight="1" x14ac:dyDescent="0.4">
      <c r="B28759" t="s">
        <v>7</v>
      </c>
      <c r="C28759" t="s">
        <v>301</v>
      </c>
      <c r="D28759" s="7">
        <f t="shared" si="490"/>
        <v>43524</v>
      </c>
      <c r="E28759" s="8">
        <f t="shared" si="489"/>
        <v>2019</v>
      </c>
      <c r="F28759" t="s">
        <v>4650</v>
      </c>
      <c r="G28759" s="9">
        <v>3169.49</v>
      </c>
      <c r="H28759" s="8">
        <v>28131</v>
      </c>
    </row>
    <row r="28760" spans="2:8" ht="15" customHeight="1" x14ac:dyDescent="0.4">
      <c r="B28760" t="s">
        <v>7</v>
      </c>
      <c r="C28760" t="s">
        <v>301</v>
      </c>
      <c r="D28760" s="7">
        <f t="shared" si="490"/>
        <v>43524</v>
      </c>
      <c r="E28760" s="8">
        <f t="shared" si="489"/>
        <v>2019</v>
      </c>
      <c r="F28760" t="s">
        <v>4650</v>
      </c>
      <c r="G28760" s="9">
        <v>7453.49</v>
      </c>
      <c r="H28760" s="8">
        <v>28130</v>
      </c>
    </row>
    <row r="28761" spans="2:8" ht="15" customHeight="1" x14ac:dyDescent="0.4">
      <c r="B28761" t="s">
        <v>7</v>
      </c>
      <c r="C28761" t="s">
        <v>301</v>
      </c>
      <c r="D28761" s="7">
        <f t="shared" si="490"/>
        <v>43524</v>
      </c>
      <c r="E28761" s="8">
        <f t="shared" si="489"/>
        <v>2019</v>
      </c>
      <c r="F28761" t="s">
        <v>4650</v>
      </c>
      <c r="G28761" s="9">
        <v>8325.41</v>
      </c>
      <c r="H28761" s="8">
        <v>28129</v>
      </c>
    </row>
    <row r="28762" spans="2:8" ht="15" customHeight="1" x14ac:dyDescent="0.4">
      <c r="B28762" t="s">
        <v>7</v>
      </c>
      <c r="C28762" t="s">
        <v>4651</v>
      </c>
      <c r="D28762" s="7">
        <f>DATE(2018,6,12)</f>
        <v>43263</v>
      </c>
      <c r="E28762" s="8">
        <f t="shared" si="489"/>
        <v>2018</v>
      </c>
      <c r="F28762" t="s">
        <v>4652</v>
      </c>
      <c r="G28762" s="9">
        <v>36294</v>
      </c>
      <c r="H28762" s="8">
        <v>27143</v>
      </c>
    </row>
    <row r="28763" spans="2:8" ht="15" customHeight="1" x14ac:dyDescent="0.4">
      <c r="B28763" t="s">
        <v>7</v>
      </c>
      <c r="C28763" t="s">
        <v>4651</v>
      </c>
      <c r="D28763" s="7">
        <f>DATE(2018,7,19)</f>
        <v>43300</v>
      </c>
      <c r="E28763" s="8">
        <f t="shared" si="489"/>
        <v>2018</v>
      </c>
      <c r="F28763" t="s">
        <v>4652</v>
      </c>
      <c r="G28763" s="9">
        <v>7064.96</v>
      </c>
      <c r="H28763" s="8">
        <v>27374</v>
      </c>
    </row>
    <row r="28764" spans="2:8" ht="15" customHeight="1" x14ac:dyDescent="0.4">
      <c r="B28764" t="s">
        <v>7</v>
      </c>
      <c r="C28764" t="s">
        <v>4651</v>
      </c>
      <c r="D28764" s="7">
        <f>DATE(2018,9,19)</f>
        <v>43362</v>
      </c>
      <c r="E28764" s="8">
        <f t="shared" si="489"/>
        <v>2018</v>
      </c>
      <c r="F28764" t="s">
        <v>4652</v>
      </c>
      <c r="G28764" s="9">
        <v>5666.24</v>
      </c>
      <c r="H28764" s="8">
        <v>27477</v>
      </c>
    </row>
    <row r="28765" spans="2:8" ht="15" customHeight="1" x14ac:dyDescent="0.4">
      <c r="B28765" t="s">
        <v>7</v>
      </c>
      <c r="C28765" t="s">
        <v>4651</v>
      </c>
      <c r="D28765" s="7">
        <f>DATE(2018,10,10)</f>
        <v>43383</v>
      </c>
      <c r="E28765" s="8">
        <f t="shared" si="489"/>
        <v>2018</v>
      </c>
      <c r="F28765" t="s">
        <v>4652</v>
      </c>
      <c r="G28765" s="9">
        <v>7078.75</v>
      </c>
      <c r="H28765" s="8">
        <v>27729</v>
      </c>
    </row>
    <row r="28766" spans="2:8" ht="15" customHeight="1" x14ac:dyDescent="0.4">
      <c r="B28766" t="s">
        <v>7</v>
      </c>
      <c r="C28766" t="s">
        <v>4651</v>
      </c>
      <c r="D28766" s="7">
        <f>DATE(2019,1,3)</f>
        <v>43468</v>
      </c>
      <c r="E28766" s="8">
        <f t="shared" si="489"/>
        <v>2019</v>
      </c>
      <c r="F28766" t="s">
        <v>4652</v>
      </c>
      <c r="G28766" s="9">
        <v>7740.5</v>
      </c>
      <c r="H28766" s="8">
        <v>28177</v>
      </c>
    </row>
    <row r="28767" spans="2:8" ht="15" customHeight="1" x14ac:dyDescent="0.4">
      <c r="B28767" t="s">
        <v>7</v>
      </c>
      <c r="C28767" t="s">
        <v>4651</v>
      </c>
      <c r="D28767" s="7">
        <f>DATE(2019,3,4)</f>
        <v>43528</v>
      </c>
      <c r="E28767" s="8">
        <f t="shared" si="489"/>
        <v>2019</v>
      </c>
      <c r="F28767" t="s">
        <v>4652</v>
      </c>
      <c r="G28767" s="9">
        <v>24816.639999999999</v>
      </c>
      <c r="H28767" s="8">
        <v>27758</v>
      </c>
    </row>
    <row r="28768" spans="2:8" ht="15" customHeight="1" x14ac:dyDescent="0.4">
      <c r="B28768" t="s">
        <v>7</v>
      </c>
      <c r="C28768" t="s">
        <v>4651</v>
      </c>
      <c r="D28768" s="7">
        <f>DATE(2019,3,4)</f>
        <v>43528</v>
      </c>
      <c r="E28768" s="8">
        <f t="shared" si="489"/>
        <v>2019</v>
      </c>
      <c r="F28768" t="s">
        <v>4652</v>
      </c>
      <c r="G28768" s="9">
        <v>12720</v>
      </c>
      <c r="H28768" s="8">
        <v>28461</v>
      </c>
    </row>
    <row r="28769" spans="2:8" ht="15" customHeight="1" x14ac:dyDescent="0.4">
      <c r="B28769" t="s">
        <v>7</v>
      </c>
      <c r="C28769" t="s">
        <v>4651</v>
      </c>
      <c r="D28769" s="7">
        <f>DATE(2019,4,18)</f>
        <v>43573</v>
      </c>
      <c r="E28769" s="8">
        <f t="shared" si="489"/>
        <v>2019</v>
      </c>
      <c r="F28769" t="s">
        <v>4652</v>
      </c>
      <c r="G28769" s="9">
        <v>44686.9</v>
      </c>
      <c r="H28769" s="8">
        <v>28221</v>
      </c>
    </row>
    <row r="28770" spans="2:8" ht="15" customHeight="1" x14ac:dyDescent="0.4">
      <c r="B28770" t="s">
        <v>7</v>
      </c>
      <c r="C28770" t="s">
        <v>4651</v>
      </c>
      <c r="D28770" s="7">
        <f>DATE(2019,4,18)</f>
        <v>43573</v>
      </c>
      <c r="E28770" s="8">
        <f t="shared" si="489"/>
        <v>2019</v>
      </c>
      <c r="F28770" t="s">
        <v>4652</v>
      </c>
      <c r="G28770" s="9">
        <v>46118.22</v>
      </c>
      <c r="H28770" s="8">
        <v>28587</v>
      </c>
    </row>
    <row r="28771" spans="2:8" ht="15" customHeight="1" x14ac:dyDescent="0.4">
      <c r="B28771" t="s">
        <v>7</v>
      </c>
      <c r="C28771" t="s">
        <v>4651</v>
      </c>
      <c r="D28771" s="7">
        <f>DATE(2019,3,4)</f>
        <v>43528</v>
      </c>
      <c r="E28771" s="8">
        <f t="shared" si="489"/>
        <v>2019</v>
      </c>
      <c r="F28771" t="s">
        <v>4652</v>
      </c>
      <c r="G28771" s="9">
        <v>6740.31</v>
      </c>
      <c r="H28771" s="8">
        <v>27759</v>
      </c>
    </row>
    <row r="28772" spans="2:8" ht="15" customHeight="1" x14ac:dyDescent="0.4">
      <c r="B28772" t="s">
        <v>7</v>
      </c>
      <c r="C28772" t="s">
        <v>4651</v>
      </c>
      <c r="D28772" s="7">
        <f>DATE(2019,3,4)</f>
        <v>43528</v>
      </c>
      <c r="E28772" s="8">
        <f t="shared" si="489"/>
        <v>2019</v>
      </c>
      <c r="F28772" t="s">
        <v>4652</v>
      </c>
      <c r="G28772" s="9">
        <v>6494.61</v>
      </c>
      <c r="H28772" s="8">
        <v>28457</v>
      </c>
    </row>
    <row r="28773" spans="2:8" ht="15" customHeight="1" x14ac:dyDescent="0.4">
      <c r="B28773" t="s">
        <v>7</v>
      </c>
      <c r="C28773" t="s">
        <v>4651</v>
      </c>
      <c r="D28773" s="7">
        <f>DATE(2019,1,8)</f>
        <v>43473</v>
      </c>
      <c r="E28773" s="8">
        <f t="shared" si="489"/>
        <v>2019</v>
      </c>
      <c r="F28773" t="s">
        <v>4652</v>
      </c>
      <c r="G28773" s="9">
        <v>10753.26</v>
      </c>
      <c r="H28773" s="8">
        <v>28179</v>
      </c>
    </row>
    <row r="28774" spans="2:8" ht="15" customHeight="1" x14ac:dyDescent="0.4">
      <c r="B28774" t="s">
        <v>7</v>
      </c>
      <c r="C28774" t="s">
        <v>4653</v>
      </c>
      <c r="D28774" s="7">
        <f>DATE(2018,1,15)</f>
        <v>43115</v>
      </c>
      <c r="E28774" s="8">
        <f t="shared" si="489"/>
        <v>2018</v>
      </c>
      <c r="F28774" t="s">
        <v>4654</v>
      </c>
      <c r="G28774" s="9">
        <v>65000</v>
      </c>
      <c r="H28774" s="8">
        <v>25683</v>
      </c>
    </row>
    <row r="28775" spans="2:8" ht="15" customHeight="1" x14ac:dyDescent="0.4">
      <c r="B28775" t="s">
        <v>7</v>
      </c>
      <c r="C28775" t="s">
        <v>4653</v>
      </c>
      <c r="D28775" s="7">
        <f>DATE(2018,5,31)</f>
        <v>43251</v>
      </c>
      <c r="E28775" s="8">
        <f t="shared" si="489"/>
        <v>2018</v>
      </c>
      <c r="F28775" t="s">
        <v>4654</v>
      </c>
      <c r="G28775" s="9">
        <v>78807.600000000006</v>
      </c>
      <c r="H28775" s="8">
        <v>26832</v>
      </c>
    </row>
    <row r="28776" spans="2:8" ht="15" customHeight="1" x14ac:dyDescent="0.4">
      <c r="B28776" t="s">
        <v>7</v>
      </c>
      <c r="C28776" t="s">
        <v>4653</v>
      </c>
      <c r="D28776" s="7">
        <f>DATE(2018,5,31)</f>
        <v>43251</v>
      </c>
      <c r="E28776" s="8">
        <f t="shared" si="489"/>
        <v>2018</v>
      </c>
      <c r="F28776" t="s">
        <v>4654</v>
      </c>
      <c r="G28776" s="9">
        <v>11845.6</v>
      </c>
      <c r="H28776" s="8">
        <v>27105</v>
      </c>
    </row>
    <row r="28777" spans="2:8" ht="15" customHeight="1" x14ac:dyDescent="0.4">
      <c r="B28777" t="s">
        <v>7</v>
      </c>
      <c r="C28777" t="s">
        <v>4653</v>
      </c>
      <c r="D28777" s="7">
        <f>DATE(2019,4,30)</f>
        <v>43585</v>
      </c>
      <c r="E28777" s="8">
        <f t="shared" si="489"/>
        <v>2019</v>
      </c>
      <c r="F28777" t="s">
        <v>4654</v>
      </c>
      <c r="G28777" s="9">
        <v>16038.57</v>
      </c>
      <c r="H28777" s="8">
        <v>28590</v>
      </c>
    </row>
    <row r="28778" spans="2:8" ht="15" customHeight="1" x14ac:dyDescent="0.4">
      <c r="B28778" s="3" t="s">
        <v>7</v>
      </c>
      <c r="C28778" s="3" t="s">
        <v>4655</v>
      </c>
      <c r="D28778" s="4">
        <f>DATE(2013,3,11)</f>
        <v>41344</v>
      </c>
      <c r="E28778" s="5">
        <f t="shared" si="489"/>
        <v>2013</v>
      </c>
      <c r="F28778" s="3" t="s">
        <v>4656</v>
      </c>
      <c r="G28778" s="6">
        <v>13430.74</v>
      </c>
      <c r="H28778" s="5">
        <v>5386</v>
      </c>
    </row>
    <row r="28779" spans="2:8" ht="15" customHeight="1" x14ac:dyDescent="0.4">
      <c r="B28779" s="3" t="s">
        <v>7</v>
      </c>
      <c r="C28779" s="3" t="s">
        <v>4655</v>
      </c>
      <c r="D28779" s="4">
        <f>DATE(2013,3,11)</f>
        <v>41344</v>
      </c>
      <c r="E28779" s="5">
        <f t="shared" si="489"/>
        <v>2013</v>
      </c>
      <c r="F28779" s="3" t="s">
        <v>4656</v>
      </c>
      <c r="G28779" s="6">
        <v>14003.99</v>
      </c>
      <c r="H28779" s="5">
        <v>5401</v>
      </c>
    </row>
    <row r="28780" spans="2:8" ht="15" customHeight="1" x14ac:dyDescent="0.4">
      <c r="B28780" s="3" t="s">
        <v>7</v>
      </c>
      <c r="C28780" s="3" t="s">
        <v>4655</v>
      </c>
      <c r="D28780" s="4">
        <f>DATE(2013,4,4)</f>
        <v>41368</v>
      </c>
      <c r="E28780" s="5">
        <f t="shared" si="489"/>
        <v>2013</v>
      </c>
      <c r="F28780" s="3" t="s">
        <v>4656</v>
      </c>
      <c r="G28780" s="6">
        <v>13291</v>
      </c>
      <c r="H28780" s="5">
        <v>5422</v>
      </c>
    </row>
    <row r="28781" spans="2:8" ht="15" customHeight="1" x14ac:dyDescent="0.4">
      <c r="B28781" s="3" t="s">
        <v>7</v>
      </c>
      <c r="C28781" s="3" t="s">
        <v>4655</v>
      </c>
      <c r="D28781" s="4">
        <f>DATE(2013,3,11)</f>
        <v>41344</v>
      </c>
      <c r="E28781" s="5">
        <f t="shared" si="489"/>
        <v>2013</v>
      </c>
      <c r="F28781" s="3" t="s">
        <v>4656</v>
      </c>
      <c r="G28781" s="6">
        <v>25180.85</v>
      </c>
      <c r="H28781" s="5">
        <v>5403</v>
      </c>
    </row>
    <row r="28782" spans="2:8" ht="15" customHeight="1" x14ac:dyDescent="0.4">
      <c r="B28782" s="3" t="s">
        <v>7</v>
      </c>
      <c r="C28782" s="3" t="s">
        <v>4655</v>
      </c>
      <c r="D28782" s="4">
        <f>DATE(2013,3,11)</f>
        <v>41344</v>
      </c>
      <c r="E28782" s="5">
        <f t="shared" si="489"/>
        <v>2013</v>
      </c>
      <c r="F28782" s="3" t="s">
        <v>4656</v>
      </c>
      <c r="G28782" s="6">
        <v>19649.740000000002</v>
      </c>
      <c r="H28782" s="5">
        <v>5405</v>
      </c>
    </row>
    <row r="28783" spans="2:8" ht="15" customHeight="1" x14ac:dyDescent="0.4">
      <c r="B28783" s="3" t="s">
        <v>7</v>
      </c>
      <c r="C28783" s="3" t="s">
        <v>4655</v>
      </c>
      <c r="D28783" s="4">
        <f>DATE(2013,3,11)</f>
        <v>41344</v>
      </c>
      <c r="E28783" s="5">
        <f t="shared" si="489"/>
        <v>2013</v>
      </c>
      <c r="F28783" s="3" t="s">
        <v>4656</v>
      </c>
      <c r="G28783" s="6">
        <v>6465.74</v>
      </c>
      <c r="H28783" s="5">
        <v>5398</v>
      </c>
    </row>
    <row r="28784" spans="2:8" ht="15" customHeight="1" x14ac:dyDescent="0.4">
      <c r="B28784" s="3" t="s">
        <v>7</v>
      </c>
      <c r="C28784" s="3" t="s">
        <v>4655</v>
      </c>
      <c r="D28784" s="4">
        <f>DATE(2013,3,13)</f>
        <v>41346</v>
      </c>
      <c r="E28784" s="5">
        <f t="shared" si="489"/>
        <v>2013</v>
      </c>
      <c r="F28784" s="3" t="s">
        <v>4656</v>
      </c>
      <c r="G28784" s="6">
        <v>5940.61</v>
      </c>
      <c r="H28784" s="5">
        <v>5434</v>
      </c>
    </row>
    <row r="28785" spans="2:8" ht="15" customHeight="1" x14ac:dyDescent="0.4">
      <c r="B28785" s="3" t="s">
        <v>7</v>
      </c>
      <c r="C28785" s="3" t="s">
        <v>4655</v>
      </c>
      <c r="D28785" s="4">
        <f>DATE(2013,3,11)</f>
        <v>41344</v>
      </c>
      <c r="E28785" s="5">
        <f t="shared" si="489"/>
        <v>2013</v>
      </c>
      <c r="F28785" s="3" t="s">
        <v>4656</v>
      </c>
      <c r="G28785" s="6">
        <v>108086.36</v>
      </c>
      <c r="H28785" s="5">
        <v>5385</v>
      </c>
    </row>
    <row r="28786" spans="2:8" ht="15" customHeight="1" x14ac:dyDescent="0.4">
      <c r="B28786" s="3" t="s">
        <v>7</v>
      </c>
      <c r="C28786" s="3" t="s">
        <v>4655</v>
      </c>
      <c r="D28786" s="4">
        <f>DATE(2013,3,11)</f>
        <v>41344</v>
      </c>
      <c r="E28786" s="5">
        <f t="shared" si="489"/>
        <v>2013</v>
      </c>
      <c r="F28786" s="3" t="s">
        <v>4656</v>
      </c>
      <c r="G28786" s="6">
        <v>22124.3</v>
      </c>
      <c r="H28786" s="5">
        <v>5411</v>
      </c>
    </row>
    <row r="28787" spans="2:8" ht="15" customHeight="1" x14ac:dyDescent="0.4">
      <c r="B28787" s="3" t="s">
        <v>7</v>
      </c>
      <c r="C28787" s="3" t="s">
        <v>4655</v>
      </c>
      <c r="D28787" s="4">
        <f>DATE(2013,3,11)</f>
        <v>41344</v>
      </c>
      <c r="E28787" s="5">
        <f t="shared" si="489"/>
        <v>2013</v>
      </c>
      <c r="F28787" s="3" t="s">
        <v>4656</v>
      </c>
      <c r="G28787" s="6">
        <v>9977.68</v>
      </c>
      <c r="H28787" s="5">
        <v>5409</v>
      </c>
    </row>
    <row r="28788" spans="2:8" ht="15" customHeight="1" x14ac:dyDescent="0.4">
      <c r="B28788" s="3" t="s">
        <v>7</v>
      </c>
      <c r="C28788" s="3" t="s">
        <v>4655</v>
      </c>
      <c r="D28788" s="4">
        <f>DATE(2013,3,13)</f>
        <v>41346</v>
      </c>
      <c r="E28788" s="5">
        <f t="shared" si="489"/>
        <v>2013</v>
      </c>
      <c r="F28788" s="3" t="s">
        <v>4656</v>
      </c>
      <c r="G28788" s="6">
        <v>14602.41</v>
      </c>
      <c r="H28788" s="5">
        <v>5417</v>
      </c>
    </row>
    <row r="28789" spans="2:8" ht="15" customHeight="1" x14ac:dyDescent="0.4">
      <c r="B28789" s="3" t="s">
        <v>7</v>
      </c>
      <c r="C28789" s="3" t="s">
        <v>4655</v>
      </c>
      <c r="D28789" s="4">
        <f>DATE(2013,3,13)</f>
        <v>41346</v>
      </c>
      <c r="E28789" s="5">
        <f t="shared" si="489"/>
        <v>2013</v>
      </c>
      <c r="F28789" s="3" t="s">
        <v>4656</v>
      </c>
      <c r="G28789" s="6">
        <v>1125</v>
      </c>
      <c r="H28789" s="5">
        <v>5420</v>
      </c>
    </row>
    <row r="28790" spans="2:8" ht="15" customHeight="1" x14ac:dyDescent="0.4">
      <c r="B28790" s="3" t="s">
        <v>7</v>
      </c>
      <c r="C28790" s="3" t="s">
        <v>4655</v>
      </c>
      <c r="D28790" s="4">
        <f>DATE(2013,3,13)</f>
        <v>41346</v>
      </c>
      <c r="E28790" s="5">
        <f t="shared" si="489"/>
        <v>2013</v>
      </c>
      <c r="F28790" s="3" t="s">
        <v>4656</v>
      </c>
      <c r="G28790" s="6">
        <v>3605.5</v>
      </c>
      <c r="H28790" s="5">
        <v>5430</v>
      </c>
    </row>
    <row r="28791" spans="2:8" ht="15" customHeight="1" x14ac:dyDescent="0.4">
      <c r="B28791" s="3" t="s">
        <v>7</v>
      </c>
      <c r="C28791" s="3" t="s">
        <v>4655</v>
      </c>
      <c r="D28791" s="4">
        <f>DATE(2013,3,13)</f>
        <v>41346</v>
      </c>
      <c r="E28791" s="5">
        <f t="shared" si="489"/>
        <v>2013</v>
      </c>
      <c r="F28791" s="3" t="s">
        <v>4656</v>
      </c>
      <c r="G28791" s="6">
        <v>3629</v>
      </c>
      <c r="H28791" s="5">
        <v>5432</v>
      </c>
    </row>
    <row r="28792" spans="2:8" ht="15" customHeight="1" x14ac:dyDescent="0.4">
      <c r="B28792" s="3" t="s">
        <v>7</v>
      </c>
      <c r="C28792" s="3" t="s">
        <v>4655</v>
      </c>
      <c r="D28792" s="4">
        <f>DATE(2013,3,13)</f>
        <v>41346</v>
      </c>
      <c r="E28792" s="5">
        <f t="shared" si="489"/>
        <v>2013</v>
      </c>
      <c r="F28792" s="3" t="s">
        <v>4656</v>
      </c>
      <c r="G28792" s="6">
        <v>4950.05</v>
      </c>
      <c r="H28792" s="5">
        <v>5418</v>
      </c>
    </row>
    <row r="28793" spans="2:8" ht="15" customHeight="1" x14ac:dyDescent="0.4">
      <c r="B28793" s="3" t="s">
        <v>7</v>
      </c>
      <c r="C28793" s="3" t="s">
        <v>4655</v>
      </c>
      <c r="D28793" s="4">
        <f>DATE(2013,4,5)</f>
        <v>41369</v>
      </c>
      <c r="E28793" s="5">
        <f t="shared" si="489"/>
        <v>2013</v>
      </c>
      <c r="F28793" s="3" t="s">
        <v>4656</v>
      </c>
      <c r="G28793" s="6">
        <v>30006.87</v>
      </c>
      <c r="H28793" s="5">
        <v>5410</v>
      </c>
    </row>
    <row r="28794" spans="2:8" ht="15" customHeight="1" x14ac:dyDescent="0.4">
      <c r="B28794" s="3" t="s">
        <v>7</v>
      </c>
      <c r="C28794" s="3" t="s">
        <v>4655</v>
      </c>
      <c r="D28794" s="4">
        <f>DATE(2013,3,13)</f>
        <v>41346</v>
      </c>
      <c r="E28794" s="5">
        <f t="shared" si="489"/>
        <v>2013</v>
      </c>
      <c r="F28794" s="3" t="s">
        <v>4656</v>
      </c>
      <c r="G28794" s="6">
        <v>7281.41</v>
      </c>
      <c r="H28794" s="5">
        <v>5419</v>
      </c>
    </row>
    <row r="28795" spans="2:8" ht="15" customHeight="1" x14ac:dyDescent="0.4">
      <c r="B28795" s="3" t="s">
        <v>7</v>
      </c>
      <c r="C28795" s="3" t="s">
        <v>4655</v>
      </c>
      <c r="D28795" s="4">
        <f>DATE(2013,3,13)</f>
        <v>41346</v>
      </c>
      <c r="E28795" s="5">
        <f t="shared" si="489"/>
        <v>2013</v>
      </c>
      <c r="F28795" s="3" t="s">
        <v>4656</v>
      </c>
      <c r="G28795" s="6">
        <v>12463.2</v>
      </c>
      <c r="H28795" s="5">
        <v>5431</v>
      </c>
    </row>
    <row r="28796" spans="2:8" ht="15" customHeight="1" x14ac:dyDescent="0.4">
      <c r="B28796" s="3" t="s">
        <v>7</v>
      </c>
      <c r="C28796" s="3" t="s">
        <v>4655</v>
      </c>
      <c r="D28796" s="4">
        <f>DATE(2013,3,13)</f>
        <v>41346</v>
      </c>
      <c r="E28796" s="5">
        <f t="shared" si="489"/>
        <v>2013</v>
      </c>
      <c r="F28796" s="3" t="s">
        <v>4656</v>
      </c>
      <c r="G28796" s="6">
        <v>10034.31</v>
      </c>
      <c r="H28796" s="5">
        <v>5449</v>
      </c>
    </row>
    <row r="28797" spans="2:8" ht="15" customHeight="1" x14ac:dyDescent="0.4">
      <c r="B28797" s="3" t="s">
        <v>7</v>
      </c>
      <c r="C28797" s="3" t="s">
        <v>4655</v>
      </c>
      <c r="D28797" s="4">
        <f>DATE(2013,3,11)</f>
        <v>41344</v>
      </c>
      <c r="E28797" s="5">
        <f t="shared" si="489"/>
        <v>2013</v>
      </c>
      <c r="F28797" s="3" t="s">
        <v>4656</v>
      </c>
      <c r="G28797" s="6">
        <v>3784.5</v>
      </c>
      <c r="H28797" s="5">
        <v>5447</v>
      </c>
    </row>
    <row r="28798" spans="2:8" ht="15" customHeight="1" x14ac:dyDescent="0.4">
      <c r="B28798" s="3" t="s">
        <v>7</v>
      </c>
      <c r="C28798" s="3" t="s">
        <v>4655</v>
      </c>
      <c r="D28798" s="4">
        <f>DATE(2013,3,11)</f>
        <v>41344</v>
      </c>
      <c r="E28798" s="5">
        <f t="shared" si="489"/>
        <v>2013</v>
      </c>
      <c r="F28798" s="3" t="s">
        <v>4656</v>
      </c>
      <c r="G28798" s="6">
        <v>4449.7</v>
      </c>
      <c r="H28798" s="5">
        <v>5443</v>
      </c>
    </row>
    <row r="28799" spans="2:8" ht="15" customHeight="1" x14ac:dyDescent="0.4">
      <c r="B28799" s="3" t="s">
        <v>7</v>
      </c>
      <c r="C28799" s="3" t="s">
        <v>4655</v>
      </c>
      <c r="D28799" s="4">
        <f>DATE(2013,3,13)</f>
        <v>41346</v>
      </c>
      <c r="E28799" s="5">
        <f t="shared" si="489"/>
        <v>2013</v>
      </c>
      <c r="F28799" s="3" t="s">
        <v>4656</v>
      </c>
      <c r="G28799" s="6">
        <v>7971.73</v>
      </c>
      <c r="H28799" s="5">
        <v>5445</v>
      </c>
    </row>
    <row r="28800" spans="2:8" ht="15" customHeight="1" x14ac:dyDescent="0.4">
      <c r="B28800" s="3" t="s">
        <v>7</v>
      </c>
      <c r="C28800" s="3" t="s">
        <v>4655</v>
      </c>
      <c r="D28800" s="4">
        <f>DATE(2013,3,13)</f>
        <v>41346</v>
      </c>
      <c r="E28800" s="5">
        <f t="shared" si="489"/>
        <v>2013</v>
      </c>
      <c r="F28800" s="3" t="s">
        <v>4656</v>
      </c>
      <c r="G28800" s="6">
        <v>1211</v>
      </c>
      <c r="H28800" s="5">
        <v>5448</v>
      </c>
    </row>
    <row r="28801" spans="2:8" ht="15" customHeight="1" x14ac:dyDescent="0.4">
      <c r="B28801" s="3" t="s">
        <v>7</v>
      </c>
      <c r="C28801" s="3" t="s">
        <v>4655</v>
      </c>
      <c r="D28801" s="4">
        <f>DATE(2013,5,15)</f>
        <v>41409</v>
      </c>
      <c r="E28801" s="5">
        <f t="shared" si="489"/>
        <v>2013</v>
      </c>
      <c r="F28801" s="3" t="s">
        <v>4656</v>
      </c>
      <c r="G28801" s="6">
        <v>9922.34</v>
      </c>
      <c r="H28801" s="5">
        <v>5572</v>
      </c>
    </row>
    <row r="28802" spans="2:8" ht="15" customHeight="1" x14ac:dyDescent="0.4">
      <c r="B28802" t="s">
        <v>7</v>
      </c>
      <c r="C28802" t="s">
        <v>4657</v>
      </c>
      <c r="D28802" s="7">
        <f>DATE(2016,12,21)</f>
        <v>42725</v>
      </c>
      <c r="E28802" s="8">
        <f t="shared" si="489"/>
        <v>2016</v>
      </c>
      <c r="F28802" t="s">
        <v>4658</v>
      </c>
      <c r="G28802" s="9">
        <v>6322.52</v>
      </c>
      <c r="H28802" s="8">
        <v>23990</v>
      </c>
    </row>
    <row r="28803" spans="2:8" ht="15" customHeight="1" x14ac:dyDescent="0.4">
      <c r="B28803" t="s">
        <v>7</v>
      </c>
      <c r="C28803" t="s">
        <v>4655</v>
      </c>
      <c r="D28803" s="7">
        <f>DATE(2015,4,21)</f>
        <v>42115</v>
      </c>
      <c r="E28803" s="8">
        <f t="shared" ref="E28803:E28866" si="491">YEAR(D28803)</f>
        <v>2015</v>
      </c>
      <c r="F28803" t="s">
        <v>4659</v>
      </c>
      <c r="G28803" s="9">
        <v>26556.81</v>
      </c>
      <c r="H28803" s="8">
        <v>350</v>
      </c>
    </row>
    <row r="28804" spans="2:8" ht="15" customHeight="1" x14ac:dyDescent="0.4">
      <c r="B28804" t="s">
        <v>7</v>
      </c>
      <c r="C28804" t="s">
        <v>4655</v>
      </c>
      <c r="D28804" s="7">
        <f>DATE(2015,6,26)</f>
        <v>42181</v>
      </c>
      <c r="E28804" s="8">
        <f t="shared" si="491"/>
        <v>2015</v>
      </c>
      <c r="F28804" t="s">
        <v>4659</v>
      </c>
      <c r="G28804" s="9">
        <v>21927.31</v>
      </c>
      <c r="H28804" s="8">
        <v>20345</v>
      </c>
    </row>
    <row r="28805" spans="2:8" ht="15" customHeight="1" x14ac:dyDescent="0.4">
      <c r="B28805" t="s">
        <v>7</v>
      </c>
      <c r="C28805" t="s">
        <v>4655</v>
      </c>
      <c r="D28805" s="7">
        <f>DATE(2017,8,30)</f>
        <v>42977</v>
      </c>
      <c r="E28805" s="8">
        <f t="shared" si="491"/>
        <v>2017</v>
      </c>
      <c r="F28805" t="s">
        <v>4659</v>
      </c>
      <c r="G28805" s="9">
        <v>7709.5</v>
      </c>
      <c r="H28805" s="8">
        <v>25410</v>
      </c>
    </row>
    <row r="28806" spans="2:8" ht="15" customHeight="1" x14ac:dyDescent="0.4">
      <c r="B28806" t="s">
        <v>7</v>
      </c>
      <c r="C28806" t="s">
        <v>4655</v>
      </c>
      <c r="D28806" s="7">
        <f>DATE(2017,8,30)</f>
        <v>42977</v>
      </c>
      <c r="E28806" s="8">
        <f t="shared" si="491"/>
        <v>2017</v>
      </c>
      <c r="F28806" t="s">
        <v>4659</v>
      </c>
      <c r="G28806" s="9">
        <v>17024.71</v>
      </c>
      <c r="H28806" s="8">
        <v>25409</v>
      </c>
    </row>
    <row r="28807" spans="2:8" ht="15" customHeight="1" x14ac:dyDescent="0.4">
      <c r="B28807" t="s">
        <v>7</v>
      </c>
      <c r="C28807" t="s">
        <v>4655</v>
      </c>
      <c r="D28807" s="7">
        <f>DATE(2019,1,30)</f>
        <v>43495</v>
      </c>
      <c r="E28807" s="8">
        <f t="shared" si="491"/>
        <v>2019</v>
      </c>
      <c r="F28807" t="s">
        <v>4659</v>
      </c>
      <c r="G28807" s="9">
        <v>26609.97</v>
      </c>
      <c r="H28807" s="8">
        <v>28227</v>
      </c>
    </row>
    <row r="28808" spans="2:8" ht="15" customHeight="1" x14ac:dyDescent="0.4">
      <c r="B28808" t="s">
        <v>7</v>
      </c>
      <c r="C28808" t="s">
        <v>4655</v>
      </c>
      <c r="D28808" s="7">
        <f>DATE(2019,3,14)</f>
        <v>43538</v>
      </c>
      <c r="E28808" s="8">
        <f t="shared" si="491"/>
        <v>2019</v>
      </c>
      <c r="F28808" t="s">
        <v>4659</v>
      </c>
      <c r="G28808" s="9">
        <v>4298.5200000000004</v>
      </c>
      <c r="H28808" s="8">
        <v>28527</v>
      </c>
    </row>
    <row r="28809" spans="2:8" ht="15" customHeight="1" x14ac:dyDescent="0.4">
      <c r="B28809" t="s">
        <v>7</v>
      </c>
      <c r="C28809" t="s">
        <v>4655</v>
      </c>
      <c r="D28809" s="7">
        <f>DATE(2018,2,15)</f>
        <v>43146</v>
      </c>
      <c r="E28809" s="8">
        <f t="shared" si="491"/>
        <v>2018</v>
      </c>
      <c r="F28809" t="s">
        <v>4659</v>
      </c>
      <c r="G28809" s="9">
        <v>40000</v>
      </c>
      <c r="H28809" s="8">
        <v>26218</v>
      </c>
    </row>
    <row r="28810" spans="2:8" ht="15" customHeight="1" x14ac:dyDescent="0.4">
      <c r="B28810" t="s">
        <v>16</v>
      </c>
      <c r="C28810" t="s">
        <v>4655</v>
      </c>
      <c r="D28810" s="7">
        <f>DATE(2017,10,6)</f>
        <v>43014</v>
      </c>
      <c r="E28810" s="8">
        <f t="shared" si="491"/>
        <v>2017</v>
      </c>
      <c r="F28810" t="s">
        <v>4659</v>
      </c>
      <c r="G28810" s="9">
        <v>4668.2299999999996</v>
      </c>
      <c r="H28810" s="8">
        <v>25696</v>
      </c>
    </row>
    <row r="28811" spans="2:8" ht="15" customHeight="1" x14ac:dyDescent="0.4">
      <c r="B28811" t="s">
        <v>16</v>
      </c>
      <c r="C28811" t="s">
        <v>4655</v>
      </c>
      <c r="D28811" s="7">
        <f>DATE(2017,10,6)</f>
        <v>43014</v>
      </c>
      <c r="E28811" s="8">
        <f t="shared" si="491"/>
        <v>2017</v>
      </c>
      <c r="F28811" t="s">
        <v>4659</v>
      </c>
      <c r="G28811" s="9">
        <v>5089</v>
      </c>
      <c r="H28811" s="8">
        <v>25698</v>
      </c>
    </row>
    <row r="28812" spans="2:8" ht="15" customHeight="1" x14ac:dyDescent="0.4">
      <c r="B28812" t="s">
        <v>16</v>
      </c>
      <c r="C28812" t="s">
        <v>4655</v>
      </c>
      <c r="D28812" s="7">
        <f>DATE(2018,8,7)</f>
        <v>43319</v>
      </c>
      <c r="E28812" s="8">
        <f t="shared" si="491"/>
        <v>2018</v>
      </c>
      <c r="F28812" t="s">
        <v>4659</v>
      </c>
      <c r="G28812" s="9">
        <v>12356.48</v>
      </c>
      <c r="H28812" s="8">
        <v>27458</v>
      </c>
    </row>
    <row r="28813" spans="2:8" ht="15" customHeight="1" x14ac:dyDescent="0.4">
      <c r="B28813" t="s">
        <v>16</v>
      </c>
      <c r="C28813" t="s">
        <v>4655</v>
      </c>
      <c r="D28813" s="7">
        <f>DATE(2018,8,7)</f>
        <v>43319</v>
      </c>
      <c r="E28813" s="8">
        <f t="shared" si="491"/>
        <v>2018</v>
      </c>
      <c r="F28813" t="s">
        <v>4659</v>
      </c>
      <c r="G28813" s="9">
        <v>2620.5</v>
      </c>
      <c r="H28813" s="8">
        <v>27459</v>
      </c>
    </row>
    <row r="28814" spans="2:8" ht="15" customHeight="1" x14ac:dyDescent="0.4">
      <c r="B28814" s="3" t="s">
        <v>7</v>
      </c>
      <c r="C28814" s="3" t="s">
        <v>4655</v>
      </c>
      <c r="D28814" s="4">
        <f>DATE(2013,9,11)</f>
        <v>41528</v>
      </c>
      <c r="E28814" s="5">
        <f t="shared" si="491"/>
        <v>2013</v>
      </c>
      <c r="F28814" s="3" t="s">
        <v>4659</v>
      </c>
      <c r="G28814" s="6">
        <v>40059.64</v>
      </c>
      <c r="H28814" s="5">
        <v>5739</v>
      </c>
    </row>
    <row r="28815" spans="2:8" ht="15" customHeight="1" x14ac:dyDescent="0.4">
      <c r="B28815" s="3" t="s">
        <v>7</v>
      </c>
      <c r="C28815" s="3" t="s">
        <v>4655</v>
      </c>
      <c r="D28815" s="4">
        <f>DATE(2013,11,11)</f>
        <v>41589</v>
      </c>
      <c r="E28815" s="5">
        <f t="shared" si="491"/>
        <v>2013</v>
      </c>
      <c r="F28815" s="3" t="s">
        <v>4659</v>
      </c>
      <c r="G28815" s="6">
        <v>23229.24</v>
      </c>
      <c r="H28815" s="5">
        <v>5836</v>
      </c>
    </row>
    <row r="28816" spans="2:8" ht="15" customHeight="1" x14ac:dyDescent="0.4">
      <c r="B28816" s="3" t="s">
        <v>7</v>
      </c>
      <c r="C28816" s="3" t="s">
        <v>4655</v>
      </c>
      <c r="D28816" s="4">
        <f>DATE(2014,2,19)</f>
        <v>41689</v>
      </c>
      <c r="E28816" s="5">
        <f t="shared" si="491"/>
        <v>2014</v>
      </c>
      <c r="F28816" s="3" t="s">
        <v>4659</v>
      </c>
      <c r="G28816" s="6">
        <v>28167.88</v>
      </c>
      <c r="H28816" s="5">
        <v>5996</v>
      </c>
    </row>
    <row r="28817" spans="2:8" ht="15" customHeight="1" x14ac:dyDescent="0.4">
      <c r="B28817" s="3" t="s">
        <v>7</v>
      </c>
      <c r="C28817" s="3" t="s">
        <v>4655</v>
      </c>
      <c r="D28817" s="4">
        <f>DATE(2014,5,6)</f>
        <v>41765</v>
      </c>
      <c r="E28817" s="5">
        <f t="shared" si="491"/>
        <v>2014</v>
      </c>
      <c r="F28817" s="3" t="s">
        <v>4659</v>
      </c>
      <c r="G28817" s="6">
        <v>22993.4</v>
      </c>
      <c r="H28817" s="5">
        <v>6150</v>
      </c>
    </row>
    <row r="28818" spans="2:8" ht="15" customHeight="1" x14ac:dyDescent="0.4">
      <c r="B28818" s="3" t="s">
        <v>7</v>
      </c>
      <c r="C28818" s="3" t="s">
        <v>4655</v>
      </c>
      <c r="D28818" s="4">
        <f>DATE(2014,10,28)</f>
        <v>41940</v>
      </c>
      <c r="E28818" s="5">
        <f t="shared" si="491"/>
        <v>2014</v>
      </c>
      <c r="F28818" s="3" t="s">
        <v>4659</v>
      </c>
      <c r="G28818" s="6">
        <v>19034.45</v>
      </c>
      <c r="H28818" s="5">
        <v>6351</v>
      </c>
    </row>
    <row r="28819" spans="2:8" ht="15" customHeight="1" x14ac:dyDescent="0.4">
      <c r="B28819" s="3" t="s">
        <v>16</v>
      </c>
      <c r="C28819" s="3" t="s">
        <v>4655</v>
      </c>
      <c r="D28819" s="4">
        <f>DATE(2013,11,11)</f>
        <v>41589</v>
      </c>
      <c r="E28819" s="5">
        <f t="shared" si="491"/>
        <v>2013</v>
      </c>
      <c r="F28819" s="3" t="s">
        <v>4659</v>
      </c>
      <c r="G28819" s="6">
        <v>12059.64</v>
      </c>
      <c r="H28819" s="5">
        <v>5878</v>
      </c>
    </row>
    <row r="28820" spans="2:8" ht="15" customHeight="1" x14ac:dyDescent="0.4">
      <c r="B28820" t="s">
        <v>7</v>
      </c>
      <c r="C28820" t="s">
        <v>4651</v>
      </c>
      <c r="D28820" s="7">
        <f>DATE(2015,3,24)</f>
        <v>42087</v>
      </c>
      <c r="E28820" s="8">
        <f t="shared" si="491"/>
        <v>2015</v>
      </c>
      <c r="F28820" t="s">
        <v>4660</v>
      </c>
      <c r="G28820" s="9">
        <v>23912.22</v>
      </c>
      <c r="H28820" s="8">
        <v>5021</v>
      </c>
    </row>
    <row r="28821" spans="2:8" ht="15" customHeight="1" x14ac:dyDescent="0.4">
      <c r="B28821" t="s">
        <v>7</v>
      </c>
      <c r="C28821" t="s">
        <v>4651</v>
      </c>
      <c r="D28821" s="7">
        <f>DATE(2015,7,2)</f>
        <v>42187</v>
      </c>
      <c r="E28821" s="8">
        <f t="shared" si="491"/>
        <v>2015</v>
      </c>
      <c r="F28821" t="s">
        <v>4660</v>
      </c>
      <c r="G28821" s="9">
        <v>46202.12</v>
      </c>
      <c r="H28821" s="8">
        <v>20760</v>
      </c>
    </row>
    <row r="28822" spans="2:8" ht="15" customHeight="1" x14ac:dyDescent="0.4">
      <c r="B28822" t="s">
        <v>7</v>
      </c>
      <c r="C28822" t="s">
        <v>4653</v>
      </c>
      <c r="D28822" s="7">
        <f>DATE(2015,11,11)</f>
        <v>42319</v>
      </c>
      <c r="E28822" s="8">
        <f t="shared" si="491"/>
        <v>2015</v>
      </c>
      <c r="F28822" t="s">
        <v>4661</v>
      </c>
      <c r="G28822" s="9">
        <v>21058.33</v>
      </c>
      <c r="H28822" s="8">
        <v>21338</v>
      </c>
    </row>
    <row r="28823" spans="2:8" ht="15" customHeight="1" x14ac:dyDescent="0.4">
      <c r="B28823" t="s">
        <v>7</v>
      </c>
      <c r="C28823" t="s">
        <v>4653</v>
      </c>
      <c r="D28823" s="7">
        <f>DATE(2016,8,1)</f>
        <v>42583</v>
      </c>
      <c r="E28823" s="8">
        <f t="shared" si="491"/>
        <v>2016</v>
      </c>
      <c r="F28823" t="s">
        <v>4661</v>
      </c>
      <c r="G28823" s="9">
        <v>105054.03</v>
      </c>
      <c r="H28823" s="8">
        <v>22816</v>
      </c>
    </row>
    <row r="28824" spans="2:8" ht="15" customHeight="1" x14ac:dyDescent="0.4">
      <c r="B28824" t="s">
        <v>7</v>
      </c>
      <c r="C28824" t="s">
        <v>4653</v>
      </c>
      <c r="D28824" s="7">
        <f>DATE(2016,9,14)</f>
        <v>42627</v>
      </c>
      <c r="E28824" s="8">
        <f t="shared" si="491"/>
        <v>2016</v>
      </c>
      <c r="F28824" t="s">
        <v>4661</v>
      </c>
      <c r="G28824" s="9">
        <v>39124.5</v>
      </c>
      <c r="H28824" s="8">
        <v>23335</v>
      </c>
    </row>
    <row r="28825" spans="2:8" ht="15" customHeight="1" x14ac:dyDescent="0.4">
      <c r="B28825" s="3" t="s">
        <v>7</v>
      </c>
      <c r="C28825" s="3" t="s">
        <v>4653</v>
      </c>
      <c r="D28825" s="4">
        <f>DATE(2013,7,18)</f>
        <v>41473</v>
      </c>
      <c r="E28825" s="5">
        <f t="shared" si="491"/>
        <v>2013</v>
      </c>
      <c r="F28825" s="3" t="s">
        <v>4661</v>
      </c>
      <c r="G28825" s="6">
        <v>15005.71</v>
      </c>
      <c r="H28825" s="5">
        <v>5583</v>
      </c>
    </row>
    <row r="28826" spans="2:8" ht="15" customHeight="1" x14ac:dyDescent="0.4">
      <c r="B28826" s="3" t="s">
        <v>7</v>
      </c>
      <c r="C28826" s="3" t="s">
        <v>4653</v>
      </c>
      <c r="D28826" s="4">
        <f>DATE(2014,7,9)</f>
        <v>41829</v>
      </c>
      <c r="E28826" s="5">
        <f t="shared" si="491"/>
        <v>2014</v>
      </c>
      <c r="F28826" s="3" t="s">
        <v>4661</v>
      </c>
      <c r="G28826" s="6">
        <v>100824.27</v>
      </c>
      <c r="H28826" s="5">
        <v>6060</v>
      </c>
    </row>
    <row r="28827" spans="2:8" ht="15" customHeight="1" x14ac:dyDescent="0.4">
      <c r="B28827" s="3" t="s">
        <v>7</v>
      </c>
      <c r="C28827" s="3" t="s">
        <v>4653</v>
      </c>
      <c r="D28827" s="4">
        <f>DATE(2014,8,21)</f>
        <v>41872</v>
      </c>
      <c r="E28827" s="5">
        <f t="shared" si="491"/>
        <v>2014</v>
      </c>
      <c r="F28827" s="3" t="s">
        <v>4661</v>
      </c>
      <c r="G28827" s="6">
        <v>98807.79</v>
      </c>
      <c r="H28827" s="5">
        <v>6349</v>
      </c>
    </row>
    <row r="28828" spans="2:8" ht="15" customHeight="1" x14ac:dyDescent="0.4">
      <c r="B28828" s="3" t="s">
        <v>7</v>
      </c>
      <c r="C28828" s="3" t="s">
        <v>4653</v>
      </c>
      <c r="D28828" s="4">
        <f>DATE(2014,10,28)</f>
        <v>41940</v>
      </c>
      <c r="E28828" s="5">
        <f t="shared" si="491"/>
        <v>2014</v>
      </c>
      <c r="F28828" s="3" t="s">
        <v>4661</v>
      </c>
      <c r="G28828" s="6">
        <v>22385.83</v>
      </c>
      <c r="H28828" s="5">
        <v>6302</v>
      </c>
    </row>
    <row r="28829" spans="2:8" ht="15" customHeight="1" x14ac:dyDescent="0.4">
      <c r="B28829" s="3" t="s">
        <v>16</v>
      </c>
      <c r="C28829" s="3" t="s">
        <v>4653</v>
      </c>
      <c r="D28829" s="4">
        <f>DATE(2014,8,21)</f>
        <v>41872</v>
      </c>
      <c r="E28829" s="5">
        <f t="shared" si="491"/>
        <v>2014</v>
      </c>
      <c r="F28829" s="3" t="s">
        <v>4661</v>
      </c>
      <c r="G28829" s="6">
        <v>100824.27</v>
      </c>
      <c r="H28829" s="5">
        <v>6350</v>
      </c>
    </row>
    <row r="28830" spans="2:8" ht="15" customHeight="1" x14ac:dyDescent="0.4">
      <c r="B28830" s="3" t="s">
        <v>7</v>
      </c>
      <c r="C28830" s="3" t="s">
        <v>4655</v>
      </c>
      <c r="D28830" s="4">
        <f>DATE(2013,3,11)</f>
        <v>41344</v>
      </c>
      <c r="E28830" s="5">
        <f t="shared" si="491"/>
        <v>2013</v>
      </c>
      <c r="F28830" s="3" t="s">
        <v>4662</v>
      </c>
      <c r="G28830" s="6">
        <v>42911.41</v>
      </c>
      <c r="H28830" s="5">
        <v>5382</v>
      </c>
    </row>
    <row r="28831" spans="2:8" ht="15" customHeight="1" x14ac:dyDescent="0.4">
      <c r="B28831" t="s">
        <v>7</v>
      </c>
      <c r="C28831" t="s">
        <v>4663</v>
      </c>
      <c r="D28831" s="7">
        <f>DATE(2016,5,2)</f>
        <v>42492</v>
      </c>
      <c r="E28831" s="8">
        <f t="shared" si="491"/>
        <v>2016</v>
      </c>
      <c r="F28831" t="s">
        <v>4664</v>
      </c>
      <c r="G28831" s="9">
        <v>18039.810000000001</v>
      </c>
      <c r="H28831" s="8">
        <v>22535</v>
      </c>
    </row>
    <row r="28832" spans="2:8" ht="15" customHeight="1" x14ac:dyDescent="0.4">
      <c r="B28832" s="3" t="s">
        <v>7</v>
      </c>
      <c r="C28832" s="3" t="s">
        <v>4663</v>
      </c>
      <c r="D28832" s="4">
        <f>DATE(2011,9,8)</f>
        <v>40794</v>
      </c>
      <c r="E28832" s="5">
        <f t="shared" si="491"/>
        <v>2011</v>
      </c>
      <c r="F28832" s="3" t="s">
        <v>4664</v>
      </c>
      <c r="G28832" s="6">
        <v>6306.8</v>
      </c>
      <c r="H28832" s="5">
        <v>4586</v>
      </c>
    </row>
    <row r="28833" spans="2:8" ht="15" customHeight="1" x14ac:dyDescent="0.4">
      <c r="B28833" s="3" t="s">
        <v>7</v>
      </c>
      <c r="C28833" s="3" t="s">
        <v>4663</v>
      </c>
      <c r="D28833" s="4">
        <f>DATE(2011,9,8)</f>
        <v>40794</v>
      </c>
      <c r="E28833" s="5">
        <f t="shared" si="491"/>
        <v>2011</v>
      </c>
      <c r="F28833" s="3" t="s">
        <v>4664</v>
      </c>
      <c r="G28833" s="6">
        <v>8620.35</v>
      </c>
      <c r="H28833" s="5">
        <v>4585</v>
      </c>
    </row>
    <row r="28834" spans="2:8" ht="15" customHeight="1" x14ac:dyDescent="0.4">
      <c r="B28834" t="s">
        <v>7</v>
      </c>
      <c r="C28834" t="s">
        <v>4665</v>
      </c>
      <c r="D28834" s="7">
        <f>DATE(2007,6,6)</f>
        <v>39239</v>
      </c>
      <c r="E28834" s="8">
        <f t="shared" si="491"/>
        <v>2007</v>
      </c>
      <c r="F28834" t="s">
        <v>4666</v>
      </c>
      <c r="G28834" s="9">
        <v>3130.68</v>
      </c>
      <c r="H28834" s="8">
        <v>6065</v>
      </c>
    </row>
    <row r="28835" spans="2:8" ht="15" customHeight="1" x14ac:dyDescent="0.4">
      <c r="B28835" s="3" t="s">
        <v>7</v>
      </c>
      <c r="C28835" s="3" t="s">
        <v>1538</v>
      </c>
      <c r="D28835" s="4">
        <f>DATE(2003,3,4)</f>
        <v>37684</v>
      </c>
      <c r="E28835" s="5">
        <f t="shared" si="491"/>
        <v>2003</v>
      </c>
      <c r="F28835" s="3" t="s">
        <v>4667</v>
      </c>
      <c r="G28835" s="6">
        <v>14202.18</v>
      </c>
      <c r="H28835" s="5">
        <v>50</v>
      </c>
    </row>
    <row r="28836" spans="2:8" ht="15" customHeight="1" x14ac:dyDescent="0.4">
      <c r="B28836" s="3" t="s">
        <v>16</v>
      </c>
      <c r="C28836" s="3" t="s">
        <v>1538</v>
      </c>
      <c r="D28836" s="4">
        <f>DATE(2003,3,4)</f>
        <v>37684</v>
      </c>
      <c r="E28836" s="5">
        <f t="shared" si="491"/>
        <v>2003</v>
      </c>
      <c r="F28836" s="3" t="s">
        <v>4667</v>
      </c>
      <c r="G28836" s="6">
        <v>1082.3900000000001</v>
      </c>
      <c r="H28836" s="5">
        <v>116</v>
      </c>
    </row>
    <row r="28837" spans="2:8" ht="15" customHeight="1" x14ac:dyDescent="0.4">
      <c r="B28837" t="s">
        <v>7</v>
      </c>
      <c r="C28837" t="s">
        <v>3613</v>
      </c>
      <c r="D28837" s="7">
        <f>DATE(2015,4,3)</f>
        <v>42097</v>
      </c>
      <c r="E28837" s="8">
        <f t="shared" si="491"/>
        <v>2015</v>
      </c>
      <c r="F28837" t="s">
        <v>4668</v>
      </c>
      <c r="G28837" s="9">
        <v>10870</v>
      </c>
      <c r="H28837" s="8">
        <v>233</v>
      </c>
    </row>
    <row r="28838" spans="2:8" ht="15" customHeight="1" x14ac:dyDescent="0.4">
      <c r="B28838" t="s">
        <v>7</v>
      </c>
      <c r="C28838" t="s">
        <v>3613</v>
      </c>
      <c r="D28838" s="7">
        <f>DATE(2015,5,12)</f>
        <v>42136</v>
      </c>
      <c r="E28838" s="8">
        <f t="shared" si="491"/>
        <v>2015</v>
      </c>
      <c r="F28838" t="s">
        <v>4668</v>
      </c>
      <c r="G28838" s="9">
        <v>3364.8</v>
      </c>
      <c r="H28838" s="8">
        <v>20529</v>
      </c>
    </row>
    <row r="28839" spans="2:8" ht="15" customHeight="1" x14ac:dyDescent="0.4">
      <c r="B28839" t="s">
        <v>7</v>
      </c>
      <c r="C28839" t="s">
        <v>3613</v>
      </c>
      <c r="D28839" s="7">
        <f>DATE(2003,4,23)</f>
        <v>37734</v>
      </c>
      <c r="E28839" s="8">
        <f t="shared" si="491"/>
        <v>2003</v>
      </c>
      <c r="F28839" t="s">
        <v>4668</v>
      </c>
      <c r="G28839" s="9">
        <v>8175</v>
      </c>
      <c r="H28839" s="8">
        <v>196</v>
      </c>
    </row>
    <row r="28840" spans="2:8" ht="15" customHeight="1" x14ac:dyDescent="0.4">
      <c r="B28840" t="s">
        <v>7</v>
      </c>
      <c r="C28840" t="s">
        <v>3613</v>
      </c>
      <c r="D28840" s="7">
        <f>DATE(2004,4,19)</f>
        <v>38096</v>
      </c>
      <c r="E28840" s="8">
        <f t="shared" si="491"/>
        <v>2004</v>
      </c>
      <c r="F28840" t="s">
        <v>4668</v>
      </c>
      <c r="G28840" s="9">
        <v>8175</v>
      </c>
      <c r="H28840" s="8">
        <v>1415</v>
      </c>
    </row>
    <row r="28841" spans="2:8" ht="15" customHeight="1" x14ac:dyDescent="0.4">
      <c r="B28841" t="s">
        <v>7</v>
      </c>
      <c r="C28841" t="s">
        <v>3613</v>
      </c>
      <c r="D28841" s="7">
        <f>DATE(2007,8,8)</f>
        <v>39302</v>
      </c>
      <c r="E28841" s="8">
        <f t="shared" si="491"/>
        <v>2007</v>
      </c>
      <c r="F28841" t="s">
        <v>4668</v>
      </c>
      <c r="G28841" s="9">
        <v>2002.22</v>
      </c>
      <c r="H28841" s="8">
        <v>6251</v>
      </c>
    </row>
    <row r="28842" spans="2:8" ht="15" customHeight="1" x14ac:dyDescent="0.4">
      <c r="B28842" t="s">
        <v>7</v>
      </c>
      <c r="C28842" t="s">
        <v>3613</v>
      </c>
      <c r="D28842" s="7">
        <f>DATE(2008,3,19)</f>
        <v>39526</v>
      </c>
      <c r="E28842" s="8">
        <f t="shared" si="491"/>
        <v>2008</v>
      </c>
      <c r="F28842" t="s">
        <v>4668</v>
      </c>
      <c r="G28842" s="9">
        <v>2149.94</v>
      </c>
      <c r="H28842" s="8">
        <v>7228</v>
      </c>
    </row>
    <row r="28843" spans="2:8" ht="15" customHeight="1" x14ac:dyDescent="0.4">
      <c r="B28843" t="s">
        <v>7</v>
      </c>
      <c r="C28843" t="s">
        <v>3613</v>
      </c>
      <c r="D28843" s="7">
        <f>DATE(2009,1,22)</f>
        <v>39835</v>
      </c>
      <c r="E28843" s="8">
        <f t="shared" si="491"/>
        <v>2009</v>
      </c>
      <c r="F28843" t="s">
        <v>4668</v>
      </c>
      <c r="G28843" s="9">
        <v>2107.84</v>
      </c>
      <c r="H28843" s="8">
        <v>8253</v>
      </c>
    </row>
    <row r="28844" spans="2:8" ht="15" customHeight="1" x14ac:dyDescent="0.4">
      <c r="B28844" t="s">
        <v>7</v>
      </c>
      <c r="C28844" t="s">
        <v>3613</v>
      </c>
      <c r="D28844" s="7">
        <f>DATE(2009,4,29)</f>
        <v>39932</v>
      </c>
      <c r="E28844" s="8">
        <f t="shared" si="491"/>
        <v>2009</v>
      </c>
      <c r="F28844" t="s">
        <v>4668</v>
      </c>
      <c r="G28844" s="9">
        <v>11547.1</v>
      </c>
      <c r="H28844" s="8">
        <v>8622</v>
      </c>
    </row>
    <row r="28845" spans="2:8" ht="15" customHeight="1" x14ac:dyDescent="0.4">
      <c r="B28845" t="s">
        <v>7</v>
      </c>
      <c r="C28845" t="s">
        <v>3613</v>
      </c>
      <c r="D28845" s="7">
        <f>DATE(2010,4,14)</f>
        <v>40282</v>
      </c>
      <c r="E28845" s="8">
        <f t="shared" si="491"/>
        <v>2010</v>
      </c>
      <c r="F28845" t="s">
        <v>4668</v>
      </c>
      <c r="G28845" s="9">
        <v>8480</v>
      </c>
      <c r="H28845" s="8">
        <v>9540</v>
      </c>
    </row>
    <row r="28846" spans="2:8" ht="15" customHeight="1" x14ac:dyDescent="0.4">
      <c r="B28846" t="s">
        <v>7</v>
      </c>
      <c r="C28846" t="s">
        <v>3613</v>
      </c>
      <c r="D28846" s="7">
        <f>DATE(2011,5,3)</f>
        <v>40666</v>
      </c>
      <c r="E28846" s="8">
        <f t="shared" si="491"/>
        <v>2011</v>
      </c>
      <c r="F28846" t="s">
        <v>4668</v>
      </c>
      <c r="G28846" s="9">
        <v>8700</v>
      </c>
      <c r="H28846" s="8">
        <v>10569</v>
      </c>
    </row>
    <row r="28847" spans="2:8" ht="15" customHeight="1" x14ac:dyDescent="0.4">
      <c r="B28847" t="s">
        <v>7</v>
      </c>
      <c r="C28847" t="s">
        <v>3613</v>
      </c>
      <c r="D28847" s="7">
        <f>DATE(2012,4,24)</f>
        <v>41023</v>
      </c>
      <c r="E28847" s="8">
        <f t="shared" si="491"/>
        <v>2012</v>
      </c>
      <c r="F28847" t="s">
        <v>4668</v>
      </c>
      <c r="G28847" s="9">
        <v>8700</v>
      </c>
      <c r="H28847" s="8">
        <v>11388</v>
      </c>
    </row>
    <row r="28848" spans="2:8" ht="15" customHeight="1" x14ac:dyDescent="0.4">
      <c r="B28848" t="s">
        <v>7</v>
      </c>
      <c r="C28848" t="s">
        <v>3613</v>
      </c>
      <c r="D28848" s="7">
        <f>DATE(2013,4,15)</f>
        <v>41379</v>
      </c>
      <c r="E28848" s="8">
        <f t="shared" si="491"/>
        <v>2013</v>
      </c>
      <c r="F28848" t="s">
        <v>4668</v>
      </c>
      <c r="G28848" s="9">
        <v>8950</v>
      </c>
      <c r="H28848" s="8">
        <v>12142</v>
      </c>
    </row>
    <row r="28849" spans="2:8" ht="15" customHeight="1" x14ac:dyDescent="0.4">
      <c r="B28849" t="s">
        <v>7</v>
      </c>
      <c r="C28849" t="s">
        <v>3613</v>
      </c>
      <c r="D28849" s="7">
        <f>DATE(2014,5,6)</f>
        <v>41765</v>
      </c>
      <c r="E28849" s="8">
        <f t="shared" si="491"/>
        <v>2014</v>
      </c>
      <c r="F28849" t="s">
        <v>4668</v>
      </c>
      <c r="G28849" s="9">
        <v>8950</v>
      </c>
      <c r="H28849" s="8">
        <v>12922</v>
      </c>
    </row>
    <row r="28850" spans="2:8" ht="15" customHeight="1" x14ac:dyDescent="0.4">
      <c r="B28850" s="3" t="s">
        <v>7</v>
      </c>
      <c r="C28850" s="3" t="s">
        <v>3613</v>
      </c>
      <c r="D28850" s="4">
        <f>DATE(2007,3,19)</f>
        <v>39160</v>
      </c>
      <c r="E28850" s="5">
        <f t="shared" si="491"/>
        <v>2007</v>
      </c>
      <c r="F28850" s="3" t="s">
        <v>4668</v>
      </c>
      <c r="G28850" s="6">
        <v>14533.91</v>
      </c>
      <c r="H28850" s="5">
        <v>8090</v>
      </c>
    </row>
    <row r="28851" spans="2:8" ht="15" customHeight="1" x14ac:dyDescent="0.4">
      <c r="B28851" s="3" t="s">
        <v>7</v>
      </c>
      <c r="C28851" s="3" t="s">
        <v>3613</v>
      </c>
      <c r="D28851" s="4">
        <f>DATE(2007,6,1)</f>
        <v>39234</v>
      </c>
      <c r="E28851" s="5">
        <f t="shared" si="491"/>
        <v>2007</v>
      </c>
      <c r="F28851" s="3" t="s">
        <v>4668</v>
      </c>
      <c r="G28851" s="6">
        <v>11792.41</v>
      </c>
      <c r="H28851" s="5">
        <v>8626</v>
      </c>
    </row>
    <row r="28852" spans="2:8" ht="15" customHeight="1" x14ac:dyDescent="0.4">
      <c r="B28852" s="3" t="s">
        <v>7</v>
      </c>
      <c r="C28852" s="3" t="s">
        <v>3613</v>
      </c>
      <c r="D28852" s="4">
        <f>DATE(2007,6,18)</f>
        <v>39251</v>
      </c>
      <c r="E28852" s="5">
        <f t="shared" si="491"/>
        <v>2007</v>
      </c>
      <c r="F28852" s="3" t="s">
        <v>4668</v>
      </c>
      <c r="G28852" s="6">
        <v>272.17</v>
      </c>
      <c r="H28852" s="5">
        <v>8787</v>
      </c>
    </row>
    <row r="28853" spans="2:8" ht="15" customHeight="1" x14ac:dyDescent="0.4">
      <c r="B28853" s="3" t="s">
        <v>7</v>
      </c>
      <c r="C28853" s="3" t="s">
        <v>3613</v>
      </c>
      <c r="D28853" s="4">
        <f>DATE(2008,4,10)</f>
        <v>39548</v>
      </c>
      <c r="E28853" s="5">
        <f t="shared" si="491"/>
        <v>2008</v>
      </c>
      <c r="F28853" s="3" t="s">
        <v>4668</v>
      </c>
      <c r="G28853" s="6">
        <v>12461.31</v>
      </c>
      <c r="H28853" s="5">
        <v>10388</v>
      </c>
    </row>
    <row r="28854" spans="2:8" ht="15" customHeight="1" x14ac:dyDescent="0.4">
      <c r="B28854" s="3" t="s">
        <v>7</v>
      </c>
      <c r="C28854" s="3" t="s">
        <v>3613</v>
      </c>
      <c r="D28854" s="4">
        <f>DATE(2008,10,6)</f>
        <v>39727</v>
      </c>
      <c r="E28854" s="5">
        <f t="shared" si="491"/>
        <v>2008</v>
      </c>
      <c r="F28854" s="3" t="s">
        <v>4668</v>
      </c>
      <c r="G28854" s="6">
        <v>12463.04</v>
      </c>
      <c r="H28854" s="5">
        <v>11352</v>
      </c>
    </row>
    <row r="28855" spans="2:8" ht="15" customHeight="1" x14ac:dyDescent="0.4">
      <c r="B28855" t="s">
        <v>7</v>
      </c>
      <c r="C28855" t="s">
        <v>4669</v>
      </c>
      <c r="D28855" s="7">
        <f>DATE(2006,9,23)</f>
        <v>38983</v>
      </c>
      <c r="E28855" s="8">
        <f t="shared" si="491"/>
        <v>2006</v>
      </c>
      <c r="F28855" t="s">
        <v>4670</v>
      </c>
      <c r="G28855" s="9">
        <v>3207.44</v>
      </c>
      <c r="H28855" s="8">
        <v>5022</v>
      </c>
    </row>
    <row r="28856" spans="2:8" ht="15" customHeight="1" x14ac:dyDescent="0.4">
      <c r="B28856" t="s">
        <v>7</v>
      </c>
      <c r="C28856" t="s">
        <v>4669</v>
      </c>
      <c r="D28856" s="7">
        <f>DATE(2007,1,25)</f>
        <v>39107</v>
      </c>
      <c r="E28856" s="8">
        <f t="shared" si="491"/>
        <v>2007</v>
      </c>
      <c r="F28856" t="s">
        <v>4670</v>
      </c>
      <c r="G28856" s="9">
        <v>3757.52</v>
      </c>
      <c r="H28856" s="8">
        <v>5447</v>
      </c>
    </row>
    <row r="28857" spans="2:8" ht="15" customHeight="1" x14ac:dyDescent="0.4">
      <c r="B28857" t="s">
        <v>7</v>
      </c>
      <c r="C28857" t="s">
        <v>4671</v>
      </c>
      <c r="D28857" s="7">
        <f>DATE(2017,7,19)</f>
        <v>42935</v>
      </c>
      <c r="E28857" s="8">
        <f t="shared" si="491"/>
        <v>2017</v>
      </c>
      <c r="F28857" t="s">
        <v>4672</v>
      </c>
      <c r="G28857" s="9">
        <v>16039.25</v>
      </c>
      <c r="H28857" s="8">
        <v>25212</v>
      </c>
    </row>
    <row r="28858" spans="2:8" ht="15" customHeight="1" x14ac:dyDescent="0.4">
      <c r="B28858" t="s">
        <v>7</v>
      </c>
      <c r="C28858" t="s">
        <v>548</v>
      </c>
      <c r="D28858" s="7">
        <f>DATE(2017,12,6)</f>
        <v>43075</v>
      </c>
      <c r="E28858" s="8">
        <f t="shared" si="491"/>
        <v>2017</v>
      </c>
      <c r="F28858" t="s">
        <v>4673</v>
      </c>
      <c r="G28858" s="9">
        <v>4585.22</v>
      </c>
      <c r="H28858" s="8">
        <v>25927</v>
      </c>
    </row>
    <row r="28859" spans="2:8" ht="15" customHeight="1" x14ac:dyDescent="0.4">
      <c r="B28859" t="s">
        <v>7</v>
      </c>
      <c r="C28859" t="s">
        <v>548</v>
      </c>
      <c r="D28859" s="7">
        <f>DATE(2018,6,27)</f>
        <v>43278</v>
      </c>
      <c r="E28859" s="8">
        <f t="shared" si="491"/>
        <v>2018</v>
      </c>
      <c r="F28859" t="s">
        <v>4673</v>
      </c>
      <c r="G28859" s="9">
        <v>3700.4</v>
      </c>
      <c r="H28859" s="8">
        <v>27181</v>
      </c>
    </row>
    <row r="28860" spans="2:8" ht="15" customHeight="1" x14ac:dyDescent="0.4">
      <c r="B28860" t="s">
        <v>7</v>
      </c>
      <c r="C28860" t="s">
        <v>548</v>
      </c>
      <c r="D28860" s="7">
        <f>DATE(2007,2,16)</f>
        <v>39129</v>
      </c>
      <c r="E28860" s="8">
        <f t="shared" si="491"/>
        <v>2007</v>
      </c>
      <c r="F28860" t="s">
        <v>4673</v>
      </c>
      <c r="G28860" s="9">
        <v>2610.9499999999998</v>
      </c>
      <c r="H28860" s="8">
        <v>5530</v>
      </c>
    </row>
    <row r="28861" spans="2:8" ht="15" customHeight="1" x14ac:dyDescent="0.4">
      <c r="B28861" t="s">
        <v>7</v>
      </c>
      <c r="C28861" t="s">
        <v>548</v>
      </c>
      <c r="D28861" s="7">
        <f>DATE(2007,8,15)</f>
        <v>39309</v>
      </c>
      <c r="E28861" s="8">
        <f t="shared" si="491"/>
        <v>2007</v>
      </c>
      <c r="F28861" t="s">
        <v>4673</v>
      </c>
      <c r="G28861" s="9">
        <v>3376.31</v>
      </c>
      <c r="H28861" s="8">
        <v>6236</v>
      </c>
    </row>
    <row r="28862" spans="2:8" ht="15" customHeight="1" x14ac:dyDescent="0.4">
      <c r="B28862" t="s">
        <v>7</v>
      </c>
      <c r="C28862" t="s">
        <v>548</v>
      </c>
      <c r="D28862" s="7">
        <f>DATE(2010,9,29)</f>
        <v>40450</v>
      </c>
      <c r="E28862" s="8">
        <f t="shared" si="491"/>
        <v>2010</v>
      </c>
      <c r="F28862" t="s">
        <v>4673</v>
      </c>
      <c r="G28862" s="9">
        <v>3779.72</v>
      </c>
      <c r="H28862" s="8">
        <v>10128</v>
      </c>
    </row>
    <row r="28863" spans="2:8" ht="15" customHeight="1" x14ac:dyDescent="0.4">
      <c r="B28863" t="s">
        <v>7</v>
      </c>
      <c r="C28863" t="s">
        <v>548</v>
      </c>
      <c r="D28863" s="7">
        <f>DATE(2012,11,28)</f>
        <v>41241</v>
      </c>
      <c r="E28863" s="8">
        <f t="shared" si="491"/>
        <v>2012</v>
      </c>
      <c r="F28863" t="s">
        <v>4673</v>
      </c>
      <c r="G28863" s="9">
        <v>4430.08</v>
      </c>
      <c r="H28863" s="8">
        <v>12004</v>
      </c>
    </row>
    <row r="28864" spans="2:8" ht="15" customHeight="1" x14ac:dyDescent="0.4">
      <c r="B28864" s="3" t="s">
        <v>7</v>
      </c>
      <c r="C28864" s="3" t="s">
        <v>890</v>
      </c>
      <c r="D28864" s="4">
        <f>DATE(2006,6,13)</f>
        <v>38881</v>
      </c>
      <c r="E28864" s="5">
        <f t="shared" si="491"/>
        <v>2006</v>
      </c>
      <c r="F28864" s="3" t="s">
        <v>4674</v>
      </c>
      <c r="G28864" s="6">
        <v>5721</v>
      </c>
      <c r="H28864" s="5">
        <v>6852</v>
      </c>
    </row>
    <row r="28865" spans="2:8" ht="15" customHeight="1" x14ac:dyDescent="0.4">
      <c r="B28865" t="s">
        <v>7</v>
      </c>
      <c r="C28865" t="s">
        <v>1604</v>
      </c>
      <c r="D28865" s="7">
        <f>DATE(2015,6,1)</f>
        <v>42156</v>
      </c>
      <c r="E28865" s="8">
        <f t="shared" si="491"/>
        <v>2015</v>
      </c>
      <c r="F28865" t="s">
        <v>4675</v>
      </c>
      <c r="G28865" s="9">
        <v>10916.34</v>
      </c>
      <c r="H28865" s="8">
        <v>20521</v>
      </c>
    </row>
    <row r="28866" spans="2:8" ht="15" customHeight="1" x14ac:dyDescent="0.4">
      <c r="B28866" t="s">
        <v>7</v>
      </c>
      <c r="C28866" t="s">
        <v>1604</v>
      </c>
      <c r="D28866" s="7">
        <f>DATE(2016,4,11)</f>
        <v>42471</v>
      </c>
      <c r="E28866" s="8">
        <f t="shared" si="491"/>
        <v>2016</v>
      </c>
      <c r="F28866" t="s">
        <v>4675</v>
      </c>
      <c r="G28866" s="9">
        <v>10635</v>
      </c>
      <c r="H28866" s="8">
        <v>22358</v>
      </c>
    </row>
    <row r="28867" spans="2:8" ht="15" customHeight="1" x14ac:dyDescent="0.4">
      <c r="B28867" t="s">
        <v>7</v>
      </c>
      <c r="C28867" t="s">
        <v>1604</v>
      </c>
      <c r="D28867" s="7">
        <f>DATE(2009,5,20)</f>
        <v>39953</v>
      </c>
      <c r="E28867" s="8">
        <f t="shared" ref="E28867:E28930" si="492">YEAR(D28867)</f>
        <v>2009</v>
      </c>
      <c r="F28867" t="s">
        <v>4675</v>
      </c>
      <c r="G28867" s="9">
        <v>10649.55</v>
      </c>
      <c r="H28867" s="8">
        <v>8623</v>
      </c>
    </row>
    <row r="28868" spans="2:8" ht="15" customHeight="1" x14ac:dyDescent="0.4">
      <c r="B28868" t="s">
        <v>7</v>
      </c>
      <c r="C28868" t="s">
        <v>1604</v>
      </c>
      <c r="D28868" s="7">
        <f>DATE(2010,5,12)</f>
        <v>40310</v>
      </c>
      <c r="E28868" s="8">
        <f t="shared" si="492"/>
        <v>2010</v>
      </c>
      <c r="F28868" t="s">
        <v>4675</v>
      </c>
      <c r="G28868" s="9">
        <v>11234</v>
      </c>
      <c r="H28868" s="8">
        <v>9708</v>
      </c>
    </row>
    <row r="28869" spans="2:8" ht="15" customHeight="1" x14ac:dyDescent="0.4">
      <c r="B28869" t="s">
        <v>7</v>
      </c>
      <c r="C28869" t="s">
        <v>1604</v>
      </c>
      <c r="D28869" s="7">
        <f>DATE(2010,5,25)</f>
        <v>40323</v>
      </c>
      <c r="E28869" s="8">
        <f t="shared" si="492"/>
        <v>2010</v>
      </c>
      <c r="F28869" t="s">
        <v>4675</v>
      </c>
      <c r="G28869" s="9">
        <v>11578.57</v>
      </c>
      <c r="H28869" s="8">
        <v>9776</v>
      </c>
    </row>
    <row r="28870" spans="2:8" ht="15" customHeight="1" x14ac:dyDescent="0.4">
      <c r="B28870" t="s">
        <v>7</v>
      </c>
      <c r="C28870" t="s">
        <v>1604</v>
      </c>
      <c r="D28870" s="7">
        <f>DATE(2012,5,22)</f>
        <v>41051</v>
      </c>
      <c r="E28870" s="8">
        <f t="shared" si="492"/>
        <v>2012</v>
      </c>
      <c r="F28870" t="s">
        <v>4675</v>
      </c>
      <c r="G28870" s="9">
        <v>11253.21</v>
      </c>
      <c r="H28870" s="8">
        <v>11600</v>
      </c>
    </row>
    <row r="28871" spans="2:8" ht="15" customHeight="1" x14ac:dyDescent="0.4">
      <c r="B28871" t="s">
        <v>7</v>
      </c>
      <c r="C28871" t="s">
        <v>1604</v>
      </c>
      <c r="D28871" s="7">
        <f>DATE(2013,5,21)</f>
        <v>41415</v>
      </c>
      <c r="E28871" s="8">
        <f t="shared" si="492"/>
        <v>2013</v>
      </c>
      <c r="F28871" t="s">
        <v>4675</v>
      </c>
      <c r="G28871" s="9">
        <v>13879.68</v>
      </c>
      <c r="H28871" s="8">
        <v>12432</v>
      </c>
    </row>
    <row r="28872" spans="2:8" ht="15" customHeight="1" x14ac:dyDescent="0.4">
      <c r="B28872" t="s">
        <v>7</v>
      </c>
      <c r="C28872" t="s">
        <v>1604</v>
      </c>
      <c r="D28872" s="7">
        <f>DATE(2014,5,27)</f>
        <v>41786</v>
      </c>
      <c r="E28872" s="8">
        <f t="shared" si="492"/>
        <v>2014</v>
      </c>
      <c r="F28872" t="s">
        <v>4675</v>
      </c>
      <c r="G28872" s="9">
        <v>10278</v>
      </c>
      <c r="H28872" s="8">
        <v>13140</v>
      </c>
    </row>
    <row r="28873" spans="2:8" ht="15" customHeight="1" x14ac:dyDescent="0.4">
      <c r="B28873" t="s">
        <v>7</v>
      </c>
      <c r="C28873" t="s">
        <v>1604</v>
      </c>
      <c r="D28873" s="7">
        <f>DATE(2012,4,26)</f>
        <v>41025</v>
      </c>
      <c r="E28873" s="8">
        <f t="shared" si="492"/>
        <v>2012</v>
      </c>
      <c r="F28873" t="s">
        <v>4675</v>
      </c>
      <c r="G28873" s="9">
        <v>2250.7199999999998</v>
      </c>
      <c r="H28873" s="8">
        <v>11580</v>
      </c>
    </row>
    <row r="28874" spans="2:8" ht="15" customHeight="1" x14ac:dyDescent="0.4">
      <c r="B28874" t="s">
        <v>7</v>
      </c>
      <c r="C28874" t="s">
        <v>4676</v>
      </c>
      <c r="D28874" s="7">
        <f>DATE(2011,4,29)</f>
        <v>40662</v>
      </c>
      <c r="E28874" s="8">
        <f t="shared" si="492"/>
        <v>2011</v>
      </c>
      <c r="F28874" t="s">
        <v>4677</v>
      </c>
      <c r="G28874" s="9">
        <v>7484</v>
      </c>
      <c r="H28874" s="8">
        <v>10588</v>
      </c>
    </row>
    <row r="28875" spans="2:8" ht="15" customHeight="1" x14ac:dyDescent="0.4">
      <c r="B28875" t="s">
        <v>7</v>
      </c>
      <c r="C28875" t="s">
        <v>4676</v>
      </c>
      <c r="D28875" s="7">
        <f>DATE(2005,4,9)</f>
        <v>38451</v>
      </c>
      <c r="E28875" s="8">
        <f t="shared" si="492"/>
        <v>2005</v>
      </c>
      <c r="F28875" t="s">
        <v>4677</v>
      </c>
      <c r="G28875" s="9">
        <v>2675</v>
      </c>
      <c r="H28875" s="8">
        <v>2834</v>
      </c>
    </row>
    <row r="28876" spans="2:8" ht="15" customHeight="1" x14ac:dyDescent="0.4">
      <c r="B28876" t="s">
        <v>7</v>
      </c>
      <c r="C28876" t="s">
        <v>4676</v>
      </c>
      <c r="D28876" s="7">
        <f>DATE(2005,4,10)</f>
        <v>38452</v>
      </c>
      <c r="E28876" s="8">
        <f t="shared" si="492"/>
        <v>2005</v>
      </c>
      <c r="F28876" t="s">
        <v>4677</v>
      </c>
      <c r="G28876" s="9">
        <v>6427.22</v>
      </c>
      <c r="H28876" s="8">
        <v>2833</v>
      </c>
    </row>
    <row r="28877" spans="2:8" ht="15" customHeight="1" x14ac:dyDescent="0.4">
      <c r="B28877" t="s">
        <v>7</v>
      </c>
      <c r="C28877" t="s">
        <v>4676</v>
      </c>
      <c r="D28877" s="7">
        <f>DATE(2005,5,16)</f>
        <v>38488</v>
      </c>
      <c r="E28877" s="8">
        <f t="shared" si="492"/>
        <v>2005</v>
      </c>
      <c r="F28877" t="s">
        <v>4677</v>
      </c>
      <c r="G28877" s="9">
        <v>4967</v>
      </c>
      <c r="H28877" s="8">
        <v>3188</v>
      </c>
    </row>
    <row r="28878" spans="2:8" ht="15" customHeight="1" x14ac:dyDescent="0.4">
      <c r="B28878" t="s">
        <v>7</v>
      </c>
      <c r="C28878" t="s">
        <v>4676</v>
      </c>
      <c r="D28878" s="7">
        <f>DATE(2006,4,9)</f>
        <v>38816</v>
      </c>
      <c r="E28878" s="8">
        <f t="shared" si="492"/>
        <v>2006</v>
      </c>
      <c r="F28878" t="s">
        <v>4677</v>
      </c>
      <c r="G28878" s="9">
        <v>3155</v>
      </c>
      <c r="H28878" s="8">
        <v>4195</v>
      </c>
    </row>
    <row r="28879" spans="2:8" ht="15" customHeight="1" x14ac:dyDescent="0.4">
      <c r="B28879" t="s">
        <v>7</v>
      </c>
      <c r="C28879" t="s">
        <v>4676</v>
      </c>
      <c r="D28879" s="7">
        <f>DATE(2006,4,9)</f>
        <v>38816</v>
      </c>
      <c r="E28879" s="8">
        <f t="shared" si="492"/>
        <v>2006</v>
      </c>
      <c r="F28879" t="s">
        <v>4677</v>
      </c>
      <c r="G28879" s="9">
        <v>5762.85</v>
      </c>
      <c r="H28879" s="8">
        <v>4194</v>
      </c>
    </row>
    <row r="28880" spans="2:8" ht="15" customHeight="1" x14ac:dyDescent="0.4">
      <c r="B28880" t="s">
        <v>7</v>
      </c>
      <c r="C28880" t="s">
        <v>4676</v>
      </c>
      <c r="D28880" s="7">
        <f>DATE(2007,4,21)</f>
        <v>39193</v>
      </c>
      <c r="E28880" s="8">
        <f t="shared" si="492"/>
        <v>2007</v>
      </c>
      <c r="F28880" t="s">
        <v>4677</v>
      </c>
      <c r="G28880" s="9">
        <v>6064.17</v>
      </c>
      <c r="H28880" s="8">
        <v>5633</v>
      </c>
    </row>
    <row r="28881" spans="2:8" ht="15" customHeight="1" x14ac:dyDescent="0.4">
      <c r="B28881" t="s">
        <v>7</v>
      </c>
      <c r="C28881" t="s">
        <v>4676</v>
      </c>
      <c r="D28881" s="7">
        <f>DATE(2007,4,20)</f>
        <v>39192</v>
      </c>
      <c r="E28881" s="8">
        <f t="shared" si="492"/>
        <v>2007</v>
      </c>
      <c r="F28881" t="s">
        <v>4677</v>
      </c>
      <c r="G28881" s="9">
        <v>5124</v>
      </c>
      <c r="H28881" s="8">
        <v>5716</v>
      </c>
    </row>
    <row r="28882" spans="2:8" ht="15" customHeight="1" x14ac:dyDescent="0.4">
      <c r="B28882" t="s">
        <v>7</v>
      </c>
      <c r="C28882" t="s">
        <v>4676</v>
      </c>
      <c r="D28882" s="7">
        <f>DATE(2007,7,31)</f>
        <v>39294</v>
      </c>
      <c r="E28882" s="8">
        <f t="shared" si="492"/>
        <v>2007</v>
      </c>
      <c r="F28882" t="s">
        <v>4677</v>
      </c>
      <c r="G28882" s="9">
        <v>3910.9</v>
      </c>
      <c r="H28882" s="8">
        <v>6235</v>
      </c>
    </row>
    <row r="28883" spans="2:8" ht="15" customHeight="1" x14ac:dyDescent="0.4">
      <c r="B28883" t="s">
        <v>7</v>
      </c>
      <c r="C28883" t="s">
        <v>4676</v>
      </c>
      <c r="D28883" s="7">
        <f>DATE(2008,4,12)</f>
        <v>39550</v>
      </c>
      <c r="E28883" s="8">
        <f t="shared" si="492"/>
        <v>2008</v>
      </c>
      <c r="F28883" t="s">
        <v>4677</v>
      </c>
      <c r="G28883" s="9">
        <v>6151.55</v>
      </c>
      <c r="H28883" s="8">
        <v>7052</v>
      </c>
    </row>
    <row r="28884" spans="2:8" ht="15" customHeight="1" x14ac:dyDescent="0.4">
      <c r="B28884" t="s">
        <v>7</v>
      </c>
      <c r="C28884" t="s">
        <v>4676</v>
      </c>
      <c r="D28884" s="7">
        <f>DATE(2008,4,13)</f>
        <v>39551</v>
      </c>
      <c r="E28884" s="8">
        <f t="shared" si="492"/>
        <v>2008</v>
      </c>
      <c r="F28884" t="s">
        <v>4677</v>
      </c>
      <c r="G28884" s="9">
        <v>4454</v>
      </c>
      <c r="H28884" s="8">
        <v>7069</v>
      </c>
    </row>
    <row r="28885" spans="2:8" ht="15" customHeight="1" x14ac:dyDescent="0.4">
      <c r="B28885" t="s">
        <v>7</v>
      </c>
      <c r="C28885" t="s">
        <v>4676</v>
      </c>
      <c r="D28885" s="7">
        <f>DATE(2010,4,29)</f>
        <v>40297</v>
      </c>
      <c r="E28885" s="8">
        <f t="shared" si="492"/>
        <v>2010</v>
      </c>
      <c r="F28885" t="s">
        <v>4677</v>
      </c>
      <c r="G28885" s="9">
        <v>6151.9</v>
      </c>
      <c r="H28885" s="8">
        <v>9592</v>
      </c>
    </row>
    <row r="28886" spans="2:8" ht="15" customHeight="1" x14ac:dyDescent="0.4">
      <c r="B28886" t="s">
        <v>7</v>
      </c>
      <c r="C28886" t="s">
        <v>4676</v>
      </c>
      <c r="D28886" s="7">
        <f>DATE(2010,4,29)</f>
        <v>40297</v>
      </c>
      <c r="E28886" s="8">
        <f t="shared" si="492"/>
        <v>2010</v>
      </c>
      <c r="F28886" t="s">
        <v>4677</v>
      </c>
      <c r="G28886" s="9">
        <v>6425.36</v>
      </c>
      <c r="H28886" s="8">
        <v>9587</v>
      </c>
    </row>
    <row r="28887" spans="2:8" ht="15" customHeight="1" x14ac:dyDescent="0.4">
      <c r="B28887" t="s">
        <v>7</v>
      </c>
      <c r="C28887" t="s">
        <v>4676</v>
      </c>
      <c r="D28887" s="7">
        <f>DATE(2011,4,25)</f>
        <v>40658</v>
      </c>
      <c r="E28887" s="8">
        <f t="shared" si="492"/>
        <v>2011</v>
      </c>
      <c r="F28887" t="s">
        <v>4677</v>
      </c>
      <c r="G28887" s="9">
        <v>7781.43</v>
      </c>
      <c r="H28887" s="8">
        <v>10587</v>
      </c>
    </row>
    <row r="28888" spans="2:8" ht="15" customHeight="1" x14ac:dyDescent="0.4">
      <c r="B28888" t="s">
        <v>7</v>
      </c>
      <c r="C28888" t="s">
        <v>4678</v>
      </c>
      <c r="D28888" s="7">
        <f>DATE(2015,1,23)</f>
        <v>42027</v>
      </c>
      <c r="E28888" s="8">
        <f t="shared" si="492"/>
        <v>2015</v>
      </c>
      <c r="F28888" t="s">
        <v>4679</v>
      </c>
      <c r="G28888" s="9">
        <v>5187.96</v>
      </c>
      <c r="H28888" s="8">
        <v>175</v>
      </c>
    </row>
    <row r="28889" spans="2:8" ht="15" customHeight="1" x14ac:dyDescent="0.4">
      <c r="B28889" t="s">
        <v>7</v>
      </c>
      <c r="C28889" t="s">
        <v>4678</v>
      </c>
      <c r="D28889" s="7">
        <f>DATE(2006,9,28)</f>
        <v>38988</v>
      </c>
      <c r="E28889" s="8">
        <f t="shared" si="492"/>
        <v>2006</v>
      </c>
      <c r="F28889" t="s">
        <v>4679</v>
      </c>
      <c r="G28889" s="9">
        <v>3257.99</v>
      </c>
      <c r="H28889" s="8">
        <v>5027</v>
      </c>
    </row>
    <row r="28890" spans="2:8" ht="15" customHeight="1" x14ac:dyDescent="0.4">
      <c r="B28890" t="s">
        <v>7</v>
      </c>
      <c r="C28890" t="s">
        <v>4678</v>
      </c>
      <c r="D28890" s="7">
        <f>DATE(2006,12,1)</f>
        <v>39052</v>
      </c>
      <c r="E28890" s="8">
        <f t="shared" si="492"/>
        <v>2006</v>
      </c>
      <c r="F28890" t="s">
        <v>4679</v>
      </c>
      <c r="G28890" s="9">
        <v>3573.49</v>
      </c>
      <c r="H28890" s="8">
        <v>5206</v>
      </c>
    </row>
    <row r="28891" spans="2:8" ht="15" customHeight="1" x14ac:dyDescent="0.4">
      <c r="B28891" t="s">
        <v>7</v>
      </c>
      <c r="C28891" t="s">
        <v>4680</v>
      </c>
      <c r="D28891" s="7">
        <f>DATE(2017,8,15)</f>
        <v>42962</v>
      </c>
      <c r="E28891" s="8">
        <f t="shared" si="492"/>
        <v>2017</v>
      </c>
      <c r="F28891" t="s">
        <v>4681</v>
      </c>
      <c r="G28891" s="9">
        <v>5130.16</v>
      </c>
      <c r="H28891" s="8">
        <v>25365</v>
      </c>
    </row>
    <row r="28892" spans="2:8" ht="15" customHeight="1" x14ac:dyDescent="0.4">
      <c r="B28892" t="s">
        <v>7</v>
      </c>
      <c r="C28892" t="s">
        <v>4682</v>
      </c>
      <c r="D28892" s="7">
        <f>DATE(2008,12,11)</f>
        <v>39793</v>
      </c>
      <c r="E28892" s="8">
        <f t="shared" si="492"/>
        <v>2008</v>
      </c>
      <c r="F28892" t="s">
        <v>4683</v>
      </c>
      <c r="G28892" s="9">
        <v>3732.33</v>
      </c>
      <c r="H28892" s="8">
        <v>8098</v>
      </c>
    </row>
    <row r="28893" spans="2:8" ht="15" customHeight="1" x14ac:dyDescent="0.4">
      <c r="B28893" t="s">
        <v>7</v>
      </c>
      <c r="C28893" t="s">
        <v>3414</v>
      </c>
      <c r="D28893" s="7">
        <f>DATE(2003,12,12)</f>
        <v>37967</v>
      </c>
      <c r="E28893" s="8">
        <f t="shared" si="492"/>
        <v>2003</v>
      </c>
      <c r="F28893" t="s">
        <v>4684</v>
      </c>
      <c r="G28893" s="9">
        <v>6176</v>
      </c>
      <c r="H28893" s="8">
        <v>1042</v>
      </c>
    </row>
    <row r="28894" spans="2:8" ht="15" customHeight="1" x14ac:dyDescent="0.4">
      <c r="B28894" t="s">
        <v>7</v>
      </c>
      <c r="C28894" t="s">
        <v>3414</v>
      </c>
      <c r="D28894" s="7">
        <f>DATE(2003,12,11)</f>
        <v>37966</v>
      </c>
      <c r="E28894" s="8">
        <f t="shared" si="492"/>
        <v>2003</v>
      </c>
      <c r="F28894" t="s">
        <v>4684</v>
      </c>
      <c r="G28894" s="9">
        <v>3224</v>
      </c>
      <c r="H28894" s="8">
        <v>1043</v>
      </c>
    </row>
    <row r="28895" spans="2:8" ht="15" customHeight="1" x14ac:dyDescent="0.4">
      <c r="B28895" t="s">
        <v>7</v>
      </c>
      <c r="C28895" t="s">
        <v>3414</v>
      </c>
      <c r="D28895" s="7">
        <f>DATE(2004,11,11)</f>
        <v>38302</v>
      </c>
      <c r="E28895" s="8">
        <f t="shared" si="492"/>
        <v>2004</v>
      </c>
      <c r="F28895" t="s">
        <v>4684</v>
      </c>
      <c r="G28895" s="9">
        <v>12715</v>
      </c>
      <c r="H28895" s="8">
        <v>2157</v>
      </c>
    </row>
    <row r="28896" spans="2:8" ht="15" customHeight="1" x14ac:dyDescent="0.4">
      <c r="B28896" t="s">
        <v>7</v>
      </c>
      <c r="C28896" t="s">
        <v>3414</v>
      </c>
      <c r="D28896" s="7">
        <f>DATE(2004,11,12)</f>
        <v>38303</v>
      </c>
      <c r="E28896" s="8">
        <f t="shared" si="492"/>
        <v>2004</v>
      </c>
      <c r="F28896" t="s">
        <v>4684</v>
      </c>
      <c r="G28896" s="9">
        <v>4205.3999999999996</v>
      </c>
      <c r="H28896" s="8">
        <v>2174</v>
      </c>
    </row>
    <row r="28897" spans="2:8" ht="15" customHeight="1" x14ac:dyDescent="0.4">
      <c r="B28897" t="s">
        <v>7</v>
      </c>
      <c r="C28897" t="s">
        <v>3414</v>
      </c>
      <c r="D28897" s="7">
        <f>DATE(2006,6,18)</f>
        <v>38886</v>
      </c>
      <c r="E28897" s="8">
        <f t="shared" si="492"/>
        <v>2006</v>
      </c>
      <c r="F28897" t="s">
        <v>4684</v>
      </c>
      <c r="G28897" s="9">
        <v>7247</v>
      </c>
      <c r="H28897" s="8">
        <v>4713</v>
      </c>
    </row>
    <row r="28898" spans="2:8" ht="15" customHeight="1" x14ac:dyDescent="0.4">
      <c r="B28898" t="s">
        <v>7</v>
      </c>
      <c r="C28898" t="s">
        <v>3414</v>
      </c>
      <c r="D28898" s="7">
        <f>DATE(2006,10,25)</f>
        <v>39015</v>
      </c>
      <c r="E28898" s="8">
        <f t="shared" si="492"/>
        <v>2006</v>
      </c>
      <c r="F28898" t="s">
        <v>4684</v>
      </c>
      <c r="G28898" s="9">
        <v>4000</v>
      </c>
      <c r="H28898" s="8">
        <v>4998</v>
      </c>
    </row>
    <row r="28899" spans="2:8" ht="15" customHeight="1" x14ac:dyDescent="0.4">
      <c r="B28899" t="s">
        <v>7</v>
      </c>
      <c r="C28899" t="s">
        <v>3414</v>
      </c>
      <c r="D28899" s="7">
        <f>DATE(2006,12,1)</f>
        <v>39052</v>
      </c>
      <c r="E28899" s="8">
        <f t="shared" si="492"/>
        <v>2006</v>
      </c>
      <c r="F28899" t="s">
        <v>4684</v>
      </c>
      <c r="G28899" s="9">
        <v>7630</v>
      </c>
      <c r="H28899" s="8">
        <v>4997</v>
      </c>
    </row>
    <row r="28900" spans="2:8" ht="15" customHeight="1" x14ac:dyDescent="0.4">
      <c r="B28900" t="s">
        <v>7</v>
      </c>
      <c r="C28900" t="s">
        <v>3414</v>
      </c>
      <c r="D28900" s="7">
        <f>DATE(2008,12,15)</f>
        <v>39797</v>
      </c>
      <c r="E28900" s="8">
        <f t="shared" si="492"/>
        <v>2008</v>
      </c>
      <c r="F28900" t="s">
        <v>4684</v>
      </c>
      <c r="G28900" s="9">
        <v>103897.85</v>
      </c>
      <c r="H28900" s="8">
        <v>8114</v>
      </c>
    </row>
    <row r="28901" spans="2:8" ht="15" customHeight="1" x14ac:dyDescent="0.4">
      <c r="B28901" s="3" t="s">
        <v>7</v>
      </c>
      <c r="C28901" s="3" t="s">
        <v>3414</v>
      </c>
      <c r="D28901" s="4">
        <f>DATE(2007,2,8)</f>
        <v>39121</v>
      </c>
      <c r="E28901" s="5">
        <f t="shared" si="492"/>
        <v>2007</v>
      </c>
      <c r="F28901" s="3" t="s">
        <v>4684</v>
      </c>
      <c r="G28901" s="6">
        <v>604</v>
      </c>
      <c r="H28901" s="5">
        <v>7876</v>
      </c>
    </row>
    <row r="28902" spans="2:8" ht="15" customHeight="1" x14ac:dyDescent="0.4">
      <c r="B28902" s="3" t="s">
        <v>7</v>
      </c>
      <c r="C28902" s="3" t="s">
        <v>3414</v>
      </c>
      <c r="D28902" s="4">
        <f>DATE(2007,2,28)</f>
        <v>39141</v>
      </c>
      <c r="E28902" s="5">
        <f t="shared" si="492"/>
        <v>2007</v>
      </c>
      <c r="F28902" s="3" t="s">
        <v>4684</v>
      </c>
      <c r="G28902" s="6">
        <v>478.27</v>
      </c>
      <c r="H28902" s="5">
        <v>8034</v>
      </c>
    </row>
    <row r="28903" spans="2:8" ht="15" customHeight="1" x14ac:dyDescent="0.4">
      <c r="B28903" t="s">
        <v>7</v>
      </c>
      <c r="C28903" t="s">
        <v>4685</v>
      </c>
      <c r="D28903" s="7">
        <f>DATE(2016,4,28)</f>
        <v>42488</v>
      </c>
      <c r="E28903" s="8">
        <f t="shared" si="492"/>
        <v>2016</v>
      </c>
      <c r="F28903" t="s">
        <v>4686</v>
      </c>
      <c r="G28903" s="9">
        <v>13645</v>
      </c>
      <c r="H28903" s="8">
        <v>22631</v>
      </c>
    </row>
    <row r="28904" spans="2:8" ht="15" customHeight="1" x14ac:dyDescent="0.4">
      <c r="B28904" t="s">
        <v>7</v>
      </c>
      <c r="C28904" t="s">
        <v>4685</v>
      </c>
      <c r="D28904" s="7">
        <f>DATE(2016,4,28)</f>
        <v>42488</v>
      </c>
      <c r="E28904" s="8">
        <f t="shared" si="492"/>
        <v>2016</v>
      </c>
      <c r="F28904" t="s">
        <v>4686</v>
      </c>
      <c r="G28904" s="9">
        <v>9046.76</v>
      </c>
      <c r="H28904" s="8">
        <v>22632</v>
      </c>
    </row>
    <row r="28905" spans="2:8" ht="15" customHeight="1" x14ac:dyDescent="0.4">
      <c r="B28905" t="s">
        <v>7</v>
      </c>
      <c r="C28905" t="s">
        <v>4685</v>
      </c>
      <c r="D28905" s="7">
        <f>DATE(2016,5,3)</f>
        <v>42493</v>
      </c>
      <c r="E28905" s="8">
        <f t="shared" si="492"/>
        <v>2016</v>
      </c>
      <c r="F28905" t="s">
        <v>4686</v>
      </c>
      <c r="G28905" s="9">
        <v>707.36</v>
      </c>
      <c r="H28905" s="8">
        <v>22761</v>
      </c>
    </row>
    <row r="28906" spans="2:8" ht="15" customHeight="1" x14ac:dyDescent="0.4">
      <c r="B28906" t="s">
        <v>7</v>
      </c>
      <c r="C28906" t="s">
        <v>4685</v>
      </c>
      <c r="D28906" s="7">
        <f>DATE(2016,5,10)</f>
        <v>42500</v>
      </c>
      <c r="E28906" s="8">
        <f t="shared" si="492"/>
        <v>2016</v>
      </c>
      <c r="F28906" t="s">
        <v>4686</v>
      </c>
      <c r="G28906" s="9">
        <v>755.28</v>
      </c>
      <c r="H28906" s="8">
        <v>22819</v>
      </c>
    </row>
    <row r="28907" spans="2:8" ht="15" customHeight="1" x14ac:dyDescent="0.4">
      <c r="B28907" t="s">
        <v>7</v>
      </c>
      <c r="C28907" t="s">
        <v>4685</v>
      </c>
      <c r="D28907" s="7">
        <f>DATE(2005,10,8)</f>
        <v>38633</v>
      </c>
      <c r="E28907" s="8">
        <f t="shared" si="492"/>
        <v>2005</v>
      </c>
      <c r="F28907" t="s">
        <v>4686</v>
      </c>
      <c r="G28907" s="9">
        <v>36539</v>
      </c>
      <c r="H28907" s="8">
        <v>3425</v>
      </c>
    </row>
    <row r="28908" spans="2:8" ht="15" customHeight="1" x14ac:dyDescent="0.4">
      <c r="B28908" t="s">
        <v>7</v>
      </c>
      <c r="C28908" t="s">
        <v>4687</v>
      </c>
      <c r="D28908" s="7">
        <f>DATE(2014,5,2)</f>
        <v>41761</v>
      </c>
      <c r="E28908" s="8">
        <f t="shared" si="492"/>
        <v>2014</v>
      </c>
      <c r="F28908" t="s">
        <v>4688</v>
      </c>
      <c r="G28908" s="9">
        <v>25943.06</v>
      </c>
      <c r="H28908" s="8">
        <v>12955</v>
      </c>
    </row>
    <row r="28909" spans="2:8" ht="15" customHeight="1" x14ac:dyDescent="0.4">
      <c r="B28909" t="s">
        <v>7</v>
      </c>
      <c r="C28909" t="s">
        <v>4689</v>
      </c>
      <c r="D28909" s="7">
        <f>DATE(2018,5,9)</f>
        <v>43229</v>
      </c>
      <c r="E28909" s="8">
        <f t="shared" si="492"/>
        <v>2018</v>
      </c>
      <c r="F28909" t="s">
        <v>4690</v>
      </c>
      <c r="G28909" s="9">
        <v>38711</v>
      </c>
      <c r="H28909" s="8">
        <v>26825</v>
      </c>
    </row>
    <row r="28910" spans="2:8" ht="15" customHeight="1" x14ac:dyDescent="0.4">
      <c r="B28910" t="s">
        <v>7</v>
      </c>
      <c r="C28910" t="s">
        <v>4689</v>
      </c>
      <c r="D28910" s="7">
        <f>DATE(2019,3,12)</f>
        <v>43536</v>
      </c>
      <c r="E28910" s="8">
        <f t="shared" si="492"/>
        <v>2019</v>
      </c>
      <c r="F28910" t="s">
        <v>4690</v>
      </c>
      <c r="G28910" s="9">
        <v>38539</v>
      </c>
      <c r="H28910" s="8">
        <v>28385</v>
      </c>
    </row>
    <row r="28911" spans="2:8" ht="15" customHeight="1" x14ac:dyDescent="0.4">
      <c r="B28911" t="s">
        <v>7</v>
      </c>
      <c r="C28911" t="s">
        <v>4689</v>
      </c>
      <c r="D28911" s="7">
        <f>DATE(2016,4,1)</f>
        <v>42461</v>
      </c>
      <c r="E28911" s="8">
        <f t="shared" si="492"/>
        <v>2016</v>
      </c>
      <c r="F28911" t="s">
        <v>4690</v>
      </c>
      <c r="G28911" s="9">
        <v>7200</v>
      </c>
      <c r="H28911" s="8">
        <v>22531</v>
      </c>
    </row>
    <row r="28912" spans="2:8" ht="15" customHeight="1" x14ac:dyDescent="0.4">
      <c r="B28912" t="s">
        <v>7</v>
      </c>
      <c r="C28912" t="s">
        <v>4642</v>
      </c>
      <c r="D28912" s="7">
        <f>DATE(2015,7,29)</f>
        <v>42214</v>
      </c>
      <c r="E28912" s="8">
        <f t="shared" si="492"/>
        <v>2015</v>
      </c>
      <c r="F28912" t="s">
        <v>4691</v>
      </c>
      <c r="G28912" s="9">
        <v>12973</v>
      </c>
      <c r="H28912" s="8">
        <v>20858</v>
      </c>
    </row>
    <row r="28913" spans="2:8" ht="15" customHeight="1" x14ac:dyDescent="0.4">
      <c r="B28913" t="s">
        <v>7</v>
      </c>
      <c r="C28913" t="s">
        <v>4642</v>
      </c>
      <c r="D28913" s="7">
        <f>DATE(2017,7,3)</f>
        <v>42919</v>
      </c>
      <c r="E28913" s="8">
        <f t="shared" si="492"/>
        <v>2017</v>
      </c>
      <c r="F28913" t="s">
        <v>4691</v>
      </c>
      <c r="G28913" s="9">
        <v>13875</v>
      </c>
      <c r="H28913" s="8">
        <v>25180</v>
      </c>
    </row>
    <row r="28914" spans="2:8" ht="15" customHeight="1" x14ac:dyDescent="0.4">
      <c r="B28914" t="s">
        <v>7</v>
      </c>
      <c r="C28914" t="s">
        <v>4642</v>
      </c>
      <c r="D28914" s="7">
        <f>DATE(2019,4,9)</f>
        <v>43564</v>
      </c>
      <c r="E28914" s="8">
        <f t="shared" si="492"/>
        <v>2019</v>
      </c>
      <c r="F28914" t="s">
        <v>4691</v>
      </c>
      <c r="G28914" s="9">
        <v>13275</v>
      </c>
      <c r="H28914" s="8">
        <v>28714</v>
      </c>
    </row>
    <row r="28915" spans="2:8" ht="15" customHeight="1" x14ac:dyDescent="0.4">
      <c r="B28915" t="s">
        <v>7</v>
      </c>
      <c r="C28915" t="s">
        <v>4642</v>
      </c>
      <c r="D28915" s="7">
        <f>DATE(2015,3,5)</f>
        <v>42068</v>
      </c>
      <c r="E28915" s="8">
        <f t="shared" si="492"/>
        <v>2015</v>
      </c>
      <c r="F28915" t="s">
        <v>4691</v>
      </c>
      <c r="G28915" s="9">
        <v>66.28</v>
      </c>
      <c r="H28915" s="8">
        <v>20012</v>
      </c>
    </row>
    <row r="28916" spans="2:8" ht="15" customHeight="1" x14ac:dyDescent="0.4">
      <c r="B28916" t="s">
        <v>7</v>
      </c>
      <c r="C28916" t="s">
        <v>4642</v>
      </c>
      <c r="D28916" s="7">
        <f>DATE(2016,7,1)</f>
        <v>42552</v>
      </c>
      <c r="E28916" s="8">
        <f t="shared" si="492"/>
        <v>2016</v>
      </c>
      <c r="F28916" t="s">
        <v>4691</v>
      </c>
      <c r="G28916" s="9">
        <v>509.1</v>
      </c>
      <c r="H28916" s="8">
        <v>23099</v>
      </c>
    </row>
    <row r="28917" spans="2:8" ht="15" customHeight="1" x14ac:dyDescent="0.4">
      <c r="B28917" t="s">
        <v>7</v>
      </c>
      <c r="C28917" t="s">
        <v>4642</v>
      </c>
      <c r="D28917" s="7">
        <f>DATE(2016,7,13)</f>
        <v>42564</v>
      </c>
      <c r="E28917" s="8">
        <f t="shared" si="492"/>
        <v>2016</v>
      </c>
      <c r="F28917" t="s">
        <v>4691</v>
      </c>
      <c r="G28917" s="9">
        <v>829.5</v>
      </c>
      <c r="H28917" s="8">
        <v>23070</v>
      </c>
    </row>
    <row r="28918" spans="2:8" ht="15" customHeight="1" x14ac:dyDescent="0.4">
      <c r="B28918" t="s">
        <v>7</v>
      </c>
      <c r="C28918" t="s">
        <v>4642</v>
      </c>
      <c r="D28918" s="7">
        <f>DATE(2016,9,7)</f>
        <v>42620</v>
      </c>
      <c r="E28918" s="8">
        <f t="shared" si="492"/>
        <v>2016</v>
      </c>
      <c r="F28918" t="s">
        <v>4691</v>
      </c>
      <c r="G28918" s="9">
        <v>588.82000000000005</v>
      </c>
      <c r="H28918" s="8">
        <v>23437</v>
      </c>
    </row>
    <row r="28919" spans="2:8" ht="15" customHeight="1" x14ac:dyDescent="0.4">
      <c r="B28919" t="s">
        <v>7</v>
      </c>
      <c r="C28919" t="s">
        <v>4642</v>
      </c>
      <c r="D28919" s="7">
        <f>DATE(2015,3,4)</f>
        <v>42067</v>
      </c>
      <c r="E28919" s="8">
        <f t="shared" si="492"/>
        <v>2015</v>
      </c>
      <c r="F28919" t="s">
        <v>4691</v>
      </c>
      <c r="G28919" s="9">
        <v>5117.5200000000004</v>
      </c>
      <c r="H28919" s="8">
        <v>20010</v>
      </c>
    </row>
    <row r="28920" spans="2:8" ht="15" customHeight="1" x14ac:dyDescent="0.4">
      <c r="B28920" t="s">
        <v>7</v>
      </c>
      <c r="C28920" t="s">
        <v>4642</v>
      </c>
      <c r="D28920" s="7">
        <f>DATE(2015,3,25)</f>
        <v>42088</v>
      </c>
      <c r="E28920" s="8">
        <f t="shared" si="492"/>
        <v>2015</v>
      </c>
      <c r="F28920" t="s">
        <v>4691</v>
      </c>
      <c r="G28920" s="9">
        <v>5677.54</v>
      </c>
      <c r="H28920" s="8">
        <v>20127</v>
      </c>
    </row>
    <row r="28921" spans="2:8" ht="15" customHeight="1" x14ac:dyDescent="0.4">
      <c r="B28921" t="s">
        <v>7</v>
      </c>
      <c r="C28921" t="s">
        <v>4642</v>
      </c>
      <c r="D28921" s="7">
        <f>DATE(2015,4,2)</f>
        <v>42096</v>
      </c>
      <c r="E28921" s="8">
        <f t="shared" si="492"/>
        <v>2015</v>
      </c>
      <c r="F28921" t="s">
        <v>4691</v>
      </c>
      <c r="G28921" s="9">
        <v>7096.17</v>
      </c>
      <c r="H28921" s="8">
        <v>20237</v>
      </c>
    </row>
    <row r="28922" spans="2:8" ht="15" customHeight="1" x14ac:dyDescent="0.4">
      <c r="B28922" t="s">
        <v>7</v>
      </c>
      <c r="C28922" t="s">
        <v>4642</v>
      </c>
      <c r="D28922" s="7">
        <f>DATE(2011,6,9)</f>
        <v>40703</v>
      </c>
      <c r="E28922" s="8">
        <f t="shared" si="492"/>
        <v>2011</v>
      </c>
      <c r="F28922" t="s">
        <v>4691</v>
      </c>
      <c r="G28922" s="9">
        <v>12806</v>
      </c>
      <c r="H28922" s="8">
        <v>10793</v>
      </c>
    </row>
    <row r="28923" spans="2:8" ht="15" customHeight="1" x14ac:dyDescent="0.4">
      <c r="B28923" t="s">
        <v>7</v>
      </c>
      <c r="C28923" t="s">
        <v>4642</v>
      </c>
      <c r="D28923" s="7">
        <f>DATE(2013,5,30)</f>
        <v>41424</v>
      </c>
      <c r="E28923" s="8">
        <f t="shared" si="492"/>
        <v>2013</v>
      </c>
      <c r="F28923" t="s">
        <v>4691</v>
      </c>
      <c r="G28923" s="9">
        <v>12770</v>
      </c>
      <c r="H28923" s="8">
        <v>12467</v>
      </c>
    </row>
    <row r="28924" spans="2:8" ht="15" customHeight="1" x14ac:dyDescent="0.4">
      <c r="B28924" t="s">
        <v>7</v>
      </c>
      <c r="C28924" t="s">
        <v>4642</v>
      </c>
      <c r="D28924" s="7">
        <f>DATE(2014,7,9)</f>
        <v>41829</v>
      </c>
      <c r="E28924" s="8">
        <f t="shared" si="492"/>
        <v>2014</v>
      </c>
      <c r="F28924" t="s">
        <v>4691</v>
      </c>
      <c r="G28924" s="9">
        <v>12623</v>
      </c>
      <c r="H28924" s="8">
        <v>13292</v>
      </c>
    </row>
    <row r="28925" spans="2:8" ht="15" customHeight="1" x14ac:dyDescent="0.4">
      <c r="B28925" t="s">
        <v>7</v>
      </c>
      <c r="C28925" t="s">
        <v>4692</v>
      </c>
      <c r="D28925" s="7">
        <f>DATE(2005,2,28)</f>
        <v>38411</v>
      </c>
      <c r="E28925" s="8">
        <f t="shared" si="492"/>
        <v>2005</v>
      </c>
      <c r="F28925" t="s">
        <v>4693</v>
      </c>
      <c r="G28925" s="9">
        <v>80362.100000000006</v>
      </c>
      <c r="H28925" s="8">
        <v>2825</v>
      </c>
    </row>
    <row r="28926" spans="2:8" ht="15" customHeight="1" x14ac:dyDescent="0.4">
      <c r="B28926" t="s">
        <v>7</v>
      </c>
      <c r="C28926" t="s">
        <v>4692</v>
      </c>
      <c r="D28926" s="7">
        <f>DATE(2005,3,28)</f>
        <v>38439</v>
      </c>
      <c r="E28926" s="8">
        <f t="shared" si="492"/>
        <v>2005</v>
      </c>
      <c r="F28926" t="s">
        <v>4693</v>
      </c>
      <c r="G28926" s="9">
        <v>39896.06</v>
      </c>
      <c r="H28926" s="8">
        <v>2639</v>
      </c>
    </row>
    <row r="28927" spans="2:8" ht="15" customHeight="1" x14ac:dyDescent="0.4">
      <c r="B28927" t="s">
        <v>7</v>
      </c>
      <c r="C28927" t="s">
        <v>4692</v>
      </c>
      <c r="D28927" s="7">
        <f>DATE(2006,4,8)</f>
        <v>38815</v>
      </c>
      <c r="E28927" s="8">
        <f t="shared" si="492"/>
        <v>2006</v>
      </c>
      <c r="F28927" t="s">
        <v>4693</v>
      </c>
      <c r="G28927" s="9">
        <v>21883.25</v>
      </c>
      <c r="H28927" s="8">
        <v>4143</v>
      </c>
    </row>
    <row r="28928" spans="2:8" ht="15" customHeight="1" x14ac:dyDescent="0.4">
      <c r="B28928" t="s">
        <v>7</v>
      </c>
      <c r="C28928" t="s">
        <v>4692</v>
      </c>
      <c r="D28928" s="7">
        <f>DATE(2006,4,6)</f>
        <v>38813</v>
      </c>
      <c r="E28928" s="8">
        <f t="shared" si="492"/>
        <v>2006</v>
      </c>
      <c r="F28928" t="s">
        <v>4693</v>
      </c>
      <c r="G28928" s="9">
        <v>46850.080000000002</v>
      </c>
      <c r="H28928" s="8">
        <v>4145</v>
      </c>
    </row>
    <row r="28929" spans="2:8" ht="15" customHeight="1" x14ac:dyDescent="0.4">
      <c r="B28929" t="s">
        <v>7</v>
      </c>
      <c r="C28929" t="s">
        <v>4692</v>
      </c>
      <c r="D28929" s="7">
        <f>DATE(2006,5,16)</f>
        <v>38853</v>
      </c>
      <c r="E28929" s="8">
        <f t="shared" si="492"/>
        <v>2006</v>
      </c>
      <c r="F28929" t="s">
        <v>4693</v>
      </c>
      <c r="G28929" s="9">
        <v>49385.7</v>
      </c>
      <c r="H28929" s="8">
        <v>4142</v>
      </c>
    </row>
    <row r="28930" spans="2:8" ht="15" customHeight="1" x14ac:dyDescent="0.4">
      <c r="B28930" t="s">
        <v>7</v>
      </c>
      <c r="C28930" t="s">
        <v>4692</v>
      </c>
      <c r="D28930" s="7">
        <f>DATE(2007,2,28)</f>
        <v>39141</v>
      </c>
      <c r="E28930" s="8">
        <f t="shared" si="492"/>
        <v>2007</v>
      </c>
      <c r="F28930" t="s">
        <v>4693</v>
      </c>
      <c r="G28930" s="9">
        <v>50636.62</v>
      </c>
      <c r="H28930" s="8">
        <v>5580</v>
      </c>
    </row>
    <row r="28931" spans="2:8" ht="15" customHeight="1" x14ac:dyDescent="0.4">
      <c r="B28931" t="s">
        <v>7</v>
      </c>
      <c r="C28931" t="s">
        <v>4692</v>
      </c>
      <c r="D28931" s="7">
        <f>DATE(2007,5,10)</f>
        <v>39212</v>
      </c>
      <c r="E28931" s="8">
        <f t="shared" ref="E28931:E28994" si="493">YEAR(D28931)</f>
        <v>2007</v>
      </c>
      <c r="F28931" t="s">
        <v>4693</v>
      </c>
      <c r="G28931" s="9">
        <v>52288.76</v>
      </c>
      <c r="H28931" s="8">
        <v>5485</v>
      </c>
    </row>
    <row r="28932" spans="2:8" ht="15" customHeight="1" x14ac:dyDescent="0.4">
      <c r="B28932" t="s">
        <v>7</v>
      </c>
      <c r="C28932" t="s">
        <v>4692</v>
      </c>
      <c r="D28932" s="7">
        <f>DATE(2008,3,31)</f>
        <v>39538</v>
      </c>
      <c r="E28932" s="8">
        <f t="shared" si="493"/>
        <v>2008</v>
      </c>
      <c r="F28932" t="s">
        <v>4693</v>
      </c>
      <c r="G28932" s="9">
        <v>50956.62</v>
      </c>
      <c r="H28932" s="8">
        <v>7167</v>
      </c>
    </row>
    <row r="28933" spans="2:8" ht="15" customHeight="1" x14ac:dyDescent="0.4">
      <c r="B28933" t="s">
        <v>7</v>
      </c>
      <c r="C28933" t="s">
        <v>4692</v>
      </c>
      <c r="D28933" s="7">
        <f>DATE(2008,5,21)</f>
        <v>39589</v>
      </c>
      <c r="E28933" s="8">
        <f t="shared" si="493"/>
        <v>2008</v>
      </c>
      <c r="F28933" t="s">
        <v>4693</v>
      </c>
      <c r="G28933" s="9">
        <v>50987.77</v>
      </c>
      <c r="H28933" s="8">
        <v>7202</v>
      </c>
    </row>
    <row r="28934" spans="2:8" ht="15" customHeight="1" x14ac:dyDescent="0.4">
      <c r="B28934" t="s">
        <v>7</v>
      </c>
      <c r="C28934" t="s">
        <v>4692</v>
      </c>
      <c r="D28934" s="7">
        <f>DATE(2009,2,23)</f>
        <v>39867</v>
      </c>
      <c r="E28934" s="8">
        <f t="shared" si="493"/>
        <v>2009</v>
      </c>
      <c r="F28934" t="s">
        <v>4693</v>
      </c>
      <c r="G28934" s="9">
        <v>55196.38</v>
      </c>
      <c r="H28934" s="8">
        <v>8042</v>
      </c>
    </row>
    <row r="28935" spans="2:8" ht="15" customHeight="1" x14ac:dyDescent="0.4">
      <c r="B28935" t="s">
        <v>7</v>
      </c>
      <c r="C28935" t="s">
        <v>4692</v>
      </c>
      <c r="D28935" s="7">
        <f>DATE(2009,2,23)</f>
        <v>39867</v>
      </c>
      <c r="E28935" s="8">
        <f t="shared" si="493"/>
        <v>2009</v>
      </c>
      <c r="F28935" t="s">
        <v>4693</v>
      </c>
      <c r="G28935" s="9">
        <v>35575</v>
      </c>
      <c r="H28935" s="8">
        <v>8322</v>
      </c>
    </row>
    <row r="28936" spans="2:8" ht="15" customHeight="1" x14ac:dyDescent="0.4">
      <c r="B28936" t="s">
        <v>7</v>
      </c>
      <c r="C28936" t="s">
        <v>4692</v>
      </c>
      <c r="D28936" s="7">
        <f>DATE(2009,4,29)</f>
        <v>39932</v>
      </c>
      <c r="E28936" s="8">
        <f t="shared" si="493"/>
        <v>2009</v>
      </c>
      <c r="F28936" t="s">
        <v>4693</v>
      </c>
      <c r="G28936" s="9">
        <v>56211.8</v>
      </c>
      <c r="H28936" s="8">
        <v>8041</v>
      </c>
    </row>
    <row r="28937" spans="2:8" ht="15" customHeight="1" x14ac:dyDescent="0.4">
      <c r="B28937" t="s">
        <v>7</v>
      </c>
      <c r="C28937" t="s">
        <v>4692</v>
      </c>
      <c r="D28937" s="7">
        <f>DATE(2005,2,27)</f>
        <v>38410</v>
      </c>
      <c r="E28937" s="8">
        <f t="shared" si="493"/>
        <v>2005</v>
      </c>
      <c r="F28937" t="s">
        <v>4694</v>
      </c>
      <c r="G28937" s="9">
        <v>39896.06</v>
      </c>
      <c r="H28937" s="8">
        <v>2534</v>
      </c>
    </row>
    <row r="28938" spans="2:8" ht="15" customHeight="1" x14ac:dyDescent="0.4">
      <c r="B28938" t="s">
        <v>7</v>
      </c>
      <c r="C28938" t="s">
        <v>4695</v>
      </c>
      <c r="D28938" s="7">
        <f>DATE(2007,7,12)</f>
        <v>39275</v>
      </c>
      <c r="E28938" s="8">
        <f t="shared" si="493"/>
        <v>2007</v>
      </c>
      <c r="F28938" t="s">
        <v>4696</v>
      </c>
      <c r="G28938" s="9">
        <v>6461.18</v>
      </c>
      <c r="H28938" s="8">
        <v>6158</v>
      </c>
    </row>
    <row r="28939" spans="2:8" ht="15" customHeight="1" x14ac:dyDescent="0.4">
      <c r="B28939" t="s">
        <v>7</v>
      </c>
      <c r="C28939" t="s">
        <v>4695</v>
      </c>
      <c r="D28939" s="7">
        <f>DATE(2008,3,30)</f>
        <v>39537</v>
      </c>
      <c r="E28939" s="8">
        <f t="shared" si="493"/>
        <v>2008</v>
      </c>
      <c r="F28939" t="s">
        <v>4696</v>
      </c>
      <c r="G28939" s="9">
        <v>9439.23</v>
      </c>
      <c r="H28939" s="8">
        <v>7163</v>
      </c>
    </row>
    <row r="28940" spans="2:8" ht="15" customHeight="1" x14ac:dyDescent="0.4">
      <c r="B28940" t="s">
        <v>7</v>
      </c>
      <c r="C28940" t="s">
        <v>4697</v>
      </c>
      <c r="D28940" s="7">
        <f>DATE(2005,6,3)</f>
        <v>38506</v>
      </c>
      <c r="E28940" s="8">
        <f t="shared" si="493"/>
        <v>2005</v>
      </c>
      <c r="F28940" t="s">
        <v>4698</v>
      </c>
      <c r="G28940" s="9">
        <v>3544.48</v>
      </c>
      <c r="H28940" s="8">
        <v>3259</v>
      </c>
    </row>
    <row r="28941" spans="2:8" ht="15" customHeight="1" x14ac:dyDescent="0.4">
      <c r="B28941" t="s">
        <v>7</v>
      </c>
      <c r="C28941" t="s">
        <v>4699</v>
      </c>
      <c r="D28941" s="7">
        <f>DATE(2015,1,23)</f>
        <v>42027</v>
      </c>
      <c r="E28941" s="8">
        <f t="shared" si="493"/>
        <v>2015</v>
      </c>
      <c r="F28941" t="s">
        <v>4700</v>
      </c>
      <c r="G28941" s="9">
        <v>115.84</v>
      </c>
      <c r="H28941" s="8">
        <v>181</v>
      </c>
    </row>
    <row r="28942" spans="2:8" ht="15" customHeight="1" x14ac:dyDescent="0.4">
      <c r="B28942" t="s">
        <v>7</v>
      </c>
      <c r="C28942" t="s">
        <v>4699</v>
      </c>
      <c r="D28942" s="7">
        <f>DATE(2015,4,21)</f>
        <v>42115</v>
      </c>
      <c r="E28942" s="8">
        <f t="shared" si="493"/>
        <v>2015</v>
      </c>
      <c r="F28942" t="s">
        <v>4700</v>
      </c>
      <c r="G28942" s="9">
        <v>2299</v>
      </c>
      <c r="H28942" s="8">
        <v>20414</v>
      </c>
    </row>
    <row r="28943" spans="2:8" ht="15" customHeight="1" x14ac:dyDescent="0.4">
      <c r="B28943" t="s">
        <v>7</v>
      </c>
      <c r="C28943" t="s">
        <v>4699</v>
      </c>
      <c r="D28943" s="7">
        <f>DATE(2015,7,10)</f>
        <v>42195</v>
      </c>
      <c r="E28943" s="8">
        <f t="shared" si="493"/>
        <v>2015</v>
      </c>
      <c r="F28943" t="s">
        <v>4700</v>
      </c>
      <c r="G28943" s="9">
        <v>116.84</v>
      </c>
      <c r="H28943" s="8">
        <v>20879</v>
      </c>
    </row>
    <row r="28944" spans="2:8" ht="15" customHeight="1" x14ac:dyDescent="0.4">
      <c r="B28944" s="3" t="s">
        <v>7</v>
      </c>
      <c r="C28944" s="3" t="s">
        <v>4699</v>
      </c>
      <c r="D28944" s="4">
        <f>DATE(2003,2,25)</f>
        <v>37677</v>
      </c>
      <c r="E28944" s="5">
        <f t="shared" si="493"/>
        <v>2003</v>
      </c>
      <c r="F28944" s="3" t="s">
        <v>4700</v>
      </c>
      <c r="G28944" s="6">
        <v>2893</v>
      </c>
      <c r="H28944" s="5">
        <v>379</v>
      </c>
    </row>
    <row r="28945" spans="2:8" ht="15" customHeight="1" x14ac:dyDescent="0.4">
      <c r="B28945" s="3" t="s">
        <v>7</v>
      </c>
      <c r="C28945" s="3" t="s">
        <v>4699</v>
      </c>
      <c r="D28945" s="4">
        <f>DATE(2004,2,13)</f>
        <v>38030</v>
      </c>
      <c r="E28945" s="5">
        <f t="shared" si="493"/>
        <v>2004</v>
      </c>
      <c r="F28945" s="3" t="s">
        <v>4700</v>
      </c>
      <c r="G28945" s="6">
        <v>3074</v>
      </c>
      <c r="H28945" s="5">
        <v>2178</v>
      </c>
    </row>
    <row r="28946" spans="2:8" ht="15" customHeight="1" x14ac:dyDescent="0.4">
      <c r="B28946" s="3" t="s">
        <v>7</v>
      </c>
      <c r="C28946" s="3" t="s">
        <v>4699</v>
      </c>
      <c r="D28946" s="4">
        <f>DATE(2005,1,28)</f>
        <v>38380</v>
      </c>
      <c r="E28946" s="5">
        <f t="shared" si="493"/>
        <v>2005</v>
      </c>
      <c r="F28946" s="3" t="s">
        <v>4700</v>
      </c>
      <c r="G28946" s="6">
        <v>1811</v>
      </c>
      <c r="H28946" s="5">
        <v>4027</v>
      </c>
    </row>
    <row r="28947" spans="2:8" ht="15" customHeight="1" x14ac:dyDescent="0.4">
      <c r="B28947" s="3" t="s">
        <v>7</v>
      </c>
      <c r="C28947" s="3" t="s">
        <v>4699</v>
      </c>
      <c r="D28947" s="4">
        <f>DATE(2005,4,6)</f>
        <v>38448</v>
      </c>
      <c r="E28947" s="5">
        <f t="shared" si="493"/>
        <v>2005</v>
      </c>
      <c r="F28947" s="3" t="s">
        <v>4700</v>
      </c>
      <c r="G28947" s="6">
        <v>311.7</v>
      </c>
      <c r="H28947" s="5">
        <v>4513</v>
      </c>
    </row>
    <row r="28948" spans="2:8" ht="15" customHeight="1" x14ac:dyDescent="0.4">
      <c r="B28948" s="3" t="s">
        <v>7</v>
      </c>
      <c r="C28948" s="3" t="s">
        <v>4699</v>
      </c>
      <c r="D28948" s="4">
        <f>DATE(2007,3,8)</f>
        <v>39149</v>
      </c>
      <c r="E28948" s="5">
        <f t="shared" si="493"/>
        <v>2007</v>
      </c>
      <c r="F28948" s="3" t="s">
        <v>4700</v>
      </c>
      <c r="G28948" s="6">
        <v>2044.3</v>
      </c>
      <c r="H28948" s="5">
        <v>8087</v>
      </c>
    </row>
    <row r="28949" spans="2:8" ht="15" customHeight="1" x14ac:dyDescent="0.4">
      <c r="B28949" s="3" t="s">
        <v>7</v>
      </c>
      <c r="C28949" s="3" t="s">
        <v>4699</v>
      </c>
      <c r="D28949" s="4">
        <f>DATE(2008,3,24)</f>
        <v>39531</v>
      </c>
      <c r="E28949" s="5">
        <f t="shared" si="493"/>
        <v>2008</v>
      </c>
      <c r="F28949" s="3" t="s">
        <v>4700</v>
      </c>
      <c r="G28949" s="6">
        <v>613.30999999999995</v>
      </c>
      <c r="H28949" s="5">
        <v>10300</v>
      </c>
    </row>
    <row r="28950" spans="2:8" ht="15" customHeight="1" x14ac:dyDescent="0.4">
      <c r="B28950" s="3" t="s">
        <v>7</v>
      </c>
      <c r="C28950" s="3" t="s">
        <v>4699</v>
      </c>
      <c r="D28950" s="4">
        <f>DATE(2009,1,7)</f>
        <v>39820</v>
      </c>
      <c r="E28950" s="5">
        <f t="shared" si="493"/>
        <v>2009</v>
      </c>
      <c r="F28950" s="3" t="s">
        <v>4700</v>
      </c>
      <c r="G28950" s="6">
        <v>183.4</v>
      </c>
      <c r="H28950" s="5">
        <v>11742</v>
      </c>
    </row>
    <row r="28951" spans="2:8" ht="15" customHeight="1" x14ac:dyDescent="0.4">
      <c r="B28951" s="3" t="s">
        <v>7</v>
      </c>
      <c r="C28951" s="3" t="s">
        <v>4699</v>
      </c>
      <c r="D28951" s="4">
        <f>DATE(2012,4,11)</f>
        <v>41010</v>
      </c>
      <c r="E28951" s="5">
        <f t="shared" si="493"/>
        <v>2012</v>
      </c>
      <c r="F28951" s="3" t="s">
        <v>4700</v>
      </c>
      <c r="G28951" s="6">
        <v>424.5</v>
      </c>
      <c r="H28951" s="5">
        <v>16940</v>
      </c>
    </row>
    <row r="28952" spans="2:8" ht="15" customHeight="1" x14ac:dyDescent="0.4">
      <c r="B28952" s="3" t="s">
        <v>7</v>
      </c>
      <c r="C28952" s="3" t="s">
        <v>4699</v>
      </c>
      <c r="D28952" s="4">
        <f>DATE(2012,4,17)</f>
        <v>41016</v>
      </c>
      <c r="E28952" s="5">
        <f t="shared" si="493"/>
        <v>2012</v>
      </c>
      <c r="F28952" s="3" t="s">
        <v>4700</v>
      </c>
      <c r="G28952" s="6">
        <v>2106</v>
      </c>
      <c r="H28952" s="5">
        <v>16992</v>
      </c>
    </row>
    <row r="28953" spans="2:8" ht="15" customHeight="1" x14ac:dyDescent="0.4">
      <c r="B28953" s="3" t="s">
        <v>7</v>
      </c>
      <c r="C28953" s="3" t="s">
        <v>4699</v>
      </c>
      <c r="D28953" s="4">
        <f>DATE(2012,4,25)</f>
        <v>41024</v>
      </c>
      <c r="E28953" s="5">
        <f t="shared" si="493"/>
        <v>2012</v>
      </c>
      <c r="F28953" s="3" t="s">
        <v>4700</v>
      </c>
      <c r="G28953" s="6">
        <v>141.30000000000001</v>
      </c>
      <c r="H28953" s="5">
        <v>17030</v>
      </c>
    </row>
    <row r="28954" spans="2:8" ht="15" customHeight="1" x14ac:dyDescent="0.4">
      <c r="B28954" s="3" t="s">
        <v>7</v>
      </c>
      <c r="C28954" s="3" t="s">
        <v>4699</v>
      </c>
      <c r="D28954" s="4">
        <f>DATE(2012,5,16)</f>
        <v>41045</v>
      </c>
      <c r="E28954" s="5">
        <f t="shared" si="493"/>
        <v>2012</v>
      </c>
      <c r="F28954" s="3" t="s">
        <v>4700</v>
      </c>
      <c r="G28954" s="6">
        <v>110.6</v>
      </c>
      <c r="H28954" s="5">
        <v>17133</v>
      </c>
    </row>
    <row r="28955" spans="2:8" ht="15" customHeight="1" x14ac:dyDescent="0.4">
      <c r="B28955" s="3" t="s">
        <v>7</v>
      </c>
      <c r="C28955" s="3" t="s">
        <v>4699</v>
      </c>
      <c r="D28955" s="4">
        <f>DATE(2012,5,22)</f>
        <v>41051</v>
      </c>
      <c r="E28955" s="5">
        <f t="shared" si="493"/>
        <v>2012</v>
      </c>
      <c r="F28955" s="3" t="s">
        <v>4700</v>
      </c>
      <c r="G28955" s="6">
        <v>110.6</v>
      </c>
      <c r="H28955" s="5">
        <v>17174</v>
      </c>
    </row>
    <row r="28956" spans="2:8" ht="15" customHeight="1" x14ac:dyDescent="0.4">
      <c r="B28956" s="3" t="s">
        <v>7</v>
      </c>
      <c r="C28956" s="3" t="s">
        <v>4699</v>
      </c>
      <c r="D28956" s="4">
        <f>DATE(2012,5,24)</f>
        <v>41053</v>
      </c>
      <c r="E28956" s="5">
        <f t="shared" si="493"/>
        <v>2012</v>
      </c>
      <c r="F28956" s="3" t="s">
        <v>4700</v>
      </c>
      <c r="G28956" s="6">
        <v>97.2</v>
      </c>
      <c r="H28956" s="5">
        <v>17193</v>
      </c>
    </row>
    <row r="28957" spans="2:8" ht="15" customHeight="1" x14ac:dyDescent="0.4">
      <c r="B28957" s="3" t="s">
        <v>7</v>
      </c>
      <c r="C28957" s="3" t="s">
        <v>4699</v>
      </c>
      <c r="D28957" s="4">
        <f>DATE(2012,6,15)</f>
        <v>41075</v>
      </c>
      <c r="E28957" s="5">
        <f t="shared" si="493"/>
        <v>2012</v>
      </c>
      <c r="F28957" s="3" t="s">
        <v>4700</v>
      </c>
      <c r="G28957" s="6">
        <v>104.2</v>
      </c>
      <c r="H28957" s="5">
        <v>17265</v>
      </c>
    </row>
    <row r="28958" spans="2:8" ht="15" customHeight="1" x14ac:dyDescent="0.4">
      <c r="B28958" s="3" t="s">
        <v>16</v>
      </c>
      <c r="C28958" s="3" t="s">
        <v>4699</v>
      </c>
      <c r="D28958" s="4">
        <f>DATE(2012,6,1)</f>
        <v>41061</v>
      </c>
      <c r="E28958" s="5">
        <f t="shared" si="493"/>
        <v>2012</v>
      </c>
      <c r="F28958" s="3" t="s">
        <v>4700</v>
      </c>
      <c r="G28958" s="6">
        <v>101.6</v>
      </c>
      <c r="H28958" s="5">
        <v>17218</v>
      </c>
    </row>
    <row r="28959" spans="2:8" ht="15" customHeight="1" x14ac:dyDescent="0.4">
      <c r="B28959" t="s">
        <v>7</v>
      </c>
      <c r="C28959" t="s">
        <v>4701</v>
      </c>
      <c r="D28959" s="7">
        <f>DATE(2008,9,11)</f>
        <v>39702</v>
      </c>
      <c r="E28959" s="8">
        <f t="shared" si="493"/>
        <v>2008</v>
      </c>
      <c r="F28959" t="s">
        <v>4702</v>
      </c>
      <c r="G28959" s="9">
        <v>10373.959999999999</v>
      </c>
      <c r="H28959" s="8">
        <v>7794</v>
      </c>
    </row>
    <row r="28960" spans="2:8" ht="15" customHeight="1" x14ac:dyDescent="0.4">
      <c r="B28960" t="s">
        <v>7</v>
      </c>
      <c r="C28960" t="s">
        <v>4703</v>
      </c>
      <c r="D28960" s="7">
        <f>DATE(2004,2,20)</f>
        <v>38037</v>
      </c>
      <c r="E28960" s="8">
        <f t="shared" si="493"/>
        <v>2004</v>
      </c>
      <c r="F28960" t="s">
        <v>4704</v>
      </c>
      <c r="G28960" s="9">
        <v>315</v>
      </c>
      <c r="H28960" s="8">
        <v>1407</v>
      </c>
    </row>
    <row r="28961" spans="2:8" ht="15" customHeight="1" x14ac:dyDescent="0.4">
      <c r="B28961" t="s">
        <v>7</v>
      </c>
      <c r="C28961" t="s">
        <v>4703</v>
      </c>
      <c r="D28961" s="7">
        <f>DATE(2012,12,13)</f>
        <v>41256</v>
      </c>
      <c r="E28961" s="8">
        <f t="shared" si="493"/>
        <v>2012</v>
      </c>
      <c r="F28961" t="s">
        <v>4704</v>
      </c>
      <c r="G28961" s="9">
        <v>720.74</v>
      </c>
      <c r="H28961" s="8">
        <v>12044</v>
      </c>
    </row>
    <row r="28962" spans="2:8" ht="15" customHeight="1" x14ac:dyDescent="0.4">
      <c r="B28962" t="s">
        <v>7</v>
      </c>
      <c r="C28962" t="s">
        <v>4703</v>
      </c>
      <c r="D28962" s="7">
        <f>DATE(2013,1,4)</f>
        <v>41278</v>
      </c>
      <c r="E28962" s="8">
        <f t="shared" si="493"/>
        <v>2013</v>
      </c>
      <c r="F28962" t="s">
        <v>4704</v>
      </c>
      <c r="G28962" s="9">
        <v>384</v>
      </c>
      <c r="H28962" s="8">
        <v>12080</v>
      </c>
    </row>
    <row r="28963" spans="2:8" ht="15" customHeight="1" x14ac:dyDescent="0.4">
      <c r="B28963" t="s">
        <v>7</v>
      </c>
      <c r="C28963" t="s">
        <v>4703</v>
      </c>
      <c r="D28963" s="7">
        <f>DATE(2012,10,19)</f>
        <v>41201</v>
      </c>
      <c r="E28963" s="8">
        <f t="shared" si="493"/>
        <v>2012</v>
      </c>
      <c r="F28963" t="s">
        <v>4704</v>
      </c>
      <c r="G28963" s="9">
        <v>6264.43</v>
      </c>
      <c r="H28963" s="8">
        <v>11803</v>
      </c>
    </row>
    <row r="28964" spans="2:8" ht="15" customHeight="1" x14ac:dyDescent="0.4">
      <c r="B28964" s="3" t="s">
        <v>7</v>
      </c>
      <c r="C28964" s="3" t="s">
        <v>4703</v>
      </c>
      <c r="D28964" s="4">
        <f>DATE(2003,3,25)</f>
        <v>37705</v>
      </c>
      <c r="E28964" s="5">
        <f t="shared" si="493"/>
        <v>2003</v>
      </c>
      <c r="F28964" s="3" t="s">
        <v>4704</v>
      </c>
      <c r="G28964" s="6">
        <v>7155</v>
      </c>
      <c r="H28964" s="5">
        <v>609</v>
      </c>
    </row>
    <row r="28965" spans="2:8" ht="15" customHeight="1" x14ac:dyDescent="0.4">
      <c r="B28965" s="3" t="s">
        <v>7</v>
      </c>
      <c r="C28965" s="3" t="s">
        <v>4703</v>
      </c>
      <c r="D28965" s="4">
        <f>DATE(2003,3,28)</f>
        <v>37708</v>
      </c>
      <c r="E28965" s="5">
        <f t="shared" si="493"/>
        <v>2003</v>
      </c>
      <c r="F28965" s="3" t="s">
        <v>4704</v>
      </c>
      <c r="G28965" s="6">
        <v>8775</v>
      </c>
      <c r="H28965" s="5">
        <v>610</v>
      </c>
    </row>
    <row r="28966" spans="2:8" ht="15" customHeight="1" x14ac:dyDescent="0.4">
      <c r="B28966" s="3" t="s">
        <v>7</v>
      </c>
      <c r="C28966" s="3" t="s">
        <v>4703</v>
      </c>
      <c r="D28966" s="4">
        <f>DATE(2003,4,4)</f>
        <v>37715</v>
      </c>
      <c r="E28966" s="5">
        <f t="shared" si="493"/>
        <v>2003</v>
      </c>
      <c r="F28966" s="3" t="s">
        <v>4704</v>
      </c>
      <c r="G28966" s="6">
        <v>9720</v>
      </c>
      <c r="H28966" s="5">
        <v>611</v>
      </c>
    </row>
    <row r="28967" spans="2:8" ht="15" customHeight="1" x14ac:dyDescent="0.4">
      <c r="B28967" s="3" t="s">
        <v>7</v>
      </c>
      <c r="C28967" s="3" t="s">
        <v>4703</v>
      </c>
      <c r="D28967" s="4">
        <f>DATE(2003,5,13)</f>
        <v>37754</v>
      </c>
      <c r="E28967" s="5">
        <f t="shared" si="493"/>
        <v>2003</v>
      </c>
      <c r="F28967" s="3" t="s">
        <v>4704</v>
      </c>
      <c r="G28967" s="6">
        <v>7250</v>
      </c>
      <c r="H28967" s="5">
        <v>951</v>
      </c>
    </row>
    <row r="28968" spans="2:8" ht="15" customHeight="1" x14ac:dyDescent="0.4">
      <c r="B28968" s="3" t="s">
        <v>7</v>
      </c>
      <c r="C28968" s="3" t="s">
        <v>4703</v>
      </c>
      <c r="D28968" s="4">
        <f>DATE(2003,7,14)</f>
        <v>37816</v>
      </c>
      <c r="E28968" s="5">
        <f t="shared" si="493"/>
        <v>2003</v>
      </c>
      <c r="F28968" s="3" t="s">
        <v>4704</v>
      </c>
      <c r="G28968" s="6">
        <v>8832.2900000000009</v>
      </c>
      <c r="H28968" s="5">
        <v>1203</v>
      </c>
    </row>
    <row r="28969" spans="2:8" ht="15" customHeight="1" x14ac:dyDescent="0.4">
      <c r="B28969" s="3" t="s">
        <v>7</v>
      </c>
      <c r="C28969" s="3" t="s">
        <v>4703</v>
      </c>
      <c r="D28969" s="4">
        <f>DATE(2003,7,14)</f>
        <v>37816</v>
      </c>
      <c r="E28969" s="5">
        <f t="shared" si="493"/>
        <v>2003</v>
      </c>
      <c r="F28969" s="3" t="s">
        <v>4704</v>
      </c>
      <c r="G28969" s="6">
        <v>8182.29</v>
      </c>
      <c r="H28969" s="5">
        <v>1307</v>
      </c>
    </row>
    <row r="28970" spans="2:8" ht="15" customHeight="1" x14ac:dyDescent="0.4">
      <c r="B28970" s="3" t="s">
        <v>7</v>
      </c>
      <c r="C28970" s="3" t="s">
        <v>4703</v>
      </c>
      <c r="D28970" s="4">
        <f>DATE(2003,10,13)</f>
        <v>37907</v>
      </c>
      <c r="E28970" s="5">
        <f t="shared" si="493"/>
        <v>2003</v>
      </c>
      <c r="F28970" s="3" t="s">
        <v>4704</v>
      </c>
      <c r="G28970" s="6">
        <v>95</v>
      </c>
      <c r="H28970" s="5">
        <v>1648</v>
      </c>
    </row>
    <row r="28971" spans="2:8" ht="15" customHeight="1" x14ac:dyDescent="0.4">
      <c r="B28971" s="3" t="s">
        <v>7</v>
      </c>
      <c r="C28971" s="3" t="s">
        <v>4703</v>
      </c>
      <c r="D28971" s="4">
        <f>DATE(2003,11,3)</f>
        <v>37928</v>
      </c>
      <c r="E28971" s="5">
        <f t="shared" si="493"/>
        <v>2003</v>
      </c>
      <c r="F28971" s="3" t="s">
        <v>4704</v>
      </c>
      <c r="G28971" s="6">
        <v>175</v>
      </c>
      <c r="H28971" s="5">
        <v>1742</v>
      </c>
    </row>
    <row r="28972" spans="2:8" ht="15" customHeight="1" x14ac:dyDescent="0.4">
      <c r="B28972" s="3" t="s">
        <v>7</v>
      </c>
      <c r="C28972" s="3" t="s">
        <v>4703</v>
      </c>
      <c r="D28972" s="4">
        <f>DATE(2003,11,19)</f>
        <v>37944</v>
      </c>
      <c r="E28972" s="5">
        <f t="shared" si="493"/>
        <v>2003</v>
      </c>
      <c r="F28972" s="3" t="s">
        <v>4704</v>
      </c>
      <c r="G28972" s="6">
        <v>380</v>
      </c>
      <c r="H28972" s="5">
        <v>1790</v>
      </c>
    </row>
    <row r="28973" spans="2:8" ht="15" customHeight="1" x14ac:dyDescent="0.4">
      <c r="B28973" s="3" t="s">
        <v>7</v>
      </c>
      <c r="C28973" s="3" t="s">
        <v>4703</v>
      </c>
      <c r="D28973" s="4">
        <f>DATE(2003,11,9)</f>
        <v>37934</v>
      </c>
      <c r="E28973" s="5">
        <f t="shared" si="493"/>
        <v>2003</v>
      </c>
      <c r="F28973" s="3" t="s">
        <v>4704</v>
      </c>
      <c r="G28973" s="6">
        <v>7430.99</v>
      </c>
      <c r="H28973" s="5">
        <v>1811</v>
      </c>
    </row>
    <row r="28974" spans="2:8" ht="15" customHeight="1" x14ac:dyDescent="0.4">
      <c r="B28974" s="3" t="s">
        <v>7</v>
      </c>
      <c r="C28974" s="3" t="s">
        <v>4703</v>
      </c>
      <c r="D28974" s="4">
        <f>DATE(2004,2,3)</f>
        <v>38020</v>
      </c>
      <c r="E28974" s="5">
        <f t="shared" si="493"/>
        <v>2004</v>
      </c>
      <c r="F28974" s="3" t="s">
        <v>4704</v>
      </c>
      <c r="G28974" s="6">
        <v>7500</v>
      </c>
      <c r="H28974" s="5">
        <v>2103</v>
      </c>
    </row>
    <row r="28975" spans="2:8" ht="15" customHeight="1" x14ac:dyDescent="0.4">
      <c r="B28975" s="3" t="s">
        <v>7</v>
      </c>
      <c r="C28975" s="3" t="s">
        <v>4703</v>
      </c>
      <c r="D28975" s="4">
        <f>DATE(2004,3,17)</f>
        <v>38063</v>
      </c>
      <c r="E28975" s="5">
        <f t="shared" si="493"/>
        <v>2004</v>
      </c>
      <c r="F28975" s="3" t="s">
        <v>4704</v>
      </c>
      <c r="G28975" s="6">
        <v>380</v>
      </c>
      <c r="H28975" s="5">
        <v>2416</v>
      </c>
    </row>
    <row r="28976" spans="2:8" ht="15" customHeight="1" x14ac:dyDescent="0.4">
      <c r="B28976" s="3" t="s">
        <v>7</v>
      </c>
      <c r="C28976" s="3" t="s">
        <v>4703</v>
      </c>
      <c r="D28976" s="4">
        <f>DATE(2004,4,19)</f>
        <v>38096</v>
      </c>
      <c r="E28976" s="5">
        <f t="shared" si="493"/>
        <v>2004</v>
      </c>
      <c r="F28976" s="3" t="s">
        <v>4704</v>
      </c>
      <c r="G28976" s="6">
        <v>13200</v>
      </c>
      <c r="H28976" s="5">
        <v>2690</v>
      </c>
    </row>
    <row r="28977" spans="2:8" ht="15" customHeight="1" x14ac:dyDescent="0.4">
      <c r="B28977" s="3" t="s">
        <v>7</v>
      </c>
      <c r="C28977" s="3" t="s">
        <v>4703</v>
      </c>
      <c r="D28977" s="4">
        <f>DATE(2004,4,15)</f>
        <v>38092</v>
      </c>
      <c r="E28977" s="5">
        <f t="shared" si="493"/>
        <v>2004</v>
      </c>
      <c r="F28977" s="3" t="s">
        <v>4704</v>
      </c>
      <c r="G28977" s="6">
        <v>13425</v>
      </c>
      <c r="H28977" s="5">
        <v>2657</v>
      </c>
    </row>
    <row r="28978" spans="2:8" ht="15" customHeight="1" x14ac:dyDescent="0.4">
      <c r="B28978" s="3" t="s">
        <v>7</v>
      </c>
      <c r="C28978" s="3" t="s">
        <v>4703</v>
      </c>
      <c r="D28978" s="4">
        <f>DATE(2004,5,28)</f>
        <v>38135</v>
      </c>
      <c r="E28978" s="5">
        <f t="shared" si="493"/>
        <v>2004</v>
      </c>
      <c r="F28978" s="3" t="s">
        <v>4704</v>
      </c>
      <c r="G28978" s="6">
        <v>8125</v>
      </c>
      <c r="H28978" s="5">
        <v>2969</v>
      </c>
    </row>
    <row r="28979" spans="2:8" ht="15" customHeight="1" x14ac:dyDescent="0.4">
      <c r="B28979" s="3" t="s">
        <v>7</v>
      </c>
      <c r="C28979" s="3" t="s">
        <v>4703</v>
      </c>
      <c r="D28979" s="4">
        <f>DATE(2004,6,11)</f>
        <v>38149</v>
      </c>
      <c r="E28979" s="5">
        <f t="shared" si="493"/>
        <v>2004</v>
      </c>
      <c r="F28979" s="3" t="s">
        <v>4704</v>
      </c>
      <c r="G28979" s="6">
        <v>8125</v>
      </c>
      <c r="H28979" s="5">
        <v>2978</v>
      </c>
    </row>
    <row r="28980" spans="2:8" ht="15" customHeight="1" x14ac:dyDescent="0.4">
      <c r="B28980" s="3" t="s">
        <v>7</v>
      </c>
      <c r="C28980" s="3" t="s">
        <v>4703</v>
      </c>
      <c r="D28980" s="4">
        <f>DATE(2009,4,23)</f>
        <v>39926</v>
      </c>
      <c r="E28980" s="5">
        <f t="shared" si="493"/>
        <v>2009</v>
      </c>
      <c r="F28980" s="3" t="s">
        <v>4704</v>
      </c>
      <c r="G28980" s="6">
        <v>9375</v>
      </c>
      <c r="H28980" s="5">
        <v>12390</v>
      </c>
    </row>
    <row r="28981" spans="2:8" ht="15" customHeight="1" x14ac:dyDescent="0.4">
      <c r="B28981" s="3" t="s">
        <v>7</v>
      </c>
      <c r="C28981" s="3" t="s">
        <v>4703</v>
      </c>
      <c r="D28981" s="4">
        <f>DATE(2010,4,19)</f>
        <v>40287</v>
      </c>
      <c r="E28981" s="5">
        <f t="shared" si="493"/>
        <v>2010</v>
      </c>
      <c r="F28981" s="3" t="s">
        <v>4704</v>
      </c>
      <c r="G28981" s="6">
        <v>6247.5</v>
      </c>
      <c r="H28981" s="5">
        <v>13842</v>
      </c>
    </row>
    <row r="28982" spans="2:8" ht="15" customHeight="1" x14ac:dyDescent="0.4">
      <c r="B28982" s="3" t="s">
        <v>7</v>
      </c>
      <c r="C28982" s="3" t="s">
        <v>4703</v>
      </c>
      <c r="D28982" s="4">
        <f>DATE(2011,4,22)</f>
        <v>40655</v>
      </c>
      <c r="E28982" s="5">
        <f t="shared" si="493"/>
        <v>2011</v>
      </c>
      <c r="F28982" s="3" t="s">
        <v>4704</v>
      </c>
      <c r="G28982" s="6">
        <v>7497</v>
      </c>
      <c r="H28982" s="5">
        <v>15456</v>
      </c>
    </row>
    <row r="28983" spans="2:8" ht="15" customHeight="1" x14ac:dyDescent="0.4">
      <c r="B28983" s="3" t="s">
        <v>7</v>
      </c>
      <c r="C28983" s="3" t="s">
        <v>4703</v>
      </c>
      <c r="D28983" s="4">
        <f>DATE(2012,9,26)</f>
        <v>41178</v>
      </c>
      <c r="E28983" s="5">
        <f t="shared" si="493"/>
        <v>2012</v>
      </c>
      <c r="F28983" s="3" t="s">
        <v>4704</v>
      </c>
      <c r="G28983" s="6">
        <v>2250</v>
      </c>
      <c r="H28983" s="5">
        <v>17642</v>
      </c>
    </row>
    <row r="28984" spans="2:8" ht="15" customHeight="1" x14ac:dyDescent="0.4">
      <c r="B28984" s="3" t="s">
        <v>16</v>
      </c>
      <c r="C28984" s="3" t="s">
        <v>4703</v>
      </c>
      <c r="D28984" s="4">
        <f>DATE(2003,7,14)</f>
        <v>37816</v>
      </c>
      <c r="E28984" s="5">
        <f t="shared" si="493"/>
        <v>2003</v>
      </c>
      <c r="F28984" s="3" t="s">
        <v>4704</v>
      </c>
      <c r="G28984" s="6">
        <v>8832.2900000000009</v>
      </c>
      <c r="H28984" s="5">
        <v>1306</v>
      </c>
    </row>
    <row r="28985" spans="2:8" ht="15" customHeight="1" x14ac:dyDescent="0.4">
      <c r="B28985" s="3" t="s">
        <v>16</v>
      </c>
      <c r="C28985" s="3" t="s">
        <v>4703</v>
      </c>
      <c r="D28985" s="4">
        <f>DATE(2004,4,19)</f>
        <v>38096</v>
      </c>
      <c r="E28985" s="5">
        <f t="shared" si="493"/>
        <v>2004</v>
      </c>
      <c r="F28985" s="3" t="s">
        <v>4704</v>
      </c>
      <c r="G28985" s="6">
        <v>13200</v>
      </c>
      <c r="H28985" s="5">
        <v>2691</v>
      </c>
    </row>
    <row r="28986" spans="2:8" ht="15" customHeight="1" x14ac:dyDescent="0.4">
      <c r="B28986" t="s">
        <v>7</v>
      </c>
      <c r="C28986" t="s">
        <v>4705</v>
      </c>
      <c r="D28986" s="7">
        <f>DATE(2019,4,23)</f>
        <v>43578</v>
      </c>
      <c r="E28986" s="8">
        <f t="shared" si="493"/>
        <v>2019</v>
      </c>
      <c r="F28986" t="s">
        <v>4706</v>
      </c>
      <c r="G28986" s="9">
        <v>2995.36</v>
      </c>
      <c r="H28986" s="8">
        <v>28840</v>
      </c>
    </row>
    <row r="28987" spans="2:8" ht="15" customHeight="1" x14ac:dyDescent="0.4">
      <c r="B28987" t="s">
        <v>7</v>
      </c>
      <c r="C28987" t="s">
        <v>4707</v>
      </c>
      <c r="D28987" s="7">
        <f>DATE(2019,1,18)</f>
        <v>43483</v>
      </c>
      <c r="E28987" s="8">
        <f t="shared" si="493"/>
        <v>2019</v>
      </c>
      <c r="F28987" t="s">
        <v>4708</v>
      </c>
      <c r="G28987" s="9">
        <v>5290.62</v>
      </c>
      <c r="H28987" s="8">
        <v>28237</v>
      </c>
    </row>
    <row r="28988" spans="2:8" ht="15" customHeight="1" x14ac:dyDescent="0.4">
      <c r="B28988" t="s">
        <v>7</v>
      </c>
      <c r="C28988" t="s">
        <v>4709</v>
      </c>
      <c r="D28988" s="7">
        <f>DATE(2016,6,1)</f>
        <v>42522</v>
      </c>
      <c r="E28988" s="8">
        <f t="shared" si="493"/>
        <v>2016</v>
      </c>
      <c r="F28988" t="s">
        <v>4710</v>
      </c>
      <c r="G28988" s="9">
        <v>23829</v>
      </c>
      <c r="H28988" s="8">
        <v>22598</v>
      </c>
    </row>
    <row r="28989" spans="2:8" ht="15" customHeight="1" x14ac:dyDescent="0.4">
      <c r="B28989" s="3" t="s">
        <v>7</v>
      </c>
      <c r="C28989" s="3" t="s">
        <v>4709</v>
      </c>
      <c r="D28989" s="4">
        <f>DATE(2006,11,28)</f>
        <v>39049</v>
      </c>
      <c r="E28989" s="5">
        <f t="shared" si="493"/>
        <v>2006</v>
      </c>
      <c r="F28989" s="3" t="s">
        <v>4710</v>
      </c>
      <c r="G28989" s="6">
        <v>93.8</v>
      </c>
      <c r="H28989" s="5">
        <v>7585</v>
      </c>
    </row>
    <row r="28990" spans="2:8" ht="15" customHeight="1" x14ac:dyDescent="0.4">
      <c r="B28990" s="3" t="s">
        <v>7</v>
      </c>
      <c r="C28990" s="3" t="s">
        <v>4709</v>
      </c>
      <c r="D28990" s="4">
        <f>DATE(2012,8,22)</f>
        <v>41143</v>
      </c>
      <c r="E28990" s="5">
        <f t="shared" si="493"/>
        <v>2012</v>
      </c>
      <c r="F28990" s="3" t="s">
        <v>4710</v>
      </c>
      <c r="G28990" s="6">
        <v>140.69999999999999</v>
      </c>
      <c r="H28990" s="5">
        <v>17504</v>
      </c>
    </row>
    <row r="28991" spans="2:8" ht="15" customHeight="1" x14ac:dyDescent="0.4">
      <c r="B28991" t="s">
        <v>7</v>
      </c>
      <c r="C28991" t="s">
        <v>4711</v>
      </c>
      <c r="D28991" s="7">
        <f>DATE(2016,4,20)</f>
        <v>42480</v>
      </c>
      <c r="E28991" s="8">
        <f t="shared" si="493"/>
        <v>2016</v>
      </c>
      <c r="F28991" t="s">
        <v>4712</v>
      </c>
      <c r="G28991" s="9">
        <v>21500</v>
      </c>
      <c r="H28991" s="8">
        <v>21954</v>
      </c>
    </row>
    <row r="28992" spans="2:8" ht="15" customHeight="1" x14ac:dyDescent="0.4">
      <c r="B28992" t="s">
        <v>7</v>
      </c>
      <c r="C28992" t="s">
        <v>4711</v>
      </c>
      <c r="D28992" s="7">
        <f>DATE(2015,5,12)</f>
        <v>42136</v>
      </c>
      <c r="E28992" s="8">
        <f t="shared" si="493"/>
        <v>2015</v>
      </c>
      <c r="F28992" t="s">
        <v>4712</v>
      </c>
      <c r="G28992" s="9">
        <v>31625</v>
      </c>
      <c r="H28992" s="8">
        <v>20360</v>
      </c>
    </row>
    <row r="28993" spans="2:8" ht="15" customHeight="1" x14ac:dyDescent="0.4">
      <c r="B28993" t="s">
        <v>7</v>
      </c>
      <c r="C28993" t="s">
        <v>4711</v>
      </c>
      <c r="D28993" s="7">
        <f>DATE(2015,7,2)</f>
        <v>42187</v>
      </c>
      <c r="E28993" s="8">
        <f t="shared" si="493"/>
        <v>2015</v>
      </c>
      <c r="F28993" t="s">
        <v>4712</v>
      </c>
      <c r="G28993" s="9">
        <v>429.69</v>
      </c>
      <c r="H28993" s="8">
        <v>20897</v>
      </c>
    </row>
    <row r="28994" spans="2:8" ht="15" customHeight="1" x14ac:dyDescent="0.4">
      <c r="B28994" t="s">
        <v>7</v>
      </c>
      <c r="C28994" t="s">
        <v>4711</v>
      </c>
      <c r="D28994" s="7">
        <f>DATE(2016,11,10)</f>
        <v>42684</v>
      </c>
      <c r="E28994" s="8">
        <f t="shared" si="493"/>
        <v>2016</v>
      </c>
      <c r="F28994" t="s">
        <v>4712</v>
      </c>
      <c r="G28994" s="9">
        <v>4500</v>
      </c>
      <c r="H28994" s="8">
        <v>23775</v>
      </c>
    </row>
    <row r="28995" spans="2:8" ht="15" customHeight="1" x14ac:dyDescent="0.4">
      <c r="B28995" t="s">
        <v>7</v>
      </c>
      <c r="C28995" t="s">
        <v>4711</v>
      </c>
      <c r="D28995" s="7">
        <f>DATE(2015,5,1)</f>
        <v>42125</v>
      </c>
      <c r="E28995" s="8">
        <f t="shared" ref="E28995:E29058" si="494">YEAR(D28995)</f>
        <v>2015</v>
      </c>
      <c r="F28995" t="s">
        <v>4712</v>
      </c>
      <c r="G28995" s="9">
        <v>5551.13</v>
      </c>
      <c r="H28995" s="8">
        <v>20499</v>
      </c>
    </row>
    <row r="28996" spans="2:8" ht="15" customHeight="1" x14ac:dyDescent="0.4">
      <c r="B28996" t="s">
        <v>7</v>
      </c>
      <c r="C28996" t="s">
        <v>4711</v>
      </c>
      <c r="D28996" s="7">
        <f>DATE(2015,10,27)</f>
        <v>42304</v>
      </c>
      <c r="E28996" s="8">
        <f t="shared" si="494"/>
        <v>2015</v>
      </c>
      <c r="F28996" t="s">
        <v>4712</v>
      </c>
      <c r="G28996" s="9">
        <v>5525.88</v>
      </c>
      <c r="H28996" s="8">
        <v>21428</v>
      </c>
    </row>
    <row r="28997" spans="2:8" ht="15" customHeight="1" x14ac:dyDescent="0.4">
      <c r="B28997" t="s">
        <v>7</v>
      </c>
      <c r="C28997" t="s">
        <v>4711</v>
      </c>
      <c r="D28997" s="7">
        <f>DATE(2016,8,2)</f>
        <v>42584</v>
      </c>
      <c r="E28997" s="8">
        <f t="shared" si="494"/>
        <v>2016</v>
      </c>
      <c r="F28997" t="s">
        <v>4712</v>
      </c>
      <c r="G28997" s="9">
        <v>4801.79</v>
      </c>
      <c r="H28997" s="8">
        <v>23177</v>
      </c>
    </row>
    <row r="28998" spans="2:8" ht="15" customHeight="1" x14ac:dyDescent="0.4">
      <c r="B28998" t="s">
        <v>7</v>
      </c>
      <c r="C28998" t="s">
        <v>4711</v>
      </c>
      <c r="D28998" s="7">
        <f>DATE(2017,1,25)</f>
        <v>42760</v>
      </c>
      <c r="E28998" s="8">
        <f t="shared" si="494"/>
        <v>2017</v>
      </c>
      <c r="F28998" t="s">
        <v>4712</v>
      </c>
      <c r="G28998" s="9">
        <v>4497.3599999999997</v>
      </c>
      <c r="H28998" s="8">
        <v>24053</v>
      </c>
    </row>
    <row r="28999" spans="2:8" ht="15" customHeight="1" x14ac:dyDescent="0.4">
      <c r="B28999" t="s">
        <v>7</v>
      </c>
      <c r="C28999" t="s">
        <v>4711</v>
      </c>
      <c r="D28999" s="7">
        <f>DATE(2019,1,31)</f>
        <v>43496</v>
      </c>
      <c r="E28999" s="8">
        <f t="shared" si="494"/>
        <v>2019</v>
      </c>
      <c r="F28999" t="s">
        <v>4712</v>
      </c>
      <c r="G28999" s="9">
        <v>70560</v>
      </c>
      <c r="H28999" s="8">
        <v>27949</v>
      </c>
    </row>
    <row r="29000" spans="2:8" ht="15" customHeight="1" x14ac:dyDescent="0.4">
      <c r="B29000" t="s">
        <v>7</v>
      </c>
      <c r="C29000" t="s">
        <v>4711</v>
      </c>
      <c r="D29000" s="7">
        <f>DATE(2018,12,5)</f>
        <v>43439</v>
      </c>
      <c r="E29000" s="8">
        <f t="shared" si="494"/>
        <v>2018</v>
      </c>
      <c r="F29000" t="s">
        <v>4712</v>
      </c>
      <c r="G29000" s="9">
        <v>40404.51</v>
      </c>
      <c r="H29000" s="8">
        <v>28015</v>
      </c>
    </row>
    <row r="29001" spans="2:8" ht="15" customHeight="1" x14ac:dyDescent="0.4">
      <c r="B29001" t="s">
        <v>16</v>
      </c>
      <c r="C29001" t="s">
        <v>4711</v>
      </c>
      <c r="D29001" s="7">
        <f>DATE(2015,7,1)</f>
        <v>42186</v>
      </c>
      <c r="E29001" s="8">
        <f t="shared" si="494"/>
        <v>2015</v>
      </c>
      <c r="F29001" t="s">
        <v>4712</v>
      </c>
      <c r="G29001" s="9">
        <v>429.69</v>
      </c>
      <c r="H29001" s="8">
        <v>20893</v>
      </c>
    </row>
    <row r="29002" spans="2:8" ht="15" customHeight="1" x14ac:dyDescent="0.4">
      <c r="B29002" t="s">
        <v>7</v>
      </c>
      <c r="C29002" t="s">
        <v>4711</v>
      </c>
      <c r="D29002" s="7">
        <f>DATE(2003,10,15)</f>
        <v>37909</v>
      </c>
      <c r="E29002" s="8">
        <f t="shared" si="494"/>
        <v>2003</v>
      </c>
      <c r="F29002" t="s">
        <v>4712</v>
      </c>
      <c r="G29002" s="9">
        <v>7221.5</v>
      </c>
      <c r="H29002" s="8">
        <v>947</v>
      </c>
    </row>
    <row r="29003" spans="2:8" ht="15" customHeight="1" x14ac:dyDescent="0.4">
      <c r="B29003" t="s">
        <v>7</v>
      </c>
      <c r="C29003" t="s">
        <v>4711</v>
      </c>
      <c r="D29003" s="7">
        <f>DATE(2003,11,25)</f>
        <v>37950</v>
      </c>
      <c r="E29003" s="8">
        <f t="shared" si="494"/>
        <v>2003</v>
      </c>
      <c r="F29003" t="s">
        <v>4712</v>
      </c>
      <c r="G29003" s="9">
        <v>6520.33</v>
      </c>
      <c r="H29003" s="8">
        <v>1034</v>
      </c>
    </row>
    <row r="29004" spans="2:8" ht="15" customHeight="1" x14ac:dyDescent="0.4">
      <c r="B29004" t="s">
        <v>7</v>
      </c>
      <c r="C29004" t="s">
        <v>4711</v>
      </c>
      <c r="D29004" s="7">
        <f>DATE(2004,10,3)</f>
        <v>38263</v>
      </c>
      <c r="E29004" s="8">
        <f t="shared" si="494"/>
        <v>2004</v>
      </c>
      <c r="F29004" t="s">
        <v>4712</v>
      </c>
      <c r="G29004" s="9">
        <v>5611.24</v>
      </c>
      <c r="H29004" s="8">
        <v>2267</v>
      </c>
    </row>
    <row r="29005" spans="2:8" ht="15" customHeight="1" x14ac:dyDescent="0.4">
      <c r="B29005" t="s">
        <v>7</v>
      </c>
      <c r="C29005" t="s">
        <v>4711</v>
      </c>
      <c r="D29005" s="7">
        <f>DATE(2004,12,7)</f>
        <v>38328</v>
      </c>
      <c r="E29005" s="8">
        <f t="shared" si="494"/>
        <v>2004</v>
      </c>
      <c r="F29005" t="s">
        <v>4712</v>
      </c>
      <c r="G29005" s="9">
        <v>4891.7299999999996</v>
      </c>
      <c r="H29005" s="8">
        <v>2420</v>
      </c>
    </row>
    <row r="29006" spans="2:8" ht="15" customHeight="1" x14ac:dyDescent="0.4">
      <c r="B29006" t="s">
        <v>7</v>
      </c>
      <c r="C29006" t="s">
        <v>4711</v>
      </c>
      <c r="D29006" s="7">
        <f>DATE(2005,1,25)</f>
        <v>38377</v>
      </c>
      <c r="E29006" s="8">
        <f t="shared" si="494"/>
        <v>2005</v>
      </c>
      <c r="F29006" t="s">
        <v>4712</v>
      </c>
      <c r="G29006" s="9">
        <v>3233.44</v>
      </c>
      <c r="H29006" s="8">
        <v>2631</v>
      </c>
    </row>
    <row r="29007" spans="2:8" ht="15" customHeight="1" x14ac:dyDescent="0.4">
      <c r="B29007" t="s">
        <v>7</v>
      </c>
      <c r="C29007" t="s">
        <v>4711</v>
      </c>
      <c r="D29007" s="7">
        <f>DATE(2006,2,26)</f>
        <v>38774</v>
      </c>
      <c r="E29007" s="8">
        <f t="shared" si="494"/>
        <v>2006</v>
      </c>
      <c r="F29007" t="s">
        <v>4712</v>
      </c>
      <c r="G29007" s="9">
        <v>2640.81</v>
      </c>
      <c r="H29007" s="8">
        <v>4237</v>
      </c>
    </row>
    <row r="29008" spans="2:8" ht="15" customHeight="1" x14ac:dyDescent="0.4">
      <c r="B29008" t="s">
        <v>7</v>
      </c>
      <c r="C29008" t="s">
        <v>4711</v>
      </c>
      <c r="D29008" s="7">
        <f>DATE(2006,3,3)</f>
        <v>38779</v>
      </c>
      <c r="E29008" s="8">
        <f t="shared" si="494"/>
        <v>2006</v>
      </c>
      <c r="F29008" t="s">
        <v>4712</v>
      </c>
      <c r="G29008" s="9">
        <v>5358.96</v>
      </c>
      <c r="H29008" s="8">
        <v>4265</v>
      </c>
    </row>
    <row r="29009" spans="2:8" ht="15" customHeight="1" x14ac:dyDescent="0.4">
      <c r="B29009" t="s">
        <v>7</v>
      </c>
      <c r="C29009" t="s">
        <v>4711</v>
      </c>
      <c r="D29009" s="7">
        <f>DATE(2006,4,20)</f>
        <v>38827</v>
      </c>
      <c r="E29009" s="8">
        <f t="shared" si="494"/>
        <v>2006</v>
      </c>
      <c r="F29009" t="s">
        <v>4712</v>
      </c>
      <c r="G29009" s="9">
        <v>10563.8</v>
      </c>
      <c r="H29009" s="8">
        <v>4410</v>
      </c>
    </row>
    <row r="29010" spans="2:8" ht="15" customHeight="1" x14ac:dyDescent="0.4">
      <c r="B29010" t="s">
        <v>7</v>
      </c>
      <c r="C29010" t="s">
        <v>4711</v>
      </c>
      <c r="D29010" s="7">
        <f>DATE(2007,1,21)</f>
        <v>39103</v>
      </c>
      <c r="E29010" s="8">
        <f t="shared" si="494"/>
        <v>2007</v>
      </c>
      <c r="F29010" t="s">
        <v>4712</v>
      </c>
      <c r="G29010" s="9">
        <v>11406.99</v>
      </c>
      <c r="H29010" s="8">
        <v>5369</v>
      </c>
    </row>
    <row r="29011" spans="2:8" ht="15" customHeight="1" x14ac:dyDescent="0.4">
      <c r="B29011" t="s">
        <v>7</v>
      </c>
      <c r="C29011" t="s">
        <v>4711</v>
      </c>
      <c r="D29011" s="7">
        <f>DATE(2008,2,22)</f>
        <v>39500</v>
      </c>
      <c r="E29011" s="8">
        <f t="shared" si="494"/>
        <v>2008</v>
      </c>
      <c r="F29011" t="s">
        <v>4712</v>
      </c>
      <c r="G29011" s="9">
        <v>8169.81</v>
      </c>
      <c r="H29011" s="8">
        <v>7059</v>
      </c>
    </row>
    <row r="29012" spans="2:8" ht="15" customHeight="1" x14ac:dyDescent="0.4">
      <c r="B29012" t="s">
        <v>7</v>
      </c>
      <c r="C29012" t="s">
        <v>4711</v>
      </c>
      <c r="D29012" s="7">
        <f>DATE(2008,5,28)</f>
        <v>39596</v>
      </c>
      <c r="E29012" s="8">
        <f t="shared" si="494"/>
        <v>2008</v>
      </c>
      <c r="F29012" t="s">
        <v>4712</v>
      </c>
      <c r="G29012" s="9">
        <v>4744.76</v>
      </c>
      <c r="H29012" s="8">
        <v>7322</v>
      </c>
    </row>
    <row r="29013" spans="2:8" ht="15" customHeight="1" x14ac:dyDescent="0.4">
      <c r="B29013" t="s">
        <v>7</v>
      </c>
      <c r="C29013" t="s">
        <v>4711</v>
      </c>
      <c r="D29013" s="7">
        <f>DATE(2009,2,9)</f>
        <v>39853</v>
      </c>
      <c r="E29013" s="8">
        <f t="shared" si="494"/>
        <v>2009</v>
      </c>
      <c r="F29013" t="s">
        <v>4712</v>
      </c>
      <c r="G29013" s="9">
        <v>6621.54</v>
      </c>
      <c r="H29013" s="8">
        <v>8318</v>
      </c>
    </row>
    <row r="29014" spans="2:8" ht="15" customHeight="1" x14ac:dyDescent="0.4">
      <c r="B29014" t="s">
        <v>7</v>
      </c>
      <c r="C29014" t="s">
        <v>4711</v>
      </c>
      <c r="D29014" s="7">
        <f>DATE(2010,4,24)</f>
        <v>40292</v>
      </c>
      <c r="E29014" s="8">
        <f t="shared" si="494"/>
        <v>2010</v>
      </c>
      <c r="F29014" t="s">
        <v>4712</v>
      </c>
      <c r="G29014" s="9">
        <v>54860.09</v>
      </c>
      <c r="H29014" s="8">
        <v>9500</v>
      </c>
    </row>
    <row r="29015" spans="2:8" ht="15" customHeight="1" x14ac:dyDescent="0.4">
      <c r="B29015" t="s">
        <v>7</v>
      </c>
      <c r="C29015" t="s">
        <v>4711</v>
      </c>
      <c r="D29015" s="7">
        <f>DATE(2010,12,10)</f>
        <v>40522</v>
      </c>
      <c r="E29015" s="8">
        <f t="shared" si="494"/>
        <v>2010</v>
      </c>
      <c r="F29015" t="s">
        <v>4712</v>
      </c>
      <c r="G29015" s="9">
        <v>5153.3599999999997</v>
      </c>
      <c r="H29015" s="8">
        <v>10303</v>
      </c>
    </row>
    <row r="29016" spans="2:8" ht="15" customHeight="1" x14ac:dyDescent="0.4">
      <c r="B29016" s="3" t="s">
        <v>7</v>
      </c>
      <c r="C29016" s="3" t="s">
        <v>4711</v>
      </c>
      <c r="D29016" s="4">
        <f>DATE(2008,4,16)</f>
        <v>39554</v>
      </c>
      <c r="E29016" s="5">
        <f t="shared" si="494"/>
        <v>2008</v>
      </c>
      <c r="F29016" s="3" t="s">
        <v>4712</v>
      </c>
      <c r="G29016" s="6">
        <v>3427.52</v>
      </c>
      <c r="H29016" s="5">
        <v>10448</v>
      </c>
    </row>
    <row r="29017" spans="2:8" ht="15" customHeight="1" x14ac:dyDescent="0.4">
      <c r="B29017" s="3" t="s">
        <v>7</v>
      </c>
      <c r="C29017" s="3" t="s">
        <v>4711</v>
      </c>
      <c r="D29017" s="4">
        <f>DATE(2008,5,8)</f>
        <v>39576</v>
      </c>
      <c r="E29017" s="5">
        <f t="shared" si="494"/>
        <v>2008</v>
      </c>
      <c r="F29017" s="3" t="s">
        <v>4712</v>
      </c>
      <c r="G29017" s="6">
        <v>1191.75</v>
      </c>
      <c r="H29017" s="5">
        <v>10678</v>
      </c>
    </row>
    <row r="29018" spans="2:8" ht="15" customHeight="1" x14ac:dyDescent="0.4">
      <c r="B29018" s="3" t="s">
        <v>16</v>
      </c>
      <c r="C29018" s="3" t="s">
        <v>4711</v>
      </c>
      <c r="D29018" s="4">
        <f>DATE(2008,5,28)</f>
        <v>39596</v>
      </c>
      <c r="E29018" s="5">
        <f t="shared" si="494"/>
        <v>2008</v>
      </c>
      <c r="F29018" s="3" t="s">
        <v>4712</v>
      </c>
      <c r="G29018" s="6">
        <v>1668.35</v>
      </c>
      <c r="H29018" s="5">
        <v>10757</v>
      </c>
    </row>
    <row r="29019" spans="2:8" ht="15" customHeight="1" x14ac:dyDescent="0.4">
      <c r="B29019" t="s">
        <v>7</v>
      </c>
      <c r="C29019" t="s">
        <v>4711</v>
      </c>
      <c r="D29019" s="7">
        <f>DATE(2015,5,15)</f>
        <v>42139</v>
      </c>
      <c r="E29019" s="8">
        <f t="shared" si="494"/>
        <v>2015</v>
      </c>
      <c r="F29019" t="s">
        <v>4712</v>
      </c>
      <c r="G29019" s="9">
        <v>12358.31</v>
      </c>
      <c r="H29019" s="8">
        <v>501</v>
      </c>
    </row>
    <row r="29020" spans="2:8" ht="15" customHeight="1" x14ac:dyDescent="0.4">
      <c r="B29020" t="s">
        <v>7</v>
      </c>
      <c r="C29020" t="s">
        <v>4711</v>
      </c>
      <c r="D29020" s="7">
        <f>DATE(2016,4,15)</f>
        <v>42475</v>
      </c>
      <c r="E29020" s="8">
        <f t="shared" si="494"/>
        <v>2016</v>
      </c>
      <c r="F29020" t="s">
        <v>4712</v>
      </c>
      <c r="G29020" s="9">
        <v>29630.080000000002</v>
      </c>
      <c r="H29020" s="8">
        <v>526</v>
      </c>
    </row>
    <row r="29021" spans="2:8" ht="15" customHeight="1" x14ac:dyDescent="0.4">
      <c r="B29021" t="s">
        <v>7</v>
      </c>
      <c r="C29021" t="s">
        <v>4711</v>
      </c>
      <c r="D29021" s="7">
        <f>DATE(2016,11,10)</f>
        <v>42684</v>
      </c>
      <c r="E29021" s="8">
        <f t="shared" si="494"/>
        <v>2016</v>
      </c>
      <c r="F29021" t="s">
        <v>4712</v>
      </c>
      <c r="G29021" s="9">
        <v>234900.23</v>
      </c>
      <c r="H29021" s="8">
        <v>527</v>
      </c>
    </row>
    <row r="29022" spans="2:8" ht="15" customHeight="1" x14ac:dyDescent="0.4">
      <c r="B29022" t="s">
        <v>7</v>
      </c>
      <c r="C29022" t="s">
        <v>4711</v>
      </c>
      <c r="D29022" s="7">
        <f>DATE(2017,3,31)</f>
        <v>42825</v>
      </c>
      <c r="E29022" s="8">
        <f t="shared" si="494"/>
        <v>2017</v>
      </c>
      <c r="F29022" t="s">
        <v>4712</v>
      </c>
      <c r="G29022" s="9">
        <v>54778.17</v>
      </c>
      <c r="H29022" s="8">
        <v>528</v>
      </c>
    </row>
    <row r="29023" spans="2:8" ht="15" customHeight="1" x14ac:dyDescent="0.4">
      <c r="B29023" t="s">
        <v>7</v>
      </c>
      <c r="C29023" t="s">
        <v>4711</v>
      </c>
      <c r="D29023" s="7">
        <f>DATE(2008,5,1)</f>
        <v>39569</v>
      </c>
      <c r="E29023" s="8">
        <f t="shared" si="494"/>
        <v>2008</v>
      </c>
      <c r="F29023" t="s">
        <v>4712</v>
      </c>
      <c r="G29023" s="9">
        <v>78531.09</v>
      </c>
      <c r="H29023" s="8">
        <v>150</v>
      </c>
    </row>
    <row r="29024" spans="2:8" ht="15" customHeight="1" x14ac:dyDescent="0.4">
      <c r="B29024" t="s">
        <v>7</v>
      </c>
      <c r="C29024" t="s">
        <v>4711</v>
      </c>
      <c r="D29024" s="7">
        <f>DATE(2010,4,30)</f>
        <v>40298</v>
      </c>
      <c r="E29024" s="8">
        <f t="shared" si="494"/>
        <v>2010</v>
      </c>
      <c r="F29024" t="s">
        <v>4712</v>
      </c>
      <c r="G29024" s="9">
        <v>76000</v>
      </c>
      <c r="H29024" s="8">
        <v>243</v>
      </c>
    </row>
    <row r="29025" spans="2:8" ht="15" customHeight="1" x14ac:dyDescent="0.4">
      <c r="B29025" t="s">
        <v>7</v>
      </c>
      <c r="C29025" t="s">
        <v>4711</v>
      </c>
      <c r="D29025" s="7">
        <f>DATE(2011,3,15)</f>
        <v>40617</v>
      </c>
      <c r="E29025" s="8">
        <f t="shared" si="494"/>
        <v>2011</v>
      </c>
      <c r="F29025" t="s">
        <v>4712</v>
      </c>
      <c r="G29025" s="9">
        <v>18129.52</v>
      </c>
      <c r="H29025" s="8">
        <v>260</v>
      </c>
    </row>
    <row r="29026" spans="2:8" ht="15" customHeight="1" x14ac:dyDescent="0.4">
      <c r="B29026" t="s">
        <v>7</v>
      </c>
      <c r="C29026" t="s">
        <v>4711</v>
      </c>
      <c r="D29026" s="7">
        <f>DATE(2011,3,30)</f>
        <v>40632</v>
      </c>
      <c r="E29026" s="8">
        <f t="shared" si="494"/>
        <v>2011</v>
      </c>
      <c r="F29026" t="s">
        <v>4712</v>
      </c>
      <c r="G29026" s="9">
        <v>46338.09</v>
      </c>
      <c r="H29026" s="8">
        <v>275</v>
      </c>
    </row>
    <row r="29027" spans="2:8" ht="15" customHeight="1" x14ac:dyDescent="0.4">
      <c r="B29027" t="s">
        <v>7</v>
      </c>
      <c r="C29027" t="s">
        <v>4711</v>
      </c>
      <c r="D29027" s="7">
        <f>DATE(2013,10,24)</f>
        <v>41571</v>
      </c>
      <c r="E29027" s="8">
        <f t="shared" si="494"/>
        <v>2013</v>
      </c>
      <c r="F29027" t="s">
        <v>4712</v>
      </c>
      <c r="G29027" s="9">
        <v>40447.68</v>
      </c>
      <c r="H29027" s="8">
        <v>510</v>
      </c>
    </row>
    <row r="29028" spans="2:8" ht="15" customHeight="1" x14ac:dyDescent="0.4">
      <c r="B29028" t="s">
        <v>7</v>
      </c>
      <c r="C29028" t="s">
        <v>4711</v>
      </c>
      <c r="D29028" s="7">
        <f>DATE(2014,5,12)</f>
        <v>41771</v>
      </c>
      <c r="E29028" s="8">
        <f t="shared" si="494"/>
        <v>2014</v>
      </c>
      <c r="F29028" t="s">
        <v>4712</v>
      </c>
      <c r="G29028" s="9">
        <v>8461.0499999999993</v>
      </c>
      <c r="H29028" s="8">
        <v>315</v>
      </c>
    </row>
    <row r="29029" spans="2:8" ht="15" customHeight="1" x14ac:dyDescent="0.4">
      <c r="B29029" t="s">
        <v>7</v>
      </c>
      <c r="C29029" t="s">
        <v>4711</v>
      </c>
      <c r="D29029" s="7">
        <f>DATE(2018,8,29)</f>
        <v>43341</v>
      </c>
      <c r="E29029" s="8">
        <f t="shared" si="494"/>
        <v>2018</v>
      </c>
      <c r="F29029" t="s">
        <v>4712</v>
      </c>
      <c r="G29029" s="9">
        <v>64067.38</v>
      </c>
      <c r="H29029" s="8">
        <v>529</v>
      </c>
    </row>
    <row r="29030" spans="2:8" ht="15" customHeight="1" x14ac:dyDescent="0.4">
      <c r="B29030" t="s">
        <v>7</v>
      </c>
      <c r="C29030" t="s">
        <v>4713</v>
      </c>
      <c r="D29030" s="7">
        <f>DATE(2006,4,8)</f>
        <v>38815</v>
      </c>
      <c r="E29030" s="8">
        <f t="shared" si="494"/>
        <v>2006</v>
      </c>
      <c r="F29030" t="s">
        <v>4714</v>
      </c>
      <c r="G29030" s="9">
        <v>47734.48</v>
      </c>
      <c r="H29030" s="8">
        <v>4435</v>
      </c>
    </row>
    <row r="29031" spans="2:8" ht="15" customHeight="1" x14ac:dyDescent="0.4">
      <c r="B29031" t="s">
        <v>7</v>
      </c>
      <c r="C29031" t="s">
        <v>4715</v>
      </c>
      <c r="D29031" s="7">
        <f>DATE(2015,7,7)</f>
        <v>42192</v>
      </c>
      <c r="E29031" s="8">
        <f t="shared" si="494"/>
        <v>2015</v>
      </c>
      <c r="F29031" t="s">
        <v>4716</v>
      </c>
      <c r="G29031" s="9">
        <v>7343.92</v>
      </c>
      <c r="H29031" s="8">
        <v>20736</v>
      </c>
    </row>
    <row r="29032" spans="2:8" ht="15" customHeight="1" x14ac:dyDescent="0.4">
      <c r="B29032" s="3" t="s">
        <v>7</v>
      </c>
      <c r="C29032" s="3" t="s">
        <v>4717</v>
      </c>
      <c r="D29032" s="4">
        <f>DATE(2008,1,24)</f>
        <v>39471</v>
      </c>
      <c r="E29032" s="5">
        <f t="shared" si="494"/>
        <v>2008</v>
      </c>
      <c r="F29032" s="3" t="s">
        <v>4716</v>
      </c>
      <c r="G29032" s="6">
        <v>619.94000000000005</v>
      </c>
      <c r="H29032" s="5">
        <v>9799</v>
      </c>
    </row>
    <row r="29033" spans="2:8" ht="15" customHeight="1" x14ac:dyDescent="0.4">
      <c r="B29033" t="s">
        <v>7</v>
      </c>
      <c r="C29033" t="s">
        <v>4718</v>
      </c>
      <c r="D29033" s="7">
        <f>DATE(2003,2,6)</f>
        <v>37658</v>
      </c>
      <c r="E29033" s="8">
        <f t="shared" si="494"/>
        <v>2003</v>
      </c>
      <c r="F29033" t="s">
        <v>4719</v>
      </c>
      <c r="G29033" s="9">
        <v>17595.169999999998</v>
      </c>
      <c r="H29033" s="8">
        <v>113</v>
      </c>
    </row>
    <row r="29034" spans="2:8" ht="15" customHeight="1" x14ac:dyDescent="0.4">
      <c r="B29034" t="s">
        <v>7</v>
      </c>
      <c r="C29034" t="s">
        <v>4718</v>
      </c>
      <c r="D29034" s="7">
        <f>DATE(2003,11,25)</f>
        <v>37950</v>
      </c>
      <c r="E29034" s="8">
        <f t="shared" si="494"/>
        <v>2003</v>
      </c>
      <c r="F29034" t="s">
        <v>4719</v>
      </c>
      <c r="G29034" s="9">
        <v>14302.67</v>
      </c>
      <c r="H29034" s="8">
        <v>1029</v>
      </c>
    </row>
    <row r="29035" spans="2:8" ht="15" customHeight="1" x14ac:dyDescent="0.4">
      <c r="B29035" t="s">
        <v>7</v>
      </c>
      <c r="C29035" t="s">
        <v>4718</v>
      </c>
      <c r="D29035" s="7">
        <f>DATE(2004,11,14)</f>
        <v>38305</v>
      </c>
      <c r="E29035" s="8">
        <f t="shared" si="494"/>
        <v>2004</v>
      </c>
      <c r="F29035" t="s">
        <v>4719</v>
      </c>
      <c r="G29035" s="9">
        <v>12060</v>
      </c>
      <c r="H29035" s="8">
        <v>2338</v>
      </c>
    </row>
    <row r="29036" spans="2:8" ht="15" customHeight="1" x14ac:dyDescent="0.4">
      <c r="B29036" t="s">
        <v>7</v>
      </c>
      <c r="C29036" t="s">
        <v>4718</v>
      </c>
      <c r="D29036" s="7">
        <f>DATE(2005,10,22)</f>
        <v>38647</v>
      </c>
      <c r="E29036" s="8">
        <f t="shared" si="494"/>
        <v>2005</v>
      </c>
      <c r="F29036" t="s">
        <v>4719</v>
      </c>
      <c r="G29036" s="9">
        <v>14171.91</v>
      </c>
      <c r="H29036" s="8">
        <v>3597</v>
      </c>
    </row>
    <row r="29037" spans="2:8" ht="15" customHeight="1" x14ac:dyDescent="0.4">
      <c r="B29037" t="s">
        <v>7</v>
      </c>
      <c r="C29037" t="s">
        <v>4720</v>
      </c>
      <c r="D29037" s="7">
        <f>DATE(2007,4,6)</f>
        <v>39178</v>
      </c>
      <c r="E29037" s="8">
        <f t="shared" si="494"/>
        <v>2007</v>
      </c>
      <c r="F29037" t="s">
        <v>4721</v>
      </c>
      <c r="G29037" s="9">
        <v>6420.56</v>
      </c>
      <c r="H29037" s="8">
        <v>5818</v>
      </c>
    </row>
    <row r="29038" spans="2:8" ht="15" customHeight="1" x14ac:dyDescent="0.4">
      <c r="B29038" t="s">
        <v>7</v>
      </c>
      <c r="C29038" t="s">
        <v>4717</v>
      </c>
      <c r="D29038" s="7">
        <f>DATE(2008,6,8)</f>
        <v>39607</v>
      </c>
      <c r="E29038" s="8">
        <f t="shared" si="494"/>
        <v>2008</v>
      </c>
      <c r="F29038" t="s">
        <v>4722</v>
      </c>
      <c r="G29038" s="9">
        <v>29604.67</v>
      </c>
      <c r="H29038" s="8">
        <v>7247</v>
      </c>
    </row>
    <row r="29039" spans="2:8" ht="15" customHeight="1" x14ac:dyDescent="0.4">
      <c r="B29039" s="3" t="s">
        <v>7</v>
      </c>
      <c r="C29039" s="3" t="s">
        <v>4717</v>
      </c>
      <c r="D29039" s="4">
        <f>DATE(2008,9,25)</f>
        <v>39716</v>
      </c>
      <c r="E29039" s="5">
        <f t="shared" si="494"/>
        <v>2008</v>
      </c>
      <c r="F29039" s="3" t="s">
        <v>4722</v>
      </c>
      <c r="G29039" s="6">
        <v>251.46</v>
      </c>
      <c r="H29039" s="5">
        <v>11317</v>
      </c>
    </row>
    <row r="29040" spans="2:8" ht="15" customHeight="1" x14ac:dyDescent="0.4">
      <c r="B29040" s="3" t="s">
        <v>7</v>
      </c>
      <c r="C29040" s="3" t="s">
        <v>4717</v>
      </c>
      <c r="D29040" s="4">
        <f>DATE(2008,9,24)</f>
        <v>39715</v>
      </c>
      <c r="E29040" s="5">
        <f t="shared" si="494"/>
        <v>2008</v>
      </c>
      <c r="F29040" s="3" t="s">
        <v>4722</v>
      </c>
      <c r="G29040" s="6">
        <v>9038.09</v>
      </c>
      <c r="H29040" s="5">
        <v>11253</v>
      </c>
    </row>
    <row r="29041" spans="2:8" ht="15" customHeight="1" x14ac:dyDescent="0.4">
      <c r="B29041" s="3" t="s">
        <v>7</v>
      </c>
      <c r="C29041" s="3" t="s">
        <v>4717</v>
      </c>
      <c r="D29041" s="4">
        <f>DATE(2009,7,24)</f>
        <v>40018</v>
      </c>
      <c r="E29041" s="5">
        <f t="shared" si="494"/>
        <v>2009</v>
      </c>
      <c r="F29041" s="3" t="s">
        <v>4722</v>
      </c>
      <c r="G29041" s="6">
        <v>3684.04</v>
      </c>
      <c r="H29041" s="5">
        <v>12803</v>
      </c>
    </row>
    <row r="29042" spans="2:8" ht="15" customHeight="1" x14ac:dyDescent="0.4">
      <c r="B29042" s="3" t="s">
        <v>16</v>
      </c>
      <c r="C29042" s="3" t="s">
        <v>4717</v>
      </c>
      <c r="D29042" s="4">
        <f>DATE(2008,1,31)</f>
        <v>39478</v>
      </c>
      <c r="E29042" s="5">
        <f t="shared" si="494"/>
        <v>2008</v>
      </c>
      <c r="F29042" s="3" t="s">
        <v>4722</v>
      </c>
      <c r="G29042" s="6">
        <v>407.36</v>
      </c>
      <c r="H29042" s="5">
        <v>9833</v>
      </c>
    </row>
    <row r="29043" spans="2:8" ht="15" customHeight="1" x14ac:dyDescent="0.4">
      <c r="B29043" s="3" t="s">
        <v>7</v>
      </c>
      <c r="C29043" s="3" t="s">
        <v>4717</v>
      </c>
      <c r="D29043" s="4">
        <f>DATE(2004,4,1)</f>
        <v>38078</v>
      </c>
      <c r="E29043" s="5">
        <f t="shared" si="494"/>
        <v>2004</v>
      </c>
      <c r="F29043" s="3" t="s">
        <v>4723</v>
      </c>
      <c r="G29043" s="6">
        <v>367</v>
      </c>
      <c r="H29043" s="5">
        <v>2561</v>
      </c>
    </row>
    <row r="29044" spans="2:8" ht="15" customHeight="1" x14ac:dyDescent="0.4">
      <c r="B29044" s="3" t="s">
        <v>7</v>
      </c>
      <c r="C29044" s="3" t="s">
        <v>4717</v>
      </c>
      <c r="D29044" s="4">
        <f>DATE(2005,8,31)</f>
        <v>38595</v>
      </c>
      <c r="E29044" s="5">
        <f t="shared" si="494"/>
        <v>2005</v>
      </c>
      <c r="F29044" s="3" t="s">
        <v>4723</v>
      </c>
      <c r="G29044" s="6">
        <v>2058</v>
      </c>
      <c r="H29044" s="5">
        <v>5198</v>
      </c>
    </row>
    <row r="29045" spans="2:8" ht="15" customHeight="1" x14ac:dyDescent="0.4">
      <c r="B29045" s="3" t="s">
        <v>7</v>
      </c>
      <c r="C29045" s="3" t="s">
        <v>4717</v>
      </c>
      <c r="D29045" s="4">
        <f>DATE(2005,8,31)</f>
        <v>38595</v>
      </c>
      <c r="E29045" s="5">
        <f t="shared" si="494"/>
        <v>2005</v>
      </c>
      <c r="F29045" s="3" t="s">
        <v>4723</v>
      </c>
      <c r="G29045" s="6">
        <v>1.76</v>
      </c>
      <c r="H29045" s="5">
        <v>5366</v>
      </c>
    </row>
    <row r="29046" spans="2:8" ht="15" customHeight="1" x14ac:dyDescent="0.4">
      <c r="B29046" s="3" t="s">
        <v>7</v>
      </c>
      <c r="C29046" s="3" t="s">
        <v>4717</v>
      </c>
      <c r="D29046" s="4">
        <f>DATE(2006,1,20)</f>
        <v>38737</v>
      </c>
      <c r="E29046" s="5">
        <f t="shared" si="494"/>
        <v>2006</v>
      </c>
      <c r="F29046" s="3" t="s">
        <v>4723</v>
      </c>
      <c r="G29046" s="6">
        <v>241.61</v>
      </c>
      <c r="H29046" s="5">
        <v>5891</v>
      </c>
    </row>
    <row r="29047" spans="2:8" ht="15" customHeight="1" x14ac:dyDescent="0.4">
      <c r="B29047" s="3" t="s">
        <v>7</v>
      </c>
      <c r="C29047" s="3" t="s">
        <v>4717</v>
      </c>
      <c r="D29047" s="4">
        <f>DATE(2006,6,7)</f>
        <v>38875</v>
      </c>
      <c r="E29047" s="5">
        <f t="shared" si="494"/>
        <v>2006</v>
      </c>
      <c r="F29047" s="3" t="s">
        <v>4723</v>
      </c>
      <c r="G29047" s="6">
        <v>913.89</v>
      </c>
      <c r="H29047" s="5">
        <v>6827</v>
      </c>
    </row>
    <row r="29048" spans="2:8" ht="15" customHeight="1" x14ac:dyDescent="0.4">
      <c r="B29048" s="3" t="s">
        <v>7</v>
      </c>
      <c r="C29048" s="3" t="s">
        <v>4717</v>
      </c>
      <c r="D29048" s="4">
        <f>DATE(2006,6,13)</f>
        <v>38881</v>
      </c>
      <c r="E29048" s="5">
        <f t="shared" si="494"/>
        <v>2006</v>
      </c>
      <c r="F29048" s="3" t="s">
        <v>4723</v>
      </c>
      <c r="G29048" s="6">
        <v>414.1</v>
      </c>
      <c r="H29048" s="5">
        <v>6845</v>
      </c>
    </row>
    <row r="29049" spans="2:8" ht="15" customHeight="1" x14ac:dyDescent="0.4">
      <c r="B29049" s="3" t="s">
        <v>7</v>
      </c>
      <c r="C29049" s="3" t="s">
        <v>4717</v>
      </c>
      <c r="D29049" s="4">
        <f>DATE(2006,11,20)</f>
        <v>39041</v>
      </c>
      <c r="E29049" s="5">
        <f t="shared" si="494"/>
        <v>2006</v>
      </c>
      <c r="F29049" s="3" t="s">
        <v>4723</v>
      </c>
      <c r="G29049" s="6">
        <v>537.61</v>
      </c>
      <c r="H29049" s="5">
        <v>7563</v>
      </c>
    </row>
    <row r="29050" spans="2:8" ht="15" customHeight="1" x14ac:dyDescent="0.4">
      <c r="B29050" s="3" t="s">
        <v>7</v>
      </c>
      <c r="C29050" s="3" t="s">
        <v>4717</v>
      </c>
      <c r="D29050" s="4">
        <f>DATE(2006,12,5)</f>
        <v>39056</v>
      </c>
      <c r="E29050" s="5">
        <f t="shared" si="494"/>
        <v>2006</v>
      </c>
      <c r="F29050" s="3" t="s">
        <v>4723</v>
      </c>
      <c r="G29050" s="6">
        <v>256.27</v>
      </c>
      <c r="H29050" s="5">
        <v>7608</v>
      </c>
    </row>
    <row r="29051" spans="2:8" ht="15" customHeight="1" x14ac:dyDescent="0.4">
      <c r="B29051" s="3" t="s">
        <v>7</v>
      </c>
      <c r="C29051" s="3" t="s">
        <v>4717</v>
      </c>
      <c r="D29051" s="4">
        <f>DATE(2007,8,24)</f>
        <v>39318</v>
      </c>
      <c r="E29051" s="5">
        <f t="shared" si="494"/>
        <v>2007</v>
      </c>
      <c r="F29051" s="3" t="s">
        <v>4723</v>
      </c>
      <c r="G29051" s="6">
        <v>415.16</v>
      </c>
      <c r="H29051" s="5">
        <v>9077</v>
      </c>
    </row>
    <row r="29052" spans="2:8" ht="15" customHeight="1" x14ac:dyDescent="0.4">
      <c r="B29052" s="3" t="s">
        <v>7</v>
      </c>
      <c r="C29052" s="3" t="s">
        <v>4717</v>
      </c>
      <c r="D29052" s="4">
        <f>DATE(2007,9,17)</f>
        <v>39342</v>
      </c>
      <c r="E29052" s="5">
        <f t="shared" si="494"/>
        <v>2007</v>
      </c>
      <c r="F29052" s="3" t="s">
        <v>4723</v>
      </c>
      <c r="G29052" s="6">
        <v>244.51</v>
      </c>
      <c r="H29052" s="5">
        <v>9172</v>
      </c>
    </row>
    <row r="29053" spans="2:8" ht="15" customHeight="1" x14ac:dyDescent="0.4">
      <c r="B29053" s="3" t="s">
        <v>7</v>
      </c>
      <c r="C29053" s="3" t="s">
        <v>4717</v>
      </c>
      <c r="D29053" s="4">
        <f>DATE(2008,1,17)</f>
        <v>39464</v>
      </c>
      <c r="E29053" s="5">
        <f t="shared" si="494"/>
        <v>2008</v>
      </c>
      <c r="F29053" s="3" t="s">
        <v>4723</v>
      </c>
      <c r="G29053" s="6">
        <v>956.45</v>
      </c>
      <c r="H29053" s="5">
        <v>9749</v>
      </c>
    </row>
    <row r="29054" spans="2:8" ht="15" customHeight="1" x14ac:dyDescent="0.4">
      <c r="B29054" t="s">
        <v>7</v>
      </c>
      <c r="C29054" t="s">
        <v>227</v>
      </c>
      <c r="D29054" s="7">
        <f>DATE(2016,5,20)</f>
        <v>42510</v>
      </c>
      <c r="E29054" s="8">
        <f t="shared" si="494"/>
        <v>2016</v>
      </c>
      <c r="F29054" t="s">
        <v>4724</v>
      </c>
      <c r="G29054" s="9">
        <v>15989.42</v>
      </c>
      <c r="H29054" s="8">
        <v>22317</v>
      </c>
    </row>
    <row r="29055" spans="2:8" ht="15" customHeight="1" x14ac:dyDescent="0.4">
      <c r="B29055" t="s">
        <v>7</v>
      </c>
      <c r="C29055" t="s">
        <v>227</v>
      </c>
      <c r="D29055" s="7">
        <f>DATE(2016,5,20)</f>
        <v>42510</v>
      </c>
      <c r="E29055" s="8">
        <f t="shared" si="494"/>
        <v>2016</v>
      </c>
      <c r="F29055" t="s">
        <v>4724</v>
      </c>
      <c r="G29055" s="9">
        <v>5100</v>
      </c>
      <c r="H29055" s="8">
        <v>22318</v>
      </c>
    </row>
    <row r="29056" spans="2:8" ht="15" customHeight="1" x14ac:dyDescent="0.4">
      <c r="B29056" t="s">
        <v>16</v>
      </c>
      <c r="C29056" t="s">
        <v>227</v>
      </c>
      <c r="D29056" s="7">
        <f>DATE(2016,8,10)</f>
        <v>42592</v>
      </c>
      <c r="E29056" s="8">
        <f t="shared" si="494"/>
        <v>2016</v>
      </c>
      <c r="F29056" t="s">
        <v>4724</v>
      </c>
      <c r="G29056" s="9">
        <v>166.14</v>
      </c>
      <c r="H29056" s="8">
        <v>23274</v>
      </c>
    </row>
    <row r="29057" spans="2:8" ht="15" customHeight="1" x14ac:dyDescent="0.4">
      <c r="B29057" t="s">
        <v>7</v>
      </c>
      <c r="C29057" t="s">
        <v>227</v>
      </c>
      <c r="D29057" s="7">
        <f>DATE(2007,10,7)</f>
        <v>39362</v>
      </c>
      <c r="E29057" s="8">
        <f t="shared" si="494"/>
        <v>2007</v>
      </c>
      <c r="F29057" t="s">
        <v>4724</v>
      </c>
      <c r="G29057" s="9">
        <v>11738</v>
      </c>
      <c r="H29057" s="8">
        <v>6124</v>
      </c>
    </row>
    <row r="29058" spans="2:8" ht="15" customHeight="1" x14ac:dyDescent="0.4">
      <c r="B29058" t="s">
        <v>7</v>
      </c>
      <c r="C29058" t="s">
        <v>227</v>
      </c>
      <c r="D29058" s="7">
        <f>DATE(2009,9,23)</f>
        <v>40079</v>
      </c>
      <c r="E29058" s="8">
        <f t="shared" si="494"/>
        <v>2009</v>
      </c>
      <c r="F29058" t="s">
        <v>4724</v>
      </c>
      <c r="G29058" s="9">
        <v>14664</v>
      </c>
      <c r="H29058" s="8">
        <v>8923</v>
      </c>
    </row>
    <row r="29059" spans="2:8" ht="15" customHeight="1" x14ac:dyDescent="0.4">
      <c r="B29059" t="s">
        <v>7</v>
      </c>
      <c r="C29059" t="s">
        <v>227</v>
      </c>
      <c r="D29059" s="7">
        <f>DATE(2010,9,22)</f>
        <v>40443</v>
      </c>
      <c r="E29059" s="8">
        <f t="shared" ref="E29059:E29122" si="495">YEAR(D29059)</f>
        <v>2010</v>
      </c>
      <c r="F29059" t="s">
        <v>4724</v>
      </c>
      <c r="G29059" s="9">
        <v>16770.240000000002</v>
      </c>
      <c r="H29059" s="8">
        <v>10095</v>
      </c>
    </row>
    <row r="29060" spans="2:8" ht="15" customHeight="1" x14ac:dyDescent="0.4">
      <c r="B29060" t="s">
        <v>7</v>
      </c>
      <c r="C29060" t="s">
        <v>227</v>
      </c>
      <c r="D29060" s="7">
        <f>DATE(2011,9,20)</f>
        <v>40806</v>
      </c>
      <c r="E29060" s="8">
        <f t="shared" si="495"/>
        <v>2011</v>
      </c>
      <c r="F29060" t="s">
        <v>4724</v>
      </c>
      <c r="G29060" s="9">
        <v>11572.15</v>
      </c>
      <c r="H29060" s="8">
        <v>10878</v>
      </c>
    </row>
    <row r="29061" spans="2:8" ht="15" customHeight="1" x14ac:dyDescent="0.4">
      <c r="B29061" t="s">
        <v>7</v>
      </c>
      <c r="C29061" t="s">
        <v>227</v>
      </c>
      <c r="D29061" s="7">
        <f>DATE(2013,4,19)</f>
        <v>41383</v>
      </c>
      <c r="E29061" s="8">
        <f t="shared" si="495"/>
        <v>2013</v>
      </c>
      <c r="F29061" t="s">
        <v>4724</v>
      </c>
      <c r="G29061" s="9">
        <v>11659.14</v>
      </c>
      <c r="H29061" s="8">
        <v>12031</v>
      </c>
    </row>
    <row r="29062" spans="2:8" ht="15" customHeight="1" x14ac:dyDescent="0.4">
      <c r="B29062" t="s">
        <v>7</v>
      </c>
      <c r="C29062" t="s">
        <v>227</v>
      </c>
      <c r="D29062" s="7">
        <f>DATE(2014,10,20)</f>
        <v>41932</v>
      </c>
      <c r="E29062" s="8">
        <f t="shared" si="495"/>
        <v>2014</v>
      </c>
      <c r="F29062" t="s">
        <v>4724</v>
      </c>
      <c r="G29062" s="9">
        <v>13477.95</v>
      </c>
      <c r="H29062" s="8">
        <v>13426</v>
      </c>
    </row>
    <row r="29063" spans="2:8" ht="15" customHeight="1" x14ac:dyDescent="0.4">
      <c r="B29063" s="3" t="s">
        <v>7</v>
      </c>
      <c r="C29063" s="3" t="s">
        <v>4725</v>
      </c>
      <c r="D29063" s="4">
        <f>DATE(2008,11,12)</f>
        <v>39764</v>
      </c>
      <c r="E29063" s="5">
        <f t="shared" si="495"/>
        <v>2008</v>
      </c>
      <c r="F29063" s="3" t="s">
        <v>4726</v>
      </c>
      <c r="G29063" s="6">
        <v>499.75</v>
      </c>
      <c r="H29063" s="5">
        <v>11571</v>
      </c>
    </row>
    <row r="29064" spans="2:8" ht="15" customHeight="1" x14ac:dyDescent="0.4">
      <c r="B29064" s="3" t="s">
        <v>7</v>
      </c>
      <c r="C29064" s="3" t="s">
        <v>4725</v>
      </c>
      <c r="D29064" s="4">
        <f>DATE(2009,5,29)</f>
        <v>39962</v>
      </c>
      <c r="E29064" s="5">
        <f t="shared" si="495"/>
        <v>2009</v>
      </c>
      <c r="F29064" s="3" t="s">
        <v>4726</v>
      </c>
      <c r="G29064" s="6">
        <v>146</v>
      </c>
      <c r="H29064" s="5">
        <v>12575</v>
      </c>
    </row>
    <row r="29065" spans="2:8" ht="15" customHeight="1" x14ac:dyDescent="0.4">
      <c r="B29065" s="3" t="s">
        <v>7</v>
      </c>
      <c r="C29065" s="3" t="s">
        <v>4725</v>
      </c>
      <c r="D29065" s="4">
        <f>DATE(2012,4,4)</f>
        <v>41003</v>
      </c>
      <c r="E29065" s="5">
        <f t="shared" si="495"/>
        <v>2012</v>
      </c>
      <c r="F29065" s="3" t="s">
        <v>4726</v>
      </c>
      <c r="G29065" s="6">
        <v>253.5</v>
      </c>
      <c r="H29065" s="5">
        <v>16892</v>
      </c>
    </row>
    <row r="29066" spans="2:8" ht="15" customHeight="1" x14ac:dyDescent="0.4">
      <c r="B29066" s="3" t="s">
        <v>7</v>
      </c>
      <c r="C29066" s="3" t="s">
        <v>4725</v>
      </c>
      <c r="D29066" s="4">
        <f>DATE(2012,4,24)</f>
        <v>41023</v>
      </c>
      <c r="E29066" s="5">
        <f t="shared" si="495"/>
        <v>2012</v>
      </c>
      <c r="F29066" s="3" t="s">
        <v>4726</v>
      </c>
      <c r="G29066" s="6">
        <v>1267.5</v>
      </c>
      <c r="H29066" s="5">
        <v>17029</v>
      </c>
    </row>
    <row r="29067" spans="2:8" ht="15" customHeight="1" x14ac:dyDescent="0.4">
      <c r="B29067" s="3" t="s">
        <v>7</v>
      </c>
      <c r="C29067" s="3" t="s">
        <v>4725</v>
      </c>
      <c r="D29067" s="4">
        <f>DATE(2012,6,4)</f>
        <v>41064</v>
      </c>
      <c r="E29067" s="5">
        <f t="shared" si="495"/>
        <v>2012</v>
      </c>
      <c r="F29067" s="3" t="s">
        <v>4726</v>
      </c>
      <c r="G29067" s="6">
        <v>1267.5</v>
      </c>
      <c r="H29067" s="5">
        <v>17215</v>
      </c>
    </row>
    <row r="29068" spans="2:8" ht="15" customHeight="1" x14ac:dyDescent="0.4">
      <c r="B29068" s="3" t="s">
        <v>7</v>
      </c>
      <c r="C29068" s="3" t="s">
        <v>4727</v>
      </c>
      <c r="D29068" s="4">
        <f>DATE(2003,7,16)</f>
        <v>37818</v>
      </c>
      <c r="E29068" s="5">
        <f t="shared" si="495"/>
        <v>2003</v>
      </c>
      <c r="F29068" s="3" t="s">
        <v>4728</v>
      </c>
      <c r="G29068" s="6">
        <v>122.94</v>
      </c>
      <c r="H29068" s="5">
        <v>1219</v>
      </c>
    </row>
    <row r="29069" spans="2:8" ht="15" customHeight="1" x14ac:dyDescent="0.4">
      <c r="B29069" s="3" t="s">
        <v>7</v>
      </c>
      <c r="C29069" s="3" t="s">
        <v>4727</v>
      </c>
      <c r="D29069" s="4">
        <f>DATE(2003,9,2)</f>
        <v>37866</v>
      </c>
      <c r="E29069" s="5">
        <f t="shared" si="495"/>
        <v>2003</v>
      </c>
      <c r="F29069" s="3" t="s">
        <v>4729</v>
      </c>
      <c r="G29069" s="6">
        <v>351.92</v>
      </c>
      <c r="H29069" s="5">
        <v>1445</v>
      </c>
    </row>
    <row r="29070" spans="2:8" ht="15" customHeight="1" x14ac:dyDescent="0.4">
      <c r="B29070" s="3" t="s">
        <v>7</v>
      </c>
      <c r="C29070" s="3" t="s">
        <v>4730</v>
      </c>
      <c r="D29070" s="4">
        <f>DATE(2003,10,2)</f>
        <v>37896</v>
      </c>
      <c r="E29070" s="5">
        <f t="shared" si="495"/>
        <v>2003</v>
      </c>
      <c r="F29070" s="3" t="s">
        <v>4731</v>
      </c>
      <c r="G29070" s="6">
        <v>677.25</v>
      </c>
      <c r="H29070" s="5">
        <v>1590</v>
      </c>
    </row>
    <row r="29071" spans="2:8" ht="15" customHeight="1" x14ac:dyDescent="0.4">
      <c r="B29071" s="3" t="s">
        <v>7</v>
      </c>
      <c r="C29071" s="3" t="s">
        <v>4730</v>
      </c>
      <c r="D29071" s="4">
        <f>DATE(2004,10,22)</f>
        <v>38282</v>
      </c>
      <c r="E29071" s="5">
        <f t="shared" si="495"/>
        <v>2004</v>
      </c>
      <c r="F29071" s="3" t="s">
        <v>4731</v>
      </c>
      <c r="G29071" s="6">
        <v>942</v>
      </c>
      <c r="H29071" s="5">
        <v>3611</v>
      </c>
    </row>
    <row r="29072" spans="2:8" ht="15" customHeight="1" x14ac:dyDescent="0.4">
      <c r="B29072" s="3" t="s">
        <v>7</v>
      </c>
      <c r="C29072" s="3" t="s">
        <v>4732</v>
      </c>
      <c r="D29072" s="4">
        <f>DATE(2008,4,2)</f>
        <v>39540</v>
      </c>
      <c r="E29072" s="5">
        <f t="shared" si="495"/>
        <v>2008</v>
      </c>
      <c r="F29072" s="3" t="s">
        <v>4733</v>
      </c>
      <c r="G29072" s="6">
        <v>508.25</v>
      </c>
      <c r="H29072" s="5">
        <v>10358</v>
      </c>
    </row>
    <row r="29073" spans="2:8" ht="15" customHeight="1" x14ac:dyDescent="0.4">
      <c r="B29073" t="s">
        <v>7</v>
      </c>
      <c r="C29073" t="s">
        <v>4734</v>
      </c>
      <c r="D29073" s="7">
        <f>DATE(2017,3,14)</f>
        <v>42808</v>
      </c>
      <c r="E29073" s="8">
        <f t="shared" si="495"/>
        <v>2017</v>
      </c>
      <c r="F29073" t="s">
        <v>4735</v>
      </c>
      <c r="G29073" s="9">
        <v>1599.51</v>
      </c>
      <c r="H29073" s="8">
        <v>24488</v>
      </c>
    </row>
    <row r="29074" spans="2:8" ht="15" customHeight="1" x14ac:dyDescent="0.4">
      <c r="B29074" t="s">
        <v>7</v>
      </c>
      <c r="C29074" t="s">
        <v>4734</v>
      </c>
      <c r="D29074" s="7">
        <f>DATE(2007,12,6)</f>
        <v>39422</v>
      </c>
      <c r="E29074" s="8">
        <f t="shared" si="495"/>
        <v>2007</v>
      </c>
      <c r="F29074" t="s">
        <v>4735</v>
      </c>
      <c r="G29074" s="9">
        <v>359</v>
      </c>
      <c r="H29074" s="8">
        <v>6647</v>
      </c>
    </row>
    <row r="29075" spans="2:8" ht="15" customHeight="1" x14ac:dyDescent="0.4">
      <c r="B29075" t="s">
        <v>7</v>
      </c>
      <c r="C29075" t="s">
        <v>4734</v>
      </c>
      <c r="D29075" s="7">
        <f>DATE(2005,5,20)</f>
        <v>38492</v>
      </c>
      <c r="E29075" s="8">
        <f t="shared" si="495"/>
        <v>2005</v>
      </c>
      <c r="F29075" t="s">
        <v>4735</v>
      </c>
      <c r="G29075" s="9">
        <v>5982.64</v>
      </c>
      <c r="H29075" s="8">
        <v>3215</v>
      </c>
    </row>
    <row r="29076" spans="2:8" ht="15" customHeight="1" x14ac:dyDescent="0.4">
      <c r="B29076" t="s">
        <v>7</v>
      </c>
      <c r="C29076" t="s">
        <v>4734</v>
      </c>
      <c r="D29076" s="7">
        <f>DATE(2005,5,20)</f>
        <v>38492</v>
      </c>
      <c r="E29076" s="8">
        <f t="shared" si="495"/>
        <v>2005</v>
      </c>
      <c r="F29076" t="s">
        <v>4735</v>
      </c>
      <c r="G29076" s="9">
        <v>25666.93</v>
      </c>
      <c r="H29076" s="8">
        <v>3192</v>
      </c>
    </row>
    <row r="29077" spans="2:8" ht="15" customHeight="1" x14ac:dyDescent="0.4">
      <c r="B29077" t="s">
        <v>7</v>
      </c>
      <c r="C29077" t="s">
        <v>4734</v>
      </c>
      <c r="D29077" s="7">
        <f>DATE(2006,4,10)</f>
        <v>38817</v>
      </c>
      <c r="E29077" s="8">
        <f t="shared" si="495"/>
        <v>2006</v>
      </c>
      <c r="F29077" t="s">
        <v>4735</v>
      </c>
      <c r="G29077" s="9">
        <v>23183</v>
      </c>
      <c r="H29077" s="8">
        <v>4447</v>
      </c>
    </row>
    <row r="29078" spans="2:8" ht="15" customHeight="1" x14ac:dyDescent="0.4">
      <c r="B29078" t="s">
        <v>7</v>
      </c>
      <c r="C29078" t="s">
        <v>4734</v>
      </c>
      <c r="D29078" s="7">
        <f>DATE(2006,6,11)</f>
        <v>38879</v>
      </c>
      <c r="E29078" s="8">
        <f t="shared" si="495"/>
        <v>2006</v>
      </c>
      <c r="F29078" t="s">
        <v>4735</v>
      </c>
      <c r="G29078" s="9">
        <v>43127.83</v>
      </c>
      <c r="H29078" s="8">
        <v>4682</v>
      </c>
    </row>
    <row r="29079" spans="2:8" ht="15" customHeight="1" x14ac:dyDescent="0.4">
      <c r="B29079" t="s">
        <v>7</v>
      </c>
      <c r="C29079" t="s">
        <v>4734</v>
      </c>
      <c r="D29079" s="7">
        <f>DATE(2006,7,23)</f>
        <v>38921</v>
      </c>
      <c r="E29079" s="8">
        <f t="shared" si="495"/>
        <v>2006</v>
      </c>
      <c r="F29079" t="s">
        <v>4735</v>
      </c>
      <c r="G29079" s="9">
        <v>27517.439999999999</v>
      </c>
      <c r="H29079" s="8">
        <v>4806</v>
      </c>
    </row>
    <row r="29080" spans="2:8" ht="15" customHeight="1" x14ac:dyDescent="0.4">
      <c r="B29080" t="s">
        <v>7</v>
      </c>
      <c r="C29080" t="s">
        <v>4734</v>
      </c>
      <c r="D29080" s="7">
        <f>DATE(2006,7,23)</f>
        <v>38921</v>
      </c>
      <c r="E29080" s="8">
        <f t="shared" si="495"/>
        <v>2006</v>
      </c>
      <c r="F29080" t="s">
        <v>4735</v>
      </c>
      <c r="G29080" s="9">
        <v>11400.26</v>
      </c>
      <c r="H29080" s="8">
        <v>4807</v>
      </c>
    </row>
    <row r="29081" spans="2:8" ht="15" customHeight="1" x14ac:dyDescent="0.4">
      <c r="B29081" t="s">
        <v>7</v>
      </c>
      <c r="C29081" t="s">
        <v>4734</v>
      </c>
      <c r="D29081" s="7">
        <f>DATE(2008,11,6)</f>
        <v>39758</v>
      </c>
      <c r="E29081" s="8">
        <f t="shared" si="495"/>
        <v>2008</v>
      </c>
      <c r="F29081" t="s">
        <v>4735</v>
      </c>
      <c r="G29081" s="9">
        <v>9902.5499999999993</v>
      </c>
      <c r="H29081" s="8">
        <v>7991</v>
      </c>
    </row>
    <row r="29082" spans="2:8" ht="15" customHeight="1" x14ac:dyDescent="0.4">
      <c r="B29082" s="3" t="s">
        <v>7</v>
      </c>
      <c r="C29082" s="3" t="s">
        <v>4734</v>
      </c>
      <c r="D29082" s="4">
        <f>DATE(2003,2,21)</f>
        <v>37673</v>
      </c>
      <c r="E29082" s="5">
        <f t="shared" si="495"/>
        <v>2003</v>
      </c>
      <c r="F29082" s="3" t="s">
        <v>4735</v>
      </c>
      <c r="G29082" s="6">
        <v>8754.06</v>
      </c>
      <c r="H29082" s="5">
        <v>305</v>
      </c>
    </row>
    <row r="29083" spans="2:8" ht="15" customHeight="1" x14ac:dyDescent="0.4">
      <c r="B29083" s="3" t="s">
        <v>7</v>
      </c>
      <c r="C29083" s="3" t="s">
        <v>4734</v>
      </c>
      <c r="D29083" s="4">
        <f>DATE(2003,5,2)</f>
        <v>37743</v>
      </c>
      <c r="E29083" s="5">
        <f t="shared" si="495"/>
        <v>2003</v>
      </c>
      <c r="F29083" s="3" t="s">
        <v>4735</v>
      </c>
      <c r="G29083" s="6">
        <v>627</v>
      </c>
      <c r="H29083" s="5">
        <v>822</v>
      </c>
    </row>
    <row r="29084" spans="2:8" ht="15" customHeight="1" x14ac:dyDescent="0.4">
      <c r="B29084" s="3" t="s">
        <v>7</v>
      </c>
      <c r="C29084" s="3" t="s">
        <v>4734</v>
      </c>
      <c r="D29084" s="4">
        <f>DATE(2003,5,28)</f>
        <v>37769</v>
      </c>
      <c r="E29084" s="5">
        <f t="shared" si="495"/>
        <v>2003</v>
      </c>
      <c r="F29084" s="3" t="s">
        <v>4735</v>
      </c>
      <c r="G29084" s="6">
        <v>8754.06</v>
      </c>
      <c r="H29084" s="5">
        <v>1012</v>
      </c>
    </row>
    <row r="29085" spans="2:8" ht="15" customHeight="1" x14ac:dyDescent="0.4">
      <c r="B29085" s="3" t="s">
        <v>7</v>
      </c>
      <c r="C29085" s="3" t="s">
        <v>4734</v>
      </c>
      <c r="D29085" s="4">
        <f>DATE(2003,6,19)</f>
        <v>37791</v>
      </c>
      <c r="E29085" s="5">
        <f t="shared" si="495"/>
        <v>2003</v>
      </c>
      <c r="F29085" s="3" t="s">
        <v>4735</v>
      </c>
      <c r="G29085" s="6">
        <v>8755.44</v>
      </c>
      <c r="H29085" s="5">
        <v>1111</v>
      </c>
    </row>
    <row r="29086" spans="2:8" ht="15" customHeight="1" x14ac:dyDescent="0.4">
      <c r="B29086" s="3" t="s">
        <v>7</v>
      </c>
      <c r="C29086" s="3" t="s">
        <v>4734</v>
      </c>
      <c r="D29086" s="4">
        <f>DATE(2003,7,14)</f>
        <v>37816</v>
      </c>
      <c r="E29086" s="5">
        <f t="shared" si="495"/>
        <v>2003</v>
      </c>
      <c r="F29086" s="3" t="s">
        <v>4735</v>
      </c>
      <c r="G29086" s="6">
        <v>8754.06</v>
      </c>
      <c r="H29086" s="5">
        <v>1178</v>
      </c>
    </row>
    <row r="29087" spans="2:8" ht="15" customHeight="1" x14ac:dyDescent="0.4">
      <c r="B29087" s="3" t="s">
        <v>7</v>
      </c>
      <c r="C29087" s="3" t="s">
        <v>4734</v>
      </c>
      <c r="D29087" s="4">
        <f>DATE(2003,9,9)</f>
        <v>37873</v>
      </c>
      <c r="E29087" s="5">
        <f t="shared" si="495"/>
        <v>2003</v>
      </c>
      <c r="F29087" s="3" t="s">
        <v>4735</v>
      </c>
      <c r="G29087" s="6">
        <v>1107</v>
      </c>
      <c r="H29087" s="5">
        <v>1484</v>
      </c>
    </row>
    <row r="29088" spans="2:8" ht="15" customHeight="1" x14ac:dyDescent="0.4">
      <c r="B29088" s="3" t="s">
        <v>7</v>
      </c>
      <c r="C29088" s="3" t="s">
        <v>4734</v>
      </c>
      <c r="D29088" s="4">
        <f>DATE(2003,9,16)</f>
        <v>37880</v>
      </c>
      <c r="E29088" s="5">
        <f t="shared" si="495"/>
        <v>2003</v>
      </c>
      <c r="F29088" s="3" t="s">
        <v>4735</v>
      </c>
      <c r="G29088" s="6">
        <v>868</v>
      </c>
      <c r="H29088" s="5">
        <v>1485</v>
      </c>
    </row>
    <row r="29089" spans="2:8" ht="15" customHeight="1" x14ac:dyDescent="0.4">
      <c r="B29089" s="3" t="s">
        <v>7</v>
      </c>
      <c r="C29089" s="3" t="s">
        <v>4734</v>
      </c>
      <c r="D29089" s="4">
        <f>DATE(2003,9,23)</f>
        <v>37887</v>
      </c>
      <c r="E29089" s="5">
        <f t="shared" si="495"/>
        <v>2003</v>
      </c>
      <c r="F29089" s="3" t="s">
        <v>4735</v>
      </c>
      <c r="G29089" s="6">
        <v>8756.83</v>
      </c>
      <c r="H29089" s="5">
        <v>1500</v>
      </c>
    </row>
    <row r="29090" spans="2:8" ht="15" customHeight="1" x14ac:dyDescent="0.4">
      <c r="B29090" s="3" t="s">
        <v>7</v>
      </c>
      <c r="C29090" s="3" t="s">
        <v>4734</v>
      </c>
      <c r="D29090" s="4">
        <f>DATE(2003,10,9)</f>
        <v>37903</v>
      </c>
      <c r="E29090" s="5">
        <f t="shared" si="495"/>
        <v>2003</v>
      </c>
      <c r="F29090" s="3" t="s">
        <v>4735</v>
      </c>
      <c r="G29090" s="6">
        <v>8756.83</v>
      </c>
      <c r="H29090" s="5">
        <v>1632</v>
      </c>
    </row>
    <row r="29091" spans="2:8" ht="15" customHeight="1" x14ac:dyDescent="0.4">
      <c r="B29091" s="3" t="s">
        <v>7</v>
      </c>
      <c r="C29091" s="3" t="s">
        <v>4734</v>
      </c>
      <c r="D29091" s="4">
        <f>DATE(2003,10,29)</f>
        <v>37923</v>
      </c>
      <c r="E29091" s="5">
        <f t="shared" si="495"/>
        <v>2003</v>
      </c>
      <c r="F29091" s="3" t="s">
        <v>4735</v>
      </c>
      <c r="G29091" s="6">
        <v>8756.83</v>
      </c>
      <c r="H29091" s="5">
        <v>1711</v>
      </c>
    </row>
    <row r="29092" spans="2:8" ht="15" customHeight="1" x14ac:dyDescent="0.4">
      <c r="B29092" s="3" t="s">
        <v>7</v>
      </c>
      <c r="C29092" s="3" t="s">
        <v>4734</v>
      </c>
      <c r="D29092" s="4">
        <f>DATE(2004,2,11)</f>
        <v>38028</v>
      </c>
      <c r="E29092" s="5">
        <f t="shared" si="495"/>
        <v>2004</v>
      </c>
      <c r="F29092" s="3" t="s">
        <v>4735</v>
      </c>
      <c r="G29092" s="6">
        <v>8154.4</v>
      </c>
      <c r="H29092" s="5">
        <v>2138</v>
      </c>
    </row>
    <row r="29093" spans="2:8" ht="15" customHeight="1" x14ac:dyDescent="0.4">
      <c r="B29093" s="3" t="s">
        <v>7</v>
      </c>
      <c r="C29093" s="3" t="s">
        <v>4734</v>
      </c>
      <c r="D29093" s="4">
        <f>DATE(2004,3,30)</f>
        <v>38076</v>
      </c>
      <c r="E29093" s="5">
        <f t="shared" si="495"/>
        <v>2004</v>
      </c>
      <c r="F29093" s="3" t="s">
        <v>4735</v>
      </c>
      <c r="G29093" s="6">
        <v>19400.48</v>
      </c>
      <c r="H29093" s="5">
        <v>2531</v>
      </c>
    </row>
    <row r="29094" spans="2:8" ht="15" customHeight="1" x14ac:dyDescent="0.4">
      <c r="B29094" s="3" t="s">
        <v>7</v>
      </c>
      <c r="C29094" s="3" t="s">
        <v>4734</v>
      </c>
      <c r="D29094" s="4">
        <f>DATE(2004,4,21)</f>
        <v>38098</v>
      </c>
      <c r="E29094" s="5">
        <f t="shared" si="495"/>
        <v>2004</v>
      </c>
      <c r="F29094" s="3" t="s">
        <v>4735</v>
      </c>
      <c r="G29094" s="6">
        <v>8157.33</v>
      </c>
      <c r="H29094" s="5">
        <v>2331</v>
      </c>
    </row>
    <row r="29095" spans="2:8" ht="15" customHeight="1" x14ac:dyDescent="0.4">
      <c r="B29095" s="3" t="s">
        <v>7</v>
      </c>
      <c r="C29095" s="3" t="s">
        <v>4734</v>
      </c>
      <c r="D29095" s="4">
        <f>DATE(2004,8,13)</f>
        <v>38212</v>
      </c>
      <c r="E29095" s="5">
        <f t="shared" si="495"/>
        <v>2004</v>
      </c>
      <c r="F29095" s="3" t="s">
        <v>4735</v>
      </c>
      <c r="G29095" s="6">
        <v>1108</v>
      </c>
      <c r="H29095" s="5">
        <v>3271</v>
      </c>
    </row>
    <row r="29096" spans="2:8" ht="15" customHeight="1" x14ac:dyDescent="0.4">
      <c r="B29096" s="3" t="s">
        <v>7</v>
      </c>
      <c r="C29096" s="3" t="s">
        <v>4734</v>
      </c>
      <c r="D29096" s="4">
        <f>DATE(2004,8,13)</f>
        <v>38212</v>
      </c>
      <c r="E29096" s="5">
        <f t="shared" si="495"/>
        <v>2004</v>
      </c>
      <c r="F29096" s="3" t="s">
        <v>4735</v>
      </c>
      <c r="G29096" s="6">
        <v>19384.91</v>
      </c>
      <c r="H29096" s="5">
        <v>3275</v>
      </c>
    </row>
    <row r="29097" spans="2:8" ht="15" customHeight="1" x14ac:dyDescent="0.4">
      <c r="B29097" s="3" t="s">
        <v>7</v>
      </c>
      <c r="C29097" s="3" t="s">
        <v>4734</v>
      </c>
      <c r="D29097" s="4">
        <f>DATE(2004,9,2)</f>
        <v>38232</v>
      </c>
      <c r="E29097" s="5">
        <f t="shared" si="495"/>
        <v>2004</v>
      </c>
      <c r="F29097" s="3" t="s">
        <v>4735</v>
      </c>
      <c r="G29097" s="6">
        <v>8157.33</v>
      </c>
      <c r="H29097" s="5">
        <v>3336</v>
      </c>
    </row>
    <row r="29098" spans="2:8" ht="15" customHeight="1" x14ac:dyDescent="0.4">
      <c r="B29098" s="3" t="s">
        <v>7</v>
      </c>
      <c r="C29098" s="3" t="s">
        <v>4734</v>
      </c>
      <c r="D29098" s="4">
        <f>DATE(2005,4,21)</f>
        <v>38463</v>
      </c>
      <c r="E29098" s="5">
        <f t="shared" si="495"/>
        <v>2005</v>
      </c>
      <c r="F29098" s="3" t="s">
        <v>4735</v>
      </c>
      <c r="G29098" s="6">
        <v>836</v>
      </c>
      <c r="H29098" s="5">
        <v>4611</v>
      </c>
    </row>
    <row r="29099" spans="2:8" ht="15" customHeight="1" x14ac:dyDescent="0.4">
      <c r="B29099" s="3" t="s">
        <v>7</v>
      </c>
      <c r="C29099" s="3" t="s">
        <v>4734</v>
      </c>
      <c r="D29099" s="4">
        <f>DATE(2005,7,20)</f>
        <v>38553</v>
      </c>
      <c r="E29099" s="5">
        <f t="shared" si="495"/>
        <v>2005</v>
      </c>
      <c r="F29099" s="3" t="s">
        <v>4735</v>
      </c>
      <c r="G29099" s="6">
        <v>13412.65</v>
      </c>
      <c r="H29099" s="5">
        <v>5000</v>
      </c>
    </row>
    <row r="29100" spans="2:8" ht="15" customHeight="1" x14ac:dyDescent="0.4">
      <c r="B29100" s="3" t="s">
        <v>7</v>
      </c>
      <c r="C29100" s="3" t="s">
        <v>4734</v>
      </c>
      <c r="D29100" s="4">
        <f>DATE(2007,3,19)</f>
        <v>39160</v>
      </c>
      <c r="E29100" s="5">
        <f t="shared" si="495"/>
        <v>2007</v>
      </c>
      <c r="F29100" s="3" t="s">
        <v>4735</v>
      </c>
      <c r="G29100" s="6">
        <v>21151.919999999998</v>
      </c>
      <c r="H29100" s="5">
        <v>8097</v>
      </c>
    </row>
    <row r="29101" spans="2:8" ht="15" customHeight="1" x14ac:dyDescent="0.4">
      <c r="B29101" s="3" t="s">
        <v>7</v>
      </c>
      <c r="C29101" s="3" t="s">
        <v>4734</v>
      </c>
      <c r="D29101" s="4">
        <f>DATE(2007,6,22)</f>
        <v>39255</v>
      </c>
      <c r="E29101" s="5">
        <f t="shared" si="495"/>
        <v>2007</v>
      </c>
      <c r="F29101" s="3" t="s">
        <v>4735</v>
      </c>
      <c r="G29101" s="6">
        <v>21787.59</v>
      </c>
      <c r="H29101" s="5">
        <v>8812</v>
      </c>
    </row>
    <row r="29102" spans="2:8" ht="15" customHeight="1" x14ac:dyDescent="0.4">
      <c r="B29102" s="3" t="s">
        <v>7</v>
      </c>
      <c r="C29102" s="3" t="s">
        <v>4734</v>
      </c>
      <c r="D29102" s="4">
        <f>DATE(2007,8,14)</f>
        <v>39308</v>
      </c>
      <c r="E29102" s="5">
        <f t="shared" si="495"/>
        <v>2007</v>
      </c>
      <c r="F29102" s="3" t="s">
        <v>4735</v>
      </c>
      <c r="G29102" s="6">
        <v>9201.5499999999993</v>
      </c>
      <c r="H29102" s="5">
        <v>8994</v>
      </c>
    </row>
    <row r="29103" spans="2:8" ht="15" customHeight="1" x14ac:dyDescent="0.4">
      <c r="B29103" s="3" t="s">
        <v>7</v>
      </c>
      <c r="C29103" s="3" t="s">
        <v>4734</v>
      </c>
      <c r="D29103" s="4">
        <f>DATE(2007,10,8)</f>
        <v>39363</v>
      </c>
      <c r="E29103" s="5">
        <f t="shared" si="495"/>
        <v>2007</v>
      </c>
      <c r="F29103" s="3" t="s">
        <v>4735</v>
      </c>
      <c r="G29103" s="6">
        <v>609</v>
      </c>
      <c r="H29103" s="5">
        <v>9264</v>
      </c>
    </row>
    <row r="29104" spans="2:8" ht="15" customHeight="1" x14ac:dyDescent="0.4">
      <c r="B29104" s="3" t="s">
        <v>7</v>
      </c>
      <c r="C29104" s="3" t="s">
        <v>4734</v>
      </c>
      <c r="D29104" s="4">
        <f>DATE(2008,5,12)</f>
        <v>39580</v>
      </c>
      <c r="E29104" s="5">
        <f t="shared" si="495"/>
        <v>2008</v>
      </c>
      <c r="F29104" s="3" t="s">
        <v>4735</v>
      </c>
      <c r="G29104" s="6">
        <v>1469.5</v>
      </c>
      <c r="H29104" s="5">
        <v>10641</v>
      </c>
    </row>
    <row r="29105" spans="2:8" ht="15" customHeight="1" x14ac:dyDescent="0.4">
      <c r="B29105" s="3" t="s">
        <v>7</v>
      </c>
      <c r="C29105" s="3" t="s">
        <v>4734</v>
      </c>
      <c r="D29105" s="4">
        <f>DATE(2008,5,28)</f>
        <v>39596</v>
      </c>
      <c r="E29105" s="5">
        <f t="shared" si="495"/>
        <v>2008</v>
      </c>
      <c r="F29105" s="3" t="s">
        <v>4735</v>
      </c>
      <c r="G29105" s="6">
        <v>610</v>
      </c>
      <c r="H29105" s="5">
        <v>10705</v>
      </c>
    </row>
    <row r="29106" spans="2:8" ht="15" customHeight="1" x14ac:dyDescent="0.4">
      <c r="B29106" s="3" t="s">
        <v>7</v>
      </c>
      <c r="C29106" s="3" t="s">
        <v>4734</v>
      </c>
      <c r="D29106" s="4">
        <f>DATE(2008,6,5)</f>
        <v>39604</v>
      </c>
      <c r="E29106" s="5">
        <f t="shared" si="495"/>
        <v>2008</v>
      </c>
      <c r="F29106" s="3" t="s">
        <v>4735</v>
      </c>
      <c r="G29106" s="6">
        <v>21162.67</v>
      </c>
      <c r="H29106" s="5">
        <v>10727</v>
      </c>
    </row>
    <row r="29107" spans="2:8" ht="15" customHeight="1" x14ac:dyDescent="0.4">
      <c r="B29107" s="3" t="s">
        <v>7</v>
      </c>
      <c r="C29107" s="3" t="s">
        <v>4734</v>
      </c>
      <c r="D29107" s="4">
        <f>DATE(2008,7,2)</f>
        <v>39631</v>
      </c>
      <c r="E29107" s="5">
        <f t="shared" si="495"/>
        <v>2008</v>
      </c>
      <c r="F29107" s="3" t="s">
        <v>4735</v>
      </c>
      <c r="G29107" s="6">
        <v>21159.39</v>
      </c>
      <c r="H29107" s="5">
        <v>10898</v>
      </c>
    </row>
    <row r="29108" spans="2:8" ht="15" customHeight="1" x14ac:dyDescent="0.4">
      <c r="B29108" s="3" t="s">
        <v>7</v>
      </c>
      <c r="C29108" s="3" t="s">
        <v>4734</v>
      </c>
      <c r="D29108" s="4">
        <f>DATE(2008,8,19)</f>
        <v>39679</v>
      </c>
      <c r="E29108" s="5">
        <f t="shared" si="495"/>
        <v>2008</v>
      </c>
      <c r="F29108" s="3" t="s">
        <v>4735</v>
      </c>
      <c r="G29108" s="6">
        <v>21161.49</v>
      </c>
      <c r="H29108" s="5">
        <v>11132</v>
      </c>
    </row>
    <row r="29109" spans="2:8" ht="15" customHeight="1" x14ac:dyDescent="0.4">
      <c r="B29109" s="3" t="s">
        <v>7</v>
      </c>
      <c r="C29109" s="3" t="s">
        <v>4734</v>
      </c>
      <c r="D29109" s="4">
        <f>DATE(2008,10,13)</f>
        <v>39734</v>
      </c>
      <c r="E29109" s="5">
        <f t="shared" si="495"/>
        <v>2008</v>
      </c>
      <c r="F29109" s="3" t="s">
        <v>4735</v>
      </c>
      <c r="G29109" s="6">
        <v>11886.66</v>
      </c>
      <c r="H29109" s="5">
        <v>11420</v>
      </c>
    </row>
    <row r="29110" spans="2:8" ht="15" customHeight="1" x14ac:dyDescent="0.4">
      <c r="B29110" s="3" t="s">
        <v>7</v>
      </c>
      <c r="C29110" s="3" t="s">
        <v>4734</v>
      </c>
      <c r="D29110" s="4">
        <f>DATE(2008,10,15)</f>
        <v>39736</v>
      </c>
      <c r="E29110" s="5">
        <f t="shared" si="495"/>
        <v>2008</v>
      </c>
      <c r="F29110" s="3" t="s">
        <v>4735</v>
      </c>
      <c r="G29110" s="6">
        <v>21157.84</v>
      </c>
      <c r="H29110" s="5">
        <v>11416</v>
      </c>
    </row>
    <row r="29111" spans="2:8" ht="15" customHeight="1" x14ac:dyDescent="0.4">
      <c r="B29111" s="3" t="s">
        <v>7</v>
      </c>
      <c r="C29111" s="3" t="s">
        <v>4734</v>
      </c>
      <c r="D29111" s="4">
        <f>DATE(2009,3,18)</f>
        <v>39890</v>
      </c>
      <c r="E29111" s="5">
        <f t="shared" si="495"/>
        <v>2009</v>
      </c>
      <c r="F29111" s="3" t="s">
        <v>4735</v>
      </c>
      <c r="G29111" s="6">
        <v>21156.59</v>
      </c>
      <c r="H29111" s="5">
        <v>12177</v>
      </c>
    </row>
    <row r="29112" spans="2:8" ht="15" customHeight="1" x14ac:dyDescent="0.4">
      <c r="B29112" s="3" t="s">
        <v>7</v>
      </c>
      <c r="C29112" s="3" t="s">
        <v>4734</v>
      </c>
      <c r="D29112" s="4">
        <f>DATE(2009,5,14)</f>
        <v>39947</v>
      </c>
      <c r="E29112" s="5">
        <f t="shared" si="495"/>
        <v>2009</v>
      </c>
      <c r="F29112" s="3" t="s">
        <v>4735</v>
      </c>
      <c r="G29112" s="6">
        <v>1459.5</v>
      </c>
      <c r="H29112" s="5">
        <v>12510</v>
      </c>
    </row>
    <row r="29113" spans="2:8" ht="15" customHeight="1" x14ac:dyDescent="0.4">
      <c r="B29113" s="3" t="s">
        <v>7</v>
      </c>
      <c r="C29113" s="3" t="s">
        <v>4734</v>
      </c>
      <c r="D29113" s="4">
        <f>DATE(2009,8,7)</f>
        <v>40032</v>
      </c>
      <c r="E29113" s="5">
        <f t="shared" si="495"/>
        <v>2009</v>
      </c>
      <c r="F29113" s="3" t="s">
        <v>4735</v>
      </c>
      <c r="G29113" s="6">
        <v>21157.37</v>
      </c>
      <c r="H29113" s="5">
        <v>12844</v>
      </c>
    </row>
    <row r="29114" spans="2:8" ht="15" customHeight="1" x14ac:dyDescent="0.4">
      <c r="B29114" s="3" t="s">
        <v>7</v>
      </c>
      <c r="C29114" s="3" t="s">
        <v>4734</v>
      </c>
      <c r="D29114" s="4">
        <f>DATE(2009,11,13)</f>
        <v>40130</v>
      </c>
      <c r="E29114" s="5">
        <f t="shared" si="495"/>
        <v>2009</v>
      </c>
      <c r="F29114" s="3" t="s">
        <v>4735</v>
      </c>
      <c r="G29114" s="6">
        <v>21760.2</v>
      </c>
      <c r="H29114" s="5">
        <v>13169</v>
      </c>
    </row>
    <row r="29115" spans="2:8" ht="15" customHeight="1" x14ac:dyDescent="0.4">
      <c r="B29115" s="3" t="s">
        <v>7</v>
      </c>
      <c r="C29115" s="3" t="s">
        <v>4734</v>
      </c>
      <c r="D29115" s="4">
        <f>DATE(2010,4,15)</f>
        <v>40283</v>
      </c>
      <c r="E29115" s="5">
        <f t="shared" si="495"/>
        <v>2010</v>
      </c>
      <c r="F29115" s="3" t="s">
        <v>4735</v>
      </c>
      <c r="G29115" s="6">
        <v>21162.94</v>
      </c>
      <c r="H29115" s="5">
        <v>13781</v>
      </c>
    </row>
    <row r="29116" spans="2:8" ht="15" customHeight="1" x14ac:dyDescent="0.4">
      <c r="B29116" s="3" t="s">
        <v>7</v>
      </c>
      <c r="C29116" s="3" t="s">
        <v>4734</v>
      </c>
      <c r="D29116" s="4">
        <f>DATE(2010,6,24)</f>
        <v>40353</v>
      </c>
      <c r="E29116" s="5">
        <f t="shared" si="495"/>
        <v>2010</v>
      </c>
      <c r="F29116" s="3" t="s">
        <v>4735</v>
      </c>
      <c r="G29116" s="6">
        <v>295</v>
      </c>
      <c r="H29116" s="5">
        <v>14207</v>
      </c>
    </row>
    <row r="29117" spans="2:8" ht="15" customHeight="1" x14ac:dyDescent="0.4">
      <c r="B29117" s="3" t="s">
        <v>7</v>
      </c>
      <c r="C29117" s="3" t="s">
        <v>4734</v>
      </c>
      <c r="D29117" s="4">
        <f>DATE(2010,7,22)</f>
        <v>40381</v>
      </c>
      <c r="E29117" s="5">
        <f t="shared" si="495"/>
        <v>2010</v>
      </c>
      <c r="F29117" s="3" t="s">
        <v>4735</v>
      </c>
      <c r="G29117" s="6">
        <v>21163.66</v>
      </c>
      <c r="H29117" s="5">
        <v>14235</v>
      </c>
    </row>
    <row r="29118" spans="2:8" ht="15" customHeight="1" x14ac:dyDescent="0.4">
      <c r="B29118" s="3" t="s">
        <v>7</v>
      </c>
      <c r="C29118" s="3" t="s">
        <v>4734</v>
      </c>
      <c r="D29118" s="4">
        <f>DATE(2010,9,13)</f>
        <v>40434</v>
      </c>
      <c r="E29118" s="5">
        <f t="shared" si="495"/>
        <v>2010</v>
      </c>
      <c r="F29118" s="3" t="s">
        <v>4735</v>
      </c>
      <c r="G29118" s="6">
        <v>21166.240000000002</v>
      </c>
      <c r="H29118" s="5">
        <v>14391</v>
      </c>
    </row>
    <row r="29119" spans="2:8" ht="15" customHeight="1" x14ac:dyDescent="0.4">
      <c r="B29119" s="3" t="s">
        <v>7</v>
      </c>
      <c r="C29119" s="3" t="s">
        <v>4734</v>
      </c>
      <c r="D29119" s="4">
        <f>DATE(2010,9,13)</f>
        <v>40434</v>
      </c>
      <c r="E29119" s="5">
        <f t="shared" si="495"/>
        <v>2010</v>
      </c>
      <c r="F29119" s="3" t="s">
        <v>4735</v>
      </c>
      <c r="G29119" s="6">
        <v>7678.18</v>
      </c>
      <c r="H29119" s="5">
        <v>14419</v>
      </c>
    </row>
    <row r="29120" spans="2:8" ht="15" customHeight="1" x14ac:dyDescent="0.4">
      <c r="B29120" s="3" t="s">
        <v>7</v>
      </c>
      <c r="C29120" s="3" t="s">
        <v>4734</v>
      </c>
      <c r="D29120" s="4">
        <f>DATE(2010,10,8)</f>
        <v>40459</v>
      </c>
      <c r="E29120" s="5">
        <f t="shared" si="495"/>
        <v>2010</v>
      </c>
      <c r="F29120" s="3" t="s">
        <v>4735</v>
      </c>
      <c r="G29120" s="6">
        <v>21169.93</v>
      </c>
      <c r="H29120" s="5">
        <v>14549</v>
      </c>
    </row>
    <row r="29121" spans="2:8" ht="15" customHeight="1" x14ac:dyDescent="0.4">
      <c r="B29121" s="3" t="s">
        <v>7</v>
      </c>
      <c r="C29121" s="3" t="s">
        <v>4734</v>
      </c>
      <c r="D29121" s="4">
        <f>DATE(2011,5,24)</f>
        <v>40687</v>
      </c>
      <c r="E29121" s="5">
        <f t="shared" si="495"/>
        <v>2011</v>
      </c>
      <c r="F29121" s="3" t="s">
        <v>4735</v>
      </c>
      <c r="G29121" s="6">
        <v>25405.18</v>
      </c>
      <c r="H29121" s="5">
        <v>15005</v>
      </c>
    </row>
    <row r="29122" spans="2:8" ht="15" customHeight="1" x14ac:dyDescent="0.4">
      <c r="B29122" s="3" t="s">
        <v>7</v>
      </c>
      <c r="C29122" s="3" t="s">
        <v>4734</v>
      </c>
      <c r="D29122" s="4">
        <f>DATE(2011,5,24)</f>
        <v>40687</v>
      </c>
      <c r="E29122" s="5">
        <f t="shared" si="495"/>
        <v>2011</v>
      </c>
      <c r="F29122" s="3" t="s">
        <v>4735</v>
      </c>
      <c r="G29122" s="6">
        <v>612</v>
      </c>
      <c r="H29122" s="5">
        <v>15390</v>
      </c>
    </row>
    <row r="29123" spans="2:8" ht="15" customHeight="1" x14ac:dyDescent="0.4">
      <c r="B29123" s="3" t="s">
        <v>7</v>
      </c>
      <c r="C29123" s="3" t="s">
        <v>4734</v>
      </c>
      <c r="D29123" s="4">
        <f>DATE(2011,5,26)</f>
        <v>40689</v>
      </c>
      <c r="E29123" s="5">
        <f t="shared" ref="E29123:E29186" si="496">YEAR(D29123)</f>
        <v>2011</v>
      </c>
      <c r="F29123" s="3" t="s">
        <v>4735</v>
      </c>
      <c r="G29123" s="6">
        <v>12715.12</v>
      </c>
      <c r="H29123" s="5">
        <v>15005</v>
      </c>
    </row>
    <row r="29124" spans="2:8" ht="15" customHeight="1" x14ac:dyDescent="0.4">
      <c r="B29124" s="3" t="s">
        <v>7</v>
      </c>
      <c r="C29124" s="3" t="s">
        <v>4734</v>
      </c>
      <c r="D29124" s="4">
        <f>DATE(2011,10,6)</f>
        <v>40822</v>
      </c>
      <c r="E29124" s="5">
        <f t="shared" si="496"/>
        <v>2011</v>
      </c>
      <c r="F29124" s="3" t="s">
        <v>4735</v>
      </c>
      <c r="G29124" s="6">
        <v>112.5</v>
      </c>
      <c r="H29124" s="5">
        <v>16063</v>
      </c>
    </row>
    <row r="29125" spans="2:8" ht="15" customHeight="1" x14ac:dyDescent="0.4">
      <c r="B29125" s="3" t="s">
        <v>7</v>
      </c>
      <c r="C29125" s="3" t="s">
        <v>4734</v>
      </c>
      <c r="D29125" s="4">
        <f>DATE(2011,11,9)</f>
        <v>40856</v>
      </c>
      <c r="E29125" s="5">
        <f t="shared" si="496"/>
        <v>2011</v>
      </c>
      <c r="F29125" s="3" t="s">
        <v>4735</v>
      </c>
      <c r="G29125" s="6">
        <v>17006.38</v>
      </c>
      <c r="H29125" s="5">
        <v>16104</v>
      </c>
    </row>
    <row r="29126" spans="2:8" ht="15" customHeight="1" x14ac:dyDescent="0.4">
      <c r="B29126" s="3" t="s">
        <v>7</v>
      </c>
      <c r="C29126" s="3" t="s">
        <v>4734</v>
      </c>
      <c r="D29126" s="4">
        <f>DATE(2012,7,26)</f>
        <v>41116</v>
      </c>
      <c r="E29126" s="5">
        <f t="shared" si="496"/>
        <v>2012</v>
      </c>
      <c r="F29126" s="3" t="s">
        <v>4735</v>
      </c>
      <c r="G29126" s="6">
        <v>21176.14</v>
      </c>
      <c r="H29126" s="5">
        <v>17398</v>
      </c>
    </row>
    <row r="29127" spans="2:8" ht="15" customHeight="1" x14ac:dyDescent="0.4">
      <c r="B29127" s="3" t="s">
        <v>7</v>
      </c>
      <c r="C29127" s="3" t="s">
        <v>4734</v>
      </c>
      <c r="D29127" s="4">
        <f>DATE(2012,9,6)</f>
        <v>41158</v>
      </c>
      <c r="E29127" s="5">
        <f t="shared" si="496"/>
        <v>2012</v>
      </c>
      <c r="F29127" s="3" t="s">
        <v>4735</v>
      </c>
      <c r="G29127" s="6">
        <v>814</v>
      </c>
      <c r="H29127" s="5">
        <v>17557</v>
      </c>
    </row>
    <row r="29128" spans="2:8" ht="15" customHeight="1" x14ac:dyDescent="0.4">
      <c r="B29128" s="3" t="s">
        <v>7</v>
      </c>
      <c r="C29128" s="3" t="s">
        <v>4734</v>
      </c>
      <c r="D29128" s="4">
        <f>DATE(2012,9,6)</f>
        <v>41158</v>
      </c>
      <c r="E29128" s="5">
        <f t="shared" si="496"/>
        <v>2012</v>
      </c>
      <c r="F29128" s="3" t="s">
        <v>4735</v>
      </c>
      <c r="G29128" s="6">
        <v>613</v>
      </c>
      <c r="H29128" s="5">
        <v>17558</v>
      </c>
    </row>
    <row r="29129" spans="2:8" ht="15" customHeight="1" x14ac:dyDescent="0.4">
      <c r="B29129" s="3" t="s">
        <v>7</v>
      </c>
      <c r="C29129" s="3" t="s">
        <v>4736</v>
      </c>
      <c r="D29129" s="4">
        <f>DATE(2009,5,1)</f>
        <v>39934</v>
      </c>
      <c r="E29129" s="5">
        <f t="shared" si="496"/>
        <v>2009</v>
      </c>
      <c r="F29129" s="3" t="s">
        <v>4737</v>
      </c>
      <c r="G29129" s="6">
        <v>1660.5</v>
      </c>
      <c r="H29129" s="5">
        <v>12465</v>
      </c>
    </row>
    <row r="29130" spans="2:8" ht="15" customHeight="1" x14ac:dyDescent="0.4">
      <c r="B29130" t="s">
        <v>7</v>
      </c>
      <c r="C29130" t="s">
        <v>4738</v>
      </c>
      <c r="D29130" s="7">
        <f>DATE(2012,10,16)</f>
        <v>41198</v>
      </c>
      <c r="E29130" s="8">
        <f t="shared" si="496"/>
        <v>2012</v>
      </c>
      <c r="F29130" t="s">
        <v>4739</v>
      </c>
      <c r="G29130" s="9">
        <v>3515</v>
      </c>
      <c r="H29130" s="8">
        <v>11907</v>
      </c>
    </row>
    <row r="29131" spans="2:8" ht="15" customHeight="1" x14ac:dyDescent="0.4">
      <c r="B29131" t="s">
        <v>7</v>
      </c>
      <c r="C29131" t="s">
        <v>4740</v>
      </c>
      <c r="D29131" s="7">
        <f>DATE(2013,12,3)</f>
        <v>41611</v>
      </c>
      <c r="E29131" s="8">
        <f t="shared" si="496"/>
        <v>2013</v>
      </c>
      <c r="F29131" t="s">
        <v>4741</v>
      </c>
      <c r="G29131" s="9">
        <v>36</v>
      </c>
      <c r="H29131" s="8">
        <v>12832</v>
      </c>
    </row>
    <row r="29132" spans="2:8" ht="15" customHeight="1" x14ac:dyDescent="0.4">
      <c r="B29132" t="s">
        <v>7</v>
      </c>
      <c r="C29132" t="s">
        <v>4742</v>
      </c>
      <c r="D29132" s="7">
        <f>DATE(2005,8,14)</f>
        <v>38578</v>
      </c>
      <c r="E29132" s="8">
        <f t="shared" si="496"/>
        <v>2005</v>
      </c>
      <c r="F29132" t="s">
        <v>4743</v>
      </c>
      <c r="G29132" s="9">
        <v>4653.8500000000004</v>
      </c>
      <c r="H29132" s="8">
        <v>3476</v>
      </c>
    </row>
    <row r="29133" spans="2:8" ht="15" customHeight="1" x14ac:dyDescent="0.4">
      <c r="B29133" t="s">
        <v>7</v>
      </c>
      <c r="C29133" t="s">
        <v>4742</v>
      </c>
      <c r="D29133" s="7">
        <f>DATE(2005,11,2)</f>
        <v>38658</v>
      </c>
      <c r="E29133" s="8">
        <f t="shared" si="496"/>
        <v>2005</v>
      </c>
      <c r="F29133" t="s">
        <v>4744</v>
      </c>
      <c r="G29133" s="9">
        <v>5132.78</v>
      </c>
      <c r="H29133" s="8">
        <v>3698</v>
      </c>
    </row>
    <row r="29134" spans="2:8" ht="15" customHeight="1" x14ac:dyDescent="0.4">
      <c r="B29134" t="s">
        <v>7</v>
      </c>
      <c r="C29134" t="s">
        <v>4742</v>
      </c>
      <c r="D29134" s="7">
        <f>DATE(2006,3,14)</f>
        <v>38790</v>
      </c>
      <c r="E29134" s="8">
        <f t="shared" si="496"/>
        <v>2006</v>
      </c>
      <c r="F29134" t="s">
        <v>4744</v>
      </c>
      <c r="G29134" s="9">
        <v>4339.93</v>
      </c>
      <c r="H29134" s="8">
        <v>4324</v>
      </c>
    </row>
    <row r="29135" spans="2:8" ht="15" customHeight="1" x14ac:dyDescent="0.4">
      <c r="B29135" t="s">
        <v>7</v>
      </c>
      <c r="C29135" t="s">
        <v>4742</v>
      </c>
      <c r="D29135" s="7">
        <f>DATE(2007,10,4)</f>
        <v>39359</v>
      </c>
      <c r="E29135" s="8">
        <f t="shared" si="496"/>
        <v>2007</v>
      </c>
      <c r="F29135" t="s">
        <v>4744</v>
      </c>
      <c r="G29135" s="9">
        <v>7232</v>
      </c>
      <c r="H29135" s="8">
        <v>6445</v>
      </c>
    </row>
    <row r="29136" spans="2:8" ht="15" customHeight="1" x14ac:dyDescent="0.4">
      <c r="B29136" t="s">
        <v>7</v>
      </c>
      <c r="C29136" t="s">
        <v>4742</v>
      </c>
      <c r="D29136" s="7">
        <f>DATE(2008,2,9)</f>
        <v>39487</v>
      </c>
      <c r="E29136" s="8">
        <f t="shared" si="496"/>
        <v>2008</v>
      </c>
      <c r="F29136" t="s">
        <v>4744</v>
      </c>
      <c r="G29136" s="9">
        <v>26129.5</v>
      </c>
      <c r="H29136" s="8">
        <v>6738</v>
      </c>
    </row>
    <row r="29137" spans="2:8" ht="15" customHeight="1" x14ac:dyDescent="0.4">
      <c r="B29137" t="s">
        <v>7</v>
      </c>
      <c r="C29137" t="s">
        <v>4742</v>
      </c>
      <c r="D29137" s="7">
        <f>DATE(2016,3,22)</f>
        <v>42451</v>
      </c>
      <c r="E29137" s="8">
        <f t="shared" si="496"/>
        <v>2016</v>
      </c>
      <c r="F29137" t="s">
        <v>4745</v>
      </c>
      <c r="G29137" s="9">
        <v>10310.49</v>
      </c>
      <c r="H29137" s="8">
        <v>22333</v>
      </c>
    </row>
    <row r="29138" spans="2:8" ht="15" customHeight="1" x14ac:dyDescent="0.4">
      <c r="B29138" t="s">
        <v>7</v>
      </c>
      <c r="C29138" t="s">
        <v>4742</v>
      </c>
      <c r="D29138" s="7">
        <f>DATE(2016,5,10)</f>
        <v>42500</v>
      </c>
      <c r="E29138" s="8">
        <f t="shared" si="496"/>
        <v>2016</v>
      </c>
      <c r="F29138" t="s">
        <v>4745</v>
      </c>
      <c r="G29138" s="9">
        <v>7052.31</v>
      </c>
      <c r="H29138" s="8">
        <v>22724</v>
      </c>
    </row>
    <row r="29139" spans="2:8" ht="15" customHeight="1" x14ac:dyDescent="0.4">
      <c r="B29139" t="s">
        <v>7</v>
      </c>
      <c r="C29139" t="s">
        <v>4742</v>
      </c>
      <c r="D29139" s="7">
        <f>DATE(2016,5,10)</f>
        <v>42500</v>
      </c>
      <c r="E29139" s="8">
        <f t="shared" si="496"/>
        <v>2016</v>
      </c>
      <c r="F29139" t="s">
        <v>4745</v>
      </c>
      <c r="G29139" s="9">
        <v>6536.33</v>
      </c>
      <c r="H29139" s="8">
        <v>22766</v>
      </c>
    </row>
    <row r="29140" spans="2:8" ht="15" customHeight="1" x14ac:dyDescent="0.4">
      <c r="B29140" t="s">
        <v>7</v>
      </c>
      <c r="C29140" t="s">
        <v>4742</v>
      </c>
      <c r="D29140" s="7">
        <f>DATE(2004,1,22)</f>
        <v>38008</v>
      </c>
      <c r="E29140" s="8">
        <f t="shared" si="496"/>
        <v>2004</v>
      </c>
      <c r="F29140" t="s">
        <v>4746</v>
      </c>
      <c r="G29140" s="9">
        <v>8391.93</v>
      </c>
      <c r="H29140" s="8">
        <v>1168</v>
      </c>
    </row>
    <row r="29141" spans="2:8" ht="15" customHeight="1" x14ac:dyDescent="0.4">
      <c r="B29141" t="s">
        <v>7</v>
      </c>
      <c r="C29141" t="s">
        <v>1628</v>
      </c>
      <c r="D29141" s="7">
        <f>DATE(2017,10,17)</f>
        <v>43025</v>
      </c>
      <c r="E29141" s="8">
        <f t="shared" si="496"/>
        <v>2017</v>
      </c>
      <c r="F29141" t="s">
        <v>4747</v>
      </c>
      <c r="G29141" s="9">
        <v>354.75</v>
      </c>
      <c r="H29141" s="8">
        <v>25724</v>
      </c>
    </row>
    <row r="29142" spans="2:8" ht="15" customHeight="1" x14ac:dyDescent="0.4">
      <c r="B29142" t="s">
        <v>7</v>
      </c>
      <c r="C29142" t="s">
        <v>1628</v>
      </c>
      <c r="D29142" s="7">
        <f>DATE(2017,3,1)</f>
        <v>42795</v>
      </c>
      <c r="E29142" s="8">
        <f t="shared" si="496"/>
        <v>2017</v>
      </c>
      <c r="F29142" t="s">
        <v>4747</v>
      </c>
      <c r="G29142" s="9">
        <v>3136</v>
      </c>
      <c r="H29142" s="8">
        <v>24386</v>
      </c>
    </row>
    <row r="29143" spans="2:8" ht="15" customHeight="1" x14ac:dyDescent="0.4">
      <c r="B29143" t="s">
        <v>7</v>
      </c>
      <c r="C29143" t="s">
        <v>1628</v>
      </c>
      <c r="D29143" s="7">
        <f>DATE(2017,3,7)</f>
        <v>42801</v>
      </c>
      <c r="E29143" s="8">
        <f t="shared" si="496"/>
        <v>2017</v>
      </c>
      <c r="F29143" t="s">
        <v>4747</v>
      </c>
      <c r="G29143" s="9">
        <v>269.10000000000002</v>
      </c>
      <c r="H29143" s="8">
        <v>24379</v>
      </c>
    </row>
    <row r="29144" spans="2:8" ht="15" customHeight="1" x14ac:dyDescent="0.4">
      <c r="B29144" t="s">
        <v>7</v>
      </c>
      <c r="C29144" t="s">
        <v>1628</v>
      </c>
      <c r="D29144" s="7">
        <f>DATE(2017,3,10)</f>
        <v>42804</v>
      </c>
      <c r="E29144" s="8">
        <f t="shared" si="496"/>
        <v>2017</v>
      </c>
      <c r="F29144" t="s">
        <v>4747</v>
      </c>
      <c r="G29144" s="9">
        <v>12734.68</v>
      </c>
      <c r="H29144" s="8">
        <v>24441</v>
      </c>
    </row>
    <row r="29145" spans="2:8" ht="15" customHeight="1" x14ac:dyDescent="0.4">
      <c r="B29145" t="s">
        <v>7</v>
      </c>
      <c r="C29145" t="s">
        <v>1628</v>
      </c>
      <c r="D29145" s="7">
        <f>DATE(2017,3,16)</f>
        <v>42810</v>
      </c>
      <c r="E29145" s="8">
        <f t="shared" si="496"/>
        <v>2017</v>
      </c>
      <c r="F29145" t="s">
        <v>4747</v>
      </c>
      <c r="G29145" s="9">
        <v>214.5</v>
      </c>
      <c r="H29145" s="8">
        <v>24515</v>
      </c>
    </row>
    <row r="29146" spans="2:8" ht="15" customHeight="1" x14ac:dyDescent="0.4">
      <c r="B29146" t="s">
        <v>7</v>
      </c>
      <c r="C29146" t="s">
        <v>1628</v>
      </c>
      <c r="D29146" s="7">
        <f>DATE(2017,4,10)</f>
        <v>42835</v>
      </c>
      <c r="E29146" s="8">
        <f t="shared" si="496"/>
        <v>2017</v>
      </c>
      <c r="F29146" t="s">
        <v>4747</v>
      </c>
      <c r="G29146" s="9">
        <v>3979.24</v>
      </c>
      <c r="H29146" s="8">
        <v>24555</v>
      </c>
    </row>
    <row r="29147" spans="2:8" ht="15" customHeight="1" x14ac:dyDescent="0.4">
      <c r="B29147" t="s">
        <v>7</v>
      </c>
      <c r="C29147" t="s">
        <v>1628</v>
      </c>
      <c r="D29147" s="7">
        <f>DATE(2017,4,10)</f>
        <v>42835</v>
      </c>
      <c r="E29147" s="8">
        <f t="shared" si="496"/>
        <v>2017</v>
      </c>
      <c r="F29147" t="s">
        <v>4747</v>
      </c>
      <c r="G29147" s="9">
        <v>1989.62</v>
      </c>
      <c r="H29147" s="8">
        <v>24553</v>
      </c>
    </row>
    <row r="29148" spans="2:8" ht="15" customHeight="1" x14ac:dyDescent="0.4">
      <c r="B29148" t="s">
        <v>7</v>
      </c>
      <c r="C29148" t="s">
        <v>1628</v>
      </c>
      <c r="D29148" s="7">
        <f>DATE(2017,5,30)</f>
        <v>42885</v>
      </c>
      <c r="E29148" s="8">
        <f t="shared" si="496"/>
        <v>2017</v>
      </c>
      <c r="F29148" t="s">
        <v>4747</v>
      </c>
      <c r="G29148" s="9">
        <v>102.86</v>
      </c>
      <c r="H29148" s="8">
        <v>24714</v>
      </c>
    </row>
    <row r="29149" spans="2:8" ht="15" customHeight="1" x14ac:dyDescent="0.4">
      <c r="B29149" t="s">
        <v>7</v>
      </c>
      <c r="C29149" t="s">
        <v>1628</v>
      </c>
      <c r="D29149" s="7">
        <f>DATE(2017,5,31)</f>
        <v>42886</v>
      </c>
      <c r="E29149" s="8">
        <f t="shared" si="496"/>
        <v>2017</v>
      </c>
      <c r="F29149" t="s">
        <v>4747</v>
      </c>
      <c r="G29149" s="9">
        <v>1760.14</v>
      </c>
      <c r="H29149" s="8">
        <v>24783</v>
      </c>
    </row>
    <row r="29150" spans="2:8" ht="15" customHeight="1" x14ac:dyDescent="0.4">
      <c r="B29150" t="s">
        <v>7</v>
      </c>
      <c r="C29150" t="s">
        <v>1628</v>
      </c>
      <c r="D29150" s="7">
        <f>DATE(2017,6,5)</f>
        <v>42891</v>
      </c>
      <c r="E29150" s="8">
        <f t="shared" si="496"/>
        <v>2017</v>
      </c>
      <c r="F29150" t="s">
        <v>4747</v>
      </c>
      <c r="G29150" s="9">
        <v>2600.3200000000002</v>
      </c>
      <c r="H29150" s="8">
        <v>24919</v>
      </c>
    </row>
    <row r="29151" spans="2:8" ht="15" customHeight="1" x14ac:dyDescent="0.4">
      <c r="B29151" t="s">
        <v>7</v>
      </c>
      <c r="C29151" t="s">
        <v>1628</v>
      </c>
      <c r="D29151" s="7">
        <f>DATE(2017,6,7)</f>
        <v>42893</v>
      </c>
      <c r="E29151" s="8">
        <f t="shared" si="496"/>
        <v>2017</v>
      </c>
      <c r="F29151" t="s">
        <v>4747</v>
      </c>
      <c r="G29151" s="9">
        <v>1153.75</v>
      </c>
      <c r="H29151" s="8">
        <v>25025</v>
      </c>
    </row>
    <row r="29152" spans="2:8" ht="15" customHeight="1" x14ac:dyDescent="0.4">
      <c r="B29152" t="s">
        <v>7</v>
      </c>
      <c r="C29152" t="s">
        <v>1628</v>
      </c>
      <c r="D29152" s="7">
        <f>DATE(2017,6,7)</f>
        <v>42893</v>
      </c>
      <c r="E29152" s="8">
        <f t="shared" si="496"/>
        <v>2017</v>
      </c>
      <c r="F29152" t="s">
        <v>4747</v>
      </c>
      <c r="G29152" s="9">
        <v>1289.52</v>
      </c>
      <c r="H29152" s="8">
        <v>24904</v>
      </c>
    </row>
    <row r="29153" spans="2:8" ht="15" customHeight="1" x14ac:dyDescent="0.4">
      <c r="B29153" t="s">
        <v>7</v>
      </c>
      <c r="C29153" t="s">
        <v>1628</v>
      </c>
      <c r="D29153" s="7">
        <f>DATE(2017,6,14)</f>
        <v>42900</v>
      </c>
      <c r="E29153" s="8">
        <f t="shared" si="496"/>
        <v>2017</v>
      </c>
      <c r="F29153" t="s">
        <v>4747</v>
      </c>
      <c r="G29153" s="9">
        <v>2311.5</v>
      </c>
      <c r="H29153" s="8">
        <v>25058</v>
      </c>
    </row>
    <row r="29154" spans="2:8" ht="15" customHeight="1" x14ac:dyDescent="0.4">
      <c r="B29154" t="s">
        <v>7</v>
      </c>
      <c r="C29154" t="s">
        <v>1628</v>
      </c>
      <c r="D29154" s="7">
        <f>DATE(2017,6,14)</f>
        <v>42900</v>
      </c>
      <c r="E29154" s="8">
        <f t="shared" si="496"/>
        <v>2017</v>
      </c>
      <c r="F29154" t="s">
        <v>4747</v>
      </c>
      <c r="G29154" s="9">
        <v>1981.5</v>
      </c>
      <c r="H29154" s="8">
        <v>25039</v>
      </c>
    </row>
    <row r="29155" spans="2:8" ht="15" customHeight="1" x14ac:dyDescent="0.4">
      <c r="B29155" t="s">
        <v>7</v>
      </c>
      <c r="C29155" t="s">
        <v>1628</v>
      </c>
      <c r="D29155" s="7">
        <f>DATE(2017,6,16)</f>
        <v>42902</v>
      </c>
      <c r="E29155" s="8">
        <f t="shared" si="496"/>
        <v>2017</v>
      </c>
      <c r="F29155" t="s">
        <v>4747</v>
      </c>
      <c r="G29155" s="9">
        <v>299</v>
      </c>
      <c r="H29155" s="8">
        <v>25065</v>
      </c>
    </row>
    <row r="29156" spans="2:8" ht="15" customHeight="1" x14ac:dyDescent="0.4">
      <c r="B29156" t="s">
        <v>7</v>
      </c>
      <c r="C29156" t="s">
        <v>1628</v>
      </c>
      <c r="D29156" s="7">
        <f>DATE(2017,6,19)</f>
        <v>42905</v>
      </c>
      <c r="E29156" s="8">
        <f t="shared" si="496"/>
        <v>2017</v>
      </c>
      <c r="F29156" t="s">
        <v>4747</v>
      </c>
      <c r="G29156" s="9">
        <v>3865.62</v>
      </c>
      <c r="H29156" s="8">
        <v>24989</v>
      </c>
    </row>
    <row r="29157" spans="2:8" ht="15" customHeight="1" x14ac:dyDescent="0.4">
      <c r="B29157" t="s">
        <v>7</v>
      </c>
      <c r="C29157" t="s">
        <v>1628</v>
      </c>
      <c r="D29157" s="7">
        <f>DATE(2017,8,1)</f>
        <v>42948</v>
      </c>
      <c r="E29157" s="8">
        <f t="shared" si="496"/>
        <v>2017</v>
      </c>
      <c r="F29157" t="s">
        <v>4747</v>
      </c>
      <c r="G29157" s="9">
        <v>3157</v>
      </c>
      <c r="H29157" s="8">
        <v>25209</v>
      </c>
    </row>
    <row r="29158" spans="2:8" ht="15" customHeight="1" x14ac:dyDescent="0.4">
      <c r="B29158" t="s">
        <v>7</v>
      </c>
      <c r="C29158" t="s">
        <v>1628</v>
      </c>
      <c r="D29158" s="7">
        <f>DATE(2017,8,23)</f>
        <v>42970</v>
      </c>
      <c r="E29158" s="8">
        <f t="shared" si="496"/>
        <v>2017</v>
      </c>
      <c r="F29158" t="s">
        <v>4747</v>
      </c>
      <c r="G29158" s="9">
        <v>2172</v>
      </c>
      <c r="H29158" s="8">
        <v>25271</v>
      </c>
    </row>
    <row r="29159" spans="2:8" ht="15" customHeight="1" x14ac:dyDescent="0.4">
      <c r="B29159" t="s">
        <v>7</v>
      </c>
      <c r="C29159" t="s">
        <v>1628</v>
      </c>
      <c r="D29159" s="7">
        <f>DATE(2017,9,19)</f>
        <v>42997</v>
      </c>
      <c r="E29159" s="8">
        <f t="shared" si="496"/>
        <v>2017</v>
      </c>
      <c r="F29159" t="s">
        <v>4747</v>
      </c>
      <c r="G29159" s="9">
        <v>239.2</v>
      </c>
      <c r="H29159" s="8">
        <v>25569</v>
      </c>
    </row>
    <row r="29160" spans="2:8" ht="15" customHeight="1" x14ac:dyDescent="0.4">
      <c r="B29160" t="s">
        <v>7</v>
      </c>
      <c r="C29160" t="s">
        <v>1628</v>
      </c>
      <c r="D29160" s="7">
        <f>DATE(2017,9,22)</f>
        <v>43000</v>
      </c>
      <c r="E29160" s="8">
        <f t="shared" si="496"/>
        <v>2017</v>
      </c>
      <c r="F29160" t="s">
        <v>4747</v>
      </c>
      <c r="G29160" s="9">
        <v>1884</v>
      </c>
      <c r="H29160" s="8">
        <v>25352</v>
      </c>
    </row>
    <row r="29161" spans="2:8" ht="15" customHeight="1" x14ac:dyDescent="0.4">
      <c r="B29161" t="s">
        <v>7</v>
      </c>
      <c r="C29161" t="s">
        <v>1628</v>
      </c>
      <c r="D29161" s="7">
        <f>DATE(2017,10,2)</f>
        <v>43010</v>
      </c>
      <c r="E29161" s="8">
        <f t="shared" si="496"/>
        <v>2017</v>
      </c>
      <c r="F29161" t="s">
        <v>4747</v>
      </c>
      <c r="G29161" s="9">
        <v>784.85</v>
      </c>
      <c r="H29161" s="8">
        <v>25674</v>
      </c>
    </row>
    <row r="29162" spans="2:8" ht="15" customHeight="1" x14ac:dyDescent="0.4">
      <c r="B29162" t="s">
        <v>7</v>
      </c>
      <c r="C29162" t="s">
        <v>1628</v>
      </c>
      <c r="D29162" s="7">
        <f>DATE(2017,10,19)</f>
        <v>43027</v>
      </c>
      <c r="E29162" s="8">
        <f t="shared" si="496"/>
        <v>2017</v>
      </c>
      <c r="F29162" t="s">
        <v>4747</v>
      </c>
      <c r="G29162" s="9">
        <v>1872</v>
      </c>
      <c r="H29162" s="8">
        <v>25643</v>
      </c>
    </row>
    <row r="29163" spans="2:8" ht="15" customHeight="1" x14ac:dyDescent="0.4">
      <c r="B29163" t="s">
        <v>7</v>
      </c>
      <c r="C29163" t="s">
        <v>1628</v>
      </c>
      <c r="D29163" s="7">
        <f>DATE(2017,10,24)</f>
        <v>43032</v>
      </c>
      <c r="E29163" s="8">
        <f t="shared" si="496"/>
        <v>2017</v>
      </c>
      <c r="F29163" t="s">
        <v>4747</v>
      </c>
      <c r="G29163" s="9">
        <v>1836</v>
      </c>
      <c r="H29163" s="8">
        <v>25760</v>
      </c>
    </row>
    <row r="29164" spans="2:8" ht="15" customHeight="1" x14ac:dyDescent="0.4">
      <c r="B29164" t="s">
        <v>7</v>
      </c>
      <c r="C29164" t="s">
        <v>1628</v>
      </c>
      <c r="D29164" s="7">
        <f>DATE(2017,10,24)</f>
        <v>43032</v>
      </c>
      <c r="E29164" s="8">
        <f t="shared" si="496"/>
        <v>2017</v>
      </c>
      <c r="F29164" t="s">
        <v>4747</v>
      </c>
      <c r="G29164" s="9">
        <v>1884</v>
      </c>
      <c r="H29164" s="8">
        <v>25504</v>
      </c>
    </row>
    <row r="29165" spans="2:8" ht="15" customHeight="1" x14ac:dyDescent="0.4">
      <c r="B29165" t="s">
        <v>7</v>
      </c>
      <c r="C29165" t="s">
        <v>1628</v>
      </c>
      <c r="D29165" s="7">
        <f>DATE(2017,11,14)</f>
        <v>43053</v>
      </c>
      <c r="E29165" s="8">
        <f t="shared" si="496"/>
        <v>2017</v>
      </c>
      <c r="F29165" t="s">
        <v>4747</v>
      </c>
      <c r="G29165" s="9">
        <v>610</v>
      </c>
      <c r="H29165" s="8">
        <v>25900</v>
      </c>
    </row>
    <row r="29166" spans="2:8" ht="15" customHeight="1" x14ac:dyDescent="0.4">
      <c r="B29166" t="s">
        <v>7</v>
      </c>
      <c r="C29166" t="s">
        <v>1628</v>
      </c>
      <c r="D29166" s="7">
        <f>DATE(2017,11,16)</f>
        <v>43055</v>
      </c>
      <c r="E29166" s="8">
        <f t="shared" si="496"/>
        <v>2017</v>
      </c>
      <c r="F29166" t="s">
        <v>4747</v>
      </c>
      <c r="G29166" s="9">
        <v>5652</v>
      </c>
      <c r="H29166" s="8">
        <v>25642</v>
      </c>
    </row>
    <row r="29167" spans="2:8" ht="15" customHeight="1" x14ac:dyDescent="0.4">
      <c r="B29167" t="s">
        <v>7</v>
      </c>
      <c r="C29167" t="s">
        <v>1628</v>
      </c>
      <c r="D29167" s="7">
        <f>DATE(2017,11,20)</f>
        <v>43059</v>
      </c>
      <c r="E29167" s="8">
        <f t="shared" si="496"/>
        <v>2017</v>
      </c>
      <c r="F29167" t="s">
        <v>4747</v>
      </c>
      <c r="G29167" s="9">
        <v>1884</v>
      </c>
      <c r="H29167" s="8">
        <v>25863</v>
      </c>
    </row>
    <row r="29168" spans="2:8" ht="15" customHeight="1" x14ac:dyDescent="0.4">
      <c r="B29168" t="s">
        <v>7</v>
      </c>
      <c r="C29168" t="s">
        <v>1628</v>
      </c>
      <c r="D29168" s="7">
        <f>DATE(2017,12,11)</f>
        <v>43080</v>
      </c>
      <c r="E29168" s="8">
        <f t="shared" si="496"/>
        <v>2017</v>
      </c>
      <c r="F29168" t="s">
        <v>4747</v>
      </c>
      <c r="G29168" s="9">
        <v>120</v>
      </c>
      <c r="H29168" s="8">
        <v>25914</v>
      </c>
    </row>
    <row r="29169" spans="2:8" ht="15" customHeight="1" x14ac:dyDescent="0.4">
      <c r="B29169" t="s">
        <v>7</v>
      </c>
      <c r="C29169" t="s">
        <v>1628</v>
      </c>
      <c r="D29169" s="7">
        <f>DATE(2018,1,12)</f>
        <v>43112</v>
      </c>
      <c r="E29169" s="8">
        <f t="shared" si="496"/>
        <v>2018</v>
      </c>
      <c r="F29169" t="s">
        <v>4747</v>
      </c>
      <c r="G29169" s="9">
        <v>3669.39</v>
      </c>
      <c r="H29169" s="8">
        <v>25999</v>
      </c>
    </row>
    <row r="29170" spans="2:8" ht="15" customHeight="1" x14ac:dyDescent="0.4">
      <c r="B29170" t="s">
        <v>7</v>
      </c>
      <c r="C29170" t="s">
        <v>1628</v>
      </c>
      <c r="D29170" s="7">
        <f>DATE(2018,1,24)</f>
        <v>43124</v>
      </c>
      <c r="E29170" s="8">
        <f t="shared" si="496"/>
        <v>2018</v>
      </c>
      <c r="F29170" t="s">
        <v>4747</v>
      </c>
      <c r="G29170" s="9">
        <v>1296</v>
      </c>
      <c r="H29170" s="8">
        <v>26305</v>
      </c>
    </row>
    <row r="29171" spans="2:8" ht="15" customHeight="1" x14ac:dyDescent="0.4">
      <c r="B29171" t="s">
        <v>7</v>
      </c>
      <c r="C29171" t="s">
        <v>1628</v>
      </c>
      <c r="D29171" s="7">
        <f>DATE(2018,1,31)</f>
        <v>43131</v>
      </c>
      <c r="E29171" s="8">
        <f t="shared" si="496"/>
        <v>2018</v>
      </c>
      <c r="F29171" t="s">
        <v>4747</v>
      </c>
      <c r="G29171" s="9">
        <v>162.25</v>
      </c>
      <c r="H29171" s="8">
        <v>26346</v>
      </c>
    </row>
    <row r="29172" spans="2:8" ht="15" customHeight="1" x14ac:dyDescent="0.4">
      <c r="B29172" t="s">
        <v>7</v>
      </c>
      <c r="C29172" t="s">
        <v>1628</v>
      </c>
      <c r="D29172" s="7">
        <f>DATE(2018,1,31)</f>
        <v>43131</v>
      </c>
      <c r="E29172" s="8">
        <f t="shared" si="496"/>
        <v>2018</v>
      </c>
      <c r="F29172" t="s">
        <v>4747</v>
      </c>
      <c r="G29172" s="9">
        <v>624</v>
      </c>
      <c r="H29172" s="8">
        <v>26347</v>
      </c>
    </row>
    <row r="29173" spans="2:8" ht="15" customHeight="1" x14ac:dyDescent="0.4">
      <c r="B29173" t="s">
        <v>7</v>
      </c>
      <c r="C29173" t="s">
        <v>1628</v>
      </c>
      <c r="D29173" s="7">
        <f>DATE(2018,2,1)</f>
        <v>43132</v>
      </c>
      <c r="E29173" s="8">
        <f t="shared" si="496"/>
        <v>2018</v>
      </c>
      <c r="F29173" t="s">
        <v>4747</v>
      </c>
      <c r="G29173" s="9">
        <v>120</v>
      </c>
      <c r="H29173" s="8">
        <v>26364</v>
      </c>
    </row>
    <row r="29174" spans="2:8" ht="15" customHeight="1" x14ac:dyDescent="0.4">
      <c r="B29174" t="s">
        <v>7</v>
      </c>
      <c r="C29174" t="s">
        <v>1628</v>
      </c>
      <c r="D29174" s="7">
        <f>DATE(2018,2,14)</f>
        <v>43145</v>
      </c>
      <c r="E29174" s="8">
        <f t="shared" si="496"/>
        <v>2018</v>
      </c>
      <c r="F29174" t="s">
        <v>4747</v>
      </c>
      <c r="G29174" s="9">
        <v>162.25</v>
      </c>
      <c r="H29174" s="8">
        <v>26431</v>
      </c>
    </row>
    <row r="29175" spans="2:8" ht="15" customHeight="1" x14ac:dyDescent="0.4">
      <c r="B29175" t="s">
        <v>7</v>
      </c>
      <c r="C29175" t="s">
        <v>1628</v>
      </c>
      <c r="D29175" s="7">
        <f>DATE(2018,2,28)</f>
        <v>43159</v>
      </c>
      <c r="E29175" s="8">
        <f t="shared" si="496"/>
        <v>2018</v>
      </c>
      <c r="F29175" t="s">
        <v>4747</v>
      </c>
      <c r="G29175" s="9">
        <v>388.7</v>
      </c>
      <c r="H29175" s="8">
        <v>26566</v>
      </c>
    </row>
    <row r="29176" spans="2:8" ht="15" customHeight="1" x14ac:dyDescent="0.4">
      <c r="B29176" t="s">
        <v>7</v>
      </c>
      <c r="C29176" t="s">
        <v>1628</v>
      </c>
      <c r="D29176" s="7">
        <f>DATE(2018,3,2)</f>
        <v>43161</v>
      </c>
      <c r="E29176" s="8">
        <f t="shared" si="496"/>
        <v>2018</v>
      </c>
      <c r="F29176" t="s">
        <v>4747</v>
      </c>
      <c r="G29176" s="9">
        <v>563.85</v>
      </c>
      <c r="H29176" s="8">
        <v>26490</v>
      </c>
    </row>
    <row r="29177" spans="2:8" ht="15" customHeight="1" x14ac:dyDescent="0.4">
      <c r="B29177" t="s">
        <v>7</v>
      </c>
      <c r="C29177" t="s">
        <v>1628</v>
      </c>
      <c r="D29177" s="7">
        <f>DATE(2018,3,21)</f>
        <v>43180</v>
      </c>
      <c r="E29177" s="8">
        <f t="shared" si="496"/>
        <v>2018</v>
      </c>
      <c r="F29177" t="s">
        <v>4747</v>
      </c>
      <c r="G29177" s="9">
        <v>3768</v>
      </c>
      <c r="H29177" s="8">
        <v>26680</v>
      </c>
    </row>
    <row r="29178" spans="2:8" ht="15" customHeight="1" x14ac:dyDescent="0.4">
      <c r="B29178" t="s">
        <v>7</v>
      </c>
      <c r="C29178" t="s">
        <v>1628</v>
      </c>
      <c r="D29178" s="7">
        <f>DATE(2018,3,21)</f>
        <v>43180</v>
      </c>
      <c r="E29178" s="8">
        <f t="shared" si="496"/>
        <v>2018</v>
      </c>
      <c r="F29178" t="s">
        <v>4747</v>
      </c>
      <c r="G29178" s="9">
        <v>1872</v>
      </c>
      <c r="H29178" s="8">
        <v>26685</v>
      </c>
    </row>
    <row r="29179" spans="2:8" ht="15" customHeight="1" x14ac:dyDescent="0.4">
      <c r="B29179" t="s">
        <v>7</v>
      </c>
      <c r="C29179" t="s">
        <v>1628</v>
      </c>
      <c r="D29179" s="7">
        <f>DATE(2018,4,10)</f>
        <v>43200</v>
      </c>
      <c r="E29179" s="8">
        <f t="shared" si="496"/>
        <v>2018</v>
      </c>
      <c r="F29179" t="s">
        <v>4747</v>
      </c>
      <c r="G29179" s="9">
        <v>2583.79</v>
      </c>
      <c r="H29179" s="8">
        <v>26581</v>
      </c>
    </row>
    <row r="29180" spans="2:8" ht="15" customHeight="1" x14ac:dyDescent="0.4">
      <c r="B29180" t="s">
        <v>7</v>
      </c>
      <c r="C29180" t="s">
        <v>1628</v>
      </c>
      <c r="D29180" s="7">
        <f>DATE(2018,4,10)</f>
        <v>43200</v>
      </c>
      <c r="E29180" s="8">
        <f t="shared" si="496"/>
        <v>2018</v>
      </c>
      <c r="F29180" t="s">
        <v>4747</v>
      </c>
      <c r="G29180" s="9">
        <v>3669.79</v>
      </c>
      <c r="H29180" s="8">
        <v>26612</v>
      </c>
    </row>
    <row r="29181" spans="2:8" ht="15" customHeight="1" x14ac:dyDescent="0.4">
      <c r="B29181" t="s">
        <v>7</v>
      </c>
      <c r="C29181" t="s">
        <v>1628</v>
      </c>
      <c r="D29181" s="7">
        <f>DATE(2018,5,15)</f>
        <v>43235</v>
      </c>
      <c r="E29181" s="8">
        <f t="shared" si="496"/>
        <v>2018</v>
      </c>
      <c r="F29181" t="s">
        <v>4747</v>
      </c>
      <c r="G29181" s="9">
        <v>3768</v>
      </c>
      <c r="H29181" s="8">
        <v>26797</v>
      </c>
    </row>
    <row r="29182" spans="2:8" ht="15" customHeight="1" x14ac:dyDescent="0.4">
      <c r="B29182" t="s">
        <v>7</v>
      </c>
      <c r="C29182" t="s">
        <v>1628</v>
      </c>
      <c r="D29182" s="7">
        <f>DATE(2018,6,22)</f>
        <v>43273</v>
      </c>
      <c r="E29182" s="8">
        <f t="shared" si="496"/>
        <v>2018</v>
      </c>
      <c r="F29182" t="s">
        <v>4747</v>
      </c>
      <c r="G29182" s="9">
        <v>156.24</v>
      </c>
      <c r="H29182" s="8">
        <v>27250</v>
      </c>
    </row>
    <row r="29183" spans="2:8" ht="15" customHeight="1" x14ac:dyDescent="0.4">
      <c r="B29183" t="s">
        <v>7</v>
      </c>
      <c r="C29183" t="s">
        <v>1628</v>
      </c>
      <c r="D29183" s="7">
        <f>DATE(2018,7,10)</f>
        <v>43291</v>
      </c>
      <c r="E29183" s="8">
        <f t="shared" si="496"/>
        <v>2018</v>
      </c>
      <c r="F29183" t="s">
        <v>4747</v>
      </c>
      <c r="G29183" s="9">
        <v>486.75</v>
      </c>
      <c r="H29183" s="8">
        <v>27124</v>
      </c>
    </row>
    <row r="29184" spans="2:8" ht="15" customHeight="1" x14ac:dyDescent="0.4">
      <c r="B29184" t="s">
        <v>7</v>
      </c>
      <c r="C29184" t="s">
        <v>1628</v>
      </c>
      <c r="D29184" s="7">
        <f>DATE(2018,8,1)</f>
        <v>43313</v>
      </c>
      <c r="E29184" s="8">
        <f t="shared" si="496"/>
        <v>2018</v>
      </c>
      <c r="F29184" t="s">
        <v>4747</v>
      </c>
      <c r="G29184" s="9">
        <v>2858.22</v>
      </c>
      <c r="H29184" s="8">
        <v>27248</v>
      </c>
    </row>
    <row r="29185" spans="2:8" ht="15" customHeight="1" x14ac:dyDescent="0.4">
      <c r="B29185" t="s">
        <v>7</v>
      </c>
      <c r="C29185" t="s">
        <v>1628</v>
      </c>
      <c r="D29185" s="7">
        <f>DATE(2018,8,21)</f>
        <v>43333</v>
      </c>
      <c r="E29185" s="8">
        <f t="shared" si="496"/>
        <v>2018</v>
      </c>
      <c r="F29185" t="s">
        <v>4747</v>
      </c>
      <c r="G29185" s="9">
        <v>2344.09</v>
      </c>
      <c r="H29185" s="8">
        <v>27388</v>
      </c>
    </row>
    <row r="29186" spans="2:8" ht="15" customHeight="1" x14ac:dyDescent="0.4">
      <c r="B29186" t="s">
        <v>7</v>
      </c>
      <c r="C29186" t="s">
        <v>1628</v>
      </c>
      <c r="D29186" s="7">
        <f>DATE(2018,8,23)</f>
        <v>43335</v>
      </c>
      <c r="E29186" s="8">
        <f t="shared" si="496"/>
        <v>2018</v>
      </c>
      <c r="F29186" t="s">
        <v>4747</v>
      </c>
      <c r="G29186" s="9">
        <v>3768</v>
      </c>
      <c r="H29186" s="8">
        <v>27531</v>
      </c>
    </row>
    <row r="29187" spans="2:8" ht="15" customHeight="1" x14ac:dyDescent="0.4">
      <c r="B29187" t="s">
        <v>7</v>
      </c>
      <c r="C29187" t="s">
        <v>1628</v>
      </c>
      <c r="D29187" s="7">
        <f>DATE(2018,9,4)</f>
        <v>43347</v>
      </c>
      <c r="E29187" s="8">
        <f t="shared" ref="E29187:E29250" si="497">YEAR(D29187)</f>
        <v>2018</v>
      </c>
      <c r="F29187" t="s">
        <v>4747</v>
      </c>
      <c r="G29187" s="9">
        <v>162.25</v>
      </c>
      <c r="H29187" s="8">
        <v>27478</v>
      </c>
    </row>
    <row r="29188" spans="2:8" ht="15" customHeight="1" x14ac:dyDescent="0.4">
      <c r="B29188" t="s">
        <v>7</v>
      </c>
      <c r="C29188" t="s">
        <v>1628</v>
      </c>
      <c r="D29188" s="7">
        <f>DATE(2018,9,24)</f>
        <v>43367</v>
      </c>
      <c r="E29188" s="8">
        <f t="shared" si="497"/>
        <v>2018</v>
      </c>
      <c r="F29188" t="s">
        <v>4747</v>
      </c>
      <c r="G29188" s="9">
        <v>1135.75</v>
      </c>
      <c r="H29188" s="8">
        <v>27629</v>
      </c>
    </row>
    <row r="29189" spans="2:8" ht="15" customHeight="1" x14ac:dyDescent="0.4">
      <c r="B29189" t="s">
        <v>7</v>
      </c>
      <c r="C29189" t="s">
        <v>1628</v>
      </c>
      <c r="D29189" s="7">
        <f>DATE(2018,10,12)</f>
        <v>43385</v>
      </c>
      <c r="E29189" s="8">
        <f t="shared" si="497"/>
        <v>2018</v>
      </c>
      <c r="F29189" t="s">
        <v>4747</v>
      </c>
      <c r="G29189" s="9">
        <v>624</v>
      </c>
      <c r="H29189" s="8">
        <v>27700</v>
      </c>
    </row>
    <row r="29190" spans="2:8" ht="15" customHeight="1" x14ac:dyDescent="0.4">
      <c r="B29190" t="s">
        <v>7</v>
      </c>
      <c r="C29190" t="s">
        <v>1628</v>
      </c>
      <c r="D29190" s="7">
        <f>DATE(2018,10,12)</f>
        <v>43385</v>
      </c>
      <c r="E29190" s="8">
        <f t="shared" si="497"/>
        <v>2018</v>
      </c>
      <c r="F29190" t="s">
        <v>4747</v>
      </c>
      <c r="G29190" s="9">
        <v>1884</v>
      </c>
      <c r="H29190" s="8">
        <v>27709</v>
      </c>
    </row>
    <row r="29191" spans="2:8" ht="15" customHeight="1" x14ac:dyDescent="0.4">
      <c r="B29191" t="s">
        <v>7</v>
      </c>
      <c r="C29191" t="s">
        <v>1628</v>
      </c>
      <c r="D29191" s="7">
        <f>DATE(2018,10,18)</f>
        <v>43391</v>
      </c>
      <c r="E29191" s="8">
        <f t="shared" si="497"/>
        <v>2018</v>
      </c>
      <c r="F29191" t="s">
        <v>4747</v>
      </c>
      <c r="G29191" s="9">
        <v>626.5</v>
      </c>
      <c r="H29191" s="8">
        <v>27798</v>
      </c>
    </row>
    <row r="29192" spans="2:8" ht="15" customHeight="1" x14ac:dyDescent="0.4">
      <c r="B29192" t="s">
        <v>7</v>
      </c>
      <c r="C29192" t="s">
        <v>1628</v>
      </c>
      <c r="D29192" s="7">
        <f>DATE(2018,10,23)</f>
        <v>43396</v>
      </c>
      <c r="E29192" s="8">
        <f t="shared" si="497"/>
        <v>2018</v>
      </c>
      <c r="F29192" t="s">
        <v>4747</v>
      </c>
      <c r="G29192" s="9">
        <v>9590.6200000000008</v>
      </c>
      <c r="H29192" s="8">
        <v>27723</v>
      </c>
    </row>
    <row r="29193" spans="2:8" ht="15" customHeight="1" x14ac:dyDescent="0.4">
      <c r="B29193" t="s">
        <v>7</v>
      </c>
      <c r="C29193" t="s">
        <v>1628</v>
      </c>
      <c r="D29193" s="7">
        <f>DATE(2018,11,5)</f>
        <v>43409</v>
      </c>
      <c r="E29193" s="8">
        <f t="shared" si="497"/>
        <v>2018</v>
      </c>
      <c r="F29193" t="s">
        <v>4747</v>
      </c>
      <c r="G29193" s="9">
        <v>358.8</v>
      </c>
      <c r="H29193" s="8">
        <v>27933</v>
      </c>
    </row>
    <row r="29194" spans="2:8" ht="15" customHeight="1" x14ac:dyDescent="0.4">
      <c r="B29194" t="s">
        <v>7</v>
      </c>
      <c r="C29194" t="s">
        <v>1628</v>
      </c>
      <c r="D29194" s="7">
        <f>DATE(2018,11,8)</f>
        <v>43412</v>
      </c>
      <c r="E29194" s="8">
        <f t="shared" si="497"/>
        <v>2018</v>
      </c>
      <c r="F29194" t="s">
        <v>4747</v>
      </c>
      <c r="G29194" s="9">
        <v>3258</v>
      </c>
      <c r="H29194" s="8">
        <v>27780</v>
      </c>
    </row>
    <row r="29195" spans="2:8" ht="15" customHeight="1" x14ac:dyDescent="0.4">
      <c r="B29195" t="s">
        <v>7</v>
      </c>
      <c r="C29195" t="s">
        <v>1628</v>
      </c>
      <c r="D29195" s="7">
        <f>DATE(2018,11,8)</f>
        <v>43412</v>
      </c>
      <c r="E29195" s="8">
        <f t="shared" si="497"/>
        <v>2018</v>
      </c>
      <c r="F29195" t="s">
        <v>4747</v>
      </c>
      <c r="G29195" s="9">
        <v>2172</v>
      </c>
      <c r="H29195" s="8">
        <v>27865</v>
      </c>
    </row>
    <row r="29196" spans="2:8" ht="15" customHeight="1" x14ac:dyDescent="0.4">
      <c r="B29196" t="s">
        <v>7</v>
      </c>
      <c r="C29196" t="s">
        <v>1628</v>
      </c>
      <c r="D29196" s="7">
        <f>DATE(2018,11,9)</f>
        <v>43413</v>
      </c>
      <c r="E29196" s="8">
        <f t="shared" si="497"/>
        <v>2018</v>
      </c>
      <c r="F29196" t="s">
        <v>4747</v>
      </c>
      <c r="G29196" s="9">
        <v>324.5</v>
      </c>
      <c r="H29196" s="8">
        <v>27936</v>
      </c>
    </row>
    <row r="29197" spans="2:8" ht="15" customHeight="1" x14ac:dyDescent="0.4">
      <c r="B29197" t="s">
        <v>7</v>
      </c>
      <c r="C29197" t="s">
        <v>1628</v>
      </c>
      <c r="D29197" s="7">
        <f>DATE(2018,11,19)</f>
        <v>43423</v>
      </c>
      <c r="E29197" s="8">
        <f t="shared" si="497"/>
        <v>2018</v>
      </c>
      <c r="F29197" t="s">
        <v>4747</v>
      </c>
      <c r="G29197" s="9">
        <v>805.29</v>
      </c>
      <c r="H29197" s="8">
        <v>27972</v>
      </c>
    </row>
    <row r="29198" spans="2:8" ht="15" customHeight="1" x14ac:dyDescent="0.4">
      <c r="B29198" t="s">
        <v>7</v>
      </c>
      <c r="C29198" t="s">
        <v>1628</v>
      </c>
      <c r="D29198" s="7">
        <f>DATE(2018,11,21)</f>
        <v>43425</v>
      </c>
      <c r="E29198" s="8">
        <f t="shared" si="497"/>
        <v>2018</v>
      </c>
      <c r="F29198" t="s">
        <v>4747</v>
      </c>
      <c r="G29198" s="9">
        <v>590.4</v>
      </c>
      <c r="H29198" s="8">
        <v>28008</v>
      </c>
    </row>
    <row r="29199" spans="2:8" ht="15" customHeight="1" x14ac:dyDescent="0.4">
      <c r="B29199" t="s">
        <v>7</v>
      </c>
      <c r="C29199" t="s">
        <v>1628</v>
      </c>
      <c r="D29199" s="7">
        <f>DATE(2018,11,27)</f>
        <v>43431</v>
      </c>
      <c r="E29199" s="8">
        <f t="shared" si="497"/>
        <v>2018</v>
      </c>
      <c r="F29199" t="s">
        <v>4747</v>
      </c>
      <c r="G29199" s="9">
        <v>44186.239999999998</v>
      </c>
      <c r="H29199" s="8">
        <v>28006</v>
      </c>
    </row>
    <row r="29200" spans="2:8" ht="15" customHeight="1" x14ac:dyDescent="0.4">
      <c r="B29200" t="s">
        <v>7</v>
      </c>
      <c r="C29200" t="s">
        <v>1628</v>
      </c>
      <c r="D29200" s="7">
        <f>DATE(2018,12,24)</f>
        <v>43458</v>
      </c>
      <c r="E29200" s="8">
        <f t="shared" si="497"/>
        <v>2018</v>
      </c>
      <c r="F29200" t="s">
        <v>4747</v>
      </c>
      <c r="G29200" s="9">
        <v>4840.95</v>
      </c>
      <c r="H29200" s="8">
        <v>28060</v>
      </c>
    </row>
    <row r="29201" spans="2:8" ht="15" customHeight="1" x14ac:dyDescent="0.4">
      <c r="B29201" t="s">
        <v>7</v>
      </c>
      <c r="C29201" t="s">
        <v>1628</v>
      </c>
      <c r="D29201" s="7">
        <f>DATE(2019,1,16)</f>
        <v>43481</v>
      </c>
      <c r="E29201" s="8">
        <f t="shared" si="497"/>
        <v>2019</v>
      </c>
      <c r="F29201" t="s">
        <v>4747</v>
      </c>
      <c r="G29201" s="9">
        <v>2751.99</v>
      </c>
      <c r="H29201" s="8">
        <v>28137</v>
      </c>
    </row>
    <row r="29202" spans="2:8" ht="15" customHeight="1" x14ac:dyDescent="0.4">
      <c r="B29202" t="s">
        <v>7</v>
      </c>
      <c r="C29202" t="s">
        <v>1628</v>
      </c>
      <c r="D29202" s="7">
        <f>DATE(2019,1,16)</f>
        <v>43481</v>
      </c>
      <c r="E29202" s="8">
        <f t="shared" si="497"/>
        <v>2019</v>
      </c>
      <c r="F29202" t="s">
        <v>4747</v>
      </c>
      <c r="G29202" s="9">
        <v>17.899999999999999</v>
      </c>
      <c r="H29202" s="8">
        <v>28143</v>
      </c>
    </row>
    <row r="29203" spans="2:8" ht="15" customHeight="1" x14ac:dyDescent="0.4">
      <c r="B29203" t="s">
        <v>7</v>
      </c>
      <c r="C29203" t="s">
        <v>1628</v>
      </c>
      <c r="D29203" s="7">
        <f>DATE(2019,1,22)</f>
        <v>43487</v>
      </c>
      <c r="E29203" s="8">
        <f t="shared" si="497"/>
        <v>2019</v>
      </c>
      <c r="F29203" t="s">
        <v>4747</v>
      </c>
      <c r="G29203" s="9">
        <v>626.5</v>
      </c>
      <c r="H29203" s="8">
        <v>28265</v>
      </c>
    </row>
    <row r="29204" spans="2:8" ht="15" customHeight="1" x14ac:dyDescent="0.4">
      <c r="B29204" t="s">
        <v>7</v>
      </c>
      <c r="C29204" t="s">
        <v>1628</v>
      </c>
      <c r="D29204" s="7">
        <f>DATE(2019,2,6)</f>
        <v>43502</v>
      </c>
      <c r="E29204" s="8">
        <f t="shared" si="497"/>
        <v>2019</v>
      </c>
      <c r="F29204" t="s">
        <v>4747</v>
      </c>
      <c r="G29204" s="9">
        <v>16956</v>
      </c>
      <c r="H29204" s="8">
        <v>28341</v>
      </c>
    </row>
    <row r="29205" spans="2:8" ht="15" customHeight="1" x14ac:dyDescent="0.4">
      <c r="B29205" t="s">
        <v>7</v>
      </c>
      <c r="C29205" t="s">
        <v>1628</v>
      </c>
      <c r="D29205" s="7">
        <f>DATE(2019,2,12)</f>
        <v>43508</v>
      </c>
      <c r="E29205" s="8">
        <f t="shared" si="497"/>
        <v>2019</v>
      </c>
      <c r="F29205" t="s">
        <v>4747</v>
      </c>
      <c r="G29205" s="9">
        <v>284.05</v>
      </c>
      <c r="H29205" s="8">
        <v>28271</v>
      </c>
    </row>
    <row r="29206" spans="2:8" ht="15" customHeight="1" x14ac:dyDescent="0.4">
      <c r="B29206" t="s">
        <v>7</v>
      </c>
      <c r="C29206" t="s">
        <v>1628</v>
      </c>
      <c r="D29206" s="7">
        <f>DATE(2019,2,18)</f>
        <v>43514</v>
      </c>
      <c r="E29206" s="8">
        <f t="shared" si="497"/>
        <v>2019</v>
      </c>
      <c r="F29206" t="s">
        <v>4747</v>
      </c>
      <c r="G29206" s="9">
        <v>2596</v>
      </c>
      <c r="H29206" s="8">
        <v>28402</v>
      </c>
    </row>
    <row r="29207" spans="2:8" ht="15" customHeight="1" x14ac:dyDescent="0.4">
      <c r="B29207" t="s">
        <v>7</v>
      </c>
      <c r="C29207" t="s">
        <v>1628</v>
      </c>
      <c r="D29207" s="7">
        <f>DATE(2019,2,21)</f>
        <v>43517</v>
      </c>
      <c r="E29207" s="8">
        <f t="shared" si="497"/>
        <v>2019</v>
      </c>
      <c r="F29207" t="s">
        <v>4747</v>
      </c>
      <c r="G29207" s="9">
        <v>236.52</v>
      </c>
      <c r="H29207" s="8">
        <v>28342</v>
      </c>
    </row>
    <row r="29208" spans="2:8" ht="15" customHeight="1" x14ac:dyDescent="0.4">
      <c r="B29208" t="s">
        <v>7</v>
      </c>
      <c r="C29208" t="s">
        <v>1628</v>
      </c>
      <c r="D29208" s="7">
        <f>DATE(2019,3,4)</f>
        <v>43528</v>
      </c>
      <c r="E29208" s="8">
        <f t="shared" si="497"/>
        <v>2019</v>
      </c>
      <c r="F29208" t="s">
        <v>4747</v>
      </c>
      <c r="G29208" s="9">
        <v>14030.5</v>
      </c>
      <c r="H29208" s="8">
        <v>28409</v>
      </c>
    </row>
    <row r="29209" spans="2:8" ht="15" customHeight="1" x14ac:dyDescent="0.4">
      <c r="B29209" t="s">
        <v>7</v>
      </c>
      <c r="C29209" t="s">
        <v>1628</v>
      </c>
      <c r="D29209" s="7">
        <f>DATE(2019,3,14)</f>
        <v>43538</v>
      </c>
      <c r="E29209" s="8">
        <f t="shared" si="497"/>
        <v>2019</v>
      </c>
      <c r="F29209" t="s">
        <v>4747</v>
      </c>
      <c r="G29209" s="9">
        <v>269.10000000000002</v>
      </c>
      <c r="H29209" s="8">
        <v>28609</v>
      </c>
    </row>
    <row r="29210" spans="2:8" ht="15" customHeight="1" x14ac:dyDescent="0.4">
      <c r="B29210" t="s">
        <v>7</v>
      </c>
      <c r="C29210" t="s">
        <v>1628</v>
      </c>
      <c r="D29210" s="7">
        <f>DATE(2019,4,15)</f>
        <v>43570</v>
      </c>
      <c r="E29210" s="8">
        <f t="shared" si="497"/>
        <v>2019</v>
      </c>
      <c r="F29210" t="s">
        <v>4747</v>
      </c>
      <c r="G29210" s="9">
        <v>3030.86</v>
      </c>
      <c r="H29210" s="8">
        <v>28764</v>
      </c>
    </row>
    <row r="29211" spans="2:8" ht="15" customHeight="1" x14ac:dyDescent="0.4">
      <c r="B29211" t="s">
        <v>7</v>
      </c>
      <c r="C29211" t="s">
        <v>1628</v>
      </c>
      <c r="D29211" s="7">
        <f>DATE(2019,4,16)</f>
        <v>43571</v>
      </c>
      <c r="E29211" s="8">
        <f t="shared" si="497"/>
        <v>2019</v>
      </c>
      <c r="F29211" t="s">
        <v>4747</v>
      </c>
      <c r="G29211" s="9">
        <v>162.25</v>
      </c>
      <c r="H29211" s="8">
        <v>28822</v>
      </c>
    </row>
    <row r="29212" spans="2:8" ht="15" customHeight="1" x14ac:dyDescent="0.4">
      <c r="B29212" t="s">
        <v>7</v>
      </c>
      <c r="C29212" t="s">
        <v>1628</v>
      </c>
      <c r="D29212" s="7">
        <f>DATE(2019,5,8)</f>
        <v>43593</v>
      </c>
      <c r="E29212" s="8">
        <f t="shared" si="497"/>
        <v>2019</v>
      </c>
      <c r="F29212" t="s">
        <v>4747</v>
      </c>
      <c r="G29212" s="9">
        <v>2943.75</v>
      </c>
      <c r="H29212" s="8">
        <v>28959</v>
      </c>
    </row>
    <row r="29213" spans="2:8" ht="15" customHeight="1" x14ac:dyDescent="0.4">
      <c r="B29213" t="s">
        <v>7</v>
      </c>
      <c r="C29213" t="s">
        <v>1628</v>
      </c>
      <c r="D29213" s="7">
        <f>DATE(2019,5,8)</f>
        <v>43593</v>
      </c>
      <c r="E29213" s="8">
        <f t="shared" si="497"/>
        <v>2019</v>
      </c>
      <c r="F29213" t="s">
        <v>4747</v>
      </c>
      <c r="G29213" s="9">
        <v>6114.79</v>
      </c>
      <c r="H29213" s="8">
        <v>28958</v>
      </c>
    </row>
    <row r="29214" spans="2:8" ht="15" customHeight="1" x14ac:dyDescent="0.4">
      <c r="B29214" t="s">
        <v>16</v>
      </c>
      <c r="C29214" t="s">
        <v>1628</v>
      </c>
      <c r="D29214" s="7">
        <f>DATE(2017,11,20)</f>
        <v>43059</v>
      </c>
      <c r="E29214" s="8">
        <f t="shared" si="497"/>
        <v>2017</v>
      </c>
      <c r="F29214" t="s">
        <v>4747</v>
      </c>
      <c r="G29214" s="9">
        <v>356.57</v>
      </c>
      <c r="H29214" s="8">
        <v>25938</v>
      </c>
    </row>
    <row r="29215" spans="2:8" ht="15" customHeight="1" x14ac:dyDescent="0.4">
      <c r="B29215" t="s">
        <v>7</v>
      </c>
      <c r="C29215" t="s">
        <v>4748</v>
      </c>
      <c r="D29215" s="7">
        <f>DATE(2010,3,19)</f>
        <v>40256</v>
      </c>
      <c r="E29215" s="8">
        <f t="shared" si="497"/>
        <v>2010</v>
      </c>
      <c r="F29215" t="s">
        <v>4749</v>
      </c>
      <c r="G29215" s="9">
        <v>550</v>
      </c>
      <c r="H29215" s="8">
        <v>9663</v>
      </c>
    </row>
    <row r="29216" spans="2:8" ht="15" customHeight="1" x14ac:dyDescent="0.4">
      <c r="B29216" t="s">
        <v>7</v>
      </c>
      <c r="C29216" t="s">
        <v>4748</v>
      </c>
      <c r="D29216" s="7">
        <f>DATE(2009,6,10)</f>
        <v>39974</v>
      </c>
      <c r="E29216" s="8">
        <f t="shared" si="497"/>
        <v>2009</v>
      </c>
      <c r="F29216" t="s">
        <v>4749</v>
      </c>
      <c r="G29216" s="9">
        <v>52497.36</v>
      </c>
      <c r="H29216" s="8">
        <v>8785</v>
      </c>
    </row>
    <row r="29217" spans="2:8" ht="15" customHeight="1" x14ac:dyDescent="0.4">
      <c r="B29217" t="s">
        <v>7</v>
      </c>
      <c r="C29217" t="s">
        <v>4748</v>
      </c>
      <c r="D29217" s="7">
        <f>DATE(2010,3,26)</f>
        <v>40263</v>
      </c>
      <c r="E29217" s="8">
        <f t="shared" si="497"/>
        <v>2010</v>
      </c>
      <c r="F29217" t="s">
        <v>4749</v>
      </c>
      <c r="G29217" s="9">
        <v>55208.55</v>
      </c>
      <c r="H29217" s="8">
        <v>9558</v>
      </c>
    </row>
    <row r="29218" spans="2:8" ht="15" customHeight="1" x14ac:dyDescent="0.4">
      <c r="B29218" t="s">
        <v>7</v>
      </c>
      <c r="C29218" t="s">
        <v>4748</v>
      </c>
      <c r="D29218" s="7">
        <f>DATE(2011,4,21)</f>
        <v>40654</v>
      </c>
      <c r="E29218" s="8">
        <f t="shared" si="497"/>
        <v>2011</v>
      </c>
      <c r="F29218" t="s">
        <v>4749</v>
      </c>
      <c r="G29218" s="9">
        <v>25981.08</v>
      </c>
      <c r="H29218" s="8">
        <v>10635</v>
      </c>
    </row>
    <row r="29219" spans="2:8" ht="15" customHeight="1" x14ac:dyDescent="0.4">
      <c r="B29219" t="s">
        <v>7</v>
      </c>
      <c r="C29219" t="s">
        <v>4748</v>
      </c>
      <c r="D29219" s="7">
        <f>DATE(2012,4,24)</f>
        <v>41023</v>
      </c>
      <c r="E29219" s="8">
        <f t="shared" si="497"/>
        <v>2012</v>
      </c>
      <c r="F29219" t="s">
        <v>4749</v>
      </c>
      <c r="G29219" s="9">
        <v>27600.86</v>
      </c>
      <c r="H29219" s="8">
        <v>11474</v>
      </c>
    </row>
    <row r="29220" spans="2:8" ht="15" customHeight="1" x14ac:dyDescent="0.4">
      <c r="B29220" t="s">
        <v>7</v>
      </c>
      <c r="C29220" t="s">
        <v>4748</v>
      </c>
      <c r="D29220" s="7">
        <f>DATE(2012,6,15)</f>
        <v>41075</v>
      </c>
      <c r="E29220" s="8">
        <f t="shared" si="497"/>
        <v>2012</v>
      </c>
      <c r="F29220" t="s">
        <v>4749</v>
      </c>
      <c r="G29220" s="9">
        <v>29356.799999999999</v>
      </c>
      <c r="H29220" s="8">
        <v>11695</v>
      </c>
    </row>
    <row r="29221" spans="2:8" ht="15" customHeight="1" x14ac:dyDescent="0.4">
      <c r="B29221" t="s">
        <v>7</v>
      </c>
      <c r="C29221" t="s">
        <v>4748</v>
      </c>
      <c r="D29221" s="7">
        <f>DATE(2013,9,24)</f>
        <v>41541</v>
      </c>
      <c r="E29221" s="8">
        <f t="shared" si="497"/>
        <v>2013</v>
      </c>
      <c r="F29221" t="s">
        <v>4749</v>
      </c>
      <c r="G29221" s="9">
        <v>38126</v>
      </c>
      <c r="H29221" s="8">
        <v>12674</v>
      </c>
    </row>
    <row r="29222" spans="2:8" ht="15" customHeight="1" x14ac:dyDescent="0.4">
      <c r="B29222" t="s">
        <v>7</v>
      </c>
      <c r="C29222" t="s">
        <v>4748</v>
      </c>
      <c r="D29222" s="7">
        <f>DATE(2014,5,8)</f>
        <v>41767</v>
      </c>
      <c r="E29222" s="8">
        <f t="shared" si="497"/>
        <v>2014</v>
      </c>
      <c r="F29222" t="s">
        <v>4749</v>
      </c>
      <c r="G29222" s="9">
        <v>24283.68</v>
      </c>
      <c r="H29222" s="8">
        <v>13022</v>
      </c>
    </row>
    <row r="29223" spans="2:8" ht="15" customHeight="1" x14ac:dyDescent="0.4">
      <c r="B29223" t="s">
        <v>7</v>
      </c>
      <c r="C29223" t="s">
        <v>4748</v>
      </c>
      <c r="D29223" s="7">
        <f>DATE(2014,5,28)</f>
        <v>41787</v>
      </c>
      <c r="E29223" s="8">
        <f t="shared" si="497"/>
        <v>2014</v>
      </c>
      <c r="F29223" t="s">
        <v>4749</v>
      </c>
      <c r="G29223" s="9">
        <v>39976</v>
      </c>
      <c r="H29223" s="8">
        <v>13150</v>
      </c>
    </row>
    <row r="29224" spans="2:8" ht="15" customHeight="1" x14ac:dyDescent="0.4">
      <c r="B29224" t="s">
        <v>7</v>
      </c>
      <c r="C29224" t="s">
        <v>4748</v>
      </c>
      <c r="D29224" s="7">
        <f>DATE(2011,5,4)</f>
        <v>40667</v>
      </c>
      <c r="E29224" s="8">
        <f t="shared" si="497"/>
        <v>2011</v>
      </c>
      <c r="F29224" t="s">
        <v>4749</v>
      </c>
      <c r="G29224" s="9">
        <v>3234.03</v>
      </c>
      <c r="H29224" s="8">
        <v>10701</v>
      </c>
    </row>
    <row r="29225" spans="2:8" ht="15" customHeight="1" x14ac:dyDescent="0.4">
      <c r="B29225" t="s">
        <v>7</v>
      </c>
      <c r="C29225" t="s">
        <v>4750</v>
      </c>
      <c r="D29225" s="7">
        <f>DATE(2015,11,24)</f>
        <v>42332</v>
      </c>
      <c r="E29225" s="8">
        <f t="shared" si="497"/>
        <v>2015</v>
      </c>
      <c r="F29225" t="s">
        <v>4751</v>
      </c>
      <c r="G29225" s="9">
        <v>4181.7299999999996</v>
      </c>
      <c r="H29225" s="8">
        <v>21687</v>
      </c>
    </row>
    <row r="29226" spans="2:8" ht="15" customHeight="1" x14ac:dyDescent="0.4">
      <c r="B29226" t="s">
        <v>7</v>
      </c>
      <c r="C29226" t="s">
        <v>71</v>
      </c>
      <c r="D29226" s="7">
        <f>DATE(2015,5,7)</f>
        <v>42131</v>
      </c>
      <c r="E29226" s="8">
        <f t="shared" si="497"/>
        <v>2015</v>
      </c>
      <c r="F29226" t="s">
        <v>4752</v>
      </c>
      <c r="G29226" s="9">
        <v>12844.69</v>
      </c>
      <c r="H29226" s="8">
        <v>20443</v>
      </c>
    </row>
    <row r="29227" spans="2:8" ht="15" customHeight="1" x14ac:dyDescent="0.4">
      <c r="B29227" t="s">
        <v>7</v>
      </c>
      <c r="C29227" t="s">
        <v>71</v>
      </c>
      <c r="D29227" s="7">
        <f>DATE(2015,5,14)</f>
        <v>42138</v>
      </c>
      <c r="E29227" s="8">
        <f t="shared" si="497"/>
        <v>2015</v>
      </c>
      <c r="F29227" t="s">
        <v>4752</v>
      </c>
      <c r="G29227" s="9">
        <v>12127.96</v>
      </c>
      <c r="H29227" s="8">
        <v>20643</v>
      </c>
    </row>
    <row r="29228" spans="2:8" ht="15" customHeight="1" x14ac:dyDescent="0.4">
      <c r="B29228" t="s">
        <v>7</v>
      </c>
      <c r="C29228" t="s">
        <v>71</v>
      </c>
      <c r="D29228" s="7">
        <f>DATE(2017,5,12)</f>
        <v>42867</v>
      </c>
      <c r="E29228" s="8">
        <f t="shared" si="497"/>
        <v>2017</v>
      </c>
      <c r="F29228" t="s">
        <v>4752</v>
      </c>
      <c r="G29228" s="9">
        <v>12652</v>
      </c>
      <c r="H29228" s="8">
        <v>24593</v>
      </c>
    </row>
    <row r="29229" spans="2:8" ht="15" customHeight="1" x14ac:dyDescent="0.4">
      <c r="B29229" t="s">
        <v>7</v>
      </c>
      <c r="C29229" t="s">
        <v>71</v>
      </c>
      <c r="D29229" s="7">
        <f>DATE(2018,5,17)</f>
        <v>43237</v>
      </c>
      <c r="E29229" s="8">
        <f t="shared" si="497"/>
        <v>2018</v>
      </c>
      <c r="F29229" t="s">
        <v>4752</v>
      </c>
      <c r="G29229" s="9">
        <v>21139.86</v>
      </c>
      <c r="H29229" s="8">
        <v>26689</v>
      </c>
    </row>
    <row r="29230" spans="2:8" ht="15" customHeight="1" x14ac:dyDescent="0.4">
      <c r="B29230" t="s">
        <v>7</v>
      </c>
      <c r="C29230" t="s">
        <v>71</v>
      </c>
      <c r="D29230" s="7">
        <f>DATE(2018,10,11)</f>
        <v>43384</v>
      </c>
      <c r="E29230" s="8">
        <f t="shared" si="497"/>
        <v>2018</v>
      </c>
      <c r="F29230" t="s">
        <v>4752</v>
      </c>
      <c r="G29230" s="9">
        <v>12635.59</v>
      </c>
      <c r="H29230" s="8">
        <v>27594</v>
      </c>
    </row>
    <row r="29231" spans="2:8" ht="15" customHeight="1" x14ac:dyDescent="0.4">
      <c r="B29231" t="s">
        <v>7</v>
      </c>
      <c r="C29231" t="s">
        <v>71</v>
      </c>
      <c r="D29231" s="7">
        <f>DATE(2019,5,2)</f>
        <v>43587</v>
      </c>
      <c r="E29231" s="8">
        <f t="shared" si="497"/>
        <v>2019</v>
      </c>
      <c r="F29231" t="s">
        <v>4752</v>
      </c>
      <c r="G29231" s="9">
        <v>13073</v>
      </c>
      <c r="H29231" s="8">
        <v>28455</v>
      </c>
    </row>
    <row r="29232" spans="2:8" ht="15" customHeight="1" x14ac:dyDescent="0.4">
      <c r="B29232" t="s">
        <v>7</v>
      </c>
      <c r="C29232" t="s">
        <v>71</v>
      </c>
      <c r="D29232" s="7">
        <f>DATE(2018,8,22)</f>
        <v>43334</v>
      </c>
      <c r="E29232" s="8">
        <f t="shared" si="497"/>
        <v>2018</v>
      </c>
      <c r="F29232" t="s">
        <v>4752</v>
      </c>
      <c r="G29232" s="9">
        <v>3937.96</v>
      </c>
      <c r="H29232" s="8">
        <v>27451</v>
      </c>
    </row>
    <row r="29233" spans="2:8" ht="15" customHeight="1" x14ac:dyDescent="0.4">
      <c r="B29233" t="s">
        <v>16</v>
      </c>
      <c r="C29233" t="s">
        <v>71</v>
      </c>
      <c r="D29233" s="7">
        <f>DATE(2015,5,1)</f>
        <v>42125</v>
      </c>
      <c r="E29233" s="8">
        <f t="shared" si="497"/>
        <v>2015</v>
      </c>
      <c r="F29233" t="s">
        <v>4752</v>
      </c>
      <c r="G29233" s="9">
        <v>12844.69</v>
      </c>
      <c r="H29233" s="8">
        <v>20642</v>
      </c>
    </row>
    <row r="29234" spans="2:8" ht="15" customHeight="1" x14ac:dyDescent="0.4">
      <c r="B29234" t="s">
        <v>7</v>
      </c>
      <c r="C29234" t="s">
        <v>71</v>
      </c>
      <c r="D29234" s="7">
        <f>DATE(2013,5,10)</f>
        <v>41404</v>
      </c>
      <c r="E29234" s="8">
        <f t="shared" si="497"/>
        <v>2013</v>
      </c>
      <c r="F29234" t="s">
        <v>4752</v>
      </c>
      <c r="G29234" s="9">
        <v>11996.4</v>
      </c>
      <c r="H29234" s="8">
        <v>12453</v>
      </c>
    </row>
    <row r="29235" spans="2:8" ht="15" customHeight="1" x14ac:dyDescent="0.4">
      <c r="B29235" t="s">
        <v>7</v>
      </c>
      <c r="C29235" t="s">
        <v>71</v>
      </c>
      <c r="D29235" s="7">
        <f>DATE(2008,3,26)</f>
        <v>39533</v>
      </c>
      <c r="E29235" s="8">
        <f t="shared" si="497"/>
        <v>2008</v>
      </c>
      <c r="F29235" t="s">
        <v>4753</v>
      </c>
      <c r="G29235" s="9">
        <v>11604.66</v>
      </c>
      <c r="H29235" s="8">
        <v>7193</v>
      </c>
    </row>
    <row r="29236" spans="2:8" ht="15" customHeight="1" x14ac:dyDescent="0.4">
      <c r="B29236" t="s">
        <v>7</v>
      </c>
      <c r="C29236" t="s">
        <v>71</v>
      </c>
      <c r="D29236" s="7">
        <f>DATE(2008,3,30)</f>
        <v>39537</v>
      </c>
      <c r="E29236" s="8">
        <f t="shared" si="497"/>
        <v>2008</v>
      </c>
      <c r="F29236" t="s">
        <v>4753</v>
      </c>
      <c r="G29236" s="9">
        <v>7200</v>
      </c>
      <c r="H29236" s="8">
        <v>7217</v>
      </c>
    </row>
    <row r="29237" spans="2:8" ht="15" customHeight="1" x14ac:dyDescent="0.4">
      <c r="B29237" s="3" t="s">
        <v>7</v>
      </c>
      <c r="C29237" s="3" t="s">
        <v>4754</v>
      </c>
      <c r="D29237" s="4">
        <f>DATE(2004,9,27)</f>
        <v>38257</v>
      </c>
      <c r="E29237" s="5">
        <f t="shared" si="497"/>
        <v>2004</v>
      </c>
      <c r="F29237" s="3" t="s">
        <v>4755</v>
      </c>
      <c r="G29237" s="6">
        <v>310.31</v>
      </c>
      <c r="H29237" s="5">
        <v>3419</v>
      </c>
    </row>
    <row r="29238" spans="2:8" ht="15" customHeight="1" x14ac:dyDescent="0.4">
      <c r="B29238" s="3" t="s">
        <v>7</v>
      </c>
      <c r="C29238" s="3" t="s">
        <v>4754</v>
      </c>
      <c r="D29238" s="4">
        <f>DATE(2004,9,27)</f>
        <v>38257</v>
      </c>
      <c r="E29238" s="5">
        <f t="shared" si="497"/>
        <v>2004</v>
      </c>
      <c r="F29238" s="3" t="s">
        <v>4755</v>
      </c>
      <c r="G29238" s="6">
        <v>1175.6199999999999</v>
      </c>
      <c r="H29238" s="5">
        <v>3467</v>
      </c>
    </row>
    <row r="29239" spans="2:8" ht="15" customHeight="1" x14ac:dyDescent="0.4">
      <c r="B29239" s="3" t="s">
        <v>7</v>
      </c>
      <c r="C29239" s="3" t="s">
        <v>4754</v>
      </c>
      <c r="D29239" s="4">
        <f>DATE(2005,11,1)</f>
        <v>38657</v>
      </c>
      <c r="E29239" s="5">
        <f t="shared" si="497"/>
        <v>2005</v>
      </c>
      <c r="F29239" s="3" t="s">
        <v>4755</v>
      </c>
      <c r="G29239" s="6">
        <v>693.75</v>
      </c>
      <c r="H29239" s="5">
        <v>5501</v>
      </c>
    </row>
    <row r="29240" spans="2:8" ht="15" customHeight="1" x14ac:dyDescent="0.4">
      <c r="B29240" s="3" t="s">
        <v>7</v>
      </c>
      <c r="C29240" s="3" t="s">
        <v>4754</v>
      </c>
      <c r="D29240" s="4">
        <f>DATE(2006,1,24)</f>
        <v>38741</v>
      </c>
      <c r="E29240" s="5">
        <f t="shared" si="497"/>
        <v>2006</v>
      </c>
      <c r="F29240" s="3" t="s">
        <v>4755</v>
      </c>
      <c r="G29240" s="6">
        <v>1133.44</v>
      </c>
      <c r="H29240" s="5">
        <v>5858</v>
      </c>
    </row>
    <row r="29241" spans="2:8" ht="15" customHeight="1" x14ac:dyDescent="0.4">
      <c r="B29241" s="3" t="s">
        <v>7</v>
      </c>
      <c r="C29241" s="3" t="s">
        <v>4754</v>
      </c>
      <c r="D29241" s="4">
        <f>DATE(2006,2,15)</f>
        <v>38763</v>
      </c>
      <c r="E29241" s="5">
        <f t="shared" si="497"/>
        <v>2006</v>
      </c>
      <c r="F29241" s="3" t="s">
        <v>4755</v>
      </c>
      <c r="G29241" s="6">
        <v>1123.06</v>
      </c>
      <c r="H29241" s="5">
        <v>6046</v>
      </c>
    </row>
    <row r="29242" spans="2:8" ht="15" customHeight="1" x14ac:dyDescent="0.4">
      <c r="B29242" s="3" t="s">
        <v>7</v>
      </c>
      <c r="C29242" s="3" t="s">
        <v>4754</v>
      </c>
      <c r="D29242" s="4">
        <f>DATE(2006,2,27)</f>
        <v>38775</v>
      </c>
      <c r="E29242" s="5">
        <f t="shared" si="497"/>
        <v>2006</v>
      </c>
      <c r="F29242" s="3" t="s">
        <v>4755</v>
      </c>
      <c r="G29242" s="6">
        <v>2800</v>
      </c>
      <c r="H29242" s="5">
        <v>5852</v>
      </c>
    </row>
    <row r="29243" spans="2:8" ht="15" customHeight="1" x14ac:dyDescent="0.4">
      <c r="B29243" s="3" t="s">
        <v>7</v>
      </c>
      <c r="C29243" s="3" t="s">
        <v>4754</v>
      </c>
      <c r="D29243" s="4">
        <f>DATE(2006,6,9)</f>
        <v>38877</v>
      </c>
      <c r="E29243" s="5">
        <f t="shared" si="497"/>
        <v>2006</v>
      </c>
      <c r="F29243" s="3" t="s">
        <v>4755</v>
      </c>
      <c r="G29243" s="6">
        <v>668.42</v>
      </c>
      <c r="H29243" s="5">
        <v>6840</v>
      </c>
    </row>
    <row r="29244" spans="2:8" ht="15" customHeight="1" x14ac:dyDescent="0.4">
      <c r="B29244" s="3" t="s">
        <v>7</v>
      </c>
      <c r="C29244" s="3" t="s">
        <v>4754</v>
      </c>
      <c r="D29244" s="4">
        <f>DATE(2006,6,22)</f>
        <v>38890</v>
      </c>
      <c r="E29244" s="5">
        <f t="shared" si="497"/>
        <v>2006</v>
      </c>
      <c r="F29244" s="3" t="s">
        <v>4755</v>
      </c>
      <c r="G29244" s="6">
        <v>1000</v>
      </c>
      <c r="H29244" s="5">
        <v>6873</v>
      </c>
    </row>
    <row r="29245" spans="2:8" ht="15" customHeight="1" x14ac:dyDescent="0.4">
      <c r="B29245" s="3" t="s">
        <v>7</v>
      </c>
      <c r="C29245" s="3" t="s">
        <v>4754</v>
      </c>
      <c r="D29245" s="4">
        <f>DATE(2006,7,21)</f>
        <v>38919</v>
      </c>
      <c r="E29245" s="5">
        <f t="shared" si="497"/>
        <v>2006</v>
      </c>
      <c r="F29245" s="3" t="s">
        <v>4755</v>
      </c>
      <c r="G29245" s="6">
        <v>575</v>
      </c>
      <c r="H29245" s="5">
        <v>6974</v>
      </c>
    </row>
    <row r="29246" spans="2:8" ht="15" customHeight="1" x14ac:dyDescent="0.4">
      <c r="B29246" s="3" t="s">
        <v>7</v>
      </c>
      <c r="C29246" s="3" t="s">
        <v>4754</v>
      </c>
      <c r="D29246" s="4">
        <f>DATE(2006,9,14)</f>
        <v>38974</v>
      </c>
      <c r="E29246" s="5">
        <f t="shared" si="497"/>
        <v>2006</v>
      </c>
      <c r="F29246" s="3" t="s">
        <v>4755</v>
      </c>
      <c r="G29246" s="6">
        <v>150</v>
      </c>
      <c r="H29246" s="5">
        <v>7235</v>
      </c>
    </row>
    <row r="29247" spans="2:8" ht="15" customHeight="1" x14ac:dyDescent="0.4">
      <c r="B29247" s="3" t="s">
        <v>7</v>
      </c>
      <c r="C29247" s="3" t="s">
        <v>4754</v>
      </c>
      <c r="D29247" s="4">
        <f>DATE(2006,12,21)</f>
        <v>39072</v>
      </c>
      <c r="E29247" s="5">
        <f t="shared" si="497"/>
        <v>2006</v>
      </c>
      <c r="F29247" s="3" t="s">
        <v>4755</v>
      </c>
      <c r="G29247" s="6">
        <v>1650</v>
      </c>
      <c r="H29247" s="5">
        <v>7669</v>
      </c>
    </row>
    <row r="29248" spans="2:8" ht="15" customHeight="1" x14ac:dyDescent="0.4">
      <c r="B29248" s="3" t="s">
        <v>7</v>
      </c>
      <c r="C29248" s="3" t="s">
        <v>4754</v>
      </c>
      <c r="D29248" s="4">
        <f>DATE(2007,9,28)</f>
        <v>39353</v>
      </c>
      <c r="E29248" s="5">
        <f t="shared" si="497"/>
        <v>2007</v>
      </c>
      <c r="F29248" s="3" t="s">
        <v>4755</v>
      </c>
      <c r="G29248" s="6">
        <v>725</v>
      </c>
      <c r="H29248" s="5">
        <v>9249</v>
      </c>
    </row>
    <row r="29249" spans="2:8" ht="15" customHeight="1" x14ac:dyDescent="0.4">
      <c r="B29249" s="3" t="s">
        <v>7</v>
      </c>
      <c r="C29249" s="3" t="s">
        <v>4754</v>
      </c>
      <c r="D29249" s="4">
        <f>DATE(2007,9,28)</f>
        <v>39353</v>
      </c>
      <c r="E29249" s="5">
        <f t="shared" si="497"/>
        <v>2007</v>
      </c>
      <c r="F29249" s="3" t="s">
        <v>4755</v>
      </c>
      <c r="G29249" s="6">
        <v>479.08</v>
      </c>
      <c r="H29249" s="5">
        <v>9338</v>
      </c>
    </row>
    <row r="29250" spans="2:8" ht="15" customHeight="1" x14ac:dyDescent="0.4">
      <c r="B29250" s="3" t="s">
        <v>7</v>
      </c>
      <c r="C29250" s="3" t="s">
        <v>4754</v>
      </c>
      <c r="D29250" s="4">
        <f>DATE(2008,6,12)</f>
        <v>39611</v>
      </c>
      <c r="E29250" s="5">
        <f t="shared" si="497"/>
        <v>2008</v>
      </c>
      <c r="F29250" s="3" t="s">
        <v>4755</v>
      </c>
      <c r="G29250" s="6">
        <v>696</v>
      </c>
      <c r="H29250" s="5">
        <v>9937</v>
      </c>
    </row>
    <row r="29251" spans="2:8" ht="15" customHeight="1" x14ac:dyDescent="0.4">
      <c r="B29251" s="3" t="s">
        <v>7</v>
      </c>
      <c r="C29251" s="3" t="s">
        <v>4754</v>
      </c>
      <c r="D29251" s="4">
        <f>DATE(2008,6,12)</f>
        <v>39611</v>
      </c>
      <c r="E29251" s="5">
        <f t="shared" ref="E29251:E29314" si="498">YEAR(D29251)</f>
        <v>2008</v>
      </c>
      <c r="F29251" s="3" t="s">
        <v>4755</v>
      </c>
      <c r="G29251" s="6">
        <v>318.85000000000002</v>
      </c>
      <c r="H29251" s="5">
        <v>10926</v>
      </c>
    </row>
    <row r="29252" spans="2:8" ht="15" customHeight="1" x14ac:dyDescent="0.4">
      <c r="B29252" s="3" t="s">
        <v>7</v>
      </c>
      <c r="C29252" s="3" t="s">
        <v>4754</v>
      </c>
      <c r="D29252" s="4">
        <f>DATE(2008,7,29)</f>
        <v>39658</v>
      </c>
      <c r="E29252" s="5">
        <f t="shared" si="498"/>
        <v>2008</v>
      </c>
      <c r="F29252" s="3" t="s">
        <v>4755</v>
      </c>
      <c r="G29252" s="6">
        <v>780</v>
      </c>
      <c r="H29252" s="5">
        <v>11023</v>
      </c>
    </row>
    <row r="29253" spans="2:8" ht="15" customHeight="1" x14ac:dyDescent="0.4">
      <c r="B29253" s="3" t="s">
        <v>7</v>
      </c>
      <c r="C29253" s="3" t="s">
        <v>4754</v>
      </c>
      <c r="D29253" s="4">
        <f>DATE(2008,7,31)</f>
        <v>39660</v>
      </c>
      <c r="E29253" s="5">
        <f t="shared" si="498"/>
        <v>2008</v>
      </c>
      <c r="F29253" s="3" t="s">
        <v>4755</v>
      </c>
      <c r="G29253" s="6">
        <v>200</v>
      </c>
      <c r="H29253" s="5">
        <v>11035</v>
      </c>
    </row>
    <row r="29254" spans="2:8" ht="15" customHeight="1" x14ac:dyDescent="0.4">
      <c r="B29254" s="3" t="s">
        <v>7</v>
      </c>
      <c r="C29254" s="3" t="s">
        <v>4754</v>
      </c>
      <c r="D29254" s="4">
        <f>DATE(2009,3,19)</f>
        <v>39891</v>
      </c>
      <c r="E29254" s="5">
        <f t="shared" si="498"/>
        <v>2009</v>
      </c>
      <c r="F29254" s="3" t="s">
        <v>4755</v>
      </c>
      <c r="G29254" s="6">
        <v>415.97</v>
      </c>
      <c r="H29254" s="5">
        <v>12255</v>
      </c>
    </row>
    <row r="29255" spans="2:8" ht="15" customHeight="1" x14ac:dyDescent="0.4">
      <c r="B29255" s="3" t="s">
        <v>7</v>
      </c>
      <c r="C29255" s="3" t="s">
        <v>4754</v>
      </c>
      <c r="D29255" s="4">
        <f>DATE(2009,3,19)</f>
        <v>39891</v>
      </c>
      <c r="E29255" s="5">
        <f t="shared" si="498"/>
        <v>2009</v>
      </c>
      <c r="F29255" s="3" t="s">
        <v>4755</v>
      </c>
      <c r="G29255" s="6">
        <v>269.5</v>
      </c>
      <c r="H29255" s="5">
        <v>12266</v>
      </c>
    </row>
    <row r="29256" spans="2:8" ht="15" customHeight="1" x14ac:dyDescent="0.4">
      <c r="B29256" s="3" t="s">
        <v>7</v>
      </c>
      <c r="C29256" s="3" t="s">
        <v>4754</v>
      </c>
      <c r="D29256" s="4">
        <f>DATE(2009,6,4)</f>
        <v>39968</v>
      </c>
      <c r="E29256" s="5">
        <f t="shared" si="498"/>
        <v>2009</v>
      </c>
      <c r="F29256" s="3" t="s">
        <v>4755</v>
      </c>
      <c r="G29256" s="6">
        <v>300</v>
      </c>
      <c r="H29256" s="5">
        <v>12664</v>
      </c>
    </row>
    <row r="29257" spans="2:8" ht="15" customHeight="1" x14ac:dyDescent="0.4">
      <c r="B29257" s="3" t="s">
        <v>7</v>
      </c>
      <c r="C29257" s="3" t="s">
        <v>4754</v>
      </c>
      <c r="D29257" s="4">
        <f>DATE(2010,4,9)</f>
        <v>40277</v>
      </c>
      <c r="E29257" s="5">
        <f t="shared" si="498"/>
        <v>2010</v>
      </c>
      <c r="F29257" s="3" t="s">
        <v>4755</v>
      </c>
      <c r="G29257" s="6">
        <v>7210</v>
      </c>
      <c r="H29257" s="5">
        <v>13679</v>
      </c>
    </row>
    <row r="29258" spans="2:8" ht="15" customHeight="1" x14ac:dyDescent="0.4">
      <c r="B29258" s="3" t="s">
        <v>7</v>
      </c>
      <c r="C29258" s="3" t="s">
        <v>4754</v>
      </c>
      <c r="D29258" s="4">
        <f>DATE(2010,4,16)</f>
        <v>40284</v>
      </c>
      <c r="E29258" s="5">
        <f t="shared" si="498"/>
        <v>2010</v>
      </c>
      <c r="F29258" s="3" t="s">
        <v>4755</v>
      </c>
      <c r="G29258" s="6">
        <v>2545.6799999999998</v>
      </c>
      <c r="H29258" s="5">
        <v>13904</v>
      </c>
    </row>
    <row r="29259" spans="2:8" ht="15" customHeight="1" x14ac:dyDescent="0.4">
      <c r="B29259" s="3" t="s">
        <v>16</v>
      </c>
      <c r="C29259" s="3" t="s">
        <v>4754</v>
      </c>
      <c r="D29259" s="4">
        <f>DATE(2009,3,19)</f>
        <v>39891</v>
      </c>
      <c r="E29259" s="5">
        <f t="shared" si="498"/>
        <v>2009</v>
      </c>
      <c r="F29259" s="3" t="s">
        <v>4755</v>
      </c>
      <c r="G29259" s="6">
        <v>415.97</v>
      </c>
      <c r="H29259" s="5">
        <v>12265</v>
      </c>
    </row>
    <row r="29260" spans="2:8" ht="15" customHeight="1" x14ac:dyDescent="0.4">
      <c r="B29260" s="3" t="s">
        <v>7</v>
      </c>
      <c r="C29260" s="3" t="s">
        <v>4754</v>
      </c>
      <c r="D29260" s="4">
        <f>DATE(2004,5,5)</f>
        <v>38112</v>
      </c>
      <c r="E29260" s="5">
        <f t="shared" si="498"/>
        <v>2004</v>
      </c>
      <c r="F29260" s="3" t="s">
        <v>4756</v>
      </c>
      <c r="G29260" s="6">
        <v>2550</v>
      </c>
      <c r="H29260" s="5">
        <v>2684</v>
      </c>
    </row>
    <row r="29261" spans="2:8" ht="15" customHeight="1" x14ac:dyDescent="0.4">
      <c r="B29261" t="s">
        <v>7</v>
      </c>
      <c r="C29261" t="s">
        <v>2552</v>
      </c>
      <c r="D29261" s="7">
        <f>DATE(2016,3,8)</f>
        <v>42437</v>
      </c>
      <c r="E29261" s="8">
        <f t="shared" si="498"/>
        <v>2016</v>
      </c>
      <c r="F29261" t="s">
        <v>4757</v>
      </c>
      <c r="G29261" s="9">
        <v>17710</v>
      </c>
      <c r="H29261" s="8">
        <v>22074</v>
      </c>
    </row>
    <row r="29262" spans="2:8" ht="15" customHeight="1" x14ac:dyDescent="0.4">
      <c r="B29262" s="3" t="s">
        <v>7</v>
      </c>
      <c r="C29262" s="3" t="s">
        <v>4758</v>
      </c>
      <c r="D29262" s="4">
        <f>DATE(2007,3,14)</f>
        <v>39155</v>
      </c>
      <c r="E29262" s="5">
        <f t="shared" si="498"/>
        <v>2007</v>
      </c>
      <c r="F29262" s="3" t="s">
        <v>4759</v>
      </c>
      <c r="G29262" s="6">
        <v>3673</v>
      </c>
      <c r="H29262" s="5">
        <v>8153</v>
      </c>
    </row>
    <row r="29263" spans="2:8" ht="15" customHeight="1" x14ac:dyDescent="0.4">
      <c r="B29263" s="3" t="s">
        <v>7</v>
      </c>
      <c r="C29263" s="3" t="s">
        <v>4758</v>
      </c>
      <c r="D29263" s="4">
        <f>DATE(2007,5,10)</f>
        <v>39212</v>
      </c>
      <c r="E29263" s="5">
        <f t="shared" si="498"/>
        <v>2007</v>
      </c>
      <c r="F29263" s="3" t="s">
        <v>4759</v>
      </c>
      <c r="G29263" s="6">
        <v>3857.4</v>
      </c>
      <c r="H29263" s="5">
        <v>8459</v>
      </c>
    </row>
    <row r="29264" spans="2:8" ht="15" customHeight="1" x14ac:dyDescent="0.4">
      <c r="B29264" s="3" t="s">
        <v>7</v>
      </c>
      <c r="C29264" s="3" t="s">
        <v>4758</v>
      </c>
      <c r="D29264" s="4">
        <f>DATE(2008,6,20)</f>
        <v>39619</v>
      </c>
      <c r="E29264" s="5">
        <f t="shared" si="498"/>
        <v>2008</v>
      </c>
      <c r="F29264" s="3" t="s">
        <v>4759</v>
      </c>
      <c r="G29264" s="6">
        <v>12448.16</v>
      </c>
      <c r="H29264" s="5">
        <v>10752</v>
      </c>
    </row>
    <row r="29265" spans="2:8" ht="15" customHeight="1" x14ac:dyDescent="0.4">
      <c r="B29265" t="s">
        <v>7</v>
      </c>
      <c r="C29265" t="s">
        <v>4760</v>
      </c>
      <c r="D29265" s="7">
        <f>DATE(2007,10,3)</f>
        <v>39358</v>
      </c>
      <c r="E29265" s="8">
        <f t="shared" si="498"/>
        <v>2007</v>
      </c>
      <c r="F29265" t="s">
        <v>4761</v>
      </c>
      <c r="G29265" s="9">
        <v>6150</v>
      </c>
      <c r="H29265" s="8">
        <v>6426</v>
      </c>
    </row>
    <row r="29266" spans="2:8" ht="15" customHeight="1" x14ac:dyDescent="0.4">
      <c r="B29266" t="s">
        <v>7</v>
      </c>
      <c r="C29266" t="s">
        <v>4760</v>
      </c>
      <c r="D29266" s="7">
        <f>DATE(2007,11,8)</f>
        <v>39394</v>
      </c>
      <c r="E29266" s="8">
        <f t="shared" si="498"/>
        <v>2007</v>
      </c>
      <c r="F29266" t="s">
        <v>4761</v>
      </c>
      <c r="G29266" s="9">
        <v>8875</v>
      </c>
      <c r="H29266" s="8">
        <v>6457</v>
      </c>
    </row>
    <row r="29267" spans="2:8" ht="15" customHeight="1" x14ac:dyDescent="0.4">
      <c r="B29267" t="s">
        <v>7</v>
      </c>
      <c r="C29267" t="s">
        <v>4762</v>
      </c>
      <c r="D29267" s="7">
        <f>DATE(2015,6,8)</f>
        <v>42163</v>
      </c>
      <c r="E29267" s="8">
        <f t="shared" si="498"/>
        <v>2015</v>
      </c>
      <c r="F29267" t="s">
        <v>4763</v>
      </c>
      <c r="G29267" s="9">
        <v>38095.42</v>
      </c>
      <c r="H29267" s="8">
        <v>20383</v>
      </c>
    </row>
    <row r="29268" spans="2:8" ht="15" customHeight="1" x14ac:dyDescent="0.4">
      <c r="B29268" t="s">
        <v>7</v>
      </c>
      <c r="C29268" t="s">
        <v>4762</v>
      </c>
      <c r="D29268" s="7">
        <f>DATE(2016,6,22)</f>
        <v>42543</v>
      </c>
      <c r="E29268" s="8">
        <f t="shared" si="498"/>
        <v>2016</v>
      </c>
      <c r="F29268" t="s">
        <v>4763</v>
      </c>
      <c r="G29268" s="9">
        <v>32403</v>
      </c>
      <c r="H29268" s="8">
        <v>22779</v>
      </c>
    </row>
    <row r="29269" spans="2:8" ht="15" customHeight="1" x14ac:dyDescent="0.4">
      <c r="B29269" t="s">
        <v>7</v>
      </c>
      <c r="C29269" t="s">
        <v>4762</v>
      </c>
      <c r="D29269" s="7">
        <f>DATE(2017,6,2)</f>
        <v>42888</v>
      </c>
      <c r="E29269" s="8">
        <f t="shared" si="498"/>
        <v>2017</v>
      </c>
      <c r="F29269" t="s">
        <v>4763</v>
      </c>
      <c r="G29269" s="9">
        <v>32403</v>
      </c>
      <c r="H29269" s="8">
        <v>25061</v>
      </c>
    </row>
    <row r="29270" spans="2:8" ht="15" customHeight="1" x14ac:dyDescent="0.4">
      <c r="B29270" t="s">
        <v>7</v>
      </c>
      <c r="C29270" t="s">
        <v>4762</v>
      </c>
      <c r="D29270" s="7">
        <f>DATE(2017,7,28)</f>
        <v>42944</v>
      </c>
      <c r="E29270" s="8">
        <f t="shared" si="498"/>
        <v>2017</v>
      </c>
      <c r="F29270" t="s">
        <v>4763</v>
      </c>
      <c r="G29270" s="9">
        <v>37812.58</v>
      </c>
      <c r="H29270" s="8">
        <v>24601</v>
      </c>
    </row>
    <row r="29271" spans="2:8" ht="15" customHeight="1" x14ac:dyDescent="0.4">
      <c r="B29271" t="s">
        <v>7</v>
      </c>
      <c r="C29271" t="s">
        <v>4764</v>
      </c>
      <c r="D29271" s="7">
        <f>DATE(2015,6,8)</f>
        <v>42163</v>
      </c>
      <c r="E29271" s="8">
        <f t="shared" si="498"/>
        <v>2015</v>
      </c>
      <c r="F29271" t="s">
        <v>4765</v>
      </c>
      <c r="G29271" s="9">
        <v>54106.42</v>
      </c>
      <c r="H29271" s="8">
        <v>20398</v>
      </c>
    </row>
    <row r="29272" spans="2:8" ht="15" customHeight="1" x14ac:dyDescent="0.4">
      <c r="B29272" t="s">
        <v>7</v>
      </c>
      <c r="C29272" t="s">
        <v>4764</v>
      </c>
      <c r="D29272" s="7">
        <f>DATE(2016,6,17)</f>
        <v>42538</v>
      </c>
      <c r="E29272" s="8">
        <f t="shared" si="498"/>
        <v>2016</v>
      </c>
      <c r="F29272" t="s">
        <v>4765</v>
      </c>
      <c r="G29272" s="9">
        <v>48414</v>
      </c>
      <c r="H29272" s="8">
        <v>22780</v>
      </c>
    </row>
    <row r="29273" spans="2:8" ht="15" customHeight="1" x14ac:dyDescent="0.4">
      <c r="B29273" t="s">
        <v>7</v>
      </c>
      <c r="C29273" t="s">
        <v>4764</v>
      </c>
      <c r="D29273" s="7">
        <f>DATE(2017,6,9)</f>
        <v>42895</v>
      </c>
      <c r="E29273" s="8">
        <f t="shared" si="498"/>
        <v>2017</v>
      </c>
      <c r="F29273" t="s">
        <v>4765</v>
      </c>
      <c r="G29273" s="9">
        <v>48547.16</v>
      </c>
      <c r="H29273" s="8">
        <v>24600</v>
      </c>
    </row>
    <row r="29274" spans="2:8" ht="15" customHeight="1" x14ac:dyDescent="0.4">
      <c r="B29274" t="s">
        <v>7</v>
      </c>
      <c r="C29274" t="s">
        <v>4764</v>
      </c>
      <c r="D29274" s="7">
        <f>DATE(2018,9,4)</f>
        <v>43347</v>
      </c>
      <c r="E29274" s="8">
        <f t="shared" si="498"/>
        <v>2018</v>
      </c>
      <c r="F29274" t="s">
        <v>4765</v>
      </c>
      <c r="G29274" s="9">
        <v>58947.5</v>
      </c>
      <c r="H29274" s="8">
        <v>27415</v>
      </c>
    </row>
    <row r="29275" spans="2:8" ht="15" customHeight="1" x14ac:dyDescent="0.4">
      <c r="B29275" t="s">
        <v>7</v>
      </c>
      <c r="C29275" t="s">
        <v>4766</v>
      </c>
      <c r="D29275" s="7">
        <f>DATE(2017,7,28)</f>
        <v>42944</v>
      </c>
      <c r="E29275" s="8">
        <f t="shared" si="498"/>
        <v>2017</v>
      </c>
      <c r="F29275" t="s">
        <v>4767</v>
      </c>
      <c r="G29275" s="9">
        <v>148243.42000000001</v>
      </c>
      <c r="H29275" s="8">
        <v>24962</v>
      </c>
    </row>
    <row r="29276" spans="2:8" ht="15" customHeight="1" x14ac:dyDescent="0.4">
      <c r="B29276" t="s">
        <v>7</v>
      </c>
      <c r="C29276" t="s">
        <v>4766</v>
      </c>
      <c r="D29276" s="7">
        <f>DATE(2018,8,29)</f>
        <v>43341</v>
      </c>
      <c r="E29276" s="8">
        <f t="shared" si="498"/>
        <v>2018</v>
      </c>
      <c r="F29276" t="s">
        <v>4767</v>
      </c>
      <c r="G29276" s="9">
        <v>50920</v>
      </c>
      <c r="H29276" s="8">
        <v>27416</v>
      </c>
    </row>
    <row r="29277" spans="2:8" ht="15" customHeight="1" x14ac:dyDescent="0.4">
      <c r="B29277" t="s">
        <v>7</v>
      </c>
      <c r="C29277" t="s">
        <v>4762</v>
      </c>
      <c r="D29277" s="7">
        <f>DATE(2009,5,6)</f>
        <v>39939</v>
      </c>
      <c r="E29277" s="8">
        <f t="shared" si="498"/>
        <v>2009</v>
      </c>
      <c r="F29277" t="s">
        <v>4768</v>
      </c>
      <c r="G29277" s="9">
        <v>60284.57</v>
      </c>
      <c r="H29277" s="8">
        <v>8601</v>
      </c>
    </row>
    <row r="29278" spans="2:8" ht="15" customHeight="1" x14ac:dyDescent="0.4">
      <c r="B29278" t="s">
        <v>7</v>
      </c>
      <c r="C29278" t="s">
        <v>4762</v>
      </c>
      <c r="D29278" s="7">
        <f>DATE(2009,6,26)</f>
        <v>39990</v>
      </c>
      <c r="E29278" s="8">
        <f t="shared" si="498"/>
        <v>2009</v>
      </c>
      <c r="F29278" t="s">
        <v>4768</v>
      </c>
      <c r="G29278" s="9">
        <v>6460.96</v>
      </c>
      <c r="H29278" s="8">
        <v>8829</v>
      </c>
    </row>
    <row r="29279" spans="2:8" ht="15" customHeight="1" x14ac:dyDescent="0.4">
      <c r="B29279" t="s">
        <v>7</v>
      </c>
      <c r="C29279" t="s">
        <v>4762</v>
      </c>
      <c r="D29279" s="7">
        <f>DATE(2010,3,24)</f>
        <v>40261</v>
      </c>
      <c r="E29279" s="8">
        <f t="shared" si="498"/>
        <v>2010</v>
      </c>
      <c r="F29279" t="s">
        <v>4768</v>
      </c>
      <c r="G29279" s="9">
        <v>6122.66</v>
      </c>
      <c r="H29279" s="8">
        <v>9616</v>
      </c>
    </row>
    <row r="29280" spans="2:8" ht="15" customHeight="1" x14ac:dyDescent="0.4">
      <c r="B29280" t="s">
        <v>7</v>
      </c>
      <c r="C29280" t="s">
        <v>4762</v>
      </c>
      <c r="D29280" s="7">
        <f>DATE(2010,6,18)</f>
        <v>40347</v>
      </c>
      <c r="E29280" s="8">
        <f t="shared" si="498"/>
        <v>2010</v>
      </c>
      <c r="F29280" t="s">
        <v>4768</v>
      </c>
      <c r="G29280" s="9">
        <v>9492.41</v>
      </c>
      <c r="H29280" s="8">
        <v>9909</v>
      </c>
    </row>
    <row r="29281" spans="2:8" ht="15" customHeight="1" x14ac:dyDescent="0.4">
      <c r="B29281" t="s">
        <v>7</v>
      </c>
      <c r="C29281" t="s">
        <v>4769</v>
      </c>
      <c r="D29281" s="7">
        <f>DATE(2016,9,30)</f>
        <v>42643</v>
      </c>
      <c r="E29281" s="8">
        <f t="shared" si="498"/>
        <v>2016</v>
      </c>
      <c r="F29281" t="s">
        <v>4770</v>
      </c>
      <c r="G29281" s="9">
        <v>18497.89</v>
      </c>
      <c r="H29281" s="8">
        <v>23487</v>
      </c>
    </row>
    <row r="29282" spans="2:8" ht="15" customHeight="1" x14ac:dyDescent="0.4">
      <c r="B29282" t="s">
        <v>7</v>
      </c>
      <c r="C29282" t="s">
        <v>4769</v>
      </c>
      <c r="D29282" s="7">
        <f>DATE(2012,2,9)</f>
        <v>40948</v>
      </c>
      <c r="E29282" s="8">
        <f t="shared" si="498"/>
        <v>2012</v>
      </c>
      <c r="F29282" t="s">
        <v>4770</v>
      </c>
      <c r="G29282" s="9">
        <v>25322.01</v>
      </c>
      <c r="H29282" s="8">
        <v>11304</v>
      </c>
    </row>
    <row r="29283" spans="2:8" ht="15" customHeight="1" x14ac:dyDescent="0.4">
      <c r="B29283" t="s">
        <v>7</v>
      </c>
      <c r="C29283" t="s">
        <v>4769</v>
      </c>
      <c r="D29283" s="7">
        <f>DATE(2014,3,20)</f>
        <v>41718</v>
      </c>
      <c r="E29283" s="8">
        <f t="shared" si="498"/>
        <v>2014</v>
      </c>
      <c r="F29283" t="s">
        <v>4770</v>
      </c>
      <c r="G29283" s="9">
        <v>20612.22</v>
      </c>
      <c r="H29283" s="8">
        <v>13035</v>
      </c>
    </row>
    <row r="29284" spans="2:8" ht="15" customHeight="1" x14ac:dyDescent="0.4">
      <c r="B29284" t="s">
        <v>7</v>
      </c>
      <c r="C29284" t="s">
        <v>4769</v>
      </c>
      <c r="D29284" s="7">
        <f>DATE(2017,12,14)</f>
        <v>43083</v>
      </c>
      <c r="E29284" s="8">
        <f t="shared" si="498"/>
        <v>2017</v>
      </c>
      <c r="F29284" t="s">
        <v>4771</v>
      </c>
      <c r="G29284" s="9">
        <v>35285</v>
      </c>
      <c r="H29284" s="8">
        <v>25695</v>
      </c>
    </row>
    <row r="29285" spans="2:8" ht="15" customHeight="1" x14ac:dyDescent="0.4">
      <c r="B29285" s="3" t="s">
        <v>7</v>
      </c>
      <c r="C29285" s="3" t="s">
        <v>4772</v>
      </c>
      <c r="D29285" s="4">
        <f>DATE(2010,10,29)</f>
        <v>40480</v>
      </c>
      <c r="E29285" s="5">
        <f t="shared" si="498"/>
        <v>2010</v>
      </c>
      <c r="F29285" s="3" t="s">
        <v>4773</v>
      </c>
      <c r="G29285" s="6">
        <v>132575</v>
      </c>
      <c r="H29285" s="5">
        <v>4168</v>
      </c>
    </row>
    <row r="29286" spans="2:8" ht="15" customHeight="1" x14ac:dyDescent="0.4">
      <c r="B29286" t="s">
        <v>7</v>
      </c>
      <c r="C29286" t="s">
        <v>4774</v>
      </c>
      <c r="D29286" s="7">
        <f>DATE(2012,3,23)</f>
        <v>40991</v>
      </c>
      <c r="E29286" s="8">
        <f t="shared" si="498"/>
        <v>2012</v>
      </c>
      <c r="F29286" t="s">
        <v>4775</v>
      </c>
      <c r="G29286" s="9">
        <v>975.09</v>
      </c>
      <c r="H29286" s="8">
        <v>11496</v>
      </c>
    </row>
    <row r="29287" spans="2:8" ht="15" customHeight="1" x14ac:dyDescent="0.4">
      <c r="B29287" t="s">
        <v>7</v>
      </c>
      <c r="C29287" t="s">
        <v>4776</v>
      </c>
      <c r="D29287" s="7">
        <f>DATE(2012,2,16)</f>
        <v>40955</v>
      </c>
      <c r="E29287" s="8">
        <f t="shared" si="498"/>
        <v>2012</v>
      </c>
      <c r="F29287" t="s">
        <v>4777</v>
      </c>
      <c r="G29287" s="9">
        <v>9838</v>
      </c>
      <c r="H29287" s="8">
        <v>11342</v>
      </c>
    </row>
    <row r="29288" spans="2:8" ht="15" customHeight="1" x14ac:dyDescent="0.4">
      <c r="B29288" t="s">
        <v>7</v>
      </c>
      <c r="C29288" t="s">
        <v>4776</v>
      </c>
      <c r="D29288" s="7">
        <f>DATE(2012,4,25)</f>
        <v>41024</v>
      </c>
      <c r="E29288" s="8">
        <f t="shared" si="498"/>
        <v>2012</v>
      </c>
      <c r="F29288" t="s">
        <v>4777</v>
      </c>
      <c r="G29288" s="9">
        <v>21740</v>
      </c>
      <c r="H29288" s="8">
        <v>11552</v>
      </c>
    </row>
    <row r="29289" spans="2:8" ht="15" customHeight="1" x14ac:dyDescent="0.4">
      <c r="B29289" t="s">
        <v>7</v>
      </c>
      <c r="C29289" t="s">
        <v>4776</v>
      </c>
      <c r="D29289" s="7">
        <f>DATE(2006,2,21)</f>
        <v>38769</v>
      </c>
      <c r="E29289" s="8">
        <f t="shared" si="498"/>
        <v>2006</v>
      </c>
      <c r="F29289" t="s">
        <v>4777</v>
      </c>
      <c r="G29289" s="9">
        <v>13346</v>
      </c>
      <c r="H29289" s="8">
        <v>3966</v>
      </c>
    </row>
    <row r="29290" spans="2:8" ht="15" customHeight="1" x14ac:dyDescent="0.4">
      <c r="B29290" t="s">
        <v>7</v>
      </c>
      <c r="C29290" t="s">
        <v>4776</v>
      </c>
      <c r="D29290" s="7">
        <f>DATE(2006,2,16)</f>
        <v>38764</v>
      </c>
      <c r="E29290" s="8">
        <f t="shared" si="498"/>
        <v>2006</v>
      </c>
      <c r="F29290" t="s">
        <v>4777</v>
      </c>
      <c r="G29290" s="9">
        <v>10460</v>
      </c>
      <c r="H29290" s="8">
        <v>4044</v>
      </c>
    </row>
    <row r="29291" spans="2:8" ht="15" customHeight="1" x14ac:dyDescent="0.4">
      <c r="B29291" t="s">
        <v>7</v>
      </c>
      <c r="C29291" t="s">
        <v>4776</v>
      </c>
      <c r="D29291" s="7">
        <f>DATE(2011,3,8)</f>
        <v>40610</v>
      </c>
      <c r="E29291" s="8">
        <f t="shared" si="498"/>
        <v>2011</v>
      </c>
      <c r="F29291" t="s">
        <v>4777</v>
      </c>
      <c r="G29291" s="9">
        <v>41127.480000000003</v>
      </c>
      <c r="H29291" s="8">
        <v>10495</v>
      </c>
    </row>
    <row r="29292" spans="2:8" ht="15" customHeight="1" x14ac:dyDescent="0.4">
      <c r="B29292" t="s">
        <v>7</v>
      </c>
      <c r="C29292" t="s">
        <v>4776</v>
      </c>
      <c r="D29292" s="7">
        <f>DATE(2012,2,16)</f>
        <v>40955</v>
      </c>
      <c r="E29292" s="8">
        <f t="shared" si="498"/>
        <v>2012</v>
      </c>
      <c r="F29292" t="s">
        <v>4777</v>
      </c>
      <c r="G29292" s="9">
        <v>5978</v>
      </c>
      <c r="H29292" s="8">
        <v>11341</v>
      </c>
    </row>
    <row r="29293" spans="2:8" ht="15" customHeight="1" x14ac:dyDescent="0.4">
      <c r="B29293" s="3" t="s">
        <v>7</v>
      </c>
      <c r="C29293" s="3" t="s">
        <v>4776</v>
      </c>
      <c r="D29293" s="4">
        <f>DATE(2011,2,28)</f>
        <v>40602</v>
      </c>
      <c r="E29293" s="5">
        <f t="shared" si="498"/>
        <v>2011</v>
      </c>
      <c r="F29293" s="3" t="s">
        <v>4777</v>
      </c>
      <c r="G29293" s="6">
        <v>54742</v>
      </c>
      <c r="H29293" s="5">
        <v>15090</v>
      </c>
    </row>
    <row r="29294" spans="2:8" ht="15" customHeight="1" x14ac:dyDescent="0.4">
      <c r="B29294" s="3" t="s">
        <v>7</v>
      </c>
      <c r="C29294" s="3" t="s">
        <v>4776</v>
      </c>
      <c r="D29294" s="4">
        <f>DATE(2013,10,10)</f>
        <v>41557</v>
      </c>
      <c r="E29294" s="5">
        <f t="shared" si="498"/>
        <v>2013</v>
      </c>
      <c r="F29294" s="3" t="s">
        <v>4777</v>
      </c>
      <c r="G29294" s="6">
        <v>2089.25</v>
      </c>
      <c r="H29294" s="5">
        <v>19028</v>
      </c>
    </row>
    <row r="29295" spans="2:8" ht="15" customHeight="1" x14ac:dyDescent="0.4">
      <c r="B29295" s="3" t="s">
        <v>7</v>
      </c>
      <c r="C29295" s="3" t="s">
        <v>4776</v>
      </c>
      <c r="D29295" s="4">
        <f>DATE(2013,11,21)</f>
        <v>41599</v>
      </c>
      <c r="E29295" s="5">
        <f t="shared" si="498"/>
        <v>2013</v>
      </c>
      <c r="F29295" s="3" t="s">
        <v>4777</v>
      </c>
      <c r="G29295" s="6">
        <v>53.04</v>
      </c>
      <c r="H29295" s="5">
        <v>19243</v>
      </c>
    </row>
    <row r="29296" spans="2:8" ht="15" customHeight="1" x14ac:dyDescent="0.4">
      <c r="B29296" t="s">
        <v>7</v>
      </c>
      <c r="C29296" t="s">
        <v>4778</v>
      </c>
      <c r="D29296" s="7">
        <f>DATE(2016,2,29)</f>
        <v>42429</v>
      </c>
      <c r="E29296" s="8">
        <f t="shared" si="498"/>
        <v>2016</v>
      </c>
      <c r="F29296" t="s">
        <v>4779</v>
      </c>
      <c r="G29296" s="9">
        <v>43977</v>
      </c>
      <c r="H29296" s="8">
        <v>22061</v>
      </c>
    </row>
    <row r="29297" spans="2:8" ht="15" customHeight="1" x14ac:dyDescent="0.4">
      <c r="B29297" t="s">
        <v>7</v>
      </c>
      <c r="C29297" t="s">
        <v>4778</v>
      </c>
      <c r="D29297" s="7">
        <f>DATE(2018,6,29)</f>
        <v>43280</v>
      </c>
      <c r="E29297" s="8">
        <f t="shared" si="498"/>
        <v>2018</v>
      </c>
      <c r="F29297" t="s">
        <v>4779</v>
      </c>
      <c r="G29297" s="9">
        <v>8000</v>
      </c>
      <c r="H29297" s="8">
        <v>26530</v>
      </c>
    </row>
    <row r="29298" spans="2:8" ht="15" customHeight="1" x14ac:dyDescent="0.4">
      <c r="B29298" t="s">
        <v>7</v>
      </c>
      <c r="C29298" t="s">
        <v>4778</v>
      </c>
      <c r="D29298" s="7">
        <f>DATE(2018,6,29)</f>
        <v>43280</v>
      </c>
      <c r="E29298" s="8">
        <f t="shared" si="498"/>
        <v>2018</v>
      </c>
      <c r="F29298" t="s">
        <v>4779</v>
      </c>
      <c r="G29298" s="9">
        <v>11600</v>
      </c>
      <c r="H29298" s="8">
        <v>26531</v>
      </c>
    </row>
    <row r="29299" spans="2:8" ht="15" customHeight="1" x14ac:dyDescent="0.4">
      <c r="B29299" t="s">
        <v>7</v>
      </c>
      <c r="C29299" t="s">
        <v>4778</v>
      </c>
      <c r="D29299" s="7">
        <f>DATE(2015,9,4)</f>
        <v>42251</v>
      </c>
      <c r="E29299" s="8">
        <f t="shared" si="498"/>
        <v>2015</v>
      </c>
      <c r="F29299" t="s">
        <v>4779</v>
      </c>
      <c r="G29299" s="9">
        <v>2974.73</v>
      </c>
      <c r="H29299" s="8">
        <v>21003</v>
      </c>
    </row>
    <row r="29300" spans="2:8" ht="15" customHeight="1" x14ac:dyDescent="0.4">
      <c r="B29300" t="s">
        <v>7</v>
      </c>
      <c r="C29300" t="s">
        <v>4778</v>
      </c>
      <c r="D29300" s="7">
        <f>DATE(2018,4,30)</f>
        <v>43220</v>
      </c>
      <c r="E29300" s="8">
        <f t="shared" si="498"/>
        <v>2018</v>
      </c>
      <c r="F29300" t="s">
        <v>4779</v>
      </c>
      <c r="G29300" s="9">
        <v>13156.32</v>
      </c>
      <c r="H29300" s="8">
        <v>26550</v>
      </c>
    </row>
    <row r="29301" spans="2:8" ht="15" customHeight="1" x14ac:dyDescent="0.4">
      <c r="B29301" t="s">
        <v>7</v>
      </c>
      <c r="C29301" t="s">
        <v>4778</v>
      </c>
      <c r="D29301" s="7">
        <f>DATE(2018,7,10)</f>
        <v>43291</v>
      </c>
      <c r="E29301" s="8">
        <f t="shared" si="498"/>
        <v>2018</v>
      </c>
      <c r="F29301" t="s">
        <v>4779</v>
      </c>
      <c r="G29301" s="9">
        <v>13859.54</v>
      </c>
      <c r="H29301" s="8">
        <v>26551</v>
      </c>
    </row>
    <row r="29302" spans="2:8" ht="15" customHeight="1" x14ac:dyDescent="0.4">
      <c r="B29302" t="s">
        <v>7</v>
      </c>
      <c r="C29302" t="s">
        <v>4778</v>
      </c>
      <c r="D29302" s="7">
        <f>DATE(2014,6,19)</f>
        <v>41809</v>
      </c>
      <c r="E29302" s="8">
        <f t="shared" si="498"/>
        <v>2014</v>
      </c>
      <c r="F29302" t="s">
        <v>4779</v>
      </c>
      <c r="G29302" s="9">
        <v>15900</v>
      </c>
      <c r="H29302" s="8">
        <v>13143</v>
      </c>
    </row>
    <row r="29303" spans="2:8" ht="15" customHeight="1" x14ac:dyDescent="0.4">
      <c r="B29303" t="s">
        <v>7</v>
      </c>
      <c r="C29303" t="s">
        <v>4778</v>
      </c>
      <c r="D29303" s="7">
        <f>DATE(2013,7,1)</f>
        <v>41456</v>
      </c>
      <c r="E29303" s="8">
        <f t="shared" si="498"/>
        <v>2013</v>
      </c>
      <c r="F29303" t="s">
        <v>4779</v>
      </c>
      <c r="G29303" s="9">
        <v>39663</v>
      </c>
      <c r="H29303" s="8">
        <v>12508</v>
      </c>
    </row>
    <row r="29304" spans="2:8" ht="15" customHeight="1" x14ac:dyDescent="0.4">
      <c r="B29304" t="s">
        <v>7</v>
      </c>
      <c r="C29304" t="s">
        <v>4778</v>
      </c>
      <c r="D29304" s="7">
        <f>DATE(2013,10,1)</f>
        <v>41548</v>
      </c>
      <c r="E29304" s="8">
        <f t="shared" si="498"/>
        <v>2013</v>
      </c>
      <c r="F29304" t="s">
        <v>4779</v>
      </c>
      <c r="G29304" s="9">
        <v>44950</v>
      </c>
      <c r="H29304" s="8">
        <v>12617</v>
      </c>
    </row>
    <row r="29305" spans="2:8" ht="15" customHeight="1" x14ac:dyDescent="0.4">
      <c r="B29305" t="s">
        <v>7</v>
      </c>
      <c r="C29305" t="s">
        <v>4778</v>
      </c>
      <c r="D29305" s="7">
        <f>DATE(2014,8,15)</f>
        <v>41866</v>
      </c>
      <c r="E29305" s="8">
        <f t="shared" si="498"/>
        <v>2014</v>
      </c>
      <c r="F29305" t="s">
        <v>4779</v>
      </c>
      <c r="G29305" s="9">
        <v>9011.4</v>
      </c>
      <c r="H29305" s="8">
        <v>13397</v>
      </c>
    </row>
    <row r="29306" spans="2:8" ht="15" customHeight="1" x14ac:dyDescent="0.4">
      <c r="B29306" t="s">
        <v>7</v>
      </c>
      <c r="C29306" t="s">
        <v>4780</v>
      </c>
      <c r="D29306" s="7">
        <f>DATE(2016,4,19)</f>
        <v>42479</v>
      </c>
      <c r="E29306" s="8">
        <f t="shared" si="498"/>
        <v>2016</v>
      </c>
      <c r="F29306" t="s">
        <v>4781</v>
      </c>
      <c r="G29306" s="9">
        <v>2413.0300000000002</v>
      </c>
      <c r="H29306" s="8">
        <v>22617</v>
      </c>
    </row>
    <row r="29307" spans="2:8" ht="15" customHeight="1" x14ac:dyDescent="0.4">
      <c r="B29307" t="s">
        <v>7</v>
      </c>
      <c r="C29307" t="s">
        <v>4780</v>
      </c>
      <c r="D29307" s="7">
        <f>DATE(2018,7,17)</f>
        <v>43298</v>
      </c>
      <c r="E29307" s="8">
        <f t="shared" si="498"/>
        <v>2018</v>
      </c>
      <c r="F29307" t="s">
        <v>4781</v>
      </c>
      <c r="G29307" s="9">
        <v>6089.11</v>
      </c>
      <c r="H29307" s="8">
        <v>27290</v>
      </c>
    </row>
    <row r="29308" spans="2:8" ht="15" customHeight="1" x14ac:dyDescent="0.4">
      <c r="B29308" t="s">
        <v>7</v>
      </c>
      <c r="C29308" t="s">
        <v>4780</v>
      </c>
      <c r="D29308" s="7">
        <f>DATE(2015,9,16)</f>
        <v>42263</v>
      </c>
      <c r="E29308" s="8">
        <f t="shared" si="498"/>
        <v>2015</v>
      </c>
      <c r="F29308" t="s">
        <v>4782</v>
      </c>
      <c r="G29308" s="9">
        <v>8800</v>
      </c>
      <c r="H29308" s="8">
        <v>20910</v>
      </c>
    </row>
    <row r="29309" spans="2:8" ht="15" customHeight="1" x14ac:dyDescent="0.4">
      <c r="B29309" t="s">
        <v>7</v>
      </c>
      <c r="C29309" t="s">
        <v>4780</v>
      </c>
      <c r="D29309" s="7">
        <f>DATE(2011,3,14)</f>
        <v>40616</v>
      </c>
      <c r="E29309" s="8">
        <f t="shared" si="498"/>
        <v>2011</v>
      </c>
      <c r="F29309" t="s">
        <v>4782</v>
      </c>
      <c r="G29309" s="9">
        <v>4676.95</v>
      </c>
      <c r="H29309" s="8">
        <v>10553</v>
      </c>
    </row>
    <row r="29310" spans="2:8" ht="15" customHeight="1" x14ac:dyDescent="0.4">
      <c r="B29310" t="s">
        <v>7</v>
      </c>
      <c r="C29310" t="s">
        <v>4780</v>
      </c>
      <c r="D29310" s="7">
        <f>DATE(2013,6,20)</f>
        <v>41445</v>
      </c>
      <c r="E29310" s="8">
        <f t="shared" si="498"/>
        <v>2013</v>
      </c>
      <c r="F29310" t="s">
        <v>4782</v>
      </c>
      <c r="G29310" s="9">
        <v>3029.67</v>
      </c>
      <c r="H29310" s="8">
        <v>12521</v>
      </c>
    </row>
    <row r="29311" spans="2:8" ht="15" customHeight="1" x14ac:dyDescent="0.4">
      <c r="B29311" t="s">
        <v>7</v>
      </c>
      <c r="C29311" t="s">
        <v>4780</v>
      </c>
      <c r="D29311" s="7">
        <f>DATE(2014,7,16)</f>
        <v>41836</v>
      </c>
      <c r="E29311" s="8">
        <f t="shared" si="498"/>
        <v>2014</v>
      </c>
      <c r="F29311" t="s">
        <v>4782</v>
      </c>
      <c r="G29311" s="9">
        <v>2433.0300000000002</v>
      </c>
      <c r="H29311" s="8">
        <v>13288</v>
      </c>
    </row>
    <row r="29312" spans="2:8" ht="15" customHeight="1" x14ac:dyDescent="0.4">
      <c r="B29312" t="s">
        <v>7</v>
      </c>
      <c r="C29312" t="s">
        <v>4783</v>
      </c>
      <c r="D29312" s="7">
        <f>DATE(2015,4,28)</f>
        <v>42122</v>
      </c>
      <c r="E29312" s="8">
        <f t="shared" si="498"/>
        <v>2015</v>
      </c>
      <c r="F29312" t="s">
        <v>4784</v>
      </c>
      <c r="G29312" s="9">
        <v>54800</v>
      </c>
      <c r="H29312" s="8">
        <v>367</v>
      </c>
    </row>
    <row r="29313" spans="2:8" ht="15" customHeight="1" x14ac:dyDescent="0.4">
      <c r="B29313" t="s">
        <v>7</v>
      </c>
      <c r="C29313" t="s">
        <v>4783</v>
      </c>
      <c r="D29313" s="7">
        <f>DATE(2015,6,30)</f>
        <v>42185</v>
      </c>
      <c r="E29313" s="8">
        <f t="shared" si="498"/>
        <v>2015</v>
      </c>
      <c r="F29313" t="s">
        <v>4784</v>
      </c>
      <c r="G29313" s="9">
        <v>15323.13</v>
      </c>
      <c r="H29313" s="8">
        <v>20836</v>
      </c>
    </row>
    <row r="29314" spans="2:8" ht="15" customHeight="1" x14ac:dyDescent="0.4">
      <c r="B29314" t="s">
        <v>7</v>
      </c>
      <c r="C29314" t="s">
        <v>4783</v>
      </c>
      <c r="D29314" s="7">
        <f>DATE(2016,5,9)</f>
        <v>42499</v>
      </c>
      <c r="E29314" s="8">
        <f t="shared" si="498"/>
        <v>2016</v>
      </c>
      <c r="F29314" t="s">
        <v>4784</v>
      </c>
      <c r="G29314" s="9">
        <v>17323</v>
      </c>
      <c r="H29314" s="8">
        <v>22753</v>
      </c>
    </row>
    <row r="29315" spans="2:8" ht="15" customHeight="1" x14ac:dyDescent="0.4">
      <c r="B29315" t="s">
        <v>7</v>
      </c>
      <c r="C29315" t="s">
        <v>4783</v>
      </c>
      <c r="D29315" s="7">
        <f>DATE(2017,4,20)</f>
        <v>42845</v>
      </c>
      <c r="E29315" s="8">
        <f t="shared" ref="E29315:E29378" si="499">YEAR(D29315)</f>
        <v>2017</v>
      </c>
      <c r="F29315" t="s">
        <v>4784</v>
      </c>
      <c r="G29315" s="9">
        <v>53990</v>
      </c>
      <c r="H29315" s="8">
        <v>24442</v>
      </c>
    </row>
    <row r="29316" spans="2:8" ht="15" customHeight="1" x14ac:dyDescent="0.4">
      <c r="B29316" t="s">
        <v>7</v>
      </c>
      <c r="C29316" t="s">
        <v>4783</v>
      </c>
      <c r="D29316" s="7">
        <f>DATE(2017,6,26)</f>
        <v>42912</v>
      </c>
      <c r="E29316" s="8">
        <f t="shared" si="499"/>
        <v>2017</v>
      </c>
      <c r="F29316" t="s">
        <v>4784</v>
      </c>
      <c r="G29316" s="9">
        <v>22550</v>
      </c>
      <c r="H29316" s="8">
        <v>25022</v>
      </c>
    </row>
    <row r="29317" spans="2:8" ht="15" customHeight="1" x14ac:dyDescent="0.4">
      <c r="B29317" t="s">
        <v>7</v>
      </c>
      <c r="C29317" t="s">
        <v>4783</v>
      </c>
      <c r="D29317" s="7">
        <f>DATE(2018,5,2)</f>
        <v>43222</v>
      </c>
      <c r="E29317" s="8">
        <f t="shared" si="499"/>
        <v>2018</v>
      </c>
      <c r="F29317" t="s">
        <v>4784</v>
      </c>
      <c r="G29317" s="9">
        <v>53990</v>
      </c>
      <c r="H29317" s="8">
        <v>26515</v>
      </c>
    </row>
    <row r="29318" spans="2:8" ht="15" customHeight="1" x14ac:dyDescent="0.4">
      <c r="B29318" t="s">
        <v>7</v>
      </c>
      <c r="C29318" t="s">
        <v>4783</v>
      </c>
      <c r="D29318" s="7">
        <f>DATE(2015,1,23)</f>
        <v>42027</v>
      </c>
      <c r="E29318" s="8">
        <f t="shared" si="499"/>
        <v>2015</v>
      </c>
      <c r="F29318" t="s">
        <v>4784</v>
      </c>
      <c r="G29318" s="9">
        <v>2250</v>
      </c>
      <c r="H29318" s="8">
        <v>105</v>
      </c>
    </row>
    <row r="29319" spans="2:8" ht="15" customHeight="1" x14ac:dyDescent="0.4">
      <c r="B29319" t="s">
        <v>7</v>
      </c>
      <c r="C29319" t="s">
        <v>4783</v>
      </c>
      <c r="D29319" s="7">
        <f>DATE(2015,6,10)</f>
        <v>42165</v>
      </c>
      <c r="E29319" s="8">
        <f t="shared" si="499"/>
        <v>2015</v>
      </c>
      <c r="F29319" t="s">
        <v>4784</v>
      </c>
      <c r="G29319" s="9">
        <v>1125</v>
      </c>
      <c r="H29319" s="8">
        <v>20755</v>
      </c>
    </row>
    <row r="29320" spans="2:8" ht="15" customHeight="1" x14ac:dyDescent="0.4">
      <c r="B29320" t="s">
        <v>7</v>
      </c>
      <c r="C29320" t="s">
        <v>4783</v>
      </c>
      <c r="D29320" s="7">
        <f>DATE(2015,7,27)</f>
        <v>42212</v>
      </c>
      <c r="E29320" s="8">
        <f t="shared" si="499"/>
        <v>2015</v>
      </c>
      <c r="F29320" t="s">
        <v>4784</v>
      </c>
      <c r="G29320" s="9">
        <v>1312.5</v>
      </c>
      <c r="H29320" s="8">
        <v>20994</v>
      </c>
    </row>
    <row r="29321" spans="2:8" ht="15" customHeight="1" x14ac:dyDescent="0.4">
      <c r="B29321" t="s">
        <v>7</v>
      </c>
      <c r="C29321" t="s">
        <v>4783</v>
      </c>
      <c r="D29321" s="7">
        <f>DATE(2015,11,18)</f>
        <v>42326</v>
      </c>
      <c r="E29321" s="8">
        <f t="shared" si="499"/>
        <v>2015</v>
      </c>
      <c r="F29321" t="s">
        <v>4784</v>
      </c>
      <c r="G29321" s="9">
        <v>4500</v>
      </c>
      <c r="H29321" s="8">
        <v>21458</v>
      </c>
    </row>
    <row r="29322" spans="2:8" ht="15" customHeight="1" x14ac:dyDescent="0.4">
      <c r="B29322" t="s">
        <v>7</v>
      </c>
      <c r="C29322" t="s">
        <v>4783</v>
      </c>
      <c r="D29322" s="7">
        <f>DATE(2015,12,24)</f>
        <v>42362</v>
      </c>
      <c r="E29322" s="8">
        <f t="shared" si="499"/>
        <v>2015</v>
      </c>
      <c r="F29322" t="s">
        <v>4784</v>
      </c>
      <c r="G29322" s="9">
        <v>1750</v>
      </c>
      <c r="H29322" s="8">
        <v>21877</v>
      </c>
    </row>
    <row r="29323" spans="2:8" ht="15" customHeight="1" x14ac:dyDescent="0.4">
      <c r="B29323" t="s">
        <v>7</v>
      </c>
      <c r="C29323" t="s">
        <v>4783</v>
      </c>
      <c r="D29323" s="7">
        <f>DATE(2015,12,31)</f>
        <v>42369</v>
      </c>
      <c r="E29323" s="8">
        <f t="shared" si="499"/>
        <v>2015</v>
      </c>
      <c r="F29323" t="s">
        <v>4784</v>
      </c>
      <c r="G29323" s="9">
        <v>562.5</v>
      </c>
      <c r="H29323" s="8">
        <v>21895</v>
      </c>
    </row>
    <row r="29324" spans="2:8" ht="15" customHeight="1" x14ac:dyDescent="0.4">
      <c r="B29324" t="s">
        <v>7</v>
      </c>
      <c r="C29324" t="s">
        <v>4783</v>
      </c>
      <c r="D29324" s="7">
        <f>DATE(2016,1,8)</f>
        <v>42377</v>
      </c>
      <c r="E29324" s="8">
        <f t="shared" si="499"/>
        <v>2016</v>
      </c>
      <c r="F29324" t="s">
        <v>4784</v>
      </c>
      <c r="G29324" s="9">
        <v>3599.5</v>
      </c>
      <c r="H29324" s="8">
        <v>21937</v>
      </c>
    </row>
    <row r="29325" spans="2:8" ht="15" customHeight="1" x14ac:dyDescent="0.4">
      <c r="B29325" t="s">
        <v>7</v>
      </c>
      <c r="C29325" t="s">
        <v>4783</v>
      </c>
      <c r="D29325" s="7">
        <f>DATE(2016,10,12)</f>
        <v>42655</v>
      </c>
      <c r="E29325" s="8">
        <f t="shared" si="499"/>
        <v>2016</v>
      </c>
      <c r="F29325" t="s">
        <v>4784</v>
      </c>
      <c r="G29325" s="9">
        <v>2392.5</v>
      </c>
      <c r="H29325" s="8">
        <v>23577</v>
      </c>
    </row>
    <row r="29326" spans="2:8" ht="15" customHeight="1" x14ac:dyDescent="0.4">
      <c r="B29326" t="s">
        <v>7</v>
      </c>
      <c r="C29326" t="s">
        <v>4783</v>
      </c>
      <c r="D29326" s="7">
        <f>DATE(2016,12,21)</f>
        <v>42725</v>
      </c>
      <c r="E29326" s="8">
        <f t="shared" si="499"/>
        <v>2016</v>
      </c>
      <c r="F29326" t="s">
        <v>4784</v>
      </c>
      <c r="G29326" s="9">
        <v>3400</v>
      </c>
      <c r="H29326" s="8">
        <v>23920</v>
      </c>
    </row>
    <row r="29327" spans="2:8" ht="15" customHeight="1" x14ac:dyDescent="0.4">
      <c r="B29327" t="s">
        <v>7</v>
      </c>
      <c r="C29327" t="s">
        <v>4783</v>
      </c>
      <c r="D29327" s="7">
        <f>DATE(2017,2,17)</f>
        <v>42783</v>
      </c>
      <c r="E29327" s="8">
        <f t="shared" si="499"/>
        <v>2017</v>
      </c>
      <c r="F29327" t="s">
        <v>4784</v>
      </c>
      <c r="G29327" s="9">
        <v>2250</v>
      </c>
      <c r="H29327" s="8">
        <v>24277</v>
      </c>
    </row>
    <row r="29328" spans="2:8" ht="15" customHeight="1" x14ac:dyDescent="0.4">
      <c r="B29328" t="s">
        <v>7</v>
      </c>
      <c r="C29328" t="s">
        <v>4783</v>
      </c>
      <c r="D29328" s="7">
        <f>DATE(2017,4,28)</f>
        <v>42853</v>
      </c>
      <c r="E29328" s="8">
        <f t="shared" si="499"/>
        <v>2017</v>
      </c>
      <c r="F29328" t="s">
        <v>4784</v>
      </c>
      <c r="G29328" s="9">
        <v>1408</v>
      </c>
      <c r="H29328" s="8">
        <v>24843</v>
      </c>
    </row>
    <row r="29329" spans="2:8" ht="15" customHeight="1" x14ac:dyDescent="0.4">
      <c r="B29329" t="s">
        <v>7</v>
      </c>
      <c r="C29329" t="s">
        <v>4783</v>
      </c>
      <c r="D29329" s="7">
        <f>DATE(2017,6,26)</f>
        <v>42912</v>
      </c>
      <c r="E29329" s="8">
        <f t="shared" si="499"/>
        <v>2017</v>
      </c>
      <c r="F29329" t="s">
        <v>4784</v>
      </c>
      <c r="G29329" s="9">
        <v>1326</v>
      </c>
      <c r="H29329" s="8">
        <v>25169</v>
      </c>
    </row>
    <row r="29330" spans="2:8" ht="15" customHeight="1" x14ac:dyDescent="0.4">
      <c r="B29330" t="s">
        <v>7</v>
      </c>
      <c r="C29330" t="s">
        <v>4783</v>
      </c>
      <c r="D29330" s="7">
        <f>DATE(2017,8,23)</f>
        <v>42970</v>
      </c>
      <c r="E29330" s="8">
        <f t="shared" si="499"/>
        <v>2017</v>
      </c>
      <c r="F29330" t="s">
        <v>4784</v>
      </c>
      <c r="G29330" s="9">
        <v>663</v>
      </c>
      <c r="H29330" s="8">
        <v>25402</v>
      </c>
    </row>
    <row r="29331" spans="2:8" ht="15" customHeight="1" x14ac:dyDescent="0.4">
      <c r="B29331" t="s">
        <v>7</v>
      </c>
      <c r="C29331" t="s">
        <v>4783</v>
      </c>
      <c r="D29331" s="7">
        <f>DATE(2018,7,6)</f>
        <v>43287</v>
      </c>
      <c r="E29331" s="8">
        <f t="shared" si="499"/>
        <v>2018</v>
      </c>
      <c r="F29331" t="s">
        <v>4784</v>
      </c>
      <c r="G29331" s="9">
        <v>176</v>
      </c>
      <c r="H29331" s="8">
        <v>27293</v>
      </c>
    </row>
    <row r="29332" spans="2:8" ht="15" customHeight="1" x14ac:dyDescent="0.4">
      <c r="B29332" t="s">
        <v>7</v>
      </c>
      <c r="C29332" t="s">
        <v>4783</v>
      </c>
      <c r="D29332" s="7">
        <f>DATE(2018,10,5)</f>
        <v>43378</v>
      </c>
      <c r="E29332" s="8">
        <f t="shared" si="499"/>
        <v>2018</v>
      </c>
      <c r="F29332" t="s">
        <v>4784</v>
      </c>
      <c r="G29332" s="9">
        <v>1125</v>
      </c>
      <c r="H29332" s="8">
        <v>27733</v>
      </c>
    </row>
    <row r="29333" spans="2:8" ht="15" customHeight="1" x14ac:dyDescent="0.4">
      <c r="B29333" t="s">
        <v>7</v>
      </c>
      <c r="C29333" t="s">
        <v>4783</v>
      </c>
      <c r="D29333" s="7">
        <f>DATE(2015,2,26)</f>
        <v>42061</v>
      </c>
      <c r="E29333" s="8">
        <f t="shared" si="499"/>
        <v>2015</v>
      </c>
      <c r="F29333" t="s">
        <v>4784</v>
      </c>
      <c r="G29333" s="9">
        <v>7661.96</v>
      </c>
      <c r="H29333" s="8">
        <v>365</v>
      </c>
    </row>
    <row r="29334" spans="2:8" ht="15" customHeight="1" x14ac:dyDescent="0.4">
      <c r="B29334" t="s">
        <v>7</v>
      </c>
      <c r="C29334" t="s">
        <v>4783</v>
      </c>
      <c r="D29334" s="7">
        <f>DATE(2015,8,4)</f>
        <v>42220</v>
      </c>
      <c r="E29334" s="8">
        <f t="shared" si="499"/>
        <v>2015</v>
      </c>
      <c r="F29334" t="s">
        <v>4784</v>
      </c>
      <c r="G29334" s="9">
        <v>6493.96</v>
      </c>
      <c r="H29334" s="8">
        <v>21025</v>
      </c>
    </row>
    <row r="29335" spans="2:8" ht="15" customHeight="1" x14ac:dyDescent="0.4">
      <c r="B29335" t="s">
        <v>16</v>
      </c>
      <c r="C29335" t="s">
        <v>4783</v>
      </c>
      <c r="D29335" s="7">
        <f>DATE(2016,6,14)</f>
        <v>42535</v>
      </c>
      <c r="E29335" s="8">
        <f t="shared" si="499"/>
        <v>2016</v>
      </c>
      <c r="F29335" t="s">
        <v>4784</v>
      </c>
      <c r="G29335" s="9">
        <v>443.1</v>
      </c>
      <c r="H29335" s="8">
        <v>23019</v>
      </c>
    </row>
    <row r="29336" spans="2:8" ht="15" customHeight="1" x14ac:dyDescent="0.4">
      <c r="B29336" t="s">
        <v>7</v>
      </c>
      <c r="C29336" t="s">
        <v>4783</v>
      </c>
      <c r="D29336" s="7">
        <f>DATE(2013,9,26)</f>
        <v>41543</v>
      </c>
      <c r="E29336" s="8">
        <f t="shared" si="499"/>
        <v>2013</v>
      </c>
      <c r="F29336" t="s">
        <v>4784</v>
      </c>
      <c r="G29336" s="9">
        <v>9501.44</v>
      </c>
      <c r="H29336" s="8">
        <v>12661</v>
      </c>
    </row>
    <row r="29337" spans="2:8" ht="15" customHeight="1" x14ac:dyDescent="0.4">
      <c r="B29337" t="s">
        <v>7</v>
      </c>
      <c r="C29337" t="s">
        <v>4783</v>
      </c>
      <c r="D29337" s="7">
        <f>DATE(2003,1,30)</f>
        <v>37651</v>
      </c>
      <c r="E29337" s="8">
        <f t="shared" si="499"/>
        <v>2003</v>
      </c>
      <c r="F29337" t="s">
        <v>4784</v>
      </c>
      <c r="G29337" s="9">
        <v>3905.55</v>
      </c>
      <c r="H29337" s="8">
        <v>153</v>
      </c>
    </row>
    <row r="29338" spans="2:8" ht="15" customHeight="1" x14ac:dyDescent="0.4">
      <c r="B29338" t="s">
        <v>7</v>
      </c>
      <c r="C29338" t="s">
        <v>4783</v>
      </c>
      <c r="D29338" s="7">
        <f>DATE(2003,2,23)</f>
        <v>37675</v>
      </c>
      <c r="E29338" s="8">
        <f t="shared" si="499"/>
        <v>2003</v>
      </c>
      <c r="F29338" t="s">
        <v>4784</v>
      </c>
      <c r="G29338" s="9">
        <v>13037.5</v>
      </c>
      <c r="H29338" s="8">
        <v>253</v>
      </c>
    </row>
    <row r="29339" spans="2:8" ht="15" customHeight="1" x14ac:dyDescent="0.4">
      <c r="B29339" t="s">
        <v>7</v>
      </c>
      <c r="C29339" t="s">
        <v>4783</v>
      </c>
      <c r="D29339" s="7">
        <f>DATE(2003,4,9)</f>
        <v>37720</v>
      </c>
      <c r="E29339" s="8">
        <f t="shared" si="499"/>
        <v>2003</v>
      </c>
      <c r="F29339" t="s">
        <v>4784</v>
      </c>
      <c r="G29339" s="9">
        <v>10457.5</v>
      </c>
      <c r="H29339" s="8">
        <v>204</v>
      </c>
    </row>
    <row r="29340" spans="2:8" ht="15" customHeight="1" x14ac:dyDescent="0.4">
      <c r="B29340" t="s">
        <v>7</v>
      </c>
      <c r="C29340" t="s">
        <v>4783</v>
      </c>
      <c r="D29340" s="7">
        <f>DATE(2003,4,25)</f>
        <v>37736</v>
      </c>
      <c r="E29340" s="8">
        <f t="shared" si="499"/>
        <v>2003</v>
      </c>
      <c r="F29340" t="s">
        <v>4784</v>
      </c>
      <c r="G29340" s="9">
        <v>5158</v>
      </c>
      <c r="H29340" s="8">
        <v>490</v>
      </c>
    </row>
    <row r="29341" spans="2:8" ht="15" customHeight="1" x14ac:dyDescent="0.4">
      <c r="B29341" t="s">
        <v>7</v>
      </c>
      <c r="C29341" t="s">
        <v>4783</v>
      </c>
      <c r="D29341" s="7">
        <f>DATE(2003,5,7)</f>
        <v>37748</v>
      </c>
      <c r="E29341" s="8">
        <f t="shared" si="499"/>
        <v>2003</v>
      </c>
      <c r="F29341" t="s">
        <v>4784</v>
      </c>
      <c r="G29341" s="9">
        <v>10457.5</v>
      </c>
      <c r="H29341" s="8">
        <v>509</v>
      </c>
    </row>
    <row r="29342" spans="2:8" ht="15" customHeight="1" x14ac:dyDescent="0.4">
      <c r="B29342" t="s">
        <v>7</v>
      </c>
      <c r="C29342" t="s">
        <v>4783</v>
      </c>
      <c r="D29342" s="7">
        <f>DATE(2003,5,16)</f>
        <v>37757</v>
      </c>
      <c r="E29342" s="8">
        <f t="shared" si="499"/>
        <v>2003</v>
      </c>
      <c r="F29342" t="s">
        <v>4784</v>
      </c>
      <c r="G29342" s="9">
        <v>10457.5</v>
      </c>
      <c r="H29342" s="8">
        <v>598</v>
      </c>
    </row>
    <row r="29343" spans="2:8" ht="15" customHeight="1" x14ac:dyDescent="0.4">
      <c r="B29343" t="s">
        <v>7</v>
      </c>
      <c r="C29343" t="s">
        <v>4783</v>
      </c>
      <c r="D29343" s="7">
        <f>DATE(2003,8,13)</f>
        <v>37846</v>
      </c>
      <c r="E29343" s="8">
        <f t="shared" si="499"/>
        <v>2003</v>
      </c>
      <c r="F29343" t="s">
        <v>4784</v>
      </c>
      <c r="G29343" s="9">
        <v>4312.7</v>
      </c>
      <c r="H29343" s="8">
        <v>807</v>
      </c>
    </row>
    <row r="29344" spans="2:8" ht="15" customHeight="1" x14ac:dyDescent="0.4">
      <c r="B29344" t="s">
        <v>7</v>
      </c>
      <c r="C29344" t="s">
        <v>4783</v>
      </c>
      <c r="D29344" s="7">
        <f>DATE(2003,10,18)</f>
        <v>37912</v>
      </c>
      <c r="E29344" s="8">
        <f t="shared" si="499"/>
        <v>2003</v>
      </c>
      <c r="F29344" t="s">
        <v>4784</v>
      </c>
      <c r="G29344" s="9">
        <v>10457.5</v>
      </c>
      <c r="H29344" s="8">
        <v>949</v>
      </c>
    </row>
    <row r="29345" spans="2:8" ht="15" customHeight="1" x14ac:dyDescent="0.4">
      <c r="B29345" t="s">
        <v>7</v>
      </c>
      <c r="C29345" t="s">
        <v>4783</v>
      </c>
      <c r="D29345" s="7">
        <f>DATE(2003,12,12)</f>
        <v>37967</v>
      </c>
      <c r="E29345" s="8">
        <f t="shared" si="499"/>
        <v>2003</v>
      </c>
      <c r="F29345" t="s">
        <v>4784</v>
      </c>
      <c r="G29345" s="9">
        <v>5462.88</v>
      </c>
      <c r="H29345" s="8">
        <v>1072</v>
      </c>
    </row>
    <row r="29346" spans="2:8" ht="15" customHeight="1" x14ac:dyDescent="0.4">
      <c r="B29346" t="s">
        <v>7</v>
      </c>
      <c r="C29346" t="s">
        <v>4783</v>
      </c>
      <c r="D29346" s="7">
        <f>DATE(2003,12,5)</f>
        <v>37960</v>
      </c>
      <c r="E29346" s="8">
        <f t="shared" si="499"/>
        <v>2003</v>
      </c>
      <c r="F29346" t="s">
        <v>4784</v>
      </c>
      <c r="G29346" s="9">
        <v>4660.34</v>
      </c>
      <c r="H29346" s="8">
        <v>1065</v>
      </c>
    </row>
    <row r="29347" spans="2:8" ht="15" customHeight="1" x14ac:dyDescent="0.4">
      <c r="B29347" t="s">
        <v>7</v>
      </c>
      <c r="C29347" t="s">
        <v>4783</v>
      </c>
      <c r="D29347" s="7">
        <f>DATE(2003,12,20)</f>
        <v>37975</v>
      </c>
      <c r="E29347" s="8">
        <f t="shared" si="499"/>
        <v>2003</v>
      </c>
      <c r="F29347" t="s">
        <v>4784</v>
      </c>
      <c r="G29347" s="9">
        <v>6287.39</v>
      </c>
      <c r="H29347" s="8">
        <v>1094</v>
      </c>
    </row>
    <row r="29348" spans="2:8" ht="15" customHeight="1" x14ac:dyDescent="0.4">
      <c r="B29348" t="s">
        <v>7</v>
      </c>
      <c r="C29348" t="s">
        <v>4783</v>
      </c>
      <c r="D29348" s="7">
        <f>DATE(2004,3,25)</f>
        <v>38071</v>
      </c>
      <c r="E29348" s="8">
        <f t="shared" si="499"/>
        <v>2004</v>
      </c>
      <c r="F29348" t="s">
        <v>4784</v>
      </c>
      <c r="G29348" s="9">
        <v>10457.5</v>
      </c>
      <c r="H29348" s="8">
        <v>1299</v>
      </c>
    </row>
    <row r="29349" spans="2:8" ht="15" customHeight="1" x14ac:dyDescent="0.4">
      <c r="B29349" t="s">
        <v>7</v>
      </c>
      <c r="C29349" t="s">
        <v>4783</v>
      </c>
      <c r="D29349" s="7">
        <f>DATE(2004,4,9)</f>
        <v>38086</v>
      </c>
      <c r="E29349" s="8">
        <f t="shared" si="499"/>
        <v>2004</v>
      </c>
      <c r="F29349" t="s">
        <v>4784</v>
      </c>
      <c r="G29349" s="9">
        <v>44771</v>
      </c>
      <c r="H29349" s="8">
        <v>1311</v>
      </c>
    </row>
    <row r="29350" spans="2:8" ht="15" customHeight="1" x14ac:dyDescent="0.4">
      <c r="B29350" t="s">
        <v>7</v>
      </c>
      <c r="C29350" t="s">
        <v>4783</v>
      </c>
      <c r="D29350" s="7">
        <f>DATE(2004,5,2)</f>
        <v>38109</v>
      </c>
      <c r="E29350" s="8">
        <f t="shared" si="499"/>
        <v>2004</v>
      </c>
      <c r="F29350" t="s">
        <v>4784</v>
      </c>
      <c r="G29350" s="9">
        <v>12337.5</v>
      </c>
      <c r="H29350" s="8">
        <v>1306</v>
      </c>
    </row>
    <row r="29351" spans="2:8" ht="15" customHeight="1" x14ac:dyDescent="0.4">
      <c r="B29351" t="s">
        <v>7</v>
      </c>
      <c r="C29351" t="s">
        <v>4783</v>
      </c>
      <c r="D29351" s="7">
        <f>DATE(2004,6,6)</f>
        <v>38144</v>
      </c>
      <c r="E29351" s="8">
        <f t="shared" si="499"/>
        <v>2004</v>
      </c>
      <c r="F29351" t="s">
        <v>4784</v>
      </c>
      <c r="G29351" s="9">
        <v>12900</v>
      </c>
      <c r="H29351" s="8">
        <v>1859</v>
      </c>
    </row>
    <row r="29352" spans="2:8" ht="15" customHeight="1" x14ac:dyDescent="0.4">
      <c r="B29352" t="s">
        <v>7</v>
      </c>
      <c r="C29352" t="s">
        <v>4783</v>
      </c>
      <c r="D29352" s="7">
        <f>DATE(2004,7,8)</f>
        <v>38176</v>
      </c>
      <c r="E29352" s="8">
        <f t="shared" si="499"/>
        <v>2004</v>
      </c>
      <c r="F29352" t="s">
        <v>4784</v>
      </c>
      <c r="G29352" s="9">
        <v>9947.08</v>
      </c>
      <c r="H29352" s="8">
        <v>1954</v>
      </c>
    </row>
    <row r="29353" spans="2:8" ht="15" customHeight="1" x14ac:dyDescent="0.4">
      <c r="B29353" t="s">
        <v>7</v>
      </c>
      <c r="C29353" t="s">
        <v>4783</v>
      </c>
      <c r="D29353" s="7">
        <f>DATE(2004,7,18)</f>
        <v>38186</v>
      </c>
      <c r="E29353" s="8">
        <f t="shared" si="499"/>
        <v>2004</v>
      </c>
      <c r="F29353" t="s">
        <v>4784</v>
      </c>
      <c r="G29353" s="9">
        <v>12337.5</v>
      </c>
      <c r="H29353" s="8">
        <v>1977</v>
      </c>
    </row>
    <row r="29354" spans="2:8" ht="15" customHeight="1" x14ac:dyDescent="0.4">
      <c r="B29354" t="s">
        <v>7</v>
      </c>
      <c r="C29354" t="s">
        <v>4783</v>
      </c>
      <c r="D29354" s="7">
        <f>DATE(2004,7,25)</f>
        <v>38193</v>
      </c>
      <c r="E29354" s="8">
        <f t="shared" si="499"/>
        <v>2004</v>
      </c>
      <c r="F29354" t="s">
        <v>4784</v>
      </c>
      <c r="G29354" s="9">
        <v>12337.5</v>
      </c>
      <c r="H29354" s="8">
        <v>1984</v>
      </c>
    </row>
    <row r="29355" spans="2:8" ht="15" customHeight="1" x14ac:dyDescent="0.4">
      <c r="B29355" t="s">
        <v>7</v>
      </c>
      <c r="C29355" t="s">
        <v>4783</v>
      </c>
      <c r="D29355" s="7">
        <f>DATE(2004,9,15)</f>
        <v>38245</v>
      </c>
      <c r="E29355" s="8">
        <f t="shared" si="499"/>
        <v>2004</v>
      </c>
      <c r="F29355" t="s">
        <v>4784</v>
      </c>
      <c r="G29355" s="9">
        <v>12337.5</v>
      </c>
      <c r="H29355" s="8">
        <v>2145</v>
      </c>
    </row>
    <row r="29356" spans="2:8" ht="15" customHeight="1" x14ac:dyDescent="0.4">
      <c r="B29356" t="s">
        <v>7</v>
      </c>
      <c r="C29356" t="s">
        <v>4783</v>
      </c>
      <c r="D29356" s="7">
        <f>DATE(2005,4,12)</f>
        <v>38454</v>
      </c>
      <c r="E29356" s="8">
        <f t="shared" si="499"/>
        <v>2005</v>
      </c>
      <c r="F29356" t="s">
        <v>4784</v>
      </c>
      <c r="G29356" s="9">
        <v>12337.5</v>
      </c>
      <c r="H29356" s="8">
        <v>2723</v>
      </c>
    </row>
    <row r="29357" spans="2:8" ht="15" customHeight="1" x14ac:dyDescent="0.4">
      <c r="B29357" t="s">
        <v>7</v>
      </c>
      <c r="C29357" t="s">
        <v>4783</v>
      </c>
      <c r="D29357" s="7">
        <f>DATE(2005,4,5)</f>
        <v>38447</v>
      </c>
      <c r="E29357" s="8">
        <f t="shared" si="499"/>
        <v>2005</v>
      </c>
      <c r="F29357" t="s">
        <v>4784</v>
      </c>
      <c r="G29357" s="9">
        <v>12337.5</v>
      </c>
      <c r="H29357" s="8">
        <v>2724</v>
      </c>
    </row>
    <row r="29358" spans="2:8" ht="15" customHeight="1" x14ac:dyDescent="0.4">
      <c r="B29358" t="s">
        <v>7</v>
      </c>
      <c r="C29358" t="s">
        <v>4783</v>
      </c>
      <c r="D29358" s="7">
        <f>DATE(2005,4,30)</f>
        <v>38472</v>
      </c>
      <c r="E29358" s="8">
        <f t="shared" si="499"/>
        <v>2005</v>
      </c>
      <c r="F29358" t="s">
        <v>4784</v>
      </c>
      <c r="G29358" s="9">
        <v>52207.8</v>
      </c>
      <c r="H29358" s="8">
        <v>2725</v>
      </c>
    </row>
    <row r="29359" spans="2:8" ht="15" customHeight="1" x14ac:dyDescent="0.4">
      <c r="B29359" t="s">
        <v>7</v>
      </c>
      <c r="C29359" t="s">
        <v>4783</v>
      </c>
      <c r="D29359" s="7">
        <f>DATE(2005,8,30)</f>
        <v>38594</v>
      </c>
      <c r="E29359" s="8">
        <f t="shared" si="499"/>
        <v>2005</v>
      </c>
      <c r="F29359" t="s">
        <v>4784</v>
      </c>
      <c r="G29359" s="9">
        <v>3000.9</v>
      </c>
      <c r="H29359" s="8">
        <v>3544</v>
      </c>
    </row>
    <row r="29360" spans="2:8" ht="15" customHeight="1" x14ac:dyDescent="0.4">
      <c r="B29360" t="s">
        <v>7</v>
      </c>
      <c r="C29360" t="s">
        <v>4783</v>
      </c>
      <c r="D29360" s="7">
        <f>DATE(2006,4,19)</f>
        <v>38826</v>
      </c>
      <c r="E29360" s="8">
        <f t="shared" si="499"/>
        <v>2006</v>
      </c>
      <c r="F29360" t="s">
        <v>4784</v>
      </c>
      <c r="G29360" s="9">
        <v>19650</v>
      </c>
      <c r="H29360" s="8">
        <v>4023</v>
      </c>
    </row>
    <row r="29361" spans="2:8" ht="15" customHeight="1" x14ac:dyDescent="0.4">
      <c r="B29361" t="s">
        <v>7</v>
      </c>
      <c r="C29361" t="s">
        <v>4783</v>
      </c>
      <c r="D29361" s="7">
        <f>DATE(2006,5,10)</f>
        <v>38847</v>
      </c>
      <c r="E29361" s="8">
        <f t="shared" si="499"/>
        <v>2006</v>
      </c>
      <c r="F29361" t="s">
        <v>4784</v>
      </c>
      <c r="G29361" s="9">
        <v>54324.800000000003</v>
      </c>
      <c r="H29361" s="8">
        <v>4025</v>
      </c>
    </row>
    <row r="29362" spans="2:8" ht="15" customHeight="1" x14ac:dyDescent="0.4">
      <c r="B29362" t="s">
        <v>7</v>
      </c>
      <c r="C29362" t="s">
        <v>4783</v>
      </c>
      <c r="D29362" s="7">
        <f>DATE(2006,7,27)</f>
        <v>38925</v>
      </c>
      <c r="E29362" s="8">
        <f t="shared" si="499"/>
        <v>2006</v>
      </c>
      <c r="F29362" t="s">
        <v>4784</v>
      </c>
      <c r="G29362" s="9">
        <v>2186.75</v>
      </c>
      <c r="H29362" s="8">
        <v>4830</v>
      </c>
    </row>
    <row r="29363" spans="2:8" ht="15" customHeight="1" x14ac:dyDescent="0.4">
      <c r="B29363" t="s">
        <v>7</v>
      </c>
      <c r="C29363" t="s">
        <v>4783</v>
      </c>
      <c r="D29363" s="7">
        <f>DATE(2007,2,20)</f>
        <v>39133</v>
      </c>
      <c r="E29363" s="8">
        <f t="shared" si="499"/>
        <v>2007</v>
      </c>
      <c r="F29363" t="s">
        <v>4784</v>
      </c>
      <c r="G29363" s="9">
        <v>5816.71</v>
      </c>
      <c r="H29363" s="8">
        <v>5583</v>
      </c>
    </row>
    <row r="29364" spans="2:8" ht="15" customHeight="1" x14ac:dyDescent="0.4">
      <c r="B29364" t="s">
        <v>7</v>
      </c>
      <c r="C29364" t="s">
        <v>4783</v>
      </c>
      <c r="D29364" s="7">
        <f>DATE(2007,4,25)</f>
        <v>39197</v>
      </c>
      <c r="E29364" s="8">
        <f t="shared" si="499"/>
        <v>2007</v>
      </c>
      <c r="F29364" t="s">
        <v>4784</v>
      </c>
      <c r="G29364" s="9">
        <v>23781</v>
      </c>
      <c r="H29364" s="8">
        <v>5159</v>
      </c>
    </row>
    <row r="29365" spans="2:8" ht="15" customHeight="1" x14ac:dyDescent="0.4">
      <c r="B29365" t="s">
        <v>7</v>
      </c>
      <c r="C29365" t="s">
        <v>4783</v>
      </c>
      <c r="D29365" s="7">
        <f>DATE(2007,5,2)</f>
        <v>39204</v>
      </c>
      <c r="E29365" s="8">
        <f t="shared" si="499"/>
        <v>2007</v>
      </c>
      <c r="F29365" t="s">
        <v>4784</v>
      </c>
      <c r="G29365" s="9">
        <v>5371</v>
      </c>
      <c r="H29365" s="8">
        <v>5681</v>
      </c>
    </row>
    <row r="29366" spans="2:8" ht="15" customHeight="1" x14ac:dyDescent="0.4">
      <c r="B29366" t="s">
        <v>7</v>
      </c>
      <c r="C29366" t="s">
        <v>4783</v>
      </c>
      <c r="D29366" s="7">
        <f>DATE(2007,5,24)</f>
        <v>39226</v>
      </c>
      <c r="E29366" s="8">
        <f t="shared" si="499"/>
        <v>2007</v>
      </c>
      <c r="F29366" t="s">
        <v>4784</v>
      </c>
      <c r="G29366" s="9">
        <v>7395.4</v>
      </c>
      <c r="H29366" s="8">
        <v>6011</v>
      </c>
    </row>
    <row r="29367" spans="2:8" ht="15" customHeight="1" x14ac:dyDescent="0.4">
      <c r="B29367" t="s">
        <v>7</v>
      </c>
      <c r="C29367" t="s">
        <v>4783</v>
      </c>
      <c r="D29367" s="7">
        <f>DATE(2007,11,21)</f>
        <v>39407</v>
      </c>
      <c r="E29367" s="8">
        <f t="shared" si="499"/>
        <v>2007</v>
      </c>
      <c r="F29367" t="s">
        <v>4784</v>
      </c>
      <c r="G29367" s="9">
        <v>4700</v>
      </c>
      <c r="H29367" s="8">
        <v>6608</v>
      </c>
    </row>
    <row r="29368" spans="2:8" ht="15" customHeight="1" x14ac:dyDescent="0.4">
      <c r="B29368" t="s">
        <v>7</v>
      </c>
      <c r="C29368" t="s">
        <v>4783</v>
      </c>
      <c r="D29368" s="7">
        <f>DATE(2008,4,2)</f>
        <v>39540</v>
      </c>
      <c r="E29368" s="8">
        <f t="shared" si="499"/>
        <v>2008</v>
      </c>
      <c r="F29368" t="s">
        <v>4784</v>
      </c>
      <c r="G29368" s="9">
        <v>10810</v>
      </c>
      <c r="H29368" s="8">
        <v>7122</v>
      </c>
    </row>
    <row r="29369" spans="2:8" ht="15" customHeight="1" x14ac:dyDescent="0.4">
      <c r="B29369" t="s">
        <v>7</v>
      </c>
      <c r="C29369" t="s">
        <v>4783</v>
      </c>
      <c r="D29369" s="7">
        <f>DATE(2008,4,16)</f>
        <v>39554</v>
      </c>
      <c r="E29369" s="8">
        <f t="shared" si="499"/>
        <v>2008</v>
      </c>
      <c r="F29369" t="s">
        <v>4784</v>
      </c>
      <c r="G29369" s="9">
        <v>10810</v>
      </c>
      <c r="H29369" s="8">
        <v>7185</v>
      </c>
    </row>
    <row r="29370" spans="2:8" ht="15" customHeight="1" x14ac:dyDescent="0.4">
      <c r="B29370" t="s">
        <v>7</v>
      </c>
      <c r="C29370" t="s">
        <v>4783</v>
      </c>
      <c r="D29370" s="7">
        <f>DATE(2008,5,6)</f>
        <v>39574</v>
      </c>
      <c r="E29370" s="8">
        <f t="shared" si="499"/>
        <v>2008</v>
      </c>
      <c r="F29370" t="s">
        <v>4784</v>
      </c>
      <c r="G29370" s="9">
        <v>36098.300000000003</v>
      </c>
      <c r="H29370" s="8">
        <v>7370</v>
      </c>
    </row>
    <row r="29371" spans="2:8" ht="15" customHeight="1" x14ac:dyDescent="0.4">
      <c r="B29371" t="s">
        <v>7</v>
      </c>
      <c r="C29371" t="s">
        <v>4783</v>
      </c>
      <c r="D29371" s="7">
        <f>DATE(2009,4,16)</f>
        <v>39919</v>
      </c>
      <c r="E29371" s="8">
        <f t="shared" si="499"/>
        <v>2009</v>
      </c>
      <c r="F29371" t="s">
        <v>4784</v>
      </c>
      <c r="G29371" s="9">
        <v>23960.55</v>
      </c>
      <c r="H29371" s="8">
        <v>8537</v>
      </c>
    </row>
    <row r="29372" spans="2:8" ht="15" customHeight="1" x14ac:dyDescent="0.4">
      <c r="B29372" t="s">
        <v>7</v>
      </c>
      <c r="C29372" t="s">
        <v>4783</v>
      </c>
      <c r="D29372" s="7">
        <f>DATE(2010,1,8)</f>
        <v>40186</v>
      </c>
      <c r="E29372" s="8">
        <f t="shared" si="499"/>
        <v>2010</v>
      </c>
      <c r="F29372" t="s">
        <v>4784</v>
      </c>
      <c r="G29372" s="9">
        <v>3088.73</v>
      </c>
      <c r="H29372" s="8">
        <v>9319</v>
      </c>
    </row>
    <row r="29373" spans="2:8" ht="15" customHeight="1" x14ac:dyDescent="0.4">
      <c r="B29373" t="s">
        <v>7</v>
      </c>
      <c r="C29373" t="s">
        <v>4783</v>
      </c>
      <c r="D29373" s="7">
        <f>DATE(2010,4,20)</f>
        <v>40288</v>
      </c>
      <c r="E29373" s="8">
        <f t="shared" si="499"/>
        <v>2010</v>
      </c>
      <c r="F29373" t="s">
        <v>4784</v>
      </c>
      <c r="G29373" s="9">
        <v>19650</v>
      </c>
      <c r="H29373" s="8">
        <v>9653</v>
      </c>
    </row>
    <row r="29374" spans="2:8" ht="15" customHeight="1" x14ac:dyDescent="0.4">
      <c r="B29374" t="s">
        <v>7</v>
      </c>
      <c r="C29374" t="s">
        <v>4783</v>
      </c>
      <c r="D29374" s="7">
        <f>DATE(2010,10,6)</f>
        <v>40457</v>
      </c>
      <c r="E29374" s="8">
        <f t="shared" si="499"/>
        <v>2010</v>
      </c>
      <c r="F29374" t="s">
        <v>4784</v>
      </c>
      <c r="G29374" s="9">
        <v>42757.919999999998</v>
      </c>
      <c r="H29374" s="8">
        <v>10130</v>
      </c>
    </row>
    <row r="29375" spans="2:8" ht="15" customHeight="1" x14ac:dyDescent="0.4">
      <c r="B29375" t="s">
        <v>7</v>
      </c>
      <c r="C29375" t="s">
        <v>4783</v>
      </c>
      <c r="D29375" s="7">
        <f>DATE(2011,4,8)</f>
        <v>40641</v>
      </c>
      <c r="E29375" s="8">
        <f t="shared" si="499"/>
        <v>2011</v>
      </c>
      <c r="F29375" t="s">
        <v>4784</v>
      </c>
      <c r="G29375" s="9">
        <v>10810</v>
      </c>
      <c r="H29375" s="8">
        <v>10544</v>
      </c>
    </row>
    <row r="29376" spans="2:8" ht="15" customHeight="1" x14ac:dyDescent="0.4">
      <c r="B29376" t="s">
        <v>7</v>
      </c>
      <c r="C29376" t="s">
        <v>4783</v>
      </c>
      <c r="D29376" s="7">
        <f>DATE(2011,4,25)</f>
        <v>40658</v>
      </c>
      <c r="E29376" s="8">
        <f t="shared" si="499"/>
        <v>2011</v>
      </c>
      <c r="F29376" t="s">
        <v>4784</v>
      </c>
      <c r="G29376" s="9">
        <v>10810</v>
      </c>
      <c r="H29376" s="8">
        <v>10543</v>
      </c>
    </row>
    <row r="29377" spans="2:8" ht="15" customHeight="1" x14ac:dyDescent="0.4">
      <c r="B29377" t="s">
        <v>7</v>
      </c>
      <c r="C29377" t="s">
        <v>4783</v>
      </c>
      <c r="D29377" s="7">
        <f>DATE(2012,4,11)</f>
        <v>41010</v>
      </c>
      <c r="E29377" s="8">
        <f t="shared" si="499"/>
        <v>2012</v>
      </c>
      <c r="F29377" t="s">
        <v>4784</v>
      </c>
      <c r="G29377" s="9">
        <v>21601.1</v>
      </c>
      <c r="H29377" s="8">
        <v>11429</v>
      </c>
    </row>
    <row r="29378" spans="2:8" ht="15" customHeight="1" x14ac:dyDescent="0.4">
      <c r="B29378" t="s">
        <v>7</v>
      </c>
      <c r="C29378" t="s">
        <v>4783</v>
      </c>
      <c r="D29378" s="7">
        <f>DATE(2012,5,25)</f>
        <v>41054</v>
      </c>
      <c r="E29378" s="8">
        <f t="shared" si="499"/>
        <v>2012</v>
      </c>
      <c r="F29378" t="s">
        <v>4784</v>
      </c>
      <c r="G29378" s="9">
        <v>5850</v>
      </c>
      <c r="H29378" s="8">
        <v>11559</v>
      </c>
    </row>
    <row r="29379" spans="2:8" ht="15" customHeight="1" x14ac:dyDescent="0.4">
      <c r="B29379" t="s">
        <v>7</v>
      </c>
      <c r="C29379" t="s">
        <v>4783</v>
      </c>
      <c r="D29379" s="7">
        <f>DATE(2013,3,19)</f>
        <v>41352</v>
      </c>
      <c r="E29379" s="8">
        <f t="shared" ref="E29379:E29442" si="500">YEAR(D29379)</f>
        <v>2013</v>
      </c>
      <c r="F29379" t="s">
        <v>4784</v>
      </c>
      <c r="G29379" s="9">
        <v>47117.919999999998</v>
      </c>
      <c r="H29379" s="8">
        <v>12246</v>
      </c>
    </row>
    <row r="29380" spans="2:8" ht="15" customHeight="1" x14ac:dyDescent="0.4">
      <c r="B29380" t="s">
        <v>7</v>
      </c>
      <c r="C29380" t="s">
        <v>4783</v>
      </c>
      <c r="D29380" s="7">
        <f>DATE(2013,4,9)</f>
        <v>41373</v>
      </c>
      <c r="E29380" s="8">
        <f t="shared" si="500"/>
        <v>2013</v>
      </c>
      <c r="F29380" t="s">
        <v>4784</v>
      </c>
      <c r="G29380" s="9">
        <v>23208.53</v>
      </c>
      <c r="H29380" s="8">
        <v>12245</v>
      </c>
    </row>
    <row r="29381" spans="2:8" ht="15" customHeight="1" x14ac:dyDescent="0.4">
      <c r="B29381" t="s">
        <v>7</v>
      </c>
      <c r="C29381" t="s">
        <v>4783</v>
      </c>
      <c r="D29381" s="7">
        <f>DATE(2013,9,26)</f>
        <v>41543</v>
      </c>
      <c r="E29381" s="8">
        <f t="shared" si="500"/>
        <v>2013</v>
      </c>
      <c r="F29381" t="s">
        <v>4784</v>
      </c>
      <c r="G29381" s="9">
        <v>11378.67</v>
      </c>
      <c r="H29381" s="8">
        <v>12660</v>
      </c>
    </row>
    <row r="29382" spans="2:8" ht="15" customHeight="1" x14ac:dyDescent="0.4">
      <c r="B29382" t="s">
        <v>7</v>
      </c>
      <c r="C29382" t="s">
        <v>4783</v>
      </c>
      <c r="D29382" s="7">
        <f>DATE(2014,3,21)</f>
        <v>41719</v>
      </c>
      <c r="E29382" s="8">
        <f t="shared" si="500"/>
        <v>2014</v>
      </c>
      <c r="F29382" t="s">
        <v>4784</v>
      </c>
      <c r="G29382" s="9">
        <v>14742.25</v>
      </c>
      <c r="H29382" s="8">
        <v>12992</v>
      </c>
    </row>
    <row r="29383" spans="2:8" ht="15" customHeight="1" x14ac:dyDescent="0.4">
      <c r="B29383" t="s">
        <v>7</v>
      </c>
      <c r="C29383" t="s">
        <v>4783</v>
      </c>
      <c r="D29383" s="7">
        <f>DATE(2014,4,3)</f>
        <v>41732</v>
      </c>
      <c r="E29383" s="8">
        <f t="shared" si="500"/>
        <v>2014</v>
      </c>
      <c r="F29383" t="s">
        <v>4784</v>
      </c>
      <c r="G29383" s="9">
        <v>12575</v>
      </c>
      <c r="H29383" s="8">
        <v>13103</v>
      </c>
    </row>
    <row r="29384" spans="2:8" ht="15" customHeight="1" x14ac:dyDescent="0.4">
      <c r="B29384" t="s">
        <v>7</v>
      </c>
      <c r="C29384" t="s">
        <v>4783</v>
      </c>
      <c r="D29384" s="7">
        <f>DATE(2014,10,10)</f>
        <v>41922</v>
      </c>
      <c r="E29384" s="8">
        <f t="shared" si="500"/>
        <v>2014</v>
      </c>
      <c r="F29384" t="s">
        <v>4784</v>
      </c>
      <c r="G29384" s="9">
        <v>6860</v>
      </c>
      <c r="H29384" s="8">
        <v>13511</v>
      </c>
    </row>
    <row r="29385" spans="2:8" ht="15" customHeight="1" x14ac:dyDescent="0.4">
      <c r="B29385" t="s">
        <v>7</v>
      </c>
      <c r="C29385" t="s">
        <v>4783</v>
      </c>
      <c r="D29385" s="7">
        <f>DATE(2010,7,1)</f>
        <v>40360</v>
      </c>
      <c r="E29385" s="8">
        <f t="shared" si="500"/>
        <v>2010</v>
      </c>
      <c r="F29385" t="s">
        <v>4784</v>
      </c>
      <c r="G29385" s="9">
        <v>4098.3599999999997</v>
      </c>
      <c r="H29385" s="8">
        <v>9947</v>
      </c>
    </row>
    <row r="29386" spans="2:8" ht="15" customHeight="1" x14ac:dyDescent="0.4">
      <c r="B29386" t="s">
        <v>7</v>
      </c>
      <c r="C29386" t="s">
        <v>4783</v>
      </c>
      <c r="D29386" s="7">
        <f>DATE(2014,9,5)</f>
        <v>41887</v>
      </c>
      <c r="E29386" s="8">
        <f t="shared" si="500"/>
        <v>2014</v>
      </c>
      <c r="F29386" t="s">
        <v>4784</v>
      </c>
      <c r="G29386" s="9">
        <v>10491.04</v>
      </c>
      <c r="H29386" s="8">
        <v>13440</v>
      </c>
    </row>
    <row r="29387" spans="2:8" ht="15" customHeight="1" x14ac:dyDescent="0.4">
      <c r="B29387" t="s">
        <v>16</v>
      </c>
      <c r="C29387" t="s">
        <v>4783</v>
      </c>
      <c r="D29387" s="7">
        <f>DATE(2007,8,1)</f>
        <v>39295</v>
      </c>
      <c r="E29387" s="8">
        <f t="shared" si="500"/>
        <v>2007</v>
      </c>
      <c r="F29387" t="s">
        <v>4784</v>
      </c>
      <c r="G29387" s="9">
        <v>1413.4</v>
      </c>
      <c r="H29387" s="8">
        <v>6271</v>
      </c>
    </row>
    <row r="29388" spans="2:8" ht="15" customHeight="1" x14ac:dyDescent="0.4">
      <c r="B29388" t="s">
        <v>16</v>
      </c>
      <c r="C29388" t="s">
        <v>4783</v>
      </c>
      <c r="D29388" s="7">
        <f>DATE(2009,7,11)</f>
        <v>40005</v>
      </c>
      <c r="E29388" s="8">
        <f t="shared" si="500"/>
        <v>2009</v>
      </c>
      <c r="F29388" t="s">
        <v>4784</v>
      </c>
      <c r="G29388" s="9">
        <v>390</v>
      </c>
      <c r="H29388" s="8">
        <v>8884</v>
      </c>
    </row>
    <row r="29389" spans="2:8" ht="15" customHeight="1" x14ac:dyDescent="0.4">
      <c r="B29389" s="3" t="s">
        <v>7</v>
      </c>
      <c r="C29389" s="3" t="s">
        <v>4783</v>
      </c>
      <c r="D29389" s="4">
        <f>DATE(2003,5,13)</f>
        <v>37754</v>
      </c>
      <c r="E29389" s="5">
        <f t="shared" si="500"/>
        <v>2003</v>
      </c>
      <c r="F29389" s="3" t="s">
        <v>4784</v>
      </c>
      <c r="G29389" s="6">
        <v>142.80000000000001</v>
      </c>
      <c r="H29389" s="5">
        <v>944</v>
      </c>
    </row>
    <row r="29390" spans="2:8" ht="15" customHeight="1" x14ac:dyDescent="0.4">
      <c r="B29390" s="3" t="s">
        <v>7</v>
      </c>
      <c r="C29390" s="3" t="s">
        <v>4783</v>
      </c>
      <c r="D29390" s="4">
        <f>DATE(2003,5,20)</f>
        <v>37761</v>
      </c>
      <c r="E29390" s="5">
        <f t="shared" si="500"/>
        <v>2003</v>
      </c>
      <c r="F29390" s="3" t="s">
        <v>4784</v>
      </c>
      <c r="G29390" s="6">
        <v>242</v>
      </c>
      <c r="H29390" s="5">
        <v>990</v>
      </c>
    </row>
    <row r="29391" spans="2:8" ht="15" customHeight="1" x14ac:dyDescent="0.4">
      <c r="B29391" s="3" t="s">
        <v>7</v>
      </c>
      <c r="C29391" s="3" t="s">
        <v>4783</v>
      </c>
      <c r="D29391" s="4">
        <f>DATE(2003,6,10)</f>
        <v>37782</v>
      </c>
      <c r="E29391" s="5">
        <f t="shared" si="500"/>
        <v>2003</v>
      </c>
      <c r="F29391" s="3" t="s">
        <v>4784</v>
      </c>
      <c r="G29391" s="6">
        <v>1700</v>
      </c>
      <c r="H29391" s="5">
        <v>992</v>
      </c>
    </row>
    <row r="29392" spans="2:8" ht="15" customHeight="1" x14ac:dyDescent="0.4">
      <c r="B29392" s="3" t="s">
        <v>7</v>
      </c>
      <c r="C29392" s="3" t="s">
        <v>4783</v>
      </c>
      <c r="D29392" s="4">
        <f>DATE(2003,11,4)</f>
        <v>37929</v>
      </c>
      <c r="E29392" s="5">
        <f t="shared" si="500"/>
        <v>2003</v>
      </c>
      <c r="F29392" s="3" t="s">
        <v>4784</v>
      </c>
      <c r="G29392" s="6">
        <v>1260</v>
      </c>
      <c r="H29392" s="5">
        <v>1730</v>
      </c>
    </row>
    <row r="29393" spans="2:8" ht="15" customHeight="1" x14ac:dyDescent="0.4">
      <c r="B29393" s="3" t="s">
        <v>7</v>
      </c>
      <c r="C29393" s="3" t="s">
        <v>4783</v>
      </c>
      <c r="D29393" s="4">
        <f>DATE(2003,12,10)</f>
        <v>37965</v>
      </c>
      <c r="E29393" s="5">
        <f t="shared" si="500"/>
        <v>2003</v>
      </c>
      <c r="F29393" s="3" t="s">
        <v>4784</v>
      </c>
      <c r="G29393" s="6">
        <v>1700</v>
      </c>
      <c r="H29393" s="5">
        <v>1777</v>
      </c>
    </row>
    <row r="29394" spans="2:8" ht="15" customHeight="1" x14ac:dyDescent="0.4">
      <c r="B29394" s="3" t="s">
        <v>7</v>
      </c>
      <c r="C29394" s="3" t="s">
        <v>4783</v>
      </c>
      <c r="D29394" s="4">
        <f>DATE(2004,4,28)</f>
        <v>38105</v>
      </c>
      <c r="E29394" s="5">
        <f t="shared" si="500"/>
        <v>2004</v>
      </c>
      <c r="F29394" s="3" t="s">
        <v>4784</v>
      </c>
      <c r="G29394" s="6">
        <v>1397.5</v>
      </c>
      <c r="H29394" s="5">
        <v>2677</v>
      </c>
    </row>
    <row r="29395" spans="2:8" ht="15" customHeight="1" x14ac:dyDescent="0.4">
      <c r="B29395" s="3" t="s">
        <v>7</v>
      </c>
      <c r="C29395" s="3" t="s">
        <v>4783</v>
      </c>
      <c r="D29395" s="4">
        <f>DATE(2004,5,12)</f>
        <v>38119</v>
      </c>
      <c r="E29395" s="5">
        <f t="shared" si="500"/>
        <v>2004</v>
      </c>
      <c r="F29395" s="3" t="s">
        <v>4784</v>
      </c>
      <c r="G29395" s="6">
        <v>1350</v>
      </c>
      <c r="H29395" s="5">
        <v>2872</v>
      </c>
    </row>
    <row r="29396" spans="2:8" ht="15" customHeight="1" x14ac:dyDescent="0.4">
      <c r="B29396" s="3" t="s">
        <v>7</v>
      </c>
      <c r="C29396" s="3" t="s">
        <v>4783</v>
      </c>
      <c r="D29396" s="4">
        <f>DATE(2004,6,30)</f>
        <v>38168</v>
      </c>
      <c r="E29396" s="5">
        <f t="shared" si="500"/>
        <v>2004</v>
      </c>
      <c r="F29396" s="3" t="s">
        <v>4784</v>
      </c>
      <c r="G29396" s="6">
        <v>406</v>
      </c>
      <c r="H29396" s="5">
        <v>3075</v>
      </c>
    </row>
    <row r="29397" spans="2:8" ht="15" customHeight="1" x14ac:dyDescent="0.4">
      <c r="B29397" s="3" t="s">
        <v>7</v>
      </c>
      <c r="C29397" s="3" t="s">
        <v>4783</v>
      </c>
      <c r="D29397" s="4">
        <f>DATE(2004,6,30)</f>
        <v>38168</v>
      </c>
      <c r="E29397" s="5">
        <f t="shared" si="500"/>
        <v>2004</v>
      </c>
      <c r="F29397" s="3" t="s">
        <v>4784</v>
      </c>
      <c r="G29397" s="6">
        <v>1260</v>
      </c>
      <c r="H29397" s="5">
        <v>3053</v>
      </c>
    </row>
    <row r="29398" spans="2:8" ht="15" customHeight="1" x14ac:dyDescent="0.4">
      <c r="B29398" s="3" t="s">
        <v>7</v>
      </c>
      <c r="C29398" s="3" t="s">
        <v>4783</v>
      </c>
      <c r="D29398" s="4">
        <f>DATE(2004,6,30)</f>
        <v>38168</v>
      </c>
      <c r="E29398" s="5">
        <f t="shared" si="500"/>
        <v>2004</v>
      </c>
      <c r="F29398" s="3" t="s">
        <v>4784</v>
      </c>
      <c r="G29398" s="6">
        <v>110.4</v>
      </c>
      <c r="H29398" s="5">
        <v>3076</v>
      </c>
    </row>
    <row r="29399" spans="2:8" ht="15" customHeight="1" x14ac:dyDescent="0.4">
      <c r="B29399" s="3" t="s">
        <v>7</v>
      </c>
      <c r="C29399" s="3" t="s">
        <v>4783</v>
      </c>
      <c r="D29399" s="4">
        <f>DATE(2004,7,1)</f>
        <v>38169</v>
      </c>
      <c r="E29399" s="5">
        <f t="shared" si="500"/>
        <v>2004</v>
      </c>
      <c r="F29399" s="3" t="s">
        <v>4784</v>
      </c>
      <c r="G29399" s="6">
        <v>900</v>
      </c>
      <c r="H29399" s="5">
        <v>3100</v>
      </c>
    </row>
    <row r="29400" spans="2:8" ht="15" customHeight="1" x14ac:dyDescent="0.4">
      <c r="B29400" s="3" t="s">
        <v>7</v>
      </c>
      <c r="C29400" s="3" t="s">
        <v>4783</v>
      </c>
      <c r="D29400" s="4">
        <f>DATE(2004,7,1)</f>
        <v>38169</v>
      </c>
      <c r="E29400" s="5">
        <f t="shared" si="500"/>
        <v>2004</v>
      </c>
      <c r="F29400" s="3" t="s">
        <v>4784</v>
      </c>
      <c r="G29400" s="6">
        <v>550</v>
      </c>
      <c r="H29400" s="5">
        <v>3108</v>
      </c>
    </row>
    <row r="29401" spans="2:8" ht="15" customHeight="1" x14ac:dyDescent="0.4">
      <c r="B29401" s="3" t="s">
        <v>7</v>
      </c>
      <c r="C29401" s="3" t="s">
        <v>4783</v>
      </c>
      <c r="D29401" s="4">
        <f>DATE(2004,7,30)</f>
        <v>38198</v>
      </c>
      <c r="E29401" s="5">
        <f t="shared" si="500"/>
        <v>2004</v>
      </c>
      <c r="F29401" s="3" t="s">
        <v>4784</v>
      </c>
      <c r="G29401" s="6">
        <v>750</v>
      </c>
      <c r="H29401" s="5">
        <v>3208</v>
      </c>
    </row>
    <row r="29402" spans="2:8" ht="15" customHeight="1" x14ac:dyDescent="0.4">
      <c r="B29402" s="3" t="s">
        <v>7</v>
      </c>
      <c r="C29402" s="3" t="s">
        <v>4783</v>
      </c>
      <c r="D29402" s="4">
        <f>DATE(2004,12,17)</f>
        <v>38338</v>
      </c>
      <c r="E29402" s="5">
        <f t="shared" si="500"/>
        <v>2004</v>
      </c>
      <c r="F29402" s="3" t="s">
        <v>4784</v>
      </c>
      <c r="G29402" s="6">
        <v>90</v>
      </c>
      <c r="H29402" s="5">
        <v>3841</v>
      </c>
    </row>
    <row r="29403" spans="2:8" ht="15" customHeight="1" x14ac:dyDescent="0.4">
      <c r="B29403" s="3" t="s">
        <v>7</v>
      </c>
      <c r="C29403" s="3" t="s">
        <v>4783</v>
      </c>
      <c r="D29403" s="4">
        <f>DATE(2005,1,6)</f>
        <v>38358</v>
      </c>
      <c r="E29403" s="5">
        <f t="shared" si="500"/>
        <v>2005</v>
      </c>
      <c r="F29403" s="3" t="s">
        <v>4784</v>
      </c>
      <c r="G29403" s="6">
        <v>2160</v>
      </c>
      <c r="H29403" s="5">
        <v>3882</v>
      </c>
    </row>
    <row r="29404" spans="2:8" ht="15" customHeight="1" x14ac:dyDescent="0.4">
      <c r="B29404" s="3" t="s">
        <v>7</v>
      </c>
      <c r="C29404" s="3" t="s">
        <v>4783</v>
      </c>
      <c r="D29404" s="4">
        <f>DATE(2005,1,7)</f>
        <v>38359</v>
      </c>
      <c r="E29404" s="5">
        <f t="shared" si="500"/>
        <v>2005</v>
      </c>
      <c r="F29404" s="3" t="s">
        <v>4784</v>
      </c>
      <c r="G29404" s="6">
        <v>110.4</v>
      </c>
      <c r="H29404" s="5">
        <v>3931</v>
      </c>
    </row>
    <row r="29405" spans="2:8" ht="15" customHeight="1" x14ac:dyDescent="0.4">
      <c r="B29405" s="3" t="s">
        <v>7</v>
      </c>
      <c r="C29405" s="3" t="s">
        <v>4783</v>
      </c>
      <c r="D29405" s="4">
        <f>DATE(2005,1,26)</f>
        <v>38378</v>
      </c>
      <c r="E29405" s="5">
        <f t="shared" si="500"/>
        <v>2005</v>
      </c>
      <c r="F29405" s="3" t="s">
        <v>4784</v>
      </c>
      <c r="G29405" s="6">
        <v>110.4</v>
      </c>
      <c r="H29405" s="5">
        <v>4024</v>
      </c>
    </row>
    <row r="29406" spans="2:8" ht="15" customHeight="1" x14ac:dyDescent="0.4">
      <c r="B29406" s="3" t="s">
        <v>7</v>
      </c>
      <c r="C29406" s="3" t="s">
        <v>4783</v>
      </c>
      <c r="D29406" s="4">
        <f>DATE(2005,3,7)</f>
        <v>38418</v>
      </c>
      <c r="E29406" s="5">
        <f t="shared" si="500"/>
        <v>2005</v>
      </c>
      <c r="F29406" s="3" t="s">
        <v>4784</v>
      </c>
      <c r="G29406" s="6">
        <v>380</v>
      </c>
      <c r="H29406" s="5">
        <v>4257</v>
      </c>
    </row>
    <row r="29407" spans="2:8" ht="15" customHeight="1" x14ac:dyDescent="0.4">
      <c r="B29407" s="3" t="s">
        <v>7</v>
      </c>
      <c r="C29407" s="3" t="s">
        <v>4783</v>
      </c>
      <c r="D29407" s="4">
        <f>DATE(2005,4,7)</f>
        <v>38449</v>
      </c>
      <c r="E29407" s="5">
        <f t="shared" si="500"/>
        <v>2005</v>
      </c>
      <c r="F29407" s="3" t="s">
        <v>4784</v>
      </c>
      <c r="G29407" s="6">
        <v>3800</v>
      </c>
      <c r="H29407" s="5">
        <v>4530</v>
      </c>
    </row>
    <row r="29408" spans="2:8" ht="15" customHeight="1" x14ac:dyDescent="0.4">
      <c r="B29408" s="3" t="s">
        <v>7</v>
      </c>
      <c r="C29408" s="3" t="s">
        <v>4783</v>
      </c>
      <c r="D29408" s="4">
        <f>DATE(2005,5,3)</f>
        <v>38475</v>
      </c>
      <c r="E29408" s="5">
        <f t="shared" si="500"/>
        <v>2005</v>
      </c>
      <c r="F29408" s="3" t="s">
        <v>4784</v>
      </c>
      <c r="G29408" s="6">
        <v>357</v>
      </c>
      <c r="H29408" s="5">
        <v>4681</v>
      </c>
    </row>
    <row r="29409" spans="2:8" ht="15" customHeight="1" x14ac:dyDescent="0.4">
      <c r="B29409" s="3" t="s">
        <v>7</v>
      </c>
      <c r="C29409" s="3" t="s">
        <v>4783</v>
      </c>
      <c r="D29409" s="4">
        <f>DATE(2005,11,1)</f>
        <v>38657</v>
      </c>
      <c r="E29409" s="5">
        <f t="shared" si="500"/>
        <v>2005</v>
      </c>
      <c r="F29409" s="3" t="s">
        <v>4784</v>
      </c>
      <c r="G29409" s="6">
        <v>3610</v>
      </c>
      <c r="H29409" s="5">
        <v>5506</v>
      </c>
    </row>
    <row r="29410" spans="2:8" ht="15" customHeight="1" x14ac:dyDescent="0.4">
      <c r="B29410" s="3" t="s">
        <v>7</v>
      </c>
      <c r="C29410" s="3" t="s">
        <v>4783</v>
      </c>
      <c r="D29410" s="4">
        <f>DATE(2005,11,16)</f>
        <v>38672</v>
      </c>
      <c r="E29410" s="5">
        <f t="shared" si="500"/>
        <v>2005</v>
      </c>
      <c r="F29410" s="3" t="s">
        <v>4784</v>
      </c>
      <c r="G29410" s="6">
        <v>44.16</v>
      </c>
      <c r="H29410" s="5">
        <v>5581</v>
      </c>
    </row>
    <row r="29411" spans="2:8" ht="15" customHeight="1" x14ac:dyDescent="0.4">
      <c r="B29411" s="3" t="s">
        <v>7</v>
      </c>
      <c r="C29411" s="3" t="s">
        <v>4783</v>
      </c>
      <c r="D29411" s="4">
        <f>DATE(2005,12,12)</f>
        <v>38698</v>
      </c>
      <c r="E29411" s="5">
        <f t="shared" si="500"/>
        <v>2005</v>
      </c>
      <c r="F29411" s="3" t="s">
        <v>4784</v>
      </c>
      <c r="G29411" s="6">
        <v>3230</v>
      </c>
      <c r="H29411" s="5">
        <v>5726</v>
      </c>
    </row>
    <row r="29412" spans="2:8" ht="15" customHeight="1" x14ac:dyDescent="0.4">
      <c r="B29412" s="3" t="s">
        <v>7</v>
      </c>
      <c r="C29412" s="3" t="s">
        <v>4783</v>
      </c>
      <c r="D29412" s="4">
        <f>DATE(2006,2,8)</f>
        <v>38756</v>
      </c>
      <c r="E29412" s="5">
        <f t="shared" si="500"/>
        <v>2006</v>
      </c>
      <c r="F29412" s="3" t="s">
        <v>4784</v>
      </c>
      <c r="G29412" s="6">
        <v>5000</v>
      </c>
      <c r="H29412" s="5">
        <v>5779</v>
      </c>
    </row>
    <row r="29413" spans="2:8" ht="15" customHeight="1" x14ac:dyDescent="0.4">
      <c r="B29413" s="3" t="s">
        <v>7</v>
      </c>
      <c r="C29413" s="3" t="s">
        <v>4783</v>
      </c>
      <c r="D29413" s="4">
        <f>DATE(2006,5,1)</f>
        <v>38838</v>
      </c>
      <c r="E29413" s="5">
        <f t="shared" si="500"/>
        <v>2006</v>
      </c>
      <c r="F29413" s="3" t="s">
        <v>4784</v>
      </c>
      <c r="G29413" s="6">
        <v>147.19999999999999</v>
      </c>
      <c r="H29413" s="5">
        <v>6583</v>
      </c>
    </row>
    <row r="29414" spans="2:8" ht="15" customHeight="1" x14ac:dyDescent="0.4">
      <c r="B29414" s="3" t="s">
        <v>7</v>
      </c>
      <c r="C29414" s="3" t="s">
        <v>4783</v>
      </c>
      <c r="D29414" s="4">
        <f>DATE(2006,5,12)</f>
        <v>38849</v>
      </c>
      <c r="E29414" s="5">
        <f t="shared" si="500"/>
        <v>2006</v>
      </c>
      <c r="F29414" s="3" t="s">
        <v>4784</v>
      </c>
      <c r="G29414" s="6">
        <v>95.68</v>
      </c>
      <c r="H29414" s="5">
        <v>6656</v>
      </c>
    </row>
    <row r="29415" spans="2:8" ht="15" customHeight="1" x14ac:dyDescent="0.4">
      <c r="B29415" s="3" t="s">
        <v>7</v>
      </c>
      <c r="C29415" s="3" t="s">
        <v>4783</v>
      </c>
      <c r="D29415" s="4">
        <f>DATE(2006,6,20)</f>
        <v>38888</v>
      </c>
      <c r="E29415" s="5">
        <f t="shared" si="500"/>
        <v>2006</v>
      </c>
      <c r="F29415" s="3" t="s">
        <v>4784</v>
      </c>
      <c r="G29415" s="6">
        <v>4560</v>
      </c>
      <c r="H29415" s="5">
        <v>6878</v>
      </c>
    </row>
    <row r="29416" spans="2:8" ht="15" customHeight="1" x14ac:dyDescent="0.4">
      <c r="B29416" s="3" t="s">
        <v>7</v>
      </c>
      <c r="C29416" s="3" t="s">
        <v>4783</v>
      </c>
      <c r="D29416" s="4">
        <f>DATE(2007,1,23)</f>
        <v>39105</v>
      </c>
      <c r="E29416" s="5">
        <f t="shared" si="500"/>
        <v>2007</v>
      </c>
      <c r="F29416" s="3" t="s">
        <v>4784</v>
      </c>
      <c r="G29416" s="6">
        <v>3610</v>
      </c>
      <c r="H29416" s="5">
        <v>7801</v>
      </c>
    </row>
    <row r="29417" spans="2:8" ht="15" customHeight="1" x14ac:dyDescent="0.4">
      <c r="B29417" s="3" t="s">
        <v>7</v>
      </c>
      <c r="C29417" s="3" t="s">
        <v>4783</v>
      </c>
      <c r="D29417" s="4">
        <f>DATE(2007,4,4)</f>
        <v>39176</v>
      </c>
      <c r="E29417" s="5">
        <f t="shared" si="500"/>
        <v>2007</v>
      </c>
      <c r="F29417" s="3" t="s">
        <v>4784</v>
      </c>
      <c r="G29417" s="6">
        <v>368</v>
      </c>
      <c r="H29417" s="5">
        <v>8182</v>
      </c>
    </row>
    <row r="29418" spans="2:8" ht="15" customHeight="1" x14ac:dyDescent="0.4">
      <c r="B29418" s="3" t="s">
        <v>7</v>
      </c>
      <c r="C29418" s="3" t="s">
        <v>4783</v>
      </c>
      <c r="D29418" s="4">
        <f>DATE(2007,5,14)</f>
        <v>39216</v>
      </c>
      <c r="E29418" s="5">
        <f t="shared" si="500"/>
        <v>2007</v>
      </c>
      <c r="F29418" s="3" t="s">
        <v>4784</v>
      </c>
      <c r="G29418" s="6">
        <v>187.5</v>
      </c>
      <c r="H29418" s="5">
        <v>8548</v>
      </c>
    </row>
    <row r="29419" spans="2:8" ht="15" customHeight="1" x14ac:dyDescent="0.4">
      <c r="B29419" s="3" t="s">
        <v>7</v>
      </c>
      <c r="C29419" s="3" t="s">
        <v>4783</v>
      </c>
      <c r="D29419" s="4">
        <f>DATE(2007,5,16)</f>
        <v>39218</v>
      </c>
      <c r="E29419" s="5">
        <f t="shared" si="500"/>
        <v>2007</v>
      </c>
      <c r="F29419" s="3" t="s">
        <v>4784</v>
      </c>
      <c r="G29419" s="6">
        <v>35.200000000000003</v>
      </c>
      <c r="H29419" s="5">
        <v>8573</v>
      </c>
    </row>
    <row r="29420" spans="2:8" ht="15" customHeight="1" x14ac:dyDescent="0.4">
      <c r="B29420" s="3" t="s">
        <v>7</v>
      </c>
      <c r="C29420" s="3" t="s">
        <v>4783</v>
      </c>
      <c r="D29420" s="4">
        <f>DATE(2007,5,23)</f>
        <v>39225</v>
      </c>
      <c r="E29420" s="5">
        <f t="shared" si="500"/>
        <v>2007</v>
      </c>
      <c r="F29420" s="3" t="s">
        <v>4784</v>
      </c>
      <c r="G29420" s="6">
        <v>880</v>
      </c>
      <c r="H29420" s="5">
        <v>8650</v>
      </c>
    </row>
    <row r="29421" spans="2:8" ht="15" customHeight="1" x14ac:dyDescent="0.4">
      <c r="B29421" s="3" t="s">
        <v>7</v>
      </c>
      <c r="C29421" s="3" t="s">
        <v>4783</v>
      </c>
      <c r="D29421" s="4">
        <f>DATE(2007,6,4)</f>
        <v>39237</v>
      </c>
      <c r="E29421" s="5">
        <f t="shared" si="500"/>
        <v>2007</v>
      </c>
      <c r="F29421" s="3" t="s">
        <v>4784</v>
      </c>
      <c r="G29421" s="6">
        <v>1408</v>
      </c>
      <c r="H29421" s="5">
        <v>8658</v>
      </c>
    </row>
    <row r="29422" spans="2:8" ht="15" customHeight="1" x14ac:dyDescent="0.4">
      <c r="B29422" s="3" t="s">
        <v>7</v>
      </c>
      <c r="C29422" s="3" t="s">
        <v>4783</v>
      </c>
      <c r="D29422" s="4">
        <f>DATE(2007,6,12)</f>
        <v>39245</v>
      </c>
      <c r="E29422" s="5">
        <f t="shared" si="500"/>
        <v>2007</v>
      </c>
      <c r="F29422" s="3" t="s">
        <v>4784</v>
      </c>
      <c r="G29422" s="6">
        <v>375</v>
      </c>
      <c r="H29422" s="5">
        <v>8746</v>
      </c>
    </row>
    <row r="29423" spans="2:8" ht="15" customHeight="1" x14ac:dyDescent="0.4">
      <c r="B29423" s="3" t="s">
        <v>7</v>
      </c>
      <c r="C29423" s="3" t="s">
        <v>4783</v>
      </c>
      <c r="D29423" s="4">
        <f>DATE(2007,6,12)</f>
        <v>39245</v>
      </c>
      <c r="E29423" s="5">
        <f t="shared" si="500"/>
        <v>2007</v>
      </c>
      <c r="F29423" s="3" t="s">
        <v>4784</v>
      </c>
      <c r="G29423" s="6">
        <v>6300</v>
      </c>
      <c r="H29423" s="5">
        <v>8625</v>
      </c>
    </row>
    <row r="29424" spans="2:8" ht="15" customHeight="1" x14ac:dyDescent="0.4">
      <c r="B29424" s="3" t="s">
        <v>7</v>
      </c>
      <c r="C29424" s="3" t="s">
        <v>4783</v>
      </c>
      <c r="D29424" s="4">
        <f>DATE(2007,9,17)</f>
        <v>39342</v>
      </c>
      <c r="E29424" s="5">
        <f t="shared" si="500"/>
        <v>2007</v>
      </c>
      <c r="F29424" s="3" t="s">
        <v>4784</v>
      </c>
      <c r="G29424" s="6">
        <v>2850</v>
      </c>
      <c r="H29424" s="5">
        <v>9184</v>
      </c>
    </row>
    <row r="29425" spans="2:8" ht="15" customHeight="1" x14ac:dyDescent="0.4">
      <c r="B29425" s="3" t="s">
        <v>7</v>
      </c>
      <c r="C29425" s="3" t="s">
        <v>4783</v>
      </c>
      <c r="D29425" s="4">
        <f>DATE(2007,9,27)</f>
        <v>39352</v>
      </c>
      <c r="E29425" s="5">
        <f t="shared" si="500"/>
        <v>2007</v>
      </c>
      <c r="F29425" s="3" t="s">
        <v>4784</v>
      </c>
      <c r="G29425" s="6">
        <v>142</v>
      </c>
      <c r="H29425" s="5">
        <v>9245</v>
      </c>
    </row>
    <row r="29426" spans="2:8" ht="15" customHeight="1" x14ac:dyDescent="0.4">
      <c r="B29426" s="3" t="s">
        <v>7</v>
      </c>
      <c r="C29426" s="3" t="s">
        <v>4783</v>
      </c>
      <c r="D29426" s="4">
        <f>DATE(2007,10,5)</f>
        <v>39360</v>
      </c>
      <c r="E29426" s="5">
        <f t="shared" si="500"/>
        <v>2007</v>
      </c>
      <c r="F29426" s="3" t="s">
        <v>4784</v>
      </c>
      <c r="G29426" s="6">
        <v>3420</v>
      </c>
      <c r="H29426" s="5">
        <v>9285</v>
      </c>
    </row>
    <row r="29427" spans="2:8" ht="15" customHeight="1" x14ac:dyDescent="0.4">
      <c r="B29427" s="3" t="s">
        <v>7</v>
      </c>
      <c r="C29427" s="3" t="s">
        <v>4783</v>
      </c>
      <c r="D29427" s="4">
        <f>DATE(2008,3,26)</f>
        <v>39533</v>
      </c>
      <c r="E29427" s="5">
        <f t="shared" si="500"/>
        <v>2008</v>
      </c>
      <c r="F29427" s="3" t="s">
        <v>4784</v>
      </c>
      <c r="G29427" s="6">
        <v>4576</v>
      </c>
      <c r="H29427" s="5">
        <v>10302</v>
      </c>
    </row>
    <row r="29428" spans="2:8" ht="15" customHeight="1" x14ac:dyDescent="0.4">
      <c r="B29428" s="3" t="s">
        <v>7</v>
      </c>
      <c r="C29428" s="3" t="s">
        <v>4783</v>
      </c>
      <c r="D29428" s="4">
        <f>DATE(2008,5,5)</f>
        <v>39573</v>
      </c>
      <c r="E29428" s="5">
        <f t="shared" si="500"/>
        <v>2008</v>
      </c>
      <c r="F29428" s="3" t="s">
        <v>4784</v>
      </c>
      <c r="G29428" s="6">
        <v>2660</v>
      </c>
      <c r="H29428" s="5">
        <v>10578</v>
      </c>
    </row>
    <row r="29429" spans="2:8" ht="15" customHeight="1" x14ac:dyDescent="0.4">
      <c r="B29429" s="3" t="s">
        <v>7</v>
      </c>
      <c r="C29429" s="3" t="s">
        <v>4783</v>
      </c>
      <c r="D29429" s="4">
        <f>DATE(2008,5,6)</f>
        <v>39574</v>
      </c>
      <c r="E29429" s="5">
        <f t="shared" si="500"/>
        <v>2008</v>
      </c>
      <c r="F29429" s="3" t="s">
        <v>4784</v>
      </c>
      <c r="G29429" s="6">
        <v>17065.060000000001</v>
      </c>
      <c r="H29429" s="5">
        <v>10537</v>
      </c>
    </row>
    <row r="29430" spans="2:8" ht="15" customHeight="1" x14ac:dyDescent="0.4">
      <c r="B29430" s="3" t="s">
        <v>7</v>
      </c>
      <c r="C29430" s="3" t="s">
        <v>4783</v>
      </c>
      <c r="D29430" s="4">
        <f>DATE(2008,6,6)</f>
        <v>39605</v>
      </c>
      <c r="E29430" s="5">
        <f t="shared" si="500"/>
        <v>2008</v>
      </c>
      <c r="F29430" s="3" t="s">
        <v>4784</v>
      </c>
      <c r="G29430" s="6">
        <v>187.5</v>
      </c>
      <c r="H29430" s="5">
        <v>10799</v>
      </c>
    </row>
    <row r="29431" spans="2:8" ht="15" customHeight="1" x14ac:dyDescent="0.4">
      <c r="B29431" s="3" t="s">
        <v>7</v>
      </c>
      <c r="C29431" s="3" t="s">
        <v>4783</v>
      </c>
      <c r="D29431" s="4">
        <f>DATE(2008,8,18)</f>
        <v>39678</v>
      </c>
      <c r="E29431" s="5">
        <f t="shared" si="500"/>
        <v>2008</v>
      </c>
      <c r="F29431" s="3" t="s">
        <v>4784</v>
      </c>
      <c r="G29431" s="6">
        <v>187.5</v>
      </c>
      <c r="H29431" s="5">
        <v>11090</v>
      </c>
    </row>
    <row r="29432" spans="2:8" ht="15" customHeight="1" x14ac:dyDescent="0.4">
      <c r="B29432" s="3" t="s">
        <v>7</v>
      </c>
      <c r="C29432" s="3" t="s">
        <v>4783</v>
      </c>
      <c r="D29432" s="4">
        <f>DATE(2008,8,21)</f>
        <v>39681</v>
      </c>
      <c r="E29432" s="5">
        <f t="shared" si="500"/>
        <v>2008</v>
      </c>
      <c r="F29432" s="3" t="s">
        <v>4784</v>
      </c>
      <c r="G29432" s="6">
        <v>150</v>
      </c>
      <c r="H29432" s="5">
        <v>11122</v>
      </c>
    </row>
    <row r="29433" spans="2:8" ht="15" customHeight="1" x14ac:dyDescent="0.4">
      <c r="B29433" s="3" t="s">
        <v>7</v>
      </c>
      <c r="C29433" s="3" t="s">
        <v>4783</v>
      </c>
      <c r="D29433" s="4">
        <f>DATE(2008,9,16)</f>
        <v>39707</v>
      </c>
      <c r="E29433" s="5">
        <f t="shared" si="500"/>
        <v>2008</v>
      </c>
      <c r="F29433" s="3" t="s">
        <v>4784</v>
      </c>
      <c r="G29433" s="6">
        <v>375</v>
      </c>
      <c r="H29433" s="5">
        <v>11262</v>
      </c>
    </row>
    <row r="29434" spans="2:8" ht="15" customHeight="1" x14ac:dyDescent="0.4">
      <c r="B29434" s="3" t="s">
        <v>7</v>
      </c>
      <c r="C29434" s="3" t="s">
        <v>4783</v>
      </c>
      <c r="D29434" s="4">
        <f>DATE(2008,9,22)</f>
        <v>39713</v>
      </c>
      <c r="E29434" s="5">
        <f t="shared" si="500"/>
        <v>2008</v>
      </c>
      <c r="F29434" s="3" t="s">
        <v>4784</v>
      </c>
      <c r="G29434" s="6">
        <v>187.5</v>
      </c>
      <c r="H29434" s="5">
        <v>11276</v>
      </c>
    </row>
    <row r="29435" spans="2:8" ht="15" customHeight="1" x14ac:dyDescent="0.4">
      <c r="B29435" s="3" t="s">
        <v>7</v>
      </c>
      <c r="C29435" s="3" t="s">
        <v>4783</v>
      </c>
      <c r="D29435" s="4">
        <f>DATE(2008,10,1)</f>
        <v>39722</v>
      </c>
      <c r="E29435" s="5">
        <f t="shared" si="500"/>
        <v>2008</v>
      </c>
      <c r="F29435" s="3" t="s">
        <v>4784</v>
      </c>
      <c r="G29435" s="6">
        <v>150</v>
      </c>
      <c r="H29435" s="5">
        <v>11329</v>
      </c>
    </row>
    <row r="29436" spans="2:8" ht="15" customHeight="1" x14ac:dyDescent="0.4">
      <c r="B29436" s="3" t="s">
        <v>7</v>
      </c>
      <c r="C29436" s="3" t="s">
        <v>4783</v>
      </c>
      <c r="D29436" s="4">
        <f>DATE(2008,10,17)</f>
        <v>39738</v>
      </c>
      <c r="E29436" s="5">
        <f t="shared" si="500"/>
        <v>2008</v>
      </c>
      <c r="F29436" s="3" t="s">
        <v>4784</v>
      </c>
      <c r="G29436" s="6">
        <v>312.5</v>
      </c>
      <c r="H29436" s="5">
        <v>11437</v>
      </c>
    </row>
    <row r="29437" spans="2:8" ht="15" customHeight="1" x14ac:dyDescent="0.4">
      <c r="B29437" s="3" t="s">
        <v>7</v>
      </c>
      <c r="C29437" s="3" t="s">
        <v>4783</v>
      </c>
      <c r="D29437" s="4">
        <f>DATE(2008,10,16)</f>
        <v>39737</v>
      </c>
      <c r="E29437" s="5">
        <f t="shared" si="500"/>
        <v>2008</v>
      </c>
      <c r="F29437" s="3" t="s">
        <v>4784</v>
      </c>
      <c r="G29437" s="6">
        <v>150</v>
      </c>
      <c r="H29437" s="5">
        <v>11434</v>
      </c>
    </row>
    <row r="29438" spans="2:8" ht="15" customHeight="1" x14ac:dyDescent="0.4">
      <c r="B29438" s="3" t="s">
        <v>7</v>
      </c>
      <c r="C29438" s="3" t="s">
        <v>4783</v>
      </c>
      <c r="D29438" s="4">
        <f>DATE(2008,12,9)</f>
        <v>39791</v>
      </c>
      <c r="E29438" s="5">
        <f t="shared" si="500"/>
        <v>2008</v>
      </c>
      <c r="F29438" s="3" t="s">
        <v>4784</v>
      </c>
      <c r="G29438" s="6">
        <v>3040</v>
      </c>
      <c r="H29438" s="5">
        <v>11663</v>
      </c>
    </row>
    <row r="29439" spans="2:8" ht="15" customHeight="1" x14ac:dyDescent="0.4">
      <c r="B29439" s="3" t="s">
        <v>7</v>
      </c>
      <c r="C29439" s="3" t="s">
        <v>4783</v>
      </c>
      <c r="D29439" s="4">
        <f>DATE(2009,2,10)</f>
        <v>39854</v>
      </c>
      <c r="E29439" s="5">
        <f t="shared" si="500"/>
        <v>2009</v>
      </c>
      <c r="F29439" s="3" t="s">
        <v>4784</v>
      </c>
      <c r="G29439" s="6">
        <v>1750</v>
      </c>
      <c r="H29439" s="5">
        <v>11919</v>
      </c>
    </row>
    <row r="29440" spans="2:8" ht="15" customHeight="1" x14ac:dyDescent="0.4">
      <c r="B29440" s="3" t="s">
        <v>7</v>
      </c>
      <c r="C29440" s="3" t="s">
        <v>4783</v>
      </c>
      <c r="D29440" s="4">
        <f>DATE(2010,1,14)</f>
        <v>40192</v>
      </c>
      <c r="E29440" s="5">
        <f t="shared" si="500"/>
        <v>2010</v>
      </c>
      <c r="F29440" s="3" t="s">
        <v>4784</v>
      </c>
      <c r="G29440" s="6">
        <v>187.5</v>
      </c>
      <c r="H29440" s="5">
        <v>13407</v>
      </c>
    </row>
    <row r="29441" spans="2:8" ht="15" customHeight="1" x14ac:dyDescent="0.4">
      <c r="B29441" s="3" t="s">
        <v>7</v>
      </c>
      <c r="C29441" s="3" t="s">
        <v>4783</v>
      </c>
      <c r="D29441" s="4">
        <f>DATE(2010,1,21)</f>
        <v>40199</v>
      </c>
      <c r="E29441" s="5">
        <f t="shared" si="500"/>
        <v>2010</v>
      </c>
      <c r="F29441" s="3" t="s">
        <v>4784</v>
      </c>
      <c r="G29441" s="6">
        <v>2660</v>
      </c>
      <c r="H29441" s="5">
        <v>13433</v>
      </c>
    </row>
    <row r="29442" spans="2:8" ht="15" customHeight="1" x14ac:dyDescent="0.4">
      <c r="B29442" s="3" t="s">
        <v>7</v>
      </c>
      <c r="C29442" s="3" t="s">
        <v>4783</v>
      </c>
      <c r="D29442" s="4">
        <f>DATE(2010,1,29)</f>
        <v>40207</v>
      </c>
      <c r="E29442" s="5">
        <f t="shared" si="500"/>
        <v>2010</v>
      </c>
      <c r="F29442" s="3" t="s">
        <v>4784</v>
      </c>
      <c r="G29442" s="6">
        <v>187.5</v>
      </c>
      <c r="H29442" s="5">
        <v>13462</v>
      </c>
    </row>
    <row r="29443" spans="2:8" ht="15" customHeight="1" x14ac:dyDescent="0.4">
      <c r="B29443" s="3" t="s">
        <v>7</v>
      </c>
      <c r="C29443" s="3" t="s">
        <v>4783</v>
      </c>
      <c r="D29443" s="4">
        <f>DATE(2010,2,5)</f>
        <v>40214</v>
      </c>
      <c r="E29443" s="5">
        <f t="shared" ref="E29443:E29506" si="501">YEAR(D29443)</f>
        <v>2010</v>
      </c>
      <c r="F29443" s="3" t="s">
        <v>4784</v>
      </c>
      <c r="G29443" s="6">
        <v>402.75</v>
      </c>
      <c r="H29443" s="5">
        <v>13521</v>
      </c>
    </row>
    <row r="29444" spans="2:8" ht="15" customHeight="1" x14ac:dyDescent="0.4">
      <c r="B29444" s="3" t="s">
        <v>7</v>
      </c>
      <c r="C29444" s="3" t="s">
        <v>4783</v>
      </c>
      <c r="D29444" s="4">
        <f>DATE(2010,2,5)</f>
        <v>40214</v>
      </c>
      <c r="E29444" s="5">
        <f t="shared" si="501"/>
        <v>2010</v>
      </c>
      <c r="F29444" s="3" t="s">
        <v>4784</v>
      </c>
      <c r="G29444" s="6">
        <v>570.5</v>
      </c>
      <c r="H29444" s="5">
        <v>13526</v>
      </c>
    </row>
    <row r="29445" spans="2:8" ht="15" customHeight="1" x14ac:dyDescent="0.4">
      <c r="B29445" s="3" t="s">
        <v>7</v>
      </c>
      <c r="C29445" s="3" t="s">
        <v>4783</v>
      </c>
      <c r="D29445" s="4">
        <f>DATE(2010,2,19)</f>
        <v>40228</v>
      </c>
      <c r="E29445" s="5">
        <f t="shared" si="501"/>
        <v>2010</v>
      </c>
      <c r="F29445" s="3" t="s">
        <v>4784</v>
      </c>
      <c r="G29445" s="6">
        <v>570.5</v>
      </c>
      <c r="H29445" s="5">
        <v>13624</v>
      </c>
    </row>
    <row r="29446" spans="2:8" ht="15" customHeight="1" x14ac:dyDescent="0.4">
      <c r="B29446" s="3" t="s">
        <v>7</v>
      </c>
      <c r="C29446" s="3" t="s">
        <v>4783</v>
      </c>
      <c r="D29446" s="4">
        <f>DATE(2010,11,22)</f>
        <v>40504</v>
      </c>
      <c r="E29446" s="5">
        <f t="shared" si="501"/>
        <v>2010</v>
      </c>
      <c r="F29446" s="3" t="s">
        <v>4784</v>
      </c>
      <c r="G29446" s="6">
        <v>60.5</v>
      </c>
      <c r="H29446" s="5">
        <v>14751</v>
      </c>
    </row>
    <row r="29447" spans="2:8" ht="15" customHeight="1" x14ac:dyDescent="0.4">
      <c r="B29447" s="3" t="s">
        <v>7</v>
      </c>
      <c r="C29447" s="3" t="s">
        <v>4783</v>
      </c>
      <c r="D29447" s="4">
        <f>DATE(2011,2,17)</f>
        <v>40591</v>
      </c>
      <c r="E29447" s="5">
        <f t="shared" si="501"/>
        <v>2011</v>
      </c>
      <c r="F29447" s="3" t="s">
        <v>4784</v>
      </c>
      <c r="G29447" s="6">
        <v>143</v>
      </c>
      <c r="H29447" s="5">
        <v>15077</v>
      </c>
    </row>
    <row r="29448" spans="2:8" ht="15" customHeight="1" x14ac:dyDescent="0.4">
      <c r="B29448" s="3" t="s">
        <v>7</v>
      </c>
      <c r="C29448" s="3" t="s">
        <v>4783</v>
      </c>
      <c r="D29448" s="4">
        <f>DATE(2011,4,21)</f>
        <v>40654</v>
      </c>
      <c r="E29448" s="5">
        <f t="shared" si="501"/>
        <v>2011</v>
      </c>
      <c r="F29448" s="3" t="s">
        <v>4784</v>
      </c>
      <c r="G29448" s="6">
        <v>4200</v>
      </c>
      <c r="H29448" s="5">
        <v>15429</v>
      </c>
    </row>
    <row r="29449" spans="2:8" ht="15" customHeight="1" x14ac:dyDescent="0.4">
      <c r="B29449" s="3" t="s">
        <v>7</v>
      </c>
      <c r="C29449" s="3" t="s">
        <v>4783</v>
      </c>
      <c r="D29449" s="4">
        <f>DATE(2011,4,26)</f>
        <v>40659</v>
      </c>
      <c r="E29449" s="5">
        <f t="shared" si="501"/>
        <v>2011</v>
      </c>
      <c r="F29449" s="3" t="s">
        <v>4784</v>
      </c>
      <c r="G29449" s="6">
        <v>144</v>
      </c>
      <c r="H29449" s="5">
        <v>15364</v>
      </c>
    </row>
    <row r="29450" spans="2:8" ht="15" customHeight="1" x14ac:dyDescent="0.4">
      <c r="B29450" s="3" t="s">
        <v>7</v>
      </c>
      <c r="C29450" s="3" t="s">
        <v>4783</v>
      </c>
      <c r="D29450" s="4">
        <f>DATE(2011,8,18)</f>
        <v>40773</v>
      </c>
      <c r="E29450" s="5">
        <f t="shared" si="501"/>
        <v>2011</v>
      </c>
      <c r="F29450" s="3" t="s">
        <v>4784</v>
      </c>
      <c r="G29450" s="6">
        <v>787.5</v>
      </c>
      <c r="H29450" s="5">
        <v>15880</v>
      </c>
    </row>
    <row r="29451" spans="2:8" ht="15" customHeight="1" x14ac:dyDescent="0.4">
      <c r="B29451" s="3" t="s">
        <v>7</v>
      </c>
      <c r="C29451" s="3" t="s">
        <v>4783</v>
      </c>
      <c r="D29451" s="4">
        <f>DATE(2011,8,18)</f>
        <v>40773</v>
      </c>
      <c r="E29451" s="5">
        <f t="shared" si="501"/>
        <v>2011</v>
      </c>
      <c r="F29451" s="3" t="s">
        <v>4784</v>
      </c>
      <c r="G29451" s="6">
        <v>37.5</v>
      </c>
      <c r="H29451" s="5">
        <v>15878</v>
      </c>
    </row>
    <row r="29452" spans="2:8" ht="15" customHeight="1" x14ac:dyDescent="0.4">
      <c r="B29452" s="3" t="s">
        <v>7</v>
      </c>
      <c r="C29452" s="3" t="s">
        <v>4783</v>
      </c>
      <c r="D29452" s="4">
        <f>DATE(2011,8,18)</f>
        <v>40773</v>
      </c>
      <c r="E29452" s="5">
        <f t="shared" si="501"/>
        <v>2011</v>
      </c>
      <c r="F29452" s="3" t="s">
        <v>4784</v>
      </c>
      <c r="G29452" s="6">
        <v>900</v>
      </c>
      <c r="H29452" s="5">
        <v>15884</v>
      </c>
    </row>
    <row r="29453" spans="2:8" ht="15" customHeight="1" x14ac:dyDescent="0.4">
      <c r="B29453" s="3" t="s">
        <v>7</v>
      </c>
      <c r="C29453" s="3" t="s">
        <v>4783</v>
      </c>
      <c r="D29453" s="4">
        <f>DATE(2011,8,19)</f>
        <v>40774</v>
      </c>
      <c r="E29453" s="5">
        <f t="shared" si="501"/>
        <v>2011</v>
      </c>
      <c r="F29453" s="3" t="s">
        <v>4784</v>
      </c>
      <c r="G29453" s="6">
        <v>250</v>
      </c>
      <c r="H29453" s="5">
        <v>15897</v>
      </c>
    </row>
    <row r="29454" spans="2:8" ht="15" customHeight="1" x14ac:dyDescent="0.4">
      <c r="B29454" s="3" t="s">
        <v>7</v>
      </c>
      <c r="C29454" s="3" t="s">
        <v>4783</v>
      </c>
      <c r="D29454" s="4">
        <f>DATE(2011,8,24)</f>
        <v>40779</v>
      </c>
      <c r="E29454" s="5">
        <f t="shared" si="501"/>
        <v>2011</v>
      </c>
      <c r="F29454" s="3" t="s">
        <v>4784</v>
      </c>
      <c r="G29454" s="6">
        <v>562.5</v>
      </c>
      <c r="H29454" s="5">
        <v>15903</v>
      </c>
    </row>
    <row r="29455" spans="2:8" ht="15" customHeight="1" x14ac:dyDescent="0.4">
      <c r="B29455" s="3" t="s">
        <v>7</v>
      </c>
      <c r="C29455" s="3" t="s">
        <v>4783</v>
      </c>
      <c r="D29455" s="4">
        <f>DATE(2011,9,15)</f>
        <v>40801</v>
      </c>
      <c r="E29455" s="5">
        <f t="shared" si="501"/>
        <v>2011</v>
      </c>
      <c r="F29455" s="3" t="s">
        <v>4784</v>
      </c>
      <c r="G29455" s="6">
        <v>250</v>
      </c>
      <c r="H29455" s="5">
        <v>15887</v>
      </c>
    </row>
    <row r="29456" spans="2:8" ht="15" customHeight="1" x14ac:dyDescent="0.4">
      <c r="B29456" s="3" t="s">
        <v>7</v>
      </c>
      <c r="C29456" s="3" t="s">
        <v>4783</v>
      </c>
      <c r="D29456" s="4">
        <f>DATE(2011,9,16)</f>
        <v>40802</v>
      </c>
      <c r="E29456" s="5">
        <f t="shared" si="501"/>
        <v>2011</v>
      </c>
      <c r="F29456" s="3" t="s">
        <v>4784</v>
      </c>
      <c r="G29456" s="6">
        <v>687.5</v>
      </c>
      <c r="H29456" s="5">
        <v>15996</v>
      </c>
    </row>
    <row r="29457" spans="2:8" ht="15" customHeight="1" x14ac:dyDescent="0.4">
      <c r="B29457" s="3" t="s">
        <v>7</v>
      </c>
      <c r="C29457" s="3" t="s">
        <v>4783</v>
      </c>
      <c r="D29457" s="4">
        <f>DATE(2011,9,26)</f>
        <v>40812</v>
      </c>
      <c r="E29457" s="5">
        <f t="shared" si="501"/>
        <v>2011</v>
      </c>
      <c r="F29457" s="3" t="s">
        <v>4784</v>
      </c>
      <c r="G29457" s="6">
        <v>4560</v>
      </c>
      <c r="H29457" s="5">
        <v>16020</v>
      </c>
    </row>
    <row r="29458" spans="2:8" ht="15" customHeight="1" x14ac:dyDescent="0.4">
      <c r="B29458" s="3" t="s">
        <v>7</v>
      </c>
      <c r="C29458" s="3" t="s">
        <v>4783</v>
      </c>
      <c r="D29458" s="4">
        <f>DATE(2011,12,1)</f>
        <v>40878</v>
      </c>
      <c r="E29458" s="5">
        <f t="shared" si="501"/>
        <v>2011</v>
      </c>
      <c r="F29458" s="3" t="s">
        <v>4784</v>
      </c>
      <c r="G29458" s="6">
        <v>4560</v>
      </c>
      <c r="H29458" s="5">
        <v>16258</v>
      </c>
    </row>
    <row r="29459" spans="2:8" ht="15" customHeight="1" x14ac:dyDescent="0.4">
      <c r="B29459" s="3" t="s">
        <v>7</v>
      </c>
      <c r="C29459" s="3" t="s">
        <v>4783</v>
      </c>
      <c r="D29459" s="4">
        <f>DATE(2012,1,11)</f>
        <v>40919</v>
      </c>
      <c r="E29459" s="5">
        <f t="shared" si="501"/>
        <v>2012</v>
      </c>
      <c r="F29459" s="3" t="s">
        <v>4784</v>
      </c>
      <c r="G29459" s="6">
        <v>250</v>
      </c>
      <c r="H29459" s="5">
        <v>16304</v>
      </c>
    </row>
    <row r="29460" spans="2:8" ht="15" customHeight="1" x14ac:dyDescent="0.4">
      <c r="B29460" s="3" t="s">
        <v>7</v>
      </c>
      <c r="C29460" s="3" t="s">
        <v>4783</v>
      </c>
      <c r="D29460" s="4">
        <f>DATE(2012,8,31)</f>
        <v>41152</v>
      </c>
      <c r="E29460" s="5">
        <f t="shared" si="501"/>
        <v>2012</v>
      </c>
      <c r="F29460" s="3" t="s">
        <v>4784</v>
      </c>
      <c r="G29460" s="6">
        <v>237.5</v>
      </c>
      <c r="H29460" s="5">
        <v>17542</v>
      </c>
    </row>
    <row r="29461" spans="2:8" ht="15" customHeight="1" x14ac:dyDescent="0.4">
      <c r="B29461" s="3" t="s">
        <v>7</v>
      </c>
      <c r="C29461" s="3" t="s">
        <v>4783</v>
      </c>
      <c r="D29461" s="4">
        <f>DATE(2012,8,31)</f>
        <v>41152</v>
      </c>
      <c r="E29461" s="5">
        <f t="shared" si="501"/>
        <v>2012</v>
      </c>
      <c r="F29461" s="3" t="s">
        <v>4784</v>
      </c>
      <c r="G29461" s="6">
        <v>79.5</v>
      </c>
      <c r="H29461" s="5">
        <v>17521</v>
      </c>
    </row>
    <row r="29462" spans="2:8" ht="15" customHeight="1" x14ac:dyDescent="0.4">
      <c r="B29462" s="3" t="s">
        <v>7</v>
      </c>
      <c r="C29462" s="3" t="s">
        <v>4783</v>
      </c>
      <c r="D29462" s="4">
        <f>DATE(2012,9,25)</f>
        <v>41177</v>
      </c>
      <c r="E29462" s="5">
        <f t="shared" si="501"/>
        <v>2012</v>
      </c>
      <c r="F29462" s="3" t="s">
        <v>4784</v>
      </c>
      <c r="G29462" s="6">
        <v>325</v>
      </c>
      <c r="H29462" s="5">
        <v>17636</v>
      </c>
    </row>
    <row r="29463" spans="2:8" ht="15" customHeight="1" x14ac:dyDescent="0.4">
      <c r="B29463" s="3" t="s">
        <v>7</v>
      </c>
      <c r="C29463" s="3" t="s">
        <v>4783</v>
      </c>
      <c r="D29463" s="4">
        <f>DATE(2012,10,4)</f>
        <v>41186</v>
      </c>
      <c r="E29463" s="5">
        <f t="shared" si="501"/>
        <v>2012</v>
      </c>
      <c r="F29463" s="3" t="s">
        <v>4784</v>
      </c>
      <c r="G29463" s="6">
        <v>437.5</v>
      </c>
      <c r="H29463" s="5">
        <v>17670</v>
      </c>
    </row>
    <row r="29464" spans="2:8" ht="15" customHeight="1" x14ac:dyDescent="0.4">
      <c r="B29464" s="3" t="s">
        <v>7</v>
      </c>
      <c r="C29464" s="3" t="s">
        <v>4783</v>
      </c>
      <c r="D29464" s="4">
        <f>DATE(2013,1,30)</f>
        <v>41304</v>
      </c>
      <c r="E29464" s="5">
        <f t="shared" si="501"/>
        <v>2013</v>
      </c>
      <c r="F29464" s="3" t="s">
        <v>4784</v>
      </c>
      <c r="G29464" s="6">
        <v>162.5</v>
      </c>
      <c r="H29464" s="5">
        <v>18050</v>
      </c>
    </row>
    <row r="29465" spans="2:8" ht="15" customHeight="1" x14ac:dyDescent="0.4">
      <c r="B29465" s="3" t="s">
        <v>7</v>
      </c>
      <c r="C29465" s="3" t="s">
        <v>4783</v>
      </c>
      <c r="D29465" s="4">
        <f>DATE(2013,2,4)</f>
        <v>41309</v>
      </c>
      <c r="E29465" s="5">
        <f t="shared" si="501"/>
        <v>2013</v>
      </c>
      <c r="F29465" s="3" t="s">
        <v>4784</v>
      </c>
      <c r="G29465" s="6">
        <v>162.5</v>
      </c>
      <c r="H29465" s="5">
        <v>18099</v>
      </c>
    </row>
    <row r="29466" spans="2:8" ht="15" customHeight="1" x14ac:dyDescent="0.4">
      <c r="B29466" s="3" t="s">
        <v>7</v>
      </c>
      <c r="C29466" s="3" t="s">
        <v>4783</v>
      </c>
      <c r="D29466" s="4">
        <f>DATE(2013,2,6)</f>
        <v>41311</v>
      </c>
      <c r="E29466" s="5">
        <f t="shared" si="501"/>
        <v>2013</v>
      </c>
      <c r="F29466" s="3" t="s">
        <v>4784</v>
      </c>
      <c r="G29466" s="6">
        <v>562.5</v>
      </c>
      <c r="H29466" s="5">
        <v>18093</v>
      </c>
    </row>
    <row r="29467" spans="2:8" ht="15" customHeight="1" x14ac:dyDescent="0.4">
      <c r="B29467" s="3" t="s">
        <v>7</v>
      </c>
      <c r="C29467" s="3" t="s">
        <v>4783</v>
      </c>
      <c r="D29467" s="4">
        <f>DATE(2013,6,28)</f>
        <v>41453</v>
      </c>
      <c r="E29467" s="5">
        <f t="shared" si="501"/>
        <v>2013</v>
      </c>
      <c r="F29467" s="3" t="s">
        <v>4784</v>
      </c>
      <c r="G29467" s="6">
        <v>1125</v>
      </c>
      <c r="H29467" s="5">
        <v>18711</v>
      </c>
    </row>
    <row r="29468" spans="2:8" ht="15" customHeight="1" x14ac:dyDescent="0.4">
      <c r="B29468" s="3" t="s">
        <v>7</v>
      </c>
      <c r="C29468" s="3" t="s">
        <v>4783</v>
      </c>
      <c r="D29468" s="4">
        <f>DATE(2013,7,23)</f>
        <v>41478</v>
      </c>
      <c r="E29468" s="5">
        <f t="shared" si="501"/>
        <v>2013</v>
      </c>
      <c r="F29468" s="3" t="s">
        <v>4784</v>
      </c>
      <c r="G29468" s="6">
        <v>1125</v>
      </c>
      <c r="H29468" s="5">
        <v>18753</v>
      </c>
    </row>
    <row r="29469" spans="2:8" ht="15" customHeight="1" x14ac:dyDescent="0.4">
      <c r="B29469" s="3" t="s">
        <v>7</v>
      </c>
      <c r="C29469" s="3" t="s">
        <v>4783</v>
      </c>
      <c r="D29469" s="4">
        <f>DATE(2014,1,17)</f>
        <v>41656</v>
      </c>
      <c r="E29469" s="5">
        <f t="shared" si="501"/>
        <v>2014</v>
      </c>
      <c r="F29469" s="3" t="s">
        <v>4784</v>
      </c>
      <c r="G29469" s="6">
        <v>1625</v>
      </c>
      <c r="H29469" s="5">
        <v>19379</v>
      </c>
    </row>
    <row r="29470" spans="2:8" ht="15" customHeight="1" x14ac:dyDescent="0.4">
      <c r="B29470" s="3" t="s">
        <v>7</v>
      </c>
      <c r="C29470" s="3" t="s">
        <v>4783</v>
      </c>
      <c r="D29470" s="4">
        <f>DATE(2014,1,31)</f>
        <v>41670</v>
      </c>
      <c r="E29470" s="5">
        <f t="shared" si="501"/>
        <v>2014</v>
      </c>
      <c r="F29470" s="3" t="s">
        <v>4784</v>
      </c>
      <c r="G29470" s="6">
        <v>2250</v>
      </c>
      <c r="H29470" s="5">
        <v>19379</v>
      </c>
    </row>
    <row r="29471" spans="2:8" ht="15" customHeight="1" x14ac:dyDescent="0.4">
      <c r="B29471" s="3" t="s">
        <v>7</v>
      </c>
      <c r="C29471" s="3" t="s">
        <v>4783</v>
      </c>
      <c r="D29471" s="4">
        <f>DATE(2014,9,10)</f>
        <v>41892</v>
      </c>
      <c r="E29471" s="5">
        <f t="shared" si="501"/>
        <v>2014</v>
      </c>
      <c r="F29471" s="3" t="s">
        <v>4784</v>
      </c>
      <c r="G29471" s="6">
        <v>162.5</v>
      </c>
      <c r="H29471" s="5">
        <v>20400</v>
      </c>
    </row>
    <row r="29472" spans="2:8" ht="15" customHeight="1" x14ac:dyDescent="0.4">
      <c r="B29472" s="3" t="s">
        <v>7</v>
      </c>
      <c r="C29472" s="3" t="s">
        <v>4783</v>
      </c>
      <c r="D29472" s="4">
        <f>DATE(2014,9,26)</f>
        <v>41908</v>
      </c>
      <c r="E29472" s="5">
        <f t="shared" si="501"/>
        <v>2014</v>
      </c>
      <c r="F29472" s="3" t="s">
        <v>4784</v>
      </c>
      <c r="G29472" s="6">
        <v>1125</v>
      </c>
      <c r="H29472" s="5">
        <v>20447</v>
      </c>
    </row>
    <row r="29473" spans="2:8" ht="15" customHeight="1" x14ac:dyDescent="0.4">
      <c r="B29473" s="3" t="s">
        <v>7</v>
      </c>
      <c r="C29473" s="3" t="s">
        <v>4783</v>
      </c>
      <c r="D29473" s="4">
        <f>DATE(2014,10,24)</f>
        <v>41936</v>
      </c>
      <c r="E29473" s="5">
        <f t="shared" si="501"/>
        <v>2014</v>
      </c>
      <c r="F29473" s="3" t="s">
        <v>4784</v>
      </c>
      <c r="G29473" s="6">
        <v>1125</v>
      </c>
      <c r="H29473" s="5">
        <v>20564</v>
      </c>
    </row>
    <row r="29474" spans="2:8" ht="15" customHeight="1" x14ac:dyDescent="0.4">
      <c r="B29474" s="3" t="s">
        <v>7</v>
      </c>
      <c r="C29474" s="3" t="s">
        <v>4783</v>
      </c>
      <c r="D29474" s="4">
        <f>DATE(2014,12,9)</f>
        <v>41982</v>
      </c>
      <c r="E29474" s="5">
        <f t="shared" si="501"/>
        <v>2014</v>
      </c>
      <c r="F29474" s="3" t="s">
        <v>4784</v>
      </c>
      <c r="G29474" s="6">
        <v>750</v>
      </c>
      <c r="H29474" s="5">
        <v>20698</v>
      </c>
    </row>
    <row r="29475" spans="2:8" ht="15" customHeight="1" x14ac:dyDescent="0.4">
      <c r="B29475" t="s">
        <v>7</v>
      </c>
      <c r="C29475" t="s">
        <v>4785</v>
      </c>
      <c r="D29475" s="7">
        <f>DATE(2016,4,26)</f>
        <v>42486</v>
      </c>
      <c r="E29475" s="8">
        <f t="shared" si="501"/>
        <v>2016</v>
      </c>
      <c r="F29475" t="s">
        <v>4786</v>
      </c>
      <c r="G29475" s="9">
        <v>31282.57</v>
      </c>
      <c r="H29475" s="8">
        <v>22611</v>
      </c>
    </row>
    <row r="29476" spans="2:8" ht="15" customHeight="1" x14ac:dyDescent="0.4">
      <c r="B29476" t="s">
        <v>7</v>
      </c>
      <c r="C29476" t="s">
        <v>4785</v>
      </c>
      <c r="D29476" s="7">
        <f>DATE(2016,6,20)</f>
        <v>42541</v>
      </c>
      <c r="E29476" s="8">
        <f t="shared" si="501"/>
        <v>2016</v>
      </c>
      <c r="F29476" t="s">
        <v>4786</v>
      </c>
      <c r="G29476" s="9">
        <v>147051.49</v>
      </c>
      <c r="H29476" s="8">
        <v>22874</v>
      </c>
    </row>
    <row r="29477" spans="2:8" ht="15" customHeight="1" x14ac:dyDescent="0.4">
      <c r="B29477" t="s">
        <v>7</v>
      </c>
      <c r="C29477" t="s">
        <v>4785</v>
      </c>
      <c r="D29477" s="7">
        <f>DATE(2016,10,13)</f>
        <v>42656</v>
      </c>
      <c r="E29477" s="8">
        <f t="shared" si="501"/>
        <v>2016</v>
      </c>
      <c r="F29477" t="s">
        <v>4786</v>
      </c>
      <c r="G29477" s="9">
        <v>23981</v>
      </c>
      <c r="H29477" s="8">
        <v>23351</v>
      </c>
    </row>
    <row r="29478" spans="2:8" ht="15" customHeight="1" x14ac:dyDescent="0.4">
      <c r="B29478" t="s">
        <v>7</v>
      </c>
      <c r="C29478" t="s">
        <v>4785</v>
      </c>
      <c r="D29478" s="7">
        <f>DATE(2017,8,1)</f>
        <v>42948</v>
      </c>
      <c r="E29478" s="8">
        <f t="shared" si="501"/>
        <v>2017</v>
      </c>
      <c r="F29478" t="s">
        <v>4786</v>
      </c>
      <c r="G29478" s="9">
        <v>100738.42</v>
      </c>
      <c r="H29478" s="8">
        <v>25312</v>
      </c>
    </row>
    <row r="29479" spans="2:8" ht="15" customHeight="1" x14ac:dyDescent="0.4">
      <c r="B29479" t="s">
        <v>7</v>
      </c>
      <c r="C29479" t="s">
        <v>4785</v>
      </c>
      <c r="D29479" s="7">
        <f>DATE(2017,12,20)</f>
        <v>43089</v>
      </c>
      <c r="E29479" s="8">
        <f t="shared" si="501"/>
        <v>2017</v>
      </c>
      <c r="F29479" t="s">
        <v>4786</v>
      </c>
      <c r="G29479" s="9">
        <v>36986.870000000003</v>
      </c>
      <c r="H29479" s="8">
        <v>26012</v>
      </c>
    </row>
    <row r="29480" spans="2:8" ht="15" customHeight="1" x14ac:dyDescent="0.4">
      <c r="B29480" t="s">
        <v>7</v>
      </c>
      <c r="C29480" t="s">
        <v>4785</v>
      </c>
      <c r="D29480" s="7">
        <f>DATE(2016,10,4)</f>
        <v>42647</v>
      </c>
      <c r="E29480" s="8">
        <f t="shared" si="501"/>
        <v>2016</v>
      </c>
      <c r="F29480" t="s">
        <v>4786</v>
      </c>
      <c r="G29480" s="9">
        <v>77445.69</v>
      </c>
      <c r="H29480" s="8">
        <v>23352</v>
      </c>
    </row>
    <row r="29481" spans="2:8" ht="15" customHeight="1" x14ac:dyDescent="0.4">
      <c r="B29481" t="s">
        <v>7</v>
      </c>
      <c r="C29481" t="s">
        <v>4785</v>
      </c>
      <c r="D29481" s="7">
        <f>DATE(2016,10,4)</f>
        <v>42647</v>
      </c>
      <c r="E29481" s="8">
        <f t="shared" si="501"/>
        <v>2016</v>
      </c>
      <c r="F29481" t="s">
        <v>4786</v>
      </c>
      <c r="G29481" s="9">
        <v>40600</v>
      </c>
      <c r="H29481" s="8">
        <v>23353</v>
      </c>
    </row>
    <row r="29482" spans="2:8" ht="15" customHeight="1" x14ac:dyDescent="0.4">
      <c r="B29482" t="s">
        <v>7</v>
      </c>
      <c r="C29482" t="s">
        <v>4785</v>
      </c>
      <c r="D29482" s="7">
        <f>DATE(2015,3,26)</f>
        <v>42089</v>
      </c>
      <c r="E29482" s="8">
        <f t="shared" si="501"/>
        <v>2015</v>
      </c>
      <c r="F29482" t="s">
        <v>4786</v>
      </c>
      <c r="G29482" s="9">
        <v>418.75</v>
      </c>
      <c r="H29482" s="8">
        <v>20184</v>
      </c>
    </row>
    <row r="29483" spans="2:8" ht="15" customHeight="1" x14ac:dyDescent="0.4">
      <c r="B29483" t="s">
        <v>7</v>
      </c>
      <c r="C29483" t="s">
        <v>4785</v>
      </c>
      <c r="D29483" s="7">
        <f>DATE(2015,5,21)</f>
        <v>42145</v>
      </c>
      <c r="E29483" s="8">
        <f t="shared" si="501"/>
        <v>2015</v>
      </c>
      <c r="F29483" t="s">
        <v>4786</v>
      </c>
      <c r="G29483" s="9">
        <v>1595</v>
      </c>
      <c r="H29483" s="8">
        <v>20596</v>
      </c>
    </row>
    <row r="29484" spans="2:8" ht="15" customHeight="1" x14ac:dyDescent="0.4">
      <c r="B29484" t="s">
        <v>7</v>
      </c>
      <c r="C29484" t="s">
        <v>4785</v>
      </c>
      <c r="D29484" s="7">
        <f>DATE(2015,7,6)</f>
        <v>42191</v>
      </c>
      <c r="E29484" s="8">
        <f t="shared" si="501"/>
        <v>2015</v>
      </c>
      <c r="F29484" t="s">
        <v>4786</v>
      </c>
      <c r="G29484" s="9">
        <v>261.5</v>
      </c>
      <c r="H29484" s="8">
        <v>20842</v>
      </c>
    </row>
    <row r="29485" spans="2:8" ht="15" customHeight="1" x14ac:dyDescent="0.4">
      <c r="B29485" t="s">
        <v>7</v>
      </c>
      <c r="C29485" t="s">
        <v>4785</v>
      </c>
      <c r="D29485" s="7">
        <f>DATE(2015,9,15)</f>
        <v>42262</v>
      </c>
      <c r="E29485" s="8">
        <f t="shared" si="501"/>
        <v>2015</v>
      </c>
      <c r="F29485" t="s">
        <v>4786</v>
      </c>
      <c r="G29485" s="9">
        <v>767.5</v>
      </c>
      <c r="H29485" s="8">
        <v>21201</v>
      </c>
    </row>
    <row r="29486" spans="2:8" ht="15" customHeight="1" x14ac:dyDescent="0.4">
      <c r="B29486" t="s">
        <v>7</v>
      </c>
      <c r="C29486" t="s">
        <v>4785</v>
      </c>
      <c r="D29486" s="7">
        <f>DATE(2015,9,18)</f>
        <v>42265</v>
      </c>
      <c r="E29486" s="8">
        <f t="shared" si="501"/>
        <v>2015</v>
      </c>
      <c r="F29486" t="s">
        <v>4786</v>
      </c>
      <c r="G29486" s="9">
        <v>136</v>
      </c>
      <c r="H29486" s="8">
        <v>21263</v>
      </c>
    </row>
    <row r="29487" spans="2:8" ht="15" customHeight="1" x14ac:dyDescent="0.4">
      <c r="B29487" t="s">
        <v>7</v>
      </c>
      <c r="C29487" t="s">
        <v>4785</v>
      </c>
      <c r="D29487" s="7">
        <f>DATE(2015,10,1)</f>
        <v>42278</v>
      </c>
      <c r="E29487" s="8">
        <f t="shared" si="501"/>
        <v>2015</v>
      </c>
      <c r="F29487" t="s">
        <v>4786</v>
      </c>
      <c r="G29487" s="9">
        <v>261.5</v>
      </c>
      <c r="H29487" s="8">
        <v>21331</v>
      </c>
    </row>
    <row r="29488" spans="2:8" ht="15" customHeight="1" x14ac:dyDescent="0.4">
      <c r="B29488" t="s">
        <v>7</v>
      </c>
      <c r="C29488" t="s">
        <v>4785</v>
      </c>
      <c r="D29488" s="7">
        <f>DATE(2015,11,9)</f>
        <v>42317</v>
      </c>
      <c r="E29488" s="8">
        <f t="shared" si="501"/>
        <v>2015</v>
      </c>
      <c r="F29488" t="s">
        <v>4786</v>
      </c>
      <c r="G29488" s="9">
        <v>523</v>
      </c>
      <c r="H29488" s="8">
        <v>21574</v>
      </c>
    </row>
    <row r="29489" spans="2:8" ht="15" customHeight="1" x14ac:dyDescent="0.4">
      <c r="B29489" t="s">
        <v>7</v>
      </c>
      <c r="C29489" t="s">
        <v>4785</v>
      </c>
      <c r="D29489" s="7">
        <f>DATE(2015,11,9)</f>
        <v>42317</v>
      </c>
      <c r="E29489" s="8">
        <f t="shared" si="501"/>
        <v>2015</v>
      </c>
      <c r="F29489" t="s">
        <v>4786</v>
      </c>
      <c r="G29489" s="9">
        <v>784.5</v>
      </c>
      <c r="H29489" s="8">
        <v>21592</v>
      </c>
    </row>
    <row r="29490" spans="2:8" ht="15" customHeight="1" x14ac:dyDescent="0.4">
      <c r="B29490" t="s">
        <v>7</v>
      </c>
      <c r="C29490" t="s">
        <v>4785</v>
      </c>
      <c r="D29490" s="7">
        <f>DATE(2015,12,9)</f>
        <v>42347</v>
      </c>
      <c r="E29490" s="8">
        <f t="shared" si="501"/>
        <v>2015</v>
      </c>
      <c r="F29490" t="s">
        <v>4786</v>
      </c>
      <c r="G29490" s="9">
        <v>261.5</v>
      </c>
      <c r="H29490" s="8">
        <v>21724</v>
      </c>
    </row>
    <row r="29491" spans="2:8" ht="15" customHeight="1" x14ac:dyDescent="0.4">
      <c r="B29491" t="s">
        <v>7</v>
      </c>
      <c r="C29491" t="s">
        <v>4785</v>
      </c>
      <c r="D29491" s="7">
        <f>DATE(2016,3,4)</f>
        <v>42433</v>
      </c>
      <c r="E29491" s="8">
        <f t="shared" si="501"/>
        <v>2016</v>
      </c>
      <c r="F29491" t="s">
        <v>4786</v>
      </c>
      <c r="G29491" s="9">
        <v>136</v>
      </c>
      <c r="H29491" s="8">
        <v>22298</v>
      </c>
    </row>
    <row r="29492" spans="2:8" ht="15" customHeight="1" x14ac:dyDescent="0.4">
      <c r="B29492" t="s">
        <v>7</v>
      </c>
      <c r="C29492" t="s">
        <v>4785</v>
      </c>
      <c r="D29492" s="7">
        <f>DATE(2016,3,4)</f>
        <v>42433</v>
      </c>
      <c r="E29492" s="8">
        <f t="shared" si="501"/>
        <v>2016</v>
      </c>
      <c r="F29492" t="s">
        <v>4786</v>
      </c>
      <c r="G29492" s="9">
        <v>261.5</v>
      </c>
      <c r="H29492" s="8">
        <v>22320</v>
      </c>
    </row>
    <row r="29493" spans="2:8" ht="15" customHeight="1" x14ac:dyDescent="0.4">
      <c r="B29493" t="s">
        <v>7</v>
      </c>
      <c r="C29493" t="s">
        <v>4785</v>
      </c>
      <c r="D29493" s="7">
        <f>DATE(2016,6,28)</f>
        <v>42549</v>
      </c>
      <c r="E29493" s="8">
        <f t="shared" si="501"/>
        <v>2016</v>
      </c>
      <c r="F29493" t="s">
        <v>4786</v>
      </c>
      <c r="G29493" s="9">
        <v>136</v>
      </c>
      <c r="H29493" s="8">
        <v>23044</v>
      </c>
    </row>
    <row r="29494" spans="2:8" ht="15" customHeight="1" x14ac:dyDescent="0.4">
      <c r="B29494" t="s">
        <v>7</v>
      </c>
      <c r="C29494" t="s">
        <v>4785</v>
      </c>
      <c r="D29494" s="7">
        <f>DATE(2016,9,22)</f>
        <v>42635</v>
      </c>
      <c r="E29494" s="8">
        <f t="shared" si="501"/>
        <v>2016</v>
      </c>
      <c r="F29494" t="s">
        <v>4786</v>
      </c>
      <c r="G29494" s="9">
        <v>7322</v>
      </c>
      <c r="H29494" s="8">
        <v>23433</v>
      </c>
    </row>
    <row r="29495" spans="2:8" ht="15" customHeight="1" x14ac:dyDescent="0.4">
      <c r="B29495" t="s">
        <v>7</v>
      </c>
      <c r="C29495" t="s">
        <v>4785</v>
      </c>
      <c r="D29495" s="7">
        <f>DATE(2016,12,16)</f>
        <v>42720</v>
      </c>
      <c r="E29495" s="8">
        <f t="shared" si="501"/>
        <v>2016</v>
      </c>
      <c r="F29495" t="s">
        <v>4786</v>
      </c>
      <c r="G29495" s="9">
        <v>190</v>
      </c>
      <c r="H29495" s="8">
        <v>23969</v>
      </c>
    </row>
    <row r="29496" spans="2:8" ht="15" customHeight="1" x14ac:dyDescent="0.4">
      <c r="B29496" t="s">
        <v>7</v>
      </c>
      <c r="C29496" t="s">
        <v>4785</v>
      </c>
      <c r="D29496" s="7">
        <f>DATE(2017,3,14)</f>
        <v>42808</v>
      </c>
      <c r="E29496" s="8">
        <f t="shared" si="501"/>
        <v>2017</v>
      </c>
      <c r="F29496" t="s">
        <v>4786</v>
      </c>
      <c r="G29496" s="9">
        <v>272</v>
      </c>
      <c r="H29496" s="8">
        <v>24408</v>
      </c>
    </row>
    <row r="29497" spans="2:8" ht="15" customHeight="1" x14ac:dyDescent="0.4">
      <c r="B29497" t="s">
        <v>7</v>
      </c>
      <c r="C29497" t="s">
        <v>4785</v>
      </c>
      <c r="D29497" s="7">
        <f>DATE(2017,3,27)</f>
        <v>42821</v>
      </c>
      <c r="E29497" s="8">
        <f t="shared" si="501"/>
        <v>2017</v>
      </c>
      <c r="F29497" t="s">
        <v>4786</v>
      </c>
      <c r="G29497" s="9">
        <v>200</v>
      </c>
      <c r="H29497" s="8">
        <v>24590</v>
      </c>
    </row>
    <row r="29498" spans="2:8" ht="15" customHeight="1" x14ac:dyDescent="0.4">
      <c r="B29498" t="s">
        <v>7</v>
      </c>
      <c r="C29498" t="s">
        <v>4785</v>
      </c>
      <c r="D29498" s="7">
        <f>DATE(2017,4,20)</f>
        <v>42845</v>
      </c>
      <c r="E29498" s="8">
        <f t="shared" si="501"/>
        <v>2017</v>
      </c>
      <c r="F29498" t="s">
        <v>4786</v>
      </c>
      <c r="G29498" s="9">
        <v>6910</v>
      </c>
      <c r="H29498" s="8">
        <v>24805</v>
      </c>
    </row>
    <row r="29499" spans="2:8" ht="15" customHeight="1" x14ac:dyDescent="0.4">
      <c r="B29499" t="s">
        <v>7</v>
      </c>
      <c r="C29499" t="s">
        <v>4785</v>
      </c>
      <c r="D29499" s="7">
        <f>DATE(2017,6,5)</f>
        <v>42891</v>
      </c>
      <c r="E29499" s="8">
        <f t="shared" si="501"/>
        <v>2017</v>
      </c>
      <c r="F29499" t="s">
        <v>4786</v>
      </c>
      <c r="G29499" s="9">
        <v>6910</v>
      </c>
      <c r="H29499" s="8">
        <v>25049</v>
      </c>
    </row>
    <row r="29500" spans="2:8" ht="15" customHeight="1" x14ac:dyDescent="0.4">
      <c r="B29500" t="s">
        <v>7</v>
      </c>
      <c r="C29500" t="s">
        <v>4785</v>
      </c>
      <c r="D29500" s="7">
        <f>DATE(2017,6,7)</f>
        <v>42893</v>
      </c>
      <c r="E29500" s="8">
        <f t="shared" si="501"/>
        <v>2017</v>
      </c>
      <c r="F29500" t="s">
        <v>4786</v>
      </c>
      <c r="G29500" s="9">
        <v>190</v>
      </c>
      <c r="H29500" s="8">
        <v>25056</v>
      </c>
    </row>
    <row r="29501" spans="2:8" ht="15" customHeight="1" x14ac:dyDescent="0.4">
      <c r="B29501" t="s">
        <v>7</v>
      </c>
      <c r="C29501" t="s">
        <v>4785</v>
      </c>
      <c r="D29501" s="7">
        <f>DATE(2017,8,23)</f>
        <v>42970</v>
      </c>
      <c r="E29501" s="8">
        <f t="shared" si="501"/>
        <v>2017</v>
      </c>
      <c r="F29501" t="s">
        <v>4786</v>
      </c>
      <c r="G29501" s="9">
        <v>1640</v>
      </c>
      <c r="H29501" s="8">
        <v>25416</v>
      </c>
    </row>
    <row r="29502" spans="2:8" ht="15" customHeight="1" x14ac:dyDescent="0.4">
      <c r="B29502" t="s">
        <v>7</v>
      </c>
      <c r="C29502" t="s">
        <v>4785</v>
      </c>
      <c r="D29502" s="7">
        <f>DATE(2018,1,18)</f>
        <v>43118</v>
      </c>
      <c r="E29502" s="8">
        <f t="shared" si="501"/>
        <v>2018</v>
      </c>
      <c r="F29502" t="s">
        <v>4786</v>
      </c>
      <c r="G29502" s="9">
        <v>1240</v>
      </c>
      <c r="H29502" s="8">
        <v>26216</v>
      </c>
    </row>
    <row r="29503" spans="2:8" ht="15" customHeight="1" x14ac:dyDescent="0.4">
      <c r="B29503" t="s">
        <v>7</v>
      </c>
      <c r="C29503" t="s">
        <v>4785</v>
      </c>
      <c r="D29503" s="7">
        <f>DATE(2018,2,14)</f>
        <v>43145</v>
      </c>
      <c r="E29503" s="8">
        <f t="shared" si="501"/>
        <v>2018</v>
      </c>
      <c r="F29503" t="s">
        <v>4786</v>
      </c>
      <c r="G29503" s="9">
        <v>1240</v>
      </c>
      <c r="H29503" s="8">
        <v>26421</v>
      </c>
    </row>
    <row r="29504" spans="2:8" ht="15" customHeight="1" x14ac:dyDescent="0.4">
      <c r="B29504" t="s">
        <v>7</v>
      </c>
      <c r="C29504" t="s">
        <v>4785</v>
      </c>
      <c r="D29504" s="7">
        <f>DATE(2018,4,11)</f>
        <v>43201</v>
      </c>
      <c r="E29504" s="8">
        <f t="shared" si="501"/>
        <v>2018</v>
      </c>
      <c r="F29504" t="s">
        <v>4786</v>
      </c>
      <c r="G29504" s="9">
        <v>4920</v>
      </c>
      <c r="H29504" s="8">
        <v>26816</v>
      </c>
    </row>
    <row r="29505" spans="2:8" ht="15" customHeight="1" x14ac:dyDescent="0.4">
      <c r="B29505" t="s">
        <v>7</v>
      </c>
      <c r="C29505" t="s">
        <v>4785</v>
      </c>
      <c r="D29505" s="7">
        <f>DATE(2018,7,30)</f>
        <v>43311</v>
      </c>
      <c r="E29505" s="8">
        <f t="shared" si="501"/>
        <v>2018</v>
      </c>
      <c r="F29505" t="s">
        <v>4786</v>
      </c>
      <c r="G29505" s="9">
        <v>6150</v>
      </c>
      <c r="H29505" s="8">
        <v>27411</v>
      </c>
    </row>
    <row r="29506" spans="2:8" ht="15" customHeight="1" x14ac:dyDescent="0.4">
      <c r="B29506" t="s">
        <v>7</v>
      </c>
      <c r="C29506" t="s">
        <v>4785</v>
      </c>
      <c r="D29506" s="7">
        <f>DATE(2018,9,5)</f>
        <v>43348</v>
      </c>
      <c r="E29506" s="8">
        <f t="shared" si="501"/>
        <v>2018</v>
      </c>
      <c r="F29506" t="s">
        <v>4786</v>
      </c>
      <c r="G29506" s="9">
        <v>2460</v>
      </c>
      <c r="H29506" s="8">
        <v>27584</v>
      </c>
    </row>
    <row r="29507" spans="2:8" ht="15" customHeight="1" x14ac:dyDescent="0.4">
      <c r="B29507" t="s">
        <v>7</v>
      </c>
      <c r="C29507" t="s">
        <v>4785</v>
      </c>
      <c r="D29507" s="7">
        <f>DATE(2018,9,26)</f>
        <v>43369</v>
      </c>
      <c r="E29507" s="8">
        <f t="shared" ref="E29507:E29570" si="502">YEAR(D29507)</f>
        <v>2018</v>
      </c>
      <c r="F29507" t="s">
        <v>4786</v>
      </c>
      <c r="G29507" s="9">
        <v>1240</v>
      </c>
      <c r="H29507" s="8">
        <v>27687</v>
      </c>
    </row>
    <row r="29508" spans="2:8" ht="15" customHeight="1" x14ac:dyDescent="0.4">
      <c r="B29508" t="s">
        <v>7</v>
      </c>
      <c r="C29508" t="s">
        <v>4785</v>
      </c>
      <c r="D29508" s="7">
        <f>DATE(2019,4,2)</f>
        <v>43557</v>
      </c>
      <c r="E29508" s="8">
        <f t="shared" si="502"/>
        <v>2019</v>
      </c>
      <c r="F29508" t="s">
        <v>4786</v>
      </c>
      <c r="G29508" s="9">
        <v>1860</v>
      </c>
      <c r="H29508" s="8">
        <v>28693</v>
      </c>
    </row>
    <row r="29509" spans="2:8" ht="15" customHeight="1" x14ac:dyDescent="0.4">
      <c r="B29509" t="s">
        <v>7</v>
      </c>
      <c r="C29509" t="s">
        <v>4785</v>
      </c>
      <c r="D29509" s="7">
        <f>DATE(2008,5,1)</f>
        <v>39569</v>
      </c>
      <c r="E29509" s="8">
        <f t="shared" si="502"/>
        <v>2008</v>
      </c>
      <c r="F29509" t="s">
        <v>4786</v>
      </c>
      <c r="G29509" s="9">
        <v>8707.49</v>
      </c>
      <c r="H29509" s="8">
        <v>7380</v>
      </c>
    </row>
    <row r="29510" spans="2:8" ht="15" customHeight="1" x14ac:dyDescent="0.4">
      <c r="B29510" t="s">
        <v>7</v>
      </c>
      <c r="C29510" t="s">
        <v>4785</v>
      </c>
      <c r="D29510" s="7">
        <f>DATE(2011,10,7)</f>
        <v>40823</v>
      </c>
      <c r="E29510" s="8">
        <f t="shared" si="502"/>
        <v>2011</v>
      </c>
      <c r="F29510" t="s">
        <v>4786</v>
      </c>
      <c r="G29510" s="9">
        <v>7512.49</v>
      </c>
      <c r="H29510" s="8">
        <v>11065</v>
      </c>
    </row>
    <row r="29511" spans="2:8" ht="15" customHeight="1" x14ac:dyDescent="0.4">
      <c r="B29511" t="s">
        <v>7</v>
      </c>
      <c r="C29511" t="s">
        <v>4785</v>
      </c>
      <c r="D29511" s="7">
        <f>DATE(2012,2,1)</f>
        <v>40940</v>
      </c>
      <c r="E29511" s="8">
        <f t="shared" si="502"/>
        <v>2012</v>
      </c>
      <c r="F29511" t="s">
        <v>4786</v>
      </c>
      <c r="G29511" s="9">
        <v>8202.2099999999991</v>
      </c>
      <c r="H29511" s="8">
        <v>11265</v>
      </c>
    </row>
    <row r="29512" spans="2:8" ht="15" customHeight="1" x14ac:dyDescent="0.4">
      <c r="B29512" s="3" t="s">
        <v>7</v>
      </c>
      <c r="C29512" s="3" t="s">
        <v>4785</v>
      </c>
      <c r="D29512" s="4">
        <f>DATE(2003,3,17)</f>
        <v>37697</v>
      </c>
      <c r="E29512" s="5">
        <f t="shared" si="502"/>
        <v>2003</v>
      </c>
      <c r="F29512" s="3" t="s">
        <v>4786</v>
      </c>
      <c r="G29512" s="6">
        <v>367</v>
      </c>
      <c r="H29512" s="5">
        <v>486</v>
      </c>
    </row>
    <row r="29513" spans="2:8" ht="15" customHeight="1" x14ac:dyDescent="0.4">
      <c r="B29513" s="3" t="s">
        <v>7</v>
      </c>
      <c r="C29513" s="3" t="s">
        <v>4785</v>
      </c>
      <c r="D29513" s="4">
        <f>DATE(2003,4,11)</f>
        <v>37722</v>
      </c>
      <c r="E29513" s="5">
        <f t="shared" si="502"/>
        <v>2003</v>
      </c>
      <c r="F29513" s="3" t="s">
        <v>4786</v>
      </c>
      <c r="G29513" s="6">
        <v>1091</v>
      </c>
      <c r="H29513" s="5">
        <v>711</v>
      </c>
    </row>
    <row r="29514" spans="2:8" ht="15" customHeight="1" x14ac:dyDescent="0.4">
      <c r="B29514" s="3" t="s">
        <v>7</v>
      </c>
      <c r="C29514" s="3" t="s">
        <v>4785</v>
      </c>
      <c r="D29514" s="4">
        <f>DATE(2003,5,20)</f>
        <v>37761</v>
      </c>
      <c r="E29514" s="5">
        <f t="shared" si="502"/>
        <v>2003</v>
      </c>
      <c r="F29514" s="3" t="s">
        <v>4786</v>
      </c>
      <c r="G29514" s="6">
        <v>154</v>
      </c>
      <c r="H29514" s="5">
        <v>960</v>
      </c>
    </row>
    <row r="29515" spans="2:8" ht="15" customHeight="1" x14ac:dyDescent="0.4">
      <c r="B29515" s="3" t="s">
        <v>7</v>
      </c>
      <c r="C29515" s="3" t="s">
        <v>4785</v>
      </c>
      <c r="D29515" s="4">
        <f>DATE(2003,6,17)</f>
        <v>37789</v>
      </c>
      <c r="E29515" s="5">
        <f t="shared" si="502"/>
        <v>2003</v>
      </c>
      <c r="F29515" s="3" t="s">
        <v>4786</v>
      </c>
      <c r="G29515" s="6">
        <v>4350.92</v>
      </c>
      <c r="H29515" s="5">
        <v>1117</v>
      </c>
    </row>
    <row r="29516" spans="2:8" ht="15" customHeight="1" x14ac:dyDescent="0.4">
      <c r="B29516" s="3" t="s">
        <v>7</v>
      </c>
      <c r="C29516" s="3" t="s">
        <v>4785</v>
      </c>
      <c r="D29516" s="4">
        <f>DATE(2003,12,31)</f>
        <v>37986</v>
      </c>
      <c r="E29516" s="5">
        <f t="shared" si="502"/>
        <v>2003</v>
      </c>
      <c r="F29516" s="3" t="s">
        <v>4786</v>
      </c>
      <c r="G29516" s="6">
        <v>2177</v>
      </c>
      <c r="H29516" s="5">
        <v>1932</v>
      </c>
    </row>
    <row r="29517" spans="2:8" ht="15" customHeight="1" x14ac:dyDescent="0.4">
      <c r="B29517" s="3" t="s">
        <v>7</v>
      </c>
      <c r="C29517" s="3" t="s">
        <v>4785</v>
      </c>
      <c r="D29517" s="4">
        <f>DATE(2004,1,16)</f>
        <v>38002</v>
      </c>
      <c r="E29517" s="5">
        <f t="shared" si="502"/>
        <v>2004</v>
      </c>
      <c r="F29517" s="3" t="s">
        <v>4786</v>
      </c>
      <c r="G29517" s="6">
        <v>855</v>
      </c>
      <c r="H29517" s="5">
        <v>1999</v>
      </c>
    </row>
    <row r="29518" spans="2:8" ht="15" customHeight="1" x14ac:dyDescent="0.4">
      <c r="B29518" s="3" t="s">
        <v>7</v>
      </c>
      <c r="C29518" s="3" t="s">
        <v>4785</v>
      </c>
      <c r="D29518" s="4">
        <f>DATE(2004,4,13)</f>
        <v>38090</v>
      </c>
      <c r="E29518" s="5">
        <f t="shared" si="502"/>
        <v>2004</v>
      </c>
      <c r="F29518" s="3" t="s">
        <v>4786</v>
      </c>
      <c r="G29518" s="6">
        <v>1092</v>
      </c>
      <c r="H29518" s="5">
        <v>2646</v>
      </c>
    </row>
    <row r="29519" spans="2:8" ht="15" customHeight="1" x14ac:dyDescent="0.4">
      <c r="B29519" s="3" t="s">
        <v>7</v>
      </c>
      <c r="C29519" s="3" t="s">
        <v>4785</v>
      </c>
      <c r="D29519" s="4">
        <f>DATE(2004,5,4)</f>
        <v>38111</v>
      </c>
      <c r="E29519" s="5">
        <f t="shared" si="502"/>
        <v>2004</v>
      </c>
      <c r="F29519" s="3" t="s">
        <v>4786</v>
      </c>
      <c r="G29519" s="6">
        <v>743</v>
      </c>
      <c r="H29519" s="5">
        <v>2808</v>
      </c>
    </row>
    <row r="29520" spans="2:8" ht="15" customHeight="1" x14ac:dyDescent="0.4">
      <c r="B29520" s="3" t="s">
        <v>7</v>
      </c>
      <c r="C29520" s="3" t="s">
        <v>4785</v>
      </c>
      <c r="D29520" s="4">
        <f>DATE(2004,6,21)</f>
        <v>38159</v>
      </c>
      <c r="E29520" s="5">
        <f t="shared" si="502"/>
        <v>2004</v>
      </c>
      <c r="F29520" s="3" t="s">
        <v>4786</v>
      </c>
      <c r="G29520" s="6">
        <v>142</v>
      </c>
      <c r="H29520" s="5">
        <v>3034</v>
      </c>
    </row>
    <row r="29521" spans="2:8" ht="15" customHeight="1" x14ac:dyDescent="0.4">
      <c r="B29521" s="3" t="s">
        <v>7</v>
      </c>
      <c r="C29521" s="3" t="s">
        <v>4785</v>
      </c>
      <c r="D29521" s="4">
        <f>DATE(2004,6,21)</f>
        <v>38159</v>
      </c>
      <c r="E29521" s="5">
        <f t="shared" si="502"/>
        <v>2004</v>
      </c>
      <c r="F29521" s="3" t="s">
        <v>4786</v>
      </c>
      <c r="G29521" s="6">
        <v>775.5</v>
      </c>
      <c r="H29521" s="5">
        <v>3039</v>
      </c>
    </row>
    <row r="29522" spans="2:8" ht="15" customHeight="1" x14ac:dyDescent="0.4">
      <c r="B29522" s="3" t="s">
        <v>7</v>
      </c>
      <c r="C29522" s="3" t="s">
        <v>4785</v>
      </c>
      <c r="D29522" s="4">
        <f>DATE(2004,6,30)</f>
        <v>38168</v>
      </c>
      <c r="E29522" s="5">
        <f t="shared" si="502"/>
        <v>2004</v>
      </c>
      <c r="F29522" s="3" t="s">
        <v>4786</v>
      </c>
      <c r="G29522" s="6">
        <v>169</v>
      </c>
      <c r="H29522" s="5">
        <v>3065</v>
      </c>
    </row>
    <row r="29523" spans="2:8" ht="15" customHeight="1" x14ac:dyDescent="0.4">
      <c r="B29523" s="3" t="s">
        <v>7</v>
      </c>
      <c r="C29523" s="3" t="s">
        <v>4785</v>
      </c>
      <c r="D29523" s="4">
        <f>DATE(2004,6,30)</f>
        <v>38168</v>
      </c>
      <c r="E29523" s="5">
        <f t="shared" si="502"/>
        <v>2004</v>
      </c>
      <c r="F29523" s="3" t="s">
        <v>4786</v>
      </c>
      <c r="G29523" s="6">
        <v>4353.5</v>
      </c>
      <c r="H29523" s="5">
        <v>3066</v>
      </c>
    </row>
    <row r="29524" spans="2:8" ht="15" customHeight="1" x14ac:dyDescent="0.4">
      <c r="B29524" s="3" t="s">
        <v>7</v>
      </c>
      <c r="C29524" s="3" t="s">
        <v>4785</v>
      </c>
      <c r="D29524" s="4">
        <f>DATE(2004,7,6)</f>
        <v>38174</v>
      </c>
      <c r="E29524" s="5">
        <f t="shared" si="502"/>
        <v>2004</v>
      </c>
      <c r="F29524" s="3" t="s">
        <v>4786</v>
      </c>
      <c r="G29524" s="6">
        <v>4354.34</v>
      </c>
      <c r="H29524" s="5">
        <v>3114</v>
      </c>
    </row>
    <row r="29525" spans="2:8" ht="15" customHeight="1" x14ac:dyDescent="0.4">
      <c r="B29525" s="3" t="s">
        <v>7</v>
      </c>
      <c r="C29525" s="3" t="s">
        <v>4785</v>
      </c>
      <c r="D29525" s="4">
        <f>DATE(2004,7,16)</f>
        <v>38184</v>
      </c>
      <c r="E29525" s="5">
        <f t="shared" si="502"/>
        <v>2004</v>
      </c>
      <c r="F29525" s="3" t="s">
        <v>4786</v>
      </c>
      <c r="G29525" s="6">
        <v>677</v>
      </c>
      <c r="H29525" s="5">
        <v>3138</v>
      </c>
    </row>
    <row r="29526" spans="2:8" ht="15" customHeight="1" x14ac:dyDescent="0.4">
      <c r="B29526" s="3" t="s">
        <v>7</v>
      </c>
      <c r="C29526" s="3" t="s">
        <v>4785</v>
      </c>
      <c r="D29526" s="4">
        <f>DATE(2005,2,9)</f>
        <v>38392</v>
      </c>
      <c r="E29526" s="5">
        <f t="shared" si="502"/>
        <v>2005</v>
      </c>
      <c r="F29526" s="3" t="s">
        <v>4786</v>
      </c>
      <c r="G29526" s="6">
        <v>456</v>
      </c>
      <c r="H29526" s="5">
        <v>4096</v>
      </c>
    </row>
    <row r="29527" spans="2:8" ht="15" customHeight="1" x14ac:dyDescent="0.4">
      <c r="B29527" s="3" t="s">
        <v>7</v>
      </c>
      <c r="C29527" s="3" t="s">
        <v>4785</v>
      </c>
      <c r="D29527" s="4">
        <f>DATE(2005,5,3)</f>
        <v>38475</v>
      </c>
      <c r="E29527" s="5">
        <f t="shared" si="502"/>
        <v>2005</v>
      </c>
      <c r="F29527" s="3" t="s">
        <v>4786</v>
      </c>
      <c r="G29527" s="6">
        <v>1152</v>
      </c>
      <c r="H29527" s="5">
        <v>4672</v>
      </c>
    </row>
    <row r="29528" spans="2:8" ht="15" customHeight="1" x14ac:dyDescent="0.4">
      <c r="B29528" s="3" t="s">
        <v>7</v>
      </c>
      <c r="C29528" s="3" t="s">
        <v>4785</v>
      </c>
      <c r="D29528" s="4">
        <f>DATE(2005,6,20)</f>
        <v>38523</v>
      </c>
      <c r="E29528" s="5">
        <f t="shared" si="502"/>
        <v>2005</v>
      </c>
      <c r="F29528" s="3" t="s">
        <v>4786</v>
      </c>
      <c r="G29528" s="6">
        <v>4595.58</v>
      </c>
      <c r="H29528" s="5">
        <v>4902</v>
      </c>
    </row>
    <row r="29529" spans="2:8" ht="15" customHeight="1" x14ac:dyDescent="0.4">
      <c r="B29529" s="3" t="s">
        <v>7</v>
      </c>
      <c r="C29529" s="3" t="s">
        <v>4785</v>
      </c>
      <c r="D29529" s="4">
        <f>DATE(2005,7,14)</f>
        <v>38547</v>
      </c>
      <c r="E29529" s="5">
        <f t="shared" si="502"/>
        <v>2005</v>
      </c>
      <c r="F29529" s="3" t="s">
        <v>4786</v>
      </c>
      <c r="G29529" s="6">
        <v>4847.0200000000004</v>
      </c>
      <c r="H29529" s="5">
        <v>4950</v>
      </c>
    </row>
    <row r="29530" spans="2:8" ht="15" customHeight="1" x14ac:dyDescent="0.4">
      <c r="B29530" s="3" t="s">
        <v>7</v>
      </c>
      <c r="C29530" s="3" t="s">
        <v>4785</v>
      </c>
      <c r="D29530" s="4">
        <f>DATE(2006,4,14)</f>
        <v>38821</v>
      </c>
      <c r="E29530" s="5">
        <f t="shared" si="502"/>
        <v>2006</v>
      </c>
      <c r="F29530" s="3" t="s">
        <v>4786</v>
      </c>
      <c r="G29530" s="6">
        <v>1535</v>
      </c>
      <c r="H29530" s="5">
        <v>6528</v>
      </c>
    </row>
    <row r="29531" spans="2:8" ht="15" customHeight="1" x14ac:dyDescent="0.4">
      <c r="B29531" s="3" t="s">
        <v>7</v>
      </c>
      <c r="C29531" s="3" t="s">
        <v>4785</v>
      </c>
      <c r="D29531" s="4">
        <f>DATE(2006,5,22)</f>
        <v>38859</v>
      </c>
      <c r="E29531" s="5">
        <f t="shared" si="502"/>
        <v>2006</v>
      </c>
      <c r="F29531" s="3" t="s">
        <v>4786</v>
      </c>
      <c r="G29531" s="6">
        <v>1151</v>
      </c>
      <c r="H29531" s="5">
        <v>6750</v>
      </c>
    </row>
    <row r="29532" spans="2:8" ht="15" customHeight="1" x14ac:dyDescent="0.4">
      <c r="B29532" s="3" t="s">
        <v>7</v>
      </c>
      <c r="C29532" s="3" t="s">
        <v>4785</v>
      </c>
      <c r="D29532" s="4">
        <f>DATE(2006,6,14)</f>
        <v>38882</v>
      </c>
      <c r="E29532" s="5">
        <f t="shared" si="502"/>
        <v>2006</v>
      </c>
      <c r="F29532" s="3" t="s">
        <v>4786</v>
      </c>
      <c r="G29532" s="6">
        <v>4598.42</v>
      </c>
      <c r="H29532" s="5">
        <v>6857</v>
      </c>
    </row>
    <row r="29533" spans="2:8" ht="15" customHeight="1" x14ac:dyDescent="0.4">
      <c r="B29533" s="3" t="s">
        <v>7</v>
      </c>
      <c r="C29533" s="3" t="s">
        <v>4785</v>
      </c>
      <c r="D29533" s="4">
        <f>DATE(2006,6,29)</f>
        <v>38897</v>
      </c>
      <c r="E29533" s="5">
        <f t="shared" si="502"/>
        <v>2006</v>
      </c>
      <c r="F29533" s="3" t="s">
        <v>4786</v>
      </c>
      <c r="G29533" s="6">
        <v>4598.42</v>
      </c>
      <c r="H29533" s="5">
        <v>6900</v>
      </c>
    </row>
    <row r="29534" spans="2:8" ht="15" customHeight="1" x14ac:dyDescent="0.4">
      <c r="B29534" s="3" t="s">
        <v>7</v>
      </c>
      <c r="C29534" s="3" t="s">
        <v>4785</v>
      </c>
      <c r="D29534" s="4">
        <f>DATE(2006,6,27)</f>
        <v>38895</v>
      </c>
      <c r="E29534" s="5">
        <f t="shared" si="502"/>
        <v>2006</v>
      </c>
      <c r="F29534" s="3" t="s">
        <v>4786</v>
      </c>
      <c r="G29534" s="6">
        <v>668.2</v>
      </c>
      <c r="H29534" s="5">
        <v>6891</v>
      </c>
    </row>
    <row r="29535" spans="2:8" ht="15" customHeight="1" x14ac:dyDescent="0.4">
      <c r="B29535" s="3" t="s">
        <v>7</v>
      </c>
      <c r="C29535" s="3" t="s">
        <v>4785</v>
      </c>
      <c r="D29535" s="4">
        <f>DATE(2007,3,7)</f>
        <v>39148</v>
      </c>
      <c r="E29535" s="5">
        <f t="shared" si="502"/>
        <v>2007</v>
      </c>
      <c r="F29535" s="3" t="s">
        <v>4786</v>
      </c>
      <c r="G29535" s="6">
        <v>579</v>
      </c>
      <c r="H29535" s="5">
        <v>8099</v>
      </c>
    </row>
    <row r="29536" spans="2:8" ht="15" customHeight="1" x14ac:dyDescent="0.4">
      <c r="B29536" s="3" t="s">
        <v>7</v>
      </c>
      <c r="C29536" s="3" t="s">
        <v>4785</v>
      </c>
      <c r="D29536" s="4">
        <f>DATE(2007,4,5)</f>
        <v>39177</v>
      </c>
      <c r="E29536" s="5">
        <f t="shared" si="502"/>
        <v>2007</v>
      </c>
      <c r="F29536" s="3" t="s">
        <v>4786</v>
      </c>
      <c r="G29536" s="6">
        <v>1154</v>
      </c>
      <c r="H29536" s="5">
        <v>8329</v>
      </c>
    </row>
    <row r="29537" spans="2:8" ht="15" customHeight="1" x14ac:dyDescent="0.4">
      <c r="B29537" s="3" t="s">
        <v>7</v>
      </c>
      <c r="C29537" s="3" t="s">
        <v>4785</v>
      </c>
      <c r="D29537" s="4">
        <f>DATE(2007,6,12)</f>
        <v>39245</v>
      </c>
      <c r="E29537" s="5">
        <f t="shared" si="502"/>
        <v>2007</v>
      </c>
      <c r="F29537" s="3" t="s">
        <v>4786</v>
      </c>
      <c r="G29537" s="6">
        <v>281.5</v>
      </c>
      <c r="H29537" s="5">
        <v>8745</v>
      </c>
    </row>
    <row r="29538" spans="2:8" ht="15" customHeight="1" x14ac:dyDescent="0.4">
      <c r="B29538" s="3" t="s">
        <v>7</v>
      </c>
      <c r="C29538" s="3" t="s">
        <v>4785</v>
      </c>
      <c r="D29538" s="4">
        <f>DATE(2007,6,25)</f>
        <v>39258</v>
      </c>
      <c r="E29538" s="5">
        <f t="shared" si="502"/>
        <v>2007</v>
      </c>
      <c r="F29538" s="3" t="s">
        <v>4786</v>
      </c>
      <c r="G29538" s="6">
        <v>4600.82</v>
      </c>
      <c r="H29538" s="5">
        <v>8818</v>
      </c>
    </row>
    <row r="29539" spans="2:8" ht="15" customHeight="1" x14ac:dyDescent="0.4">
      <c r="B29539" s="3" t="s">
        <v>7</v>
      </c>
      <c r="C29539" s="3" t="s">
        <v>4785</v>
      </c>
      <c r="D29539" s="4">
        <f>DATE(2007,6,26)</f>
        <v>39259</v>
      </c>
      <c r="E29539" s="5">
        <f t="shared" si="502"/>
        <v>2007</v>
      </c>
      <c r="F29539" s="3" t="s">
        <v>4786</v>
      </c>
      <c r="G29539" s="6">
        <v>4673.96</v>
      </c>
      <c r="H29539" s="5">
        <v>8816</v>
      </c>
    </row>
    <row r="29540" spans="2:8" ht="15" customHeight="1" x14ac:dyDescent="0.4">
      <c r="B29540" s="3" t="s">
        <v>7</v>
      </c>
      <c r="C29540" s="3" t="s">
        <v>4785</v>
      </c>
      <c r="D29540" s="4">
        <f>DATE(2008,3,28)</f>
        <v>39535</v>
      </c>
      <c r="E29540" s="5">
        <f t="shared" si="502"/>
        <v>2008</v>
      </c>
      <c r="F29540" s="3" t="s">
        <v>4786</v>
      </c>
      <c r="G29540" s="6">
        <v>1036.5</v>
      </c>
      <c r="H29540" s="5">
        <v>10336</v>
      </c>
    </row>
    <row r="29541" spans="2:8" ht="15" customHeight="1" x14ac:dyDescent="0.4">
      <c r="B29541" s="3" t="s">
        <v>7</v>
      </c>
      <c r="C29541" s="3" t="s">
        <v>4785</v>
      </c>
      <c r="D29541" s="4">
        <f>DATE(2008,4,4)</f>
        <v>39542</v>
      </c>
      <c r="E29541" s="5">
        <f t="shared" si="502"/>
        <v>2008</v>
      </c>
      <c r="F29541" s="3" t="s">
        <v>4786</v>
      </c>
      <c r="G29541" s="6">
        <v>863.97</v>
      </c>
      <c r="H29541" s="5">
        <v>10393</v>
      </c>
    </row>
    <row r="29542" spans="2:8" ht="15" customHeight="1" x14ac:dyDescent="0.4">
      <c r="B29542" s="3" t="s">
        <v>7</v>
      </c>
      <c r="C29542" s="3" t="s">
        <v>4785</v>
      </c>
      <c r="D29542" s="4">
        <f>DATE(2008,6,4)</f>
        <v>39603</v>
      </c>
      <c r="E29542" s="5">
        <f t="shared" si="502"/>
        <v>2008</v>
      </c>
      <c r="F29542" s="3" t="s">
        <v>4786</v>
      </c>
      <c r="G29542" s="6">
        <v>380</v>
      </c>
      <c r="H29542" s="5">
        <v>10801</v>
      </c>
    </row>
    <row r="29543" spans="2:8" ht="15" customHeight="1" x14ac:dyDescent="0.4">
      <c r="B29543" s="3" t="s">
        <v>7</v>
      </c>
      <c r="C29543" s="3" t="s">
        <v>4785</v>
      </c>
      <c r="D29543" s="4">
        <f>DATE(2008,6,11)</f>
        <v>39610</v>
      </c>
      <c r="E29543" s="5">
        <f t="shared" si="502"/>
        <v>2008</v>
      </c>
      <c r="F29543" s="3" t="s">
        <v>4786</v>
      </c>
      <c r="G29543" s="6">
        <v>623.92999999999995</v>
      </c>
      <c r="H29543" s="5">
        <v>10838</v>
      </c>
    </row>
    <row r="29544" spans="2:8" ht="15" customHeight="1" x14ac:dyDescent="0.4">
      <c r="B29544" s="3" t="s">
        <v>7</v>
      </c>
      <c r="C29544" s="3" t="s">
        <v>4785</v>
      </c>
      <c r="D29544" s="4">
        <f>DATE(2008,10,30)</f>
        <v>39751</v>
      </c>
      <c r="E29544" s="5">
        <f t="shared" si="502"/>
        <v>2008</v>
      </c>
      <c r="F29544" s="3" t="s">
        <v>4786</v>
      </c>
      <c r="G29544" s="6">
        <v>261.5</v>
      </c>
      <c r="H29544" s="5">
        <v>11520</v>
      </c>
    </row>
    <row r="29545" spans="2:8" ht="15" customHeight="1" x14ac:dyDescent="0.4">
      <c r="B29545" s="3" t="s">
        <v>7</v>
      </c>
      <c r="C29545" s="3" t="s">
        <v>4785</v>
      </c>
      <c r="D29545" s="4">
        <f>DATE(2009,6,26)</f>
        <v>39990</v>
      </c>
      <c r="E29545" s="5">
        <f t="shared" si="502"/>
        <v>2009</v>
      </c>
      <c r="F29545" s="3" t="s">
        <v>4786</v>
      </c>
      <c r="G29545" s="6">
        <v>369</v>
      </c>
      <c r="H29545" s="5">
        <v>12730</v>
      </c>
    </row>
    <row r="29546" spans="2:8" ht="15" customHeight="1" x14ac:dyDescent="0.4">
      <c r="B29546" s="3" t="s">
        <v>7</v>
      </c>
      <c r="C29546" s="3" t="s">
        <v>4785</v>
      </c>
      <c r="D29546" s="4">
        <f>DATE(2009,7,9)</f>
        <v>40003</v>
      </c>
      <c r="E29546" s="5">
        <f t="shared" si="502"/>
        <v>2009</v>
      </c>
      <c r="F29546" s="3" t="s">
        <v>4786</v>
      </c>
      <c r="G29546" s="6">
        <v>261.5</v>
      </c>
      <c r="H29546" s="5">
        <v>12772</v>
      </c>
    </row>
    <row r="29547" spans="2:8" ht="15" customHeight="1" x14ac:dyDescent="0.4">
      <c r="B29547" s="3" t="s">
        <v>7</v>
      </c>
      <c r="C29547" s="3" t="s">
        <v>4785</v>
      </c>
      <c r="D29547" s="4">
        <f>DATE(2009,7,22)</f>
        <v>40016</v>
      </c>
      <c r="E29547" s="5">
        <f t="shared" si="502"/>
        <v>2009</v>
      </c>
      <c r="F29547" s="3" t="s">
        <v>4786</v>
      </c>
      <c r="G29547" s="6">
        <v>1307.2</v>
      </c>
      <c r="H29547" s="5">
        <v>12799</v>
      </c>
    </row>
    <row r="29548" spans="2:8" ht="15" customHeight="1" x14ac:dyDescent="0.4">
      <c r="B29548" s="3" t="s">
        <v>7</v>
      </c>
      <c r="C29548" s="3" t="s">
        <v>4785</v>
      </c>
      <c r="D29548" s="4">
        <f>DATE(2010,6,11)</f>
        <v>40340</v>
      </c>
      <c r="E29548" s="5">
        <f t="shared" si="502"/>
        <v>2010</v>
      </c>
      <c r="F29548" s="3" t="s">
        <v>4786</v>
      </c>
      <c r="G29548" s="6">
        <v>261.5</v>
      </c>
      <c r="H29548" s="5">
        <v>14155</v>
      </c>
    </row>
    <row r="29549" spans="2:8" ht="15" customHeight="1" x14ac:dyDescent="0.4">
      <c r="B29549" s="3" t="s">
        <v>7</v>
      </c>
      <c r="C29549" s="3" t="s">
        <v>4785</v>
      </c>
      <c r="D29549" s="4">
        <f>DATE(2011,2,9)</f>
        <v>40583</v>
      </c>
      <c r="E29549" s="5">
        <f t="shared" si="502"/>
        <v>2011</v>
      </c>
      <c r="F29549" s="3" t="s">
        <v>4786</v>
      </c>
      <c r="G29549" s="6">
        <v>293</v>
      </c>
      <c r="H29549" s="5">
        <v>15042</v>
      </c>
    </row>
    <row r="29550" spans="2:8" ht="15" customHeight="1" x14ac:dyDescent="0.4">
      <c r="B29550" s="3" t="s">
        <v>7</v>
      </c>
      <c r="C29550" s="3" t="s">
        <v>4785</v>
      </c>
      <c r="D29550" s="4">
        <f>DATE(2011,4,5)</f>
        <v>40638</v>
      </c>
      <c r="E29550" s="5">
        <f t="shared" si="502"/>
        <v>2011</v>
      </c>
      <c r="F29550" s="3" t="s">
        <v>4786</v>
      </c>
      <c r="G29550" s="6">
        <v>400</v>
      </c>
      <c r="H29550" s="5">
        <v>15385</v>
      </c>
    </row>
    <row r="29551" spans="2:8" ht="15" customHeight="1" x14ac:dyDescent="0.4">
      <c r="B29551" s="3" t="s">
        <v>7</v>
      </c>
      <c r="C29551" s="3" t="s">
        <v>4785</v>
      </c>
      <c r="D29551" s="4">
        <f>DATE(2011,6,6)</f>
        <v>40700</v>
      </c>
      <c r="E29551" s="5">
        <f t="shared" si="502"/>
        <v>2011</v>
      </c>
      <c r="F29551" s="3" t="s">
        <v>4786</v>
      </c>
      <c r="G29551" s="6">
        <v>136</v>
      </c>
      <c r="H29551" s="5">
        <v>15647</v>
      </c>
    </row>
    <row r="29552" spans="2:8" ht="15" customHeight="1" x14ac:dyDescent="0.4">
      <c r="B29552" s="3" t="s">
        <v>7</v>
      </c>
      <c r="C29552" s="3" t="s">
        <v>4785</v>
      </c>
      <c r="D29552" s="4">
        <f>DATE(2011,6,22)</f>
        <v>40716</v>
      </c>
      <c r="E29552" s="5">
        <f t="shared" si="502"/>
        <v>2011</v>
      </c>
      <c r="F29552" s="3" t="s">
        <v>4786</v>
      </c>
      <c r="G29552" s="6">
        <v>261.5</v>
      </c>
      <c r="H29552" s="5">
        <v>15707</v>
      </c>
    </row>
    <row r="29553" spans="2:8" ht="15" customHeight="1" x14ac:dyDescent="0.4">
      <c r="B29553" s="3" t="s">
        <v>7</v>
      </c>
      <c r="C29553" s="3" t="s">
        <v>4785</v>
      </c>
      <c r="D29553" s="4">
        <f>DATE(2012,3,26)</f>
        <v>40994</v>
      </c>
      <c r="E29553" s="5">
        <f t="shared" si="502"/>
        <v>2012</v>
      </c>
      <c r="F29553" s="3" t="s">
        <v>4786</v>
      </c>
      <c r="G29553" s="6">
        <v>261.5</v>
      </c>
      <c r="H29553" s="5">
        <v>16815</v>
      </c>
    </row>
    <row r="29554" spans="2:8" ht="15" customHeight="1" x14ac:dyDescent="0.4">
      <c r="B29554" s="3" t="s">
        <v>7</v>
      </c>
      <c r="C29554" s="3" t="s">
        <v>4785</v>
      </c>
      <c r="D29554" s="4">
        <f>DATE(2012,3,26)</f>
        <v>40994</v>
      </c>
      <c r="E29554" s="5">
        <f t="shared" si="502"/>
        <v>2012</v>
      </c>
      <c r="F29554" s="3" t="s">
        <v>4786</v>
      </c>
      <c r="G29554" s="6">
        <v>983.5</v>
      </c>
      <c r="H29554" s="5">
        <v>16769</v>
      </c>
    </row>
    <row r="29555" spans="2:8" ht="15" customHeight="1" x14ac:dyDescent="0.4">
      <c r="B29555" s="3" t="s">
        <v>7</v>
      </c>
      <c r="C29555" s="3" t="s">
        <v>4785</v>
      </c>
      <c r="D29555" s="4">
        <f>DATE(2012,7,11)</f>
        <v>41101</v>
      </c>
      <c r="E29555" s="5">
        <f t="shared" si="502"/>
        <v>2012</v>
      </c>
      <c r="F29555" s="3" t="s">
        <v>4786</v>
      </c>
      <c r="G29555" s="6">
        <v>190</v>
      </c>
      <c r="H29555" s="5">
        <v>17337</v>
      </c>
    </row>
    <row r="29556" spans="2:8" ht="15" customHeight="1" x14ac:dyDescent="0.4">
      <c r="B29556" s="3" t="s">
        <v>7</v>
      </c>
      <c r="C29556" s="3" t="s">
        <v>4785</v>
      </c>
      <c r="D29556" s="4">
        <f>DATE(2013,3,19)</f>
        <v>41352</v>
      </c>
      <c r="E29556" s="5">
        <f t="shared" si="502"/>
        <v>2013</v>
      </c>
      <c r="F29556" s="3" t="s">
        <v>4786</v>
      </c>
      <c r="G29556" s="6">
        <v>319.25</v>
      </c>
      <c r="H29556" s="5">
        <v>18321</v>
      </c>
    </row>
    <row r="29557" spans="2:8" ht="15" customHeight="1" x14ac:dyDescent="0.4">
      <c r="B29557" s="3" t="s">
        <v>7</v>
      </c>
      <c r="C29557" s="3" t="s">
        <v>4785</v>
      </c>
      <c r="D29557" s="4">
        <f>DATE(2013,4,1)</f>
        <v>41365</v>
      </c>
      <c r="E29557" s="5">
        <f t="shared" si="502"/>
        <v>2013</v>
      </c>
      <c r="F29557" s="3" t="s">
        <v>4786</v>
      </c>
      <c r="G29557" s="6">
        <v>1518.5</v>
      </c>
      <c r="H29557" s="5">
        <v>18388</v>
      </c>
    </row>
    <row r="29558" spans="2:8" ht="15" customHeight="1" x14ac:dyDescent="0.4">
      <c r="B29558" s="3" t="s">
        <v>7</v>
      </c>
      <c r="C29558" s="3" t="s">
        <v>4785</v>
      </c>
      <c r="D29558" s="4">
        <f>DATE(2013,4,10)</f>
        <v>41374</v>
      </c>
      <c r="E29558" s="5">
        <f t="shared" si="502"/>
        <v>2013</v>
      </c>
      <c r="F29558" s="3" t="s">
        <v>4786</v>
      </c>
      <c r="G29558" s="6">
        <v>190</v>
      </c>
      <c r="H29558" s="5">
        <v>18411</v>
      </c>
    </row>
    <row r="29559" spans="2:8" ht="15" customHeight="1" x14ac:dyDescent="0.4">
      <c r="B29559" s="3" t="s">
        <v>7</v>
      </c>
      <c r="C29559" s="3" t="s">
        <v>4785</v>
      </c>
      <c r="D29559" s="4">
        <f>DATE(2014,11,11)</f>
        <v>41954</v>
      </c>
      <c r="E29559" s="5">
        <f t="shared" si="502"/>
        <v>2014</v>
      </c>
      <c r="F29559" s="3" t="s">
        <v>4786</v>
      </c>
      <c r="G29559" s="6">
        <v>261.5</v>
      </c>
      <c r="H29559" s="5">
        <v>20602</v>
      </c>
    </row>
    <row r="29560" spans="2:8" ht="15" customHeight="1" x14ac:dyDescent="0.4">
      <c r="B29560" t="s">
        <v>7</v>
      </c>
      <c r="C29560" t="s">
        <v>4073</v>
      </c>
      <c r="D29560" s="7">
        <f>DATE(2009,9,3)</f>
        <v>40059</v>
      </c>
      <c r="E29560" s="8">
        <f t="shared" si="502"/>
        <v>2009</v>
      </c>
      <c r="F29560" t="s">
        <v>4787</v>
      </c>
      <c r="G29560" s="9">
        <v>7248.41</v>
      </c>
      <c r="H29560" s="8">
        <v>9018</v>
      </c>
    </row>
    <row r="29561" spans="2:8" ht="15" customHeight="1" x14ac:dyDescent="0.4">
      <c r="B29561" s="3" t="s">
        <v>7</v>
      </c>
      <c r="C29561" s="3" t="s">
        <v>4073</v>
      </c>
      <c r="D29561" s="4">
        <f>DATE(2006,8,7)</f>
        <v>38936</v>
      </c>
      <c r="E29561" s="5">
        <f t="shared" si="502"/>
        <v>2006</v>
      </c>
      <c r="F29561" s="3" t="s">
        <v>4787</v>
      </c>
      <c r="G29561" s="6">
        <v>9644.2000000000007</v>
      </c>
      <c r="H29561" s="5">
        <v>6976</v>
      </c>
    </row>
    <row r="29562" spans="2:8" ht="15" customHeight="1" x14ac:dyDescent="0.4">
      <c r="B29562" s="3" t="s">
        <v>7</v>
      </c>
      <c r="C29562" s="3" t="s">
        <v>4073</v>
      </c>
      <c r="D29562" s="4">
        <f>DATE(2007,9,17)</f>
        <v>39342</v>
      </c>
      <c r="E29562" s="5">
        <f t="shared" si="502"/>
        <v>2007</v>
      </c>
      <c r="F29562" s="3" t="s">
        <v>4787</v>
      </c>
      <c r="G29562" s="6">
        <v>5392</v>
      </c>
      <c r="H29562" s="5">
        <v>9017</v>
      </c>
    </row>
    <row r="29563" spans="2:8" ht="15" customHeight="1" x14ac:dyDescent="0.4">
      <c r="B29563" s="3" t="s">
        <v>7</v>
      </c>
      <c r="C29563" s="3" t="s">
        <v>4073</v>
      </c>
      <c r="D29563" s="4">
        <f>DATE(2007,12,7)</f>
        <v>39423</v>
      </c>
      <c r="E29563" s="5">
        <f t="shared" si="502"/>
        <v>2007</v>
      </c>
      <c r="F29563" s="3" t="s">
        <v>4787</v>
      </c>
      <c r="G29563" s="6">
        <v>4588</v>
      </c>
      <c r="H29563" s="5">
        <v>9350</v>
      </c>
    </row>
    <row r="29564" spans="2:8" ht="15" customHeight="1" x14ac:dyDescent="0.4">
      <c r="B29564" s="3" t="s">
        <v>7</v>
      </c>
      <c r="C29564" s="3" t="s">
        <v>4073</v>
      </c>
      <c r="D29564" s="4">
        <f>DATE(2008,8,8)</f>
        <v>39668</v>
      </c>
      <c r="E29564" s="5">
        <f t="shared" si="502"/>
        <v>2008</v>
      </c>
      <c r="F29564" s="3" t="s">
        <v>4787</v>
      </c>
      <c r="G29564" s="6">
        <v>2399</v>
      </c>
      <c r="H29564" s="5">
        <v>10917</v>
      </c>
    </row>
    <row r="29565" spans="2:8" ht="15" customHeight="1" x14ac:dyDescent="0.4">
      <c r="B29565" s="3" t="s">
        <v>7</v>
      </c>
      <c r="C29565" s="3" t="s">
        <v>4073</v>
      </c>
      <c r="D29565" s="4">
        <f>DATE(2008,10,14)</f>
        <v>39735</v>
      </c>
      <c r="E29565" s="5">
        <f t="shared" si="502"/>
        <v>2008</v>
      </c>
      <c r="F29565" s="3" t="s">
        <v>4787</v>
      </c>
      <c r="G29565" s="6">
        <v>1047</v>
      </c>
      <c r="H29565" s="5">
        <v>11394</v>
      </c>
    </row>
    <row r="29566" spans="2:8" ht="15" customHeight="1" x14ac:dyDescent="0.4">
      <c r="B29566" s="3" t="s">
        <v>7</v>
      </c>
      <c r="C29566" s="3" t="s">
        <v>4073</v>
      </c>
      <c r="D29566" s="4">
        <f>DATE(2008,11,13)</f>
        <v>39765</v>
      </c>
      <c r="E29566" s="5">
        <f t="shared" si="502"/>
        <v>2008</v>
      </c>
      <c r="F29566" s="3" t="s">
        <v>4787</v>
      </c>
      <c r="G29566" s="6">
        <v>9939.85</v>
      </c>
      <c r="H29566" s="5">
        <v>11558</v>
      </c>
    </row>
    <row r="29567" spans="2:8" ht="15" customHeight="1" x14ac:dyDescent="0.4">
      <c r="B29567" s="3" t="s">
        <v>7</v>
      </c>
      <c r="C29567" s="3" t="s">
        <v>4073</v>
      </c>
      <c r="D29567" s="4">
        <f>DATE(2008,12,29)</f>
        <v>39811</v>
      </c>
      <c r="E29567" s="5">
        <f t="shared" si="502"/>
        <v>2008</v>
      </c>
      <c r="F29567" s="3" t="s">
        <v>4787</v>
      </c>
      <c r="G29567" s="6">
        <v>160.56</v>
      </c>
      <c r="H29567" s="5">
        <v>11727</v>
      </c>
    </row>
    <row r="29568" spans="2:8" ht="15" customHeight="1" x14ac:dyDescent="0.4">
      <c r="B29568" s="3" t="s">
        <v>7</v>
      </c>
      <c r="C29568" s="3" t="s">
        <v>4073</v>
      </c>
      <c r="D29568" s="4">
        <f>DATE(2009,2,23)</f>
        <v>39867</v>
      </c>
      <c r="E29568" s="5">
        <f t="shared" si="502"/>
        <v>2009</v>
      </c>
      <c r="F29568" s="3" t="s">
        <v>4787</v>
      </c>
      <c r="G29568" s="6">
        <v>2103.7800000000002</v>
      </c>
      <c r="H29568" s="5">
        <v>12065</v>
      </c>
    </row>
    <row r="29569" spans="2:8" ht="15" customHeight="1" x14ac:dyDescent="0.4">
      <c r="B29569" s="3" t="s">
        <v>7</v>
      </c>
      <c r="C29569" s="3" t="s">
        <v>4073</v>
      </c>
      <c r="D29569" s="4">
        <f>DATE(2009,4,9)</f>
        <v>39912</v>
      </c>
      <c r="E29569" s="5">
        <f t="shared" si="502"/>
        <v>2009</v>
      </c>
      <c r="F29569" s="3" t="s">
        <v>4787</v>
      </c>
      <c r="G29569" s="6">
        <v>300</v>
      </c>
      <c r="H29569" s="5">
        <v>12333</v>
      </c>
    </row>
    <row r="29570" spans="2:8" ht="15" customHeight="1" x14ac:dyDescent="0.4">
      <c r="B29570" s="3" t="s">
        <v>7</v>
      </c>
      <c r="C29570" s="3" t="s">
        <v>4073</v>
      </c>
      <c r="D29570" s="4">
        <f>DATE(2009,4,9)</f>
        <v>39912</v>
      </c>
      <c r="E29570" s="5">
        <f t="shared" si="502"/>
        <v>2009</v>
      </c>
      <c r="F29570" s="3" t="s">
        <v>4787</v>
      </c>
      <c r="G29570" s="6">
        <v>10862.75</v>
      </c>
      <c r="H29570" s="5">
        <v>12231</v>
      </c>
    </row>
    <row r="29571" spans="2:8" ht="15" customHeight="1" x14ac:dyDescent="0.4">
      <c r="B29571" s="3" t="s">
        <v>7</v>
      </c>
      <c r="C29571" s="3" t="s">
        <v>4073</v>
      </c>
      <c r="D29571" s="4">
        <f>DATE(2009,6,2)</f>
        <v>39966</v>
      </c>
      <c r="E29571" s="5">
        <f t="shared" ref="E29571:E29634" si="503">YEAR(D29571)</f>
        <v>2009</v>
      </c>
      <c r="F29571" s="3" t="s">
        <v>4787</v>
      </c>
      <c r="G29571" s="6">
        <v>14385.9</v>
      </c>
      <c r="H29571" s="5">
        <v>12542</v>
      </c>
    </row>
    <row r="29572" spans="2:8" ht="15" customHeight="1" x14ac:dyDescent="0.4">
      <c r="B29572" s="3" t="s">
        <v>7</v>
      </c>
      <c r="C29572" s="3" t="s">
        <v>4073</v>
      </c>
      <c r="D29572" s="4">
        <f>DATE(2009,6,4)</f>
        <v>39968</v>
      </c>
      <c r="E29572" s="5">
        <f t="shared" si="503"/>
        <v>2009</v>
      </c>
      <c r="F29572" s="3" t="s">
        <v>4787</v>
      </c>
      <c r="G29572" s="6">
        <v>14385.9</v>
      </c>
      <c r="H29572" s="5">
        <v>12667</v>
      </c>
    </row>
    <row r="29573" spans="2:8" ht="15" customHeight="1" x14ac:dyDescent="0.4">
      <c r="B29573" s="3" t="s">
        <v>7</v>
      </c>
      <c r="C29573" s="3" t="s">
        <v>4073</v>
      </c>
      <c r="D29573" s="4">
        <f>DATE(2009,10,15)</f>
        <v>40101</v>
      </c>
      <c r="E29573" s="5">
        <f t="shared" si="503"/>
        <v>2009</v>
      </c>
      <c r="F29573" s="3" t="s">
        <v>4787</v>
      </c>
      <c r="G29573" s="6">
        <v>300</v>
      </c>
      <c r="H29573" s="5">
        <v>13113</v>
      </c>
    </row>
    <row r="29574" spans="2:8" ht="15" customHeight="1" x14ac:dyDescent="0.4">
      <c r="B29574" s="3" t="s">
        <v>7</v>
      </c>
      <c r="C29574" s="3" t="s">
        <v>4073</v>
      </c>
      <c r="D29574" s="4">
        <f>DATE(2009,10,15)</f>
        <v>40101</v>
      </c>
      <c r="E29574" s="5">
        <f t="shared" si="503"/>
        <v>2009</v>
      </c>
      <c r="F29574" s="3" t="s">
        <v>4787</v>
      </c>
      <c r="G29574" s="6">
        <v>450</v>
      </c>
      <c r="H29574" s="5">
        <v>13115</v>
      </c>
    </row>
    <row r="29575" spans="2:8" ht="15" customHeight="1" x14ac:dyDescent="0.4">
      <c r="B29575" s="3" t="s">
        <v>7</v>
      </c>
      <c r="C29575" s="3" t="s">
        <v>4073</v>
      </c>
      <c r="D29575" s="4">
        <f>DATE(2013,10,11)</f>
        <v>41558</v>
      </c>
      <c r="E29575" s="5">
        <f t="shared" si="503"/>
        <v>2013</v>
      </c>
      <c r="F29575" s="3" t="s">
        <v>4787</v>
      </c>
      <c r="G29575" s="6">
        <v>1404.43</v>
      </c>
      <c r="H29575" s="5">
        <v>18999</v>
      </c>
    </row>
    <row r="29576" spans="2:8" ht="15" customHeight="1" x14ac:dyDescent="0.4">
      <c r="B29576" s="3" t="s">
        <v>16</v>
      </c>
      <c r="C29576" s="3" t="s">
        <v>4073</v>
      </c>
      <c r="D29576" s="4">
        <f>DATE(2009,6,4)</f>
        <v>39968</v>
      </c>
      <c r="E29576" s="5">
        <f t="shared" si="503"/>
        <v>2009</v>
      </c>
      <c r="F29576" s="3" t="s">
        <v>4787</v>
      </c>
      <c r="G29576" s="6">
        <v>14385</v>
      </c>
      <c r="H29576" s="5">
        <v>12666</v>
      </c>
    </row>
    <row r="29577" spans="2:8" ht="15" customHeight="1" x14ac:dyDescent="0.4">
      <c r="B29577" t="s">
        <v>7</v>
      </c>
      <c r="C29577" t="s">
        <v>4788</v>
      </c>
      <c r="D29577" s="7">
        <f>DATE(2016,3,30)</f>
        <v>42459</v>
      </c>
      <c r="E29577" s="8">
        <f t="shared" si="503"/>
        <v>2016</v>
      </c>
      <c r="F29577" t="s">
        <v>4789</v>
      </c>
      <c r="G29577" s="9">
        <v>9500</v>
      </c>
      <c r="H29577" s="8">
        <v>22433</v>
      </c>
    </row>
    <row r="29578" spans="2:8" ht="15" customHeight="1" x14ac:dyDescent="0.4">
      <c r="B29578" t="s">
        <v>7</v>
      </c>
      <c r="C29578" t="s">
        <v>4788</v>
      </c>
      <c r="D29578" s="7">
        <f>DATE(2017,12,14)</f>
        <v>43083</v>
      </c>
      <c r="E29578" s="8">
        <f t="shared" si="503"/>
        <v>2017</v>
      </c>
      <c r="F29578" t="s">
        <v>4789</v>
      </c>
      <c r="G29578" s="9">
        <v>13690.14</v>
      </c>
      <c r="H29578" s="8">
        <v>25961</v>
      </c>
    </row>
    <row r="29579" spans="2:8" ht="15" customHeight="1" x14ac:dyDescent="0.4">
      <c r="B29579" t="s">
        <v>7</v>
      </c>
      <c r="C29579" t="s">
        <v>4788</v>
      </c>
      <c r="D29579" s="7">
        <f>DATE(2016,3,30)</f>
        <v>42459</v>
      </c>
      <c r="E29579" s="8">
        <f t="shared" si="503"/>
        <v>2016</v>
      </c>
      <c r="F29579" t="s">
        <v>4789</v>
      </c>
      <c r="G29579" s="9">
        <v>54330</v>
      </c>
      <c r="H29579" s="8">
        <v>22434</v>
      </c>
    </row>
    <row r="29580" spans="2:8" ht="15" customHeight="1" x14ac:dyDescent="0.4">
      <c r="B29580" t="s">
        <v>7</v>
      </c>
      <c r="C29580" t="s">
        <v>4788</v>
      </c>
      <c r="D29580" s="7">
        <f>DATE(2016,5,4)</f>
        <v>42494</v>
      </c>
      <c r="E29580" s="8">
        <f t="shared" si="503"/>
        <v>2016</v>
      </c>
      <c r="F29580" t="s">
        <v>4789</v>
      </c>
      <c r="G29580" s="9">
        <v>147.33000000000001</v>
      </c>
      <c r="H29580" s="8">
        <v>22803</v>
      </c>
    </row>
    <row r="29581" spans="2:8" ht="15" customHeight="1" x14ac:dyDescent="0.4">
      <c r="B29581" t="s">
        <v>7</v>
      </c>
      <c r="C29581" t="s">
        <v>4788</v>
      </c>
      <c r="D29581" s="7">
        <f>DATE(2015,4,14)</f>
        <v>42108</v>
      </c>
      <c r="E29581" s="8">
        <f t="shared" si="503"/>
        <v>2015</v>
      </c>
      <c r="F29581" t="s">
        <v>4789</v>
      </c>
      <c r="G29581" s="9">
        <v>5649.15</v>
      </c>
      <c r="H29581" s="8">
        <v>20250</v>
      </c>
    </row>
    <row r="29582" spans="2:8" ht="15" customHeight="1" x14ac:dyDescent="0.4">
      <c r="B29582" t="s">
        <v>7</v>
      </c>
      <c r="C29582" t="s">
        <v>4788</v>
      </c>
      <c r="D29582" s="7">
        <f>DATE(2012,12,12)</f>
        <v>41255</v>
      </c>
      <c r="E29582" s="8">
        <f t="shared" si="503"/>
        <v>2012</v>
      </c>
      <c r="F29582" t="s">
        <v>4789</v>
      </c>
      <c r="G29582" s="9">
        <v>53480</v>
      </c>
      <c r="H29582" s="8">
        <v>11971</v>
      </c>
    </row>
    <row r="29583" spans="2:8" ht="15" customHeight="1" x14ac:dyDescent="0.4">
      <c r="B29583" t="s">
        <v>7</v>
      </c>
      <c r="C29583" t="s">
        <v>4788</v>
      </c>
      <c r="D29583" s="7">
        <f>DATE(2003,3,31)</f>
        <v>37711</v>
      </c>
      <c r="E29583" s="8">
        <f t="shared" si="503"/>
        <v>2003</v>
      </c>
      <c r="F29583" t="s">
        <v>4789</v>
      </c>
      <c r="G29583" s="9">
        <v>13946.1</v>
      </c>
      <c r="H29583" s="8">
        <v>35</v>
      </c>
    </row>
    <row r="29584" spans="2:8" ht="15" customHeight="1" x14ac:dyDescent="0.4">
      <c r="B29584" t="s">
        <v>7</v>
      </c>
      <c r="C29584" t="s">
        <v>4788</v>
      </c>
      <c r="D29584" s="7">
        <f>DATE(2003,3,1)</f>
        <v>37681</v>
      </c>
      <c r="E29584" s="8">
        <f t="shared" si="503"/>
        <v>2003</v>
      </c>
      <c r="F29584" t="s">
        <v>4789</v>
      </c>
      <c r="G29584" s="9">
        <v>5930</v>
      </c>
      <c r="H29584" s="8">
        <v>141</v>
      </c>
    </row>
    <row r="29585" spans="2:8" ht="15" customHeight="1" x14ac:dyDescent="0.4">
      <c r="B29585" t="s">
        <v>7</v>
      </c>
      <c r="C29585" t="s">
        <v>4788</v>
      </c>
      <c r="D29585" s="7">
        <f>DATE(2004,3,11)</f>
        <v>38057</v>
      </c>
      <c r="E29585" s="8">
        <f t="shared" si="503"/>
        <v>2004</v>
      </c>
      <c r="F29585" t="s">
        <v>4789</v>
      </c>
      <c r="G29585" s="9">
        <v>11893.48</v>
      </c>
      <c r="H29585" s="8">
        <v>1401</v>
      </c>
    </row>
    <row r="29586" spans="2:8" ht="15" customHeight="1" x14ac:dyDescent="0.4">
      <c r="B29586" t="s">
        <v>7</v>
      </c>
      <c r="C29586" t="s">
        <v>4788</v>
      </c>
      <c r="D29586" s="7">
        <f>DATE(2004,10,21)</f>
        <v>38281</v>
      </c>
      <c r="E29586" s="8">
        <f t="shared" si="503"/>
        <v>2004</v>
      </c>
      <c r="F29586" t="s">
        <v>4789</v>
      </c>
      <c r="G29586" s="9">
        <v>11783.28</v>
      </c>
      <c r="H29586" s="8">
        <v>2182</v>
      </c>
    </row>
    <row r="29587" spans="2:8" ht="15" customHeight="1" x14ac:dyDescent="0.4">
      <c r="B29587" t="s">
        <v>7</v>
      </c>
      <c r="C29587" t="s">
        <v>4788</v>
      </c>
      <c r="D29587" s="7">
        <f>DATE(2006,4,21)</f>
        <v>38828</v>
      </c>
      <c r="E29587" s="8">
        <f t="shared" si="503"/>
        <v>2006</v>
      </c>
      <c r="F29587" t="s">
        <v>4789</v>
      </c>
      <c r="G29587" s="9">
        <v>11637.51</v>
      </c>
      <c r="H29587" s="8">
        <v>4256</v>
      </c>
    </row>
    <row r="29588" spans="2:8" ht="15" customHeight="1" x14ac:dyDescent="0.4">
      <c r="B29588" t="s">
        <v>7</v>
      </c>
      <c r="C29588" t="s">
        <v>4788</v>
      </c>
      <c r="D29588" s="7">
        <f>DATE(2008,1,25)</f>
        <v>39472</v>
      </c>
      <c r="E29588" s="8">
        <f t="shared" si="503"/>
        <v>2008</v>
      </c>
      <c r="F29588" t="s">
        <v>4789</v>
      </c>
      <c r="G29588" s="9">
        <v>12744</v>
      </c>
      <c r="H29588" s="8">
        <v>6784</v>
      </c>
    </row>
    <row r="29589" spans="2:8" ht="15" customHeight="1" x14ac:dyDescent="0.4">
      <c r="B29589" s="3" t="s">
        <v>7</v>
      </c>
      <c r="C29589" s="3" t="s">
        <v>4788</v>
      </c>
      <c r="D29589" s="4">
        <f>DATE(2012,8,1)</f>
        <v>41122</v>
      </c>
      <c r="E29589" s="5">
        <f t="shared" si="503"/>
        <v>2012</v>
      </c>
      <c r="F29589" s="3" t="s">
        <v>4789</v>
      </c>
      <c r="G29589" s="6">
        <v>187.77</v>
      </c>
      <c r="H29589" s="5">
        <v>17416</v>
      </c>
    </row>
    <row r="29590" spans="2:8" ht="15" customHeight="1" x14ac:dyDescent="0.4">
      <c r="B29590" s="3" t="s">
        <v>7</v>
      </c>
      <c r="C29590" s="3" t="s">
        <v>4788</v>
      </c>
      <c r="D29590" s="4">
        <f>DATE(2012,8,14)</f>
        <v>41135</v>
      </c>
      <c r="E29590" s="5">
        <f t="shared" si="503"/>
        <v>2012</v>
      </c>
      <c r="F29590" s="3" t="s">
        <v>4789</v>
      </c>
      <c r="G29590" s="6">
        <v>292.37</v>
      </c>
      <c r="H29590" s="5">
        <v>17471</v>
      </c>
    </row>
    <row r="29591" spans="2:8" ht="15" customHeight="1" x14ac:dyDescent="0.4">
      <c r="B29591" s="3" t="s">
        <v>7</v>
      </c>
      <c r="C29591" s="3" t="s">
        <v>4788</v>
      </c>
      <c r="D29591" s="4">
        <f>DATE(2012,8,15)</f>
        <v>41136</v>
      </c>
      <c r="E29591" s="5">
        <f t="shared" si="503"/>
        <v>2012</v>
      </c>
      <c r="F29591" s="3" t="s">
        <v>4789</v>
      </c>
      <c r="G29591" s="6">
        <v>292.37</v>
      </c>
      <c r="H29591" s="5">
        <v>17475</v>
      </c>
    </row>
    <row r="29592" spans="2:8" ht="15" customHeight="1" x14ac:dyDescent="0.4">
      <c r="B29592" s="3" t="s">
        <v>7</v>
      </c>
      <c r="C29592" s="3" t="s">
        <v>4788</v>
      </c>
      <c r="D29592" s="4">
        <f>DATE(2012,9,5)</f>
        <v>41157</v>
      </c>
      <c r="E29592" s="5">
        <f t="shared" si="503"/>
        <v>2012</v>
      </c>
      <c r="F29592" s="3" t="s">
        <v>4789</v>
      </c>
      <c r="G29592" s="6">
        <v>186.31</v>
      </c>
      <c r="H29592" s="5">
        <v>17546</v>
      </c>
    </row>
    <row r="29593" spans="2:8" ht="15" customHeight="1" x14ac:dyDescent="0.4">
      <c r="B29593" s="3" t="s">
        <v>7</v>
      </c>
      <c r="C29593" s="3" t="s">
        <v>4788</v>
      </c>
      <c r="D29593" s="4">
        <f>DATE(2014,5,28)</f>
        <v>41787</v>
      </c>
      <c r="E29593" s="5">
        <f t="shared" si="503"/>
        <v>2014</v>
      </c>
      <c r="F29593" s="3" t="s">
        <v>4789</v>
      </c>
      <c r="G29593" s="6">
        <v>220.5</v>
      </c>
      <c r="H29593" s="5">
        <v>20018</v>
      </c>
    </row>
    <row r="29594" spans="2:8" ht="15" customHeight="1" x14ac:dyDescent="0.4">
      <c r="B29594" s="3" t="s">
        <v>7</v>
      </c>
      <c r="C29594" s="3" t="s">
        <v>4788</v>
      </c>
      <c r="D29594" s="4">
        <f>DATE(2014,9,4)</f>
        <v>41886</v>
      </c>
      <c r="E29594" s="5">
        <f t="shared" si="503"/>
        <v>2014</v>
      </c>
      <c r="F29594" s="3" t="s">
        <v>4789</v>
      </c>
      <c r="G29594" s="6">
        <v>169.2</v>
      </c>
      <c r="H29594" s="5">
        <v>20367</v>
      </c>
    </row>
    <row r="29595" spans="2:8" ht="15" customHeight="1" x14ac:dyDescent="0.4">
      <c r="B29595" s="3" t="s">
        <v>7</v>
      </c>
      <c r="C29595" s="3" t="s">
        <v>4790</v>
      </c>
      <c r="D29595" s="4">
        <f>DATE(2003,3,7)</f>
        <v>37687</v>
      </c>
      <c r="E29595" s="5">
        <f t="shared" si="503"/>
        <v>2003</v>
      </c>
      <c r="F29595" s="3" t="s">
        <v>4791</v>
      </c>
      <c r="G29595" s="6">
        <v>402.4</v>
      </c>
      <c r="H29595" s="5">
        <v>480</v>
      </c>
    </row>
    <row r="29596" spans="2:8" ht="15" customHeight="1" x14ac:dyDescent="0.4">
      <c r="B29596" t="s">
        <v>7</v>
      </c>
      <c r="C29596" t="s">
        <v>4790</v>
      </c>
      <c r="D29596" s="7">
        <f>DATE(2016,9,28)</f>
        <v>42641</v>
      </c>
      <c r="E29596" s="8">
        <f t="shared" si="503"/>
        <v>2016</v>
      </c>
      <c r="F29596" t="s">
        <v>4792</v>
      </c>
      <c r="G29596" s="9">
        <v>8374.36</v>
      </c>
      <c r="H29596" s="8">
        <v>23511</v>
      </c>
    </row>
    <row r="29597" spans="2:8" ht="15" customHeight="1" x14ac:dyDescent="0.4">
      <c r="B29597" t="s">
        <v>7</v>
      </c>
      <c r="C29597" t="s">
        <v>4790</v>
      </c>
      <c r="D29597" s="7">
        <f>DATE(2003,8,4)</f>
        <v>37837</v>
      </c>
      <c r="E29597" s="8">
        <f t="shared" si="503"/>
        <v>2003</v>
      </c>
      <c r="F29597" t="s">
        <v>4792</v>
      </c>
      <c r="G29597" s="9">
        <v>3760.8</v>
      </c>
      <c r="H29597" s="8">
        <v>776</v>
      </c>
    </row>
    <row r="29598" spans="2:8" ht="15" customHeight="1" x14ac:dyDescent="0.4">
      <c r="B29598" s="3" t="s">
        <v>7</v>
      </c>
      <c r="C29598" s="3" t="s">
        <v>4790</v>
      </c>
      <c r="D29598" s="4">
        <f>DATE(2003,7,31)</f>
        <v>37833</v>
      </c>
      <c r="E29598" s="5">
        <f t="shared" si="503"/>
        <v>2003</v>
      </c>
      <c r="F29598" s="3" t="s">
        <v>4792</v>
      </c>
      <c r="G29598" s="6">
        <v>70</v>
      </c>
      <c r="H29598" s="5">
        <v>1305</v>
      </c>
    </row>
    <row r="29599" spans="2:8" ht="15" customHeight="1" x14ac:dyDescent="0.4">
      <c r="B29599" s="3" t="s">
        <v>7</v>
      </c>
      <c r="C29599" s="3" t="s">
        <v>4790</v>
      </c>
      <c r="D29599" s="4">
        <f>DATE(2003,8,8)</f>
        <v>37841</v>
      </c>
      <c r="E29599" s="5">
        <f t="shared" si="503"/>
        <v>2003</v>
      </c>
      <c r="F29599" s="3" t="s">
        <v>4792</v>
      </c>
      <c r="G29599" s="6">
        <v>955.75</v>
      </c>
      <c r="H29599" s="5">
        <v>1343</v>
      </c>
    </row>
    <row r="29600" spans="2:8" ht="15" customHeight="1" x14ac:dyDescent="0.4">
      <c r="B29600" s="3" t="s">
        <v>7</v>
      </c>
      <c r="C29600" s="3" t="s">
        <v>4793</v>
      </c>
      <c r="D29600" s="4">
        <f>DATE(2009,3,9)</f>
        <v>39881</v>
      </c>
      <c r="E29600" s="5">
        <f t="shared" si="503"/>
        <v>2009</v>
      </c>
      <c r="F29600" s="3" t="s">
        <v>4794</v>
      </c>
      <c r="G29600" s="6">
        <v>518.84</v>
      </c>
      <c r="H29600" s="5">
        <v>12175</v>
      </c>
    </row>
    <row r="29601" spans="2:8" ht="15" customHeight="1" x14ac:dyDescent="0.4">
      <c r="B29601" s="3" t="s">
        <v>7</v>
      </c>
      <c r="C29601" s="3" t="s">
        <v>4793</v>
      </c>
      <c r="D29601" s="4">
        <f>DATE(2008,8,12)</f>
        <v>39672</v>
      </c>
      <c r="E29601" s="5">
        <f t="shared" si="503"/>
        <v>2008</v>
      </c>
      <c r="F29601" s="3" t="s">
        <v>4795</v>
      </c>
      <c r="G29601" s="6">
        <v>24745.03</v>
      </c>
      <c r="H29601" s="5">
        <v>10876</v>
      </c>
    </row>
    <row r="29602" spans="2:8" ht="15" customHeight="1" x14ac:dyDescent="0.4">
      <c r="B29602" s="3" t="s">
        <v>7</v>
      </c>
      <c r="C29602" s="3" t="s">
        <v>4793</v>
      </c>
      <c r="D29602" s="4">
        <f>DATE(2009,3,9)</f>
        <v>39881</v>
      </c>
      <c r="E29602" s="5">
        <f t="shared" si="503"/>
        <v>2009</v>
      </c>
      <c r="F29602" s="3" t="s">
        <v>4795</v>
      </c>
      <c r="G29602" s="6">
        <v>107.1</v>
      </c>
      <c r="H29602" s="5">
        <v>12251</v>
      </c>
    </row>
    <row r="29603" spans="2:8" ht="15" customHeight="1" x14ac:dyDescent="0.4">
      <c r="B29603" s="3" t="s">
        <v>16</v>
      </c>
      <c r="C29603" s="3" t="s">
        <v>4793</v>
      </c>
      <c r="D29603" s="4">
        <f>DATE(2009,7,29)</f>
        <v>40023</v>
      </c>
      <c r="E29603" s="5">
        <f t="shared" si="503"/>
        <v>2009</v>
      </c>
      <c r="F29603" s="3" t="s">
        <v>4795</v>
      </c>
      <c r="G29603" s="6">
        <v>518.84</v>
      </c>
      <c r="H29603" s="5">
        <v>12860</v>
      </c>
    </row>
    <row r="29604" spans="2:8" ht="15" customHeight="1" x14ac:dyDescent="0.4">
      <c r="B29604" s="3" t="s">
        <v>16</v>
      </c>
      <c r="C29604" s="3" t="s">
        <v>4793</v>
      </c>
      <c r="D29604" s="4">
        <f>DATE(2009,7,29)</f>
        <v>40023</v>
      </c>
      <c r="E29604" s="5">
        <f t="shared" si="503"/>
        <v>2009</v>
      </c>
      <c r="F29604" s="3" t="s">
        <v>4795</v>
      </c>
      <c r="G29604" s="6">
        <v>107.1</v>
      </c>
      <c r="H29604" s="5">
        <v>12861</v>
      </c>
    </row>
    <row r="29605" spans="2:8" ht="15" customHeight="1" x14ac:dyDescent="0.4">
      <c r="B29605" t="s">
        <v>7</v>
      </c>
      <c r="C29605" t="s">
        <v>4796</v>
      </c>
      <c r="D29605" s="7">
        <f>DATE(2008,2,14)</f>
        <v>39492</v>
      </c>
      <c r="E29605" s="8">
        <f t="shared" si="503"/>
        <v>2008</v>
      </c>
      <c r="F29605" t="s">
        <v>4797</v>
      </c>
      <c r="G29605" s="9">
        <v>5603.89</v>
      </c>
      <c r="H29605" s="8">
        <v>6973</v>
      </c>
    </row>
    <row r="29606" spans="2:8" ht="15" customHeight="1" x14ac:dyDescent="0.4">
      <c r="B29606" t="s">
        <v>7</v>
      </c>
      <c r="C29606" t="s">
        <v>4796</v>
      </c>
      <c r="D29606" s="7">
        <f>DATE(2015,5,5)</f>
        <v>42129</v>
      </c>
      <c r="E29606" s="8">
        <f t="shared" si="503"/>
        <v>2015</v>
      </c>
      <c r="F29606" t="s">
        <v>4798</v>
      </c>
      <c r="G29606" s="9">
        <v>59200</v>
      </c>
      <c r="H29606" s="8">
        <v>20077</v>
      </c>
    </row>
    <row r="29607" spans="2:8" ht="15" customHeight="1" x14ac:dyDescent="0.4">
      <c r="B29607" t="s">
        <v>7</v>
      </c>
      <c r="C29607" t="s">
        <v>4796</v>
      </c>
      <c r="D29607" s="7">
        <f>DATE(2015,5,5)</f>
        <v>42129</v>
      </c>
      <c r="E29607" s="8">
        <f t="shared" si="503"/>
        <v>2015</v>
      </c>
      <c r="F29607" t="s">
        <v>4798</v>
      </c>
      <c r="G29607" s="9">
        <v>15346</v>
      </c>
      <c r="H29607" s="8">
        <v>20082</v>
      </c>
    </row>
    <row r="29608" spans="2:8" ht="15" customHeight="1" x14ac:dyDescent="0.4">
      <c r="B29608" t="s">
        <v>7</v>
      </c>
      <c r="C29608" t="s">
        <v>4796</v>
      </c>
      <c r="D29608" s="7">
        <f>DATE(2015,11,12)</f>
        <v>42320</v>
      </c>
      <c r="E29608" s="8">
        <f t="shared" si="503"/>
        <v>2015</v>
      </c>
      <c r="F29608" t="s">
        <v>4798</v>
      </c>
      <c r="G29608" s="9">
        <v>55361</v>
      </c>
      <c r="H29608" s="8">
        <v>21145</v>
      </c>
    </row>
    <row r="29609" spans="2:8" ht="15" customHeight="1" x14ac:dyDescent="0.4">
      <c r="B29609" t="s">
        <v>7</v>
      </c>
      <c r="C29609" t="s">
        <v>4796</v>
      </c>
      <c r="D29609" s="7">
        <f>DATE(2015,11,24)</f>
        <v>42332</v>
      </c>
      <c r="E29609" s="8">
        <f t="shared" si="503"/>
        <v>2015</v>
      </c>
      <c r="F29609" t="s">
        <v>4798</v>
      </c>
      <c r="G29609" s="9">
        <v>38404</v>
      </c>
      <c r="H29609" s="8">
        <v>21194</v>
      </c>
    </row>
    <row r="29610" spans="2:8" ht="15" customHeight="1" x14ac:dyDescent="0.4">
      <c r="B29610" t="s">
        <v>7</v>
      </c>
      <c r="C29610" t="s">
        <v>4796</v>
      </c>
      <c r="D29610" s="7">
        <f>DATE(2015,11,24)</f>
        <v>42332</v>
      </c>
      <c r="E29610" s="8">
        <f t="shared" si="503"/>
        <v>2015</v>
      </c>
      <c r="F29610" t="s">
        <v>4798</v>
      </c>
      <c r="G29610" s="9">
        <v>13072.63</v>
      </c>
      <c r="H29610" s="8">
        <v>21197</v>
      </c>
    </row>
    <row r="29611" spans="2:8" ht="15" customHeight="1" x14ac:dyDescent="0.4">
      <c r="B29611" t="s">
        <v>7</v>
      </c>
      <c r="C29611" t="s">
        <v>4796</v>
      </c>
      <c r="D29611" s="7">
        <f>DATE(2015,10,26)</f>
        <v>42303</v>
      </c>
      <c r="E29611" s="8">
        <f t="shared" si="503"/>
        <v>2015</v>
      </c>
      <c r="F29611" t="s">
        <v>4798</v>
      </c>
      <c r="G29611" s="9">
        <v>491</v>
      </c>
      <c r="H29611" s="8">
        <v>21439</v>
      </c>
    </row>
    <row r="29612" spans="2:8" ht="15" customHeight="1" x14ac:dyDescent="0.4">
      <c r="B29612" t="s">
        <v>7</v>
      </c>
      <c r="C29612" t="s">
        <v>4796</v>
      </c>
      <c r="D29612" s="7">
        <f>DATE(2015,12,3)</f>
        <v>42341</v>
      </c>
      <c r="E29612" s="8">
        <f t="shared" si="503"/>
        <v>2015</v>
      </c>
      <c r="F29612" t="s">
        <v>4798</v>
      </c>
      <c r="G29612" s="9">
        <v>392.8</v>
      </c>
      <c r="H29612" s="8">
        <v>21690</v>
      </c>
    </row>
    <row r="29613" spans="2:8" ht="15" customHeight="1" x14ac:dyDescent="0.4">
      <c r="B29613" t="s">
        <v>7</v>
      </c>
      <c r="C29613" t="s">
        <v>4796</v>
      </c>
      <c r="D29613" s="7">
        <f>DATE(2019,5,15)</f>
        <v>43600</v>
      </c>
      <c r="E29613" s="8">
        <f t="shared" si="503"/>
        <v>2019</v>
      </c>
      <c r="F29613" t="s">
        <v>4798</v>
      </c>
      <c r="G29613" s="9">
        <v>310.56</v>
      </c>
      <c r="H29613" s="8">
        <v>29005</v>
      </c>
    </row>
    <row r="29614" spans="2:8" ht="15" customHeight="1" x14ac:dyDescent="0.4">
      <c r="B29614" t="s">
        <v>7</v>
      </c>
      <c r="C29614" t="s">
        <v>4796</v>
      </c>
      <c r="D29614" s="7">
        <f>DATE(2012,5,29)</f>
        <v>41058</v>
      </c>
      <c r="E29614" s="8">
        <f t="shared" si="503"/>
        <v>2012</v>
      </c>
      <c r="F29614" t="s">
        <v>4798</v>
      </c>
      <c r="G29614" s="9">
        <v>45886.34</v>
      </c>
      <c r="H29614" s="8">
        <v>11528</v>
      </c>
    </row>
    <row r="29615" spans="2:8" ht="15" customHeight="1" x14ac:dyDescent="0.4">
      <c r="B29615" t="s">
        <v>7</v>
      </c>
      <c r="C29615" t="s">
        <v>4796</v>
      </c>
      <c r="D29615" s="7">
        <f>DATE(2006,5,6)</f>
        <v>38843</v>
      </c>
      <c r="E29615" s="8">
        <f t="shared" si="503"/>
        <v>2006</v>
      </c>
      <c r="F29615" t="s">
        <v>4798</v>
      </c>
      <c r="G29615" s="9">
        <v>38500</v>
      </c>
      <c r="H29615" s="8">
        <v>4201</v>
      </c>
    </row>
    <row r="29616" spans="2:8" ht="15" customHeight="1" x14ac:dyDescent="0.4">
      <c r="B29616" t="s">
        <v>7</v>
      </c>
      <c r="C29616" t="s">
        <v>4796</v>
      </c>
      <c r="D29616" s="7">
        <f>DATE(2006,5,6)</f>
        <v>38843</v>
      </c>
      <c r="E29616" s="8">
        <f t="shared" si="503"/>
        <v>2006</v>
      </c>
      <c r="F29616" t="s">
        <v>4798</v>
      </c>
      <c r="G29616" s="9">
        <v>1607.52</v>
      </c>
      <c r="H29616" s="8">
        <v>4636</v>
      </c>
    </row>
    <row r="29617" spans="2:8" ht="15" customHeight="1" x14ac:dyDescent="0.4">
      <c r="B29617" t="s">
        <v>7</v>
      </c>
      <c r="C29617" t="s">
        <v>4796</v>
      </c>
      <c r="D29617" s="7">
        <f>DATE(2006,5,6)</f>
        <v>38843</v>
      </c>
      <c r="E29617" s="8">
        <f t="shared" si="503"/>
        <v>2006</v>
      </c>
      <c r="F29617" t="s">
        <v>4798</v>
      </c>
      <c r="G29617" s="9">
        <v>1281.1300000000001</v>
      </c>
      <c r="H29617" s="8">
        <v>4579</v>
      </c>
    </row>
    <row r="29618" spans="2:8" ht="15" customHeight="1" x14ac:dyDescent="0.4">
      <c r="B29618" t="s">
        <v>7</v>
      </c>
      <c r="C29618" t="s">
        <v>4796</v>
      </c>
      <c r="D29618" s="7">
        <f>DATE(2006,5,7)</f>
        <v>38844</v>
      </c>
      <c r="E29618" s="8">
        <f t="shared" si="503"/>
        <v>2006</v>
      </c>
      <c r="F29618" t="s">
        <v>4798</v>
      </c>
      <c r="G29618" s="9">
        <v>8272.25</v>
      </c>
      <c r="H29618" s="8">
        <v>4319</v>
      </c>
    </row>
    <row r="29619" spans="2:8" ht="15" customHeight="1" x14ac:dyDescent="0.4">
      <c r="B29619" t="s">
        <v>7</v>
      </c>
      <c r="C29619" t="s">
        <v>4796</v>
      </c>
      <c r="D29619" s="7">
        <f>DATE(2012,5,29)</f>
        <v>41058</v>
      </c>
      <c r="E29619" s="8">
        <f t="shared" si="503"/>
        <v>2012</v>
      </c>
      <c r="F29619" t="s">
        <v>4798</v>
      </c>
      <c r="G29619" s="9">
        <v>52753</v>
      </c>
      <c r="H29619" s="8">
        <v>11529</v>
      </c>
    </row>
    <row r="29620" spans="2:8" ht="15" customHeight="1" x14ac:dyDescent="0.4">
      <c r="B29620" t="s">
        <v>7</v>
      </c>
      <c r="C29620" t="s">
        <v>4796</v>
      </c>
      <c r="D29620" s="7">
        <f>DATE(2013,5,17)</f>
        <v>41411</v>
      </c>
      <c r="E29620" s="8">
        <f t="shared" si="503"/>
        <v>2013</v>
      </c>
      <c r="F29620" t="s">
        <v>4798</v>
      </c>
      <c r="G29620" s="9">
        <v>46589.94</v>
      </c>
      <c r="H29620" s="8">
        <v>12403</v>
      </c>
    </row>
    <row r="29621" spans="2:8" ht="15" customHeight="1" x14ac:dyDescent="0.4">
      <c r="B29621" t="s">
        <v>7</v>
      </c>
      <c r="C29621" t="s">
        <v>4796</v>
      </c>
      <c r="D29621" s="7">
        <f>DATE(2013,5,17)</f>
        <v>41411</v>
      </c>
      <c r="E29621" s="8">
        <f t="shared" si="503"/>
        <v>2013</v>
      </c>
      <c r="F29621" t="s">
        <v>4798</v>
      </c>
      <c r="G29621" s="9">
        <v>21736</v>
      </c>
      <c r="H29621" s="8">
        <v>12404</v>
      </c>
    </row>
    <row r="29622" spans="2:8" ht="15" customHeight="1" x14ac:dyDescent="0.4">
      <c r="B29622" t="s">
        <v>7</v>
      </c>
      <c r="C29622" t="s">
        <v>4796</v>
      </c>
      <c r="D29622" s="7">
        <f>DATE(2013,10,11)</f>
        <v>41558</v>
      </c>
      <c r="E29622" s="8">
        <f t="shared" si="503"/>
        <v>2013</v>
      </c>
      <c r="F29622" t="s">
        <v>4798</v>
      </c>
      <c r="G29622" s="9">
        <v>86024.6</v>
      </c>
      <c r="H29622" s="8">
        <v>12695</v>
      </c>
    </row>
    <row r="29623" spans="2:8" ht="15" customHeight="1" x14ac:dyDescent="0.4">
      <c r="B29623" t="s">
        <v>7</v>
      </c>
      <c r="C29623" t="s">
        <v>4796</v>
      </c>
      <c r="D29623" s="7">
        <f>DATE(2013,9,4)</f>
        <v>41521</v>
      </c>
      <c r="E29623" s="8">
        <f t="shared" si="503"/>
        <v>2013</v>
      </c>
      <c r="F29623" t="s">
        <v>4798</v>
      </c>
      <c r="G29623" s="9">
        <v>11054.72</v>
      </c>
      <c r="H29623" s="8">
        <v>12625</v>
      </c>
    </row>
    <row r="29624" spans="2:8" ht="15" customHeight="1" x14ac:dyDescent="0.4">
      <c r="B29624" s="3" t="s">
        <v>7</v>
      </c>
      <c r="C29624" s="3" t="s">
        <v>4796</v>
      </c>
      <c r="D29624" s="4">
        <f>DATE(2003,3,11)</f>
        <v>37691</v>
      </c>
      <c r="E29624" s="5">
        <f t="shared" si="503"/>
        <v>2003</v>
      </c>
      <c r="F29624" s="3" t="s">
        <v>4798</v>
      </c>
      <c r="G29624" s="6">
        <v>409</v>
      </c>
      <c r="H29624" s="5">
        <v>507</v>
      </c>
    </row>
    <row r="29625" spans="2:8" ht="15" customHeight="1" x14ac:dyDescent="0.4">
      <c r="B29625" s="3" t="s">
        <v>7</v>
      </c>
      <c r="C29625" s="3" t="s">
        <v>4796</v>
      </c>
      <c r="D29625" s="4">
        <f>DATE(2003,3,25)</f>
        <v>37705</v>
      </c>
      <c r="E29625" s="5">
        <f t="shared" si="503"/>
        <v>2003</v>
      </c>
      <c r="F29625" s="3" t="s">
        <v>4798</v>
      </c>
      <c r="G29625" s="6">
        <v>996</v>
      </c>
      <c r="H29625" s="5">
        <v>589</v>
      </c>
    </row>
    <row r="29626" spans="2:8" ht="15" customHeight="1" x14ac:dyDescent="0.4">
      <c r="B29626" s="3" t="s">
        <v>7</v>
      </c>
      <c r="C29626" s="3" t="s">
        <v>4796</v>
      </c>
      <c r="D29626" s="4">
        <f>DATE(2003,4,11)</f>
        <v>37722</v>
      </c>
      <c r="E29626" s="5">
        <f t="shared" si="503"/>
        <v>2003</v>
      </c>
      <c r="F29626" s="3" t="s">
        <v>4798</v>
      </c>
      <c r="G29626" s="6">
        <v>468</v>
      </c>
      <c r="H29626" s="5">
        <v>715</v>
      </c>
    </row>
    <row r="29627" spans="2:8" ht="15" customHeight="1" x14ac:dyDescent="0.4">
      <c r="B29627" s="3" t="s">
        <v>7</v>
      </c>
      <c r="C29627" s="3" t="s">
        <v>4796</v>
      </c>
      <c r="D29627" s="4">
        <f>DATE(2004,2,20)</f>
        <v>38037</v>
      </c>
      <c r="E29627" s="5">
        <f t="shared" si="503"/>
        <v>2004</v>
      </c>
      <c r="F29627" s="3" t="s">
        <v>4798</v>
      </c>
      <c r="G29627" s="6">
        <v>24.64</v>
      </c>
      <c r="H29627" s="5">
        <v>2227</v>
      </c>
    </row>
    <row r="29628" spans="2:8" ht="15" customHeight="1" x14ac:dyDescent="0.4">
      <c r="B29628" s="3" t="s">
        <v>7</v>
      </c>
      <c r="C29628" s="3" t="s">
        <v>4796</v>
      </c>
      <c r="D29628" s="4">
        <f>DATE(2005,2,8)</f>
        <v>38391</v>
      </c>
      <c r="E29628" s="5">
        <f t="shared" si="503"/>
        <v>2005</v>
      </c>
      <c r="F29628" s="3" t="s">
        <v>4798</v>
      </c>
      <c r="G29628" s="6">
        <v>993.7</v>
      </c>
      <c r="H29628" s="5">
        <v>4083</v>
      </c>
    </row>
    <row r="29629" spans="2:8" ht="15" customHeight="1" x14ac:dyDescent="0.4">
      <c r="B29629" s="3" t="s">
        <v>7</v>
      </c>
      <c r="C29629" s="3" t="s">
        <v>4796</v>
      </c>
      <c r="D29629" s="4">
        <f>DATE(2005,2,16)</f>
        <v>38399</v>
      </c>
      <c r="E29629" s="5">
        <f t="shared" si="503"/>
        <v>2005</v>
      </c>
      <c r="F29629" s="3" t="s">
        <v>4798</v>
      </c>
      <c r="G29629" s="6">
        <v>1046</v>
      </c>
      <c r="H29629" s="5">
        <v>4148</v>
      </c>
    </row>
    <row r="29630" spans="2:8" ht="15" customHeight="1" x14ac:dyDescent="0.4">
      <c r="B29630" s="3" t="s">
        <v>7</v>
      </c>
      <c r="C29630" s="3" t="s">
        <v>4796</v>
      </c>
      <c r="D29630" s="4">
        <f>DATE(2006,4,20)</f>
        <v>38827</v>
      </c>
      <c r="E29630" s="5">
        <f t="shared" si="503"/>
        <v>2006</v>
      </c>
      <c r="F29630" s="3" t="s">
        <v>4798</v>
      </c>
      <c r="G29630" s="6">
        <v>2144.3000000000002</v>
      </c>
      <c r="H29630" s="5">
        <v>6536</v>
      </c>
    </row>
    <row r="29631" spans="2:8" ht="15" customHeight="1" x14ac:dyDescent="0.4">
      <c r="B29631" s="3" t="s">
        <v>7</v>
      </c>
      <c r="C29631" s="3" t="s">
        <v>4796</v>
      </c>
      <c r="D29631" s="4">
        <f>DATE(2008,3,3)</f>
        <v>39510</v>
      </c>
      <c r="E29631" s="5">
        <f t="shared" si="503"/>
        <v>2008</v>
      </c>
      <c r="F29631" s="3" t="s">
        <v>4798</v>
      </c>
      <c r="G29631" s="6">
        <v>2484.46</v>
      </c>
      <c r="H29631" s="5">
        <v>10094</v>
      </c>
    </row>
    <row r="29632" spans="2:8" ht="15" customHeight="1" x14ac:dyDescent="0.4">
      <c r="B29632" s="3" t="s">
        <v>7</v>
      </c>
      <c r="C29632" s="3" t="s">
        <v>4796</v>
      </c>
      <c r="D29632" s="4">
        <f>DATE(2009,3,18)</f>
        <v>39890</v>
      </c>
      <c r="E29632" s="5">
        <f t="shared" si="503"/>
        <v>2009</v>
      </c>
      <c r="F29632" s="3" t="s">
        <v>4798</v>
      </c>
      <c r="G29632" s="6">
        <v>5230</v>
      </c>
      <c r="H29632" s="5">
        <v>12199</v>
      </c>
    </row>
    <row r="29633" spans="2:8" ht="15" customHeight="1" x14ac:dyDescent="0.4">
      <c r="B29633" s="3" t="s">
        <v>7</v>
      </c>
      <c r="C29633" s="3" t="s">
        <v>4796</v>
      </c>
      <c r="D29633" s="4">
        <f>DATE(2009,5,29)</f>
        <v>39962</v>
      </c>
      <c r="E29633" s="5">
        <f t="shared" si="503"/>
        <v>2009</v>
      </c>
      <c r="F29633" s="3" t="s">
        <v>4798</v>
      </c>
      <c r="G29633" s="6">
        <v>392.8</v>
      </c>
      <c r="H29633" s="5">
        <v>12439</v>
      </c>
    </row>
    <row r="29634" spans="2:8" ht="15" customHeight="1" x14ac:dyDescent="0.4">
      <c r="B29634" s="3" t="s">
        <v>7</v>
      </c>
      <c r="C29634" s="3" t="s">
        <v>4796</v>
      </c>
      <c r="D29634" s="4">
        <f>DATE(2010,6,11)</f>
        <v>40340</v>
      </c>
      <c r="E29634" s="5">
        <f t="shared" si="503"/>
        <v>2010</v>
      </c>
      <c r="F29634" s="3" t="s">
        <v>4798</v>
      </c>
      <c r="G29634" s="6">
        <v>261.5</v>
      </c>
      <c r="H29634" s="5">
        <v>14151</v>
      </c>
    </row>
    <row r="29635" spans="2:8" ht="15" customHeight="1" x14ac:dyDescent="0.4">
      <c r="B29635" s="3" t="s">
        <v>7</v>
      </c>
      <c r="C29635" s="3" t="s">
        <v>4796</v>
      </c>
      <c r="D29635" s="4">
        <f>DATE(2012,5,16)</f>
        <v>41045</v>
      </c>
      <c r="E29635" s="5">
        <f t="shared" ref="E29635:E29644" si="504">YEAR(D29635)</f>
        <v>2012</v>
      </c>
      <c r="F29635" s="3" t="s">
        <v>4798</v>
      </c>
      <c r="G29635" s="6">
        <v>261.5</v>
      </c>
      <c r="H29635" s="5">
        <v>17135</v>
      </c>
    </row>
    <row r="29636" spans="2:8" ht="15" customHeight="1" x14ac:dyDescent="0.4">
      <c r="B29636" s="3" t="s">
        <v>7</v>
      </c>
      <c r="C29636" s="3" t="s">
        <v>4796</v>
      </c>
      <c r="D29636" s="4">
        <f>DATE(2012,5,22)</f>
        <v>41051</v>
      </c>
      <c r="E29636" s="5">
        <f t="shared" si="504"/>
        <v>2012</v>
      </c>
      <c r="F29636" s="3" t="s">
        <v>4798</v>
      </c>
      <c r="G29636" s="6">
        <v>2615</v>
      </c>
      <c r="H29636" s="5">
        <v>17175</v>
      </c>
    </row>
    <row r="29637" spans="2:8" ht="15" customHeight="1" x14ac:dyDescent="0.4">
      <c r="B29637" s="3" t="s">
        <v>7</v>
      </c>
      <c r="C29637" s="3" t="s">
        <v>4796</v>
      </c>
      <c r="D29637" s="4">
        <f>DATE(2014,5,8)</f>
        <v>41767</v>
      </c>
      <c r="E29637" s="5">
        <f t="shared" si="504"/>
        <v>2014</v>
      </c>
      <c r="F29637" s="3" t="s">
        <v>4798</v>
      </c>
      <c r="G29637" s="6">
        <v>392.8</v>
      </c>
      <c r="H29637" s="5">
        <v>19943</v>
      </c>
    </row>
    <row r="29638" spans="2:8" ht="15" customHeight="1" x14ac:dyDescent="0.4">
      <c r="B29638" t="s">
        <v>7</v>
      </c>
      <c r="C29638" t="s">
        <v>4799</v>
      </c>
      <c r="D29638" s="7">
        <f>DATE(2006,5,6)</f>
        <v>38843</v>
      </c>
      <c r="E29638" s="8">
        <f t="shared" si="504"/>
        <v>2006</v>
      </c>
      <c r="F29638" t="s">
        <v>4800</v>
      </c>
      <c r="G29638" s="9">
        <v>6462.81</v>
      </c>
      <c r="H29638" s="8">
        <v>4566</v>
      </c>
    </row>
    <row r="29639" spans="2:8" ht="15" customHeight="1" x14ac:dyDescent="0.4">
      <c r="B29639" t="s">
        <v>7</v>
      </c>
      <c r="C29639" t="s">
        <v>4799</v>
      </c>
      <c r="D29639" s="7">
        <f>DATE(2009,5,1)</f>
        <v>39934</v>
      </c>
      <c r="E29639" s="8">
        <f t="shared" si="504"/>
        <v>2009</v>
      </c>
      <c r="F29639" t="s">
        <v>4800</v>
      </c>
      <c r="G29639" s="9">
        <v>2898.4</v>
      </c>
      <c r="H29639" s="8">
        <v>8653</v>
      </c>
    </row>
    <row r="29640" spans="2:8" ht="15" customHeight="1" x14ac:dyDescent="0.4">
      <c r="B29640" t="s">
        <v>7</v>
      </c>
      <c r="C29640" t="s">
        <v>4799</v>
      </c>
      <c r="D29640" s="7">
        <f>DATE(2009,5,1)</f>
        <v>39934</v>
      </c>
      <c r="E29640" s="8">
        <f t="shared" si="504"/>
        <v>2009</v>
      </c>
      <c r="F29640" t="s">
        <v>4800</v>
      </c>
      <c r="G29640" s="9">
        <v>9300</v>
      </c>
      <c r="H29640" s="8">
        <v>8652</v>
      </c>
    </row>
    <row r="29641" spans="2:8" ht="15" customHeight="1" x14ac:dyDescent="0.4">
      <c r="B29641" s="3" t="s">
        <v>7</v>
      </c>
      <c r="C29641" s="3" t="s">
        <v>4799</v>
      </c>
      <c r="D29641" s="4">
        <f>DATE(2003,1,11)</f>
        <v>37632</v>
      </c>
      <c r="E29641" s="5">
        <f t="shared" si="504"/>
        <v>2003</v>
      </c>
      <c r="F29641" s="3" t="s">
        <v>4800</v>
      </c>
      <c r="G29641" s="6">
        <v>107.75</v>
      </c>
      <c r="H29641" s="5">
        <v>17</v>
      </c>
    </row>
    <row r="29642" spans="2:8" ht="15" customHeight="1" x14ac:dyDescent="0.4">
      <c r="B29642" s="3" t="s">
        <v>7</v>
      </c>
      <c r="C29642" s="3" t="s">
        <v>4799</v>
      </c>
      <c r="D29642" s="4">
        <f>DATE(2003,11,20)</f>
        <v>37945</v>
      </c>
      <c r="E29642" s="5">
        <f t="shared" si="504"/>
        <v>2003</v>
      </c>
      <c r="F29642" s="3" t="s">
        <v>4800</v>
      </c>
      <c r="G29642" s="6">
        <v>42.16</v>
      </c>
      <c r="H29642" s="5">
        <v>1802</v>
      </c>
    </row>
    <row r="29643" spans="2:8" ht="15" customHeight="1" x14ac:dyDescent="0.4">
      <c r="B29643" s="3" t="s">
        <v>7</v>
      </c>
      <c r="C29643" s="3" t="s">
        <v>4799</v>
      </c>
      <c r="D29643" s="4">
        <f>DATE(2007,5,30)</f>
        <v>39232</v>
      </c>
      <c r="E29643" s="5">
        <f t="shared" si="504"/>
        <v>2007</v>
      </c>
      <c r="F29643" s="3" t="s">
        <v>4800</v>
      </c>
      <c r="G29643" s="6">
        <v>730.82</v>
      </c>
      <c r="H29643" s="5">
        <v>8670</v>
      </c>
    </row>
    <row r="29644" spans="2:8" ht="15" customHeight="1" x14ac:dyDescent="0.4">
      <c r="B29644" s="3" t="s">
        <v>7</v>
      </c>
      <c r="C29644" s="3" t="s">
        <v>4799</v>
      </c>
      <c r="D29644" s="4">
        <f>DATE(2007,5,24)</f>
        <v>39226</v>
      </c>
      <c r="E29644" s="5">
        <f t="shared" si="504"/>
        <v>2007</v>
      </c>
      <c r="F29644" s="3" t="s">
        <v>4800</v>
      </c>
      <c r="G29644" s="6">
        <v>286.38</v>
      </c>
      <c r="H29644" s="5">
        <v>8660</v>
      </c>
    </row>
  </sheetData>
  <autoFilter ref="B1:H29644" xr:uid="{00000000-0009-0000-0000-000004000000}">
    <sortState xmlns:xlrd2="http://schemas.microsoft.com/office/spreadsheetml/2017/richdata2" ref="B2:I29963">
      <sortCondition ref="F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 Customers 2003-2019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Tan</dc:creator>
  <cp:lastModifiedBy>Alex Tan</cp:lastModifiedBy>
  <dcterms:created xsi:type="dcterms:W3CDTF">2022-06-23T03:43:05Z</dcterms:created>
  <dcterms:modified xsi:type="dcterms:W3CDTF">2022-06-23T04:16:43Z</dcterms:modified>
</cp:coreProperties>
</file>